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fileSharing readOnlyRecommended="1" userName="Kaylil Baptiste" algorithmName="SHA-512" hashValue="7EEQX9Qkx7mZw2sT47MFCFtzTjty0rkTU37mXFa50zJU679O1+bb0ieFQfKxzyILvxXN1KEnXsm2CKwzA84lFA==" saltValue="UhhtFE9eRLd5qbNI8U0l4g==" spinCount="100000"/>
  <workbookPr codeName="ThisWorkbook" defaultThemeVersion="124226"/>
  <mc:AlternateContent xmlns:mc="http://schemas.openxmlformats.org/markup-compatibility/2006">
    <mc:Choice Requires="x15">
      <x15ac:absPath xmlns:x15ac="http://schemas.microsoft.com/office/spreadsheetml/2010/11/ac" url="O:\Forsyth\Bottling Reports '26\"/>
    </mc:Choice>
  </mc:AlternateContent>
  <xr:revisionPtr revIDLastSave="0" documentId="13_ncr:10001_{D2046168-A951-4108-B0E3-B20F418F3B02}" xr6:coauthVersionLast="47" xr6:coauthVersionMax="47" xr10:uidLastSave="{00000000-0000-0000-0000-000000000000}"/>
  <bookViews>
    <workbookView xWindow="-120" yWindow="-120" windowWidth="29040" windowHeight="15720" tabRatio="579" firstSheet="12" activeTab="21" xr2:uid="{41D53D78-1065-4205-8ACC-6F58CB592A7B}"/>
  </bookViews>
  <sheets>
    <sheet name="January_17" sheetId="133" state="hidden" r:id="rId1"/>
    <sheet name="February_17" sheetId="134" state="hidden" r:id="rId2"/>
    <sheet name="March_17" sheetId="135" state="hidden" r:id="rId3"/>
    <sheet name="April_17" sheetId="136" state="hidden" r:id="rId4"/>
    <sheet name="May_17" sheetId="137" state="hidden" r:id="rId5"/>
    <sheet name="June_17 " sheetId="139" state="hidden" r:id="rId6"/>
    <sheet name="July_17" sheetId="140" state="hidden" r:id="rId7"/>
    <sheet name="Aug_17 " sheetId="142" state="hidden" r:id="rId8"/>
    <sheet name="Sep_17" sheetId="143" state="hidden" r:id="rId9"/>
    <sheet name="October_17" sheetId="144" state="hidden" r:id="rId10"/>
    <sheet name="November_17" sheetId="145" state="hidden" r:id="rId11"/>
    <sheet name="December_17 " sheetId="146" state="hidden" r:id="rId12"/>
    <sheet name="January_26" sheetId="161" r:id="rId13"/>
    <sheet name="February_26" sheetId="162" r:id="rId14"/>
    <sheet name="March_26" sheetId="163" r:id="rId15"/>
    <sheet name="April_26" sheetId="164" r:id="rId16"/>
    <sheet name="May_26" sheetId="165" r:id="rId17"/>
    <sheet name="June_26" sheetId="166" r:id="rId18"/>
    <sheet name="Change-Over Tracking" sheetId="147" state="hidden" r:id="rId19"/>
    <sheet name="July_26" sheetId="167" r:id="rId20"/>
    <sheet name="August_26" sheetId="168" r:id="rId21"/>
    <sheet name="September_26 " sheetId="169" r:id="rId22"/>
    <sheet name="October_26" sheetId="170" r:id="rId23"/>
    <sheet name="November_26" sheetId="171" r:id="rId24"/>
    <sheet name="December_26" sheetId="172" r:id="rId25"/>
    <sheet name="Production Tracking 2017-2023" sheetId="173" r:id="rId26"/>
    <sheet name="January_16" sheetId="121" state="hidden" r:id="rId27"/>
    <sheet name="February_16" sheetId="122" state="hidden" r:id="rId28"/>
    <sheet name="March_16" sheetId="123" state="hidden" r:id="rId29"/>
    <sheet name="April_16" sheetId="124" state="hidden" r:id="rId30"/>
    <sheet name="May_16" sheetId="125" state="hidden" r:id="rId31"/>
    <sheet name="June_16" sheetId="126" state="hidden" r:id="rId32"/>
    <sheet name="July_16" sheetId="127" state="hidden" r:id="rId33"/>
    <sheet name="August_16" sheetId="128" state="hidden" r:id="rId34"/>
    <sheet name="September_16" sheetId="129" state="hidden" r:id="rId35"/>
    <sheet name="October_16" sheetId="130" state="hidden" r:id="rId36"/>
    <sheet name="November_16" sheetId="131" state="hidden" r:id="rId37"/>
    <sheet name="December_16" sheetId="132"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s>
  <definedNames>
    <definedName name="_xlnm.Print_Area" localSheetId="29">April_16!$B$2:$U$69</definedName>
    <definedName name="_xlnm.Print_Area" localSheetId="3">April_17!$A$2:$AD$73</definedName>
    <definedName name="_xlnm.Print_Area" localSheetId="15">April_26!$A$2:$V$73</definedName>
    <definedName name="_xlnm.Print_Area" localSheetId="7">'Aug_17 '!$A$2:$AD$74</definedName>
    <definedName name="_xlnm.Print_Area" localSheetId="33">August_16!$B$2:$V$71</definedName>
    <definedName name="_xlnm.Print_Area" localSheetId="20">August_26!$A$2:$AB$87</definedName>
    <definedName name="_xlnm.Print_Area" localSheetId="37">December_16!$A$2:$AB$72</definedName>
    <definedName name="_xlnm.Print_Area" localSheetId="11">'December_17 '!$A$2:$AC$73</definedName>
    <definedName name="_xlnm.Print_Area" localSheetId="24">December_26!$A$2:$AA$90</definedName>
    <definedName name="_xlnm.Print_Area" localSheetId="27">February_16!$B$2:$U$68</definedName>
    <definedName name="_xlnm.Print_Area" localSheetId="1">February_17!$A$2:$AD$72</definedName>
    <definedName name="_xlnm.Print_Area" localSheetId="13">February_26!$A$2:$AB$76</definedName>
    <definedName name="_xlnm.Print_Area" localSheetId="26">January_16!$B$2:$T$69</definedName>
    <definedName name="_xlnm.Print_Area" localSheetId="0">January_17!$A$2:$AB$72</definedName>
    <definedName name="_xlnm.Print_Area" localSheetId="12">January_26!$A$2:$AA$120</definedName>
    <definedName name="_xlnm.Print_Area" localSheetId="32">July_16!$B$2:$V$71</definedName>
    <definedName name="_xlnm.Print_Area" localSheetId="6">July_17!$A$2:$AD$74</definedName>
    <definedName name="_xlnm.Print_Area" localSheetId="19">July_26!$A$2:$AB$93</definedName>
    <definedName name="_xlnm.Print_Area" localSheetId="31">June_16!$B$2:$V$71</definedName>
    <definedName name="_xlnm.Print_Area" localSheetId="5">'June_17 '!$A$2:$AE$73</definedName>
    <definedName name="_xlnm.Print_Area" localSheetId="17">June_26!$A$2:$AA$72</definedName>
    <definedName name="_xlnm.Print_Area" localSheetId="28">March_16!$B$2:$U$69</definedName>
    <definedName name="_xlnm.Print_Area" localSheetId="2">March_17!$A$2:$AD$73</definedName>
    <definedName name="_xlnm.Print_Area" localSheetId="14">March_26!$A$2:$V$74</definedName>
    <definedName name="_xlnm.Print_Area" localSheetId="30">May_16!$B$2:$V$71</definedName>
    <definedName name="_xlnm.Print_Area" localSheetId="4">May_17!$A$2:$AE$73</definedName>
    <definedName name="_xlnm.Print_Area" localSheetId="16">May_26!$A$2:$AB$76</definedName>
    <definedName name="_xlnm.Print_Area" localSheetId="36">November_16!$B$2:$V$71</definedName>
    <definedName name="_xlnm.Print_Area" localSheetId="10">November_17!$A$2:$AC$73</definedName>
    <definedName name="_xlnm.Print_Area" localSheetId="23">November_26!$A$2:$AA$86</definedName>
    <definedName name="_xlnm.Print_Area" localSheetId="35">October_16!$B$2:$V$71</definedName>
    <definedName name="_xlnm.Print_Area" localSheetId="9">October_17!$A$2:$AC$73</definedName>
    <definedName name="_xlnm.Print_Area" localSheetId="22">October_26!$A$2:$AA$89</definedName>
    <definedName name="_xlnm.Print_Area" localSheetId="8">Sep_17!$A$2:$AC$74</definedName>
    <definedName name="_xlnm.Print_Area" localSheetId="34">September_16!$B$2:$V$71</definedName>
    <definedName name="_xlnm.Print_Area" localSheetId="21">'September_26 '!$A$2:$AA$87</definedName>
    <definedName name="_xlnm.Print_Titles" localSheetId="29">April_16!$2:$3</definedName>
    <definedName name="_xlnm.Print_Titles" localSheetId="3">April_17!$2:$3</definedName>
    <definedName name="_xlnm.Print_Titles" localSheetId="15">April_26!$2:$3</definedName>
    <definedName name="_xlnm.Print_Titles" localSheetId="7">'Aug_17 '!$2:$3</definedName>
    <definedName name="_xlnm.Print_Titles" localSheetId="33">August_16!$2:$3</definedName>
    <definedName name="_xlnm.Print_Titles" localSheetId="20">August_26!$2:$3</definedName>
    <definedName name="_xlnm.Print_Titles" localSheetId="37">December_16!$2:$3</definedName>
    <definedName name="_xlnm.Print_Titles" localSheetId="11">'December_17 '!$2:$3</definedName>
    <definedName name="_xlnm.Print_Titles" localSheetId="24">December_26!$2:$3</definedName>
    <definedName name="_xlnm.Print_Titles" localSheetId="27">February_16!$2:$3</definedName>
    <definedName name="_xlnm.Print_Titles" localSheetId="1">February_17!$2:$3</definedName>
    <definedName name="_xlnm.Print_Titles" localSheetId="13">February_26!$2:$3</definedName>
    <definedName name="_xlnm.Print_Titles" localSheetId="26">January_16!$2:$3</definedName>
    <definedName name="_xlnm.Print_Titles" localSheetId="0">January_17!$2:$3</definedName>
    <definedName name="_xlnm.Print_Titles" localSheetId="12">January_26!$2:$3</definedName>
    <definedName name="_xlnm.Print_Titles" localSheetId="32">July_16!$2:$3</definedName>
    <definedName name="_xlnm.Print_Titles" localSheetId="6">July_17!$2:$3</definedName>
    <definedName name="_xlnm.Print_Titles" localSheetId="19">July_26!$2:$3</definedName>
    <definedName name="_xlnm.Print_Titles" localSheetId="31">June_16!$2:$3</definedName>
    <definedName name="_xlnm.Print_Titles" localSheetId="5">'June_17 '!$2:$3</definedName>
    <definedName name="_xlnm.Print_Titles" localSheetId="17">June_26!$2:$3</definedName>
    <definedName name="_xlnm.Print_Titles" localSheetId="28">March_16!$2:$3</definedName>
    <definedName name="_xlnm.Print_Titles" localSheetId="2">March_17!$2:$3</definedName>
    <definedName name="_xlnm.Print_Titles" localSheetId="14">March_26!$2:$3</definedName>
    <definedName name="_xlnm.Print_Titles" localSheetId="30">May_16!$2:$3</definedName>
    <definedName name="_xlnm.Print_Titles" localSheetId="4">May_17!$2:$3</definedName>
    <definedName name="_xlnm.Print_Titles" localSheetId="16">May_26!$2:$3</definedName>
    <definedName name="_xlnm.Print_Titles" localSheetId="36">November_16!$2:$3</definedName>
    <definedName name="_xlnm.Print_Titles" localSheetId="10">November_17!$2:$3</definedName>
    <definedName name="_xlnm.Print_Titles" localSheetId="23">November_26!$2:$3</definedName>
    <definedName name="_xlnm.Print_Titles" localSheetId="35">October_16!$2:$3</definedName>
    <definedName name="_xlnm.Print_Titles" localSheetId="9">October_17!$2:$3</definedName>
    <definedName name="_xlnm.Print_Titles" localSheetId="22">October_26!$2:$3</definedName>
    <definedName name="_xlnm.Print_Titles" localSheetId="8">Sep_17!$2:$3</definedName>
    <definedName name="_xlnm.Print_Titles" localSheetId="34">September_16!$2:$3</definedName>
    <definedName name="_xlnm.Print_Titles" localSheetId="21">'September_26 '!$2:$3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9" i="169" l="1"/>
  <c r="T59" i="169"/>
  <c r="T43" i="169"/>
  <c r="R43" i="169"/>
  <c r="S44" i="169"/>
  <c r="M43" i="169"/>
  <c r="O43" i="169"/>
  <c r="Q43" i="169"/>
  <c r="M44" i="169"/>
  <c r="O44" i="169"/>
  <c r="Q44" i="169"/>
  <c r="E43" i="169"/>
  <c r="F43" i="169"/>
  <c r="G43" i="169"/>
  <c r="H43" i="169"/>
  <c r="I43" i="169"/>
  <c r="J43" i="169"/>
  <c r="E44" i="169"/>
  <c r="F44" i="169"/>
  <c r="G44" i="169"/>
  <c r="H44" i="169"/>
  <c r="I44" i="169"/>
  <c r="J44" i="169"/>
  <c r="K44" i="169"/>
  <c r="B43" i="169"/>
  <c r="C43" i="169"/>
  <c r="B44" i="169"/>
  <c r="C44" i="169"/>
  <c r="M41" i="169" l="1"/>
  <c r="O41" i="169"/>
  <c r="Q41" i="169"/>
  <c r="M42" i="169"/>
  <c r="O42" i="169"/>
  <c r="Q42" i="169"/>
  <c r="E41" i="169"/>
  <c r="F41" i="169"/>
  <c r="G41" i="169"/>
  <c r="R41" i="169" s="1"/>
  <c r="H41" i="169"/>
  <c r="I41" i="169"/>
  <c r="J41" i="169"/>
  <c r="E42" i="169"/>
  <c r="F42" i="169"/>
  <c r="G42" i="169"/>
  <c r="H42" i="169"/>
  <c r="I42" i="169"/>
  <c r="J42" i="169"/>
  <c r="B41" i="169"/>
  <c r="C41" i="169"/>
  <c r="B42" i="169"/>
  <c r="C42" i="169"/>
  <c r="L40" i="169"/>
  <c r="L41" i="169"/>
  <c r="L43" i="169"/>
  <c r="O40" i="169"/>
  <c r="M40" i="169"/>
  <c r="N40" i="169"/>
  <c r="T40" i="169" s="1"/>
  <c r="K40" i="169"/>
  <c r="I40" i="169"/>
  <c r="H40" i="169"/>
  <c r="F40" i="169"/>
  <c r="B40" i="169"/>
  <c r="C40" i="169"/>
  <c r="E40" i="169"/>
  <c r="G40" i="169"/>
  <c r="S40" i="169" s="1"/>
  <c r="J40" i="169"/>
  <c r="Q40" i="169"/>
  <c r="R40" i="169" l="1"/>
  <c r="F39" i="169"/>
  <c r="M38" i="169"/>
  <c r="N38" i="169"/>
  <c r="O38" i="169"/>
  <c r="Q38" i="169"/>
  <c r="M39" i="169"/>
  <c r="N39" i="169"/>
  <c r="O39" i="169"/>
  <c r="L38" i="169"/>
  <c r="E38" i="169"/>
  <c r="F38" i="169"/>
  <c r="G38" i="169"/>
  <c r="H38" i="169"/>
  <c r="I38" i="169"/>
  <c r="E39" i="169"/>
  <c r="G39" i="169"/>
  <c r="H39" i="169"/>
  <c r="I39" i="169"/>
  <c r="J39" i="169"/>
  <c r="B38" i="169"/>
  <c r="C38" i="169"/>
  <c r="B39" i="169"/>
  <c r="C39" i="169"/>
  <c r="T38" i="169" l="1"/>
  <c r="R38" i="169"/>
  <c r="E37" i="169"/>
  <c r="I37" i="169"/>
  <c r="I36" i="169"/>
  <c r="M37" i="169"/>
  <c r="O37" i="169"/>
  <c r="L37" i="169"/>
  <c r="F37" i="169"/>
  <c r="G37" i="169"/>
  <c r="R37" i="169" s="1"/>
  <c r="H37" i="169"/>
  <c r="B37" i="169"/>
  <c r="C37" i="169"/>
  <c r="L35" i="169"/>
  <c r="M35" i="169"/>
  <c r="N35" i="169"/>
  <c r="O35" i="169"/>
  <c r="Q35" i="169"/>
  <c r="M36" i="169"/>
  <c r="N36" i="169"/>
  <c r="O36" i="169"/>
  <c r="Q36" i="169"/>
  <c r="E35" i="169"/>
  <c r="F35" i="169"/>
  <c r="G35" i="169"/>
  <c r="H35" i="169"/>
  <c r="I35" i="169"/>
  <c r="J35" i="169"/>
  <c r="E36" i="169"/>
  <c r="F36" i="169"/>
  <c r="G36" i="169"/>
  <c r="H36" i="169"/>
  <c r="J36" i="169"/>
  <c r="B35" i="169"/>
  <c r="C35" i="169"/>
  <c r="B36" i="169"/>
  <c r="C36" i="169"/>
  <c r="R35" i="169" l="1"/>
  <c r="T35" i="169"/>
  <c r="B34" i="169"/>
  <c r="C34" i="169"/>
  <c r="M34" i="169"/>
  <c r="E34" i="169"/>
  <c r="J34" i="169"/>
  <c r="I34" i="169"/>
  <c r="H34" i="169"/>
  <c r="G34" i="169"/>
  <c r="F34" i="169"/>
  <c r="L34" i="169"/>
  <c r="Q34" i="169"/>
  <c r="N34" i="169"/>
  <c r="T34" i="169" s="1"/>
  <c r="O34" i="169"/>
  <c r="R34" i="169" l="1"/>
  <c r="O33" i="169"/>
  <c r="E33" i="169"/>
  <c r="E32" i="169"/>
  <c r="Q32" i="169"/>
  <c r="N33" i="169"/>
  <c r="N32" i="169"/>
  <c r="T32" i="169" s="1"/>
  <c r="H32" i="169"/>
  <c r="P32" i="169"/>
  <c r="P33" i="169"/>
  <c r="M32" i="169"/>
  <c r="I31" i="169"/>
  <c r="J31" i="169"/>
  <c r="I32" i="169"/>
  <c r="J32" i="169"/>
  <c r="J33" i="169"/>
  <c r="F32" i="169"/>
  <c r="G32" i="169"/>
  <c r="R32" i="169" s="1"/>
  <c r="G33" i="169"/>
  <c r="B32" i="169"/>
  <c r="C32" i="169"/>
  <c r="B33" i="169"/>
  <c r="C33" i="169"/>
  <c r="L32" i="169"/>
  <c r="N30" i="169" l="1"/>
  <c r="M30" i="169"/>
  <c r="O30" i="169"/>
  <c r="M28" i="169"/>
  <c r="E30" i="169"/>
  <c r="J29" i="169"/>
  <c r="L27" i="169"/>
  <c r="M27" i="169"/>
  <c r="N27" i="169"/>
  <c r="O27" i="169"/>
  <c r="P27" i="169"/>
  <c r="Q27" i="169"/>
  <c r="N28" i="169"/>
  <c r="O28" i="169"/>
  <c r="P28" i="169"/>
  <c r="Q28" i="169"/>
  <c r="P29" i="169"/>
  <c r="P30" i="169"/>
  <c r="Q30" i="169"/>
  <c r="P31" i="169"/>
  <c r="E27" i="169"/>
  <c r="F27" i="169"/>
  <c r="G27" i="169"/>
  <c r="H27" i="169"/>
  <c r="I27" i="169"/>
  <c r="J27" i="169"/>
  <c r="E28" i="169"/>
  <c r="F28" i="169"/>
  <c r="G28" i="169"/>
  <c r="H28" i="169"/>
  <c r="I28" i="169"/>
  <c r="J28" i="169"/>
  <c r="F29" i="169"/>
  <c r="G29" i="169"/>
  <c r="I29" i="169"/>
  <c r="F30" i="169"/>
  <c r="G30" i="169"/>
  <c r="H30" i="169"/>
  <c r="I30" i="169"/>
  <c r="J30" i="169"/>
  <c r="E31" i="169"/>
  <c r="F31" i="169"/>
  <c r="G31" i="169"/>
  <c r="B30" i="169"/>
  <c r="C30" i="169"/>
  <c r="B31" i="169"/>
  <c r="C31" i="169"/>
  <c r="B27" i="169"/>
  <c r="C27" i="169"/>
  <c r="B28" i="169"/>
  <c r="C28" i="169"/>
  <c r="B29" i="169"/>
  <c r="C29" i="169"/>
  <c r="R27" i="169" l="1"/>
  <c r="T27" i="169"/>
  <c r="J25" i="169"/>
  <c r="L24" i="169"/>
  <c r="M24" i="169"/>
  <c r="N24" i="169"/>
  <c r="O24" i="169"/>
  <c r="P24" i="169"/>
  <c r="Q24" i="169"/>
  <c r="M25" i="169"/>
  <c r="N25" i="169"/>
  <c r="O25" i="169"/>
  <c r="P25" i="169"/>
  <c r="Q25" i="169"/>
  <c r="M26" i="169"/>
  <c r="N26" i="169"/>
  <c r="O26" i="169"/>
  <c r="P26" i="169"/>
  <c r="Q26" i="169"/>
  <c r="E26" i="169"/>
  <c r="F26" i="169"/>
  <c r="G26" i="169"/>
  <c r="H26" i="169"/>
  <c r="I26" i="169"/>
  <c r="J26" i="169"/>
  <c r="E24" i="169"/>
  <c r="F24" i="169"/>
  <c r="G24" i="169"/>
  <c r="H24" i="169"/>
  <c r="I24" i="169"/>
  <c r="J24" i="169"/>
  <c r="E25" i="169"/>
  <c r="F25" i="169"/>
  <c r="G25" i="169"/>
  <c r="H25" i="169"/>
  <c r="I25" i="169"/>
  <c r="B24" i="169"/>
  <c r="C24" i="169"/>
  <c r="B25" i="169"/>
  <c r="C25" i="169"/>
  <c r="B26" i="169"/>
  <c r="C26" i="169"/>
  <c r="T24" i="169" l="1"/>
  <c r="R24" i="169"/>
  <c r="J23" i="169"/>
  <c r="M22" i="169"/>
  <c r="N22" i="169"/>
  <c r="O22" i="169"/>
  <c r="P22" i="169"/>
  <c r="M23" i="169"/>
  <c r="N23" i="169"/>
  <c r="O23" i="169"/>
  <c r="P23" i="169"/>
  <c r="Q23" i="169"/>
  <c r="L22" i="169"/>
  <c r="E23" i="169"/>
  <c r="F23" i="169"/>
  <c r="G23" i="169"/>
  <c r="H23" i="169"/>
  <c r="I23" i="169"/>
  <c r="E22" i="169"/>
  <c r="F22" i="169"/>
  <c r="G22" i="169"/>
  <c r="H22" i="169"/>
  <c r="I22" i="169"/>
  <c r="J22" i="169"/>
  <c r="B22" i="169"/>
  <c r="C22" i="169"/>
  <c r="B23" i="169"/>
  <c r="C23" i="169"/>
  <c r="R22" i="169" l="1"/>
  <c r="T22" i="169"/>
  <c r="L20" i="169"/>
  <c r="M20" i="169"/>
  <c r="N20" i="169"/>
  <c r="O20" i="169"/>
  <c r="P20" i="169"/>
  <c r="Q20" i="169"/>
  <c r="M21" i="169"/>
  <c r="N21" i="169"/>
  <c r="O21" i="169"/>
  <c r="P21" i="169"/>
  <c r="E20" i="169"/>
  <c r="F20" i="169"/>
  <c r="G20" i="169"/>
  <c r="H20" i="169"/>
  <c r="I20" i="169"/>
  <c r="J20" i="169"/>
  <c r="E21" i="169"/>
  <c r="F21" i="169"/>
  <c r="G21" i="169"/>
  <c r="H21" i="169"/>
  <c r="I21" i="169"/>
  <c r="J21" i="169"/>
  <c r="B20" i="169"/>
  <c r="C20" i="169"/>
  <c r="B21" i="169"/>
  <c r="C21" i="169"/>
  <c r="R20" i="169" l="1"/>
  <c r="T20" i="169"/>
  <c r="M18" i="169"/>
  <c r="N18" i="169"/>
  <c r="O18" i="169"/>
  <c r="P18" i="169"/>
  <c r="Q18" i="169"/>
  <c r="M19" i="169"/>
  <c r="N19" i="169"/>
  <c r="O19" i="169"/>
  <c r="P19" i="169"/>
  <c r="Q19" i="169"/>
  <c r="L18" i="169"/>
  <c r="E18" i="169"/>
  <c r="F18" i="169"/>
  <c r="G18" i="169"/>
  <c r="H18" i="169"/>
  <c r="I18" i="169"/>
  <c r="J18" i="169"/>
  <c r="E19" i="169"/>
  <c r="F19" i="169"/>
  <c r="G19" i="169"/>
  <c r="H19" i="169"/>
  <c r="I19" i="169"/>
  <c r="J19" i="169"/>
  <c r="B18" i="169"/>
  <c r="C18" i="169"/>
  <c r="B19" i="169"/>
  <c r="C19" i="169"/>
  <c r="T18" i="169" l="1"/>
  <c r="R18" i="169"/>
  <c r="M17" i="169"/>
  <c r="N17" i="169"/>
  <c r="O17" i="169"/>
  <c r="P17" i="169"/>
  <c r="Q17" i="169"/>
  <c r="L16" i="169" l="1"/>
  <c r="B17" i="169"/>
  <c r="C17" i="169"/>
  <c r="E17" i="169"/>
  <c r="F17" i="169"/>
  <c r="G17" i="169"/>
  <c r="H17" i="169"/>
  <c r="I17" i="169"/>
  <c r="J17" i="169"/>
  <c r="M16" i="169" l="1"/>
  <c r="N16" i="169"/>
  <c r="T16" i="169" s="1"/>
  <c r="O16" i="169"/>
  <c r="P16" i="169"/>
  <c r="Q16" i="169"/>
  <c r="E16" i="169"/>
  <c r="F16" i="169"/>
  <c r="G16" i="169"/>
  <c r="R16" i="169" s="1"/>
  <c r="H16" i="169"/>
  <c r="I16" i="169"/>
  <c r="J16" i="169"/>
  <c r="B16" i="169"/>
  <c r="C16" i="169"/>
  <c r="T15" i="169"/>
  <c r="B15" i="169"/>
  <c r="C15" i="169"/>
  <c r="E15" i="169"/>
  <c r="F15" i="169"/>
  <c r="G15" i="169"/>
  <c r="R15" i="169" s="1"/>
  <c r="H15" i="169"/>
  <c r="I15" i="169"/>
  <c r="J15" i="169"/>
  <c r="L15" i="169"/>
  <c r="M15" i="169"/>
  <c r="N15" i="169"/>
  <c r="O15" i="169"/>
  <c r="P15" i="169"/>
  <c r="Q15" i="169"/>
  <c r="M14" i="169" l="1"/>
  <c r="N14" i="169"/>
  <c r="T14" i="169" s="1"/>
  <c r="O14" i="169"/>
  <c r="P14" i="169"/>
  <c r="Q14" i="169"/>
  <c r="L14" i="169"/>
  <c r="E14" i="169"/>
  <c r="F14" i="169"/>
  <c r="G14" i="169"/>
  <c r="H14" i="169"/>
  <c r="I14" i="169"/>
  <c r="J14" i="169"/>
  <c r="B14" i="169"/>
  <c r="C14" i="169"/>
  <c r="R14" i="169" l="1"/>
  <c r="I13" i="169"/>
  <c r="E13" i="169"/>
  <c r="Q13" i="169"/>
  <c r="P13" i="169"/>
  <c r="O13" i="169"/>
  <c r="N13" i="169"/>
  <c r="T13" i="169" s="1"/>
  <c r="M13" i="169"/>
  <c r="L13" i="169"/>
  <c r="J13" i="169"/>
  <c r="H13" i="169"/>
  <c r="G13" i="169"/>
  <c r="F13" i="169"/>
  <c r="B13" i="169"/>
  <c r="C13" i="169"/>
  <c r="R13" i="169" l="1"/>
  <c r="M12" i="169"/>
  <c r="N12" i="169"/>
  <c r="T12" i="169" s="1"/>
  <c r="O12" i="169"/>
  <c r="P12" i="169"/>
  <c r="L12" i="169"/>
  <c r="F12" i="169"/>
  <c r="G12" i="169"/>
  <c r="R12" i="169" s="1"/>
  <c r="H12" i="169"/>
  <c r="I12" i="169"/>
  <c r="E12" i="169"/>
  <c r="B12" i="169"/>
  <c r="C12" i="169"/>
  <c r="J12" i="169"/>
  <c r="F11" i="169"/>
  <c r="F10" i="169"/>
  <c r="F9" i="169"/>
  <c r="Q10" i="169"/>
  <c r="Q9" i="169"/>
  <c r="M9" i="169"/>
  <c r="N9" i="169"/>
  <c r="O9" i="169"/>
  <c r="P9" i="169"/>
  <c r="M10" i="169"/>
  <c r="N10" i="169"/>
  <c r="O10" i="169"/>
  <c r="P10" i="169"/>
  <c r="M11" i="169"/>
  <c r="O11" i="169"/>
  <c r="P11" i="169"/>
  <c r="L9" i="169"/>
  <c r="H11" i="169"/>
  <c r="H10" i="169"/>
  <c r="H9" i="169"/>
  <c r="I9" i="169"/>
  <c r="J9" i="169"/>
  <c r="I10" i="169"/>
  <c r="J10" i="169"/>
  <c r="I11" i="169"/>
  <c r="J11" i="169"/>
  <c r="G9" i="169"/>
  <c r="G10" i="169"/>
  <c r="G11" i="169"/>
  <c r="E9" i="169"/>
  <c r="E10" i="169"/>
  <c r="E11" i="169"/>
  <c r="B9" i="169"/>
  <c r="C9" i="169"/>
  <c r="B10" i="169"/>
  <c r="C10" i="169"/>
  <c r="B11" i="169"/>
  <c r="C11" i="169"/>
  <c r="R9" i="169" l="1"/>
  <c r="L6" i="169"/>
  <c r="J8" i="169"/>
  <c r="J7" i="169"/>
  <c r="J6" i="169"/>
  <c r="B8" i="169"/>
  <c r="C8" i="169"/>
  <c r="M8" i="169"/>
  <c r="N8" i="169"/>
  <c r="O8" i="169"/>
  <c r="P8" i="169"/>
  <c r="E8" i="169"/>
  <c r="G8" i="169"/>
  <c r="I8" i="169"/>
  <c r="M6" i="169"/>
  <c r="N6" i="169"/>
  <c r="O6" i="169"/>
  <c r="P6" i="169"/>
  <c r="Q6" i="169"/>
  <c r="M7" i="169"/>
  <c r="N7" i="169"/>
  <c r="O7" i="169"/>
  <c r="P7" i="169"/>
  <c r="E6" i="169"/>
  <c r="F6" i="169"/>
  <c r="G6" i="169"/>
  <c r="H6" i="169"/>
  <c r="I6" i="169"/>
  <c r="E7" i="169"/>
  <c r="G7" i="169"/>
  <c r="I7" i="169"/>
  <c r="B6" i="169"/>
  <c r="C6" i="169"/>
  <c r="B7" i="169"/>
  <c r="C7" i="169"/>
  <c r="T6" i="169" l="1"/>
  <c r="R6" i="169"/>
  <c r="M5" i="169"/>
  <c r="N5" i="169"/>
  <c r="O5" i="169"/>
  <c r="P5" i="169"/>
  <c r="Q5" i="169"/>
  <c r="E5" i="169"/>
  <c r="F5" i="169"/>
  <c r="G5" i="169"/>
  <c r="H5" i="169"/>
  <c r="I5" i="169"/>
  <c r="J5" i="169"/>
  <c r="B5" i="169"/>
  <c r="C5" i="169"/>
  <c r="M40" i="168" l="1"/>
  <c r="N40" i="168"/>
  <c r="T40" i="168" s="1"/>
  <c r="O40" i="168"/>
  <c r="P40" i="168"/>
  <c r="Q40" i="168"/>
  <c r="L40" i="168"/>
  <c r="J40" i="168"/>
  <c r="B40" i="168"/>
  <c r="C40" i="168"/>
  <c r="Q36" i="168" l="1"/>
  <c r="Q37" i="168"/>
  <c r="Q38" i="168"/>
  <c r="Q39" i="168"/>
  <c r="M36" i="168"/>
  <c r="N36" i="168"/>
  <c r="O36" i="168"/>
  <c r="P36" i="168"/>
  <c r="M37" i="168"/>
  <c r="O37" i="168"/>
  <c r="P37" i="168"/>
  <c r="M38" i="168"/>
  <c r="N38" i="168"/>
  <c r="O38" i="168"/>
  <c r="P38" i="168"/>
  <c r="M39" i="168"/>
  <c r="N39" i="168"/>
  <c r="O39" i="168"/>
  <c r="P39" i="168"/>
  <c r="L36" i="168"/>
  <c r="B36" i="168"/>
  <c r="C36" i="168"/>
  <c r="B37" i="168"/>
  <c r="C37" i="168"/>
  <c r="B38" i="168"/>
  <c r="C38" i="168"/>
  <c r="B39" i="168"/>
  <c r="C39" i="168"/>
  <c r="Q34" i="168" l="1"/>
  <c r="L33" i="168"/>
  <c r="M33" i="168"/>
  <c r="N33" i="168"/>
  <c r="O33" i="168"/>
  <c r="P33" i="168"/>
  <c r="Q33" i="168"/>
  <c r="M34" i="168"/>
  <c r="N34" i="168"/>
  <c r="O34" i="168"/>
  <c r="P34" i="168"/>
  <c r="M35" i="168"/>
  <c r="N35" i="168"/>
  <c r="O35" i="168"/>
  <c r="P35" i="168"/>
  <c r="Q35" i="168"/>
  <c r="E33" i="168"/>
  <c r="F33" i="168"/>
  <c r="G33" i="168"/>
  <c r="R33" i="168" s="1"/>
  <c r="H33" i="168"/>
  <c r="I33" i="168"/>
  <c r="E34" i="168"/>
  <c r="F34" i="168"/>
  <c r="G34" i="168"/>
  <c r="H34" i="168"/>
  <c r="I34" i="168"/>
  <c r="J34" i="168"/>
  <c r="E35" i="168"/>
  <c r="F35" i="168"/>
  <c r="G35" i="168"/>
  <c r="H35" i="168"/>
  <c r="I35" i="168"/>
  <c r="J35" i="168"/>
  <c r="E36" i="168"/>
  <c r="F36" i="168"/>
  <c r="G36" i="168"/>
  <c r="H36" i="168"/>
  <c r="I36" i="168"/>
  <c r="J36" i="168"/>
  <c r="E37" i="168"/>
  <c r="F37" i="168"/>
  <c r="G37" i="168"/>
  <c r="H37" i="168"/>
  <c r="I37" i="168"/>
  <c r="J37" i="168"/>
  <c r="E38" i="168"/>
  <c r="F38" i="168"/>
  <c r="G38" i="168"/>
  <c r="H38" i="168"/>
  <c r="I38" i="168"/>
  <c r="J38" i="168"/>
  <c r="E39" i="168"/>
  <c r="F39" i="168"/>
  <c r="G39" i="168"/>
  <c r="H39" i="168"/>
  <c r="I39" i="168"/>
  <c r="J39" i="168"/>
  <c r="E40" i="168"/>
  <c r="F40" i="168"/>
  <c r="G40" i="168"/>
  <c r="H40" i="168"/>
  <c r="I40" i="168"/>
  <c r="E41" i="168"/>
  <c r="F41" i="168"/>
  <c r="G41" i="168"/>
  <c r="H41" i="168"/>
  <c r="I41" i="168"/>
  <c r="E42" i="168"/>
  <c r="F42" i="168"/>
  <c r="G42" i="168"/>
  <c r="H42" i="168"/>
  <c r="I42" i="168"/>
  <c r="E43" i="168"/>
  <c r="F43" i="168"/>
  <c r="G43" i="168"/>
  <c r="H43" i="168"/>
  <c r="I43" i="168"/>
  <c r="E44" i="168"/>
  <c r="F44" i="168"/>
  <c r="G44" i="168"/>
  <c r="H44" i="168"/>
  <c r="I44" i="168"/>
  <c r="E45" i="168"/>
  <c r="F45" i="168"/>
  <c r="G45" i="168"/>
  <c r="H45" i="168"/>
  <c r="I45" i="168"/>
  <c r="E46" i="168"/>
  <c r="F46" i="168"/>
  <c r="G46" i="168"/>
  <c r="H46" i="168"/>
  <c r="I46" i="168"/>
  <c r="E47" i="168"/>
  <c r="F47" i="168"/>
  <c r="G47" i="168"/>
  <c r="H47" i="168"/>
  <c r="I47" i="168"/>
  <c r="E48" i="168"/>
  <c r="F48" i="168"/>
  <c r="G48" i="168"/>
  <c r="H48" i="168"/>
  <c r="I48" i="168"/>
  <c r="E49" i="168"/>
  <c r="F49" i="168"/>
  <c r="G49" i="168"/>
  <c r="H49" i="168"/>
  <c r="I49" i="168"/>
  <c r="E55" i="168"/>
  <c r="F55" i="168"/>
  <c r="G55" i="168"/>
  <c r="B33" i="168"/>
  <c r="C33" i="168"/>
  <c r="B34" i="168"/>
  <c r="C34" i="168"/>
  <c r="B35" i="168"/>
  <c r="C35" i="168"/>
  <c r="R40" i="168" l="1"/>
  <c r="T33" i="168"/>
  <c r="R36" i="168"/>
  <c r="M32" i="168"/>
  <c r="O32" i="168"/>
  <c r="P32" i="168"/>
  <c r="Q32" i="168"/>
  <c r="Q31" i="168"/>
  <c r="P31" i="168"/>
  <c r="O31" i="168"/>
  <c r="M31" i="168"/>
  <c r="L31" i="168"/>
  <c r="J32" i="168"/>
  <c r="I32" i="168"/>
  <c r="H32" i="168"/>
  <c r="G32" i="168"/>
  <c r="F32" i="168"/>
  <c r="E32" i="168"/>
  <c r="J31" i="168"/>
  <c r="I31" i="168"/>
  <c r="H31" i="168"/>
  <c r="G31" i="168"/>
  <c r="F31" i="168"/>
  <c r="E31" i="168"/>
  <c r="C32" i="168"/>
  <c r="B32" i="168"/>
  <c r="C31" i="168"/>
  <c r="B31" i="168"/>
  <c r="R31" i="168" l="1"/>
  <c r="M30" i="168"/>
  <c r="O30" i="168"/>
  <c r="P30" i="168"/>
  <c r="Q30" i="168"/>
  <c r="M29" i="168"/>
  <c r="O29" i="168"/>
  <c r="P29" i="168"/>
  <c r="Q29" i="168"/>
  <c r="L29" i="168"/>
  <c r="E29" i="168"/>
  <c r="F29" i="168"/>
  <c r="G29" i="168"/>
  <c r="H29" i="168"/>
  <c r="I29" i="168"/>
  <c r="J29" i="168"/>
  <c r="E30" i="168"/>
  <c r="F30" i="168"/>
  <c r="G30" i="168"/>
  <c r="H30" i="168"/>
  <c r="I30" i="168"/>
  <c r="J30" i="168"/>
  <c r="B29" i="168"/>
  <c r="C29" i="168"/>
  <c r="B30" i="168"/>
  <c r="C30" i="168"/>
  <c r="R29" i="168" l="1"/>
  <c r="F26" i="168"/>
  <c r="F27" i="168"/>
  <c r="F28" i="168"/>
  <c r="I28" i="168"/>
  <c r="L27" i="168"/>
  <c r="L26" i="168"/>
  <c r="E26" i="168"/>
  <c r="E27" i="168"/>
  <c r="E28" i="168"/>
  <c r="G26" i="168"/>
  <c r="H26" i="168"/>
  <c r="G27" i="168"/>
  <c r="H27" i="168"/>
  <c r="G28" i="168"/>
  <c r="H28" i="168"/>
  <c r="I26" i="168"/>
  <c r="I27" i="168"/>
  <c r="J27" i="168"/>
  <c r="J28" i="168"/>
  <c r="M26" i="168"/>
  <c r="N26" i="168"/>
  <c r="O26" i="168"/>
  <c r="P26" i="168"/>
  <c r="M27" i="168"/>
  <c r="O27" i="168"/>
  <c r="P27" i="168"/>
  <c r="Q27" i="168"/>
  <c r="M28" i="168"/>
  <c r="O28" i="168"/>
  <c r="P28" i="168"/>
  <c r="B28" i="168"/>
  <c r="C28" i="168"/>
  <c r="B26" i="168"/>
  <c r="C26" i="168"/>
  <c r="B27" i="168"/>
  <c r="C27" i="168"/>
  <c r="R27" i="168" l="1"/>
  <c r="Q28" i="168"/>
  <c r="Q23" i="168" l="1"/>
  <c r="Q25" i="168"/>
  <c r="F25" i="168"/>
  <c r="H25" i="168"/>
  <c r="F23" i="168"/>
  <c r="H23" i="168"/>
  <c r="O25" i="168"/>
  <c r="M24" i="168"/>
  <c r="O24" i="168"/>
  <c r="P24" i="168"/>
  <c r="M25" i="168"/>
  <c r="P25" i="168"/>
  <c r="L24" i="168"/>
  <c r="B24" i="168"/>
  <c r="C24" i="168"/>
  <c r="E24" i="168"/>
  <c r="G24" i="168"/>
  <c r="I24" i="168"/>
  <c r="B25" i="168"/>
  <c r="C25" i="168"/>
  <c r="E25" i="168"/>
  <c r="G25" i="168"/>
  <c r="I25" i="168"/>
  <c r="R24" i="168" l="1"/>
  <c r="B22" i="168"/>
  <c r="C22" i="168"/>
  <c r="E22" i="168"/>
  <c r="F22" i="168"/>
  <c r="G22" i="168"/>
  <c r="H22" i="168"/>
  <c r="I22" i="168"/>
  <c r="L22" i="168"/>
  <c r="M22" i="168"/>
  <c r="O22" i="168"/>
  <c r="P22" i="168"/>
  <c r="Q22" i="168"/>
  <c r="B23" i="168"/>
  <c r="C23" i="168"/>
  <c r="E23" i="168"/>
  <c r="G23" i="168"/>
  <c r="R22" i="168" s="1"/>
  <c r="I23" i="168"/>
  <c r="M23" i="168"/>
  <c r="O23" i="168"/>
  <c r="P23" i="168"/>
  <c r="J22" i="168"/>
  <c r="Q20" i="168" l="1"/>
  <c r="J20" i="168"/>
  <c r="H20" i="168"/>
  <c r="F20" i="168"/>
  <c r="L20" i="168"/>
  <c r="M20" i="168" l="1"/>
  <c r="O20" i="168"/>
  <c r="P20" i="168"/>
  <c r="M21" i="168"/>
  <c r="O21" i="168"/>
  <c r="P21" i="168"/>
  <c r="I20" i="168"/>
  <c r="I21" i="168"/>
  <c r="G20" i="168"/>
  <c r="G21" i="168"/>
  <c r="E20" i="168"/>
  <c r="E21" i="168"/>
  <c r="B20" i="168"/>
  <c r="C20" i="168"/>
  <c r="B21" i="168"/>
  <c r="C21" i="168"/>
  <c r="O18" i="168"/>
  <c r="B18" i="168"/>
  <c r="C18" i="168"/>
  <c r="E18" i="168"/>
  <c r="F18" i="168"/>
  <c r="G18" i="168"/>
  <c r="H18" i="168"/>
  <c r="I18" i="168"/>
  <c r="L18" i="168"/>
  <c r="M18" i="168"/>
  <c r="P18" i="168"/>
  <c r="Q18" i="168"/>
  <c r="B19" i="168"/>
  <c r="C19" i="168"/>
  <c r="E19" i="168"/>
  <c r="G19" i="168"/>
  <c r="I19" i="168"/>
  <c r="M19" i="168"/>
  <c r="O19" i="168"/>
  <c r="P19" i="168"/>
  <c r="R20" i="168" l="1"/>
  <c r="R18" i="168"/>
  <c r="P17" i="168"/>
  <c r="O17" i="168"/>
  <c r="M17" i="168"/>
  <c r="Q16" i="168"/>
  <c r="P16" i="168"/>
  <c r="O16" i="168"/>
  <c r="M16" i="168"/>
  <c r="L16" i="168"/>
  <c r="F16" i="168" l="1"/>
  <c r="B16" i="168"/>
  <c r="C16" i="168"/>
  <c r="E16" i="168"/>
  <c r="G16" i="168"/>
  <c r="I16" i="168"/>
  <c r="B17" i="168"/>
  <c r="C17" i="168"/>
  <c r="E17" i="168"/>
  <c r="F17" i="168"/>
  <c r="G17" i="168"/>
  <c r="I17" i="168"/>
  <c r="L13" i="168"/>
  <c r="R16" i="168" l="1"/>
  <c r="O13" i="168"/>
  <c r="M13" i="168"/>
  <c r="P13" i="168"/>
  <c r="M14" i="168"/>
  <c r="O14" i="168"/>
  <c r="P14" i="168"/>
  <c r="M15" i="168"/>
  <c r="O15" i="168"/>
  <c r="P15" i="168"/>
  <c r="E13" i="168"/>
  <c r="F13" i="168"/>
  <c r="G13" i="168"/>
  <c r="I13" i="168"/>
  <c r="E14" i="168"/>
  <c r="F14" i="168"/>
  <c r="G14" i="168"/>
  <c r="I14" i="168"/>
  <c r="E15" i="168"/>
  <c r="F15" i="168"/>
  <c r="G15" i="168"/>
  <c r="I15" i="168"/>
  <c r="D14" i="168"/>
  <c r="B13" i="168"/>
  <c r="C13" i="168"/>
  <c r="B14" i="168"/>
  <c r="C14" i="168"/>
  <c r="B15" i="168"/>
  <c r="C15" i="168"/>
  <c r="R13" i="168" l="1"/>
  <c r="F12" i="168"/>
  <c r="F11" i="168"/>
  <c r="L12" i="168"/>
  <c r="M12" i="168"/>
  <c r="O12" i="168"/>
  <c r="P12" i="168"/>
  <c r="B12" i="168"/>
  <c r="C12" i="168"/>
  <c r="E12" i="168"/>
  <c r="G12" i="168"/>
  <c r="I12" i="168"/>
  <c r="L10" i="168"/>
  <c r="M10" i="168"/>
  <c r="O10" i="168"/>
  <c r="P10" i="168"/>
  <c r="Q10" i="168"/>
  <c r="M11" i="168"/>
  <c r="O11" i="168"/>
  <c r="P11" i="168"/>
  <c r="E10" i="168"/>
  <c r="F10" i="168"/>
  <c r="G10" i="168"/>
  <c r="H10" i="168"/>
  <c r="I10" i="168"/>
  <c r="E11" i="168"/>
  <c r="G11" i="168"/>
  <c r="H11" i="168"/>
  <c r="I11" i="168"/>
  <c r="B10" i="168"/>
  <c r="C10" i="168"/>
  <c r="B11" i="168"/>
  <c r="C11" i="168"/>
  <c r="R10" i="168" l="1"/>
  <c r="R12" i="168"/>
  <c r="P9" i="168"/>
  <c r="O9" i="168"/>
  <c r="M9" i="168"/>
  <c r="L9" i="168"/>
  <c r="I9" i="168"/>
  <c r="B9" i="168"/>
  <c r="C9" i="168"/>
  <c r="E9" i="168"/>
  <c r="F9" i="168"/>
  <c r="G9" i="168"/>
  <c r="H9" i="168"/>
  <c r="R9" i="168" l="1"/>
  <c r="J9" i="168" l="1"/>
  <c r="Q9" i="168" l="1"/>
  <c r="B6" i="168" l="1"/>
  <c r="C6" i="168"/>
  <c r="E6" i="168"/>
  <c r="F6" i="168"/>
  <c r="G6" i="168"/>
  <c r="H6" i="168"/>
  <c r="I6" i="168"/>
  <c r="L6" i="168"/>
  <c r="M6" i="168"/>
  <c r="O6" i="168"/>
  <c r="P6" i="168"/>
  <c r="B7" i="168"/>
  <c r="C7" i="168"/>
  <c r="E7" i="168"/>
  <c r="F7" i="168"/>
  <c r="G7" i="168"/>
  <c r="H7" i="168"/>
  <c r="I7" i="168"/>
  <c r="M7" i="168"/>
  <c r="O7" i="168"/>
  <c r="P7" i="168"/>
  <c r="B8" i="168"/>
  <c r="C8" i="168"/>
  <c r="E8" i="168"/>
  <c r="F8" i="168"/>
  <c r="G8" i="168"/>
  <c r="H8" i="168"/>
  <c r="I8" i="168"/>
  <c r="M8" i="168"/>
  <c r="O8" i="168"/>
  <c r="P8" i="168"/>
  <c r="R6" i="168" l="1"/>
  <c r="J6" i="168"/>
  <c r="Q8" i="168" l="1"/>
  <c r="Q6" i="168"/>
  <c r="E5" i="168" l="1"/>
  <c r="F5" i="168"/>
  <c r="G5" i="168"/>
  <c r="L5" i="168"/>
  <c r="M5" i="168"/>
  <c r="O5" i="168"/>
  <c r="P5" i="168"/>
  <c r="Q5" i="168"/>
  <c r="H5" i="168"/>
  <c r="I5" i="168"/>
  <c r="B5" i="168"/>
  <c r="C5" i="168"/>
  <c r="R5" i="168" l="1"/>
  <c r="J5" i="168"/>
  <c r="O55" i="167" l="1"/>
  <c r="L55" i="167"/>
  <c r="M55" i="167"/>
  <c r="B55" i="167"/>
  <c r="C55" i="167"/>
  <c r="E55" i="167"/>
  <c r="G55" i="167"/>
  <c r="R55" i="167" s="1"/>
  <c r="U54" i="167" l="1"/>
  <c r="M52" i="167"/>
  <c r="O52" i="167"/>
  <c r="M53" i="167"/>
  <c r="M54" i="167"/>
  <c r="L52" i="167"/>
  <c r="E52" i="167"/>
  <c r="G52" i="167"/>
  <c r="I52" i="167"/>
  <c r="E53" i="167"/>
  <c r="G53" i="167"/>
  <c r="E54" i="167"/>
  <c r="G54" i="167"/>
  <c r="I54" i="167"/>
  <c r="B52" i="167"/>
  <c r="C52" i="167"/>
  <c r="B53" i="167"/>
  <c r="C53" i="167"/>
  <c r="B54" i="167"/>
  <c r="C54" i="167"/>
  <c r="R52" i="167" l="1"/>
  <c r="I51" i="167"/>
  <c r="I49" i="167"/>
  <c r="M49" i="167"/>
  <c r="O49" i="167"/>
  <c r="M50" i="167"/>
  <c r="M51" i="167"/>
  <c r="L49" i="167"/>
  <c r="G49" i="167"/>
  <c r="G50" i="167"/>
  <c r="G51" i="167"/>
  <c r="E51" i="167"/>
  <c r="E49" i="167"/>
  <c r="E50" i="167"/>
  <c r="B49" i="167"/>
  <c r="C49" i="167"/>
  <c r="B50" i="167"/>
  <c r="C50" i="167"/>
  <c r="B51" i="167"/>
  <c r="C51" i="167"/>
  <c r="R49" i="167" l="1"/>
  <c r="L47" i="167"/>
  <c r="M47" i="167"/>
  <c r="O47" i="167"/>
  <c r="M48" i="167"/>
  <c r="E47" i="167"/>
  <c r="G47" i="167"/>
  <c r="E48" i="167"/>
  <c r="G48" i="167"/>
  <c r="B47" i="167"/>
  <c r="C47" i="167"/>
  <c r="B48" i="167"/>
  <c r="C48" i="167"/>
  <c r="R47" i="167" l="1"/>
  <c r="U45" i="167" l="1"/>
  <c r="M46" i="167"/>
  <c r="O46" i="167"/>
  <c r="L46" i="167"/>
  <c r="F45" i="167"/>
  <c r="G45" i="167"/>
  <c r="I45" i="167"/>
  <c r="G46" i="167"/>
  <c r="E45" i="167"/>
  <c r="E46" i="167"/>
  <c r="B46" i="167"/>
  <c r="C46" i="167"/>
  <c r="R46" i="167" l="1"/>
  <c r="L44" i="167"/>
  <c r="U43" i="167"/>
  <c r="M44" i="167"/>
  <c r="O44" i="167"/>
  <c r="M45" i="167"/>
  <c r="E44" i="167"/>
  <c r="G44" i="167"/>
  <c r="B44" i="167"/>
  <c r="C44" i="167"/>
  <c r="B45" i="167"/>
  <c r="C45" i="167"/>
  <c r="R44" i="167" l="1"/>
  <c r="E41" i="167"/>
  <c r="E42" i="167"/>
  <c r="E43" i="167"/>
  <c r="U41" i="167"/>
  <c r="O40" i="167"/>
  <c r="O41" i="167"/>
  <c r="O42" i="167"/>
  <c r="M42" i="167"/>
  <c r="M43" i="167"/>
  <c r="L42" i="167"/>
  <c r="I42" i="167"/>
  <c r="I43" i="167"/>
  <c r="F41" i="167"/>
  <c r="G41" i="167"/>
  <c r="G42" i="167"/>
  <c r="F43" i="167"/>
  <c r="G43" i="167"/>
  <c r="B42" i="167"/>
  <c r="C42" i="167"/>
  <c r="B43" i="167"/>
  <c r="C43" i="167"/>
  <c r="R42" i="167" l="1"/>
  <c r="E5" i="167"/>
  <c r="E6" i="167"/>
  <c r="E7" i="167"/>
  <c r="E8" i="167"/>
  <c r="E9" i="167"/>
  <c r="E10" i="167"/>
  <c r="E11" i="167"/>
  <c r="E12" i="167"/>
  <c r="E13" i="167"/>
  <c r="E14" i="167"/>
  <c r="E15" i="167"/>
  <c r="E16" i="167"/>
  <c r="E17" i="167"/>
  <c r="E18" i="167"/>
  <c r="E19" i="167"/>
  <c r="E20" i="167"/>
  <c r="E21" i="167"/>
  <c r="E22" i="167"/>
  <c r="E23" i="167"/>
  <c r="E24" i="167"/>
  <c r="E25" i="167"/>
  <c r="E26" i="167"/>
  <c r="E27" i="167"/>
  <c r="E28" i="167"/>
  <c r="E29" i="167"/>
  <c r="E30" i="167"/>
  <c r="E31" i="167"/>
  <c r="E32" i="167"/>
  <c r="E33" i="167"/>
  <c r="E34" i="167"/>
  <c r="E35" i="167"/>
  <c r="E36" i="167"/>
  <c r="E37" i="167"/>
  <c r="E38" i="167"/>
  <c r="E39" i="167"/>
  <c r="E40" i="167"/>
  <c r="M40" i="167" l="1"/>
  <c r="M41" i="167"/>
  <c r="L40" i="167"/>
  <c r="G40" i="167"/>
  <c r="I40" i="167"/>
  <c r="B40" i="167"/>
  <c r="C40" i="167"/>
  <c r="B41" i="167"/>
  <c r="C41" i="167"/>
  <c r="U36" i="167"/>
  <c r="U37" i="167"/>
  <c r="M39" i="167"/>
  <c r="M38" i="167"/>
  <c r="O37" i="167"/>
  <c r="M37" i="167"/>
  <c r="L37" i="167"/>
  <c r="I39" i="167"/>
  <c r="G39" i="167"/>
  <c r="G38" i="167"/>
  <c r="I37" i="167"/>
  <c r="G37" i="167"/>
  <c r="F37" i="167"/>
  <c r="B39" i="167"/>
  <c r="C39" i="167"/>
  <c r="C38" i="167"/>
  <c r="B38" i="167"/>
  <c r="C37" i="167"/>
  <c r="B37" i="167"/>
  <c r="R40" i="167" l="1"/>
  <c r="R37" i="167"/>
  <c r="U34" i="167" l="1"/>
  <c r="M35" i="167"/>
  <c r="O35" i="167"/>
  <c r="M36" i="167"/>
  <c r="L35" i="167"/>
  <c r="F34" i="167"/>
  <c r="G34" i="167"/>
  <c r="I34" i="167"/>
  <c r="G35" i="167"/>
  <c r="G36" i="167"/>
  <c r="I36" i="167"/>
  <c r="B35" i="167"/>
  <c r="C35" i="167"/>
  <c r="B36" i="167"/>
  <c r="C36" i="167"/>
  <c r="R35" i="167" l="1"/>
  <c r="M33" i="167"/>
  <c r="M34" i="167"/>
  <c r="O33" i="167"/>
  <c r="B34" i="167"/>
  <c r="C34" i="167"/>
  <c r="L33" i="167"/>
  <c r="G33" i="167"/>
  <c r="I33" i="167"/>
  <c r="B33" i="167"/>
  <c r="C33" i="167"/>
  <c r="R33" i="167" l="1"/>
  <c r="U31" i="167"/>
  <c r="U32" i="167"/>
  <c r="L29" i="167"/>
  <c r="G29" i="167"/>
  <c r="I29" i="167"/>
  <c r="G30" i="167"/>
  <c r="I30" i="167"/>
  <c r="F31" i="167"/>
  <c r="G31" i="167"/>
  <c r="H31" i="167"/>
  <c r="I31" i="167"/>
  <c r="F32" i="167"/>
  <c r="G32" i="167"/>
  <c r="H32" i="167"/>
  <c r="I32" i="167"/>
  <c r="M29" i="167"/>
  <c r="O29" i="167"/>
  <c r="M30" i="167"/>
  <c r="M31" i="167"/>
  <c r="M32" i="167"/>
  <c r="O32" i="167"/>
  <c r="B29" i="167"/>
  <c r="C29" i="167"/>
  <c r="B30" i="167"/>
  <c r="C30" i="167"/>
  <c r="B31" i="167"/>
  <c r="C31" i="167"/>
  <c r="B32" i="167"/>
  <c r="C32" i="167"/>
  <c r="R29" i="167" l="1"/>
  <c r="M27" i="167" l="1"/>
  <c r="M28" i="167"/>
  <c r="L27" i="167"/>
  <c r="G27" i="167"/>
  <c r="G28" i="167"/>
  <c r="I28" i="167"/>
  <c r="B27" i="167"/>
  <c r="C27" i="167"/>
  <c r="B28" i="167"/>
  <c r="C28" i="167"/>
  <c r="R27" i="167" l="1"/>
  <c r="L26" i="167" l="1"/>
  <c r="M26" i="167"/>
  <c r="O26" i="167"/>
  <c r="G26" i="167"/>
  <c r="B26" i="167"/>
  <c r="C26" i="167"/>
  <c r="R26" i="167" l="1"/>
  <c r="U25" i="167"/>
  <c r="U7" i="167"/>
  <c r="U16" i="167"/>
  <c r="U18" i="167"/>
  <c r="U21" i="167"/>
  <c r="G24" i="167"/>
  <c r="G25" i="167"/>
  <c r="I25" i="167"/>
  <c r="L24" i="167"/>
  <c r="M24" i="167"/>
  <c r="M25" i="167"/>
  <c r="O24" i="167"/>
  <c r="R24" i="167" l="1"/>
  <c r="B24" i="167"/>
  <c r="C24" i="167"/>
  <c r="B25" i="167"/>
  <c r="C25" i="167"/>
  <c r="L22" i="167"/>
  <c r="I23" i="167"/>
  <c r="M22" i="167"/>
  <c r="M23" i="167"/>
  <c r="G22" i="167"/>
  <c r="G23" i="167"/>
  <c r="B22" i="167"/>
  <c r="C22" i="167"/>
  <c r="B23" i="167"/>
  <c r="C23" i="167"/>
  <c r="R22" i="167" l="1"/>
  <c r="I15" i="167"/>
  <c r="I16" i="167"/>
  <c r="I17" i="167"/>
  <c r="I18" i="167"/>
  <c r="M19" i="167" l="1"/>
  <c r="M20" i="167"/>
  <c r="M21" i="167"/>
  <c r="L19" i="167"/>
  <c r="G19" i="167"/>
  <c r="G20" i="167"/>
  <c r="G21" i="167"/>
  <c r="R19" i="167" l="1"/>
  <c r="B21" i="167"/>
  <c r="C21" i="167"/>
  <c r="B19" i="167"/>
  <c r="C19" i="167"/>
  <c r="B20" i="167"/>
  <c r="C20" i="167"/>
  <c r="L14" i="167" l="1"/>
  <c r="M12" i="167"/>
  <c r="O12" i="167"/>
  <c r="P12" i="167"/>
  <c r="M13" i="167"/>
  <c r="O13" i="167"/>
  <c r="P13" i="167"/>
  <c r="M14" i="167"/>
  <c r="O14" i="167"/>
  <c r="P14" i="167"/>
  <c r="M15" i="167"/>
  <c r="P15" i="167"/>
  <c r="M16" i="167"/>
  <c r="P16" i="167"/>
  <c r="M17" i="167"/>
  <c r="P17" i="167"/>
  <c r="M18" i="167"/>
  <c r="O18" i="167"/>
  <c r="P18" i="167"/>
  <c r="G18" i="167"/>
  <c r="G14" i="167"/>
  <c r="F15" i="167"/>
  <c r="G15" i="167"/>
  <c r="G16" i="167"/>
  <c r="G17" i="167"/>
  <c r="B18" i="167"/>
  <c r="C18" i="167"/>
  <c r="B14" i="167"/>
  <c r="C14" i="167"/>
  <c r="B15" i="167"/>
  <c r="C15" i="167"/>
  <c r="B16" i="167"/>
  <c r="C16" i="167"/>
  <c r="B17" i="167"/>
  <c r="C17" i="167"/>
  <c r="R14" i="167" l="1"/>
  <c r="N56" i="167" l="1"/>
  <c r="N57" i="167"/>
  <c r="N58" i="167"/>
  <c r="N59" i="167"/>
  <c r="L12" i="167"/>
  <c r="G12" i="167"/>
  <c r="G13" i="167"/>
  <c r="I13" i="167"/>
  <c r="B12" i="167"/>
  <c r="C12" i="167"/>
  <c r="B13" i="167"/>
  <c r="C13" i="167"/>
  <c r="R12" i="167" l="1"/>
  <c r="L11" i="167"/>
  <c r="M11" i="167"/>
  <c r="O11" i="167"/>
  <c r="P11" i="167"/>
  <c r="G11" i="167"/>
  <c r="B11" i="167"/>
  <c r="C11" i="167"/>
  <c r="L9" i="167"/>
  <c r="M9" i="167"/>
  <c r="O9" i="167"/>
  <c r="P9" i="167"/>
  <c r="M10" i="167"/>
  <c r="P10" i="167"/>
  <c r="B9" i="167"/>
  <c r="C9" i="167"/>
  <c r="B10" i="167"/>
  <c r="C10" i="167"/>
  <c r="G9" i="167"/>
  <c r="G10" i="167"/>
  <c r="I10" i="167"/>
  <c r="R11" i="167" l="1"/>
  <c r="R9" i="167"/>
  <c r="G6" i="167" l="1"/>
  <c r="F7" i="167"/>
  <c r="G7" i="167"/>
  <c r="I7" i="167"/>
  <c r="G8" i="167"/>
  <c r="I8" i="167"/>
  <c r="M6" i="167"/>
  <c r="O6" i="167"/>
  <c r="P6" i="167"/>
  <c r="M7" i="167"/>
  <c r="P7" i="167"/>
  <c r="M8" i="167"/>
  <c r="P8" i="167"/>
  <c r="L6" i="167"/>
  <c r="B6" i="167"/>
  <c r="C6" i="167"/>
  <c r="B7" i="167"/>
  <c r="C7" i="167"/>
  <c r="B8" i="167"/>
  <c r="C8" i="167"/>
  <c r="R6" i="167" l="1"/>
  <c r="M5" i="167" l="1"/>
  <c r="P5" i="167"/>
  <c r="G5" i="167"/>
  <c r="I5" i="167"/>
  <c r="B5" i="167"/>
  <c r="C5" i="167"/>
  <c r="L25" i="166"/>
  <c r="M25" i="166"/>
  <c r="P25" i="166"/>
  <c r="M26" i="166"/>
  <c r="P26" i="166"/>
  <c r="E25" i="166"/>
  <c r="F25" i="166"/>
  <c r="G25" i="166"/>
  <c r="I25" i="166"/>
  <c r="E26" i="166"/>
  <c r="F26" i="166"/>
  <c r="G26" i="166"/>
  <c r="I26" i="166"/>
  <c r="B25" i="166"/>
  <c r="C25" i="166"/>
  <c r="B26" i="166"/>
  <c r="C26" i="166"/>
  <c r="M22" i="166"/>
  <c r="O22" i="166"/>
  <c r="P22" i="166"/>
  <c r="M23" i="166"/>
  <c r="P23" i="166"/>
  <c r="M24" i="166"/>
  <c r="P24" i="166"/>
  <c r="L22" i="166"/>
  <c r="E22" i="166"/>
  <c r="F22" i="166"/>
  <c r="G22" i="166"/>
  <c r="I22" i="166"/>
  <c r="E23" i="166"/>
  <c r="F23" i="166"/>
  <c r="G23" i="166"/>
  <c r="I23" i="166"/>
  <c r="E24" i="166"/>
  <c r="F24" i="166"/>
  <c r="G24" i="166"/>
  <c r="I24" i="166"/>
  <c r="B22" i="166"/>
  <c r="C22" i="166"/>
  <c r="B23" i="166"/>
  <c r="C23" i="166"/>
  <c r="B24" i="166"/>
  <c r="C24" i="166"/>
  <c r="R25" i="166" l="1"/>
  <c r="R22" i="166"/>
  <c r="F20" i="166"/>
  <c r="L20" i="166"/>
  <c r="L18" i="166"/>
  <c r="I19" i="166"/>
  <c r="I20" i="166"/>
  <c r="I21" i="166"/>
  <c r="F21" i="166"/>
  <c r="F19" i="166"/>
  <c r="F18" i="166"/>
  <c r="M18" i="166"/>
  <c r="O18" i="166"/>
  <c r="P18" i="166"/>
  <c r="M19" i="166"/>
  <c r="P19" i="166"/>
  <c r="M20" i="166"/>
  <c r="O20" i="166"/>
  <c r="P20" i="166"/>
  <c r="M21" i="166"/>
  <c r="P21" i="166"/>
  <c r="E18" i="166"/>
  <c r="G18" i="166"/>
  <c r="I18" i="166"/>
  <c r="E19" i="166"/>
  <c r="E20" i="166"/>
  <c r="G20" i="166"/>
  <c r="E21" i="166"/>
  <c r="G21" i="166"/>
  <c r="B18" i="166"/>
  <c r="C18" i="166"/>
  <c r="B19" i="166"/>
  <c r="C19" i="166"/>
  <c r="B20" i="166"/>
  <c r="C20" i="166"/>
  <c r="B21" i="166"/>
  <c r="C21" i="166"/>
  <c r="R18" i="166" l="1"/>
  <c r="R20" i="166"/>
  <c r="K19" i="166" l="1"/>
  <c r="L14" i="166" l="1"/>
  <c r="M14" i="166"/>
  <c r="O14" i="166"/>
  <c r="P14" i="166"/>
  <c r="M15" i="166"/>
  <c r="P15" i="166"/>
  <c r="M16" i="166"/>
  <c r="P16" i="166"/>
  <c r="M17" i="166"/>
  <c r="P17" i="166"/>
  <c r="Q17" i="166"/>
  <c r="E14" i="166"/>
  <c r="F14" i="166"/>
  <c r="G14" i="166"/>
  <c r="I14" i="166"/>
  <c r="E15" i="166"/>
  <c r="F15" i="166"/>
  <c r="G15" i="166"/>
  <c r="I15" i="166"/>
  <c r="E16" i="166"/>
  <c r="F16" i="166"/>
  <c r="G16" i="166"/>
  <c r="I16" i="166"/>
  <c r="E17" i="166"/>
  <c r="G17" i="166"/>
  <c r="I17" i="166"/>
  <c r="B17" i="166"/>
  <c r="C17" i="166"/>
  <c r="B14" i="166"/>
  <c r="C14" i="166"/>
  <c r="B15" i="166"/>
  <c r="C15" i="166"/>
  <c r="B16" i="166"/>
  <c r="C16" i="166"/>
  <c r="R14" i="166" l="1"/>
  <c r="M12" i="166"/>
  <c r="O12" i="166"/>
  <c r="P12" i="166"/>
  <c r="M13" i="166"/>
  <c r="P13" i="166"/>
  <c r="L12" i="166"/>
  <c r="E12" i="166"/>
  <c r="F12" i="166"/>
  <c r="G12" i="166"/>
  <c r="I12" i="166"/>
  <c r="E13" i="166"/>
  <c r="F13" i="166"/>
  <c r="G13" i="166"/>
  <c r="I13" i="166"/>
  <c r="B12" i="166"/>
  <c r="C12" i="166"/>
  <c r="B13" i="166"/>
  <c r="C13" i="166"/>
  <c r="R12" i="166" l="1"/>
  <c r="L9" i="166"/>
  <c r="M11" i="166"/>
  <c r="P11" i="166"/>
  <c r="B11" i="166"/>
  <c r="C11" i="166"/>
  <c r="E11" i="166"/>
  <c r="F11" i="166"/>
  <c r="G11" i="166"/>
  <c r="I11" i="166"/>
  <c r="M9" i="166"/>
  <c r="O9" i="166"/>
  <c r="P9" i="166"/>
  <c r="M10" i="166"/>
  <c r="P10" i="166"/>
  <c r="B9" i="166"/>
  <c r="C9" i="166"/>
  <c r="E9" i="166"/>
  <c r="F9" i="166"/>
  <c r="G9" i="166"/>
  <c r="I9" i="166"/>
  <c r="B10" i="166"/>
  <c r="C10" i="166"/>
  <c r="E10" i="166"/>
  <c r="F10" i="166"/>
  <c r="G10" i="166"/>
  <c r="I10" i="166"/>
  <c r="R9" i="166" l="1"/>
  <c r="F7" i="166"/>
  <c r="G7" i="166"/>
  <c r="I7" i="166"/>
  <c r="F8" i="166"/>
  <c r="G8" i="166"/>
  <c r="I8" i="166"/>
  <c r="M7" i="166"/>
  <c r="O7" i="166"/>
  <c r="P7" i="166"/>
  <c r="M8" i="166"/>
  <c r="P8" i="166"/>
  <c r="L7" i="166"/>
  <c r="E6" i="166"/>
  <c r="F6" i="166"/>
  <c r="G6" i="166"/>
  <c r="I6" i="166"/>
  <c r="E7" i="166"/>
  <c r="E8" i="166"/>
  <c r="B7" i="166"/>
  <c r="C7" i="166"/>
  <c r="B8" i="166"/>
  <c r="C8" i="166"/>
  <c r="R7" i="166" l="1"/>
  <c r="I5" i="166"/>
  <c r="L5" i="166" l="1"/>
  <c r="L6" i="166"/>
  <c r="M5" i="166"/>
  <c r="O5" i="166"/>
  <c r="P5" i="166"/>
  <c r="M6" i="166"/>
  <c r="O6" i="166"/>
  <c r="P6" i="166"/>
  <c r="E5" i="166"/>
  <c r="F5" i="166"/>
  <c r="G5" i="166"/>
  <c r="B5" i="166"/>
  <c r="C5" i="166"/>
  <c r="B6" i="166"/>
  <c r="C6" i="166"/>
  <c r="R5" i="166" l="1"/>
  <c r="R6" i="166"/>
  <c r="Q4" i="172" l="1"/>
  <c r="P4" i="172"/>
  <c r="O4" i="172"/>
  <c r="M4" i="172"/>
  <c r="L4" i="172"/>
  <c r="J4" i="172"/>
  <c r="I4" i="172"/>
  <c r="H4" i="172"/>
  <c r="G4" i="172"/>
  <c r="F4" i="172"/>
  <c r="E4" i="172"/>
  <c r="C4" i="172"/>
  <c r="B4" i="172"/>
  <c r="D57" i="171"/>
  <c r="Q4" i="171"/>
  <c r="P4" i="171"/>
  <c r="O4" i="171"/>
  <c r="M4" i="171"/>
  <c r="M57" i="171" s="1"/>
  <c r="L4" i="171"/>
  <c r="J4" i="171"/>
  <c r="I4" i="171"/>
  <c r="H4" i="171"/>
  <c r="G4" i="171"/>
  <c r="F4" i="171"/>
  <c r="E4" i="171"/>
  <c r="C4" i="171"/>
  <c r="B4" i="171"/>
  <c r="O4" i="170"/>
  <c r="Q4" i="170"/>
  <c r="P4" i="170"/>
  <c r="M4" i="170"/>
  <c r="L4" i="170"/>
  <c r="I4" i="170"/>
  <c r="H4" i="170"/>
  <c r="G4" i="170"/>
  <c r="F4" i="170"/>
  <c r="E4" i="170"/>
  <c r="C4" i="170"/>
  <c r="B4" i="170"/>
  <c r="P4" i="169"/>
  <c r="O4" i="169"/>
  <c r="M4" i="169"/>
  <c r="L4" i="169"/>
  <c r="I4" i="169"/>
  <c r="G4" i="169"/>
  <c r="R4" i="169" s="1"/>
  <c r="F4" i="169"/>
  <c r="E4" i="169"/>
  <c r="C4" i="169"/>
  <c r="B4" i="169"/>
  <c r="P4" i="168"/>
  <c r="O4" i="168"/>
  <c r="M4" i="168"/>
  <c r="L4" i="168"/>
  <c r="I4" i="168"/>
  <c r="G4" i="168"/>
  <c r="F4" i="168"/>
  <c r="E4" i="168"/>
  <c r="C4" i="168"/>
  <c r="B4" i="168"/>
  <c r="D61" i="167"/>
  <c r="P4" i="167"/>
  <c r="O4" i="167"/>
  <c r="M4" i="167"/>
  <c r="L4" i="167"/>
  <c r="G4" i="167"/>
  <c r="G61" i="167" s="1"/>
  <c r="G78" i="167" s="1"/>
  <c r="E4" i="167"/>
  <c r="C4" i="167"/>
  <c r="B4" i="167"/>
  <c r="R4" i="168" l="1"/>
  <c r="R4" i="172"/>
  <c r="R4" i="167"/>
  <c r="P4" i="166"/>
  <c r="O4" i="166"/>
  <c r="M4" i="166"/>
  <c r="L4" i="166"/>
  <c r="I4" i="166"/>
  <c r="G4" i="166"/>
  <c r="F4" i="166"/>
  <c r="E4" i="166"/>
  <c r="C4" i="166"/>
  <c r="B4" i="166"/>
  <c r="R4" i="166" l="1"/>
  <c r="Q43" i="165" l="1"/>
  <c r="M43" i="165"/>
  <c r="O43" i="165"/>
  <c r="L43" i="165"/>
  <c r="F43" i="165"/>
  <c r="G43" i="165"/>
  <c r="H43" i="165"/>
  <c r="I43" i="165"/>
  <c r="J43" i="165"/>
  <c r="E43" i="165"/>
  <c r="R43" i="165" l="1"/>
  <c r="L41" i="165"/>
  <c r="M41" i="165"/>
  <c r="O41" i="165"/>
  <c r="P41" i="165"/>
  <c r="M42" i="165"/>
  <c r="O42" i="165"/>
  <c r="P42" i="165"/>
  <c r="E41" i="165"/>
  <c r="F41" i="165"/>
  <c r="G41" i="165"/>
  <c r="H41" i="165"/>
  <c r="I41" i="165"/>
  <c r="J41" i="165"/>
  <c r="E42" i="165"/>
  <c r="F42" i="165"/>
  <c r="G42" i="165"/>
  <c r="H42" i="165"/>
  <c r="I42" i="165"/>
  <c r="J42" i="165"/>
  <c r="Q41" i="165"/>
  <c r="B43" i="165"/>
  <c r="C43" i="165"/>
  <c r="B41" i="165"/>
  <c r="C41" i="165"/>
  <c r="B42" i="165"/>
  <c r="C42" i="165"/>
  <c r="L40" i="165"/>
  <c r="M40" i="165"/>
  <c r="O40" i="165"/>
  <c r="P40" i="165"/>
  <c r="Q40" i="165"/>
  <c r="E40" i="165"/>
  <c r="F40" i="165"/>
  <c r="G40" i="165"/>
  <c r="H40" i="165"/>
  <c r="I40" i="165"/>
  <c r="J40" i="165"/>
  <c r="B40" i="165"/>
  <c r="C40" i="165"/>
  <c r="R41" i="165" l="1"/>
  <c r="R40" i="165"/>
  <c r="P36" i="165"/>
  <c r="P37" i="165"/>
  <c r="P38" i="165"/>
  <c r="P39" i="165"/>
  <c r="I38" i="165"/>
  <c r="I39" i="165"/>
  <c r="J39" i="165"/>
  <c r="L37" i="165"/>
  <c r="M37" i="165"/>
  <c r="O37" i="165"/>
  <c r="Q37" i="165"/>
  <c r="M38" i="165"/>
  <c r="O38" i="165"/>
  <c r="Q38" i="165"/>
  <c r="M39" i="165"/>
  <c r="O39" i="165"/>
  <c r="Q39" i="165"/>
  <c r="B39" i="165"/>
  <c r="C39" i="165"/>
  <c r="E39" i="165"/>
  <c r="F39" i="165"/>
  <c r="G39" i="165"/>
  <c r="H39" i="165"/>
  <c r="B37" i="165"/>
  <c r="C37" i="165"/>
  <c r="E37" i="165"/>
  <c r="F37" i="165"/>
  <c r="G37" i="165"/>
  <c r="H37" i="165"/>
  <c r="I37" i="165"/>
  <c r="J37" i="165"/>
  <c r="B38" i="165"/>
  <c r="C38" i="165"/>
  <c r="E38" i="165"/>
  <c r="F38" i="165"/>
  <c r="G38" i="165"/>
  <c r="H38" i="165"/>
  <c r="J38" i="165"/>
  <c r="U36" i="165"/>
  <c r="U38" i="165"/>
  <c r="U39" i="165"/>
  <c r="R37" i="165" l="1"/>
  <c r="M34" i="165"/>
  <c r="O34" i="165"/>
  <c r="P34" i="165"/>
  <c r="Q34" i="165"/>
  <c r="M35" i="165"/>
  <c r="O35" i="165"/>
  <c r="P35" i="165"/>
  <c r="Q35" i="165"/>
  <c r="M36" i="165"/>
  <c r="O36" i="165"/>
  <c r="Q36" i="165"/>
  <c r="L34" i="165"/>
  <c r="E34" i="165"/>
  <c r="F34" i="165"/>
  <c r="G34" i="165"/>
  <c r="H34" i="165"/>
  <c r="I34" i="165"/>
  <c r="J34" i="165"/>
  <c r="E35" i="165"/>
  <c r="F35" i="165"/>
  <c r="G35" i="165"/>
  <c r="H35" i="165"/>
  <c r="I35" i="165"/>
  <c r="J35" i="165"/>
  <c r="E36" i="165"/>
  <c r="F36" i="165"/>
  <c r="G36" i="165"/>
  <c r="H36" i="165"/>
  <c r="I36" i="165"/>
  <c r="J36" i="165"/>
  <c r="B34" i="165"/>
  <c r="C34" i="165"/>
  <c r="B35" i="165"/>
  <c r="C35" i="165"/>
  <c r="B36" i="165"/>
  <c r="C36" i="165"/>
  <c r="J33" i="165"/>
  <c r="Q32" i="165"/>
  <c r="Q33" i="165"/>
  <c r="M32" i="165"/>
  <c r="O32" i="165"/>
  <c r="P32" i="165"/>
  <c r="M33" i="165"/>
  <c r="O33" i="165"/>
  <c r="P33" i="165"/>
  <c r="L32" i="165"/>
  <c r="E32" i="165"/>
  <c r="F32" i="165"/>
  <c r="G32" i="165"/>
  <c r="H32" i="165"/>
  <c r="I32" i="165"/>
  <c r="J32" i="165"/>
  <c r="E33" i="165"/>
  <c r="F33" i="165"/>
  <c r="G33" i="165"/>
  <c r="H33" i="165"/>
  <c r="I33" i="165"/>
  <c r="B32" i="165"/>
  <c r="C32" i="165"/>
  <c r="B33" i="165"/>
  <c r="C33" i="165"/>
  <c r="Q31" i="165"/>
  <c r="L29" i="165"/>
  <c r="M29" i="165"/>
  <c r="O29" i="165"/>
  <c r="P29" i="165"/>
  <c r="Q29" i="165"/>
  <c r="M30" i="165"/>
  <c r="O30" i="165"/>
  <c r="P30" i="165"/>
  <c r="Q30" i="165"/>
  <c r="M31" i="165"/>
  <c r="O31" i="165"/>
  <c r="P31" i="165"/>
  <c r="E29" i="165"/>
  <c r="F29" i="165"/>
  <c r="G29" i="165"/>
  <c r="H29" i="165"/>
  <c r="I29" i="165"/>
  <c r="J29" i="165"/>
  <c r="E30" i="165"/>
  <c r="F30" i="165"/>
  <c r="G30" i="165"/>
  <c r="H30" i="165"/>
  <c r="I30" i="165"/>
  <c r="J30" i="165"/>
  <c r="E31" i="165"/>
  <c r="G31" i="165"/>
  <c r="H31" i="165"/>
  <c r="I31" i="165"/>
  <c r="J31" i="165"/>
  <c r="B29" i="165"/>
  <c r="C29" i="165"/>
  <c r="B30" i="165"/>
  <c r="C30" i="165"/>
  <c r="B31" i="165"/>
  <c r="C31" i="165"/>
  <c r="L27" i="165"/>
  <c r="M27" i="165"/>
  <c r="O27" i="165"/>
  <c r="P27" i="165"/>
  <c r="Q27" i="165"/>
  <c r="M28" i="165"/>
  <c r="O28" i="165"/>
  <c r="P28" i="165"/>
  <c r="E27" i="165"/>
  <c r="F27" i="165"/>
  <c r="G27" i="165"/>
  <c r="H27" i="165"/>
  <c r="I27" i="165"/>
  <c r="J27" i="165"/>
  <c r="E28" i="165"/>
  <c r="G28" i="165"/>
  <c r="H28" i="165"/>
  <c r="I28" i="165"/>
  <c r="J28" i="165"/>
  <c r="B27" i="165"/>
  <c r="C27" i="165"/>
  <c r="B28" i="165"/>
  <c r="C28" i="165"/>
  <c r="L26" i="165"/>
  <c r="M26" i="165"/>
  <c r="O26" i="165"/>
  <c r="P26" i="165"/>
  <c r="E26" i="165"/>
  <c r="G26" i="165"/>
  <c r="H26" i="165"/>
  <c r="I26" i="165"/>
  <c r="J26" i="165"/>
  <c r="M24" i="165"/>
  <c r="O24" i="165"/>
  <c r="P24" i="165"/>
  <c r="Q24" i="165"/>
  <c r="M25" i="165"/>
  <c r="O25" i="165"/>
  <c r="P25" i="165"/>
  <c r="Q25" i="165"/>
  <c r="L24" i="165"/>
  <c r="J24" i="165"/>
  <c r="J25" i="165"/>
  <c r="B24" i="165"/>
  <c r="C24" i="165"/>
  <c r="B25" i="165"/>
  <c r="C25" i="165"/>
  <c r="B26" i="165"/>
  <c r="C26" i="165"/>
  <c r="L20" i="165"/>
  <c r="P20" i="165"/>
  <c r="Q20" i="165"/>
  <c r="P21" i="165"/>
  <c r="Q21" i="165"/>
  <c r="P22" i="165"/>
  <c r="Q22" i="165"/>
  <c r="P23" i="165"/>
  <c r="Q23" i="165"/>
  <c r="M20" i="165"/>
  <c r="O20" i="165"/>
  <c r="M21" i="165"/>
  <c r="O21" i="165"/>
  <c r="M22" i="165"/>
  <c r="O22" i="165"/>
  <c r="M23" i="165"/>
  <c r="O23" i="165"/>
  <c r="E22" i="165"/>
  <c r="F22" i="165"/>
  <c r="G22" i="165"/>
  <c r="H22" i="165"/>
  <c r="I22" i="165"/>
  <c r="J22" i="165"/>
  <c r="E23" i="165"/>
  <c r="F23" i="165"/>
  <c r="G23" i="165"/>
  <c r="H23" i="165"/>
  <c r="I23" i="165"/>
  <c r="J23" i="165"/>
  <c r="E24" i="165"/>
  <c r="F24" i="165"/>
  <c r="G24" i="165"/>
  <c r="I24" i="165"/>
  <c r="E25" i="165"/>
  <c r="F25" i="165"/>
  <c r="G25" i="165"/>
  <c r="H25" i="165"/>
  <c r="I25" i="165"/>
  <c r="E21" i="165"/>
  <c r="F21" i="165"/>
  <c r="G21" i="165"/>
  <c r="H21" i="165"/>
  <c r="I21" i="165"/>
  <c r="J21" i="165"/>
  <c r="E20" i="165"/>
  <c r="F20" i="165"/>
  <c r="G20" i="165"/>
  <c r="H20" i="165"/>
  <c r="I20" i="165"/>
  <c r="J20" i="165"/>
  <c r="B20" i="165"/>
  <c r="C20" i="165"/>
  <c r="B21" i="165"/>
  <c r="C21" i="165"/>
  <c r="B22" i="165"/>
  <c r="C22" i="165"/>
  <c r="B23" i="165"/>
  <c r="C23" i="165"/>
  <c r="H16" i="165"/>
  <c r="H17" i="165"/>
  <c r="H18" i="165"/>
  <c r="Q18" i="165"/>
  <c r="M18" i="165"/>
  <c r="O18" i="165"/>
  <c r="P18" i="165"/>
  <c r="M19" i="165"/>
  <c r="O19" i="165"/>
  <c r="P19" i="165"/>
  <c r="L18" i="165"/>
  <c r="E18" i="165"/>
  <c r="F18" i="165"/>
  <c r="G18" i="165"/>
  <c r="I18" i="165"/>
  <c r="J18" i="165"/>
  <c r="E19" i="165"/>
  <c r="G19" i="165"/>
  <c r="I19" i="165"/>
  <c r="J19" i="165"/>
  <c r="B18" i="165"/>
  <c r="C18" i="165"/>
  <c r="B19" i="165"/>
  <c r="C19" i="165"/>
  <c r="H5" i="165"/>
  <c r="H6" i="165"/>
  <c r="H8" i="165"/>
  <c r="H9" i="165"/>
  <c r="H10" i="165"/>
  <c r="H11" i="165"/>
  <c r="H12" i="165"/>
  <c r="H13" i="165"/>
  <c r="H14" i="165"/>
  <c r="H4" i="165"/>
  <c r="E16" i="165"/>
  <c r="F16" i="165"/>
  <c r="G16" i="165"/>
  <c r="I16" i="165"/>
  <c r="J16" i="165"/>
  <c r="E17" i="165"/>
  <c r="G17" i="165"/>
  <c r="I17" i="165"/>
  <c r="J17" i="165"/>
  <c r="M16" i="165"/>
  <c r="O16" i="165"/>
  <c r="P16" i="165"/>
  <c r="M17" i="165"/>
  <c r="O17" i="165"/>
  <c r="P17" i="165"/>
  <c r="L16" i="165"/>
  <c r="B16" i="165"/>
  <c r="C16" i="165"/>
  <c r="B17" i="165"/>
  <c r="C17" i="165"/>
  <c r="M15" i="165"/>
  <c r="O15" i="165"/>
  <c r="P15" i="165"/>
  <c r="L15" i="165"/>
  <c r="E15" i="165"/>
  <c r="F15" i="165"/>
  <c r="G15" i="165"/>
  <c r="I15" i="165"/>
  <c r="B15" i="165"/>
  <c r="C15" i="165"/>
  <c r="F14" i="165"/>
  <c r="J14" i="165"/>
  <c r="Q12" i="165"/>
  <c r="Q13" i="165"/>
  <c r="M12" i="165"/>
  <c r="O12" i="165"/>
  <c r="P12" i="165"/>
  <c r="M13" i="165"/>
  <c r="O13" i="165"/>
  <c r="P13" i="165"/>
  <c r="M14" i="165"/>
  <c r="O14" i="165"/>
  <c r="P14" i="165"/>
  <c r="L14" i="165"/>
  <c r="L12" i="165"/>
  <c r="E12" i="165"/>
  <c r="F12" i="165"/>
  <c r="G12" i="165"/>
  <c r="I12" i="165"/>
  <c r="J12" i="165"/>
  <c r="E13" i="165"/>
  <c r="F13" i="165"/>
  <c r="G13" i="165"/>
  <c r="I13" i="165"/>
  <c r="J13" i="165"/>
  <c r="E14" i="165"/>
  <c r="G14" i="165"/>
  <c r="I14" i="165"/>
  <c r="B12" i="165"/>
  <c r="C12" i="165"/>
  <c r="B13" i="165"/>
  <c r="C13" i="165"/>
  <c r="B14" i="165"/>
  <c r="C14" i="165"/>
  <c r="P6" i="165"/>
  <c r="P7" i="165"/>
  <c r="P8" i="165"/>
  <c r="P9" i="165"/>
  <c r="P10" i="165"/>
  <c r="P11" i="165"/>
  <c r="L9" i="165"/>
  <c r="M9" i="165"/>
  <c r="O9" i="165"/>
  <c r="Q9" i="165"/>
  <c r="M10" i="165"/>
  <c r="O10" i="165"/>
  <c r="M11" i="165"/>
  <c r="O11" i="165"/>
  <c r="E9" i="165"/>
  <c r="F9" i="165"/>
  <c r="G9" i="165"/>
  <c r="I9" i="165"/>
  <c r="E10" i="165"/>
  <c r="F10" i="165"/>
  <c r="G10" i="165"/>
  <c r="I10" i="165"/>
  <c r="E11" i="165"/>
  <c r="G11" i="165"/>
  <c r="I11" i="165"/>
  <c r="B9" i="165"/>
  <c r="C9" i="165"/>
  <c r="B10" i="165"/>
  <c r="C10" i="165"/>
  <c r="B11" i="165"/>
  <c r="C11" i="165"/>
  <c r="F8" i="165"/>
  <c r="I8" i="165"/>
  <c r="L8" i="165"/>
  <c r="M8" i="165"/>
  <c r="O8" i="165"/>
  <c r="G8" i="165"/>
  <c r="E8" i="165"/>
  <c r="B8" i="165"/>
  <c r="C8" i="165"/>
  <c r="Q6" i="165"/>
  <c r="J8" i="165"/>
  <c r="L6" i="165"/>
  <c r="M6" i="165"/>
  <c r="O6" i="165"/>
  <c r="M7" i="165"/>
  <c r="O7" i="165"/>
  <c r="E6" i="165"/>
  <c r="E7" i="165"/>
  <c r="F6" i="165"/>
  <c r="G6" i="165"/>
  <c r="I6" i="165"/>
  <c r="J6" i="165"/>
  <c r="G7" i="165"/>
  <c r="I7" i="165"/>
  <c r="B6" i="165"/>
  <c r="C6" i="165"/>
  <c r="B7" i="165"/>
  <c r="C7" i="165"/>
  <c r="J7" i="165"/>
  <c r="J5" i="165"/>
  <c r="J4" i="165"/>
  <c r="M5" i="165"/>
  <c r="O5" i="165"/>
  <c r="P5" i="165"/>
  <c r="E5" i="165"/>
  <c r="F5" i="165"/>
  <c r="G5" i="165"/>
  <c r="I5" i="165"/>
  <c r="P4" i="165"/>
  <c r="O4" i="165"/>
  <c r="M4" i="165"/>
  <c r="L4" i="165"/>
  <c r="I4" i="165"/>
  <c r="G4" i="165"/>
  <c r="F4" i="165"/>
  <c r="E4" i="165"/>
  <c r="B5" i="165"/>
  <c r="C5" i="165"/>
  <c r="C4" i="165"/>
  <c r="B4" i="165"/>
  <c r="J44" i="164"/>
  <c r="M43" i="164"/>
  <c r="O43" i="164"/>
  <c r="P43" i="164"/>
  <c r="Q43" i="164"/>
  <c r="M44" i="164"/>
  <c r="O44" i="164"/>
  <c r="P44" i="164"/>
  <c r="M45" i="164"/>
  <c r="M46" i="164"/>
  <c r="M52" i="164"/>
  <c r="N52" i="164"/>
  <c r="M53" i="164"/>
  <c r="N53" i="164"/>
  <c r="M54" i="164"/>
  <c r="N54" i="164"/>
  <c r="M55" i="164"/>
  <c r="N55" i="164"/>
  <c r="O55" i="164"/>
  <c r="P55" i="164"/>
  <c r="Q55" i="164"/>
  <c r="L43" i="164"/>
  <c r="E43" i="164"/>
  <c r="F43" i="164"/>
  <c r="G43" i="164"/>
  <c r="H43" i="164"/>
  <c r="I43" i="164"/>
  <c r="J43" i="164"/>
  <c r="E44" i="164"/>
  <c r="F44" i="164"/>
  <c r="G44" i="164"/>
  <c r="H44" i="164"/>
  <c r="I44" i="164"/>
  <c r="B43" i="164"/>
  <c r="C43" i="164"/>
  <c r="B44" i="164"/>
  <c r="C44" i="164"/>
  <c r="L41" i="164"/>
  <c r="M41" i="164"/>
  <c r="O41" i="164"/>
  <c r="P41" i="164"/>
  <c r="Q41" i="164"/>
  <c r="M42" i="164"/>
  <c r="O42" i="164"/>
  <c r="P42" i="164"/>
  <c r="Q42" i="164"/>
  <c r="E41" i="164"/>
  <c r="F41" i="164"/>
  <c r="G41" i="164"/>
  <c r="H41" i="164"/>
  <c r="I41" i="164"/>
  <c r="E42" i="164"/>
  <c r="F42" i="164"/>
  <c r="G42" i="164"/>
  <c r="H42" i="164"/>
  <c r="I42" i="164"/>
  <c r="J42" i="164"/>
  <c r="B41" i="164"/>
  <c r="C41" i="164"/>
  <c r="B42" i="164"/>
  <c r="C42" i="164"/>
  <c r="L40" i="164"/>
  <c r="M40" i="164"/>
  <c r="O40" i="164"/>
  <c r="P40" i="164"/>
  <c r="B40" i="164"/>
  <c r="C40" i="164"/>
  <c r="E40" i="164"/>
  <c r="F40" i="164"/>
  <c r="G40" i="164"/>
  <c r="H40" i="164"/>
  <c r="I40" i="164"/>
  <c r="Q39" i="164"/>
  <c r="E39" i="164"/>
  <c r="M39" i="164"/>
  <c r="L39" i="164"/>
  <c r="J39" i="164"/>
  <c r="I39" i="164"/>
  <c r="H39" i="164"/>
  <c r="G39" i="164"/>
  <c r="F39" i="164"/>
  <c r="O39" i="164"/>
  <c r="P39" i="164"/>
  <c r="B39" i="164"/>
  <c r="C39" i="164"/>
  <c r="Q37" i="164"/>
  <c r="P37" i="164"/>
  <c r="P38" i="164"/>
  <c r="M37" i="164"/>
  <c r="O37" i="164"/>
  <c r="M38" i="164"/>
  <c r="O38" i="164"/>
  <c r="L37" i="164"/>
  <c r="I37" i="164"/>
  <c r="G38" i="164"/>
  <c r="G37" i="164"/>
  <c r="H37" i="164"/>
  <c r="F37" i="164"/>
  <c r="E37" i="164"/>
  <c r="E38" i="164"/>
  <c r="B37" i="164"/>
  <c r="C37" i="164"/>
  <c r="B38" i="164"/>
  <c r="C38" i="164"/>
  <c r="Q35" i="164"/>
  <c r="E35" i="164"/>
  <c r="F35" i="164"/>
  <c r="G35" i="164"/>
  <c r="H35" i="164"/>
  <c r="I35" i="164"/>
  <c r="J35" i="164"/>
  <c r="E36" i="164"/>
  <c r="G36" i="164"/>
  <c r="M35" i="164"/>
  <c r="O35" i="164"/>
  <c r="P35" i="164"/>
  <c r="M36" i="164"/>
  <c r="O36" i="164"/>
  <c r="P36" i="164"/>
  <c r="L35" i="164"/>
  <c r="B35" i="164"/>
  <c r="C35" i="164"/>
  <c r="B36" i="164"/>
  <c r="C36" i="164"/>
  <c r="J36" i="164"/>
  <c r="F34" i="164"/>
  <c r="D34" i="164"/>
  <c r="L33" i="164"/>
  <c r="M33" i="164"/>
  <c r="O33" i="164"/>
  <c r="P33" i="164"/>
  <c r="M34" i="164"/>
  <c r="O34" i="164"/>
  <c r="P34" i="164"/>
  <c r="E33" i="164"/>
  <c r="F33" i="164"/>
  <c r="G33" i="164"/>
  <c r="I33" i="164"/>
  <c r="J33" i="164"/>
  <c r="E34" i="164"/>
  <c r="G34" i="164"/>
  <c r="I34" i="164"/>
  <c r="B33" i="164"/>
  <c r="C33" i="164"/>
  <c r="B34" i="164"/>
  <c r="C34" i="164"/>
  <c r="F30" i="164"/>
  <c r="M31" i="164"/>
  <c r="O31" i="164"/>
  <c r="P31" i="164"/>
  <c r="M32" i="164"/>
  <c r="O32" i="164"/>
  <c r="P32" i="164"/>
  <c r="Q32" i="164"/>
  <c r="L31" i="164"/>
  <c r="F31" i="164"/>
  <c r="G31" i="164"/>
  <c r="H31" i="164"/>
  <c r="I31" i="164"/>
  <c r="F32" i="164"/>
  <c r="G32" i="164"/>
  <c r="H32" i="164"/>
  <c r="I32" i="164"/>
  <c r="J32" i="164"/>
  <c r="E31" i="164"/>
  <c r="E32" i="164"/>
  <c r="B31" i="164"/>
  <c r="C31" i="164"/>
  <c r="B32" i="164"/>
  <c r="C32" i="164"/>
  <c r="E28" i="164"/>
  <c r="E29" i="164"/>
  <c r="E30" i="164"/>
  <c r="L28" i="164"/>
  <c r="M28" i="164"/>
  <c r="O28" i="164"/>
  <c r="P28" i="164"/>
  <c r="Q28" i="164"/>
  <c r="M29" i="164"/>
  <c r="O29" i="164"/>
  <c r="P29" i="164"/>
  <c r="M30" i="164"/>
  <c r="O30" i="164"/>
  <c r="P30" i="164"/>
  <c r="F28" i="164"/>
  <c r="G28" i="164"/>
  <c r="H28" i="164"/>
  <c r="I28" i="164"/>
  <c r="J28" i="164"/>
  <c r="G30" i="164"/>
  <c r="H30" i="164"/>
  <c r="I30" i="164"/>
  <c r="J30" i="164"/>
  <c r="B28" i="164"/>
  <c r="C28" i="164"/>
  <c r="B29" i="164"/>
  <c r="C29" i="164"/>
  <c r="B30" i="164"/>
  <c r="C30" i="164"/>
  <c r="F27" i="164"/>
  <c r="M26" i="164"/>
  <c r="O26" i="164"/>
  <c r="P26" i="164"/>
  <c r="Q26" i="164"/>
  <c r="M27" i="164"/>
  <c r="O27" i="164"/>
  <c r="P27" i="164"/>
  <c r="L26" i="164"/>
  <c r="E26" i="164"/>
  <c r="F26" i="164"/>
  <c r="G26" i="164"/>
  <c r="H26" i="164"/>
  <c r="I26" i="164"/>
  <c r="E27" i="164"/>
  <c r="G27" i="164"/>
  <c r="H27" i="164"/>
  <c r="I27" i="164"/>
  <c r="B26" i="164"/>
  <c r="C26" i="164"/>
  <c r="B27" i="164"/>
  <c r="C27" i="164"/>
  <c r="J9" i="165"/>
  <c r="J10" i="165"/>
  <c r="J11" i="165"/>
  <c r="J15" i="165"/>
  <c r="R34" i="165" l="1"/>
  <c r="R26" i="165"/>
  <c r="R32" i="165"/>
  <c r="F31" i="165"/>
  <c r="R27" i="165"/>
  <c r="R20" i="165"/>
  <c r="R29" i="165"/>
  <c r="F28" i="165"/>
  <c r="Q28" i="165"/>
  <c r="R24" i="165"/>
  <c r="Q26" i="165"/>
  <c r="F26" i="165"/>
  <c r="H24" i="165"/>
  <c r="F19" i="165"/>
  <c r="F17" i="165"/>
  <c r="H15" i="165"/>
  <c r="Q19" i="165"/>
  <c r="H19" i="165"/>
  <c r="Q17" i="165"/>
  <c r="Q16" i="165"/>
  <c r="Q15" i="165"/>
  <c r="R18" i="165"/>
  <c r="R16" i="165"/>
  <c r="R14" i="165"/>
  <c r="R15" i="165"/>
  <c r="R12" i="165"/>
  <c r="Q14" i="165"/>
  <c r="R9" i="165"/>
  <c r="F11" i="165"/>
  <c r="L59" i="165"/>
  <c r="R8" i="165"/>
  <c r="Q8" i="165"/>
  <c r="G59" i="165"/>
  <c r="R6" i="165"/>
  <c r="R40" i="164"/>
  <c r="R39" i="164"/>
  <c r="R4" i="165"/>
  <c r="Q5" i="165"/>
  <c r="R43" i="164"/>
  <c r="R41" i="164"/>
  <c r="R37" i="164"/>
  <c r="R35" i="164"/>
  <c r="R33" i="164"/>
  <c r="R31" i="164"/>
  <c r="R28" i="164"/>
  <c r="R26" i="164"/>
  <c r="J26" i="164"/>
  <c r="J27" i="164"/>
  <c r="Q10" i="165"/>
  <c r="Q11" i="165"/>
  <c r="R59" i="165" l="1"/>
  <c r="Q27" i="164"/>
  <c r="L24" i="164" l="1"/>
  <c r="Q25" i="164"/>
  <c r="Q24" i="164"/>
  <c r="Q23" i="164"/>
  <c r="M24" i="164"/>
  <c r="O24" i="164"/>
  <c r="P24" i="164"/>
  <c r="M25" i="164"/>
  <c r="O25" i="164"/>
  <c r="P25" i="164"/>
  <c r="E24" i="164"/>
  <c r="F24" i="164"/>
  <c r="G24" i="164"/>
  <c r="H24" i="164"/>
  <c r="I24" i="164"/>
  <c r="J24" i="164"/>
  <c r="E25" i="164"/>
  <c r="F25" i="164"/>
  <c r="G25" i="164"/>
  <c r="H25" i="164"/>
  <c r="I25" i="164"/>
  <c r="J25" i="164"/>
  <c r="B24" i="164"/>
  <c r="C24" i="164"/>
  <c r="B25" i="164"/>
  <c r="C25" i="164"/>
  <c r="R24" i="164" l="1"/>
  <c r="M21" i="164"/>
  <c r="O21" i="164"/>
  <c r="P21" i="164"/>
  <c r="Q21" i="164"/>
  <c r="M22" i="164"/>
  <c r="O22" i="164"/>
  <c r="P22" i="164"/>
  <c r="M23" i="164"/>
  <c r="O23" i="164"/>
  <c r="P23" i="164"/>
  <c r="L21" i="164"/>
  <c r="E21" i="164"/>
  <c r="F21" i="164"/>
  <c r="G21" i="164"/>
  <c r="H21" i="164"/>
  <c r="I21" i="164"/>
  <c r="E22" i="164"/>
  <c r="G22" i="164"/>
  <c r="I22" i="164"/>
  <c r="E23" i="164"/>
  <c r="F23" i="164"/>
  <c r="G23" i="164"/>
  <c r="H23" i="164"/>
  <c r="I23" i="164"/>
  <c r="B21" i="164"/>
  <c r="C21" i="164"/>
  <c r="B22" i="164"/>
  <c r="C22" i="164"/>
  <c r="B23" i="164"/>
  <c r="C23" i="164"/>
  <c r="R21" i="164" l="1"/>
  <c r="I18" i="164"/>
  <c r="I19" i="164"/>
  <c r="I20" i="164"/>
  <c r="M18" i="164" l="1"/>
  <c r="O18" i="164"/>
  <c r="P18" i="164"/>
  <c r="M19" i="164"/>
  <c r="O19" i="164"/>
  <c r="P19" i="164"/>
  <c r="M20" i="164"/>
  <c r="O20" i="164"/>
  <c r="P20" i="164"/>
  <c r="Q20" i="164"/>
  <c r="E19" i="164"/>
  <c r="F19" i="164"/>
  <c r="G19" i="164"/>
  <c r="H19" i="164"/>
  <c r="J19" i="164"/>
  <c r="E20" i="164"/>
  <c r="F20" i="164"/>
  <c r="G20" i="164"/>
  <c r="H20" i="164"/>
  <c r="J20" i="164"/>
  <c r="B19" i="164"/>
  <c r="C19" i="164"/>
  <c r="B20" i="164"/>
  <c r="C20" i="164"/>
  <c r="M17" i="164"/>
  <c r="O17" i="164"/>
  <c r="P17" i="164"/>
  <c r="L17" i="164"/>
  <c r="E17" i="164"/>
  <c r="F17" i="164"/>
  <c r="G17" i="164"/>
  <c r="H17" i="164"/>
  <c r="I17" i="164"/>
  <c r="E18" i="164"/>
  <c r="F18" i="164"/>
  <c r="G18" i="164"/>
  <c r="B17" i="164"/>
  <c r="C17" i="164"/>
  <c r="B18" i="164"/>
  <c r="C18" i="164"/>
  <c r="F16" i="164"/>
  <c r="U16" i="164"/>
  <c r="L15" i="164"/>
  <c r="M15" i="164"/>
  <c r="O15" i="164"/>
  <c r="P15" i="164"/>
  <c r="Q15" i="164"/>
  <c r="M16" i="164"/>
  <c r="O16" i="164"/>
  <c r="P16" i="164"/>
  <c r="E15" i="164"/>
  <c r="F15" i="164"/>
  <c r="G15" i="164"/>
  <c r="H15" i="164"/>
  <c r="I15" i="164"/>
  <c r="J15" i="164"/>
  <c r="E16" i="164"/>
  <c r="G16" i="164"/>
  <c r="H16" i="164"/>
  <c r="I16" i="164"/>
  <c r="J16" i="164"/>
  <c r="B15" i="164"/>
  <c r="C15" i="164"/>
  <c r="B16" i="164"/>
  <c r="C16" i="164"/>
  <c r="H18" i="164" l="1"/>
  <c r="R17" i="164"/>
  <c r="R15" i="164"/>
  <c r="L14" i="164"/>
  <c r="M14" i="164"/>
  <c r="O14" i="164"/>
  <c r="P14" i="164"/>
  <c r="Q14" i="164"/>
  <c r="E14" i="164"/>
  <c r="F14" i="164"/>
  <c r="G14" i="164"/>
  <c r="H14" i="164"/>
  <c r="I14" i="164"/>
  <c r="J14" i="164"/>
  <c r="B14" i="164"/>
  <c r="C14" i="164"/>
  <c r="J34" i="164" l="1"/>
  <c r="R14" i="164"/>
  <c r="I13" i="164"/>
  <c r="E13" i="164"/>
  <c r="M13" i="164"/>
  <c r="O13" i="164"/>
  <c r="P13" i="164"/>
  <c r="Q13" i="164"/>
  <c r="L13" i="164"/>
  <c r="F13" i="164"/>
  <c r="G13" i="164"/>
  <c r="H13" i="164"/>
  <c r="B13" i="164"/>
  <c r="C13" i="164"/>
  <c r="J31" i="164"/>
  <c r="J18" i="164"/>
  <c r="J37" i="164"/>
  <c r="R13" i="164" l="1"/>
  <c r="U10" i="164"/>
  <c r="Q11" i="164"/>
  <c r="Q12" i="164"/>
  <c r="P10" i="164"/>
  <c r="P11" i="164"/>
  <c r="P12" i="164"/>
  <c r="M11" i="164"/>
  <c r="O11" i="164"/>
  <c r="M12" i="164"/>
  <c r="O12" i="164"/>
  <c r="L11" i="164"/>
  <c r="E11" i="164"/>
  <c r="E12" i="164"/>
  <c r="F10" i="164"/>
  <c r="G10" i="164"/>
  <c r="H10" i="164"/>
  <c r="I10" i="164"/>
  <c r="J10" i="164"/>
  <c r="F11" i="164"/>
  <c r="G11" i="164"/>
  <c r="H11" i="164"/>
  <c r="I11" i="164"/>
  <c r="J11" i="164"/>
  <c r="F12" i="164"/>
  <c r="G12" i="164"/>
  <c r="H12" i="164"/>
  <c r="I12" i="164"/>
  <c r="J12" i="164"/>
  <c r="B11" i="164"/>
  <c r="C11" i="164"/>
  <c r="B12" i="164"/>
  <c r="C12" i="164"/>
  <c r="R11" i="164" l="1"/>
  <c r="E5" i="164" l="1"/>
  <c r="E6" i="164"/>
  <c r="E7" i="164"/>
  <c r="E8" i="164"/>
  <c r="E9" i="164"/>
  <c r="E10" i="164"/>
  <c r="E4" i="164"/>
  <c r="P5" i="164"/>
  <c r="P6" i="164"/>
  <c r="P7" i="164"/>
  <c r="P8" i="164"/>
  <c r="P9" i="164"/>
  <c r="Q9" i="164"/>
  <c r="L9" i="164"/>
  <c r="M9" i="164"/>
  <c r="O9" i="164"/>
  <c r="M10" i="164"/>
  <c r="O10" i="164"/>
  <c r="F9" i="164"/>
  <c r="G9" i="164"/>
  <c r="H9" i="164"/>
  <c r="I9" i="164"/>
  <c r="J9" i="164"/>
  <c r="B9" i="164"/>
  <c r="C9" i="164"/>
  <c r="B10" i="164"/>
  <c r="C10" i="164"/>
  <c r="R9" i="164" l="1"/>
  <c r="L7" i="164"/>
  <c r="U5" i="164"/>
  <c r="U6" i="164"/>
  <c r="Q7" i="164"/>
  <c r="Q8" i="164"/>
  <c r="M7" i="164"/>
  <c r="O7" i="164"/>
  <c r="M8" i="164"/>
  <c r="O8" i="164"/>
  <c r="F6" i="164"/>
  <c r="G6" i="164"/>
  <c r="H6" i="164"/>
  <c r="I6" i="164"/>
  <c r="F7" i="164"/>
  <c r="G7" i="164"/>
  <c r="H7" i="164"/>
  <c r="I7" i="164"/>
  <c r="J7" i="164"/>
  <c r="F8" i="164"/>
  <c r="G8" i="164"/>
  <c r="H8" i="164"/>
  <c r="I8" i="164"/>
  <c r="J8" i="164"/>
  <c r="B7" i="164"/>
  <c r="C7" i="164"/>
  <c r="B8" i="164"/>
  <c r="C8" i="164"/>
  <c r="R7" i="164" l="1"/>
  <c r="M6" i="164"/>
  <c r="O6" i="164"/>
  <c r="B6" i="164"/>
  <c r="C6" i="164"/>
  <c r="Q5" i="164"/>
  <c r="M5" i="164"/>
  <c r="O5" i="164"/>
  <c r="J5" i="164"/>
  <c r="P4" i="164" l="1"/>
  <c r="O4" i="164"/>
  <c r="M4" i="164"/>
  <c r="L4" i="164"/>
  <c r="I5" i="164"/>
  <c r="I4" i="164"/>
  <c r="G5" i="164"/>
  <c r="G4" i="164"/>
  <c r="F5" i="164"/>
  <c r="B5" i="164"/>
  <c r="C5" i="164"/>
  <c r="C4" i="164"/>
  <c r="B4" i="164"/>
  <c r="R4" i="164" l="1"/>
  <c r="D52" i="163"/>
  <c r="L51" i="163"/>
  <c r="U53" i="163"/>
  <c r="Q51" i="163"/>
  <c r="Q54" i="163"/>
  <c r="O50" i="163"/>
  <c r="P50" i="163"/>
  <c r="O51" i="163"/>
  <c r="P51" i="163"/>
  <c r="O52" i="163"/>
  <c r="P52" i="163"/>
  <c r="O53" i="163"/>
  <c r="P53" i="163"/>
  <c r="O54" i="163"/>
  <c r="P54" i="163"/>
  <c r="M51" i="163"/>
  <c r="M52" i="163"/>
  <c r="M53" i="163"/>
  <c r="M54" i="163"/>
  <c r="E51" i="163"/>
  <c r="F51" i="163"/>
  <c r="G51" i="163"/>
  <c r="H51" i="163"/>
  <c r="I51" i="163"/>
  <c r="E52" i="163"/>
  <c r="G52" i="163"/>
  <c r="I52" i="163"/>
  <c r="E53" i="163"/>
  <c r="G53" i="163"/>
  <c r="I53" i="163"/>
  <c r="E54" i="163"/>
  <c r="F54" i="163"/>
  <c r="G54" i="163"/>
  <c r="H54" i="163"/>
  <c r="I54" i="163"/>
  <c r="B52" i="163"/>
  <c r="C52" i="163"/>
  <c r="B53" i="163"/>
  <c r="C53" i="163"/>
  <c r="B54" i="163"/>
  <c r="C54" i="163"/>
  <c r="R51" i="163" l="1"/>
  <c r="I50" i="163"/>
  <c r="H50" i="163"/>
  <c r="F50" i="163"/>
  <c r="M50" i="163"/>
  <c r="L50" i="163"/>
  <c r="B50" i="163"/>
  <c r="C50" i="163"/>
  <c r="E50" i="163"/>
  <c r="G50" i="163"/>
  <c r="R50" i="163" l="1"/>
  <c r="P9" i="163"/>
  <c r="P10" i="163"/>
  <c r="P11" i="163"/>
  <c r="P12" i="163"/>
  <c r="P13" i="163"/>
  <c r="P14" i="163"/>
  <c r="P15" i="163"/>
  <c r="P16" i="163"/>
  <c r="P17" i="163"/>
  <c r="P18" i="163"/>
  <c r="P19" i="163"/>
  <c r="P20" i="163"/>
  <c r="P21" i="163"/>
  <c r="P22" i="163"/>
  <c r="P23" i="163"/>
  <c r="P24" i="163"/>
  <c r="P25" i="163"/>
  <c r="P26" i="163"/>
  <c r="P27" i="163"/>
  <c r="P28" i="163"/>
  <c r="P29" i="163"/>
  <c r="P30" i="163"/>
  <c r="P31" i="163"/>
  <c r="P32" i="163"/>
  <c r="P33" i="163"/>
  <c r="P34" i="163"/>
  <c r="P35" i="163"/>
  <c r="P36" i="163"/>
  <c r="P37" i="163"/>
  <c r="P38" i="163"/>
  <c r="P39" i="163"/>
  <c r="P40" i="163"/>
  <c r="P41" i="163"/>
  <c r="P42" i="163"/>
  <c r="P43" i="163"/>
  <c r="P44" i="163"/>
  <c r="P45" i="163"/>
  <c r="P46" i="163"/>
  <c r="P47" i="163"/>
  <c r="P48" i="163"/>
  <c r="P49" i="163"/>
  <c r="L48" i="163"/>
  <c r="M48" i="163"/>
  <c r="O48" i="163"/>
  <c r="Q48" i="163"/>
  <c r="M49" i="163"/>
  <c r="O49" i="163"/>
  <c r="Q49" i="163"/>
  <c r="E48" i="163"/>
  <c r="F48" i="163"/>
  <c r="G48" i="163"/>
  <c r="H48" i="163"/>
  <c r="I48" i="163"/>
  <c r="J48" i="163"/>
  <c r="E49" i="163"/>
  <c r="F49" i="163"/>
  <c r="G49" i="163"/>
  <c r="H49" i="163"/>
  <c r="I49" i="163"/>
  <c r="J49" i="163"/>
  <c r="B48" i="163"/>
  <c r="C48" i="163"/>
  <c r="B49" i="163"/>
  <c r="C49" i="163"/>
  <c r="R48" i="163" l="1"/>
  <c r="I45" i="163"/>
  <c r="I46" i="163"/>
  <c r="I47" i="163"/>
  <c r="U47" i="163" l="1"/>
  <c r="U46" i="163"/>
  <c r="U45" i="163"/>
  <c r="L44" i="163"/>
  <c r="M44" i="163"/>
  <c r="O44" i="163"/>
  <c r="Q44" i="163"/>
  <c r="M45" i="163"/>
  <c r="O45" i="163"/>
  <c r="Q45" i="163"/>
  <c r="M46" i="163"/>
  <c r="O46" i="163"/>
  <c r="Q46" i="163"/>
  <c r="M47" i="163"/>
  <c r="O47" i="163"/>
  <c r="Q47" i="163"/>
  <c r="E44" i="163"/>
  <c r="F44" i="163"/>
  <c r="G44" i="163"/>
  <c r="H44" i="163"/>
  <c r="I44" i="163"/>
  <c r="J44" i="163"/>
  <c r="E45" i="163"/>
  <c r="F45" i="163"/>
  <c r="G45" i="163"/>
  <c r="H45" i="163"/>
  <c r="J45" i="163"/>
  <c r="E46" i="163"/>
  <c r="F46" i="163"/>
  <c r="G46" i="163"/>
  <c r="H46" i="163"/>
  <c r="J46" i="163"/>
  <c r="E47" i="163"/>
  <c r="F47" i="163"/>
  <c r="G47" i="163"/>
  <c r="H47" i="163"/>
  <c r="J47" i="163"/>
  <c r="B44" i="163"/>
  <c r="C44" i="163"/>
  <c r="B46" i="163"/>
  <c r="C46" i="163"/>
  <c r="B47" i="163"/>
  <c r="C47" i="163"/>
  <c r="B51" i="163"/>
  <c r="C51" i="163"/>
  <c r="R44" i="163" l="1"/>
  <c r="F42" i="163" l="1"/>
  <c r="F43" i="163"/>
  <c r="L40" i="163"/>
  <c r="M40" i="163"/>
  <c r="O40" i="163"/>
  <c r="M41" i="163"/>
  <c r="O41" i="163"/>
  <c r="M42" i="163"/>
  <c r="O42" i="163"/>
  <c r="M43" i="163"/>
  <c r="O43" i="163"/>
  <c r="E43" i="163"/>
  <c r="G43" i="163"/>
  <c r="I43" i="163"/>
  <c r="E40" i="163"/>
  <c r="F40" i="163"/>
  <c r="G40" i="163"/>
  <c r="I40" i="163"/>
  <c r="E41" i="163"/>
  <c r="G41" i="163"/>
  <c r="I41" i="163"/>
  <c r="E42" i="163"/>
  <c r="G42" i="163"/>
  <c r="I42" i="163"/>
  <c r="B40" i="163"/>
  <c r="C40" i="163"/>
  <c r="B41" i="163"/>
  <c r="C41" i="163"/>
  <c r="B42" i="163"/>
  <c r="C42" i="163"/>
  <c r="B43" i="163"/>
  <c r="C43" i="163"/>
  <c r="B45" i="163"/>
  <c r="C45" i="163"/>
  <c r="F39" i="163"/>
  <c r="F37" i="163"/>
  <c r="E39" i="163"/>
  <c r="H39" i="163"/>
  <c r="H37" i="163"/>
  <c r="Q37" i="163"/>
  <c r="Q39" i="163"/>
  <c r="O39" i="163"/>
  <c r="O37" i="163"/>
  <c r="O38" i="163"/>
  <c r="M39" i="163"/>
  <c r="M37" i="163"/>
  <c r="L37" i="163"/>
  <c r="J37" i="163"/>
  <c r="J38" i="163"/>
  <c r="J39" i="163"/>
  <c r="I37" i="163"/>
  <c r="I38" i="163"/>
  <c r="I39" i="163"/>
  <c r="G39" i="163"/>
  <c r="G37" i="163"/>
  <c r="G38" i="163"/>
  <c r="C38" i="163"/>
  <c r="E37" i="163"/>
  <c r="B37" i="163"/>
  <c r="C37" i="163"/>
  <c r="B38" i="163"/>
  <c r="B39" i="163"/>
  <c r="C39" i="163"/>
  <c r="R40" i="163" l="1"/>
  <c r="F41" i="163"/>
  <c r="R37" i="163"/>
  <c r="L34" i="163"/>
  <c r="U35" i="163"/>
  <c r="U36" i="163"/>
  <c r="M34" i="163"/>
  <c r="O34" i="163"/>
  <c r="M35" i="163"/>
  <c r="O35" i="163"/>
  <c r="M36" i="163"/>
  <c r="O36" i="163"/>
  <c r="E34" i="163"/>
  <c r="F34" i="163"/>
  <c r="G34" i="163"/>
  <c r="H34" i="163"/>
  <c r="I34" i="163"/>
  <c r="E35" i="163"/>
  <c r="F35" i="163"/>
  <c r="G35" i="163"/>
  <c r="I35" i="163"/>
  <c r="E36" i="163"/>
  <c r="G36" i="163"/>
  <c r="I36" i="163"/>
  <c r="B36" i="163"/>
  <c r="C36" i="163"/>
  <c r="B34" i="163"/>
  <c r="C34" i="163"/>
  <c r="B35" i="163"/>
  <c r="C35" i="163"/>
  <c r="R34" i="163" l="1"/>
  <c r="M33" i="163"/>
  <c r="O33" i="163"/>
  <c r="F33" i="163"/>
  <c r="I33" i="163"/>
  <c r="M32" i="163"/>
  <c r="O32" i="163"/>
  <c r="L32" i="163"/>
  <c r="I32" i="163"/>
  <c r="G32" i="163"/>
  <c r="F32" i="163"/>
  <c r="G33" i="163"/>
  <c r="E32" i="163"/>
  <c r="E33" i="163"/>
  <c r="B32" i="163"/>
  <c r="C32" i="163"/>
  <c r="B33" i="163"/>
  <c r="C33" i="163"/>
  <c r="R32" i="163" l="1"/>
  <c r="L29" i="163"/>
  <c r="M29" i="163"/>
  <c r="O29" i="163"/>
  <c r="M30" i="163"/>
  <c r="O30" i="163"/>
  <c r="M31" i="163"/>
  <c r="O31" i="163"/>
  <c r="E29" i="163"/>
  <c r="F29" i="163"/>
  <c r="G29" i="163"/>
  <c r="I29" i="163"/>
  <c r="E30" i="163"/>
  <c r="G30" i="163"/>
  <c r="E31" i="163"/>
  <c r="G31" i="163"/>
  <c r="B31" i="163"/>
  <c r="C31" i="163"/>
  <c r="B29" i="163"/>
  <c r="C29" i="163"/>
  <c r="B30" i="163"/>
  <c r="C30" i="163"/>
  <c r="R29" i="163" l="1"/>
  <c r="O28" i="163"/>
  <c r="O27" i="163"/>
  <c r="M28" i="163"/>
  <c r="M27" i="163"/>
  <c r="F27" i="163" l="1"/>
  <c r="F28" i="163"/>
  <c r="E28" i="163"/>
  <c r="G28" i="163"/>
  <c r="I28" i="163"/>
  <c r="B28" i="163"/>
  <c r="C28" i="163"/>
  <c r="C27" i="163"/>
  <c r="B27" i="163"/>
  <c r="U27" i="163"/>
  <c r="L26" i="163"/>
  <c r="L27" i="163"/>
  <c r="E26" i="163"/>
  <c r="F26" i="163"/>
  <c r="G26" i="163"/>
  <c r="I26" i="163"/>
  <c r="E27" i="163"/>
  <c r="G27" i="163"/>
  <c r="I27" i="163"/>
  <c r="R27" i="163" l="1"/>
  <c r="B26" i="163"/>
  <c r="C26" i="163"/>
  <c r="L25" i="163" l="1"/>
  <c r="E25" i="163"/>
  <c r="F25" i="163"/>
  <c r="G25" i="163"/>
  <c r="I25" i="163"/>
  <c r="M25" i="163"/>
  <c r="O25" i="163"/>
  <c r="R25" i="163" l="1"/>
  <c r="F24" i="163"/>
  <c r="B25" i="163"/>
  <c r="C25" i="163"/>
  <c r="L23" i="163"/>
  <c r="M23" i="163"/>
  <c r="O23" i="163"/>
  <c r="M24" i="163"/>
  <c r="O24" i="163"/>
  <c r="E23" i="163"/>
  <c r="F23" i="163"/>
  <c r="G23" i="163"/>
  <c r="I23" i="163"/>
  <c r="E24" i="163"/>
  <c r="G24" i="163"/>
  <c r="I24" i="163"/>
  <c r="B24" i="163"/>
  <c r="C24" i="163"/>
  <c r="B23" i="163"/>
  <c r="C23" i="163"/>
  <c r="R23" i="163" l="1"/>
  <c r="L21" i="163" l="1"/>
  <c r="M21" i="163"/>
  <c r="O21" i="163"/>
  <c r="M22" i="163"/>
  <c r="O22" i="163"/>
  <c r="E21" i="163"/>
  <c r="F21" i="163"/>
  <c r="G21" i="163"/>
  <c r="I21" i="163"/>
  <c r="E22" i="163"/>
  <c r="F22" i="163"/>
  <c r="G22" i="163"/>
  <c r="I22" i="163"/>
  <c r="B21" i="163"/>
  <c r="C21" i="163"/>
  <c r="B22" i="163"/>
  <c r="C22" i="163"/>
  <c r="R21" i="163" l="1"/>
  <c r="L18" i="163"/>
  <c r="M18" i="163"/>
  <c r="O18" i="163"/>
  <c r="M19" i="163"/>
  <c r="O19" i="163"/>
  <c r="M20" i="163"/>
  <c r="O20" i="163"/>
  <c r="J41" i="164" l="1"/>
  <c r="E18" i="163"/>
  <c r="F18" i="163"/>
  <c r="G18" i="163"/>
  <c r="I18" i="163"/>
  <c r="E19" i="163"/>
  <c r="F19" i="163"/>
  <c r="G19" i="163"/>
  <c r="I19" i="163"/>
  <c r="E20" i="163"/>
  <c r="F20" i="163"/>
  <c r="G20" i="163"/>
  <c r="I20" i="163"/>
  <c r="B18" i="163"/>
  <c r="C18" i="163"/>
  <c r="B19" i="163"/>
  <c r="C19" i="163"/>
  <c r="B20" i="163"/>
  <c r="C20" i="163"/>
  <c r="J4" i="164"/>
  <c r="J38" i="164"/>
  <c r="J40" i="164"/>
  <c r="R18" i="163" l="1"/>
  <c r="L16" i="163"/>
  <c r="M16" i="163"/>
  <c r="O16" i="163"/>
  <c r="M17" i="163"/>
  <c r="O17" i="163"/>
  <c r="E16" i="163"/>
  <c r="F16" i="163"/>
  <c r="G16" i="163"/>
  <c r="I16" i="163"/>
  <c r="E17" i="163"/>
  <c r="F17" i="163"/>
  <c r="G17" i="163"/>
  <c r="I17" i="163"/>
  <c r="B16" i="163"/>
  <c r="C16" i="163"/>
  <c r="B17" i="163"/>
  <c r="C17" i="163"/>
  <c r="R16" i="163" l="1"/>
  <c r="L15" i="163"/>
  <c r="M15" i="163"/>
  <c r="O15" i="163"/>
  <c r="E15" i="163"/>
  <c r="F15" i="163"/>
  <c r="G15" i="163"/>
  <c r="I15" i="163"/>
  <c r="B15" i="163"/>
  <c r="C15" i="163"/>
  <c r="R15" i="163" l="1"/>
  <c r="M14" i="163"/>
  <c r="O14" i="163"/>
  <c r="L14" i="163"/>
  <c r="E14" i="163"/>
  <c r="F14" i="163"/>
  <c r="G14" i="163"/>
  <c r="I14" i="163"/>
  <c r="B14" i="163"/>
  <c r="C14" i="163"/>
  <c r="M13" i="163"/>
  <c r="O13" i="163"/>
  <c r="E13" i="163"/>
  <c r="F13" i="163"/>
  <c r="G13" i="163"/>
  <c r="I13" i="163"/>
  <c r="M11" i="163"/>
  <c r="O11" i="163"/>
  <c r="M12" i="163"/>
  <c r="O12" i="163"/>
  <c r="L11" i="163"/>
  <c r="E11" i="163"/>
  <c r="F11" i="163"/>
  <c r="G11" i="163"/>
  <c r="I11" i="163"/>
  <c r="E12" i="163"/>
  <c r="F12" i="163"/>
  <c r="G12" i="163"/>
  <c r="I12" i="163"/>
  <c r="B11" i="163"/>
  <c r="C11" i="163"/>
  <c r="B12" i="163"/>
  <c r="C12" i="163"/>
  <c r="B13" i="163"/>
  <c r="C13" i="163"/>
  <c r="R14" i="163" l="1"/>
  <c r="R11" i="163"/>
  <c r="E9" i="163"/>
  <c r="F9" i="163"/>
  <c r="G9" i="163"/>
  <c r="I9" i="163"/>
  <c r="E10" i="163"/>
  <c r="F10" i="163"/>
  <c r="G10" i="163"/>
  <c r="I10" i="163"/>
  <c r="L9" i="163"/>
  <c r="M9" i="163"/>
  <c r="O9" i="163"/>
  <c r="M10" i="163"/>
  <c r="O10" i="163"/>
  <c r="B9" i="163"/>
  <c r="C9" i="163"/>
  <c r="B10" i="163"/>
  <c r="C10" i="163"/>
  <c r="R9" i="163" l="1"/>
  <c r="F7" i="163"/>
  <c r="F8" i="163"/>
  <c r="L7" i="163"/>
  <c r="M7" i="163"/>
  <c r="O7" i="163"/>
  <c r="P7" i="163"/>
  <c r="M8" i="163"/>
  <c r="O8" i="163"/>
  <c r="P8" i="163"/>
  <c r="E7" i="163"/>
  <c r="G7" i="163"/>
  <c r="I7" i="163"/>
  <c r="E8" i="163"/>
  <c r="G8" i="163"/>
  <c r="I8" i="163"/>
  <c r="B7" i="163"/>
  <c r="C7" i="163"/>
  <c r="B8" i="163"/>
  <c r="C8" i="163"/>
  <c r="R7" i="163" l="1"/>
  <c r="L34" i="162"/>
  <c r="L6" i="163" l="1"/>
  <c r="M6" i="163"/>
  <c r="O6" i="163"/>
  <c r="P6" i="163"/>
  <c r="E6" i="163"/>
  <c r="F6" i="163"/>
  <c r="G6" i="163"/>
  <c r="I6" i="163"/>
  <c r="B6" i="163"/>
  <c r="C6" i="163"/>
  <c r="R6" i="163" l="1"/>
  <c r="L4" i="163" l="1"/>
  <c r="O5" i="163"/>
  <c r="O4" i="163"/>
  <c r="P5" i="163"/>
  <c r="P4" i="163"/>
  <c r="M5" i="163"/>
  <c r="M4" i="163"/>
  <c r="I5" i="163"/>
  <c r="I4" i="163"/>
  <c r="G5" i="163"/>
  <c r="G4" i="163"/>
  <c r="F5" i="163"/>
  <c r="F4" i="163"/>
  <c r="E5" i="163"/>
  <c r="E4" i="163"/>
  <c r="B5" i="163"/>
  <c r="C5" i="163"/>
  <c r="C4" i="163"/>
  <c r="B4" i="163"/>
  <c r="P58" i="163" l="1"/>
  <c r="R4" i="163"/>
  <c r="O43" i="162"/>
  <c r="L42" i="162"/>
  <c r="I41" i="162"/>
  <c r="D60" i="162"/>
  <c r="U42" i="162"/>
  <c r="P37" i="162"/>
  <c r="P38" i="162"/>
  <c r="P39" i="162"/>
  <c r="P40" i="162"/>
  <c r="P41" i="162"/>
  <c r="P42" i="162"/>
  <c r="P43" i="162"/>
  <c r="M39" i="162"/>
  <c r="O39" i="162"/>
  <c r="M40" i="162"/>
  <c r="O40" i="162"/>
  <c r="M41" i="162"/>
  <c r="O41" i="162"/>
  <c r="M42" i="162"/>
  <c r="O42" i="162"/>
  <c r="M43" i="162"/>
  <c r="L39" i="162"/>
  <c r="I39" i="162"/>
  <c r="I40" i="162"/>
  <c r="I42" i="162"/>
  <c r="I43" i="162"/>
  <c r="E39" i="162"/>
  <c r="F39" i="162"/>
  <c r="E40" i="162"/>
  <c r="E41" i="162"/>
  <c r="E42" i="162"/>
  <c r="F42" i="162"/>
  <c r="E43" i="162"/>
  <c r="G39" i="162"/>
  <c r="G40" i="162"/>
  <c r="G41" i="162"/>
  <c r="G42" i="162"/>
  <c r="G43" i="162"/>
  <c r="B43" i="162"/>
  <c r="C43" i="162"/>
  <c r="B39" i="162"/>
  <c r="C39" i="162"/>
  <c r="B40" i="162"/>
  <c r="C40" i="162"/>
  <c r="B41" i="162"/>
  <c r="C41" i="162"/>
  <c r="B42" i="162"/>
  <c r="C42" i="162"/>
  <c r="R42" i="162" l="1"/>
  <c r="R39" i="162"/>
  <c r="L37" i="162" l="1"/>
  <c r="M37" i="162"/>
  <c r="O37" i="162"/>
  <c r="M38" i="162"/>
  <c r="O38" i="162"/>
  <c r="E37" i="162" l="1"/>
  <c r="G37" i="162"/>
  <c r="E38" i="162"/>
  <c r="G38" i="162"/>
  <c r="I38" i="162"/>
  <c r="B37" i="162"/>
  <c r="C37" i="162"/>
  <c r="B38" i="162"/>
  <c r="C38" i="162"/>
  <c r="L36" i="162"/>
  <c r="M36" i="162"/>
  <c r="O36" i="162"/>
  <c r="P36" i="162"/>
  <c r="E36" i="162"/>
  <c r="G36" i="162"/>
  <c r="B36" i="162"/>
  <c r="C36" i="162"/>
  <c r="O35" i="162"/>
  <c r="M34" i="162"/>
  <c r="O34" i="162"/>
  <c r="P34" i="162"/>
  <c r="M35" i="162"/>
  <c r="P35" i="162"/>
  <c r="E34" i="162"/>
  <c r="G34" i="162"/>
  <c r="E35" i="162"/>
  <c r="G35" i="162"/>
  <c r="I35" i="162"/>
  <c r="B34" i="162"/>
  <c r="C34" i="162"/>
  <c r="B35" i="162"/>
  <c r="C35" i="162"/>
  <c r="R36" i="162" l="1"/>
  <c r="R37" i="162"/>
  <c r="R34" i="162"/>
  <c r="M33" i="162"/>
  <c r="O33" i="162"/>
  <c r="P33" i="162"/>
  <c r="L33" i="162"/>
  <c r="E33" i="162"/>
  <c r="G33" i="162"/>
  <c r="R33" i="162" l="1"/>
  <c r="B33" i="162"/>
  <c r="C33" i="162"/>
  <c r="L28" i="162" l="1"/>
  <c r="L31" i="162"/>
  <c r="L26" i="162"/>
  <c r="L25" i="162"/>
  <c r="M31" i="162"/>
  <c r="O31" i="162"/>
  <c r="P31" i="162"/>
  <c r="M32" i="162"/>
  <c r="O32" i="162"/>
  <c r="P32" i="162"/>
  <c r="E31" i="162"/>
  <c r="G31" i="162"/>
  <c r="I31" i="162"/>
  <c r="E32" i="162"/>
  <c r="G32" i="162"/>
  <c r="B31" i="162"/>
  <c r="C31" i="162"/>
  <c r="B32" i="162"/>
  <c r="C32" i="162"/>
  <c r="R31" i="162" l="1"/>
  <c r="M29" i="162" l="1"/>
  <c r="O29" i="162"/>
  <c r="P29" i="162"/>
  <c r="M30" i="162"/>
  <c r="O30" i="162"/>
  <c r="P30" i="162"/>
  <c r="E29" i="162"/>
  <c r="G29" i="162"/>
  <c r="I29" i="162"/>
  <c r="E30" i="162"/>
  <c r="G30" i="162"/>
  <c r="I30" i="162"/>
  <c r="B29" i="162"/>
  <c r="C29" i="162"/>
  <c r="B30" i="162"/>
  <c r="C30" i="162"/>
  <c r="P28" i="162" l="1"/>
  <c r="O28" i="162"/>
  <c r="M28" i="162"/>
  <c r="G28" i="162"/>
  <c r="E28" i="162"/>
  <c r="C28" i="162"/>
  <c r="B28" i="162"/>
  <c r="B27" i="162"/>
  <c r="C27" i="162"/>
  <c r="R28" i="162" l="1"/>
  <c r="E26" i="162"/>
  <c r="G26" i="162"/>
  <c r="R26" i="162" s="1"/>
  <c r="M26" i="162"/>
  <c r="O26" i="162"/>
  <c r="P26" i="162"/>
  <c r="B26" i="162"/>
  <c r="C26" i="162"/>
  <c r="M25" i="162" l="1"/>
  <c r="O25" i="162"/>
  <c r="P25" i="162"/>
  <c r="E25" i="162"/>
  <c r="G25" i="162"/>
  <c r="R25" i="162" s="1"/>
  <c r="B25" i="162"/>
  <c r="C25" i="162"/>
  <c r="E24" i="162"/>
  <c r="M5" i="162"/>
  <c r="M6" i="162"/>
  <c r="M7" i="162"/>
  <c r="M8" i="162"/>
  <c r="M9" i="162"/>
  <c r="M10" i="162"/>
  <c r="M11" i="162"/>
  <c r="M12" i="162"/>
  <c r="M13" i="162"/>
  <c r="M14" i="162"/>
  <c r="M15" i="162"/>
  <c r="M16" i="162"/>
  <c r="M17" i="162"/>
  <c r="M18" i="162"/>
  <c r="M19" i="162"/>
  <c r="M20" i="162"/>
  <c r="M21" i="162"/>
  <c r="M22" i="162"/>
  <c r="M23" i="162"/>
  <c r="M24" i="162"/>
  <c r="M4" i="162"/>
  <c r="L23" i="162" l="1"/>
  <c r="O23" i="162"/>
  <c r="P23" i="162"/>
  <c r="O24" i="162"/>
  <c r="P24" i="162"/>
  <c r="G23" i="162"/>
  <c r="I23" i="162"/>
  <c r="G24" i="162"/>
  <c r="I24" i="162"/>
  <c r="B24" i="162"/>
  <c r="C24" i="162"/>
  <c r="E23" i="162"/>
  <c r="B23" i="162"/>
  <c r="C23" i="162"/>
  <c r="L22" i="162"/>
  <c r="R23" i="162" l="1"/>
  <c r="O22" i="162" l="1"/>
  <c r="P22" i="162"/>
  <c r="E22" i="162"/>
  <c r="G22" i="162"/>
  <c r="R22" i="162" s="1"/>
  <c r="B22" i="162"/>
  <c r="C22" i="162"/>
  <c r="L20" i="162"/>
  <c r="O20" i="162"/>
  <c r="P20" i="162"/>
  <c r="O21" i="162"/>
  <c r="P21" i="162"/>
  <c r="B20" i="162"/>
  <c r="C20" i="162"/>
  <c r="E20" i="162"/>
  <c r="G20" i="162"/>
  <c r="I20" i="162"/>
  <c r="B21" i="162"/>
  <c r="C21" i="162"/>
  <c r="E21" i="162"/>
  <c r="G21" i="162"/>
  <c r="I21" i="162"/>
  <c r="R20" i="162" l="1"/>
  <c r="L17" i="162" l="1"/>
  <c r="O19" i="162"/>
  <c r="P19" i="162"/>
  <c r="B19" i="162"/>
  <c r="C19" i="162"/>
  <c r="E19" i="162"/>
  <c r="G19" i="162"/>
  <c r="O17" i="162"/>
  <c r="P17" i="162"/>
  <c r="O18" i="162"/>
  <c r="P18" i="162"/>
  <c r="B17" i="162"/>
  <c r="C17" i="162"/>
  <c r="E17" i="162"/>
  <c r="G17" i="162"/>
  <c r="I17" i="162"/>
  <c r="B18" i="162"/>
  <c r="C18" i="162"/>
  <c r="E18" i="162"/>
  <c r="G18" i="162"/>
  <c r="R17" i="162" l="1"/>
  <c r="L14" i="162"/>
  <c r="O14" i="162"/>
  <c r="P14" i="162"/>
  <c r="O15" i="162"/>
  <c r="P15" i="162"/>
  <c r="O16" i="162"/>
  <c r="P16" i="162"/>
  <c r="E14" i="162"/>
  <c r="G14" i="162"/>
  <c r="E15" i="162"/>
  <c r="G15" i="162"/>
  <c r="E16" i="162"/>
  <c r="G16" i="162"/>
  <c r="I16" i="162"/>
  <c r="B16" i="162"/>
  <c r="C16" i="162"/>
  <c r="B14" i="162"/>
  <c r="C14" i="162"/>
  <c r="B15" i="162"/>
  <c r="C15" i="162"/>
  <c r="R14" i="162" l="1"/>
  <c r="L12" i="162" l="1"/>
  <c r="O12" i="162"/>
  <c r="P12" i="162"/>
  <c r="O13" i="162"/>
  <c r="P13" i="162"/>
  <c r="E12" i="162"/>
  <c r="G12" i="162"/>
  <c r="E13" i="162"/>
  <c r="G13" i="162"/>
  <c r="I13" i="162"/>
  <c r="B12" i="162"/>
  <c r="C12" i="162"/>
  <c r="B13" i="162"/>
  <c r="C13" i="162"/>
  <c r="R12" i="162" l="1"/>
  <c r="L9" i="162"/>
  <c r="O9" i="162"/>
  <c r="P9" i="162"/>
  <c r="O10" i="162"/>
  <c r="P10" i="162"/>
  <c r="O11" i="162"/>
  <c r="P11" i="162"/>
  <c r="E9" i="162"/>
  <c r="F9" i="162"/>
  <c r="G9" i="162"/>
  <c r="E10" i="162"/>
  <c r="G10" i="162"/>
  <c r="E11" i="162"/>
  <c r="G11" i="162"/>
  <c r="I11" i="162"/>
  <c r="B11" i="162"/>
  <c r="C11" i="162"/>
  <c r="B9" i="162"/>
  <c r="C9" i="162"/>
  <c r="B10" i="162"/>
  <c r="C10" i="162"/>
  <c r="G44" i="161"/>
  <c r="G45" i="161"/>
  <c r="G46" i="161"/>
  <c r="G47" i="161"/>
  <c r="G48" i="161"/>
  <c r="G49" i="161"/>
  <c r="P5" i="162"/>
  <c r="P6" i="162"/>
  <c r="P7" i="162"/>
  <c r="P8" i="162"/>
  <c r="O5" i="162"/>
  <c r="O6" i="162"/>
  <c r="O7" i="162"/>
  <c r="O8" i="162"/>
  <c r="L7" i="162"/>
  <c r="R9" i="162" l="1"/>
  <c r="E7" i="162"/>
  <c r="G7" i="162"/>
  <c r="E8" i="162"/>
  <c r="G8" i="162"/>
  <c r="I8" i="162"/>
  <c r="B7" i="162"/>
  <c r="C7" i="162"/>
  <c r="B8" i="162"/>
  <c r="C8" i="162"/>
  <c r="E5" i="162"/>
  <c r="E6" i="162"/>
  <c r="E4" i="162"/>
  <c r="L6" i="162"/>
  <c r="R7" i="162" l="1"/>
  <c r="G6" i="162"/>
  <c r="B6" i="162"/>
  <c r="C6" i="162"/>
  <c r="R6" i="162" l="1"/>
  <c r="B5" i="162" l="1"/>
  <c r="C5" i="162"/>
  <c r="G5" i="162"/>
  <c r="I5" i="162"/>
  <c r="J49" i="161" l="1"/>
  <c r="J48" i="161"/>
  <c r="J47" i="161"/>
  <c r="J46" i="161"/>
  <c r="J45" i="161"/>
  <c r="J44" i="161"/>
  <c r="J43" i="161"/>
  <c r="J41" i="161"/>
  <c r="J33" i="161"/>
  <c r="J34" i="161"/>
  <c r="J35" i="161"/>
  <c r="J36" i="161"/>
  <c r="J37" i="161"/>
  <c r="J38" i="161"/>
  <c r="J39" i="161"/>
  <c r="J32" i="161"/>
  <c r="J20" i="161"/>
  <c r="J21" i="161"/>
  <c r="J22" i="161"/>
  <c r="J23" i="161"/>
  <c r="J24" i="161"/>
  <c r="J25" i="161"/>
  <c r="J26" i="161"/>
  <c r="J27" i="161"/>
  <c r="J28" i="161"/>
  <c r="J29" i="161"/>
  <c r="J30" i="161"/>
  <c r="J9" i="161"/>
  <c r="J10" i="161"/>
  <c r="J11" i="161"/>
  <c r="J12" i="161"/>
  <c r="J13" i="161"/>
  <c r="J14" i="161"/>
  <c r="J15" i="161"/>
  <c r="J16" i="161"/>
  <c r="J17" i="161"/>
  <c r="J18" i="161"/>
  <c r="J19" i="161"/>
  <c r="J5" i="161"/>
  <c r="J8" i="161"/>
  <c r="J4" i="161"/>
  <c r="P4" i="162"/>
  <c r="O4" i="162"/>
  <c r="L4" i="162"/>
  <c r="I4" i="162"/>
  <c r="G4" i="162"/>
  <c r="C4" i="162"/>
  <c r="B4" i="162"/>
  <c r="F49" i="161"/>
  <c r="F48" i="161"/>
  <c r="L48" i="161"/>
  <c r="M48" i="161"/>
  <c r="O48" i="161"/>
  <c r="P48" i="161"/>
  <c r="O49" i="161"/>
  <c r="P49" i="161"/>
  <c r="E48" i="161"/>
  <c r="I48" i="161"/>
  <c r="I49" i="161"/>
  <c r="B48" i="161"/>
  <c r="C48" i="161"/>
  <c r="B49" i="161"/>
  <c r="C49" i="161"/>
  <c r="B50" i="161"/>
  <c r="C50" i="161"/>
  <c r="B51" i="161"/>
  <c r="C51" i="161"/>
  <c r="B52" i="161"/>
  <c r="C52" i="161"/>
  <c r="R4" i="162" l="1"/>
  <c r="R48" i="161"/>
  <c r="H48" i="161"/>
  <c r="H49" i="161"/>
  <c r="Q48" i="161" l="1"/>
  <c r="Q49" i="161"/>
  <c r="F47" i="161" l="1"/>
  <c r="F46" i="161"/>
  <c r="H45" i="161"/>
  <c r="F44" i="161"/>
  <c r="L44" i="161"/>
  <c r="O44" i="161"/>
  <c r="P44" i="161"/>
  <c r="O45" i="161"/>
  <c r="P45" i="161"/>
  <c r="O46" i="161"/>
  <c r="P46" i="161"/>
  <c r="O47" i="161"/>
  <c r="P47" i="161"/>
  <c r="H44" i="161"/>
  <c r="I44" i="161"/>
  <c r="F45" i="161"/>
  <c r="I45" i="161"/>
  <c r="H46" i="161"/>
  <c r="I46" i="161"/>
  <c r="H47" i="161"/>
  <c r="I47" i="161"/>
  <c r="B44" i="161"/>
  <c r="C44" i="161"/>
  <c r="B45" i="161"/>
  <c r="C45" i="161"/>
  <c r="B46" i="161"/>
  <c r="C46" i="161"/>
  <c r="B47" i="161"/>
  <c r="C47" i="161"/>
  <c r="R44" i="161" l="1"/>
  <c r="M47" i="161"/>
  <c r="E47" i="161"/>
  <c r="M46" i="161"/>
  <c r="E46" i="161"/>
  <c r="E45" i="161"/>
  <c r="M45" i="161"/>
  <c r="E44" i="161"/>
  <c r="M44" i="161"/>
  <c r="Q47" i="161" l="1"/>
  <c r="Q44" i="161" l="1"/>
  <c r="Q45" i="161"/>
  <c r="Q46" i="161"/>
  <c r="E43" i="161" l="1"/>
  <c r="I41" i="161"/>
  <c r="I40" i="161"/>
  <c r="O43" i="161"/>
  <c r="M43" i="161"/>
  <c r="L40" i="161"/>
  <c r="M40" i="161"/>
  <c r="O40" i="161"/>
  <c r="P40" i="161"/>
  <c r="O41" i="161"/>
  <c r="P41" i="161"/>
  <c r="P42" i="161"/>
  <c r="P43" i="161"/>
  <c r="E40" i="161"/>
  <c r="F40" i="161"/>
  <c r="G40" i="161"/>
  <c r="F41" i="161"/>
  <c r="G41" i="161"/>
  <c r="H41" i="161"/>
  <c r="G42" i="161"/>
  <c r="F43" i="161"/>
  <c r="G43" i="161"/>
  <c r="I43" i="161"/>
  <c r="B40" i="161"/>
  <c r="C40" i="161"/>
  <c r="B41" i="161"/>
  <c r="C41" i="161"/>
  <c r="B42" i="161"/>
  <c r="C42" i="161"/>
  <c r="B43" i="161"/>
  <c r="C43" i="161"/>
  <c r="R40" i="161" l="1"/>
  <c r="L38" i="161"/>
  <c r="M38" i="161"/>
  <c r="O38" i="161"/>
  <c r="P38" i="161"/>
  <c r="Q38" i="161"/>
  <c r="M39" i="161"/>
  <c r="O39" i="161"/>
  <c r="P39" i="161"/>
  <c r="Q39" i="161"/>
  <c r="E38" i="161"/>
  <c r="F38" i="161"/>
  <c r="G38" i="161"/>
  <c r="H38" i="161"/>
  <c r="I38" i="161"/>
  <c r="E39" i="161"/>
  <c r="F39" i="161"/>
  <c r="G39" i="161"/>
  <c r="H39" i="161"/>
  <c r="I39" i="161"/>
  <c r="B38" i="161"/>
  <c r="C38" i="161"/>
  <c r="B39" i="161"/>
  <c r="C39" i="161"/>
  <c r="R38" i="161" l="1"/>
  <c r="Q32" i="161"/>
  <c r="F37" i="161" l="1"/>
  <c r="F36" i="161"/>
  <c r="L36" i="161"/>
  <c r="M36" i="161"/>
  <c r="O36" i="161"/>
  <c r="P36" i="161"/>
  <c r="M37" i="161"/>
  <c r="O37" i="161"/>
  <c r="P37" i="161"/>
  <c r="E36" i="161"/>
  <c r="G36" i="161"/>
  <c r="H36" i="161"/>
  <c r="I36" i="161"/>
  <c r="E37" i="161"/>
  <c r="G37" i="161"/>
  <c r="H37" i="161"/>
  <c r="I37" i="161"/>
  <c r="R36" i="161" l="1"/>
  <c r="B36" i="161"/>
  <c r="C36" i="161"/>
  <c r="B37" i="161"/>
  <c r="C37" i="161"/>
  <c r="L32" i="161"/>
  <c r="M31" i="161" l="1"/>
  <c r="O31" i="161"/>
  <c r="P31" i="161"/>
  <c r="M32" i="161"/>
  <c r="O32" i="161"/>
  <c r="P32" i="161"/>
  <c r="O33" i="161"/>
  <c r="P33" i="161"/>
  <c r="O34" i="161"/>
  <c r="P34" i="161"/>
  <c r="O35" i="161"/>
  <c r="P35" i="161"/>
  <c r="E31" i="161"/>
  <c r="F31" i="161"/>
  <c r="G31" i="161"/>
  <c r="H31" i="161"/>
  <c r="I31" i="161"/>
  <c r="K31" i="161"/>
  <c r="E32" i="161"/>
  <c r="F32" i="161"/>
  <c r="G32" i="161"/>
  <c r="I32" i="161"/>
  <c r="F33" i="161"/>
  <c r="G33" i="161"/>
  <c r="I33" i="161"/>
  <c r="F34" i="161"/>
  <c r="G34" i="161"/>
  <c r="I34" i="161"/>
  <c r="F35" i="161"/>
  <c r="G35" i="161"/>
  <c r="I35" i="161"/>
  <c r="B32" i="161"/>
  <c r="C32" i="161"/>
  <c r="B33" i="161"/>
  <c r="C33" i="161"/>
  <c r="B34" i="161"/>
  <c r="C34" i="161"/>
  <c r="B35" i="161"/>
  <c r="C35" i="161"/>
  <c r="R32" i="161" l="1"/>
  <c r="H32" i="161" l="1"/>
  <c r="H33" i="161"/>
  <c r="H34" i="161"/>
  <c r="H35" i="161"/>
  <c r="Q34" i="161" l="1"/>
  <c r="Q33" i="161"/>
  <c r="Q30" i="164"/>
  <c r="Q35" i="161" l="1"/>
  <c r="Q31" i="164"/>
  <c r="B31" i="161" l="1"/>
  <c r="C31" i="161"/>
  <c r="M27" i="161"/>
  <c r="O27" i="161"/>
  <c r="P27" i="161"/>
  <c r="Q27" i="161"/>
  <c r="M28" i="161"/>
  <c r="O28" i="161"/>
  <c r="P28" i="161"/>
  <c r="Q28" i="161"/>
  <c r="M29" i="161"/>
  <c r="O29" i="161"/>
  <c r="P29" i="161"/>
  <c r="Q29" i="161"/>
  <c r="M30" i="161"/>
  <c r="O30" i="161"/>
  <c r="P30" i="161"/>
  <c r="Q30" i="161"/>
  <c r="L27" i="161"/>
  <c r="F27" i="161" l="1"/>
  <c r="G27" i="161"/>
  <c r="H27" i="161"/>
  <c r="I27" i="161"/>
  <c r="F28" i="161"/>
  <c r="G28" i="161"/>
  <c r="I28" i="161"/>
  <c r="F29" i="161"/>
  <c r="G29" i="161"/>
  <c r="I29" i="161"/>
  <c r="F30" i="161"/>
  <c r="G30" i="161"/>
  <c r="I30" i="161"/>
  <c r="B27" i="161"/>
  <c r="C27" i="161"/>
  <c r="B28" i="161"/>
  <c r="C28" i="161"/>
  <c r="B29" i="161"/>
  <c r="C29" i="161"/>
  <c r="B30" i="161"/>
  <c r="C30" i="161"/>
  <c r="R27" i="161" l="1"/>
  <c r="H28" i="161"/>
  <c r="H29" i="161"/>
  <c r="H30" i="161"/>
  <c r="E30" i="161" l="1"/>
  <c r="E29" i="161"/>
  <c r="E28" i="161"/>
  <c r="E27" i="161"/>
  <c r="L25" i="161" l="1"/>
  <c r="O25" i="161"/>
  <c r="P25" i="161"/>
  <c r="Q25" i="161"/>
  <c r="M26" i="161"/>
  <c r="O26" i="161"/>
  <c r="P26" i="161"/>
  <c r="Q26" i="161"/>
  <c r="F25" i="161"/>
  <c r="G25" i="161"/>
  <c r="H25" i="161"/>
  <c r="I25" i="161"/>
  <c r="E26" i="161"/>
  <c r="F26" i="161"/>
  <c r="G26" i="161"/>
  <c r="H26" i="161"/>
  <c r="I26" i="161"/>
  <c r="B25" i="161"/>
  <c r="C25" i="161"/>
  <c r="B26" i="161"/>
  <c r="C26" i="161"/>
  <c r="R25" i="161" l="1"/>
  <c r="H23" i="161"/>
  <c r="F23" i="161"/>
  <c r="L23" i="161"/>
  <c r="O23" i="161"/>
  <c r="P23" i="161"/>
  <c r="O24" i="161"/>
  <c r="P24" i="161"/>
  <c r="G23" i="161"/>
  <c r="I23" i="161"/>
  <c r="F24" i="161"/>
  <c r="G24" i="161"/>
  <c r="H24" i="161"/>
  <c r="I24" i="161"/>
  <c r="B23" i="161"/>
  <c r="C23" i="161"/>
  <c r="B24" i="161"/>
  <c r="C24" i="161"/>
  <c r="L21" i="161"/>
  <c r="R23" i="161" l="1"/>
  <c r="M21" i="161"/>
  <c r="O21" i="161"/>
  <c r="P21" i="161"/>
  <c r="Q21" i="161"/>
  <c r="O22" i="161"/>
  <c r="P22" i="161"/>
  <c r="Q22" i="161"/>
  <c r="E21" i="161"/>
  <c r="F21" i="161"/>
  <c r="G21" i="161"/>
  <c r="H21" i="161"/>
  <c r="I21" i="161"/>
  <c r="F22" i="161"/>
  <c r="G22" i="161"/>
  <c r="H22" i="161"/>
  <c r="I22" i="161"/>
  <c r="B21" i="161"/>
  <c r="C21" i="161"/>
  <c r="B22" i="161"/>
  <c r="C22" i="161"/>
  <c r="R21" i="161" l="1"/>
  <c r="L19" i="161"/>
  <c r="I19" i="161"/>
  <c r="M19" i="161"/>
  <c r="O19" i="161"/>
  <c r="P19" i="161"/>
  <c r="O20" i="161"/>
  <c r="P20" i="161"/>
  <c r="E19" i="161"/>
  <c r="F19" i="161"/>
  <c r="G19" i="161"/>
  <c r="F20" i="161"/>
  <c r="G20" i="161"/>
  <c r="I20" i="161"/>
  <c r="B19" i="161"/>
  <c r="C19" i="161"/>
  <c r="B20" i="161"/>
  <c r="C20" i="161"/>
  <c r="R19" i="161" l="1"/>
  <c r="M20" i="161"/>
  <c r="E20" i="161"/>
  <c r="M17" i="161" l="1"/>
  <c r="O17" i="161"/>
  <c r="P17" i="161"/>
  <c r="Q17" i="161"/>
  <c r="M18" i="161"/>
  <c r="O18" i="161"/>
  <c r="P18" i="161"/>
  <c r="Q18" i="161"/>
  <c r="L17" i="161"/>
  <c r="E17" i="161"/>
  <c r="F17" i="161"/>
  <c r="G17" i="161"/>
  <c r="H17" i="161"/>
  <c r="I17" i="161"/>
  <c r="E18" i="161"/>
  <c r="F18" i="161"/>
  <c r="G18" i="161"/>
  <c r="H18" i="161"/>
  <c r="I18" i="161"/>
  <c r="B17" i="161"/>
  <c r="C17" i="161"/>
  <c r="B18" i="161"/>
  <c r="C18" i="161"/>
  <c r="O15" i="161"/>
  <c r="M15" i="161"/>
  <c r="P15" i="161"/>
  <c r="Q15" i="161"/>
  <c r="M16" i="161"/>
  <c r="O16" i="161"/>
  <c r="P16" i="161"/>
  <c r="Q16" i="161"/>
  <c r="L15" i="161"/>
  <c r="E15" i="161"/>
  <c r="F15" i="161"/>
  <c r="G15" i="161"/>
  <c r="H15" i="161"/>
  <c r="I15" i="161"/>
  <c r="E16" i="161"/>
  <c r="F16" i="161"/>
  <c r="G16" i="161"/>
  <c r="H16" i="161"/>
  <c r="I16" i="161"/>
  <c r="B15" i="161"/>
  <c r="C15" i="161"/>
  <c r="B16" i="161"/>
  <c r="C16" i="161"/>
  <c r="R15" i="161" l="1"/>
  <c r="R17" i="161"/>
  <c r="F12" i="161" l="1"/>
  <c r="F13" i="161"/>
  <c r="E13" i="161"/>
  <c r="G13" i="161"/>
  <c r="I13" i="161"/>
  <c r="E14" i="161"/>
  <c r="F14" i="161"/>
  <c r="G14" i="161"/>
  <c r="I14" i="161"/>
  <c r="B13" i="161"/>
  <c r="C13" i="161"/>
  <c r="B14" i="161"/>
  <c r="C14" i="161"/>
  <c r="L12" i="161"/>
  <c r="M12" i="161"/>
  <c r="O12" i="161"/>
  <c r="P12" i="161"/>
  <c r="M13" i="161"/>
  <c r="O13" i="161"/>
  <c r="P13" i="161"/>
  <c r="M14" i="161"/>
  <c r="O14" i="161"/>
  <c r="P14" i="161"/>
  <c r="B12" i="161"/>
  <c r="C12" i="161"/>
  <c r="E12" i="161"/>
  <c r="G12" i="161"/>
  <c r="I12" i="161"/>
  <c r="L9" i="161"/>
  <c r="L11" i="161"/>
  <c r="R12" i="161" l="1"/>
  <c r="F10" i="161"/>
  <c r="F9" i="161"/>
  <c r="O9" i="161"/>
  <c r="P9" i="161"/>
  <c r="O10" i="161"/>
  <c r="P10" i="161"/>
  <c r="M11" i="161"/>
  <c r="O11" i="161"/>
  <c r="P11" i="161"/>
  <c r="B9" i="161"/>
  <c r="C9" i="161"/>
  <c r="G9" i="161"/>
  <c r="I9" i="161"/>
  <c r="B10" i="161"/>
  <c r="C10" i="161"/>
  <c r="G10" i="161"/>
  <c r="I10" i="161"/>
  <c r="B11" i="161"/>
  <c r="C11" i="161"/>
  <c r="E11" i="161"/>
  <c r="F11" i="161"/>
  <c r="G11" i="161"/>
  <c r="I11" i="161"/>
  <c r="R9" i="161" l="1"/>
  <c r="R11" i="161"/>
  <c r="M10" i="161"/>
  <c r="E10" i="161"/>
  <c r="M9" i="161"/>
  <c r="E9" i="161"/>
  <c r="P8" i="161" l="1"/>
  <c r="O8" i="161"/>
  <c r="M8" i="161"/>
  <c r="L8" i="161"/>
  <c r="I8" i="161"/>
  <c r="G8" i="161"/>
  <c r="F8" i="161"/>
  <c r="E8" i="161"/>
  <c r="C8" i="161"/>
  <c r="B8" i="161"/>
  <c r="I7" i="161"/>
  <c r="H7" i="161"/>
  <c r="G7" i="161"/>
  <c r="F7" i="161"/>
  <c r="E7" i="161"/>
  <c r="C7" i="161"/>
  <c r="B7" i="161"/>
  <c r="R8" i="161" l="1"/>
  <c r="B6" i="161"/>
  <c r="C6" i="161"/>
  <c r="E6" i="161"/>
  <c r="F6" i="161"/>
  <c r="G6" i="161"/>
  <c r="H6" i="161"/>
  <c r="I6" i="161"/>
  <c r="I5" i="161"/>
  <c r="L5" i="161"/>
  <c r="M5" i="161"/>
  <c r="O5" i="161"/>
  <c r="P5" i="161"/>
  <c r="B5" i="161" l="1"/>
  <c r="C5" i="161"/>
  <c r="C4" i="161" l="1"/>
  <c r="B4" i="161" l="1"/>
  <c r="O4" i="161"/>
  <c r="M4" i="161"/>
  <c r="E5" i="161"/>
  <c r="F5" i="161"/>
  <c r="G5" i="161"/>
  <c r="Q4" i="161"/>
  <c r="P4" i="161"/>
  <c r="L4" i="161"/>
  <c r="I4" i="161"/>
  <c r="H4" i="161"/>
  <c r="G4" i="161"/>
  <c r="F4" i="161"/>
  <c r="E4" i="161"/>
  <c r="R5" i="161" l="1"/>
  <c r="R4" i="161"/>
  <c r="Q59" i="172" l="1"/>
  <c r="Q60" i="172"/>
  <c r="E47" i="172" l="1"/>
  <c r="F47" i="172"/>
  <c r="G47" i="172"/>
  <c r="H47" i="172"/>
  <c r="I47" i="172"/>
  <c r="E48" i="172"/>
  <c r="F48" i="172"/>
  <c r="G48" i="172"/>
  <c r="H48" i="172"/>
  <c r="I48" i="172"/>
  <c r="E49" i="172"/>
  <c r="F49" i="172"/>
  <c r="G49" i="172"/>
  <c r="H49" i="172"/>
  <c r="I49" i="172"/>
  <c r="E50" i="172"/>
  <c r="F50" i="172"/>
  <c r="G50" i="172"/>
  <c r="H50" i="172"/>
  <c r="I50" i="172"/>
  <c r="E51" i="172"/>
  <c r="F51" i="172"/>
  <c r="G51" i="172"/>
  <c r="H51" i="172"/>
  <c r="I51" i="172"/>
  <c r="E52" i="172"/>
  <c r="F52" i="172"/>
  <c r="G52" i="172"/>
  <c r="H52" i="172"/>
  <c r="I52" i="172"/>
  <c r="E53" i="172"/>
  <c r="F53" i="172"/>
  <c r="G53" i="172"/>
  <c r="H53" i="172"/>
  <c r="I53" i="172"/>
  <c r="E54" i="172"/>
  <c r="F54" i="172"/>
  <c r="G54" i="172"/>
  <c r="H54" i="172"/>
  <c r="I54" i="172"/>
  <c r="E55" i="172"/>
  <c r="F55" i="172"/>
  <c r="G55" i="172"/>
  <c r="H55" i="172"/>
  <c r="I55" i="172"/>
  <c r="E61" i="172"/>
  <c r="K45" i="171" l="1"/>
  <c r="S45" i="171" s="1"/>
  <c r="K46" i="171"/>
  <c r="S46" i="171" s="1"/>
  <c r="K47" i="171"/>
  <c r="S47" i="171" s="1"/>
  <c r="K48" i="171"/>
  <c r="S48" i="171" s="1"/>
  <c r="K49" i="171"/>
  <c r="S49" i="171" s="1"/>
  <c r="K50" i="171"/>
  <c r="S50" i="171" s="1"/>
  <c r="K51" i="171"/>
  <c r="S51" i="171" s="1"/>
  <c r="K52" i="171"/>
  <c r="S52" i="171" s="1"/>
  <c r="K53" i="171"/>
  <c r="S53" i="171" s="1"/>
  <c r="K54" i="171"/>
  <c r="S54" i="171" s="1"/>
  <c r="K55" i="171"/>
  <c r="S55" i="171" s="1"/>
  <c r="F46" i="171" l="1"/>
  <c r="F48" i="171"/>
  <c r="F50" i="171"/>
  <c r="F52" i="171"/>
  <c r="F54" i="171"/>
  <c r="R4" i="171" l="1"/>
  <c r="G91" i="170" l="1"/>
  <c r="G87" i="170" l="1"/>
  <c r="G82" i="170" l="1"/>
  <c r="G93" i="170" l="1"/>
  <c r="G84" i="170"/>
  <c r="G90" i="170"/>
  <c r="I5" i="170" l="1"/>
  <c r="G81" i="170" l="1"/>
  <c r="G92" i="170"/>
  <c r="J56" i="167" l="1"/>
  <c r="J57" i="167"/>
  <c r="J58" i="167"/>
  <c r="J59" i="167"/>
  <c r="J60" i="167"/>
  <c r="L61" i="167" l="1"/>
  <c r="R61" i="167" l="1"/>
  <c r="J61" i="167"/>
  <c r="E46" i="166"/>
  <c r="F46" i="166"/>
  <c r="G46" i="166"/>
  <c r="H46" i="166"/>
  <c r="I46" i="166"/>
  <c r="K46" i="166"/>
  <c r="E47" i="166"/>
  <c r="F47" i="166"/>
  <c r="G47" i="166"/>
  <c r="H47" i="166"/>
  <c r="I47" i="166"/>
  <c r="K47" i="166"/>
  <c r="E48" i="166"/>
  <c r="F48" i="166"/>
  <c r="G48" i="166"/>
  <c r="H48" i="166"/>
  <c r="I48" i="166"/>
  <c r="K48" i="166"/>
  <c r="E49" i="166"/>
  <c r="F49" i="166"/>
  <c r="G49" i="166"/>
  <c r="H49" i="166"/>
  <c r="I49" i="166"/>
  <c r="K49" i="166"/>
  <c r="E50" i="166"/>
  <c r="F50" i="166"/>
  <c r="G50" i="166"/>
  <c r="H50" i="166"/>
  <c r="I50" i="166"/>
  <c r="K50" i="166"/>
  <c r="E51" i="166"/>
  <c r="F51" i="166"/>
  <c r="G51" i="166"/>
  <c r="H51" i="166"/>
  <c r="I51" i="166"/>
  <c r="K51" i="166"/>
  <c r="B46" i="166" l="1"/>
  <c r="C46" i="166"/>
  <c r="B47" i="166"/>
  <c r="C47" i="166"/>
  <c r="B48" i="166"/>
  <c r="C48" i="166"/>
  <c r="B49" i="166"/>
  <c r="C49" i="166"/>
  <c r="F59" i="165" l="1"/>
  <c r="D52" i="166"/>
  <c r="B47" i="165" l="1"/>
  <c r="C47" i="165"/>
  <c r="D79" i="172"/>
  <c r="P59" i="165" l="1"/>
  <c r="D57" i="164"/>
  <c r="D58" i="163"/>
  <c r="M58" i="163"/>
  <c r="D103" i="161"/>
  <c r="L103" i="161"/>
  <c r="E56" i="168"/>
  <c r="D78" i="168"/>
  <c r="G84" i="171"/>
  <c r="F4" i="132"/>
  <c r="G4" i="132"/>
  <c r="S4" i="132" s="1"/>
  <c r="H4" i="132"/>
  <c r="H68" i="132" s="1"/>
  <c r="I4" i="132"/>
  <c r="J4" i="132"/>
  <c r="K4" i="132"/>
  <c r="M4" i="132"/>
  <c r="N4" i="132"/>
  <c r="O4" i="132"/>
  <c r="Q4" i="132"/>
  <c r="F5" i="132"/>
  <c r="G5" i="132"/>
  <c r="U5" i="132" s="1"/>
  <c r="H5" i="132"/>
  <c r="I5" i="132"/>
  <c r="J5" i="132"/>
  <c r="K5" i="132"/>
  <c r="M5" i="132"/>
  <c r="N5" i="132"/>
  <c r="O5" i="132"/>
  <c r="F6" i="132"/>
  <c r="G6" i="132"/>
  <c r="U6" i="132" s="1"/>
  <c r="H6" i="132"/>
  <c r="I6" i="132"/>
  <c r="J6" i="132"/>
  <c r="K6" i="132"/>
  <c r="M6" i="132"/>
  <c r="N6" i="132"/>
  <c r="O6" i="132"/>
  <c r="Q6" i="132"/>
  <c r="F7" i="132"/>
  <c r="G66" i="132" s="1"/>
  <c r="G7" i="132"/>
  <c r="Q7" i="132" s="1"/>
  <c r="H7" i="132"/>
  <c r="I7" i="132"/>
  <c r="J7" i="132"/>
  <c r="K7" i="132"/>
  <c r="M7" i="132"/>
  <c r="N7" i="132"/>
  <c r="O7" i="132"/>
  <c r="F8" i="132"/>
  <c r="G8" i="132"/>
  <c r="H8" i="132"/>
  <c r="I8" i="132"/>
  <c r="M8" i="132"/>
  <c r="N8" i="132"/>
  <c r="O8" i="132"/>
  <c r="F9" i="132"/>
  <c r="G9" i="132"/>
  <c r="H9" i="132"/>
  <c r="I9" i="132"/>
  <c r="J9" i="132"/>
  <c r="K9" i="132"/>
  <c r="M9" i="132"/>
  <c r="N9" i="132"/>
  <c r="O9" i="132"/>
  <c r="F10" i="132"/>
  <c r="G10" i="132"/>
  <c r="H10" i="132"/>
  <c r="I10" i="132"/>
  <c r="M10" i="132"/>
  <c r="N10" i="132"/>
  <c r="O10" i="132"/>
  <c r="F11" i="132"/>
  <c r="G11" i="132"/>
  <c r="H11" i="132"/>
  <c r="I11" i="132"/>
  <c r="M11" i="132"/>
  <c r="N11" i="132"/>
  <c r="O11" i="132"/>
  <c r="F12" i="132"/>
  <c r="G12" i="132"/>
  <c r="S12" i="132" s="1"/>
  <c r="H12" i="132"/>
  <c r="T12" i="132" s="1"/>
  <c r="I12" i="132"/>
  <c r="J12" i="132"/>
  <c r="K12" i="132"/>
  <c r="M12" i="132"/>
  <c r="N12" i="132"/>
  <c r="O12" i="132"/>
  <c r="F13" i="132"/>
  <c r="G13" i="132"/>
  <c r="H13" i="132"/>
  <c r="I13" i="132"/>
  <c r="J13" i="132"/>
  <c r="K13" i="132"/>
  <c r="M13" i="132"/>
  <c r="N13" i="132"/>
  <c r="O13" i="132"/>
  <c r="F14" i="132"/>
  <c r="G14" i="132"/>
  <c r="E69" i="132" s="1"/>
  <c r="H14" i="132"/>
  <c r="H69" i="132" s="1"/>
  <c r="I14" i="132"/>
  <c r="M14" i="132"/>
  <c r="N14" i="132"/>
  <c r="O14" i="132"/>
  <c r="F15" i="132"/>
  <c r="G15" i="132"/>
  <c r="Q15" i="132" s="1"/>
  <c r="H15" i="132"/>
  <c r="I15" i="132"/>
  <c r="J15" i="132"/>
  <c r="K15" i="132"/>
  <c r="M15" i="132"/>
  <c r="N15" i="132"/>
  <c r="O15" i="132"/>
  <c r="F16" i="132"/>
  <c r="G16" i="132"/>
  <c r="H16" i="132"/>
  <c r="I16" i="132"/>
  <c r="J16" i="132"/>
  <c r="K16" i="132"/>
  <c r="M16" i="132"/>
  <c r="N16" i="132"/>
  <c r="O16" i="132"/>
  <c r="F17" i="132"/>
  <c r="G17" i="132"/>
  <c r="S16" i="132" s="1"/>
  <c r="H17" i="132"/>
  <c r="I17" i="132"/>
  <c r="M17" i="132"/>
  <c r="N17" i="132"/>
  <c r="O17" i="132"/>
  <c r="F18" i="132"/>
  <c r="G18" i="132"/>
  <c r="H18" i="132"/>
  <c r="T15" i="132" s="1"/>
  <c r="I18" i="132"/>
  <c r="J18" i="132"/>
  <c r="K18" i="132"/>
  <c r="S18" i="132" s="1"/>
  <c r="M18" i="132"/>
  <c r="N18" i="132"/>
  <c r="O18" i="132"/>
  <c r="F19" i="132"/>
  <c r="G19" i="132"/>
  <c r="U19" i="132" s="1"/>
  <c r="H19" i="132"/>
  <c r="T19" i="132" s="1"/>
  <c r="I19" i="132"/>
  <c r="J19" i="132"/>
  <c r="K19" i="132"/>
  <c r="M19" i="132"/>
  <c r="N19" i="132"/>
  <c r="O19" i="132"/>
  <c r="F20" i="132"/>
  <c r="G20" i="132"/>
  <c r="H20" i="132"/>
  <c r="I20" i="132"/>
  <c r="J20" i="132"/>
  <c r="K20" i="132"/>
  <c r="F69" i="132" s="1"/>
  <c r="M20" i="132"/>
  <c r="N20" i="132"/>
  <c r="O20" i="132"/>
  <c r="F21" i="132"/>
  <c r="G21" i="132"/>
  <c r="H21" i="132"/>
  <c r="I21" i="132"/>
  <c r="M21" i="132"/>
  <c r="N21" i="132"/>
  <c r="O21" i="132"/>
  <c r="F22" i="132"/>
  <c r="G22" i="132"/>
  <c r="H22" i="132"/>
  <c r="I22" i="132"/>
  <c r="J22" i="132"/>
  <c r="K22" i="132"/>
  <c r="M22" i="132"/>
  <c r="N22" i="132"/>
  <c r="O22" i="132"/>
  <c r="G23" i="132"/>
  <c r="F24" i="132"/>
  <c r="G69" i="132" s="1"/>
  <c r="G24" i="132"/>
  <c r="H24" i="132"/>
  <c r="I24" i="132"/>
  <c r="M24" i="132"/>
  <c r="N24" i="132"/>
  <c r="O24" i="132"/>
  <c r="F25" i="132"/>
  <c r="G25" i="132"/>
  <c r="Q25" i="132" s="1"/>
  <c r="H25" i="132"/>
  <c r="I25" i="132"/>
  <c r="J25" i="132"/>
  <c r="K25" i="132"/>
  <c r="M25" i="132"/>
  <c r="N25" i="132"/>
  <c r="O25" i="132"/>
  <c r="F26" i="132"/>
  <c r="G26" i="132"/>
  <c r="U26" i="132" s="1"/>
  <c r="H26" i="132"/>
  <c r="I26" i="132"/>
  <c r="J26" i="132"/>
  <c r="K26" i="132"/>
  <c r="M26" i="132"/>
  <c r="N26" i="132"/>
  <c r="O26" i="132"/>
  <c r="S26" i="132"/>
  <c r="T26" i="132"/>
  <c r="F27" i="132"/>
  <c r="G27" i="132"/>
  <c r="H27" i="132"/>
  <c r="I27" i="132"/>
  <c r="M27" i="132"/>
  <c r="N27" i="132"/>
  <c r="O27" i="132"/>
  <c r="F28" i="132"/>
  <c r="G28" i="132"/>
  <c r="H28" i="132"/>
  <c r="T25" i="132" s="1"/>
  <c r="I28" i="132"/>
  <c r="M28" i="132"/>
  <c r="N28" i="132"/>
  <c r="O28" i="132"/>
  <c r="F29" i="132"/>
  <c r="G29" i="132"/>
  <c r="H29" i="132"/>
  <c r="H70" i="132" s="1"/>
  <c r="I29" i="132"/>
  <c r="M29" i="132"/>
  <c r="N29" i="132"/>
  <c r="O29" i="132"/>
  <c r="F30" i="132"/>
  <c r="G30" i="132"/>
  <c r="H30" i="132"/>
  <c r="I30" i="132"/>
  <c r="M30" i="132"/>
  <c r="N30" i="132"/>
  <c r="O30" i="132"/>
  <c r="F31" i="132"/>
  <c r="G31" i="132"/>
  <c r="H31" i="132"/>
  <c r="T31" i="132" s="1"/>
  <c r="I31" i="132"/>
  <c r="J31" i="132"/>
  <c r="K31" i="132"/>
  <c r="S31" i="132" s="1"/>
  <c r="M31" i="132"/>
  <c r="N31" i="132"/>
  <c r="O31" i="132"/>
  <c r="F32" i="132"/>
  <c r="G32" i="132"/>
  <c r="S32" i="132" s="1"/>
  <c r="H32" i="132"/>
  <c r="I32" i="132"/>
  <c r="J32" i="132"/>
  <c r="K32" i="132"/>
  <c r="M32" i="132"/>
  <c r="N32" i="132"/>
  <c r="O32" i="132"/>
  <c r="F33" i="132"/>
  <c r="G33" i="132"/>
  <c r="H33" i="132"/>
  <c r="I33" i="132"/>
  <c r="J33" i="132"/>
  <c r="K33" i="132"/>
  <c r="M33" i="132"/>
  <c r="N33" i="132"/>
  <c r="O33" i="132"/>
  <c r="F34" i="132"/>
  <c r="G34" i="132"/>
  <c r="H34" i="132"/>
  <c r="I34" i="132"/>
  <c r="M34" i="132"/>
  <c r="N34" i="132"/>
  <c r="O34" i="132"/>
  <c r="F35" i="132"/>
  <c r="G35" i="132"/>
  <c r="H35" i="132"/>
  <c r="I35" i="132"/>
  <c r="J35" i="132"/>
  <c r="K35" i="132"/>
  <c r="M35" i="132"/>
  <c r="N35" i="132"/>
  <c r="O35" i="132"/>
  <c r="F36" i="132"/>
  <c r="G36" i="132"/>
  <c r="H36" i="132"/>
  <c r="T33" i="132" s="1"/>
  <c r="I36" i="132"/>
  <c r="M36" i="132"/>
  <c r="N36" i="132"/>
  <c r="O36" i="132"/>
  <c r="F37" i="132"/>
  <c r="G37" i="132"/>
  <c r="Q37" i="132" s="1"/>
  <c r="H37" i="132"/>
  <c r="I37" i="132"/>
  <c r="J37" i="132"/>
  <c r="K37" i="132"/>
  <c r="M37" i="132"/>
  <c r="T37" i="132" s="1"/>
  <c r="N37" i="132"/>
  <c r="O37" i="132"/>
  <c r="T55" i="132"/>
  <c r="T56" i="132"/>
  <c r="D60" i="132"/>
  <c r="E60" i="132"/>
  <c r="L60" i="132"/>
  <c r="P60" i="132"/>
  <c r="Y65" i="132"/>
  <c r="Z65" i="132"/>
  <c r="F66" i="132"/>
  <c r="Y66" i="132"/>
  <c r="Z66" i="132"/>
  <c r="I67" i="132"/>
  <c r="J67" i="132"/>
  <c r="Y67" i="132"/>
  <c r="Z67" i="132"/>
  <c r="Y68" i="132"/>
  <c r="Z68" i="132"/>
  <c r="X69" i="132"/>
  <c r="X71" i="132" s="1"/>
  <c r="Y69" i="132"/>
  <c r="Z69" i="132"/>
  <c r="F70" i="132"/>
  <c r="Y70" i="132"/>
  <c r="Z70" i="132"/>
  <c r="Y71" i="132"/>
  <c r="Z71" i="132"/>
  <c r="F4" i="131"/>
  <c r="G4" i="131"/>
  <c r="H4" i="131"/>
  <c r="I4" i="131"/>
  <c r="J4" i="131"/>
  <c r="K4" i="131"/>
  <c r="M4" i="131"/>
  <c r="N4" i="131"/>
  <c r="O4" i="131"/>
  <c r="F5" i="131"/>
  <c r="G5" i="131"/>
  <c r="Q4" i="131" s="1"/>
  <c r="H5" i="131"/>
  <c r="H65" i="131" s="1"/>
  <c r="I5" i="131"/>
  <c r="M5" i="131"/>
  <c r="N5" i="131"/>
  <c r="O5" i="131"/>
  <c r="F6" i="131"/>
  <c r="G6" i="131"/>
  <c r="Q6" i="131" s="1"/>
  <c r="H6" i="131"/>
  <c r="I6" i="131"/>
  <c r="J6" i="131"/>
  <c r="K6" i="131"/>
  <c r="M6" i="131"/>
  <c r="N6" i="131"/>
  <c r="O6" i="131"/>
  <c r="F7" i="131"/>
  <c r="G7" i="131"/>
  <c r="U7" i="131" s="1"/>
  <c r="H7" i="131"/>
  <c r="I7" i="131"/>
  <c r="J7" i="131"/>
  <c r="K7" i="131"/>
  <c r="M7" i="131"/>
  <c r="N7" i="131"/>
  <c r="O7" i="131"/>
  <c r="Q7" i="131"/>
  <c r="S7" i="131"/>
  <c r="F8" i="131"/>
  <c r="G8" i="131"/>
  <c r="S8" i="131" s="1"/>
  <c r="H8" i="131"/>
  <c r="I8" i="131"/>
  <c r="J8" i="131"/>
  <c r="K8" i="131"/>
  <c r="M8" i="131"/>
  <c r="N8" i="131"/>
  <c r="O8" i="131"/>
  <c r="Q8" i="131"/>
  <c r="U8" i="131"/>
  <c r="F9" i="131"/>
  <c r="G9" i="131"/>
  <c r="Q9" i="131" s="1"/>
  <c r="H9" i="131"/>
  <c r="I9" i="131"/>
  <c r="J9" i="131"/>
  <c r="K9" i="131"/>
  <c r="M9" i="131"/>
  <c r="N9" i="131"/>
  <c r="O9" i="131"/>
  <c r="F10" i="131"/>
  <c r="G10" i="131"/>
  <c r="S10" i="131" s="1"/>
  <c r="H10" i="131"/>
  <c r="I10" i="131"/>
  <c r="J10" i="131"/>
  <c r="K10" i="131"/>
  <c r="M10" i="131"/>
  <c r="N10" i="131"/>
  <c r="O10" i="131"/>
  <c r="F11" i="131"/>
  <c r="G11" i="131"/>
  <c r="H11" i="131"/>
  <c r="I11" i="131"/>
  <c r="M11" i="131"/>
  <c r="N11" i="131"/>
  <c r="O11" i="131"/>
  <c r="F12" i="131"/>
  <c r="G12" i="131"/>
  <c r="S12" i="131" s="1"/>
  <c r="H12" i="131"/>
  <c r="I12" i="131"/>
  <c r="J12" i="131"/>
  <c r="K12" i="131"/>
  <c r="M12" i="131"/>
  <c r="N12" i="131"/>
  <c r="O12" i="131"/>
  <c r="F13" i="131"/>
  <c r="G13" i="131"/>
  <c r="H13" i="131"/>
  <c r="T13" i="131" s="1"/>
  <c r="I13" i="131"/>
  <c r="J13" i="131"/>
  <c r="K13" i="131"/>
  <c r="S13" i="131" s="1"/>
  <c r="M13" i="131"/>
  <c r="N13" i="131"/>
  <c r="O13" i="131"/>
  <c r="Q13" i="131"/>
  <c r="F14" i="131"/>
  <c r="G14" i="131"/>
  <c r="Q14" i="131" s="1"/>
  <c r="H14" i="131"/>
  <c r="I14" i="131"/>
  <c r="J14" i="131"/>
  <c r="K14" i="131"/>
  <c r="F69" i="131" s="1"/>
  <c r="M14" i="131"/>
  <c r="N14" i="131"/>
  <c r="O14" i="131"/>
  <c r="F15" i="131"/>
  <c r="G15" i="131"/>
  <c r="Q15" i="131" s="1"/>
  <c r="H15" i="131"/>
  <c r="I15" i="131"/>
  <c r="J15" i="131"/>
  <c r="K15" i="131"/>
  <c r="M15" i="131"/>
  <c r="N15" i="131"/>
  <c r="O15" i="131"/>
  <c r="U15" i="131"/>
  <c r="F16" i="131"/>
  <c r="G16" i="131"/>
  <c r="H16" i="131"/>
  <c r="I16" i="131"/>
  <c r="M16" i="131"/>
  <c r="N16" i="131"/>
  <c r="O16" i="131"/>
  <c r="F17" i="131"/>
  <c r="G17" i="131"/>
  <c r="Q17" i="131" s="1"/>
  <c r="H17" i="131"/>
  <c r="I17" i="131"/>
  <c r="J17" i="131"/>
  <c r="K17" i="131"/>
  <c r="M17" i="131"/>
  <c r="N17" i="131"/>
  <c r="O17" i="131"/>
  <c r="F18" i="131"/>
  <c r="G69" i="131" s="1"/>
  <c r="G18" i="131"/>
  <c r="H18" i="131"/>
  <c r="H69" i="131" s="1"/>
  <c r="I18" i="131"/>
  <c r="M18" i="131"/>
  <c r="N18" i="131"/>
  <c r="O18" i="131"/>
  <c r="F19" i="131"/>
  <c r="G19" i="131"/>
  <c r="Q19" i="131" s="1"/>
  <c r="H19" i="131"/>
  <c r="I19" i="131"/>
  <c r="J19" i="131"/>
  <c r="K19" i="131"/>
  <c r="M19" i="131"/>
  <c r="N19" i="131"/>
  <c r="O19" i="131"/>
  <c r="U19" i="131"/>
  <c r="F20" i="131"/>
  <c r="G20" i="131"/>
  <c r="H20" i="131"/>
  <c r="T20" i="131" s="1"/>
  <c r="I20" i="131"/>
  <c r="J20" i="131"/>
  <c r="K20" i="131"/>
  <c r="F66" i="131" s="1"/>
  <c r="M20" i="131"/>
  <c r="N20" i="131"/>
  <c r="O20" i="131"/>
  <c r="F21" i="131"/>
  <c r="G21" i="131"/>
  <c r="Q21" i="131" s="1"/>
  <c r="H21" i="131"/>
  <c r="T21" i="131" s="1"/>
  <c r="I21" i="131"/>
  <c r="J21" i="131"/>
  <c r="K21" i="131"/>
  <c r="M21" i="131"/>
  <c r="N21" i="131"/>
  <c r="O21" i="131"/>
  <c r="F22" i="131"/>
  <c r="G22" i="131"/>
  <c r="Q22" i="131" s="1"/>
  <c r="H22" i="131"/>
  <c r="H70" i="131" s="1"/>
  <c r="I22" i="131"/>
  <c r="J22" i="131"/>
  <c r="K22" i="131"/>
  <c r="F70" i="131" s="1"/>
  <c r="M22" i="131"/>
  <c r="N22" i="131"/>
  <c r="O22" i="131"/>
  <c r="F23" i="131"/>
  <c r="G23" i="131"/>
  <c r="H23" i="131"/>
  <c r="I23" i="131"/>
  <c r="M23" i="131"/>
  <c r="N23" i="131"/>
  <c r="O23" i="131"/>
  <c r="F24" i="131"/>
  <c r="G24" i="131"/>
  <c r="E70" i="131" s="1"/>
  <c r="J70" i="131" s="1"/>
  <c r="H24" i="131"/>
  <c r="I24" i="131"/>
  <c r="M24" i="131"/>
  <c r="N24" i="131"/>
  <c r="O24" i="131"/>
  <c r="F25" i="131"/>
  <c r="G25" i="131"/>
  <c r="H25" i="131"/>
  <c r="I25" i="131"/>
  <c r="M25" i="131"/>
  <c r="N25" i="131"/>
  <c r="O25" i="131"/>
  <c r="F26" i="131"/>
  <c r="G26" i="131"/>
  <c r="H26" i="131"/>
  <c r="I26" i="131"/>
  <c r="M26" i="131"/>
  <c r="N26" i="131"/>
  <c r="O26" i="131"/>
  <c r="F27" i="131"/>
  <c r="G27" i="131"/>
  <c r="Q27" i="131" s="1"/>
  <c r="H27" i="131"/>
  <c r="I27" i="131"/>
  <c r="J27" i="131"/>
  <c r="K27" i="131"/>
  <c r="M27" i="131"/>
  <c r="N27" i="131"/>
  <c r="O27" i="131"/>
  <c r="F28" i="131"/>
  <c r="G28" i="131"/>
  <c r="U28" i="131" s="1"/>
  <c r="H28" i="131"/>
  <c r="I28" i="131"/>
  <c r="J28" i="131"/>
  <c r="K28" i="131"/>
  <c r="M28" i="131"/>
  <c r="N28" i="131"/>
  <c r="O28" i="131"/>
  <c r="Q28" i="131"/>
  <c r="S28" i="131"/>
  <c r="F29" i="131"/>
  <c r="G29" i="131"/>
  <c r="Q29" i="131" s="1"/>
  <c r="H29" i="131"/>
  <c r="T29" i="131" s="1"/>
  <c r="I29" i="131"/>
  <c r="J29" i="131"/>
  <c r="K29" i="131"/>
  <c r="M29" i="131"/>
  <c r="N29" i="131"/>
  <c r="O29" i="131"/>
  <c r="F30" i="131"/>
  <c r="G30" i="131"/>
  <c r="H30" i="131"/>
  <c r="I30" i="131"/>
  <c r="M30" i="131"/>
  <c r="N30" i="131"/>
  <c r="O30" i="131"/>
  <c r="F31" i="131"/>
  <c r="G31" i="131"/>
  <c r="Q31" i="131" s="1"/>
  <c r="H31" i="131"/>
  <c r="T31" i="131" s="1"/>
  <c r="I31" i="131"/>
  <c r="J31" i="131"/>
  <c r="K31" i="131"/>
  <c r="M31" i="131"/>
  <c r="N31" i="131"/>
  <c r="O31" i="131"/>
  <c r="F32" i="131"/>
  <c r="G32" i="131"/>
  <c r="Q32" i="131" s="1"/>
  <c r="H32" i="131"/>
  <c r="I32" i="131"/>
  <c r="J32" i="131"/>
  <c r="K32" i="131"/>
  <c r="S32" i="131" s="1"/>
  <c r="M32" i="131"/>
  <c r="N32" i="131"/>
  <c r="O32" i="131"/>
  <c r="F33" i="131"/>
  <c r="G33" i="131"/>
  <c r="H33" i="131"/>
  <c r="T33" i="131" s="1"/>
  <c r="I33" i="131"/>
  <c r="J33" i="131"/>
  <c r="K33" i="131"/>
  <c r="S33" i="131" s="1"/>
  <c r="M33" i="131"/>
  <c r="N33" i="131"/>
  <c r="O33" i="131"/>
  <c r="Q33" i="131"/>
  <c r="F34" i="131"/>
  <c r="G34" i="131"/>
  <c r="S34" i="131" s="1"/>
  <c r="H34" i="131"/>
  <c r="T34" i="131" s="1"/>
  <c r="I34" i="131"/>
  <c r="J34" i="131"/>
  <c r="K34" i="131"/>
  <c r="M34" i="131"/>
  <c r="N34" i="131"/>
  <c r="O34" i="131"/>
  <c r="Q34" i="131"/>
  <c r="N38" i="131"/>
  <c r="T55" i="131"/>
  <c r="T56" i="131"/>
  <c r="D60" i="131"/>
  <c r="E60" i="131"/>
  <c r="L60" i="131"/>
  <c r="P60" i="131"/>
  <c r="I67" i="131"/>
  <c r="J67" i="131"/>
  <c r="G68" i="131"/>
  <c r="F4" i="130"/>
  <c r="G4" i="130"/>
  <c r="H4" i="130"/>
  <c r="I4" i="130"/>
  <c r="J4" i="130"/>
  <c r="K4" i="130"/>
  <c r="M4" i="130"/>
  <c r="O4" i="130"/>
  <c r="F5" i="130"/>
  <c r="G5" i="130"/>
  <c r="H5" i="130"/>
  <c r="I5" i="130"/>
  <c r="J5" i="130"/>
  <c r="K5" i="130"/>
  <c r="M5" i="130"/>
  <c r="O5" i="130"/>
  <c r="S5" i="130"/>
  <c r="F6" i="130"/>
  <c r="G6" i="130"/>
  <c r="H6" i="130"/>
  <c r="I6" i="130"/>
  <c r="J6" i="130"/>
  <c r="K6" i="130"/>
  <c r="S6" i="130" s="1"/>
  <c r="M6" i="130"/>
  <c r="O6" i="130"/>
  <c r="Q6" i="130"/>
  <c r="T6" i="130"/>
  <c r="F7" i="130"/>
  <c r="G7" i="130"/>
  <c r="H7" i="130"/>
  <c r="I7" i="130"/>
  <c r="J7" i="130"/>
  <c r="K7" i="130"/>
  <c r="M7" i="130"/>
  <c r="O7" i="130"/>
  <c r="F8" i="130"/>
  <c r="G8" i="130"/>
  <c r="H8" i="130"/>
  <c r="I8" i="130"/>
  <c r="M8" i="130"/>
  <c r="O8" i="130"/>
  <c r="F9" i="130"/>
  <c r="G66" i="130" s="1"/>
  <c r="G9" i="130"/>
  <c r="Q9" i="130" s="1"/>
  <c r="H9" i="130"/>
  <c r="H66" i="130" s="1"/>
  <c r="I9" i="130"/>
  <c r="J9" i="130"/>
  <c r="K9" i="130"/>
  <c r="S9" i="130" s="1"/>
  <c r="M9" i="130"/>
  <c r="O9" i="130"/>
  <c r="F10" i="130"/>
  <c r="G10" i="130"/>
  <c r="H10" i="130"/>
  <c r="I10" i="130"/>
  <c r="J10" i="130"/>
  <c r="K10" i="130"/>
  <c r="S10" i="130" s="1"/>
  <c r="M10" i="130"/>
  <c r="O10" i="130"/>
  <c r="Q10" i="130"/>
  <c r="F11" i="130"/>
  <c r="G11" i="130"/>
  <c r="Q11" i="130" s="1"/>
  <c r="H11" i="130"/>
  <c r="I11" i="130"/>
  <c r="J11" i="130"/>
  <c r="K11" i="130"/>
  <c r="M11" i="130"/>
  <c r="O11" i="130"/>
  <c r="F12" i="130"/>
  <c r="G12" i="130"/>
  <c r="H12" i="130"/>
  <c r="I12" i="130"/>
  <c r="J12" i="130"/>
  <c r="K12" i="130"/>
  <c r="U12" i="130" s="1"/>
  <c r="M12" i="130"/>
  <c r="O12" i="130"/>
  <c r="Q12" i="130"/>
  <c r="F13" i="130"/>
  <c r="G13" i="130"/>
  <c r="U13" i="130" s="1"/>
  <c r="H13" i="130"/>
  <c r="I13" i="130"/>
  <c r="J13" i="130"/>
  <c r="K13" i="130"/>
  <c r="M13" i="130"/>
  <c r="O13" i="130"/>
  <c r="S13" i="130"/>
  <c r="T13" i="130"/>
  <c r="F14" i="130"/>
  <c r="G14" i="130"/>
  <c r="H14" i="130"/>
  <c r="I14" i="130"/>
  <c r="M14" i="130"/>
  <c r="N14" i="130"/>
  <c r="O14" i="130"/>
  <c r="F15" i="130"/>
  <c r="G15" i="130"/>
  <c r="Q15" i="130" s="1"/>
  <c r="H15" i="130"/>
  <c r="I15" i="130"/>
  <c r="J15" i="130"/>
  <c r="K15" i="130"/>
  <c r="U15" i="130" s="1"/>
  <c r="M15" i="130"/>
  <c r="O15" i="130"/>
  <c r="T15" i="130"/>
  <c r="F16" i="130"/>
  <c r="G68" i="130" s="1"/>
  <c r="G16" i="130"/>
  <c r="H16" i="130"/>
  <c r="I16" i="130"/>
  <c r="J16" i="130"/>
  <c r="K16" i="130"/>
  <c r="M16" i="130"/>
  <c r="O16" i="130"/>
  <c r="F17" i="130"/>
  <c r="G17" i="130"/>
  <c r="S17" i="130" s="1"/>
  <c r="H17" i="130"/>
  <c r="I17" i="130"/>
  <c r="J17" i="130"/>
  <c r="K17" i="130"/>
  <c r="M17" i="130"/>
  <c r="O17" i="130"/>
  <c r="F18" i="130"/>
  <c r="G18" i="130"/>
  <c r="H18" i="130"/>
  <c r="I18" i="130"/>
  <c r="M18" i="130"/>
  <c r="O18" i="130"/>
  <c r="F19" i="130"/>
  <c r="G19" i="130"/>
  <c r="H19" i="130"/>
  <c r="T19" i="130" s="1"/>
  <c r="I19" i="130"/>
  <c r="J19" i="130"/>
  <c r="K19" i="130"/>
  <c r="M19" i="130"/>
  <c r="O19" i="130"/>
  <c r="Q19" i="130"/>
  <c r="S19" i="130"/>
  <c r="U19" i="130"/>
  <c r="F20" i="130"/>
  <c r="G20" i="130"/>
  <c r="Q20" i="130" s="1"/>
  <c r="H20" i="130"/>
  <c r="I20" i="130"/>
  <c r="J20" i="130"/>
  <c r="K20" i="130"/>
  <c r="M20" i="130"/>
  <c r="O20" i="130"/>
  <c r="G21" i="130"/>
  <c r="F22" i="130"/>
  <c r="G22" i="130"/>
  <c r="H22" i="130"/>
  <c r="T22" i="130" s="1"/>
  <c r="I22" i="130"/>
  <c r="J22" i="130"/>
  <c r="K22" i="130"/>
  <c r="F69" i="130" s="1"/>
  <c r="M22" i="130"/>
  <c r="O22" i="130"/>
  <c r="F23" i="130"/>
  <c r="G69" i="130" s="1"/>
  <c r="G23" i="130"/>
  <c r="H23" i="130"/>
  <c r="H69" i="130" s="1"/>
  <c r="I23" i="130"/>
  <c r="M23" i="130"/>
  <c r="O23" i="130"/>
  <c r="F24" i="130"/>
  <c r="G24" i="130"/>
  <c r="Q24" i="130" s="1"/>
  <c r="H24" i="130"/>
  <c r="I24" i="130"/>
  <c r="J24" i="130"/>
  <c r="K24" i="130"/>
  <c r="M24" i="130"/>
  <c r="O24" i="130"/>
  <c r="F25" i="130"/>
  <c r="G25" i="130"/>
  <c r="Q25" i="130" s="1"/>
  <c r="H25" i="130"/>
  <c r="I25" i="130"/>
  <c r="J25" i="130"/>
  <c r="K25" i="130"/>
  <c r="M25" i="130"/>
  <c r="T25" i="130" s="1"/>
  <c r="O25" i="130"/>
  <c r="F26" i="130"/>
  <c r="G26" i="130"/>
  <c r="S26" i="130" s="1"/>
  <c r="H26" i="130"/>
  <c r="I26" i="130"/>
  <c r="J26" i="130"/>
  <c r="K26" i="130"/>
  <c r="M26" i="130"/>
  <c r="O26" i="130"/>
  <c r="F27" i="130"/>
  <c r="G27" i="130"/>
  <c r="H27" i="130"/>
  <c r="T24" i="130" s="1"/>
  <c r="I27" i="130"/>
  <c r="J27" i="130"/>
  <c r="K27" i="130"/>
  <c r="S27" i="130" s="1"/>
  <c r="M27" i="130"/>
  <c r="O27" i="130"/>
  <c r="Q27" i="130"/>
  <c r="U27" i="130"/>
  <c r="N37" i="130"/>
  <c r="N38" i="130"/>
  <c r="T55" i="130"/>
  <c r="T56" i="130"/>
  <c r="D60" i="130"/>
  <c r="E60" i="130"/>
  <c r="L60" i="130"/>
  <c r="P60" i="130"/>
  <c r="I67" i="130"/>
  <c r="J67" i="130"/>
  <c r="I70" i="130"/>
  <c r="J70" i="130"/>
  <c r="F4" i="129"/>
  <c r="G4" i="129"/>
  <c r="Q4" i="129" s="1"/>
  <c r="H4" i="129"/>
  <c r="I4" i="129"/>
  <c r="J4" i="129"/>
  <c r="K4" i="129"/>
  <c r="M4" i="129"/>
  <c r="O4" i="129"/>
  <c r="F5" i="129"/>
  <c r="G70" i="129" s="1"/>
  <c r="G5" i="129"/>
  <c r="H5" i="129"/>
  <c r="J5" i="129"/>
  <c r="K5" i="129"/>
  <c r="M5" i="129"/>
  <c r="O5" i="129"/>
  <c r="F6" i="129"/>
  <c r="G6" i="129"/>
  <c r="H6" i="129"/>
  <c r="M6" i="129"/>
  <c r="O6" i="129"/>
  <c r="F7" i="129"/>
  <c r="G7" i="129"/>
  <c r="H7" i="129"/>
  <c r="T4" i="129" s="1"/>
  <c r="M7" i="129"/>
  <c r="O7" i="129"/>
  <c r="F8" i="129"/>
  <c r="G8" i="129"/>
  <c r="H8" i="129"/>
  <c r="M8" i="129"/>
  <c r="O8" i="129"/>
  <c r="F9" i="129"/>
  <c r="G9" i="129"/>
  <c r="H9" i="129"/>
  <c r="I9" i="129"/>
  <c r="J9" i="129"/>
  <c r="K9" i="129"/>
  <c r="M9" i="129"/>
  <c r="O9" i="129"/>
  <c r="U9" i="129"/>
  <c r="F10" i="129"/>
  <c r="G10" i="129"/>
  <c r="Q10" i="129" s="1"/>
  <c r="H10" i="129"/>
  <c r="I10" i="129"/>
  <c r="J10" i="129"/>
  <c r="K10" i="129"/>
  <c r="M10" i="129"/>
  <c r="O10" i="129"/>
  <c r="F11" i="129"/>
  <c r="G11" i="129"/>
  <c r="Q11" i="129" s="1"/>
  <c r="H11" i="129"/>
  <c r="I11" i="129"/>
  <c r="J11" i="129"/>
  <c r="K11" i="129"/>
  <c r="M11" i="129"/>
  <c r="O11" i="129"/>
  <c r="U11" i="129"/>
  <c r="F12" i="129"/>
  <c r="G68" i="129" s="1"/>
  <c r="G12" i="129"/>
  <c r="H12" i="129"/>
  <c r="T12" i="129" s="1"/>
  <c r="I12" i="129"/>
  <c r="J12" i="129"/>
  <c r="K12" i="129"/>
  <c r="M12" i="129"/>
  <c r="O12" i="129"/>
  <c r="F13" i="129"/>
  <c r="G13" i="129"/>
  <c r="H13" i="129"/>
  <c r="I13" i="129"/>
  <c r="J13" i="129"/>
  <c r="K13" i="129"/>
  <c r="M13" i="129"/>
  <c r="O13" i="129"/>
  <c r="Q13" i="129"/>
  <c r="F14" i="129"/>
  <c r="G14" i="129"/>
  <c r="Q14" i="129" s="1"/>
  <c r="H14" i="129"/>
  <c r="T11" i="129" s="1"/>
  <c r="I14" i="129"/>
  <c r="J14" i="129"/>
  <c r="K14" i="129"/>
  <c r="M14" i="129"/>
  <c r="O14" i="129"/>
  <c r="F15" i="129"/>
  <c r="G15" i="129"/>
  <c r="H15" i="129"/>
  <c r="I15" i="129"/>
  <c r="J15" i="129"/>
  <c r="K15" i="129"/>
  <c r="M15" i="129"/>
  <c r="O15" i="129"/>
  <c r="T15" i="129"/>
  <c r="F16" i="129"/>
  <c r="G16" i="129"/>
  <c r="Q16" i="129" s="1"/>
  <c r="H16" i="129"/>
  <c r="I16" i="129"/>
  <c r="J16" i="129"/>
  <c r="K16" i="129"/>
  <c r="M16" i="129"/>
  <c r="O16" i="129"/>
  <c r="F17" i="129"/>
  <c r="G17" i="129"/>
  <c r="H17" i="129"/>
  <c r="I17" i="129"/>
  <c r="J17" i="129"/>
  <c r="K17" i="129"/>
  <c r="M17" i="129"/>
  <c r="O17" i="129"/>
  <c r="G18" i="129"/>
  <c r="F19" i="129"/>
  <c r="G19" i="129"/>
  <c r="H19" i="129"/>
  <c r="I19" i="129"/>
  <c r="J19" i="129"/>
  <c r="K19" i="129"/>
  <c r="F69" i="129" s="1"/>
  <c r="M19" i="129"/>
  <c r="O19" i="129"/>
  <c r="F20" i="129"/>
  <c r="G20" i="129"/>
  <c r="H20" i="129"/>
  <c r="I20" i="129"/>
  <c r="M20" i="129"/>
  <c r="O20" i="129"/>
  <c r="F21" i="129"/>
  <c r="G21" i="129"/>
  <c r="H21" i="129"/>
  <c r="I21" i="129"/>
  <c r="M21" i="129"/>
  <c r="O21" i="129"/>
  <c r="F22" i="129"/>
  <c r="G22" i="129"/>
  <c r="H22" i="129"/>
  <c r="I22" i="129"/>
  <c r="J22" i="129"/>
  <c r="K22" i="129"/>
  <c r="M22" i="129"/>
  <c r="N22" i="129"/>
  <c r="O22" i="129"/>
  <c r="F23" i="129"/>
  <c r="G23" i="129"/>
  <c r="H23" i="129"/>
  <c r="M23" i="129"/>
  <c r="O23" i="129"/>
  <c r="F24" i="129"/>
  <c r="G24" i="129"/>
  <c r="H24" i="129"/>
  <c r="M24" i="129"/>
  <c r="O24" i="129"/>
  <c r="F25" i="129"/>
  <c r="G25" i="129"/>
  <c r="H25" i="129"/>
  <c r="M25" i="129"/>
  <c r="O25" i="129"/>
  <c r="F26" i="129"/>
  <c r="G26" i="129"/>
  <c r="H26" i="129"/>
  <c r="M26" i="129"/>
  <c r="O26" i="129"/>
  <c r="F27" i="129"/>
  <c r="G27" i="129"/>
  <c r="Q27" i="129" s="1"/>
  <c r="H27" i="129"/>
  <c r="I27" i="129"/>
  <c r="J27" i="129"/>
  <c r="K27" i="129"/>
  <c r="M27" i="129"/>
  <c r="T27" i="129" s="1"/>
  <c r="O27" i="129"/>
  <c r="F28" i="129"/>
  <c r="G28" i="129"/>
  <c r="H28" i="129"/>
  <c r="I28" i="129"/>
  <c r="J28" i="129"/>
  <c r="K28" i="129"/>
  <c r="M28" i="129"/>
  <c r="O28" i="129"/>
  <c r="F29" i="129"/>
  <c r="G29" i="129"/>
  <c r="H29" i="129"/>
  <c r="I29" i="129"/>
  <c r="M29" i="129"/>
  <c r="O29" i="129"/>
  <c r="F30" i="129"/>
  <c r="G30" i="129"/>
  <c r="H30" i="129"/>
  <c r="I30" i="129"/>
  <c r="J30" i="129"/>
  <c r="K30" i="129"/>
  <c r="M30" i="129"/>
  <c r="O30" i="129"/>
  <c r="F31" i="129"/>
  <c r="G31" i="129"/>
  <c r="H31" i="129"/>
  <c r="I31" i="129"/>
  <c r="M31" i="129"/>
  <c r="O31" i="129"/>
  <c r="F32" i="129"/>
  <c r="G32" i="129"/>
  <c r="Q32" i="129" s="1"/>
  <c r="H32" i="129"/>
  <c r="I32" i="129"/>
  <c r="J32" i="129"/>
  <c r="K32" i="129"/>
  <c r="S32" i="129" s="1"/>
  <c r="M32" i="129"/>
  <c r="O32" i="129"/>
  <c r="F33" i="129"/>
  <c r="G33" i="129"/>
  <c r="H33" i="129"/>
  <c r="I33" i="129"/>
  <c r="J33" i="129"/>
  <c r="K33" i="129"/>
  <c r="M33" i="129"/>
  <c r="N33" i="129"/>
  <c r="N60" i="129" s="1"/>
  <c r="O33" i="129"/>
  <c r="Q33" i="129"/>
  <c r="T33" i="129"/>
  <c r="F34" i="129"/>
  <c r="G34" i="129"/>
  <c r="H34" i="129"/>
  <c r="I34" i="129"/>
  <c r="J34" i="129"/>
  <c r="K34" i="129"/>
  <c r="M34" i="129"/>
  <c r="O34" i="129"/>
  <c r="F35" i="129"/>
  <c r="G35" i="129"/>
  <c r="H35" i="129"/>
  <c r="I35" i="129"/>
  <c r="M35" i="129"/>
  <c r="O35" i="129"/>
  <c r="N37" i="129"/>
  <c r="N38" i="129"/>
  <c r="T55" i="129"/>
  <c r="T56" i="129"/>
  <c r="D60" i="129"/>
  <c r="E60" i="129"/>
  <c r="L60" i="129"/>
  <c r="P60" i="129"/>
  <c r="G66" i="129"/>
  <c r="I67" i="129"/>
  <c r="J67" i="129"/>
  <c r="F70" i="129"/>
  <c r="F4" i="128"/>
  <c r="G4" i="128"/>
  <c r="Q4" i="128" s="1"/>
  <c r="H4" i="128"/>
  <c r="H65" i="128" s="1"/>
  <c r="I4" i="128"/>
  <c r="J4" i="128"/>
  <c r="K4" i="128"/>
  <c r="M4" i="128"/>
  <c r="O4" i="128"/>
  <c r="S4" i="128"/>
  <c r="U4" i="128"/>
  <c r="F5" i="128"/>
  <c r="G5" i="128"/>
  <c r="U5" i="128" s="1"/>
  <c r="H5" i="128"/>
  <c r="I5" i="128"/>
  <c r="J5" i="128"/>
  <c r="K5" i="128"/>
  <c r="M5" i="128"/>
  <c r="O5" i="128"/>
  <c r="F6" i="128"/>
  <c r="G6" i="128"/>
  <c r="Q5" i="128" s="1"/>
  <c r="H6" i="128"/>
  <c r="I6" i="128"/>
  <c r="M6" i="128"/>
  <c r="O6" i="128"/>
  <c r="F7" i="128"/>
  <c r="G66" i="128" s="1"/>
  <c r="G7" i="128"/>
  <c r="U7" i="128" s="1"/>
  <c r="H7" i="128"/>
  <c r="I7" i="128"/>
  <c r="J7" i="128"/>
  <c r="K7" i="128"/>
  <c r="M7" i="128"/>
  <c r="O7" i="128"/>
  <c r="F8" i="128"/>
  <c r="G8" i="128"/>
  <c r="H8" i="128"/>
  <c r="T5" i="128" s="1"/>
  <c r="I8" i="128"/>
  <c r="J8" i="128"/>
  <c r="K8" i="128"/>
  <c r="F70" i="128" s="1"/>
  <c r="M8" i="128"/>
  <c r="O8" i="128"/>
  <c r="Q8" i="128"/>
  <c r="F9" i="128"/>
  <c r="G9" i="128"/>
  <c r="H9" i="128"/>
  <c r="I9" i="128"/>
  <c r="M9" i="128"/>
  <c r="O9" i="128"/>
  <c r="F10" i="128"/>
  <c r="G10" i="128"/>
  <c r="H10" i="128"/>
  <c r="T7" i="128" s="1"/>
  <c r="I10" i="128"/>
  <c r="M10" i="128"/>
  <c r="O10" i="128"/>
  <c r="F11" i="128"/>
  <c r="G11" i="128"/>
  <c r="S8" i="128" s="1"/>
  <c r="H11" i="128"/>
  <c r="T8" i="128" s="1"/>
  <c r="M11" i="128"/>
  <c r="O11" i="128"/>
  <c r="F12" i="128"/>
  <c r="G12" i="128"/>
  <c r="H12" i="128"/>
  <c r="T12" i="128" s="1"/>
  <c r="I12" i="128"/>
  <c r="J12" i="128"/>
  <c r="K12" i="128"/>
  <c r="M12" i="128"/>
  <c r="O12" i="128"/>
  <c r="G13" i="128"/>
  <c r="F14" i="128"/>
  <c r="G14" i="128"/>
  <c r="Q14" i="128" s="1"/>
  <c r="H14" i="128"/>
  <c r="I14" i="128"/>
  <c r="J14" i="128"/>
  <c r="K14" i="128"/>
  <c r="M14" i="128"/>
  <c r="O14" i="128"/>
  <c r="F15" i="128"/>
  <c r="G69" i="128" s="1"/>
  <c r="G15" i="128"/>
  <c r="E69" i="128" s="1"/>
  <c r="H15" i="128"/>
  <c r="I15" i="128"/>
  <c r="M15" i="128"/>
  <c r="O15" i="128"/>
  <c r="F16" i="128"/>
  <c r="G16" i="128"/>
  <c r="U16" i="128" s="1"/>
  <c r="H16" i="128"/>
  <c r="T16" i="128" s="1"/>
  <c r="I16" i="128"/>
  <c r="J16" i="128"/>
  <c r="K16" i="128"/>
  <c r="M16" i="128"/>
  <c r="O16" i="128"/>
  <c r="S16" i="128"/>
  <c r="F17" i="128"/>
  <c r="G17" i="128"/>
  <c r="Q17" i="128" s="1"/>
  <c r="H17" i="128"/>
  <c r="I17" i="128"/>
  <c r="J17" i="128"/>
  <c r="K17" i="128"/>
  <c r="F66" i="128" s="1"/>
  <c r="M17" i="128"/>
  <c r="N17" i="128"/>
  <c r="O17" i="128"/>
  <c r="F18" i="128"/>
  <c r="G18" i="128"/>
  <c r="S18" i="128" s="1"/>
  <c r="H18" i="128"/>
  <c r="I18" i="128"/>
  <c r="J18" i="128"/>
  <c r="K18" i="128"/>
  <c r="M18" i="128"/>
  <c r="O18" i="128"/>
  <c r="F19" i="128"/>
  <c r="G19" i="128"/>
  <c r="H19" i="128"/>
  <c r="I19" i="128"/>
  <c r="M19" i="128"/>
  <c r="O19" i="128"/>
  <c r="F20" i="128"/>
  <c r="G20" i="128"/>
  <c r="Q20" i="128" s="1"/>
  <c r="H20" i="128"/>
  <c r="I20" i="128"/>
  <c r="J20" i="128"/>
  <c r="K20" i="128"/>
  <c r="M20" i="128"/>
  <c r="O20" i="128"/>
  <c r="F21" i="128"/>
  <c r="G21" i="128"/>
  <c r="H21" i="128"/>
  <c r="I21" i="128"/>
  <c r="M21" i="128"/>
  <c r="O21" i="128"/>
  <c r="F22" i="128"/>
  <c r="G22" i="128"/>
  <c r="H22" i="128"/>
  <c r="I22" i="128"/>
  <c r="J22" i="128"/>
  <c r="K22" i="128"/>
  <c r="F67" i="128" s="1"/>
  <c r="M22" i="128"/>
  <c r="O22" i="128"/>
  <c r="F23" i="128"/>
  <c r="G67" i="128" s="1"/>
  <c r="I67" i="128" s="1"/>
  <c r="G23" i="128"/>
  <c r="H23" i="128"/>
  <c r="I23" i="128"/>
  <c r="M23" i="128"/>
  <c r="O23" i="128"/>
  <c r="F24" i="128"/>
  <c r="G24" i="128"/>
  <c r="U24" i="128" s="1"/>
  <c r="H24" i="128"/>
  <c r="I24" i="128"/>
  <c r="J24" i="128"/>
  <c r="K24" i="128"/>
  <c r="M24" i="128"/>
  <c r="O24" i="128"/>
  <c r="Q24" i="128"/>
  <c r="S24" i="128"/>
  <c r="F25" i="128"/>
  <c r="G25" i="128"/>
  <c r="Q25" i="128" s="1"/>
  <c r="H25" i="128"/>
  <c r="I25" i="128"/>
  <c r="J25" i="128"/>
  <c r="K25" i="128"/>
  <c r="M25" i="128"/>
  <c r="O25" i="128"/>
  <c r="F26" i="128"/>
  <c r="G26" i="128"/>
  <c r="H26" i="128"/>
  <c r="I26" i="128"/>
  <c r="J26" i="128"/>
  <c r="K26" i="128"/>
  <c r="M26" i="128"/>
  <c r="T26" i="128" s="1"/>
  <c r="O26" i="128"/>
  <c r="Q26" i="128"/>
  <c r="U26" i="128"/>
  <c r="F27" i="128"/>
  <c r="G27" i="128"/>
  <c r="Q27" i="128" s="1"/>
  <c r="H27" i="128"/>
  <c r="I27" i="128"/>
  <c r="J27" i="128"/>
  <c r="K27" i="128"/>
  <c r="U27" i="128" s="1"/>
  <c r="M27" i="128"/>
  <c r="O27" i="128"/>
  <c r="F28" i="128"/>
  <c r="G28" i="128"/>
  <c r="H28" i="128"/>
  <c r="I28" i="128"/>
  <c r="J28" i="128"/>
  <c r="K28" i="128"/>
  <c r="M28" i="128"/>
  <c r="O28" i="128"/>
  <c r="G29" i="128"/>
  <c r="F30" i="128"/>
  <c r="G30" i="128"/>
  <c r="U28" i="128" s="1"/>
  <c r="H30" i="128"/>
  <c r="I30" i="128"/>
  <c r="M30" i="128"/>
  <c r="O30" i="128"/>
  <c r="F31" i="128"/>
  <c r="G31" i="128"/>
  <c r="S31" i="128" s="1"/>
  <c r="H31" i="128"/>
  <c r="I31" i="128"/>
  <c r="J31" i="128"/>
  <c r="K31" i="128"/>
  <c r="M31" i="128"/>
  <c r="O31" i="128"/>
  <c r="F32" i="128"/>
  <c r="G32" i="128"/>
  <c r="Q32" i="128" s="1"/>
  <c r="H32" i="128"/>
  <c r="T32" i="128" s="1"/>
  <c r="I32" i="128"/>
  <c r="J32" i="128"/>
  <c r="K32" i="128"/>
  <c r="S32" i="128" s="1"/>
  <c r="M32" i="128"/>
  <c r="O32" i="128"/>
  <c r="F33" i="128"/>
  <c r="G33" i="128"/>
  <c r="H33" i="128"/>
  <c r="I33" i="128"/>
  <c r="J33" i="128"/>
  <c r="K33" i="128"/>
  <c r="M33" i="128"/>
  <c r="T33" i="128" s="1"/>
  <c r="O33" i="128"/>
  <c r="F34" i="128"/>
  <c r="G34" i="128"/>
  <c r="Q33" i="128" s="1"/>
  <c r="H34" i="128"/>
  <c r="I34" i="128"/>
  <c r="M34" i="128"/>
  <c r="N34" i="128"/>
  <c r="O34" i="128"/>
  <c r="F35" i="128"/>
  <c r="G35" i="128"/>
  <c r="Q35" i="128" s="1"/>
  <c r="H35" i="128"/>
  <c r="I35" i="128"/>
  <c r="J35" i="128"/>
  <c r="K35" i="128"/>
  <c r="M35" i="128"/>
  <c r="T35" i="128" s="1"/>
  <c r="O35" i="128"/>
  <c r="F36" i="128"/>
  <c r="G36" i="128"/>
  <c r="H36" i="128"/>
  <c r="I36" i="128"/>
  <c r="M36" i="128"/>
  <c r="O36" i="128"/>
  <c r="T55" i="128"/>
  <c r="T56" i="128"/>
  <c r="D60" i="128"/>
  <c r="E60" i="128"/>
  <c r="L60" i="128"/>
  <c r="P60" i="128"/>
  <c r="H67" i="128"/>
  <c r="F4" i="127"/>
  <c r="G4" i="127"/>
  <c r="E66" i="127" s="1"/>
  <c r="H4" i="127"/>
  <c r="I4" i="127"/>
  <c r="J4" i="127"/>
  <c r="K4" i="127"/>
  <c r="M4" i="127"/>
  <c r="O4" i="127"/>
  <c r="F5" i="127"/>
  <c r="G5" i="127"/>
  <c r="E68" i="127" s="1"/>
  <c r="H5" i="127"/>
  <c r="I5" i="127"/>
  <c r="J5" i="127"/>
  <c r="K5" i="127"/>
  <c r="M5" i="127"/>
  <c r="O5" i="127"/>
  <c r="F6" i="127"/>
  <c r="G6" i="127"/>
  <c r="U6" i="127" s="1"/>
  <c r="H6" i="127"/>
  <c r="I6" i="127"/>
  <c r="J6" i="127"/>
  <c r="K6" i="127"/>
  <c r="M6" i="127"/>
  <c r="O6" i="127"/>
  <c r="F7" i="127"/>
  <c r="G7" i="127"/>
  <c r="U7" i="127" s="1"/>
  <c r="H7" i="127"/>
  <c r="T7" i="127" s="1"/>
  <c r="I7" i="127"/>
  <c r="J7" i="127"/>
  <c r="K7" i="127"/>
  <c r="M7" i="127"/>
  <c r="O7" i="127"/>
  <c r="F8" i="127"/>
  <c r="G8" i="127"/>
  <c r="Q8" i="127" s="1"/>
  <c r="H8" i="127"/>
  <c r="I8" i="127"/>
  <c r="J8" i="127"/>
  <c r="K8" i="127"/>
  <c r="M8" i="127"/>
  <c r="O8" i="127"/>
  <c r="S8" i="127"/>
  <c r="U8" i="127"/>
  <c r="F9" i="127"/>
  <c r="G9" i="127"/>
  <c r="H9" i="127"/>
  <c r="T9" i="127" s="1"/>
  <c r="I9" i="127"/>
  <c r="J9" i="127"/>
  <c r="K9" i="127"/>
  <c r="M9" i="127"/>
  <c r="O9" i="127"/>
  <c r="F10" i="127"/>
  <c r="G10" i="127"/>
  <c r="S10" i="127" s="1"/>
  <c r="H10" i="127"/>
  <c r="I10" i="127"/>
  <c r="J10" i="127"/>
  <c r="K10" i="127"/>
  <c r="U10" i="127" s="1"/>
  <c r="M10" i="127"/>
  <c r="O10" i="127"/>
  <c r="Q10" i="127"/>
  <c r="F11" i="127"/>
  <c r="G11" i="127"/>
  <c r="H11" i="127"/>
  <c r="I11" i="127"/>
  <c r="J11" i="127"/>
  <c r="K11" i="127"/>
  <c r="M11" i="127"/>
  <c r="T11" i="127" s="1"/>
  <c r="O11" i="127"/>
  <c r="F12" i="127"/>
  <c r="G12" i="127"/>
  <c r="Q12" i="127" s="1"/>
  <c r="H12" i="127"/>
  <c r="I12" i="127"/>
  <c r="J12" i="127"/>
  <c r="K12" i="127"/>
  <c r="M12" i="127"/>
  <c r="O12" i="127"/>
  <c r="S12" i="127"/>
  <c r="F13" i="127"/>
  <c r="G13" i="127"/>
  <c r="S13" i="127" s="1"/>
  <c r="H13" i="127"/>
  <c r="T13" i="127" s="1"/>
  <c r="I13" i="127"/>
  <c r="J13" i="127"/>
  <c r="K13" i="127"/>
  <c r="M13" i="127"/>
  <c r="O13" i="127"/>
  <c r="Q13" i="127"/>
  <c r="G14" i="127"/>
  <c r="F15" i="127"/>
  <c r="G15" i="127"/>
  <c r="H15" i="127"/>
  <c r="I15" i="127"/>
  <c r="M15" i="127"/>
  <c r="O15" i="127"/>
  <c r="F16" i="127"/>
  <c r="G16" i="127"/>
  <c r="H16" i="127"/>
  <c r="I16" i="127"/>
  <c r="J16" i="127"/>
  <c r="K16" i="127"/>
  <c r="S16" i="127" s="1"/>
  <c r="M16" i="127"/>
  <c r="O16" i="127"/>
  <c r="Q16" i="127"/>
  <c r="T16" i="127"/>
  <c r="F17" i="127"/>
  <c r="G17" i="127"/>
  <c r="H17" i="127"/>
  <c r="I17" i="127"/>
  <c r="J17" i="127"/>
  <c r="K17" i="127"/>
  <c r="M17" i="127"/>
  <c r="O17" i="127"/>
  <c r="F18" i="127"/>
  <c r="G18" i="127"/>
  <c r="H18" i="127"/>
  <c r="H69" i="127" s="1"/>
  <c r="I18" i="127"/>
  <c r="M18" i="127"/>
  <c r="O18" i="127"/>
  <c r="F19" i="127"/>
  <c r="G19" i="127"/>
  <c r="H19" i="127"/>
  <c r="I19" i="127"/>
  <c r="J19" i="127"/>
  <c r="K19" i="127"/>
  <c r="M19" i="127"/>
  <c r="O19" i="127"/>
  <c r="F20" i="127"/>
  <c r="G20" i="127"/>
  <c r="Q20" i="127" s="1"/>
  <c r="H20" i="127"/>
  <c r="I20" i="127"/>
  <c r="J20" i="127"/>
  <c r="K20" i="127"/>
  <c r="M20" i="127"/>
  <c r="O20" i="127"/>
  <c r="F21" i="127"/>
  <c r="G21" i="127"/>
  <c r="S21" i="127" s="1"/>
  <c r="H21" i="127"/>
  <c r="I21" i="127"/>
  <c r="J21" i="127"/>
  <c r="K21" i="127"/>
  <c r="M21" i="127"/>
  <c r="O21" i="127"/>
  <c r="F22" i="127"/>
  <c r="G22" i="127"/>
  <c r="H22" i="127"/>
  <c r="I22" i="127"/>
  <c r="M22" i="127"/>
  <c r="O22" i="127"/>
  <c r="F23" i="127"/>
  <c r="G23" i="127"/>
  <c r="H23" i="127"/>
  <c r="I23" i="127"/>
  <c r="J23" i="127"/>
  <c r="K23" i="127"/>
  <c r="M23" i="127"/>
  <c r="O23" i="127"/>
  <c r="G24" i="127"/>
  <c r="F25" i="127"/>
  <c r="G25" i="127"/>
  <c r="H25" i="127"/>
  <c r="I25" i="127"/>
  <c r="M25" i="127"/>
  <c r="O25" i="127"/>
  <c r="F26" i="127"/>
  <c r="G26" i="127"/>
  <c r="Q26" i="127" s="1"/>
  <c r="H26" i="127"/>
  <c r="I26" i="127"/>
  <c r="J26" i="127"/>
  <c r="K26" i="127"/>
  <c r="M26" i="127"/>
  <c r="O26" i="127"/>
  <c r="F27" i="127"/>
  <c r="G27" i="127"/>
  <c r="H27" i="127"/>
  <c r="I27" i="127"/>
  <c r="J27" i="127"/>
  <c r="K27" i="127"/>
  <c r="S27" i="127" s="1"/>
  <c r="M27" i="127"/>
  <c r="O27" i="127"/>
  <c r="U27" i="127"/>
  <c r="F28" i="127"/>
  <c r="G28" i="127"/>
  <c r="E69" i="127" s="1"/>
  <c r="H28" i="127"/>
  <c r="I28" i="127"/>
  <c r="M28" i="127"/>
  <c r="O28" i="127"/>
  <c r="F29" i="127"/>
  <c r="G29" i="127"/>
  <c r="H29" i="127"/>
  <c r="I29" i="127"/>
  <c r="M29" i="127"/>
  <c r="O29" i="127"/>
  <c r="F30" i="127"/>
  <c r="G30" i="127"/>
  <c r="H30" i="127"/>
  <c r="T27" i="127" s="1"/>
  <c r="I30" i="127"/>
  <c r="J30" i="127"/>
  <c r="K30" i="127"/>
  <c r="M30" i="127"/>
  <c r="O30" i="127"/>
  <c r="F31" i="127"/>
  <c r="G31" i="127"/>
  <c r="H31" i="127"/>
  <c r="I31" i="127"/>
  <c r="M31" i="127"/>
  <c r="O31" i="127"/>
  <c r="F32" i="127"/>
  <c r="G32" i="127"/>
  <c r="H32" i="127"/>
  <c r="T32" i="127" s="1"/>
  <c r="I32" i="127"/>
  <c r="J32" i="127"/>
  <c r="K32" i="127"/>
  <c r="M32" i="127"/>
  <c r="O32" i="127"/>
  <c r="G33" i="127"/>
  <c r="F34" i="127"/>
  <c r="G34" i="127"/>
  <c r="H34" i="127"/>
  <c r="I34" i="127"/>
  <c r="M34" i="127"/>
  <c r="O34" i="127"/>
  <c r="F35" i="127"/>
  <c r="G35" i="127"/>
  <c r="H35" i="127"/>
  <c r="T35" i="127" s="1"/>
  <c r="I35" i="127"/>
  <c r="J35" i="127"/>
  <c r="K35" i="127"/>
  <c r="M35" i="127"/>
  <c r="O35" i="127"/>
  <c r="Q35" i="127"/>
  <c r="F36" i="127"/>
  <c r="G36" i="127"/>
  <c r="H36" i="127"/>
  <c r="T36" i="127" s="1"/>
  <c r="I36" i="127"/>
  <c r="J36" i="127"/>
  <c r="K36" i="127"/>
  <c r="M36" i="127"/>
  <c r="O36" i="127"/>
  <c r="F37" i="127"/>
  <c r="G37" i="127"/>
  <c r="H37" i="127"/>
  <c r="I37" i="127"/>
  <c r="M37" i="127"/>
  <c r="O37" i="127"/>
  <c r="F38" i="127"/>
  <c r="G38" i="127"/>
  <c r="H38" i="127"/>
  <c r="I38" i="127"/>
  <c r="M38" i="127"/>
  <c r="O38" i="127"/>
  <c r="T55" i="127"/>
  <c r="T56" i="127"/>
  <c r="D60" i="127"/>
  <c r="E60" i="127"/>
  <c r="L60" i="127"/>
  <c r="N60" i="127"/>
  <c r="P60" i="127"/>
  <c r="I67" i="127"/>
  <c r="J67" i="127"/>
  <c r="I70" i="127"/>
  <c r="J70" i="127"/>
  <c r="F4" i="126"/>
  <c r="G4" i="126"/>
  <c r="U4" i="126" s="1"/>
  <c r="H4" i="126"/>
  <c r="I4" i="126"/>
  <c r="J4" i="126"/>
  <c r="K4" i="126"/>
  <c r="M4" i="126"/>
  <c r="O4" i="126"/>
  <c r="S4" i="126"/>
  <c r="T4" i="126"/>
  <c r="F5" i="126"/>
  <c r="G5" i="126"/>
  <c r="Q4" i="126" s="1"/>
  <c r="H5" i="126"/>
  <c r="I5" i="126"/>
  <c r="M5" i="126"/>
  <c r="T5" i="126" s="1"/>
  <c r="O5" i="126"/>
  <c r="F6" i="126"/>
  <c r="G6" i="126"/>
  <c r="U6" i="126" s="1"/>
  <c r="H6" i="126"/>
  <c r="T6" i="126" s="1"/>
  <c r="I6" i="126"/>
  <c r="J6" i="126"/>
  <c r="K6" i="126"/>
  <c r="M6" i="126"/>
  <c r="O6" i="126"/>
  <c r="F7" i="126"/>
  <c r="G7" i="126"/>
  <c r="H7" i="126"/>
  <c r="I7" i="126"/>
  <c r="M7" i="126"/>
  <c r="O7" i="126"/>
  <c r="F8" i="126"/>
  <c r="G8" i="126"/>
  <c r="U8" i="126" s="1"/>
  <c r="H8" i="126"/>
  <c r="I8" i="126"/>
  <c r="J8" i="126"/>
  <c r="K8" i="126"/>
  <c r="M8" i="126"/>
  <c r="O8" i="126"/>
  <c r="F9" i="126"/>
  <c r="G9" i="126"/>
  <c r="H9" i="126"/>
  <c r="I9" i="126"/>
  <c r="J9" i="126"/>
  <c r="K9" i="126"/>
  <c r="M9" i="126"/>
  <c r="O9" i="126"/>
  <c r="F10" i="126"/>
  <c r="G10" i="126"/>
  <c r="H10" i="126"/>
  <c r="T10" i="126" s="1"/>
  <c r="I10" i="126"/>
  <c r="J10" i="126"/>
  <c r="K10" i="126"/>
  <c r="S10" i="126" s="1"/>
  <c r="M10" i="126"/>
  <c r="O10" i="126"/>
  <c r="F11" i="126"/>
  <c r="G11" i="126"/>
  <c r="H11" i="126"/>
  <c r="I11" i="126"/>
  <c r="M11" i="126"/>
  <c r="O11" i="126"/>
  <c r="F12" i="126"/>
  <c r="G12" i="126"/>
  <c r="H12" i="126"/>
  <c r="T9" i="126" s="1"/>
  <c r="I12" i="126"/>
  <c r="J12" i="126"/>
  <c r="K12" i="126"/>
  <c r="M12" i="126"/>
  <c r="O12" i="126"/>
  <c r="S12" i="126"/>
  <c r="T12" i="126"/>
  <c r="G13" i="126"/>
  <c r="Q12" i="126" s="1"/>
  <c r="F14" i="126"/>
  <c r="G14" i="126"/>
  <c r="H14" i="126"/>
  <c r="I14" i="126"/>
  <c r="J14" i="126"/>
  <c r="K14" i="126"/>
  <c r="M14" i="126"/>
  <c r="O14" i="126"/>
  <c r="F15" i="126"/>
  <c r="G15" i="126"/>
  <c r="S15" i="126" s="1"/>
  <c r="H15" i="126"/>
  <c r="I15" i="126"/>
  <c r="J15" i="126"/>
  <c r="K15" i="126"/>
  <c r="M15" i="126"/>
  <c r="O15" i="126"/>
  <c r="T15" i="126"/>
  <c r="F16" i="126"/>
  <c r="G16" i="126"/>
  <c r="H16" i="126"/>
  <c r="I16" i="126"/>
  <c r="M16" i="126"/>
  <c r="O16" i="126"/>
  <c r="F17" i="126"/>
  <c r="G17" i="126"/>
  <c r="H17" i="126"/>
  <c r="I17" i="126"/>
  <c r="J17" i="126"/>
  <c r="K17" i="126"/>
  <c r="S17" i="126" s="1"/>
  <c r="M17" i="126"/>
  <c r="O17" i="126"/>
  <c r="Q17" i="126"/>
  <c r="F18" i="126"/>
  <c r="G18" i="126"/>
  <c r="Q18" i="126" s="1"/>
  <c r="H18" i="126"/>
  <c r="I18" i="126"/>
  <c r="J18" i="126"/>
  <c r="K18" i="126"/>
  <c r="M18" i="126"/>
  <c r="O18" i="126"/>
  <c r="F19" i="126"/>
  <c r="G68" i="126" s="1"/>
  <c r="G19" i="126"/>
  <c r="E68" i="126" s="1"/>
  <c r="H19" i="126"/>
  <c r="T19" i="126" s="1"/>
  <c r="I19" i="126"/>
  <c r="J19" i="126"/>
  <c r="K19" i="126"/>
  <c r="M19" i="126"/>
  <c r="O19" i="126"/>
  <c r="U19" i="126"/>
  <c r="F20" i="126"/>
  <c r="G20" i="126"/>
  <c r="Q20" i="126" s="1"/>
  <c r="H20" i="126"/>
  <c r="T20" i="126" s="1"/>
  <c r="I20" i="126"/>
  <c r="J20" i="126"/>
  <c r="K20" i="126"/>
  <c r="S20" i="126" s="1"/>
  <c r="M20" i="126"/>
  <c r="O20" i="126"/>
  <c r="F21" i="126"/>
  <c r="G21" i="126"/>
  <c r="H21" i="126"/>
  <c r="I21" i="126"/>
  <c r="J21" i="126"/>
  <c r="K21" i="126"/>
  <c r="M21" i="126"/>
  <c r="O21" i="126"/>
  <c r="S21" i="126"/>
  <c r="G22" i="126"/>
  <c r="F23" i="126"/>
  <c r="G23" i="126"/>
  <c r="H23" i="126"/>
  <c r="I23" i="126"/>
  <c r="M23" i="126"/>
  <c r="O23" i="126"/>
  <c r="F24" i="126"/>
  <c r="G24" i="126"/>
  <c r="S24" i="126" s="1"/>
  <c r="H24" i="126"/>
  <c r="I24" i="126"/>
  <c r="J24" i="126"/>
  <c r="K24" i="126"/>
  <c r="M24" i="126"/>
  <c r="T24" i="126" s="1"/>
  <c r="O24" i="126"/>
  <c r="F25" i="126"/>
  <c r="G25" i="126"/>
  <c r="S25" i="126" s="1"/>
  <c r="H25" i="126"/>
  <c r="I25" i="126"/>
  <c r="J25" i="126"/>
  <c r="K25" i="126"/>
  <c r="M25" i="126"/>
  <c r="O25" i="126"/>
  <c r="Q25" i="126"/>
  <c r="F26" i="126"/>
  <c r="G26" i="126"/>
  <c r="H26" i="126"/>
  <c r="I26" i="126"/>
  <c r="M26" i="126"/>
  <c r="T26" i="126" s="1"/>
  <c r="O26" i="126"/>
  <c r="F27" i="126"/>
  <c r="G27" i="126"/>
  <c r="U27" i="126" s="1"/>
  <c r="H27" i="126"/>
  <c r="I27" i="126"/>
  <c r="J27" i="126"/>
  <c r="K27" i="126"/>
  <c r="M27" i="126"/>
  <c r="O27" i="126"/>
  <c r="F28" i="126"/>
  <c r="G28" i="126"/>
  <c r="H28" i="126"/>
  <c r="I28" i="126"/>
  <c r="J28" i="126"/>
  <c r="K28" i="126"/>
  <c r="M28" i="126"/>
  <c r="O28" i="126"/>
  <c r="F29" i="126"/>
  <c r="G29" i="126"/>
  <c r="H29" i="126"/>
  <c r="I29" i="126"/>
  <c r="M29" i="126"/>
  <c r="O29" i="126"/>
  <c r="F30" i="126"/>
  <c r="G30" i="126"/>
  <c r="H30" i="126"/>
  <c r="I30" i="126"/>
  <c r="J30" i="126"/>
  <c r="K30" i="126"/>
  <c r="M30" i="126"/>
  <c r="O30" i="126"/>
  <c r="F31" i="126"/>
  <c r="G31" i="126"/>
  <c r="Q31" i="126" s="1"/>
  <c r="H31" i="126"/>
  <c r="T31" i="126" s="1"/>
  <c r="I31" i="126"/>
  <c r="J31" i="126"/>
  <c r="K31" i="126"/>
  <c r="M31" i="126"/>
  <c r="O31" i="126"/>
  <c r="T55" i="126"/>
  <c r="T56" i="126"/>
  <c r="D60" i="126"/>
  <c r="E60" i="126"/>
  <c r="L60" i="126"/>
  <c r="N60" i="126"/>
  <c r="P60" i="126"/>
  <c r="I67" i="126"/>
  <c r="J67" i="126"/>
  <c r="H68" i="126"/>
  <c r="I68" i="126"/>
  <c r="I70" i="126"/>
  <c r="J70" i="126"/>
  <c r="F4" i="125"/>
  <c r="G4" i="125"/>
  <c r="H4" i="125"/>
  <c r="I4" i="125"/>
  <c r="J4" i="125"/>
  <c r="K4" i="125"/>
  <c r="M4" i="125"/>
  <c r="O4" i="125"/>
  <c r="F5" i="125"/>
  <c r="G5" i="125"/>
  <c r="H5" i="125"/>
  <c r="I5" i="125"/>
  <c r="M5" i="125"/>
  <c r="O5" i="125"/>
  <c r="F6" i="125"/>
  <c r="G6" i="125"/>
  <c r="H6" i="125"/>
  <c r="I6" i="125"/>
  <c r="J6" i="125"/>
  <c r="K6" i="125"/>
  <c r="M6" i="125"/>
  <c r="O6" i="125"/>
  <c r="F7" i="125"/>
  <c r="G7" i="125"/>
  <c r="H7" i="125"/>
  <c r="I7" i="125"/>
  <c r="M7" i="125"/>
  <c r="O7" i="125"/>
  <c r="F8" i="125"/>
  <c r="G8" i="125"/>
  <c r="H8" i="125"/>
  <c r="T8" i="125" s="1"/>
  <c r="I8" i="125"/>
  <c r="J8" i="125"/>
  <c r="K8" i="125"/>
  <c r="M8" i="125"/>
  <c r="O8" i="125"/>
  <c r="S8" i="125"/>
  <c r="U8" i="125"/>
  <c r="G9" i="125"/>
  <c r="F10" i="125"/>
  <c r="G10" i="125"/>
  <c r="Q10" i="125" s="1"/>
  <c r="H10" i="125"/>
  <c r="I10" i="125"/>
  <c r="J10" i="125"/>
  <c r="K10" i="125"/>
  <c r="M10" i="125"/>
  <c r="O10" i="125"/>
  <c r="S10" i="125"/>
  <c r="F11" i="125"/>
  <c r="G11" i="125"/>
  <c r="H11" i="125"/>
  <c r="T11" i="125" s="1"/>
  <c r="I11" i="125"/>
  <c r="J11" i="125"/>
  <c r="K11" i="125"/>
  <c r="M11" i="125"/>
  <c r="O11" i="125"/>
  <c r="U11" i="125"/>
  <c r="F12" i="125"/>
  <c r="G12" i="125"/>
  <c r="H12" i="125"/>
  <c r="I12" i="125"/>
  <c r="M12" i="125"/>
  <c r="O12" i="125"/>
  <c r="F13" i="125"/>
  <c r="G13" i="125"/>
  <c r="U13" i="125" s="1"/>
  <c r="H13" i="125"/>
  <c r="I13" i="125"/>
  <c r="J13" i="125"/>
  <c r="K13" i="125"/>
  <c r="M13" i="125"/>
  <c r="O13" i="125"/>
  <c r="F14" i="125"/>
  <c r="G14" i="125"/>
  <c r="S14" i="125" s="1"/>
  <c r="H14" i="125"/>
  <c r="I14" i="125"/>
  <c r="J14" i="125"/>
  <c r="K14" i="125"/>
  <c r="M14" i="125"/>
  <c r="O14" i="125"/>
  <c r="F15" i="125"/>
  <c r="G15" i="125"/>
  <c r="H15" i="125"/>
  <c r="I15" i="125"/>
  <c r="J15" i="125"/>
  <c r="K15" i="125"/>
  <c r="M15" i="125"/>
  <c r="O15" i="125"/>
  <c r="Q15" i="125"/>
  <c r="S15" i="125"/>
  <c r="U15" i="125"/>
  <c r="F16" i="125"/>
  <c r="G16" i="125"/>
  <c r="H16" i="125"/>
  <c r="T15" i="125" s="1"/>
  <c r="I16" i="125"/>
  <c r="M16" i="125"/>
  <c r="O16" i="125"/>
  <c r="F17" i="125"/>
  <c r="G17" i="125"/>
  <c r="H17" i="125"/>
  <c r="T17" i="125" s="1"/>
  <c r="I17" i="125"/>
  <c r="J17" i="125"/>
  <c r="K17" i="125"/>
  <c r="M17" i="125"/>
  <c r="O17" i="125"/>
  <c r="F18" i="125"/>
  <c r="G18" i="125"/>
  <c r="H18" i="125"/>
  <c r="T18" i="125" s="1"/>
  <c r="I18" i="125"/>
  <c r="J18" i="125"/>
  <c r="K18" i="125"/>
  <c r="M18" i="125"/>
  <c r="O18" i="125"/>
  <c r="G19" i="125"/>
  <c r="F20" i="125"/>
  <c r="G20" i="125"/>
  <c r="H20" i="125"/>
  <c r="I20" i="125"/>
  <c r="J20" i="125"/>
  <c r="K20" i="125"/>
  <c r="M20" i="125"/>
  <c r="O20" i="125"/>
  <c r="F21" i="125"/>
  <c r="G21" i="125"/>
  <c r="H21" i="125"/>
  <c r="I21" i="125"/>
  <c r="M21" i="125"/>
  <c r="O21" i="125"/>
  <c r="F22" i="125"/>
  <c r="G22" i="125"/>
  <c r="Q22" i="125" s="1"/>
  <c r="H22" i="125"/>
  <c r="T22" i="125" s="1"/>
  <c r="I22" i="125"/>
  <c r="J22" i="125"/>
  <c r="K22" i="125"/>
  <c r="S22" i="125" s="1"/>
  <c r="M22" i="125"/>
  <c r="O22" i="125"/>
  <c r="F23" i="125"/>
  <c r="G23" i="125"/>
  <c r="H23" i="125"/>
  <c r="T20" i="125" s="1"/>
  <c r="I23" i="125"/>
  <c r="M23" i="125"/>
  <c r="O23" i="125"/>
  <c r="F24" i="125"/>
  <c r="G24" i="125"/>
  <c r="U24" i="125" s="1"/>
  <c r="H24" i="125"/>
  <c r="T24" i="125" s="1"/>
  <c r="I24" i="125"/>
  <c r="J24" i="125"/>
  <c r="K24" i="125"/>
  <c r="M24" i="125"/>
  <c r="O24" i="125"/>
  <c r="F25" i="125"/>
  <c r="G25" i="125"/>
  <c r="H25" i="125"/>
  <c r="T25" i="125" s="1"/>
  <c r="I25" i="125"/>
  <c r="J25" i="125"/>
  <c r="K25" i="125"/>
  <c r="M25" i="125"/>
  <c r="O25" i="125"/>
  <c r="F26" i="125"/>
  <c r="G26" i="125"/>
  <c r="H26" i="125"/>
  <c r="T26" i="125" s="1"/>
  <c r="I26" i="125"/>
  <c r="J26" i="125"/>
  <c r="K26" i="125"/>
  <c r="F68" i="125" s="1"/>
  <c r="M26" i="125"/>
  <c r="O26" i="125"/>
  <c r="Q26" i="125"/>
  <c r="F27" i="125"/>
  <c r="G27" i="125"/>
  <c r="H27" i="125"/>
  <c r="T27" i="125" s="1"/>
  <c r="I27" i="125"/>
  <c r="J27" i="125"/>
  <c r="K27" i="125"/>
  <c r="F67" i="125" s="1"/>
  <c r="M27" i="125"/>
  <c r="O27" i="125"/>
  <c r="F28" i="125"/>
  <c r="G67" i="125" s="1"/>
  <c r="G28" i="125"/>
  <c r="E67" i="125" s="1"/>
  <c r="H28" i="125"/>
  <c r="H67" i="125" s="1"/>
  <c r="I28" i="125"/>
  <c r="M28" i="125"/>
  <c r="O28" i="125"/>
  <c r="F29" i="125"/>
  <c r="G29" i="125"/>
  <c r="H29" i="125"/>
  <c r="I29" i="125"/>
  <c r="M29" i="125"/>
  <c r="O29" i="125"/>
  <c r="F30" i="125"/>
  <c r="G69" i="125" s="1"/>
  <c r="G30" i="125"/>
  <c r="H30" i="125"/>
  <c r="I30" i="125"/>
  <c r="J30" i="125"/>
  <c r="K30" i="125"/>
  <c r="M30" i="125"/>
  <c r="O30" i="125"/>
  <c r="F31" i="125"/>
  <c r="G31" i="125"/>
  <c r="H31" i="125"/>
  <c r="I31" i="125"/>
  <c r="J31" i="125"/>
  <c r="K31" i="125"/>
  <c r="M31" i="125"/>
  <c r="O31" i="125"/>
  <c r="F32" i="125"/>
  <c r="G32" i="125"/>
  <c r="H32" i="125"/>
  <c r="I32" i="125"/>
  <c r="M32" i="125"/>
  <c r="O32" i="125"/>
  <c r="F33" i="125"/>
  <c r="G33" i="125"/>
  <c r="U33" i="125" s="1"/>
  <c r="H33" i="125"/>
  <c r="I33" i="125"/>
  <c r="J33" i="125"/>
  <c r="K33" i="125"/>
  <c r="M33" i="125"/>
  <c r="O33" i="125"/>
  <c r="T55" i="125"/>
  <c r="T56" i="125"/>
  <c r="D60" i="125"/>
  <c r="E60" i="125"/>
  <c r="L60" i="125"/>
  <c r="N60" i="125"/>
  <c r="P60" i="125"/>
  <c r="E66" i="125"/>
  <c r="F69" i="125"/>
  <c r="H69" i="125"/>
  <c r="I70" i="125"/>
  <c r="J70" i="125"/>
  <c r="F4" i="124"/>
  <c r="G4" i="124"/>
  <c r="P4" i="124" s="1"/>
  <c r="H4" i="124"/>
  <c r="H58" i="124" s="1"/>
  <c r="I4" i="124"/>
  <c r="J4" i="124"/>
  <c r="K4" i="124"/>
  <c r="F64" i="124" s="1"/>
  <c r="L4" i="124"/>
  <c r="M4" i="124"/>
  <c r="N4" i="124"/>
  <c r="T4" i="124"/>
  <c r="F5" i="124"/>
  <c r="G5" i="124"/>
  <c r="P5" i="124" s="1"/>
  <c r="H5" i="124"/>
  <c r="H66" i="124" s="1"/>
  <c r="I5" i="124"/>
  <c r="J5" i="124"/>
  <c r="K5" i="124"/>
  <c r="T5" i="124" s="1"/>
  <c r="L5" i="124"/>
  <c r="M5" i="124"/>
  <c r="N5" i="124"/>
  <c r="F6" i="124"/>
  <c r="G6" i="124"/>
  <c r="R6" i="124" s="1"/>
  <c r="H6" i="124"/>
  <c r="I6" i="124"/>
  <c r="J6" i="124"/>
  <c r="K6" i="124"/>
  <c r="L6" i="124"/>
  <c r="M6" i="124"/>
  <c r="N6" i="124"/>
  <c r="F7" i="124"/>
  <c r="G7" i="124"/>
  <c r="T7" i="124" s="1"/>
  <c r="H7" i="124"/>
  <c r="I7" i="124"/>
  <c r="J7" i="124"/>
  <c r="K7" i="124"/>
  <c r="L7" i="124"/>
  <c r="M7" i="124"/>
  <c r="N7" i="124"/>
  <c r="F8" i="124"/>
  <c r="G8" i="124"/>
  <c r="H8" i="124"/>
  <c r="S8" i="124" s="1"/>
  <c r="I8" i="124"/>
  <c r="J8" i="124"/>
  <c r="K8" i="124"/>
  <c r="L8" i="124"/>
  <c r="M8" i="124"/>
  <c r="N8" i="124"/>
  <c r="G9" i="124"/>
  <c r="M9" i="124"/>
  <c r="F10" i="124"/>
  <c r="G10" i="124"/>
  <c r="H10" i="124"/>
  <c r="I10" i="124"/>
  <c r="L10" i="124"/>
  <c r="M10" i="124"/>
  <c r="N10" i="124"/>
  <c r="F11" i="124"/>
  <c r="G11" i="124"/>
  <c r="H11" i="124"/>
  <c r="I11" i="124"/>
  <c r="J11" i="124"/>
  <c r="K11" i="124"/>
  <c r="L11" i="124"/>
  <c r="M11" i="124"/>
  <c r="N11" i="124"/>
  <c r="F12" i="124"/>
  <c r="G12" i="124"/>
  <c r="H12" i="124"/>
  <c r="I12" i="124"/>
  <c r="L12" i="124"/>
  <c r="M12" i="124"/>
  <c r="N12" i="124"/>
  <c r="F13" i="124"/>
  <c r="G13" i="124"/>
  <c r="P13" i="124" s="1"/>
  <c r="H13" i="124"/>
  <c r="S13" i="124" s="1"/>
  <c r="I13" i="124"/>
  <c r="J13" i="124"/>
  <c r="K13" i="124"/>
  <c r="L13" i="124"/>
  <c r="M13" i="124"/>
  <c r="N13" i="124"/>
  <c r="F14" i="124"/>
  <c r="G14" i="124"/>
  <c r="H14" i="124"/>
  <c r="I14" i="124"/>
  <c r="J14" i="124"/>
  <c r="K14" i="124"/>
  <c r="L14" i="124"/>
  <c r="M14" i="124"/>
  <c r="N14" i="124"/>
  <c r="P14" i="124"/>
  <c r="F15" i="124"/>
  <c r="G15" i="124"/>
  <c r="R15" i="124" s="1"/>
  <c r="H15" i="124"/>
  <c r="S15" i="124" s="1"/>
  <c r="I15" i="124"/>
  <c r="J15" i="124"/>
  <c r="K15" i="124"/>
  <c r="L15" i="124"/>
  <c r="M15" i="124"/>
  <c r="N15" i="124"/>
  <c r="G16" i="124"/>
  <c r="F17" i="124"/>
  <c r="G17" i="124"/>
  <c r="H17" i="124"/>
  <c r="I17" i="124"/>
  <c r="J17" i="124"/>
  <c r="K17" i="124"/>
  <c r="L17" i="124"/>
  <c r="M17" i="124"/>
  <c r="N17" i="124"/>
  <c r="F18" i="124"/>
  <c r="G18" i="124"/>
  <c r="T17" i="124" s="1"/>
  <c r="H18" i="124"/>
  <c r="I18" i="124"/>
  <c r="L18" i="124"/>
  <c r="M18" i="124"/>
  <c r="N18" i="124"/>
  <c r="F19" i="124"/>
  <c r="G65" i="124" s="1"/>
  <c r="G19" i="124"/>
  <c r="H19" i="124"/>
  <c r="I19" i="124"/>
  <c r="J19" i="124"/>
  <c r="K19" i="124"/>
  <c r="F65" i="124" s="1"/>
  <c r="L19" i="124"/>
  <c r="M19" i="124"/>
  <c r="N19" i="124"/>
  <c r="F20" i="124"/>
  <c r="G20" i="124"/>
  <c r="T19" i="124" s="1"/>
  <c r="H20" i="124"/>
  <c r="I20" i="124"/>
  <c r="L20" i="124"/>
  <c r="M20" i="124"/>
  <c r="N20" i="124"/>
  <c r="F21" i="124"/>
  <c r="G21" i="124"/>
  <c r="P21" i="124" s="1"/>
  <c r="H21" i="124"/>
  <c r="I21" i="124"/>
  <c r="J21" i="124"/>
  <c r="K21" i="124"/>
  <c r="L21" i="124"/>
  <c r="M21" i="124"/>
  <c r="N21" i="124"/>
  <c r="F22" i="124"/>
  <c r="G22" i="124"/>
  <c r="H22" i="124"/>
  <c r="I22" i="124"/>
  <c r="J22" i="124"/>
  <c r="K22" i="124"/>
  <c r="L22" i="124"/>
  <c r="M22" i="124"/>
  <c r="N22" i="124"/>
  <c r="G23" i="124"/>
  <c r="F24" i="124"/>
  <c r="G24" i="124"/>
  <c r="P24" i="124" s="1"/>
  <c r="H24" i="124"/>
  <c r="I24" i="124"/>
  <c r="J24" i="124"/>
  <c r="K24" i="124"/>
  <c r="T24" i="124" s="1"/>
  <c r="L24" i="124"/>
  <c r="M24" i="124"/>
  <c r="N24" i="124"/>
  <c r="F25" i="124"/>
  <c r="G64" i="124" s="1"/>
  <c r="G25" i="124"/>
  <c r="P25" i="124" s="1"/>
  <c r="H25" i="124"/>
  <c r="I25" i="124"/>
  <c r="J25" i="124"/>
  <c r="K25" i="124"/>
  <c r="L25" i="124"/>
  <c r="M25" i="124"/>
  <c r="N25" i="124"/>
  <c r="F26" i="124"/>
  <c r="G26" i="124"/>
  <c r="R26" i="124" s="1"/>
  <c r="H26" i="124"/>
  <c r="H68" i="124" s="1"/>
  <c r="I26" i="124"/>
  <c r="J26" i="124"/>
  <c r="K26" i="124"/>
  <c r="L26" i="124"/>
  <c r="M26" i="124"/>
  <c r="N26" i="124"/>
  <c r="F27" i="124"/>
  <c r="G27" i="124"/>
  <c r="H27" i="124"/>
  <c r="I27" i="124"/>
  <c r="L27" i="124"/>
  <c r="M27" i="124"/>
  <c r="N27" i="124"/>
  <c r="F28" i="124"/>
  <c r="G28" i="124"/>
  <c r="H28" i="124"/>
  <c r="I28" i="124"/>
  <c r="L28" i="124"/>
  <c r="M28" i="124"/>
  <c r="N28" i="124"/>
  <c r="F29" i="124"/>
  <c r="G29" i="124"/>
  <c r="T29" i="124" s="1"/>
  <c r="H29" i="124"/>
  <c r="I29" i="124"/>
  <c r="J29" i="124"/>
  <c r="K29" i="124"/>
  <c r="L29" i="124"/>
  <c r="M29" i="124"/>
  <c r="N29" i="124"/>
  <c r="G30" i="124"/>
  <c r="F31" i="124"/>
  <c r="G31" i="124"/>
  <c r="P31" i="124" s="1"/>
  <c r="H31" i="124"/>
  <c r="S31" i="124" s="1"/>
  <c r="I31" i="124"/>
  <c r="J31" i="124"/>
  <c r="K31" i="124"/>
  <c r="L31" i="124"/>
  <c r="M31" i="124"/>
  <c r="N31" i="124"/>
  <c r="F32" i="124"/>
  <c r="G32" i="124"/>
  <c r="H32" i="124"/>
  <c r="I32" i="124"/>
  <c r="L32" i="124"/>
  <c r="M32" i="124"/>
  <c r="N32" i="124"/>
  <c r="F33" i="124"/>
  <c r="G33" i="124"/>
  <c r="P33" i="124" s="1"/>
  <c r="H33" i="124"/>
  <c r="S33" i="124" s="1"/>
  <c r="I33" i="124"/>
  <c r="J33" i="124"/>
  <c r="K33" i="124"/>
  <c r="L33" i="124"/>
  <c r="M33" i="124"/>
  <c r="N33" i="124"/>
  <c r="F34" i="124"/>
  <c r="G34" i="124"/>
  <c r="H34" i="124"/>
  <c r="I34" i="124"/>
  <c r="L34" i="124"/>
  <c r="M34" i="124"/>
  <c r="N34" i="124"/>
  <c r="F35" i="124"/>
  <c r="G35" i="124"/>
  <c r="H35" i="124"/>
  <c r="I35" i="124"/>
  <c r="L35" i="124"/>
  <c r="M35" i="124"/>
  <c r="N35" i="124"/>
  <c r="F36" i="124"/>
  <c r="G36" i="124"/>
  <c r="H36" i="124"/>
  <c r="I36" i="124"/>
  <c r="J36" i="124"/>
  <c r="K36" i="124"/>
  <c r="L36" i="124"/>
  <c r="S36" i="124" s="1"/>
  <c r="M36" i="124"/>
  <c r="N36" i="124"/>
  <c r="F37" i="124"/>
  <c r="G37" i="124"/>
  <c r="H37" i="124"/>
  <c r="I37" i="124"/>
  <c r="J37" i="124"/>
  <c r="K37" i="124"/>
  <c r="L37" i="124"/>
  <c r="M37" i="124"/>
  <c r="N37" i="124"/>
  <c r="S37" i="124"/>
  <c r="S53" i="124"/>
  <c r="S54" i="124"/>
  <c r="D58" i="124"/>
  <c r="E58" i="124"/>
  <c r="O58" i="124"/>
  <c r="E65" i="124"/>
  <c r="F67" i="124"/>
  <c r="F4" i="123"/>
  <c r="G4" i="123"/>
  <c r="T4" i="123" s="1"/>
  <c r="H4" i="123"/>
  <c r="I4" i="123"/>
  <c r="J4" i="123"/>
  <c r="K4" i="123"/>
  <c r="L4" i="123"/>
  <c r="N4" i="123"/>
  <c r="F5" i="123"/>
  <c r="G5" i="123"/>
  <c r="H5" i="123"/>
  <c r="I5" i="123"/>
  <c r="J5" i="123"/>
  <c r="K5" i="123"/>
  <c r="R5" i="123" s="1"/>
  <c r="L5" i="123"/>
  <c r="N5" i="123"/>
  <c r="P5" i="123"/>
  <c r="S5" i="123"/>
  <c r="F6" i="123"/>
  <c r="G6" i="123"/>
  <c r="P6" i="123" s="1"/>
  <c r="H6" i="123"/>
  <c r="I6" i="123"/>
  <c r="J6" i="123"/>
  <c r="K6" i="123"/>
  <c r="L6" i="123"/>
  <c r="N6" i="123"/>
  <c r="F7" i="123"/>
  <c r="G7" i="123"/>
  <c r="T7" i="123" s="1"/>
  <c r="H7" i="123"/>
  <c r="H63" i="123" s="1"/>
  <c r="I7" i="123"/>
  <c r="J7" i="123"/>
  <c r="K7" i="123"/>
  <c r="L7" i="123"/>
  <c r="N7" i="123"/>
  <c r="F8" i="123"/>
  <c r="G67" i="123" s="1"/>
  <c r="G8" i="123"/>
  <c r="P7" i="123" s="1"/>
  <c r="H8" i="123"/>
  <c r="H67" i="123" s="1"/>
  <c r="I8" i="123"/>
  <c r="L8" i="123"/>
  <c r="N8" i="123"/>
  <c r="F9" i="123"/>
  <c r="G9" i="123"/>
  <c r="T9" i="123" s="1"/>
  <c r="H9" i="123"/>
  <c r="I9" i="123"/>
  <c r="J9" i="123"/>
  <c r="K9" i="123"/>
  <c r="L9" i="123"/>
  <c r="N9" i="123"/>
  <c r="F10" i="123"/>
  <c r="G10" i="123"/>
  <c r="H10" i="123"/>
  <c r="I10" i="123"/>
  <c r="J10" i="123"/>
  <c r="K10" i="123"/>
  <c r="L10" i="123"/>
  <c r="N10" i="123"/>
  <c r="F11" i="123"/>
  <c r="G11" i="123"/>
  <c r="P11" i="123" s="1"/>
  <c r="H11" i="123"/>
  <c r="I11" i="123"/>
  <c r="J11" i="123"/>
  <c r="K11" i="123"/>
  <c r="L11" i="123"/>
  <c r="N11" i="123"/>
  <c r="F12" i="123"/>
  <c r="G12" i="123"/>
  <c r="H12" i="123"/>
  <c r="I12" i="123"/>
  <c r="L12" i="123"/>
  <c r="N12" i="123"/>
  <c r="F13" i="123"/>
  <c r="G13" i="123"/>
  <c r="R13" i="123" s="1"/>
  <c r="H13" i="123"/>
  <c r="I13" i="123"/>
  <c r="J13" i="123"/>
  <c r="K13" i="123"/>
  <c r="L13" i="123"/>
  <c r="N13" i="123"/>
  <c r="F14" i="123"/>
  <c r="G14" i="123"/>
  <c r="P14" i="123" s="1"/>
  <c r="H14" i="123"/>
  <c r="I14" i="123"/>
  <c r="J14" i="123"/>
  <c r="K14" i="123"/>
  <c r="R14" i="123" s="1"/>
  <c r="L14" i="123"/>
  <c r="M14" i="123"/>
  <c r="N14" i="123"/>
  <c r="F15" i="123"/>
  <c r="G15" i="123"/>
  <c r="P15" i="123" s="1"/>
  <c r="H15" i="123"/>
  <c r="I15" i="123"/>
  <c r="J15" i="123"/>
  <c r="K15" i="123"/>
  <c r="L15" i="123"/>
  <c r="M15" i="123"/>
  <c r="N15" i="123"/>
  <c r="F16" i="123"/>
  <c r="G16" i="123"/>
  <c r="H16" i="123"/>
  <c r="I16" i="123"/>
  <c r="J16" i="123"/>
  <c r="K16" i="123"/>
  <c r="L16" i="123"/>
  <c r="M16" i="123"/>
  <c r="N16" i="123"/>
  <c r="P16" i="123"/>
  <c r="T16" i="123"/>
  <c r="F17" i="123"/>
  <c r="G17" i="123"/>
  <c r="P17" i="123" s="1"/>
  <c r="H17" i="123"/>
  <c r="I17" i="123"/>
  <c r="J17" i="123"/>
  <c r="K17" i="123"/>
  <c r="L17" i="123"/>
  <c r="M17" i="123"/>
  <c r="N17" i="123"/>
  <c r="F18" i="123"/>
  <c r="G18" i="123"/>
  <c r="R18" i="123" s="1"/>
  <c r="H18" i="123"/>
  <c r="I18" i="123"/>
  <c r="J18" i="123"/>
  <c r="K18" i="123"/>
  <c r="L18" i="123"/>
  <c r="M18" i="123"/>
  <c r="N18" i="123"/>
  <c r="F19" i="123"/>
  <c r="G19" i="123"/>
  <c r="T19" i="123" s="1"/>
  <c r="H19" i="123"/>
  <c r="S18" i="123" s="1"/>
  <c r="I19" i="123"/>
  <c r="J19" i="123"/>
  <c r="K19" i="123"/>
  <c r="L19" i="123"/>
  <c r="M19" i="123"/>
  <c r="N19" i="123"/>
  <c r="G20" i="123"/>
  <c r="F21" i="123"/>
  <c r="G21" i="123"/>
  <c r="H21" i="123"/>
  <c r="I21" i="123"/>
  <c r="J21" i="123"/>
  <c r="K21" i="123"/>
  <c r="R21" i="123" s="1"/>
  <c r="L21" i="123"/>
  <c r="M21" i="123"/>
  <c r="N21" i="123"/>
  <c r="P21" i="123"/>
  <c r="F22" i="123"/>
  <c r="G22" i="123"/>
  <c r="R22" i="123" s="1"/>
  <c r="H22" i="123"/>
  <c r="I22" i="123"/>
  <c r="J22" i="123"/>
  <c r="K22" i="123"/>
  <c r="L22" i="123"/>
  <c r="M22" i="123"/>
  <c r="N22" i="123"/>
  <c r="F23" i="123"/>
  <c r="G23" i="123"/>
  <c r="T23" i="123" s="1"/>
  <c r="H23" i="123"/>
  <c r="I23" i="123"/>
  <c r="J23" i="123"/>
  <c r="K23" i="123"/>
  <c r="L23" i="123"/>
  <c r="S23" i="123" s="1"/>
  <c r="M23" i="123"/>
  <c r="N23" i="123"/>
  <c r="F24" i="123"/>
  <c r="G24" i="123"/>
  <c r="H24" i="123"/>
  <c r="I24" i="123"/>
  <c r="J24" i="123"/>
  <c r="K24" i="123"/>
  <c r="L24" i="123"/>
  <c r="M24" i="123"/>
  <c r="N24" i="123"/>
  <c r="S24" i="123"/>
  <c r="G25" i="123"/>
  <c r="F26" i="123"/>
  <c r="G26" i="123"/>
  <c r="R26" i="123" s="1"/>
  <c r="H26" i="123"/>
  <c r="S26" i="123" s="1"/>
  <c r="I26" i="123"/>
  <c r="J26" i="123"/>
  <c r="K26" i="123"/>
  <c r="L26" i="123"/>
  <c r="M26" i="123"/>
  <c r="N26" i="123"/>
  <c r="F27" i="123"/>
  <c r="G27" i="123"/>
  <c r="H27" i="123"/>
  <c r="I27" i="123"/>
  <c r="L27" i="123"/>
  <c r="M27" i="123"/>
  <c r="N27" i="123"/>
  <c r="F28" i="123"/>
  <c r="G28" i="123"/>
  <c r="R28" i="123" s="1"/>
  <c r="H28" i="123"/>
  <c r="I28" i="123"/>
  <c r="J28" i="123"/>
  <c r="K28" i="123"/>
  <c r="L28" i="123"/>
  <c r="S28" i="123" s="1"/>
  <c r="M28" i="123"/>
  <c r="N28" i="123"/>
  <c r="F29" i="123"/>
  <c r="G64" i="123" s="1"/>
  <c r="G29" i="123"/>
  <c r="H29" i="123"/>
  <c r="I29" i="123"/>
  <c r="L29" i="123"/>
  <c r="M29" i="123"/>
  <c r="N29" i="123"/>
  <c r="S53" i="123"/>
  <c r="S54" i="123"/>
  <c r="D58" i="123"/>
  <c r="E58" i="123"/>
  <c r="O58" i="123"/>
  <c r="F67" i="123"/>
  <c r="I68" i="123"/>
  <c r="J68" i="123"/>
  <c r="F4" i="122"/>
  <c r="G4" i="122"/>
  <c r="H4" i="122"/>
  <c r="S4" i="122" s="1"/>
  <c r="I4" i="122"/>
  <c r="J4" i="122"/>
  <c r="K4" i="122"/>
  <c r="L4" i="122"/>
  <c r="N4" i="122"/>
  <c r="G5" i="122"/>
  <c r="F6" i="122"/>
  <c r="G6" i="122"/>
  <c r="P6" i="122" s="1"/>
  <c r="H6" i="122"/>
  <c r="I6" i="122"/>
  <c r="J6" i="122"/>
  <c r="K6" i="122"/>
  <c r="L6" i="122"/>
  <c r="S6" i="122" s="1"/>
  <c r="M6" i="122"/>
  <c r="N6" i="122"/>
  <c r="F7" i="122"/>
  <c r="G7" i="122"/>
  <c r="H7" i="122"/>
  <c r="I7" i="122"/>
  <c r="J7" i="122"/>
  <c r="K7" i="122"/>
  <c r="L7" i="122"/>
  <c r="M7" i="122"/>
  <c r="N7" i="122"/>
  <c r="F8" i="122"/>
  <c r="G8" i="122"/>
  <c r="E65" i="122" s="1"/>
  <c r="H8" i="122"/>
  <c r="I8" i="122"/>
  <c r="J8" i="122"/>
  <c r="K8" i="122"/>
  <c r="L8" i="122"/>
  <c r="M8" i="122"/>
  <c r="N8" i="122"/>
  <c r="T8" i="122"/>
  <c r="F9" i="122"/>
  <c r="G9" i="122"/>
  <c r="P9" i="122" s="1"/>
  <c r="H9" i="122"/>
  <c r="S9" i="122" s="1"/>
  <c r="I9" i="122"/>
  <c r="J9" i="122"/>
  <c r="K9" i="122"/>
  <c r="L9" i="122"/>
  <c r="M9" i="122"/>
  <c r="N9" i="122"/>
  <c r="F10" i="122"/>
  <c r="G63" i="122" s="1"/>
  <c r="G10" i="122"/>
  <c r="H10" i="122"/>
  <c r="I10" i="122"/>
  <c r="J10" i="122"/>
  <c r="K10" i="122"/>
  <c r="L10" i="122"/>
  <c r="M10" i="122"/>
  <c r="N10" i="122"/>
  <c r="F11" i="122"/>
  <c r="G11" i="122"/>
  <c r="H11" i="122"/>
  <c r="I11" i="122"/>
  <c r="L11" i="122"/>
  <c r="M11" i="122"/>
  <c r="N11" i="122"/>
  <c r="F12" i="122"/>
  <c r="G12" i="122"/>
  <c r="H12" i="122"/>
  <c r="I12" i="122"/>
  <c r="J12" i="122"/>
  <c r="K12" i="122"/>
  <c r="L12" i="122"/>
  <c r="M12" i="122"/>
  <c r="N12" i="122"/>
  <c r="F13" i="122"/>
  <c r="G65" i="122" s="1"/>
  <c r="I65" i="122" s="1"/>
  <c r="G13" i="122"/>
  <c r="P13" i="122" s="1"/>
  <c r="H13" i="122"/>
  <c r="S13" i="122" s="1"/>
  <c r="I13" i="122"/>
  <c r="J13" i="122"/>
  <c r="K13" i="122"/>
  <c r="L13" i="122"/>
  <c r="M13" i="122"/>
  <c r="N13" i="122"/>
  <c r="F14" i="122"/>
  <c r="G14" i="122"/>
  <c r="H14" i="122"/>
  <c r="I14" i="122"/>
  <c r="J14" i="122"/>
  <c r="K14" i="122"/>
  <c r="L14" i="122"/>
  <c r="S14" i="122" s="1"/>
  <c r="M14" i="122"/>
  <c r="N14" i="122"/>
  <c r="G15" i="122"/>
  <c r="M15" i="122"/>
  <c r="F16" i="122"/>
  <c r="G16" i="122"/>
  <c r="P16" i="122" s="1"/>
  <c r="H16" i="122"/>
  <c r="I16" i="122"/>
  <c r="J16" i="122"/>
  <c r="K16" i="122"/>
  <c r="L16" i="122"/>
  <c r="M16" i="122"/>
  <c r="N16" i="122"/>
  <c r="F17" i="122"/>
  <c r="G17" i="122"/>
  <c r="P17" i="122" s="1"/>
  <c r="H17" i="122"/>
  <c r="I17" i="122"/>
  <c r="J17" i="122"/>
  <c r="K17" i="122"/>
  <c r="L17" i="122"/>
  <c r="M17" i="122"/>
  <c r="N17" i="122"/>
  <c r="S17" i="122"/>
  <c r="F18" i="122"/>
  <c r="G18" i="122"/>
  <c r="H18" i="122"/>
  <c r="I18" i="122"/>
  <c r="L18" i="122"/>
  <c r="M18" i="122"/>
  <c r="N18" i="122"/>
  <c r="F19" i="122"/>
  <c r="G67" i="122" s="1"/>
  <c r="G19" i="122"/>
  <c r="H19" i="122"/>
  <c r="I19" i="122"/>
  <c r="J19" i="122"/>
  <c r="K19" i="122"/>
  <c r="F67" i="122" s="1"/>
  <c r="L19" i="122"/>
  <c r="S19" i="122" s="1"/>
  <c r="M19" i="122"/>
  <c r="N19" i="122"/>
  <c r="F20" i="122"/>
  <c r="G20" i="122"/>
  <c r="H20" i="122"/>
  <c r="H67" i="122" s="1"/>
  <c r="I20" i="122"/>
  <c r="L20" i="122"/>
  <c r="M20" i="122"/>
  <c r="N20" i="122"/>
  <c r="F21" i="122"/>
  <c r="G21" i="122"/>
  <c r="H21" i="122"/>
  <c r="I21" i="122"/>
  <c r="L21" i="122"/>
  <c r="M21" i="122"/>
  <c r="N21" i="122"/>
  <c r="F22" i="122"/>
  <c r="G22" i="122"/>
  <c r="T22" i="122" s="1"/>
  <c r="H22" i="122"/>
  <c r="I22" i="122"/>
  <c r="J22" i="122"/>
  <c r="K22" i="122"/>
  <c r="R22" i="122" s="1"/>
  <c r="L22" i="122"/>
  <c r="M22" i="122"/>
  <c r="N22" i="122"/>
  <c r="P22" i="122"/>
  <c r="F23" i="122"/>
  <c r="G23" i="122"/>
  <c r="H23" i="122"/>
  <c r="S23" i="122" s="1"/>
  <c r="I23" i="122"/>
  <c r="J23" i="122"/>
  <c r="K23" i="122"/>
  <c r="L23" i="122"/>
  <c r="M23" i="122"/>
  <c r="N23" i="122"/>
  <c r="F24" i="122"/>
  <c r="G24" i="122"/>
  <c r="P24" i="122" s="1"/>
  <c r="H24" i="122"/>
  <c r="I24" i="122"/>
  <c r="J24" i="122"/>
  <c r="K24" i="122"/>
  <c r="L24" i="122"/>
  <c r="M24" i="122"/>
  <c r="N24" i="122"/>
  <c r="F25" i="122"/>
  <c r="G25" i="122"/>
  <c r="H25" i="122"/>
  <c r="S24" i="122" s="1"/>
  <c r="I25" i="122"/>
  <c r="L25" i="122"/>
  <c r="M25" i="122"/>
  <c r="N25" i="122"/>
  <c r="F26" i="122"/>
  <c r="G26" i="122"/>
  <c r="P26" i="122" s="1"/>
  <c r="H26" i="122"/>
  <c r="I26" i="122"/>
  <c r="J26" i="122"/>
  <c r="K26" i="122"/>
  <c r="L26" i="122"/>
  <c r="S26" i="122" s="1"/>
  <c r="M26" i="122"/>
  <c r="N26" i="122"/>
  <c r="F27" i="122"/>
  <c r="G27" i="122"/>
  <c r="H27" i="122"/>
  <c r="S27" i="122" s="1"/>
  <c r="I27" i="122"/>
  <c r="J27" i="122"/>
  <c r="K27" i="122"/>
  <c r="F66" i="122" s="1"/>
  <c r="L27" i="122"/>
  <c r="M27" i="122"/>
  <c r="N27" i="122"/>
  <c r="G28" i="122"/>
  <c r="F29" i="122"/>
  <c r="G29" i="122"/>
  <c r="H29" i="122"/>
  <c r="H66" i="122" s="1"/>
  <c r="I29" i="122"/>
  <c r="L29" i="122"/>
  <c r="M29" i="122"/>
  <c r="N29" i="122"/>
  <c r="S53" i="122"/>
  <c r="S54" i="122"/>
  <c r="D58" i="122"/>
  <c r="E58" i="122"/>
  <c r="O58" i="122"/>
  <c r="F64" i="122"/>
  <c r="H65" i="122"/>
  <c r="E66" i="122"/>
  <c r="F4" i="121"/>
  <c r="G4" i="121"/>
  <c r="P4" i="121" s="1"/>
  <c r="H4" i="121"/>
  <c r="H64" i="121" s="1"/>
  <c r="I4" i="121"/>
  <c r="J4" i="121"/>
  <c r="K4" i="121"/>
  <c r="L4" i="121"/>
  <c r="M4" i="121"/>
  <c r="N4" i="121"/>
  <c r="F5" i="121"/>
  <c r="G5" i="121"/>
  <c r="H5" i="121"/>
  <c r="I5" i="121"/>
  <c r="J5" i="121"/>
  <c r="K5" i="121"/>
  <c r="L5" i="121"/>
  <c r="M5" i="121"/>
  <c r="N5" i="121"/>
  <c r="G6" i="121"/>
  <c r="P5" i="121" s="1"/>
  <c r="M6" i="121"/>
  <c r="F7" i="121"/>
  <c r="G7" i="121"/>
  <c r="H7" i="121"/>
  <c r="I7" i="121"/>
  <c r="J7" i="121"/>
  <c r="K7" i="121"/>
  <c r="F67" i="121" s="1"/>
  <c r="L7" i="121"/>
  <c r="M7" i="121"/>
  <c r="N7" i="121"/>
  <c r="F8" i="121"/>
  <c r="G8" i="121"/>
  <c r="H8" i="121"/>
  <c r="I8" i="121"/>
  <c r="L8" i="121"/>
  <c r="M8" i="121"/>
  <c r="N8" i="121"/>
  <c r="F9" i="121"/>
  <c r="G9" i="121"/>
  <c r="H9" i="121"/>
  <c r="I9" i="121"/>
  <c r="J9" i="121"/>
  <c r="K9" i="121"/>
  <c r="L9" i="121"/>
  <c r="M9" i="121"/>
  <c r="N9" i="121"/>
  <c r="F10" i="121"/>
  <c r="G65" i="121" s="1"/>
  <c r="G10" i="121"/>
  <c r="H10" i="121"/>
  <c r="H65" i="121" s="1"/>
  <c r="I10" i="121"/>
  <c r="L10" i="121"/>
  <c r="M10" i="121"/>
  <c r="N10" i="121"/>
  <c r="F11" i="121"/>
  <c r="G11" i="121"/>
  <c r="P11" i="121" s="1"/>
  <c r="H11" i="121"/>
  <c r="I11" i="121"/>
  <c r="J11" i="121"/>
  <c r="K11" i="121"/>
  <c r="L11" i="121"/>
  <c r="M11" i="121"/>
  <c r="N11" i="121"/>
  <c r="F12" i="121"/>
  <c r="G12" i="121"/>
  <c r="H12" i="121"/>
  <c r="I12" i="121"/>
  <c r="L12" i="121"/>
  <c r="M12" i="121"/>
  <c r="N12" i="121"/>
  <c r="F13" i="121"/>
  <c r="G13" i="121"/>
  <c r="H13" i="121"/>
  <c r="I13" i="121"/>
  <c r="J13" i="121"/>
  <c r="K13" i="121"/>
  <c r="R13" i="121" s="1"/>
  <c r="L13" i="121"/>
  <c r="M13" i="121"/>
  <c r="N13" i="121"/>
  <c r="P13" i="121"/>
  <c r="F14" i="121"/>
  <c r="G14" i="121"/>
  <c r="H14" i="121"/>
  <c r="I14" i="121"/>
  <c r="J14" i="121"/>
  <c r="K14" i="121"/>
  <c r="L14" i="121"/>
  <c r="M14" i="121"/>
  <c r="N14" i="121"/>
  <c r="F15" i="121"/>
  <c r="G66" i="121" s="1"/>
  <c r="G15" i="121"/>
  <c r="H15" i="121"/>
  <c r="I15" i="121"/>
  <c r="J15" i="121"/>
  <c r="K15" i="121"/>
  <c r="L15" i="121"/>
  <c r="M15" i="121"/>
  <c r="N15" i="121"/>
  <c r="P15" i="121"/>
  <c r="F16" i="121"/>
  <c r="G16" i="121"/>
  <c r="H16" i="121"/>
  <c r="I16" i="121"/>
  <c r="J16" i="121"/>
  <c r="K16" i="121"/>
  <c r="L16" i="121"/>
  <c r="M16" i="121"/>
  <c r="N16" i="121"/>
  <c r="P16" i="121"/>
  <c r="G17" i="121"/>
  <c r="F18" i="121"/>
  <c r="G18" i="121"/>
  <c r="H18" i="121"/>
  <c r="I18" i="121"/>
  <c r="J18" i="121"/>
  <c r="K18" i="121"/>
  <c r="F65" i="121" s="1"/>
  <c r="L18" i="121"/>
  <c r="M18" i="121"/>
  <c r="N18" i="121"/>
  <c r="F19" i="121"/>
  <c r="G19" i="121"/>
  <c r="H19" i="121"/>
  <c r="I19" i="121"/>
  <c r="J19" i="121"/>
  <c r="K19" i="121"/>
  <c r="L19" i="121"/>
  <c r="M19" i="121"/>
  <c r="N19" i="121"/>
  <c r="R19" i="121"/>
  <c r="F20" i="121"/>
  <c r="G20" i="121"/>
  <c r="H20" i="121"/>
  <c r="I20" i="121"/>
  <c r="J20" i="121"/>
  <c r="K20" i="121"/>
  <c r="L20" i="121"/>
  <c r="M20" i="121"/>
  <c r="N20" i="121"/>
  <c r="F21" i="121"/>
  <c r="G21" i="121"/>
  <c r="H21" i="121"/>
  <c r="I21" i="121"/>
  <c r="J21" i="121"/>
  <c r="K21" i="121"/>
  <c r="L21" i="121"/>
  <c r="M21" i="121"/>
  <c r="N21" i="121"/>
  <c r="P21" i="121"/>
  <c r="R21" i="121"/>
  <c r="F22" i="121"/>
  <c r="G22" i="121"/>
  <c r="P22" i="121" s="1"/>
  <c r="H22" i="121"/>
  <c r="I22" i="121"/>
  <c r="J22" i="121"/>
  <c r="K22" i="121"/>
  <c r="L22" i="121"/>
  <c r="M22" i="121"/>
  <c r="N22" i="121"/>
  <c r="F23" i="121"/>
  <c r="G23" i="121"/>
  <c r="H23" i="121"/>
  <c r="I23" i="121"/>
  <c r="L23" i="121"/>
  <c r="M23" i="121"/>
  <c r="N23" i="121"/>
  <c r="F24" i="121"/>
  <c r="G24" i="121"/>
  <c r="H24" i="121"/>
  <c r="I24" i="121"/>
  <c r="J24" i="121"/>
  <c r="K24" i="121"/>
  <c r="L24" i="121"/>
  <c r="M24" i="121"/>
  <c r="N24" i="121"/>
  <c r="F25" i="121"/>
  <c r="G25" i="121"/>
  <c r="H25" i="121"/>
  <c r="I25" i="121"/>
  <c r="L25" i="121"/>
  <c r="M25" i="121"/>
  <c r="N25" i="121"/>
  <c r="F26" i="121"/>
  <c r="G26" i="121"/>
  <c r="H26" i="121"/>
  <c r="I26" i="121"/>
  <c r="J26" i="121"/>
  <c r="K26" i="121"/>
  <c r="L26" i="121"/>
  <c r="M26" i="121"/>
  <c r="N26" i="121"/>
  <c r="F27" i="121"/>
  <c r="G27" i="121"/>
  <c r="P27" i="121" s="1"/>
  <c r="H27" i="121"/>
  <c r="I27" i="121"/>
  <c r="J27" i="121"/>
  <c r="K27" i="121"/>
  <c r="L27" i="121"/>
  <c r="M27" i="121"/>
  <c r="N27" i="121"/>
  <c r="F28" i="121"/>
  <c r="G28" i="121"/>
  <c r="H28" i="121"/>
  <c r="I28" i="121"/>
  <c r="L28" i="121"/>
  <c r="M28" i="121"/>
  <c r="N28" i="121"/>
  <c r="F29" i="121"/>
  <c r="G29" i="121"/>
  <c r="H29" i="121"/>
  <c r="I29" i="121"/>
  <c r="L29" i="121"/>
  <c r="M29" i="121"/>
  <c r="N29" i="121"/>
  <c r="R30" i="121"/>
  <c r="R31" i="121"/>
  <c r="R32" i="121"/>
  <c r="R33" i="121"/>
  <c r="R34" i="121"/>
  <c r="R35" i="121"/>
  <c r="S54" i="121"/>
  <c r="S55" i="121"/>
  <c r="D59" i="121"/>
  <c r="E59" i="121"/>
  <c r="O59" i="121"/>
  <c r="G62" i="121"/>
  <c r="G61" i="122" s="1"/>
  <c r="G61" i="123" s="1"/>
  <c r="G61" i="124" s="1"/>
  <c r="G63" i="125" s="1"/>
  <c r="G63" i="126" s="1"/>
  <c r="G63" i="127" s="1"/>
  <c r="G63" i="128" s="1"/>
  <c r="G63" i="129" s="1"/>
  <c r="D62" i="130" s="1"/>
  <c r="D62" i="131" s="1"/>
  <c r="D62" i="132" s="1"/>
  <c r="I68" i="121"/>
  <c r="J68" i="121"/>
  <c r="AM4" i="173"/>
  <c r="AM6" i="173" s="1"/>
  <c r="AN4" i="173"/>
  <c r="AN6" i="173" s="1"/>
  <c r="AO4" i="173"/>
  <c r="AP4" i="173"/>
  <c r="AP6" i="173"/>
  <c r="AQ4" i="173"/>
  <c r="AQ6" i="173" s="1"/>
  <c r="AR4" i="173"/>
  <c r="AR6" i="173" s="1"/>
  <c r="AS4" i="173"/>
  <c r="AS6" i="173" s="1"/>
  <c r="AT4" i="173"/>
  <c r="AT6" i="173" s="1"/>
  <c r="AU4" i="173"/>
  <c r="AU6" i="173" s="1"/>
  <c r="AV4" i="173"/>
  <c r="AV6" i="173" s="1"/>
  <c r="AW4" i="173"/>
  <c r="AW6" i="173" s="1"/>
  <c r="AX4" i="173"/>
  <c r="AX6" i="173" s="1"/>
  <c r="AY4" i="173"/>
  <c r="AY6" i="173" s="1"/>
  <c r="AZ4" i="173"/>
  <c r="BA4" i="173"/>
  <c r="BA6" i="173" s="1"/>
  <c r="BB4" i="173"/>
  <c r="BB6" i="173" s="1"/>
  <c r="BC4" i="173"/>
  <c r="BC6" i="173"/>
  <c r="BD4" i="173"/>
  <c r="BD6" i="173" s="1"/>
  <c r="BE4" i="173"/>
  <c r="BF4" i="173"/>
  <c r="BF6" i="173" s="1"/>
  <c r="BG4" i="173"/>
  <c r="BH4" i="173"/>
  <c r="BH6" i="173" s="1"/>
  <c r="BI4" i="173"/>
  <c r="BI6" i="173" s="1"/>
  <c r="BJ4" i="173"/>
  <c r="BJ6" i="173" s="1"/>
  <c r="CH4" i="173"/>
  <c r="CH8" i="173" s="1"/>
  <c r="CI4" i="173"/>
  <c r="CJ4" i="173"/>
  <c r="CI5" i="173"/>
  <c r="CJ5" i="173"/>
  <c r="C6" i="173"/>
  <c r="D6" i="173"/>
  <c r="E6" i="173"/>
  <c r="F6" i="173"/>
  <c r="G6" i="173"/>
  <c r="H6" i="173"/>
  <c r="I6" i="173"/>
  <c r="J6" i="173"/>
  <c r="K6" i="173"/>
  <c r="L6" i="173"/>
  <c r="M6" i="173"/>
  <c r="N6" i="173"/>
  <c r="O6" i="173"/>
  <c r="P6" i="173"/>
  <c r="Q6" i="173"/>
  <c r="R6" i="173"/>
  <c r="S6" i="173"/>
  <c r="T6" i="173"/>
  <c r="U6" i="173"/>
  <c r="V6" i="173"/>
  <c r="W6" i="173"/>
  <c r="X6" i="173"/>
  <c r="Y6" i="173"/>
  <c r="Z6" i="173"/>
  <c r="AA6" i="173"/>
  <c r="AB6" i="173"/>
  <c r="AC6" i="173"/>
  <c r="AD6" i="173"/>
  <c r="AE6" i="173"/>
  <c r="AF6" i="173"/>
  <c r="AG6" i="173"/>
  <c r="AH6" i="173"/>
  <c r="AI6" i="173"/>
  <c r="AJ6" i="173"/>
  <c r="AK6" i="173"/>
  <c r="AL6" i="173"/>
  <c r="BE6" i="173"/>
  <c r="BG6" i="173"/>
  <c r="BK6" i="173"/>
  <c r="BL6" i="173"/>
  <c r="BM6" i="173"/>
  <c r="BN6" i="173"/>
  <c r="BO6" i="173"/>
  <c r="BP6" i="173"/>
  <c r="BQ6" i="173"/>
  <c r="BR6" i="173"/>
  <c r="BS6" i="173"/>
  <c r="BT6" i="173"/>
  <c r="BU6" i="173"/>
  <c r="BV6" i="173"/>
  <c r="BW6" i="173"/>
  <c r="BX6" i="173"/>
  <c r="BY6" i="173"/>
  <c r="BZ6" i="173"/>
  <c r="CA6" i="173"/>
  <c r="CB6" i="173"/>
  <c r="CC6" i="173"/>
  <c r="CD6" i="173"/>
  <c r="CE6" i="173"/>
  <c r="CF6" i="173"/>
  <c r="CG6" i="173"/>
  <c r="CJ6" i="173"/>
  <c r="CK6" i="173"/>
  <c r="CL6" i="173"/>
  <c r="CM6" i="173"/>
  <c r="CN6" i="173"/>
  <c r="CO6" i="173"/>
  <c r="CP6" i="173"/>
  <c r="CQ6" i="173"/>
  <c r="CR6" i="173"/>
  <c r="CS6" i="173"/>
  <c r="CT6" i="173"/>
  <c r="N8" i="173"/>
  <c r="Z8" i="173"/>
  <c r="AL8" i="173"/>
  <c r="BV8" i="173"/>
  <c r="D42" i="173"/>
  <c r="D43" i="173"/>
  <c r="D44" i="173"/>
  <c r="D47" i="173"/>
  <c r="D62" i="172"/>
  <c r="I82" i="172"/>
  <c r="J82" i="172"/>
  <c r="I83" i="172"/>
  <c r="J83" i="172"/>
  <c r="I84" i="172"/>
  <c r="J84" i="172"/>
  <c r="I85" i="172"/>
  <c r="J85" i="172"/>
  <c r="I86" i="172"/>
  <c r="J86" i="172"/>
  <c r="I87" i="172"/>
  <c r="J87" i="172"/>
  <c r="I88" i="172"/>
  <c r="J88" i="172"/>
  <c r="E89" i="172"/>
  <c r="F89" i="172"/>
  <c r="G89" i="172"/>
  <c r="I89" i="172" s="1"/>
  <c r="H89" i="172"/>
  <c r="O57" i="171"/>
  <c r="L57" i="171"/>
  <c r="I79" i="171"/>
  <c r="J79" i="171"/>
  <c r="I80" i="171"/>
  <c r="J80" i="171"/>
  <c r="I81" i="171"/>
  <c r="J81" i="171"/>
  <c r="I82" i="171"/>
  <c r="J82" i="171"/>
  <c r="I83" i="171"/>
  <c r="J83" i="171"/>
  <c r="M61" i="170"/>
  <c r="D61" i="170"/>
  <c r="E61" i="170"/>
  <c r="L61" i="170"/>
  <c r="I83" i="170"/>
  <c r="J83" i="170"/>
  <c r="J86" i="170"/>
  <c r="D59" i="169"/>
  <c r="I79" i="169"/>
  <c r="J79" i="169"/>
  <c r="I80" i="169"/>
  <c r="J80" i="169"/>
  <c r="I81" i="169"/>
  <c r="J81" i="169"/>
  <c r="I82" i="169"/>
  <c r="J82" i="169"/>
  <c r="I83" i="169"/>
  <c r="J83" i="169"/>
  <c r="I84" i="169"/>
  <c r="J84" i="169"/>
  <c r="I85" i="169"/>
  <c r="J85" i="169"/>
  <c r="I86" i="169"/>
  <c r="J86" i="169"/>
  <c r="D56" i="168"/>
  <c r="M56" i="168"/>
  <c r="I76" i="168"/>
  <c r="J76" i="168"/>
  <c r="I77" i="168"/>
  <c r="J77" i="168"/>
  <c r="I78" i="168"/>
  <c r="J78" i="168"/>
  <c r="I79" i="168"/>
  <c r="J79" i="168"/>
  <c r="I80" i="168"/>
  <c r="J80" i="168"/>
  <c r="I81" i="168"/>
  <c r="J81" i="168"/>
  <c r="I82" i="168"/>
  <c r="J82" i="168"/>
  <c r="I83" i="168"/>
  <c r="J83" i="168"/>
  <c r="D88" i="168"/>
  <c r="E88" i="168"/>
  <c r="F88" i="168"/>
  <c r="G88" i="168"/>
  <c r="H88" i="168"/>
  <c r="I88" i="168"/>
  <c r="J88" i="168"/>
  <c r="K88" i="168"/>
  <c r="M88" i="168"/>
  <c r="N88" i="168"/>
  <c r="O88" i="168"/>
  <c r="P88" i="168"/>
  <c r="D89" i="168"/>
  <c r="E89" i="168"/>
  <c r="F89" i="168"/>
  <c r="G89" i="168"/>
  <c r="H89" i="168"/>
  <c r="I89" i="168"/>
  <c r="J89" i="168"/>
  <c r="K89" i="168"/>
  <c r="M89" i="168"/>
  <c r="N89" i="168"/>
  <c r="O89" i="168"/>
  <c r="P89" i="168"/>
  <c r="J99" i="168"/>
  <c r="K99" i="168"/>
  <c r="M99" i="168"/>
  <c r="N99" i="168"/>
  <c r="O99" i="168"/>
  <c r="P99" i="168"/>
  <c r="D100" i="168"/>
  <c r="F100" i="168"/>
  <c r="F101" i="168" s="1"/>
  <c r="I100" i="168"/>
  <c r="I101" i="168" s="1"/>
  <c r="J100" i="168"/>
  <c r="J101" i="168" s="1"/>
  <c r="K100" i="168"/>
  <c r="M100" i="168"/>
  <c r="N100" i="168"/>
  <c r="O100" i="168"/>
  <c r="P100" i="168"/>
  <c r="E101" i="168"/>
  <c r="G101" i="168"/>
  <c r="H101" i="168"/>
  <c r="C106" i="168"/>
  <c r="D106" i="168"/>
  <c r="E106" i="168"/>
  <c r="F106" i="168"/>
  <c r="C107" i="168"/>
  <c r="D107" i="168"/>
  <c r="E107" i="168"/>
  <c r="F107" i="168"/>
  <c r="D108" i="168"/>
  <c r="E108" i="168"/>
  <c r="D109" i="168"/>
  <c r="E109" i="168"/>
  <c r="C114" i="168"/>
  <c r="D114" i="168"/>
  <c r="E114" i="168"/>
  <c r="F114" i="168"/>
  <c r="C115" i="168"/>
  <c r="D115" i="168"/>
  <c r="E115" i="168"/>
  <c r="F115" i="168"/>
  <c r="D116" i="168"/>
  <c r="E116" i="168"/>
  <c r="D117" i="168"/>
  <c r="E117" i="168"/>
  <c r="M61" i="167"/>
  <c r="E66" i="167"/>
  <c r="F66" i="167"/>
  <c r="E67" i="167"/>
  <c r="F67" i="167"/>
  <c r="E68" i="167"/>
  <c r="F68" i="167"/>
  <c r="E69" i="167"/>
  <c r="F69" i="167"/>
  <c r="E70" i="167"/>
  <c r="F70" i="167"/>
  <c r="E71" i="167"/>
  <c r="F71" i="167"/>
  <c r="E72" i="167"/>
  <c r="F72" i="167"/>
  <c r="E73" i="167"/>
  <c r="F73" i="167"/>
  <c r="E74" i="167"/>
  <c r="F74" i="167"/>
  <c r="E75" i="167"/>
  <c r="F75" i="167"/>
  <c r="I82" i="167"/>
  <c r="J82" i="167"/>
  <c r="I83" i="167"/>
  <c r="J83" i="167"/>
  <c r="I84" i="167"/>
  <c r="J84" i="167"/>
  <c r="I85" i="167"/>
  <c r="J85" i="167"/>
  <c r="I86" i="167"/>
  <c r="J86" i="167"/>
  <c r="I87" i="167"/>
  <c r="J87" i="167"/>
  <c r="I88" i="167"/>
  <c r="J88" i="167"/>
  <c r="E89" i="167"/>
  <c r="F89" i="167"/>
  <c r="G89" i="167"/>
  <c r="H89" i="167"/>
  <c r="D94" i="167"/>
  <c r="E94" i="167"/>
  <c r="F94" i="167"/>
  <c r="G94" i="167"/>
  <c r="H94" i="167"/>
  <c r="I94" i="167"/>
  <c r="I96" i="167" s="1"/>
  <c r="J94" i="167"/>
  <c r="K94" i="167"/>
  <c r="M94" i="167"/>
  <c r="N94" i="167"/>
  <c r="O94" i="167"/>
  <c r="P94" i="167"/>
  <c r="D95" i="167"/>
  <c r="E95" i="167"/>
  <c r="E96" i="167" s="1"/>
  <c r="F95" i="167"/>
  <c r="G95" i="167"/>
  <c r="H95" i="167"/>
  <c r="I95" i="167"/>
  <c r="J95" i="167"/>
  <c r="K95" i="167"/>
  <c r="M95" i="167"/>
  <c r="N95" i="167"/>
  <c r="O95" i="167"/>
  <c r="P95" i="167"/>
  <c r="J105" i="167"/>
  <c r="K105" i="167"/>
  <c r="M105" i="167"/>
  <c r="N105" i="167"/>
  <c r="O105" i="167"/>
  <c r="P105" i="167"/>
  <c r="D106" i="167"/>
  <c r="D107" i="167" s="1"/>
  <c r="F106" i="167"/>
  <c r="F107" i="167" s="1"/>
  <c r="I106" i="167"/>
  <c r="I107" i="167" s="1"/>
  <c r="J106" i="167"/>
  <c r="K106" i="167"/>
  <c r="M106" i="167"/>
  <c r="N106" i="167"/>
  <c r="O106" i="167"/>
  <c r="P106" i="167"/>
  <c r="E107" i="167"/>
  <c r="G107" i="167"/>
  <c r="H107" i="167"/>
  <c r="C112" i="167"/>
  <c r="D112" i="167"/>
  <c r="E112" i="167"/>
  <c r="F112" i="167"/>
  <c r="C113" i="167"/>
  <c r="D113" i="167"/>
  <c r="E113" i="167"/>
  <c r="F113" i="167"/>
  <c r="D114" i="167"/>
  <c r="E114" i="167"/>
  <c r="D115" i="167"/>
  <c r="E115" i="167"/>
  <c r="C120" i="167"/>
  <c r="D120" i="167"/>
  <c r="E120" i="167"/>
  <c r="F120" i="167"/>
  <c r="C121" i="167"/>
  <c r="D121" i="167"/>
  <c r="E121" i="167"/>
  <c r="F121" i="167"/>
  <c r="D122" i="167"/>
  <c r="E122" i="167"/>
  <c r="D123" i="167"/>
  <c r="E123" i="167"/>
  <c r="I1" i="147"/>
  <c r="I2" i="147"/>
  <c r="I3" i="147"/>
  <c r="I4" i="147"/>
  <c r="I5" i="147"/>
  <c r="I6" i="147"/>
  <c r="I7" i="147"/>
  <c r="I8" i="147"/>
  <c r="I9" i="147"/>
  <c r="I10" i="147"/>
  <c r="I11" i="147"/>
  <c r="I12" i="147"/>
  <c r="I13" i="147"/>
  <c r="I14" i="147"/>
  <c r="I15" i="147"/>
  <c r="I16" i="147"/>
  <c r="I17" i="147"/>
  <c r="I18" i="147"/>
  <c r="I19" i="147"/>
  <c r="I20" i="147"/>
  <c r="I21" i="147"/>
  <c r="I22" i="147"/>
  <c r="I23" i="147"/>
  <c r="I24" i="147"/>
  <c r="I25" i="147"/>
  <c r="I26" i="147"/>
  <c r="I27" i="147"/>
  <c r="I28" i="147"/>
  <c r="I29" i="147"/>
  <c r="I30" i="147"/>
  <c r="I31" i="147"/>
  <c r="I32" i="147"/>
  <c r="I33" i="147"/>
  <c r="I34" i="147"/>
  <c r="I35" i="147"/>
  <c r="I36" i="147"/>
  <c r="I37" i="147"/>
  <c r="I38" i="147"/>
  <c r="I39" i="147"/>
  <c r="I40" i="147"/>
  <c r="I41" i="147"/>
  <c r="I42" i="147"/>
  <c r="I43" i="147"/>
  <c r="I44" i="147"/>
  <c r="I45" i="147"/>
  <c r="I46" i="147"/>
  <c r="I47" i="147"/>
  <c r="I48" i="147"/>
  <c r="I49" i="147"/>
  <c r="I50" i="147"/>
  <c r="I51" i="147"/>
  <c r="I52" i="147"/>
  <c r="I53" i="147"/>
  <c r="I54" i="147"/>
  <c r="I55" i="147"/>
  <c r="I56" i="147"/>
  <c r="I57" i="147"/>
  <c r="I58" i="147"/>
  <c r="I59" i="147"/>
  <c r="I60" i="147"/>
  <c r="I61" i="147"/>
  <c r="I62" i="147"/>
  <c r="I63" i="147"/>
  <c r="I64" i="147"/>
  <c r="I65" i="147"/>
  <c r="I66" i="147"/>
  <c r="I67" i="147"/>
  <c r="I68" i="147"/>
  <c r="I69" i="147"/>
  <c r="I70" i="147"/>
  <c r="I71" i="147"/>
  <c r="I72" i="147"/>
  <c r="I73" i="147"/>
  <c r="I74" i="147"/>
  <c r="I75" i="147"/>
  <c r="I76" i="147"/>
  <c r="I77" i="147"/>
  <c r="I78" i="147"/>
  <c r="I79" i="147"/>
  <c r="I80" i="147"/>
  <c r="I81" i="147"/>
  <c r="I82" i="147"/>
  <c r="I83" i="147"/>
  <c r="I84" i="147"/>
  <c r="I85" i="147"/>
  <c r="I86" i="147"/>
  <c r="I87" i="147"/>
  <c r="I88" i="147"/>
  <c r="I89" i="147"/>
  <c r="I90" i="147"/>
  <c r="I91" i="147"/>
  <c r="I92" i="147"/>
  <c r="I93" i="147"/>
  <c r="I94" i="147"/>
  <c r="I95" i="147"/>
  <c r="I96" i="147"/>
  <c r="I97" i="147"/>
  <c r="I98" i="147"/>
  <c r="I99" i="147"/>
  <c r="I100" i="147"/>
  <c r="I101" i="147"/>
  <c r="I102" i="147"/>
  <c r="I103" i="147"/>
  <c r="I104" i="147"/>
  <c r="I105" i="147"/>
  <c r="I106" i="147"/>
  <c r="I107" i="147"/>
  <c r="I108" i="147"/>
  <c r="I109" i="147"/>
  <c r="I110" i="147"/>
  <c r="I111" i="147"/>
  <c r="I112" i="147"/>
  <c r="I113" i="147"/>
  <c r="I114" i="147"/>
  <c r="I115" i="147"/>
  <c r="I116" i="147"/>
  <c r="I117" i="147"/>
  <c r="I118" i="147"/>
  <c r="I119" i="147"/>
  <c r="I120" i="147"/>
  <c r="I121" i="147"/>
  <c r="I122" i="147"/>
  <c r="I123" i="147"/>
  <c r="I124" i="147"/>
  <c r="I125" i="147"/>
  <c r="I126" i="147"/>
  <c r="I127" i="147"/>
  <c r="I128" i="147"/>
  <c r="I129" i="147"/>
  <c r="I130" i="147"/>
  <c r="I131" i="147"/>
  <c r="I132" i="147"/>
  <c r="I133" i="147"/>
  <c r="I134" i="147"/>
  <c r="I135" i="147"/>
  <c r="B138" i="147"/>
  <c r="B139" i="147"/>
  <c r="F139" i="147"/>
  <c r="B140" i="147"/>
  <c r="F140" i="147"/>
  <c r="I140" i="147" s="1"/>
  <c r="B141" i="147"/>
  <c r="B142" i="147"/>
  <c r="B143" i="147"/>
  <c r="B144" i="147"/>
  <c r="B145" i="147"/>
  <c r="B146" i="147"/>
  <c r="B147" i="147"/>
  <c r="B148" i="147"/>
  <c r="B149" i="147"/>
  <c r="B150" i="147"/>
  <c r="B151" i="147"/>
  <c r="B152" i="147"/>
  <c r="B153" i="147"/>
  <c r="B154" i="147"/>
  <c r="H154" i="147"/>
  <c r="I154" i="147"/>
  <c r="B155" i="147"/>
  <c r="H155" i="147"/>
  <c r="I155" i="147"/>
  <c r="B156" i="147"/>
  <c r="H156" i="147"/>
  <c r="I156" i="147"/>
  <c r="B157" i="147"/>
  <c r="H157" i="147"/>
  <c r="I157" i="147"/>
  <c r="B158" i="147"/>
  <c r="H158" i="147"/>
  <c r="I158" i="147"/>
  <c r="B159" i="147"/>
  <c r="H159" i="147"/>
  <c r="I159" i="147"/>
  <c r="B160" i="147"/>
  <c r="H160" i="147"/>
  <c r="I160" i="147"/>
  <c r="B161" i="147"/>
  <c r="H161" i="147"/>
  <c r="I161" i="147"/>
  <c r="B162" i="147"/>
  <c r="H162" i="147"/>
  <c r="I162" i="147"/>
  <c r="B163" i="147"/>
  <c r="H163" i="147"/>
  <c r="I163" i="147"/>
  <c r="B164" i="147"/>
  <c r="H164" i="147"/>
  <c r="I164" i="147"/>
  <c r="B165" i="147"/>
  <c r="H165" i="147"/>
  <c r="I165" i="147"/>
  <c r="B166" i="147"/>
  <c r="H166" i="147"/>
  <c r="I166" i="147"/>
  <c r="B167" i="147"/>
  <c r="H167" i="147"/>
  <c r="I167" i="147"/>
  <c r="B168" i="147"/>
  <c r="H168" i="147"/>
  <c r="I168" i="147"/>
  <c r="B169" i="147"/>
  <c r="H169" i="147"/>
  <c r="I169" i="147"/>
  <c r="B170" i="147"/>
  <c r="H170" i="147"/>
  <c r="I170" i="147"/>
  <c r="B171" i="147"/>
  <c r="F171" i="147"/>
  <c r="H171" i="147" s="1"/>
  <c r="G171" i="147"/>
  <c r="B172" i="147"/>
  <c r="H172" i="147"/>
  <c r="I172" i="147"/>
  <c r="B173" i="147"/>
  <c r="H173" i="147"/>
  <c r="I173" i="147"/>
  <c r="B174" i="147"/>
  <c r="H174" i="147"/>
  <c r="I174" i="147"/>
  <c r="B175" i="147"/>
  <c r="H175" i="147"/>
  <c r="I175" i="147"/>
  <c r="B176" i="147"/>
  <c r="H176" i="147"/>
  <c r="I176" i="147"/>
  <c r="B177" i="147"/>
  <c r="F177" i="147"/>
  <c r="H177" i="147" s="1"/>
  <c r="G177" i="147"/>
  <c r="B178" i="147"/>
  <c r="H178" i="147"/>
  <c r="I178" i="147"/>
  <c r="B179" i="147"/>
  <c r="H179" i="147"/>
  <c r="I179" i="147"/>
  <c r="B180" i="147"/>
  <c r="H180" i="147"/>
  <c r="I180" i="147"/>
  <c r="B181" i="147"/>
  <c r="F181" i="147"/>
  <c r="G181" i="147"/>
  <c r="G265" i="147" s="1"/>
  <c r="I181" i="147"/>
  <c r="B182" i="147"/>
  <c r="H182" i="147"/>
  <c r="I182" i="147"/>
  <c r="B183" i="147"/>
  <c r="H183" i="147"/>
  <c r="I183" i="147"/>
  <c r="B184" i="147"/>
  <c r="H184" i="147"/>
  <c r="I184" i="147"/>
  <c r="B185" i="147"/>
  <c r="H185" i="147"/>
  <c r="I185" i="147"/>
  <c r="B186" i="147"/>
  <c r="H186" i="147"/>
  <c r="I186" i="147"/>
  <c r="B187" i="147"/>
  <c r="H187" i="147"/>
  <c r="I187" i="147"/>
  <c r="B188" i="147"/>
  <c r="H188" i="147"/>
  <c r="I188" i="147"/>
  <c r="B189" i="147"/>
  <c r="H189" i="147"/>
  <c r="I189" i="147"/>
  <c r="B190" i="147"/>
  <c r="H190" i="147"/>
  <c r="I190" i="147"/>
  <c r="B191" i="147"/>
  <c r="H191" i="147"/>
  <c r="I191" i="147"/>
  <c r="B192" i="147"/>
  <c r="H192" i="147"/>
  <c r="I192" i="147"/>
  <c r="B193" i="147"/>
  <c r="H193" i="147"/>
  <c r="I193" i="147"/>
  <c r="B194" i="147"/>
  <c r="H194" i="147"/>
  <c r="I194" i="147"/>
  <c r="B195" i="147"/>
  <c r="H195" i="147"/>
  <c r="I195" i="147"/>
  <c r="B196" i="147"/>
  <c r="H196" i="147"/>
  <c r="I196" i="147"/>
  <c r="B197" i="147"/>
  <c r="H197" i="147"/>
  <c r="I197" i="147"/>
  <c r="B198" i="147"/>
  <c r="H198" i="147"/>
  <c r="I198" i="147"/>
  <c r="B199" i="147"/>
  <c r="H199" i="147"/>
  <c r="I199" i="147"/>
  <c r="B200" i="147"/>
  <c r="H200" i="147"/>
  <c r="I200" i="147"/>
  <c r="B201" i="147"/>
  <c r="H201" i="147"/>
  <c r="I201" i="147"/>
  <c r="B202" i="147"/>
  <c r="H202" i="147"/>
  <c r="I202" i="147"/>
  <c r="B203" i="147"/>
  <c r="H203" i="147"/>
  <c r="I203" i="147"/>
  <c r="B204" i="147"/>
  <c r="H204" i="147"/>
  <c r="I204" i="147"/>
  <c r="B205" i="147"/>
  <c r="H205" i="147"/>
  <c r="I205" i="147"/>
  <c r="B206" i="147"/>
  <c r="H206" i="147"/>
  <c r="I206" i="147"/>
  <c r="B207" i="147"/>
  <c r="H207" i="147"/>
  <c r="I207" i="147"/>
  <c r="B208" i="147"/>
  <c r="H208" i="147"/>
  <c r="I208" i="147"/>
  <c r="B209" i="147"/>
  <c r="H209" i="147"/>
  <c r="I209" i="147"/>
  <c r="B210" i="147"/>
  <c r="H210" i="147"/>
  <c r="I210" i="147"/>
  <c r="B211" i="147"/>
  <c r="H211" i="147"/>
  <c r="I211" i="147"/>
  <c r="B212" i="147"/>
  <c r="H212" i="147"/>
  <c r="I212" i="147"/>
  <c r="B213" i="147"/>
  <c r="H213" i="147"/>
  <c r="I213" i="147"/>
  <c r="B214" i="147"/>
  <c r="H214" i="147"/>
  <c r="I214" i="147"/>
  <c r="B215" i="147"/>
  <c r="H215" i="147"/>
  <c r="I215" i="147"/>
  <c r="B216" i="147"/>
  <c r="H216" i="147"/>
  <c r="I216" i="147"/>
  <c r="B217" i="147"/>
  <c r="H217" i="147"/>
  <c r="I217" i="147"/>
  <c r="B218" i="147"/>
  <c r="B219" i="147"/>
  <c r="B220" i="147"/>
  <c r="B221" i="147"/>
  <c r="H222" i="147"/>
  <c r="I222" i="147"/>
  <c r="H223" i="147"/>
  <c r="I223" i="147"/>
  <c r="H224" i="147"/>
  <c r="I224" i="147"/>
  <c r="H225" i="147"/>
  <c r="I225" i="147"/>
  <c r="H226" i="147"/>
  <c r="I226" i="147"/>
  <c r="H227" i="147"/>
  <c r="I227" i="147"/>
  <c r="H228" i="147"/>
  <c r="I228" i="147"/>
  <c r="H229" i="147"/>
  <c r="I229" i="147"/>
  <c r="H230" i="147"/>
  <c r="I230" i="147"/>
  <c r="H231" i="147"/>
  <c r="I231" i="147"/>
  <c r="H232" i="147"/>
  <c r="I232" i="147"/>
  <c r="H233" i="147"/>
  <c r="I233" i="147"/>
  <c r="H234" i="147"/>
  <c r="I234" i="147"/>
  <c r="H235" i="147"/>
  <c r="I235" i="147"/>
  <c r="H236" i="147"/>
  <c r="I236" i="147"/>
  <c r="H237" i="147"/>
  <c r="I237" i="147"/>
  <c r="H238" i="147"/>
  <c r="I238" i="147"/>
  <c r="H239" i="147"/>
  <c r="I239" i="147"/>
  <c r="H240" i="147"/>
  <c r="I240" i="147"/>
  <c r="H241" i="147"/>
  <c r="I241" i="147"/>
  <c r="H242" i="147"/>
  <c r="I242" i="147"/>
  <c r="H243" i="147"/>
  <c r="I243" i="147"/>
  <c r="H244" i="147"/>
  <c r="I244" i="147"/>
  <c r="H245" i="147"/>
  <c r="I245" i="147"/>
  <c r="H246" i="147"/>
  <c r="I246" i="147"/>
  <c r="H247" i="147"/>
  <c r="I247" i="147"/>
  <c r="H248" i="147"/>
  <c r="I248" i="147"/>
  <c r="H249" i="147"/>
  <c r="I249" i="147"/>
  <c r="H250" i="147"/>
  <c r="I250" i="147"/>
  <c r="H251" i="147"/>
  <c r="I251" i="147"/>
  <c r="H252" i="147"/>
  <c r="I252" i="147"/>
  <c r="H253" i="147"/>
  <c r="I253" i="147"/>
  <c r="H254" i="147"/>
  <c r="I254" i="147"/>
  <c r="H255" i="147"/>
  <c r="I255" i="147"/>
  <c r="H256" i="147"/>
  <c r="I256" i="147"/>
  <c r="H257" i="147"/>
  <c r="I257" i="147"/>
  <c r="H258" i="147"/>
  <c r="I258" i="147"/>
  <c r="H259" i="147"/>
  <c r="I259" i="147"/>
  <c r="H260" i="147"/>
  <c r="I260" i="147"/>
  <c r="H261" i="147"/>
  <c r="I261" i="147"/>
  <c r="H262" i="147"/>
  <c r="I262" i="147"/>
  <c r="B265" i="147"/>
  <c r="B266" i="147"/>
  <c r="B267" i="147"/>
  <c r="B268" i="147"/>
  <c r="B269" i="147"/>
  <c r="B270" i="147"/>
  <c r="B271" i="147"/>
  <c r="B272" i="147"/>
  <c r="B273" i="147"/>
  <c r="B274" i="147"/>
  <c r="B275" i="147"/>
  <c r="B276" i="147"/>
  <c r="B277" i="147"/>
  <c r="B278" i="147"/>
  <c r="B279" i="147"/>
  <c r="B280" i="147"/>
  <c r="B281" i="147"/>
  <c r="B282" i="147"/>
  <c r="B283" i="147"/>
  <c r="B284" i="147"/>
  <c r="B285" i="147"/>
  <c r="B286" i="147"/>
  <c r="B287" i="147"/>
  <c r="B288" i="147"/>
  <c r="B289" i="147"/>
  <c r="B290" i="147"/>
  <c r="B291" i="147"/>
  <c r="B292" i="147"/>
  <c r="B293" i="147"/>
  <c r="B294" i="147"/>
  <c r="B295" i="147"/>
  <c r="B296" i="147"/>
  <c r="B297" i="147"/>
  <c r="B298" i="147"/>
  <c r="B299" i="147"/>
  <c r="B300" i="147"/>
  <c r="B301" i="147"/>
  <c r="B302" i="147"/>
  <c r="B303" i="147"/>
  <c r="B304" i="147"/>
  <c r="B305" i="147"/>
  <c r="B306" i="147"/>
  <c r="B307" i="147"/>
  <c r="B308" i="147"/>
  <c r="B309" i="147"/>
  <c r="B310" i="147"/>
  <c r="B311" i="147"/>
  <c r="B312" i="147"/>
  <c r="B313" i="147"/>
  <c r="B314" i="147"/>
  <c r="B315" i="147"/>
  <c r="B316" i="147"/>
  <c r="B317" i="147"/>
  <c r="B318" i="147"/>
  <c r="B319" i="147"/>
  <c r="B320" i="147"/>
  <c r="B321" i="147"/>
  <c r="B322" i="147"/>
  <c r="B323" i="147"/>
  <c r="B324" i="147"/>
  <c r="B325" i="147"/>
  <c r="B326" i="147"/>
  <c r="B327" i="147"/>
  <c r="B328" i="147"/>
  <c r="B329" i="147"/>
  <c r="B330" i="147"/>
  <c r="B331" i="147"/>
  <c r="B332" i="147"/>
  <c r="B333" i="147"/>
  <c r="B334" i="147"/>
  <c r="B335" i="147"/>
  <c r="B336" i="147"/>
  <c r="B337" i="147"/>
  <c r="B338" i="147"/>
  <c r="B339" i="147"/>
  <c r="B340" i="147"/>
  <c r="B341" i="147"/>
  <c r="B342" i="147"/>
  <c r="B343" i="147"/>
  <c r="B344" i="147"/>
  <c r="B345" i="147"/>
  <c r="B346" i="147"/>
  <c r="B347" i="147"/>
  <c r="B348" i="147"/>
  <c r="B349" i="147"/>
  <c r="B350" i="147"/>
  <c r="B351" i="147"/>
  <c r="B352" i="147"/>
  <c r="B353" i="147"/>
  <c r="B354" i="147"/>
  <c r="B355" i="147"/>
  <c r="B356" i="147"/>
  <c r="B357" i="147"/>
  <c r="B358" i="147"/>
  <c r="B359" i="147"/>
  <c r="B360" i="147"/>
  <c r="B361" i="147"/>
  <c r="B362" i="147"/>
  <c r="B363" i="147"/>
  <c r="B364" i="147"/>
  <c r="B365" i="147"/>
  <c r="B366" i="147"/>
  <c r="B367" i="147"/>
  <c r="B368" i="147"/>
  <c r="B369" i="147"/>
  <c r="B370" i="147"/>
  <c r="B371" i="147"/>
  <c r="B372" i="147"/>
  <c r="B373" i="147"/>
  <c r="B374" i="147"/>
  <c r="B375" i="147"/>
  <c r="B376" i="147"/>
  <c r="B377" i="147"/>
  <c r="B378" i="147"/>
  <c r="B379" i="147"/>
  <c r="B380" i="147"/>
  <c r="B381" i="147"/>
  <c r="B382" i="147"/>
  <c r="B383" i="147"/>
  <c r="B384" i="147"/>
  <c r="B385" i="147"/>
  <c r="B386" i="147"/>
  <c r="B387" i="147"/>
  <c r="B388" i="147"/>
  <c r="B389" i="147"/>
  <c r="B390" i="147"/>
  <c r="B391" i="147"/>
  <c r="B392" i="147"/>
  <c r="B393" i="147"/>
  <c r="B394" i="147"/>
  <c r="B395" i="147"/>
  <c r="B396" i="147"/>
  <c r="B397" i="147"/>
  <c r="B398" i="147"/>
  <c r="B399" i="147"/>
  <c r="B400" i="147"/>
  <c r="B401" i="147"/>
  <c r="B402" i="147"/>
  <c r="B403" i="147"/>
  <c r="B404" i="147"/>
  <c r="B405" i="147"/>
  <c r="B406" i="147"/>
  <c r="B407" i="147"/>
  <c r="B408" i="147"/>
  <c r="B409" i="147"/>
  <c r="B410" i="147"/>
  <c r="B411" i="147"/>
  <c r="B412" i="147"/>
  <c r="B413" i="147"/>
  <c r="B414" i="147"/>
  <c r="B415" i="147"/>
  <c r="B416" i="147"/>
  <c r="B417" i="147"/>
  <c r="B418" i="147"/>
  <c r="B419" i="147"/>
  <c r="B420" i="147"/>
  <c r="B421" i="147"/>
  <c r="B422" i="147"/>
  <c r="B423" i="147"/>
  <c r="B424" i="147"/>
  <c r="B425" i="147"/>
  <c r="B426" i="147"/>
  <c r="B427" i="147"/>
  <c r="B428" i="147"/>
  <c r="B429" i="147"/>
  <c r="B430" i="147"/>
  <c r="B431" i="147"/>
  <c r="B432" i="147"/>
  <c r="B433" i="147"/>
  <c r="B434" i="147"/>
  <c r="B435" i="147"/>
  <c r="B436" i="147"/>
  <c r="B437" i="147"/>
  <c r="B438" i="147"/>
  <c r="B439" i="147"/>
  <c r="B440" i="147"/>
  <c r="B441" i="147"/>
  <c r="B442" i="147"/>
  <c r="B443" i="147"/>
  <c r="B444" i="147"/>
  <c r="B445" i="147"/>
  <c r="B446" i="147"/>
  <c r="B447" i="147"/>
  <c r="B448" i="147"/>
  <c r="B449" i="147"/>
  <c r="B450" i="147"/>
  <c r="B451" i="147"/>
  <c r="B452" i="147"/>
  <c r="B453" i="147"/>
  <c r="B454" i="147"/>
  <c r="B455" i="147"/>
  <c r="B456" i="147"/>
  <c r="B457" i="147"/>
  <c r="B458" i="147"/>
  <c r="B459" i="147"/>
  <c r="B460" i="147"/>
  <c r="B461" i="147"/>
  <c r="B462" i="147"/>
  <c r="B463" i="147"/>
  <c r="B464" i="147"/>
  <c r="B465" i="147"/>
  <c r="B466" i="147"/>
  <c r="B467" i="147"/>
  <c r="B468" i="147"/>
  <c r="B469" i="147"/>
  <c r="B470" i="147"/>
  <c r="B471" i="147"/>
  <c r="B472" i="147"/>
  <c r="B473" i="147"/>
  <c r="B474" i="147"/>
  <c r="B475" i="147"/>
  <c r="B476" i="147"/>
  <c r="B477" i="147"/>
  <c r="B478" i="147"/>
  <c r="B479" i="147"/>
  <c r="B480" i="147"/>
  <c r="B481" i="147"/>
  <c r="B482" i="147"/>
  <c r="B483" i="147"/>
  <c r="B484" i="147"/>
  <c r="B485" i="147"/>
  <c r="B486" i="147"/>
  <c r="B487" i="147"/>
  <c r="B488" i="147"/>
  <c r="B489" i="147"/>
  <c r="B490" i="147"/>
  <c r="B491" i="147"/>
  <c r="B492" i="147"/>
  <c r="B493" i="147"/>
  <c r="B494" i="147"/>
  <c r="B495" i="147"/>
  <c r="B496" i="147"/>
  <c r="B497" i="147"/>
  <c r="B498" i="147"/>
  <c r="B499" i="147"/>
  <c r="B500" i="147"/>
  <c r="B501" i="147"/>
  <c r="B502" i="147"/>
  <c r="B503" i="147"/>
  <c r="B504" i="147"/>
  <c r="B505" i="147"/>
  <c r="B506" i="147"/>
  <c r="B507" i="147"/>
  <c r="B508" i="147"/>
  <c r="B509" i="147"/>
  <c r="B510" i="147"/>
  <c r="B511" i="147"/>
  <c r="B512" i="147"/>
  <c r="B513" i="147"/>
  <c r="B514" i="147"/>
  <c r="B515" i="147"/>
  <c r="B516" i="147"/>
  <c r="B517" i="147"/>
  <c r="B518" i="147"/>
  <c r="B519" i="147"/>
  <c r="B520" i="147"/>
  <c r="B521" i="147"/>
  <c r="B522" i="147"/>
  <c r="B523" i="147"/>
  <c r="B524" i="147"/>
  <c r="B525" i="147"/>
  <c r="B526" i="147"/>
  <c r="B527" i="147"/>
  <c r="B528" i="147"/>
  <c r="B529" i="147"/>
  <c r="B530" i="147"/>
  <c r="B531" i="147"/>
  <c r="B532" i="147"/>
  <c r="B533" i="147"/>
  <c r="B534" i="147"/>
  <c r="B535" i="147"/>
  <c r="B536" i="147"/>
  <c r="B537" i="147"/>
  <c r="B538" i="147"/>
  <c r="B539" i="147"/>
  <c r="B540" i="147"/>
  <c r="B541" i="147"/>
  <c r="B542" i="147"/>
  <c r="B543" i="147"/>
  <c r="B544" i="147"/>
  <c r="B545" i="147"/>
  <c r="B546" i="147"/>
  <c r="B547" i="147"/>
  <c r="B548" i="147"/>
  <c r="B549" i="147"/>
  <c r="B550" i="147"/>
  <c r="B551" i="147"/>
  <c r="B552" i="147"/>
  <c r="B553" i="147"/>
  <c r="B554" i="147"/>
  <c r="B555" i="147"/>
  <c r="B556" i="147"/>
  <c r="B557" i="147"/>
  <c r="B558" i="147"/>
  <c r="B559" i="147"/>
  <c r="B560" i="147"/>
  <c r="B561" i="147"/>
  <c r="B562" i="147"/>
  <c r="B563" i="147"/>
  <c r="B564" i="147"/>
  <c r="B565" i="147"/>
  <c r="B566" i="147"/>
  <c r="B567" i="147"/>
  <c r="B568" i="147"/>
  <c r="B569" i="147"/>
  <c r="B570" i="147"/>
  <c r="B571" i="147"/>
  <c r="B572" i="147"/>
  <c r="B573" i="147"/>
  <c r="B574" i="147"/>
  <c r="B575" i="147"/>
  <c r="B576" i="147"/>
  <c r="B577" i="147"/>
  <c r="B578" i="147"/>
  <c r="B579" i="147"/>
  <c r="B580" i="147"/>
  <c r="B581" i="147"/>
  <c r="B582" i="147"/>
  <c r="B583" i="147"/>
  <c r="B584" i="147"/>
  <c r="B585" i="147"/>
  <c r="B586" i="147"/>
  <c r="B587" i="147"/>
  <c r="B588" i="147"/>
  <c r="B589" i="147"/>
  <c r="B590" i="147"/>
  <c r="B591" i="147"/>
  <c r="B592" i="147"/>
  <c r="B593" i="147"/>
  <c r="B594" i="147"/>
  <c r="B595" i="147"/>
  <c r="B596" i="147"/>
  <c r="B597" i="147"/>
  <c r="B598" i="147"/>
  <c r="B599" i="147"/>
  <c r="B600" i="147"/>
  <c r="B601" i="147"/>
  <c r="B602" i="147"/>
  <c r="B603" i="147"/>
  <c r="B604" i="147"/>
  <c r="B605" i="147"/>
  <c r="B606" i="147"/>
  <c r="B607" i="147"/>
  <c r="B608" i="147"/>
  <c r="B609" i="147"/>
  <c r="B610" i="147"/>
  <c r="B611" i="147"/>
  <c r="B612" i="147"/>
  <c r="B613" i="147"/>
  <c r="B614" i="147"/>
  <c r="B615" i="147"/>
  <c r="B616" i="147"/>
  <c r="B617" i="147"/>
  <c r="B618" i="147"/>
  <c r="B619" i="147"/>
  <c r="B620" i="147"/>
  <c r="B621" i="147"/>
  <c r="B622" i="147"/>
  <c r="B623" i="147"/>
  <c r="B624" i="147"/>
  <c r="B625" i="147"/>
  <c r="B626" i="147"/>
  <c r="B627" i="147"/>
  <c r="B628" i="147"/>
  <c r="I61" i="166"/>
  <c r="J61" i="166"/>
  <c r="I62" i="166"/>
  <c r="J62" i="166"/>
  <c r="I63" i="166"/>
  <c r="J63" i="166"/>
  <c r="K63" i="166"/>
  <c r="I64" i="166"/>
  <c r="J64" i="166"/>
  <c r="I65" i="166"/>
  <c r="J65" i="166"/>
  <c r="I66" i="166"/>
  <c r="J66" i="166"/>
  <c r="I67" i="166"/>
  <c r="J67" i="166"/>
  <c r="E68" i="166"/>
  <c r="F68" i="166"/>
  <c r="G68" i="166"/>
  <c r="I68" i="166" s="1"/>
  <c r="H68" i="166"/>
  <c r="D73" i="166"/>
  <c r="E73" i="166"/>
  <c r="E75" i="166" s="1"/>
  <c r="F73" i="166"/>
  <c r="G73" i="166"/>
  <c r="H73" i="166"/>
  <c r="I73" i="166"/>
  <c r="J73" i="166"/>
  <c r="K73" i="166"/>
  <c r="M73" i="166"/>
  <c r="M75" i="166" s="1"/>
  <c r="N73" i="166"/>
  <c r="O73" i="166"/>
  <c r="P73" i="166"/>
  <c r="D74" i="166"/>
  <c r="E74" i="166"/>
  <c r="F74" i="166"/>
  <c r="G74" i="166"/>
  <c r="G75" i="166" s="1"/>
  <c r="H74" i="166"/>
  <c r="I74" i="166"/>
  <c r="J74" i="166"/>
  <c r="K74" i="166"/>
  <c r="M74" i="166"/>
  <c r="N74" i="166"/>
  <c r="O74" i="166"/>
  <c r="P74" i="166"/>
  <c r="J84" i="166"/>
  <c r="Q84" i="166" s="1"/>
  <c r="K84" i="166"/>
  <c r="M84" i="166"/>
  <c r="N84" i="166"/>
  <c r="O84" i="166"/>
  <c r="O86" i="166" s="1"/>
  <c r="P84" i="166"/>
  <c r="D85" i="166"/>
  <c r="F85" i="166"/>
  <c r="F86" i="166"/>
  <c r="I85" i="166"/>
  <c r="I86" i="166"/>
  <c r="J85" i="166"/>
  <c r="Q85" i="166" s="1"/>
  <c r="K85" i="166"/>
  <c r="M85" i="166"/>
  <c r="M86" i="166" s="1"/>
  <c r="N85" i="166"/>
  <c r="O85" i="166"/>
  <c r="P85" i="166"/>
  <c r="E86" i="166"/>
  <c r="G86" i="166"/>
  <c r="H86" i="166"/>
  <c r="C91" i="166"/>
  <c r="D91" i="166"/>
  <c r="E91" i="166"/>
  <c r="F91" i="166"/>
  <c r="C92" i="166"/>
  <c r="D92" i="166"/>
  <c r="E92" i="166"/>
  <c r="F92" i="166"/>
  <c r="D93" i="166"/>
  <c r="E93" i="166"/>
  <c r="D94" i="166"/>
  <c r="E94" i="166"/>
  <c r="C99" i="166"/>
  <c r="D99" i="166"/>
  <c r="E99" i="166"/>
  <c r="F99" i="166"/>
  <c r="C100" i="166"/>
  <c r="D100" i="166"/>
  <c r="E100" i="166"/>
  <c r="F100" i="166"/>
  <c r="D101" i="166"/>
  <c r="E101" i="166"/>
  <c r="D102" i="166"/>
  <c r="E102" i="166"/>
  <c r="D59" i="165"/>
  <c r="I68" i="165"/>
  <c r="J68" i="165"/>
  <c r="I69" i="165"/>
  <c r="J69" i="165"/>
  <c r="I70" i="165"/>
  <c r="J70" i="165"/>
  <c r="I71" i="165"/>
  <c r="J71" i="165"/>
  <c r="I72" i="165"/>
  <c r="J72" i="165"/>
  <c r="I73" i="165"/>
  <c r="J73" i="165"/>
  <c r="I74" i="165"/>
  <c r="J74" i="165"/>
  <c r="I75" i="165"/>
  <c r="J75" i="165"/>
  <c r="I66" i="164"/>
  <c r="J66" i="164"/>
  <c r="I67" i="164"/>
  <c r="J67" i="164"/>
  <c r="I68" i="164"/>
  <c r="J68" i="164"/>
  <c r="I69" i="164"/>
  <c r="J69" i="164"/>
  <c r="I70" i="164"/>
  <c r="J70" i="164"/>
  <c r="I71" i="164"/>
  <c r="J71" i="164"/>
  <c r="I72" i="164"/>
  <c r="J72" i="164"/>
  <c r="I73" i="164"/>
  <c r="J73" i="164"/>
  <c r="I74" i="164"/>
  <c r="J74" i="164"/>
  <c r="I66" i="163"/>
  <c r="J66" i="163"/>
  <c r="I67" i="163"/>
  <c r="J67" i="163"/>
  <c r="I68" i="163"/>
  <c r="J68" i="163"/>
  <c r="I69" i="163"/>
  <c r="J69" i="163"/>
  <c r="I70" i="163"/>
  <c r="J70" i="163"/>
  <c r="I71" i="163"/>
  <c r="J71" i="163"/>
  <c r="K66" i="166" s="1"/>
  <c r="I72" i="163"/>
  <c r="J72" i="163"/>
  <c r="I73" i="163"/>
  <c r="J73" i="163"/>
  <c r="E74" i="163"/>
  <c r="G74" i="163"/>
  <c r="H74" i="163"/>
  <c r="D65" i="162"/>
  <c r="I68" i="162"/>
  <c r="J68" i="162"/>
  <c r="K66" i="163" s="1"/>
  <c r="I69" i="162"/>
  <c r="J69" i="162"/>
  <c r="K67" i="163" s="1"/>
  <c r="I70" i="162"/>
  <c r="J70" i="162"/>
  <c r="K70" i="162" s="1"/>
  <c r="I71" i="162"/>
  <c r="J71" i="162"/>
  <c r="K71" i="165" s="1"/>
  <c r="I72" i="162"/>
  <c r="J72" i="162"/>
  <c r="K70" i="163"/>
  <c r="I73" i="162"/>
  <c r="J73" i="162"/>
  <c r="K73" i="165" s="1"/>
  <c r="I74" i="162"/>
  <c r="J74" i="162"/>
  <c r="K72" i="163" s="1"/>
  <c r="I75" i="162"/>
  <c r="J75" i="162"/>
  <c r="K73" i="163" s="1"/>
  <c r="E76" i="162"/>
  <c r="F76" i="162"/>
  <c r="G76" i="162"/>
  <c r="H76" i="162"/>
  <c r="I76" i="162" s="1"/>
  <c r="D108" i="161"/>
  <c r="B4" i="146"/>
  <c r="C4" i="146"/>
  <c r="F4" i="146"/>
  <c r="G4" i="146"/>
  <c r="H4" i="146"/>
  <c r="I4" i="146"/>
  <c r="I57" i="146" s="1"/>
  <c r="J4" i="146"/>
  <c r="K4" i="146"/>
  <c r="U4" i="146" s="1"/>
  <c r="M4" i="146"/>
  <c r="V4" i="146" s="1"/>
  <c r="N4" i="146"/>
  <c r="O4" i="146"/>
  <c r="P4" i="146"/>
  <c r="T4" i="146"/>
  <c r="C5" i="146"/>
  <c r="F5" i="146"/>
  <c r="G5" i="146"/>
  <c r="H5" i="146"/>
  <c r="I5" i="146"/>
  <c r="J5" i="146"/>
  <c r="K5" i="146"/>
  <c r="M5" i="146"/>
  <c r="N5" i="146"/>
  <c r="O5" i="146"/>
  <c r="P5" i="146"/>
  <c r="R5" i="146"/>
  <c r="T5" i="146"/>
  <c r="C6" i="146"/>
  <c r="F6" i="146"/>
  <c r="G6" i="146"/>
  <c r="H6" i="146"/>
  <c r="I6" i="146"/>
  <c r="M6" i="146"/>
  <c r="V5" i="146" s="1"/>
  <c r="N6" i="146"/>
  <c r="O6" i="146"/>
  <c r="P6" i="146"/>
  <c r="C7" i="146"/>
  <c r="F7" i="146"/>
  <c r="G7" i="146"/>
  <c r="H7" i="146"/>
  <c r="I7" i="146"/>
  <c r="M7" i="146"/>
  <c r="N7" i="146"/>
  <c r="O7" i="146"/>
  <c r="P7" i="146"/>
  <c r="C8" i="146"/>
  <c r="F8" i="146"/>
  <c r="G8" i="146"/>
  <c r="H8" i="146"/>
  <c r="I8" i="146"/>
  <c r="J8" i="146"/>
  <c r="K8" i="146"/>
  <c r="M8" i="146"/>
  <c r="V8" i="146" s="1"/>
  <c r="N8" i="146"/>
  <c r="O8" i="146"/>
  <c r="P8" i="146"/>
  <c r="C9" i="146"/>
  <c r="F9" i="146"/>
  <c r="G9" i="146"/>
  <c r="H9" i="146"/>
  <c r="I9" i="146"/>
  <c r="J9" i="146"/>
  <c r="K9" i="146"/>
  <c r="M9" i="146"/>
  <c r="N9" i="146"/>
  <c r="O9" i="146"/>
  <c r="P9" i="146"/>
  <c r="C10" i="146"/>
  <c r="F10" i="146"/>
  <c r="G10" i="146"/>
  <c r="H10" i="146"/>
  <c r="I10" i="146"/>
  <c r="M10" i="146"/>
  <c r="N10" i="146"/>
  <c r="O10" i="146"/>
  <c r="P10" i="146"/>
  <c r="C11" i="146"/>
  <c r="F11" i="146"/>
  <c r="G11" i="146"/>
  <c r="E66" i="146" s="1"/>
  <c r="H11" i="146"/>
  <c r="I11" i="146"/>
  <c r="M11" i="146"/>
  <c r="N11" i="146"/>
  <c r="O11" i="146"/>
  <c r="P11" i="146"/>
  <c r="C12" i="146"/>
  <c r="F12" i="146"/>
  <c r="G12" i="146"/>
  <c r="H12" i="146"/>
  <c r="I12" i="146"/>
  <c r="J12" i="146"/>
  <c r="K12" i="146"/>
  <c r="R12" i="146" s="1"/>
  <c r="M12" i="146"/>
  <c r="V12" i="146" s="1"/>
  <c r="N12" i="146"/>
  <c r="O12" i="146"/>
  <c r="P12" i="146"/>
  <c r="C13" i="146"/>
  <c r="F13" i="146"/>
  <c r="G13" i="146"/>
  <c r="S13" i="146" s="1"/>
  <c r="H13" i="146"/>
  <c r="I13" i="146"/>
  <c r="J13" i="146"/>
  <c r="K13" i="146"/>
  <c r="M13" i="146"/>
  <c r="V13" i="146" s="1"/>
  <c r="N13" i="146"/>
  <c r="O13" i="146"/>
  <c r="P13" i="146"/>
  <c r="C14" i="146"/>
  <c r="F14" i="146"/>
  <c r="G14" i="146"/>
  <c r="H14" i="146"/>
  <c r="I14" i="146"/>
  <c r="M14" i="146"/>
  <c r="N14" i="146"/>
  <c r="O14" i="146"/>
  <c r="P14" i="146"/>
  <c r="C15" i="146"/>
  <c r="F15" i="146"/>
  <c r="G15" i="146"/>
  <c r="H15" i="146"/>
  <c r="I15" i="146"/>
  <c r="J15" i="146"/>
  <c r="K15" i="146"/>
  <c r="M15" i="146"/>
  <c r="V15" i="146" s="1"/>
  <c r="N15" i="146"/>
  <c r="O15" i="146"/>
  <c r="P15" i="146"/>
  <c r="C16" i="146"/>
  <c r="F16" i="146"/>
  <c r="G16" i="146"/>
  <c r="H16" i="146"/>
  <c r="I16" i="146"/>
  <c r="M16" i="146"/>
  <c r="N16" i="146"/>
  <c r="O16" i="146"/>
  <c r="P16" i="146"/>
  <c r="C17" i="146"/>
  <c r="F17" i="146"/>
  <c r="G17" i="146"/>
  <c r="H17" i="146"/>
  <c r="I17" i="146"/>
  <c r="J17" i="146"/>
  <c r="K17" i="146"/>
  <c r="M17" i="146"/>
  <c r="N17" i="146"/>
  <c r="O17" i="146"/>
  <c r="P17" i="146"/>
  <c r="C18" i="146"/>
  <c r="F18" i="146"/>
  <c r="G18" i="146"/>
  <c r="H18" i="146"/>
  <c r="I18" i="146"/>
  <c r="M18" i="146"/>
  <c r="N18" i="146"/>
  <c r="O18" i="146"/>
  <c r="P18" i="146"/>
  <c r="C19" i="146"/>
  <c r="F19" i="146"/>
  <c r="G64" i="146" s="1"/>
  <c r="G19" i="146"/>
  <c r="H19" i="146"/>
  <c r="I19" i="146"/>
  <c r="M19" i="146"/>
  <c r="N19" i="146"/>
  <c r="O19" i="146"/>
  <c r="P19" i="146"/>
  <c r="C20" i="146"/>
  <c r="F20" i="146"/>
  <c r="G20" i="146"/>
  <c r="T20" i="146" s="1"/>
  <c r="H20" i="146"/>
  <c r="I20" i="146"/>
  <c r="J20" i="146"/>
  <c r="K20" i="146"/>
  <c r="M20" i="146"/>
  <c r="V20" i="146" s="1"/>
  <c r="N20" i="146"/>
  <c r="O20" i="146"/>
  <c r="P20" i="146"/>
  <c r="R20" i="146"/>
  <c r="S20" i="146"/>
  <c r="C21" i="146"/>
  <c r="F21" i="146"/>
  <c r="G21" i="146"/>
  <c r="H21" i="146"/>
  <c r="I21" i="146"/>
  <c r="J21" i="146"/>
  <c r="K21" i="146"/>
  <c r="M21" i="146"/>
  <c r="N21" i="146"/>
  <c r="O21" i="146"/>
  <c r="P21" i="146"/>
  <c r="C22" i="146"/>
  <c r="F22" i="146"/>
  <c r="G22" i="146"/>
  <c r="H22" i="146"/>
  <c r="I22" i="146"/>
  <c r="M22" i="146"/>
  <c r="V21" i="146" s="1"/>
  <c r="N22" i="146"/>
  <c r="O22" i="146"/>
  <c r="P22" i="146"/>
  <c r="C23" i="146"/>
  <c r="F23" i="146"/>
  <c r="G23" i="146"/>
  <c r="R23" i="146" s="1"/>
  <c r="H23" i="146"/>
  <c r="I23" i="146"/>
  <c r="J23" i="146"/>
  <c r="K23" i="146"/>
  <c r="M23" i="146"/>
  <c r="V23" i="146" s="1"/>
  <c r="N23" i="146"/>
  <c r="O23" i="146"/>
  <c r="P23" i="146"/>
  <c r="T23" i="146"/>
  <c r="C24" i="146"/>
  <c r="F24" i="146"/>
  <c r="G24" i="146"/>
  <c r="H24" i="146"/>
  <c r="I24" i="146"/>
  <c r="M24" i="146"/>
  <c r="N24" i="146"/>
  <c r="O24" i="146"/>
  <c r="P24" i="146"/>
  <c r="C25" i="146"/>
  <c r="F25" i="146"/>
  <c r="G25" i="146"/>
  <c r="H25" i="146"/>
  <c r="I25" i="146"/>
  <c r="J25" i="146"/>
  <c r="K25" i="146"/>
  <c r="M25" i="146"/>
  <c r="V25" i="146" s="1"/>
  <c r="N25" i="146"/>
  <c r="O25" i="146"/>
  <c r="P25" i="146"/>
  <c r="C26" i="146"/>
  <c r="F26" i="146"/>
  <c r="G26" i="146"/>
  <c r="H26" i="146"/>
  <c r="I26" i="146"/>
  <c r="J26" i="146"/>
  <c r="K26" i="146"/>
  <c r="R26" i="146" s="1"/>
  <c r="M26" i="146"/>
  <c r="V26" i="146" s="1"/>
  <c r="N26" i="146"/>
  <c r="O26" i="146"/>
  <c r="P26" i="146"/>
  <c r="C27" i="146"/>
  <c r="F27" i="146"/>
  <c r="G27" i="146"/>
  <c r="H27" i="146"/>
  <c r="I27" i="146"/>
  <c r="J27" i="146"/>
  <c r="K27" i="146"/>
  <c r="M27" i="146"/>
  <c r="V27" i="146" s="1"/>
  <c r="N27" i="146"/>
  <c r="O27" i="146"/>
  <c r="P27" i="146"/>
  <c r="C28" i="146"/>
  <c r="F28" i="146"/>
  <c r="G28" i="146"/>
  <c r="R28" i="146" s="1"/>
  <c r="H28" i="146"/>
  <c r="I28" i="146"/>
  <c r="J28" i="146"/>
  <c r="K28" i="146"/>
  <c r="M28" i="146"/>
  <c r="V28" i="146" s="1"/>
  <c r="N28" i="146"/>
  <c r="O28" i="146"/>
  <c r="P28" i="146"/>
  <c r="C29" i="146"/>
  <c r="F29" i="146"/>
  <c r="G29" i="146"/>
  <c r="U29" i="146" s="1"/>
  <c r="H29" i="146"/>
  <c r="I29" i="146"/>
  <c r="J29" i="146"/>
  <c r="K29" i="146"/>
  <c r="M29" i="146"/>
  <c r="V29" i="146" s="1"/>
  <c r="N29" i="146"/>
  <c r="O29" i="146"/>
  <c r="P29" i="146"/>
  <c r="C30" i="146"/>
  <c r="F30" i="146"/>
  <c r="G30" i="146"/>
  <c r="H30" i="146"/>
  <c r="I30" i="146"/>
  <c r="J30" i="146"/>
  <c r="K30" i="146"/>
  <c r="M30" i="146"/>
  <c r="N30" i="146"/>
  <c r="O30" i="146"/>
  <c r="P30" i="146"/>
  <c r="C31" i="146"/>
  <c r="F31" i="146"/>
  <c r="G31" i="146"/>
  <c r="H31" i="146"/>
  <c r="I31" i="146"/>
  <c r="M31" i="146"/>
  <c r="N31" i="146"/>
  <c r="O31" i="146"/>
  <c r="P31" i="146"/>
  <c r="C32" i="146"/>
  <c r="F32" i="146"/>
  <c r="G32" i="146"/>
  <c r="H32" i="146"/>
  <c r="I32" i="146"/>
  <c r="J32" i="146"/>
  <c r="K32" i="146"/>
  <c r="M32" i="146"/>
  <c r="N32" i="146"/>
  <c r="O32" i="146"/>
  <c r="P32" i="146"/>
  <c r="C33" i="146"/>
  <c r="F33" i="146"/>
  <c r="G33" i="146"/>
  <c r="H33" i="146"/>
  <c r="I33" i="146"/>
  <c r="M33" i="146"/>
  <c r="N33" i="146"/>
  <c r="O33" i="146"/>
  <c r="P33" i="146"/>
  <c r="C34" i="146"/>
  <c r="F34" i="146"/>
  <c r="G34" i="146"/>
  <c r="H34" i="146"/>
  <c r="I34" i="146"/>
  <c r="J34" i="146"/>
  <c r="K34" i="146"/>
  <c r="M34" i="146"/>
  <c r="N34" i="146"/>
  <c r="O34" i="146"/>
  <c r="P34" i="146"/>
  <c r="V34" i="146"/>
  <c r="C35" i="146"/>
  <c r="F35" i="146"/>
  <c r="G35" i="146"/>
  <c r="U34" i="146" s="1"/>
  <c r="H35" i="146"/>
  <c r="I35" i="146"/>
  <c r="M35" i="146"/>
  <c r="N35" i="146"/>
  <c r="O35" i="146"/>
  <c r="P35" i="146"/>
  <c r="H36" i="146"/>
  <c r="H37" i="146"/>
  <c r="H38" i="146"/>
  <c r="H39" i="146"/>
  <c r="H40" i="146"/>
  <c r="I40" i="146"/>
  <c r="C41" i="146"/>
  <c r="H41" i="146"/>
  <c r="C42" i="146"/>
  <c r="H42" i="146"/>
  <c r="B43" i="146"/>
  <c r="H43" i="146"/>
  <c r="B44" i="146"/>
  <c r="H44" i="146"/>
  <c r="B45" i="146"/>
  <c r="H45" i="146"/>
  <c r="B46" i="146"/>
  <c r="H46" i="146"/>
  <c r="B47" i="146"/>
  <c r="H47" i="146"/>
  <c r="B48" i="146"/>
  <c r="H48" i="146"/>
  <c r="B49" i="146"/>
  <c r="H49" i="146"/>
  <c r="B50" i="146"/>
  <c r="B51" i="146"/>
  <c r="H51" i="146"/>
  <c r="B52" i="146"/>
  <c r="H52" i="146"/>
  <c r="B53" i="146"/>
  <c r="H53" i="146"/>
  <c r="B54" i="146"/>
  <c r="H54" i="146"/>
  <c r="B55" i="146"/>
  <c r="H55" i="146"/>
  <c r="B56" i="146"/>
  <c r="H56" i="146"/>
  <c r="D57" i="146"/>
  <c r="E57" i="146"/>
  <c r="L57" i="146"/>
  <c r="N57" i="146"/>
  <c r="Q57" i="146"/>
  <c r="Z63" i="146"/>
  <c r="AA63" i="146"/>
  <c r="Y64" i="146"/>
  <c r="Z64" i="146"/>
  <c r="AA64" i="146"/>
  <c r="I65" i="146"/>
  <c r="J65" i="146"/>
  <c r="Z65" i="146"/>
  <c r="AA65" i="146"/>
  <c r="Z66" i="146"/>
  <c r="AA66" i="146"/>
  <c r="Y67" i="146"/>
  <c r="Z67" i="146"/>
  <c r="AA67" i="146"/>
  <c r="I68" i="146"/>
  <c r="J68" i="146"/>
  <c r="Z68" i="146"/>
  <c r="AA68" i="146"/>
  <c r="Z69" i="146"/>
  <c r="AA69" i="146"/>
  <c r="D74" i="146"/>
  <c r="E74" i="146"/>
  <c r="F74" i="146"/>
  <c r="G74" i="146"/>
  <c r="H74" i="146"/>
  <c r="H76" i="146" s="1"/>
  <c r="I74" i="146"/>
  <c r="J74" i="146"/>
  <c r="K74" i="146"/>
  <c r="K76" i="146" s="1"/>
  <c r="L74" i="146"/>
  <c r="M74" i="146"/>
  <c r="N74" i="146"/>
  <c r="O74" i="146"/>
  <c r="D75" i="146"/>
  <c r="E75" i="146"/>
  <c r="F75" i="146"/>
  <c r="G75" i="146"/>
  <c r="H75" i="146"/>
  <c r="I75" i="146"/>
  <c r="J75" i="146"/>
  <c r="K75" i="146"/>
  <c r="L75" i="146"/>
  <c r="M75" i="146"/>
  <c r="N75" i="146"/>
  <c r="O75" i="146"/>
  <c r="D76" i="146"/>
  <c r="J85" i="146"/>
  <c r="K85" i="146"/>
  <c r="K87" i="146" s="1"/>
  <c r="L85" i="146"/>
  <c r="L87" i="146" s="1"/>
  <c r="M85" i="146"/>
  <c r="N85" i="146"/>
  <c r="O85" i="146"/>
  <c r="O87" i="146" s="1"/>
  <c r="D86" i="146"/>
  <c r="F86" i="146"/>
  <c r="F87" i="146" s="1"/>
  <c r="I86" i="146"/>
  <c r="J86" i="146"/>
  <c r="K86" i="146"/>
  <c r="L86" i="146"/>
  <c r="M86" i="146"/>
  <c r="N86" i="146"/>
  <c r="O86" i="146"/>
  <c r="D87" i="146"/>
  <c r="E87" i="146"/>
  <c r="G87" i="146"/>
  <c r="H87" i="146"/>
  <c r="I87" i="146"/>
  <c r="C92" i="146"/>
  <c r="D92" i="146"/>
  <c r="E92" i="146"/>
  <c r="F92" i="146"/>
  <c r="C93" i="146"/>
  <c r="D93" i="146"/>
  <c r="E93" i="146"/>
  <c r="F93" i="146"/>
  <c r="D94" i="146"/>
  <c r="E94" i="146"/>
  <c r="D95" i="146"/>
  <c r="E95" i="146"/>
  <c r="C100" i="146"/>
  <c r="D100" i="146"/>
  <c r="E100" i="146"/>
  <c r="F100" i="146"/>
  <c r="C101" i="146"/>
  <c r="D101" i="146"/>
  <c r="E101" i="146"/>
  <c r="F101" i="146"/>
  <c r="D102" i="146"/>
  <c r="E102" i="146"/>
  <c r="D103" i="146"/>
  <c r="E103" i="146"/>
  <c r="C4" i="145"/>
  <c r="F4" i="145"/>
  <c r="G4" i="145"/>
  <c r="H4" i="145"/>
  <c r="I4" i="145"/>
  <c r="J4" i="145"/>
  <c r="K4" i="145"/>
  <c r="M4" i="145"/>
  <c r="V4" i="145" s="1"/>
  <c r="O4" i="145"/>
  <c r="P4" i="145"/>
  <c r="C5" i="145"/>
  <c r="F5" i="145"/>
  <c r="G5" i="145"/>
  <c r="R5" i="145" s="1"/>
  <c r="H5" i="145"/>
  <c r="I5" i="145"/>
  <c r="J5" i="145"/>
  <c r="K5" i="145"/>
  <c r="M5" i="145"/>
  <c r="V5" i="145" s="1"/>
  <c r="O5" i="145"/>
  <c r="P5" i="145"/>
  <c r="T5" i="145"/>
  <c r="C6" i="145"/>
  <c r="F6" i="145"/>
  <c r="G6" i="145"/>
  <c r="H6" i="145"/>
  <c r="I6" i="145"/>
  <c r="M6" i="145"/>
  <c r="N6" i="145"/>
  <c r="O6" i="145"/>
  <c r="P6" i="145"/>
  <c r="C7" i="145"/>
  <c r="F7" i="145"/>
  <c r="G7" i="145"/>
  <c r="S7" i="145" s="1"/>
  <c r="H7" i="145"/>
  <c r="I7" i="145"/>
  <c r="J7" i="145"/>
  <c r="K7" i="145"/>
  <c r="M7" i="145"/>
  <c r="V7" i="145" s="1"/>
  <c r="N7" i="145"/>
  <c r="O7" i="145"/>
  <c r="P7" i="145"/>
  <c r="C8" i="145"/>
  <c r="F8" i="145"/>
  <c r="G8" i="145"/>
  <c r="R8" i="145" s="1"/>
  <c r="H8" i="145"/>
  <c r="I8" i="145"/>
  <c r="J8" i="145"/>
  <c r="K8" i="145"/>
  <c r="F66" i="145" s="1"/>
  <c r="M8" i="145"/>
  <c r="V8" i="145" s="1"/>
  <c r="N8" i="145"/>
  <c r="O8" i="145"/>
  <c r="P8" i="145"/>
  <c r="S8" i="145"/>
  <c r="T8" i="145"/>
  <c r="C9" i="145"/>
  <c r="F9" i="145"/>
  <c r="G9" i="145"/>
  <c r="H9" i="145"/>
  <c r="I9" i="145"/>
  <c r="J9" i="145"/>
  <c r="K9" i="145"/>
  <c r="M9" i="145"/>
  <c r="N9" i="145"/>
  <c r="O9" i="145"/>
  <c r="P9" i="145"/>
  <c r="C10" i="145"/>
  <c r="F10" i="145"/>
  <c r="G10" i="145"/>
  <c r="H10" i="145"/>
  <c r="I10" i="145"/>
  <c r="M10" i="145"/>
  <c r="V9" i="145" s="1"/>
  <c r="N10" i="145"/>
  <c r="O10" i="145"/>
  <c r="P10" i="145"/>
  <c r="C11" i="145"/>
  <c r="F11" i="145"/>
  <c r="G11" i="145"/>
  <c r="R11" i="145" s="1"/>
  <c r="H11" i="145"/>
  <c r="I11" i="145"/>
  <c r="J11" i="145"/>
  <c r="K11" i="145"/>
  <c r="M11" i="145"/>
  <c r="N11" i="145"/>
  <c r="O11" i="145"/>
  <c r="P11" i="145"/>
  <c r="C12" i="145"/>
  <c r="G12" i="145"/>
  <c r="N12" i="145"/>
  <c r="O12" i="145"/>
  <c r="C13" i="145"/>
  <c r="F13" i="145"/>
  <c r="G13" i="145"/>
  <c r="H13" i="145"/>
  <c r="I13" i="145"/>
  <c r="M13" i="145"/>
  <c r="N13" i="145"/>
  <c r="P13" i="145"/>
  <c r="C14" i="145"/>
  <c r="F14" i="145"/>
  <c r="G14" i="145"/>
  <c r="H14" i="145"/>
  <c r="I14" i="145"/>
  <c r="J14" i="145"/>
  <c r="K14" i="145"/>
  <c r="M14" i="145"/>
  <c r="P14" i="145"/>
  <c r="C15" i="145"/>
  <c r="F15" i="145"/>
  <c r="G15" i="145"/>
  <c r="H15" i="145"/>
  <c r="I15" i="145"/>
  <c r="M15" i="145"/>
  <c r="V14" i="145" s="1"/>
  <c r="N15" i="145"/>
  <c r="P15" i="145"/>
  <c r="C16" i="145"/>
  <c r="F16" i="145"/>
  <c r="G16" i="145"/>
  <c r="H16" i="145"/>
  <c r="I16" i="145"/>
  <c r="J16" i="145"/>
  <c r="K16" i="145"/>
  <c r="M16" i="145"/>
  <c r="V16" i="145" s="1"/>
  <c r="P16" i="145"/>
  <c r="C17" i="145"/>
  <c r="F17" i="145"/>
  <c r="G17" i="145"/>
  <c r="H17" i="145"/>
  <c r="H67" i="145" s="1"/>
  <c r="I67" i="145" s="1"/>
  <c r="I17" i="145"/>
  <c r="M17" i="145"/>
  <c r="N17" i="145"/>
  <c r="P17" i="145"/>
  <c r="C18" i="145"/>
  <c r="F18" i="145"/>
  <c r="G18" i="145"/>
  <c r="T18" i="145" s="1"/>
  <c r="H18" i="145"/>
  <c r="I18" i="145"/>
  <c r="J18" i="145"/>
  <c r="K18" i="145"/>
  <c r="M18" i="145"/>
  <c r="P18" i="145"/>
  <c r="C19" i="145"/>
  <c r="F19" i="145"/>
  <c r="G19" i="145"/>
  <c r="J65" i="145" s="1"/>
  <c r="H19" i="145"/>
  <c r="I19" i="145"/>
  <c r="M19" i="145"/>
  <c r="N19" i="145"/>
  <c r="P19" i="145"/>
  <c r="C20" i="145"/>
  <c r="F20" i="145"/>
  <c r="G20" i="145"/>
  <c r="H20" i="145"/>
  <c r="I20" i="145"/>
  <c r="J20" i="145"/>
  <c r="K20" i="145"/>
  <c r="F68" i="145" s="1"/>
  <c r="M20" i="145"/>
  <c r="N20" i="145"/>
  <c r="P20" i="145"/>
  <c r="C21" i="145"/>
  <c r="F21" i="145"/>
  <c r="G68" i="145" s="1"/>
  <c r="G21" i="145"/>
  <c r="H21" i="145"/>
  <c r="I21" i="145"/>
  <c r="M21" i="145"/>
  <c r="N21" i="145"/>
  <c r="C22" i="145"/>
  <c r="F22" i="145"/>
  <c r="G22" i="145"/>
  <c r="E68" i="145" s="1"/>
  <c r="H22" i="145"/>
  <c r="I22" i="145"/>
  <c r="M22" i="145"/>
  <c r="V20" i="145" s="1"/>
  <c r="N22" i="145"/>
  <c r="P22" i="145"/>
  <c r="C23" i="145"/>
  <c r="F23" i="145"/>
  <c r="G23" i="145"/>
  <c r="H23" i="145"/>
  <c r="I23" i="145"/>
  <c r="M23" i="145"/>
  <c r="N23" i="145"/>
  <c r="P23" i="145"/>
  <c r="C24" i="145"/>
  <c r="F24" i="145"/>
  <c r="G24" i="145"/>
  <c r="H24" i="145"/>
  <c r="I24" i="145"/>
  <c r="J24" i="145"/>
  <c r="K24" i="145"/>
  <c r="M24" i="145"/>
  <c r="N24" i="145"/>
  <c r="P24" i="145"/>
  <c r="S24" i="145"/>
  <c r="C25" i="145"/>
  <c r="F25" i="145"/>
  <c r="G25" i="145"/>
  <c r="H25" i="145"/>
  <c r="I25" i="145"/>
  <c r="M25" i="145"/>
  <c r="N25" i="145"/>
  <c r="P25" i="145"/>
  <c r="C26" i="145"/>
  <c r="F26" i="145"/>
  <c r="G26" i="145"/>
  <c r="U26" i="145" s="1"/>
  <c r="H26" i="145"/>
  <c r="I26" i="145"/>
  <c r="J26" i="145"/>
  <c r="K26" i="145"/>
  <c r="M26" i="145"/>
  <c r="V26" i="145" s="1"/>
  <c r="N26" i="145"/>
  <c r="P26" i="145"/>
  <c r="C27" i="145"/>
  <c r="F27" i="145"/>
  <c r="G27" i="145"/>
  <c r="U27" i="145" s="1"/>
  <c r="H27" i="145"/>
  <c r="I27" i="145"/>
  <c r="J27" i="145"/>
  <c r="K27" i="145"/>
  <c r="M27" i="145"/>
  <c r="N27" i="145"/>
  <c r="P27" i="145"/>
  <c r="C28" i="145"/>
  <c r="F28" i="145"/>
  <c r="G28" i="145"/>
  <c r="H28" i="145"/>
  <c r="I28" i="145"/>
  <c r="M28" i="145"/>
  <c r="V27" i="145" s="1"/>
  <c r="N28" i="145"/>
  <c r="P28" i="145"/>
  <c r="C29" i="145"/>
  <c r="F29" i="145"/>
  <c r="G29" i="145"/>
  <c r="T29" i="145" s="1"/>
  <c r="H29" i="145"/>
  <c r="I29" i="145"/>
  <c r="J29" i="145"/>
  <c r="K29" i="145"/>
  <c r="M29" i="145"/>
  <c r="N29" i="145"/>
  <c r="P29" i="145"/>
  <c r="R29" i="145"/>
  <c r="U29" i="145"/>
  <c r="V29" i="145"/>
  <c r="C30" i="145"/>
  <c r="F30" i="145"/>
  <c r="G30" i="145"/>
  <c r="H30" i="145"/>
  <c r="I30" i="145"/>
  <c r="J30" i="145"/>
  <c r="K30" i="145"/>
  <c r="M30" i="145"/>
  <c r="N30" i="145"/>
  <c r="P30" i="145"/>
  <c r="C31" i="145"/>
  <c r="F31" i="145"/>
  <c r="G31" i="145"/>
  <c r="H31" i="145"/>
  <c r="I31" i="145"/>
  <c r="M31" i="145"/>
  <c r="N31" i="145"/>
  <c r="P31" i="145"/>
  <c r="C32" i="145"/>
  <c r="F32" i="145"/>
  <c r="G32" i="145"/>
  <c r="H32" i="145"/>
  <c r="I32" i="145"/>
  <c r="J32" i="145"/>
  <c r="K32" i="145"/>
  <c r="M32" i="145"/>
  <c r="V32" i="145" s="1"/>
  <c r="N32" i="145"/>
  <c r="P32" i="145"/>
  <c r="C33" i="145"/>
  <c r="G33" i="145"/>
  <c r="C34" i="145"/>
  <c r="F34" i="145"/>
  <c r="G34" i="145"/>
  <c r="H34" i="145"/>
  <c r="I34" i="145"/>
  <c r="J34" i="145"/>
  <c r="K34" i="145"/>
  <c r="M34" i="145"/>
  <c r="N34" i="145"/>
  <c r="P34" i="145"/>
  <c r="V34" i="145"/>
  <c r="C35" i="145"/>
  <c r="F35" i="145"/>
  <c r="G35" i="145"/>
  <c r="H35" i="145"/>
  <c r="I35" i="145"/>
  <c r="J35" i="145"/>
  <c r="K35" i="145"/>
  <c r="M35" i="145"/>
  <c r="N35" i="145"/>
  <c r="P35" i="145"/>
  <c r="C36" i="145"/>
  <c r="F36" i="145"/>
  <c r="G36" i="145"/>
  <c r="S35" i="145" s="1"/>
  <c r="H36" i="145"/>
  <c r="I36" i="145"/>
  <c r="M36" i="145"/>
  <c r="N36" i="145"/>
  <c r="P36" i="145"/>
  <c r="C37" i="145"/>
  <c r="F37" i="145"/>
  <c r="G37" i="145"/>
  <c r="H37" i="145"/>
  <c r="I37" i="145"/>
  <c r="J37" i="145"/>
  <c r="K37" i="145"/>
  <c r="M37" i="145"/>
  <c r="V37" i="145" s="1"/>
  <c r="N37" i="145"/>
  <c r="P37" i="145"/>
  <c r="C38" i="145"/>
  <c r="F38" i="145"/>
  <c r="G38" i="145"/>
  <c r="H38" i="145"/>
  <c r="I38" i="145"/>
  <c r="M38" i="145"/>
  <c r="N38" i="145"/>
  <c r="P38" i="145"/>
  <c r="C39" i="145"/>
  <c r="F39" i="145"/>
  <c r="G39" i="145"/>
  <c r="H39" i="145"/>
  <c r="I39" i="145"/>
  <c r="J39" i="145"/>
  <c r="K39" i="145"/>
  <c r="M39" i="145"/>
  <c r="N39" i="145"/>
  <c r="P39" i="145"/>
  <c r="V39" i="145"/>
  <c r="I40" i="145"/>
  <c r="C41" i="145"/>
  <c r="C42" i="145"/>
  <c r="B43" i="145"/>
  <c r="B44" i="145"/>
  <c r="B45" i="145"/>
  <c r="B46" i="145"/>
  <c r="B47" i="145"/>
  <c r="B48" i="145"/>
  <c r="B49" i="145"/>
  <c r="B50" i="145"/>
  <c r="B51" i="145"/>
  <c r="B52" i="145"/>
  <c r="B53" i="145"/>
  <c r="B54" i="145"/>
  <c r="B55" i="145"/>
  <c r="B56" i="145"/>
  <c r="D57" i="145"/>
  <c r="E57" i="145"/>
  <c r="K57" i="145"/>
  <c r="F69" i="145" s="1"/>
  <c r="L57" i="145"/>
  <c r="N57" i="145"/>
  <c r="Q57" i="145"/>
  <c r="Z63" i="145"/>
  <c r="AA63" i="145"/>
  <c r="G64" i="145"/>
  <c r="Z64" i="145"/>
  <c r="AA64" i="145"/>
  <c r="I65" i="145"/>
  <c r="Y65" i="145"/>
  <c r="Z65" i="145"/>
  <c r="AA65" i="145"/>
  <c r="G66" i="145"/>
  <c r="I66" i="145" s="1"/>
  <c r="H66" i="145"/>
  <c r="Z66" i="145"/>
  <c r="AA66" i="145"/>
  <c r="F67" i="145"/>
  <c r="G67" i="145"/>
  <c r="Z67" i="145"/>
  <c r="AA67" i="145"/>
  <c r="Z68" i="145"/>
  <c r="AA68" i="145"/>
  <c r="Y69" i="145"/>
  <c r="Z69" i="145"/>
  <c r="AA69" i="145"/>
  <c r="D74" i="145"/>
  <c r="E74" i="145"/>
  <c r="E76" i="145" s="1"/>
  <c r="F74" i="145"/>
  <c r="G74" i="145"/>
  <c r="H74" i="145"/>
  <c r="I74" i="145"/>
  <c r="J74" i="145"/>
  <c r="K74" i="145"/>
  <c r="L74" i="145"/>
  <c r="L76" i="145" s="1"/>
  <c r="M74" i="145"/>
  <c r="N74" i="145"/>
  <c r="D75" i="145"/>
  <c r="E75" i="145"/>
  <c r="F75" i="145"/>
  <c r="G75" i="145"/>
  <c r="H75" i="145"/>
  <c r="I75" i="145"/>
  <c r="J75" i="145"/>
  <c r="K75" i="145"/>
  <c r="L75" i="145"/>
  <c r="M75" i="145"/>
  <c r="N75" i="145"/>
  <c r="J85" i="145"/>
  <c r="K85" i="145"/>
  <c r="L85" i="145"/>
  <c r="L87" i="145" s="1"/>
  <c r="M85" i="145"/>
  <c r="N85" i="145"/>
  <c r="D86" i="145"/>
  <c r="F86" i="145"/>
  <c r="I86" i="145"/>
  <c r="I87" i="145" s="1"/>
  <c r="J86" i="145"/>
  <c r="K86" i="145"/>
  <c r="L86" i="145"/>
  <c r="M86" i="145"/>
  <c r="N86" i="145"/>
  <c r="D87" i="145"/>
  <c r="E87" i="145"/>
  <c r="F87" i="145"/>
  <c r="G87" i="145"/>
  <c r="H87" i="145"/>
  <c r="C90" i="145"/>
  <c r="D90" i="145"/>
  <c r="E90" i="145"/>
  <c r="C91" i="145"/>
  <c r="D91" i="145"/>
  <c r="E91" i="145"/>
  <c r="D92" i="145"/>
  <c r="E92" i="145"/>
  <c r="B4" i="144"/>
  <c r="C4" i="144"/>
  <c r="F4" i="144"/>
  <c r="G63" i="144" s="1"/>
  <c r="G4" i="144"/>
  <c r="H4" i="144"/>
  <c r="I4" i="144"/>
  <c r="J4" i="144"/>
  <c r="K4" i="144"/>
  <c r="M4" i="144"/>
  <c r="V4" i="144" s="1"/>
  <c r="O4" i="144"/>
  <c r="P4" i="144"/>
  <c r="B5" i="144"/>
  <c r="C5" i="144"/>
  <c r="F5" i="144"/>
  <c r="G5" i="144"/>
  <c r="H5" i="144"/>
  <c r="I5" i="144"/>
  <c r="J5" i="144"/>
  <c r="K5" i="144"/>
  <c r="M5" i="144"/>
  <c r="P5" i="144"/>
  <c r="C6" i="144"/>
  <c r="F6" i="144"/>
  <c r="G6" i="144"/>
  <c r="H6" i="144"/>
  <c r="I6" i="144"/>
  <c r="M6" i="144"/>
  <c r="N6" i="144"/>
  <c r="P6" i="144"/>
  <c r="B7" i="144"/>
  <c r="C7" i="144"/>
  <c r="F7" i="144"/>
  <c r="G7" i="144"/>
  <c r="H7" i="144"/>
  <c r="I7" i="144"/>
  <c r="J7" i="144"/>
  <c r="K7" i="144"/>
  <c r="M7" i="144"/>
  <c r="V7" i="144" s="1"/>
  <c r="O7" i="144"/>
  <c r="P7" i="144"/>
  <c r="B8" i="144"/>
  <c r="C8" i="144"/>
  <c r="F8" i="144"/>
  <c r="G8" i="144"/>
  <c r="H8" i="144"/>
  <c r="I8" i="144"/>
  <c r="J8" i="144"/>
  <c r="K8" i="144"/>
  <c r="F67" i="144" s="1"/>
  <c r="M8" i="144"/>
  <c r="O8" i="144"/>
  <c r="P8" i="144"/>
  <c r="C9" i="144"/>
  <c r="F9" i="144"/>
  <c r="G67" i="144" s="1"/>
  <c r="G9" i="144"/>
  <c r="R8" i="144" s="1"/>
  <c r="H9" i="144"/>
  <c r="I9" i="144"/>
  <c r="M9" i="144"/>
  <c r="N9" i="144"/>
  <c r="O9" i="144"/>
  <c r="P9" i="144"/>
  <c r="B10" i="144"/>
  <c r="C10" i="144"/>
  <c r="F10" i="144"/>
  <c r="G10" i="144"/>
  <c r="H10" i="144"/>
  <c r="I10" i="144"/>
  <c r="J10" i="144"/>
  <c r="K10" i="144"/>
  <c r="M10" i="144"/>
  <c r="O10" i="144"/>
  <c r="P10" i="144"/>
  <c r="V10" i="144"/>
  <c r="C11" i="144"/>
  <c r="G11" i="144"/>
  <c r="N11" i="144"/>
  <c r="O11" i="144"/>
  <c r="B12" i="144"/>
  <c r="C12" i="144"/>
  <c r="D12" i="144"/>
  <c r="F12" i="144"/>
  <c r="G12" i="144"/>
  <c r="H12" i="144"/>
  <c r="H64" i="144" s="1"/>
  <c r="I12" i="144"/>
  <c r="J12" i="144"/>
  <c r="K12" i="144"/>
  <c r="M12" i="144"/>
  <c r="V12" i="144" s="1"/>
  <c r="O12" i="144"/>
  <c r="P12" i="144"/>
  <c r="B13" i="144"/>
  <c r="C13" i="144"/>
  <c r="F13" i="144"/>
  <c r="G13" i="144"/>
  <c r="H13" i="144"/>
  <c r="I13" i="144"/>
  <c r="J13" i="144"/>
  <c r="K13" i="144"/>
  <c r="M13" i="144"/>
  <c r="V13" i="144" s="1"/>
  <c r="O13" i="144"/>
  <c r="P13" i="144"/>
  <c r="B14" i="144"/>
  <c r="C14" i="144"/>
  <c r="F14" i="144"/>
  <c r="G14" i="144"/>
  <c r="H14" i="144"/>
  <c r="I14" i="144"/>
  <c r="J14" i="144"/>
  <c r="K14" i="144"/>
  <c r="M14" i="144"/>
  <c r="V14" i="144" s="1"/>
  <c r="O14" i="144"/>
  <c r="P14" i="144"/>
  <c r="B15" i="144"/>
  <c r="C15" i="144"/>
  <c r="F15" i="144"/>
  <c r="G15" i="144"/>
  <c r="H15" i="144"/>
  <c r="I15" i="144"/>
  <c r="J15" i="144"/>
  <c r="K15" i="144"/>
  <c r="M15" i="144"/>
  <c r="V15" i="144" s="1"/>
  <c r="O15" i="144"/>
  <c r="P15" i="144"/>
  <c r="C16" i="144"/>
  <c r="F16" i="144"/>
  <c r="G16" i="144"/>
  <c r="H16" i="144"/>
  <c r="I16" i="144"/>
  <c r="M16" i="144"/>
  <c r="N16" i="144"/>
  <c r="O16" i="144"/>
  <c r="P16" i="144"/>
  <c r="B17" i="144"/>
  <c r="C17" i="144"/>
  <c r="F17" i="144"/>
  <c r="G17" i="144"/>
  <c r="R17" i="144" s="1"/>
  <c r="H17" i="144"/>
  <c r="I17" i="144"/>
  <c r="J17" i="144"/>
  <c r="K17" i="144"/>
  <c r="M17" i="144"/>
  <c r="V17" i="144" s="1"/>
  <c r="P17" i="144"/>
  <c r="T17" i="144"/>
  <c r="B18" i="144"/>
  <c r="C18" i="144"/>
  <c r="F18" i="144"/>
  <c r="G18" i="144"/>
  <c r="H18" i="144"/>
  <c r="I18" i="144"/>
  <c r="J18" i="144"/>
  <c r="K18" i="144"/>
  <c r="M18" i="144"/>
  <c r="V18" i="144" s="1"/>
  <c r="P18" i="144"/>
  <c r="C19" i="144"/>
  <c r="F19" i="144"/>
  <c r="G19" i="144"/>
  <c r="R18" i="144" s="1"/>
  <c r="H19" i="144"/>
  <c r="I19" i="144"/>
  <c r="M19" i="144"/>
  <c r="P19" i="144"/>
  <c r="B20" i="144"/>
  <c r="C20" i="144"/>
  <c r="F20" i="144"/>
  <c r="G20" i="144"/>
  <c r="H20" i="144"/>
  <c r="I20" i="144"/>
  <c r="J20" i="144"/>
  <c r="K20" i="144"/>
  <c r="S20" i="144" s="1"/>
  <c r="M20" i="144"/>
  <c r="P20" i="144"/>
  <c r="V20" i="144"/>
  <c r="C21" i="144"/>
  <c r="F21" i="144"/>
  <c r="G21" i="144"/>
  <c r="R20" i="144" s="1"/>
  <c r="H21" i="144"/>
  <c r="I21" i="144"/>
  <c r="M21" i="144"/>
  <c r="N21" i="144"/>
  <c r="P21" i="144"/>
  <c r="B22" i="144"/>
  <c r="C22" i="144"/>
  <c r="F22" i="144"/>
  <c r="H22" i="144"/>
  <c r="I22" i="144"/>
  <c r="J22" i="144"/>
  <c r="K22" i="144"/>
  <c r="R22" i="144" s="1"/>
  <c r="M22" i="144"/>
  <c r="V22" i="144" s="1"/>
  <c r="N22" i="144"/>
  <c r="P22" i="144"/>
  <c r="S22" i="144"/>
  <c r="C23" i="144"/>
  <c r="F23" i="144"/>
  <c r="G23" i="144"/>
  <c r="H23" i="144"/>
  <c r="I23" i="144"/>
  <c r="M23" i="144"/>
  <c r="N23" i="144"/>
  <c r="P23" i="144"/>
  <c r="B24" i="144"/>
  <c r="C24" i="144"/>
  <c r="F24" i="144"/>
  <c r="G24" i="144"/>
  <c r="H24" i="144"/>
  <c r="H68" i="144" s="1"/>
  <c r="I24" i="144"/>
  <c r="J24" i="144"/>
  <c r="K24" i="144"/>
  <c r="M24" i="144"/>
  <c r="N24" i="144"/>
  <c r="P24" i="144"/>
  <c r="C25" i="144"/>
  <c r="F25" i="144"/>
  <c r="G25" i="144"/>
  <c r="H25" i="144"/>
  <c r="I25" i="144"/>
  <c r="M25" i="144"/>
  <c r="N25" i="144"/>
  <c r="P25" i="144"/>
  <c r="C26" i="144"/>
  <c r="F26" i="144"/>
  <c r="G26" i="144"/>
  <c r="H26" i="144"/>
  <c r="I26" i="144"/>
  <c r="M26" i="144"/>
  <c r="N26" i="144"/>
  <c r="P26" i="144"/>
  <c r="C27" i="144"/>
  <c r="F27" i="144"/>
  <c r="G27" i="144"/>
  <c r="R27" i="144" s="1"/>
  <c r="H27" i="144"/>
  <c r="I27" i="144"/>
  <c r="J27" i="144"/>
  <c r="K27" i="144"/>
  <c r="M27" i="144"/>
  <c r="N27" i="144"/>
  <c r="P27" i="144"/>
  <c r="T27" i="144"/>
  <c r="V27" i="144"/>
  <c r="C28" i="144"/>
  <c r="F28" i="144"/>
  <c r="G28" i="144"/>
  <c r="H28" i="144"/>
  <c r="I28" i="144"/>
  <c r="J28" i="144"/>
  <c r="K28" i="144"/>
  <c r="M28" i="144"/>
  <c r="N28" i="144"/>
  <c r="P28" i="144"/>
  <c r="T28" i="144"/>
  <c r="C29" i="144"/>
  <c r="F29" i="144"/>
  <c r="G29" i="144"/>
  <c r="H29" i="144"/>
  <c r="I29" i="144"/>
  <c r="M29" i="144"/>
  <c r="N29" i="144"/>
  <c r="P29" i="144"/>
  <c r="C30" i="144"/>
  <c r="F30" i="144"/>
  <c r="H30" i="144"/>
  <c r="I30" i="144"/>
  <c r="J30" i="144"/>
  <c r="K30" i="144"/>
  <c r="M30" i="144"/>
  <c r="N30" i="144"/>
  <c r="P30" i="144"/>
  <c r="C31" i="144"/>
  <c r="F31" i="144"/>
  <c r="G31" i="144"/>
  <c r="R30" i="144" s="1"/>
  <c r="H31" i="144"/>
  <c r="I31" i="144"/>
  <c r="M31" i="144"/>
  <c r="N31" i="144"/>
  <c r="P31" i="144"/>
  <c r="C32" i="144"/>
  <c r="F32" i="144"/>
  <c r="G32" i="144"/>
  <c r="H32" i="144"/>
  <c r="I32" i="144"/>
  <c r="J32" i="144"/>
  <c r="K32" i="144"/>
  <c r="R32" i="144" s="1"/>
  <c r="M32" i="144"/>
  <c r="N32" i="144"/>
  <c r="P32" i="144"/>
  <c r="V32" i="144"/>
  <c r="C33" i="144"/>
  <c r="F33" i="144"/>
  <c r="G33" i="144"/>
  <c r="T33" i="144" s="1"/>
  <c r="H33" i="144"/>
  <c r="I33" i="144"/>
  <c r="J33" i="144"/>
  <c r="K33" i="144"/>
  <c r="M33" i="144"/>
  <c r="V33" i="144" s="1"/>
  <c r="N33" i="144"/>
  <c r="P33" i="144"/>
  <c r="C34" i="144"/>
  <c r="F34" i="144"/>
  <c r="G34" i="144"/>
  <c r="H34" i="144"/>
  <c r="I34" i="144"/>
  <c r="J34" i="144"/>
  <c r="K34" i="144"/>
  <c r="M34" i="144"/>
  <c r="V34" i="144" s="1"/>
  <c r="N34" i="144"/>
  <c r="P34" i="144"/>
  <c r="C35" i="144"/>
  <c r="G35" i="144"/>
  <c r="N35" i="144"/>
  <c r="B36" i="144"/>
  <c r="B37" i="144"/>
  <c r="B38" i="144"/>
  <c r="B39" i="144"/>
  <c r="B40" i="144"/>
  <c r="B41" i="144"/>
  <c r="B42" i="144"/>
  <c r="B43" i="144"/>
  <c r="B44" i="144"/>
  <c r="B45" i="144"/>
  <c r="B46" i="144"/>
  <c r="B47" i="144"/>
  <c r="B48" i="144"/>
  <c r="B49" i="144"/>
  <c r="B50" i="144"/>
  <c r="B51" i="144"/>
  <c r="B52" i="144"/>
  <c r="B53" i="144"/>
  <c r="B54" i="144"/>
  <c r="B55" i="144"/>
  <c r="B56" i="144"/>
  <c r="D57" i="144"/>
  <c r="E57" i="144"/>
  <c r="L57" i="144"/>
  <c r="N57" i="144"/>
  <c r="Q57" i="144"/>
  <c r="Z63" i="144"/>
  <c r="AA63" i="144"/>
  <c r="Z64" i="144"/>
  <c r="AA64" i="144"/>
  <c r="I65" i="144"/>
  <c r="Z65" i="144"/>
  <c r="AA65" i="144"/>
  <c r="Z66" i="144"/>
  <c r="AA66" i="144"/>
  <c r="Z67" i="144"/>
  <c r="AA67" i="144"/>
  <c r="Z68" i="144"/>
  <c r="AA68" i="144"/>
  <c r="Y69" i="144"/>
  <c r="Z69" i="144"/>
  <c r="AA69" i="144"/>
  <c r="D74" i="144"/>
  <c r="E74" i="144"/>
  <c r="F74" i="144"/>
  <c r="G74" i="144"/>
  <c r="H74" i="144"/>
  <c r="I74" i="144"/>
  <c r="I76" i="144" s="1"/>
  <c r="J74" i="144"/>
  <c r="K74" i="144"/>
  <c r="L74" i="144"/>
  <c r="M74" i="144"/>
  <c r="D75" i="144"/>
  <c r="E75" i="144"/>
  <c r="F75" i="144"/>
  <c r="G75" i="144"/>
  <c r="H75" i="144"/>
  <c r="I75" i="144"/>
  <c r="J75" i="144"/>
  <c r="K75" i="144"/>
  <c r="L75" i="144"/>
  <c r="L76" i="144" s="1"/>
  <c r="M75" i="144"/>
  <c r="J85" i="144"/>
  <c r="K85" i="144"/>
  <c r="K87" i="144" s="1"/>
  <c r="L85" i="144"/>
  <c r="M85" i="144"/>
  <c r="D86" i="144"/>
  <c r="F86" i="144"/>
  <c r="I86" i="144"/>
  <c r="J86" i="144"/>
  <c r="K86" i="144"/>
  <c r="L86" i="144"/>
  <c r="M86" i="144"/>
  <c r="M87" i="144" s="1"/>
  <c r="D87" i="144"/>
  <c r="E87" i="144"/>
  <c r="F87" i="144"/>
  <c r="G87" i="144"/>
  <c r="H87" i="144"/>
  <c r="I87" i="144"/>
  <c r="C90" i="144"/>
  <c r="D90" i="144"/>
  <c r="E90" i="144"/>
  <c r="C91" i="144"/>
  <c r="D91" i="144"/>
  <c r="E91" i="144"/>
  <c r="D92" i="144"/>
  <c r="E92" i="144"/>
  <c r="B4" i="143"/>
  <c r="C4" i="143"/>
  <c r="F4" i="143"/>
  <c r="G4" i="143"/>
  <c r="H4" i="143"/>
  <c r="H65" i="143" s="1"/>
  <c r="I4" i="143"/>
  <c r="J4" i="143"/>
  <c r="K4" i="143"/>
  <c r="F65" i="143" s="1"/>
  <c r="M4" i="143"/>
  <c r="N4" i="143"/>
  <c r="O4" i="143"/>
  <c r="P4" i="143"/>
  <c r="B5" i="143"/>
  <c r="C5" i="143"/>
  <c r="F5" i="143"/>
  <c r="G5" i="143"/>
  <c r="H5" i="143"/>
  <c r="I5" i="143"/>
  <c r="J5" i="143"/>
  <c r="K5" i="143"/>
  <c r="M5" i="143"/>
  <c r="V5" i="143" s="1"/>
  <c r="N5" i="143"/>
  <c r="O5" i="143"/>
  <c r="P5" i="143"/>
  <c r="U5" i="143"/>
  <c r="B6" i="143"/>
  <c r="C6" i="143"/>
  <c r="F6" i="143"/>
  <c r="G64" i="143" s="1"/>
  <c r="G6" i="143"/>
  <c r="H6" i="143"/>
  <c r="I6" i="143"/>
  <c r="I58" i="143" s="1"/>
  <c r="J6" i="143"/>
  <c r="K6" i="143"/>
  <c r="M6" i="143"/>
  <c r="V6" i="143" s="1"/>
  <c r="N6" i="143"/>
  <c r="O6" i="143"/>
  <c r="P6" i="143"/>
  <c r="C7" i="143"/>
  <c r="F7" i="143"/>
  <c r="G7" i="143"/>
  <c r="H7" i="143"/>
  <c r="I7" i="143"/>
  <c r="M7" i="143"/>
  <c r="N7" i="143"/>
  <c r="O7" i="143"/>
  <c r="P7" i="143"/>
  <c r="C8" i="143"/>
  <c r="F8" i="143"/>
  <c r="G67" i="143" s="1"/>
  <c r="G8" i="143"/>
  <c r="H8" i="143"/>
  <c r="H67" i="143" s="1"/>
  <c r="I8" i="143"/>
  <c r="J8" i="143"/>
  <c r="K8" i="143"/>
  <c r="F67" i="143" s="1"/>
  <c r="J67" i="143" s="1"/>
  <c r="M8" i="143"/>
  <c r="V8" i="143" s="1"/>
  <c r="N8" i="143"/>
  <c r="P8" i="143"/>
  <c r="C9" i="143"/>
  <c r="F9" i="143"/>
  <c r="G9" i="143"/>
  <c r="T9" i="143" s="1"/>
  <c r="H9" i="143"/>
  <c r="I9" i="143"/>
  <c r="J9" i="143"/>
  <c r="K9" i="143"/>
  <c r="M9" i="143"/>
  <c r="N9" i="143"/>
  <c r="P9" i="143"/>
  <c r="C10" i="143"/>
  <c r="F10" i="143"/>
  <c r="G10" i="143"/>
  <c r="E66" i="143" s="1"/>
  <c r="H10" i="143"/>
  <c r="H66" i="143" s="1"/>
  <c r="I66" i="143" s="1"/>
  <c r="I10" i="143"/>
  <c r="M10" i="143"/>
  <c r="N10" i="143"/>
  <c r="P10" i="143"/>
  <c r="C11" i="143"/>
  <c r="F11" i="143"/>
  <c r="G11" i="143"/>
  <c r="H11" i="143"/>
  <c r="I11" i="143"/>
  <c r="J11" i="143"/>
  <c r="K11" i="143"/>
  <c r="M11" i="143"/>
  <c r="V11" i="143" s="1"/>
  <c r="N11" i="143"/>
  <c r="P11" i="143"/>
  <c r="C12" i="143"/>
  <c r="F12" i="143"/>
  <c r="G65" i="143" s="1"/>
  <c r="I65" i="143" s="1"/>
  <c r="G12" i="143"/>
  <c r="H12" i="143"/>
  <c r="I12" i="143"/>
  <c r="J12" i="143"/>
  <c r="K12" i="143"/>
  <c r="R12" i="143" s="1"/>
  <c r="M12" i="143"/>
  <c r="V12" i="143" s="1"/>
  <c r="N12" i="143"/>
  <c r="P12" i="143"/>
  <c r="C13" i="143"/>
  <c r="F13" i="143"/>
  <c r="G13" i="143"/>
  <c r="H13" i="143"/>
  <c r="I13" i="143"/>
  <c r="J13" i="143"/>
  <c r="K13" i="143"/>
  <c r="M13" i="143"/>
  <c r="N13" i="143"/>
  <c r="P13" i="143"/>
  <c r="C14" i="143"/>
  <c r="F14" i="143"/>
  <c r="G14" i="143"/>
  <c r="H14" i="143"/>
  <c r="I14" i="143"/>
  <c r="M14" i="143"/>
  <c r="N14" i="143"/>
  <c r="P14" i="143"/>
  <c r="C15" i="143"/>
  <c r="F15" i="143"/>
  <c r="G15" i="143"/>
  <c r="H15" i="143"/>
  <c r="I15" i="143"/>
  <c r="J15" i="143"/>
  <c r="K15" i="143"/>
  <c r="M15" i="143"/>
  <c r="V15" i="143" s="1"/>
  <c r="N15" i="143"/>
  <c r="P15" i="143"/>
  <c r="C16" i="143"/>
  <c r="F16" i="143"/>
  <c r="G16" i="143"/>
  <c r="H16" i="143"/>
  <c r="I16" i="143"/>
  <c r="M16" i="143"/>
  <c r="N16" i="143"/>
  <c r="P16" i="143"/>
  <c r="C17" i="143"/>
  <c r="F17" i="143"/>
  <c r="G17" i="143"/>
  <c r="S17" i="143" s="1"/>
  <c r="H17" i="143"/>
  <c r="I17" i="143"/>
  <c r="J17" i="143"/>
  <c r="K17" i="143"/>
  <c r="M17" i="143"/>
  <c r="V17" i="143" s="1"/>
  <c r="N17" i="143"/>
  <c r="P17" i="143"/>
  <c r="C18" i="143"/>
  <c r="F18" i="143"/>
  <c r="G18" i="143"/>
  <c r="T18" i="143" s="1"/>
  <c r="H18" i="143"/>
  <c r="I18" i="143"/>
  <c r="J18" i="143"/>
  <c r="K18" i="143"/>
  <c r="M18" i="143"/>
  <c r="V18" i="143" s="1"/>
  <c r="N18" i="143"/>
  <c r="P18" i="143"/>
  <c r="C19" i="143"/>
  <c r="F19" i="143"/>
  <c r="G19" i="143"/>
  <c r="H19" i="143"/>
  <c r="I19" i="143"/>
  <c r="J19" i="143"/>
  <c r="K19" i="143"/>
  <c r="M19" i="143"/>
  <c r="P19" i="143"/>
  <c r="V19" i="143"/>
  <c r="C20" i="143"/>
  <c r="G20" i="143"/>
  <c r="N20" i="143"/>
  <c r="C21" i="143"/>
  <c r="F21" i="143"/>
  <c r="G21" i="143"/>
  <c r="H21" i="143"/>
  <c r="I21" i="143"/>
  <c r="J21" i="143"/>
  <c r="K21" i="143"/>
  <c r="M21" i="143"/>
  <c r="V21" i="143" s="1"/>
  <c r="N21" i="143"/>
  <c r="P21" i="143"/>
  <c r="C22" i="143"/>
  <c r="F22" i="143"/>
  <c r="G22" i="143"/>
  <c r="H22" i="143"/>
  <c r="I22" i="143"/>
  <c r="J22" i="143"/>
  <c r="K22" i="143"/>
  <c r="F69" i="143" s="1"/>
  <c r="M22" i="143"/>
  <c r="V22" i="143" s="1"/>
  <c r="N22" i="143"/>
  <c r="P22" i="143"/>
  <c r="C23" i="143"/>
  <c r="F23" i="143"/>
  <c r="G23" i="143"/>
  <c r="S22" i="143" s="1"/>
  <c r="H23" i="143"/>
  <c r="I23" i="143"/>
  <c r="M23" i="143"/>
  <c r="N23" i="143"/>
  <c r="P23" i="143"/>
  <c r="C24" i="143"/>
  <c r="F24" i="143"/>
  <c r="G24" i="143"/>
  <c r="H24" i="143"/>
  <c r="H69" i="143" s="1"/>
  <c r="I24" i="143"/>
  <c r="M24" i="143"/>
  <c r="N24" i="143"/>
  <c r="P24" i="143"/>
  <c r="D58" i="143"/>
  <c r="E58" i="143"/>
  <c r="L58" i="143"/>
  <c r="N58" i="143"/>
  <c r="Q58" i="143"/>
  <c r="Z64" i="143"/>
  <c r="AA64" i="143"/>
  <c r="E65" i="143"/>
  <c r="Z65" i="143"/>
  <c r="AA65" i="143"/>
  <c r="G66" i="143"/>
  <c r="Z66" i="143"/>
  <c r="AA66" i="143"/>
  <c r="E67" i="143"/>
  <c r="I67" i="143"/>
  <c r="Z67" i="143"/>
  <c r="AA67" i="143"/>
  <c r="I68" i="143"/>
  <c r="Z68" i="143"/>
  <c r="AA68" i="143"/>
  <c r="G69" i="143"/>
  <c r="Y69" i="143"/>
  <c r="Y70" i="143" s="1"/>
  <c r="Z69" i="143"/>
  <c r="AA69" i="143"/>
  <c r="Z70" i="143"/>
  <c r="AA70" i="143"/>
  <c r="D75" i="143"/>
  <c r="E75" i="143"/>
  <c r="F75" i="143"/>
  <c r="G75" i="143"/>
  <c r="H75" i="143"/>
  <c r="I75" i="143"/>
  <c r="I77" i="143" s="1"/>
  <c r="J75" i="143"/>
  <c r="K75" i="143"/>
  <c r="K77" i="143" s="1"/>
  <c r="L75" i="143"/>
  <c r="D76" i="143"/>
  <c r="E76" i="143"/>
  <c r="F76" i="143"/>
  <c r="G76" i="143"/>
  <c r="H76" i="143"/>
  <c r="H77" i="143" s="1"/>
  <c r="I76" i="143"/>
  <c r="J76" i="143"/>
  <c r="K76" i="143"/>
  <c r="L76" i="143"/>
  <c r="J86" i="143"/>
  <c r="J88" i="143" s="1"/>
  <c r="K86" i="143"/>
  <c r="L86" i="143"/>
  <c r="L88" i="143" s="1"/>
  <c r="D87" i="143"/>
  <c r="F87" i="143"/>
  <c r="I87" i="143"/>
  <c r="J87" i="143"/>
  <c r="K87" i="143"/>
  <c r="L87" i="143"/>
  <c r="P87" i="143" s="1"/>
  <c r="D88" i="143"/>
  <c r="E88" i="143"/>
  <c r="F88" i="143"/>
  <c r="G88" i="143"/>
  <c r="H88" i="143"/>
  <c r="I88" i="143"/>
  <c r="C91" i="143"/>
  <c r="D91" i="143"/>
  <c r="E91" i="143"/>
  <c r="C92" i="143"/>
  <c r="D92" i="143"/>
  <c r="E92" i="143"/>
  <c r="D93" i="143"/>
  <c r="E93" i="143"/>
  <c r="B4" i="142"/>
  <c r="C4" i="142"/>
  <c r="F4" i="142"/>
  <c r="G4" i="142"/>
  <c r="H4" i="142"/>
  <c r="H58" i="142" s="1"/>
  <c r="I4" i="142"/>
  <c r="J4" i="142"/>
  <c r="K4" i="142"/>
  <c r="N4" i="142"/>
  <c r="O4" i="142"/>
  <c r="P4" i="142"/>
  <c r="Q4" i="142"/>
  <c r="C5" i="142"/>
  <c r="F5" i="142"/>
  <c r="G5" i="142"/>
  <c r="H5" i="142"/>
  <c r="I5" i="142"/>
  <c r="N5" i="142"/>
  <c r="O5" i="142"/>
  <c r="P5" i="142"/>
  <c r="Q5" i="142"/>
  <c r="B6" i="142"/>
  <c r="C6" i="142"/>
  <c r="F6" i="142"/>
  <c r="G6" i="142"/>
  <c r="H6" i="142"/>
  <c r="I6" i="142"/>
  <c r="J6" i="142"/>
  <c r="K6" i="142"/>
  <c r="N6" i="142"/>
  <c r="O6" i="142"/>
  <c r="P6" i="142"/>
  <c r="Q6" i="142"/>
  <c r="W6" i="142"/>
  <c r="B7" i="142"/>
  <c r="C7" i="142"/>
  <c r="F7" i="142"/>
  <c r="G67" i="142" s="1"/>
  <c r="G7" i="142"/>
  <c r="H7" i="142"/>
  <c r="H67" i="142" s="1"/>
  <c r="I7" i="142"/>
  <c r="J7" i="142"/>
  <c r="K7" i="142"/>
  <c r="N7" i="142"/>
  <c r="W7" i="142" s="1"/>
  <c r="O7" i="142"/>
  <c r="P7" i="142"/>
  <c r="Q7" i="142"/>
  <c r="C8" i="142"/>
  <c r="F8" i="142"/>
  <c r="G8" i="142"/>
  <c r="H8" i="142"/>
  <c r="I8" i="142"/>
  <c r="N8" i="142"/>
  <c r="O8" i="142"/>
  <c r="P8" i="142"/>
  <c r="Q8" i="142"/>
  <c r="C9" i="142"/>
  <c r="F9" i="142"/>
  <c r="G65" i="142" s="1"/>
  <c r="G9" i="142"/>
  <c r="H9" i="142"/>
  <c r="I9" i="142"/>
  <c r="J9" i="142"/>
  <c r="K9" i="142"/>
  <c r="N9" i="142"/>
  <c r="W9" i="142" s="1"/>
  <c r="O9" i="142"/>
  <c r="P9" i="142"/>
  <c r="Q9" i="142"/>
  <c r="C10" i="142"/>
  <c r="F10" i="142"/>
  <c r="G10" i="142"/>
  <c r="H10" i="142"/>
  <c r="I10" i="142"/>
  <c r="N10" i="142"/>
  <c r="O10" i="142"/>
  <c r="P10" i="142"/>
  <c r="Q10" i="142"/>
  <c r="C11" i="142"/>
  <c r="F11" i="142"/>
  <c r="G11" i="142"/>
  <c r="H11" i="142"/>
  <c r="I11" i="142"/>
  <c r="J11" i="142"/>
  <c r="K11" i="142"/>
  <c r="N11" i="142"/>
  <c r="O11" i="142"/>
  <c r="P11" i="142"/>
  <c r="Q11" i="142"/>
  <c r="C12" i="142"/>
  <c r="F12" i="142"/>
  <c r="G12" i="142"/>
  <c r="H12" i="142"/>
  <c r="I12" i="142"/>
  <c r="N12" i="142"/>
  <c r="O12" i="142"/>
  <c r="P12" i="142"/>
  <c r="Q12" i="142"/>
  <c r="C13" i="142"/>
  <c r="F13" i="142"/>
  <c r="G13" i="142"/>
  <c r="V13" i="142" s="1"/>
  <c r="H13" i="142"/>
  <c r="I13" i="142"/>
  <c r="J13" i="142"/>
  <c r="K13" i="142"/>
  <c r="N13" i="142"/>
  <c r="W13" i="142" s="1"/>
  <c r="O13" i="142"/>
  <c r="P13" i="142"/>
  <c r="Q13" i="142"/>
  <c r="C14" i="142"/>
  <c r="F14" i="142"/>
  <c r="G14" i="142"/>
  <c r="H14" i="142"/>
  <c r="I14" i="142"/>
  <c r="J14" i="142"/>
  <c r="K14" i="142"/>
  <c r="N14" i="142"/>
  <c r="W14" i="142" s="1"/>
  <c r="O14" i="142"/>
  <c r="P14" i="142"/>
  <c r="Q14" i="142"/>
  <c r="S14" i="142"/>
  <c r="C15" i="142"/>
  <c r="F15" i="142"/>
  <c r="G15" i="142"/>
  <c r="H15" i="142"/>
  <c r="I15" i="142"/>
  <c r="N15" i="142"/>
  <c r="O15" i="142"/>
  <c r="P15" i="142"/>
  <c r="Q15" i="142"/>
  <c r="C16" i="142"/>
  <c r="F16" i="142"/>
  <c r="G16" i="142"/>
  <c r="H16" i="142"/>
  <c r="I16" i="142"/>
  <c r="J16" i="142"/>
  <c r="K16" i="142"/>
  <c r="N16" i="142"/>
  <c r="O16" i="142"/>
  <c r="P16" i="142"/>
  <c r="Q16" i="142"/>
  <c r="C17" i="142"/>
  <c r="F17" i="142"/>
  <c r="G17" i="142"/>
  <c r="H17" i="142"/>
  <c r="I17" i="142"/>
  <c r="N17" i="142"/>
  <c r="O17" i="142"/>
  <c r="P17" i="142"/>
  <c r="Q17" i="142"/>
  <c r="C18" i="142"/>
  <c r="F18" i="142"/>
  <c r="G18" i="142"/>
  <c r="H18" i="142"/>
  <c r="I18" i="142"/>
  <c r="J18" i="142"/>
  <c r="K18" i="142"/>
  <c r="F65" i="142" s="1"/>
  <c r="N18" i="142"/>
  <c r="O18" i="142"/>
  <c r="P18" i="142"/>
  <c r="Q18" i="142"/>
  <c r="W18" i="142"/>
  <c r="C19" i="142"/>
  <c r="F19" i="142"/>
  <c r="G19" i="142"/>
  <c r="H19" i="142"/>
  <c r="I19" i="142"/>
  <c r="J19" i="142"/>
  <c r="K19" i="142"/>
  <c r="N19" i="142"/>
  <c r="O19" i="142"/>
  <c r="P19" i="142"/>
  <c r="Q19" i="142"/>
  <c r="C20" i="142"/>
  <c r="F20" i="142"/>
  <c r="G20" i="142"/>
  <c r="H20" i="142"/>
  <c r="I20" i="142"/>
  <c r="N20" i="142"/>
  <c r="O20" i="142"/>
  <c r="P20" i="142"/>
  <c r="Q20" i="142"/>
  <c r="C21" i="142"/>
  <c r="F21" i="142"/>
  <c r="G21" i="142"/>
  <c r="V21" i="142" s="1"/>
  <c r="H21" i="142"/>
  <c r="I21" i="142"/>
  <c r="J21" i="142"/>
  <c r="K21" i="142"/>
  <c r="N21" i="142"/>
  <c r="W21" i="142" s="1"/>
  <c r="O21" i="142"/>
  <c r="P21" i="142"/>
  <c r="Q21" i="142"/>
  <c r="C22" i="142"/>
  <c r="F22" i="142"/>
  <c r="G22" i="142"/>
  <c r="H22" i="142"/>
  <c r="I22" i="142"/>
  <c r="J22" i="142"/>
  <c r="K22" i="142"/>
  <c r="N22" i="142"/>
  <c r="W22" i="142" s="1"/>
  <c r="O22" i="142"/>
  <c r="P22" i="142"/>
  <c r="Q22" i="142"/>
  <c r="C23" i="142"/>
  <c r="F23" i="142"/>
  <c r="G23" i="142"/>
  <c r="H23" i="142"/>
  <c r="I23" i="142"/>
  <c r="N23" i="142"/>
  <c r="O23" i="142"/>
  <c r="P23" i="142"/>
  <c r="Q23" i="142"/>
  <c r="C24" i="142"/>
  <c r="F24" i="142"/>
  <c r="G24" i="142"/>
  <c r="U24" i="142" s="1"/>
  <c r="H24" i="142"/>
  <c r="I24" i="142"/>
  <c r="J24" i="142"/>
  <c r="K24" i="142"/>
  <c r="N24" i="142"/>
  <c r="W24" i="142" s="1"/>
  <c r="O24" i="142"/>
  <c r="P24" i="142"/>
  <c r="Q24" i="142"/>
  <c r="C25" i="142"/>
  <c r="G25" i="142"/>
  <c r="V24" i="142" s="1"/>
  <c r="C26" i="142"/>
  <c r="F26" i="142"/>
  <c r="G26" i="142"/>
  <c r="H26" i="142"/>
  <c r="I26" i="142"/>
  <c r="J26" i="142"/>
  <c r="K26" i="142"/>
  <c r="N26" i="142"/>
  <c r="O26" i="142"/>
  <c r="P26" i="142"/>
  <c r="Q26" i="142"/>
  <c r="C27" i="142"/>
  <c r="F27" i="142"/>
  <c r="G27" i="142"/>
  <c r="H27" i="142"/>
  <c r="I27" i="142"/>
  <c r="N27" i="142"/>
  <c r="O27" i="142"/>
  <c r="P27" i="142"/>
  <c r="C28" i="142"/>
  <c r="F28" i="142"/>
  <c r="G28" i="142"/>
  <c r="V28" i="142" s="1"/>
  <c r="H28" i="142"/>
  <c r="I28" i="142"/>
  <c r="J28" i="142"/>
  <c r="K28" i="142"/>
  <c r="N28" i="142"/>
  <c r="O28" i="142"/>
  <c r="P28" i="142"/>
  <c r="Q28" i="142"/>
  <c r="W28" i="142"/>
  <c r="C29" i="142"/>
  <c r="F29" i="142"/>
  <c r="G29" i="142"/>
  <c r="H29" i="142"/>
  <c r="I29" i="142"/>
  <c r="J29" i="142"/>
  <c r="K29" i="142"/>
  <c r="F69" i="142" s="1"/>
  <c r="N29" i="142"/>
  <c r="O29" i="142"/>
  <c r="P29" i="142"/>
  <c r="Q29" i="142"/>
  <c r="C30" i="142"/>
  <c r="F30" i="142"/>
  <c r="G30" i="142"/>
  <c r="H30" i="142"/>
  <c r="I30" i="142"/>
  <c r="N30" i="142"/>
  <c r="O30" i="142"/>
  <c r="P30" i="142"/>
  <c r="Q30" i="142"/>
  <c r="C31" i="142"/>
  <c r="F31" i="142"/>
  <c r="G31" i="142"/>
  <c r="H31" i="142"/>
  <c r="I31" i="142"/>
  <c r="N31" i="142"/>
  <c r="O31" i="142"/>
  <c r="P31" i="142"/>
  <c r="Q31" i="142"/>
  <c r="C32" i="142"/>
  <c r="F32" i="142"/>
  <c r="G32" i="142"/>
  <c r="H32" i="142"/>
  <c r="I32" i="142"/>
  <c r="N32" i="142"/>
  <c r="O32" i="142"/>
  <c r="P32" i="142"/>
  <c r="Q32" i="142"/>
  <c r="C33" i="142"/>
  <c r="F33" i="142"/>
  <c r="G33" i="142"/>
  <c r="H33" i="142"/>
  <c r="I33" i="142"/>
  <c r="J33" i="142"/>
  <c r="K33" i="142"/>
  <c r="N33" i="142"/>
  <c r="O33" i="142"/>
  <c r="P33" i="142"/>
  <c r="Q33" i="142"/>
  <c r="W33" i="142"/>
  <c r="C34" i="142"/>
  <c r="F34" i="142"/>
  <c r="G34" i="142"/>
  <c r="H34" i="142"/>
  <c r="I34" i="142"/>
  <c r="J34" i="142"/>
  <c r="K34" i="142"/>
  <c r="N34" i="142"/>
  <c r="W34" i="142" s="1"/>
  <c r="O34" i="142"/>
  <c r="P34" i="142"/>
  <c r="Q34" i="142"/>
  <c r="C35" i="142"/>
  <c r="F35" i="142"/>
  <c r="G35" i="142"/>
  <c r="H35" i="142"/>
  <c r="I35" i="142"/>
  <c r="J35" i="142"/>
  <c r="K35" i="142"/>
  <c r="N35" i="142"/>
  <c r="O35" i="142"/>
  <c r="P35" i="142"/>
  <c r="Q35" i="142"/>
  <c r="C36" i="142"/>
  <c r="F36" i="142"/>
  <c r="G36" i="142"/>
  <c r="H36" i="142"/>
  <c r="I36" i="142"/>
  <c r="N36" i="142"/>
  <c r="O36" i="142"/>
  <c r="P36" i="142"/>
  <c r="Q36" i="142"/>
  <c r="C37" i="142"/>
  <c r="F37" i="142"/>
  <c r="G37" i="142"/>
  <c r="H37" i="142"/>
  <c r="I37" i="142"/>
  <c r="J37" i="142"/>
  <c r="K37" i="142"/>
  <c r="V37" i="142" s="1"/>
  <c r="N37" i="142"/>
  <c r="W37" i="142" s="1"/>
  <c r="O37" i="142"/>
  <c r="Q37" i="142"/>
  <c r="D58" i="142"/>
  <c r="E58" i="142"/>
  <c r="L58" i="142"/>
  <c r="M58" i="142"/>
  <c r="O58" i="142"/>
  <c r="R58" i="142"/>
  <c r="Z64" i="142"/>
  <c r="AA64" i="142"/>
  <c r="AB64" i="142"/>
  <c r="AA65" i="142"/>
  <c r="AB65" i="142"/>
  <c r="I66" i="142"/>
  <c r="AA66" i="142"/>
  <c r="AB66" i="142"/>
  <c r="E67" i="142"/>
  <c r="AA67" i="142"/>
  <c r="AB67" i="142"/>
  <c r="AA68" i="142"/>
  <c r="AB68" i="142"/>
  <c r="AA69" i="142"/>
  <c r="AB69" i="142"/>
  <c r="AA70" i="142"/>
  <c r="AB70" i="142"/>
  <c r="D75" i="142"/>
  <c r="E75" i="142"/>
  <c r="F75" i="142"/>
  <c r="G75" i="142"/>
  <c r="H75" i="142"/>
  <c r="I75" i="142"/>
  <c r="J75" i="142"/>
  <c r="K75" i="142"/>
  <c r="D76" i="142"/>
  <c r="E76" i="142"/>
  <c r="F76" i="142"/>
  <c r="G76" i="142"/>
  <c r="H76" i="142"/>
  <c r="I76" i="142"/>
  <c r="J76" i="142"/>
  <c r="J77" i="142" s="1"/>
  <c r="K76" i="142"/>
  <c r="J86" i="142"/>
  <c r="P86" i="142" s="1"/>
  <c r="K86" i="142"/>
  <c r="D87" i="142"/>
  <c r="D88" i="142" s="1"/>
  <c r="F87" i="142"/>
  <c r="F88" i="142" s="1"/>
  <c r="I87" i="142"/>
  <c r="I88" i="142" s="1"/>
  <c r="J87" i="142"/>
  <c r="K87" i="142"/>
  <c r="P87" i="142" s="1"/>
  <c r="E88" i="142"/>
  <c r="G88" i="142"/>
  <c r="H88" i="142"/>
  <c r="C91" i="142"/>
  <c r="D91" i="142"/>
  <c r="E91" i="142"/>
  <c r="C92" i="142"/>
  <c r="D92" i="142"/>
  <c r="E92" i="142"/>
  <c r="D93" i="142"/>
  <c r="E93" i="142"/>
  <c r="B4" i="140"/>
  <c r="C4" i="140"/>
  <c r="F4" i="140"/>
  <c r="G4" i="140"/>
  <c r="T4" i="140" s="1"/>
  <c r="H4" i="140"/>
  <c r="I4" i="140"/>
  <c r="J4" i="140"/>
  <c r="K4" i="140"/>
  <c r="F67" i="140" s="1"/>
  <c r="N4" i="140"/>
  <c r="W4" i="140" s="1"/>
  <c r="Q4" i="140"/>
  <c r="B5" i="140"/>
  <c r="C5" i="140"/>
  <c r="F5" i="140"/>
  <c r="G5" i="140"/>
  <c r="H5" i="140"/>
  <c r="H65" i="140" s="1"/>
  <c r="I5" i="140"/>
  <c r="J5" i="140"/>
  <c r="K5" i="140"/>
  <c r="N5" i="140"/>
  <c r="W5" i="140" s="1"/>
  <c r="Q5" i="140"/>
  <c r="B6" i="140"/>
  <c r="C6" i="140"/>
  <c r="F6" i="140"/>
  <c r="G6" i="140"/>
  <c r="H6" i="140"/>
  <c r="I6" i="140"/>
  <c r="J6" i="140"/>
  <c r="K6" i="140"/>
  <c r="V6" i="140" s="1"/>
  <c r="N6" i="140"/>
  <c r="W6" i="140" s="1"/>
  <c r="P6" i="140"/>
  <c r="Q6" i="140"/>
  <c r="B7" i="140"/>
  <c r="C7" i="140"/>
  <c r="F7" i="140"/>
  <c r="G7" i="140"/>
  <c r="H7" i="140"/>
  <c r="I7" i="140"/>
  <c r="J7" i="140"/>
  <c r="K7" i="140"/>
  <c r="N7" i="140"/>
  <c r="W7" i="140" s="1"/>
  <c r="Q7" i="140"/>
  <c r="T7" i="140"/>
  <c r="B8" i="140"/>
  <c r="C8" i="140"/>
  <c r="F8" i="140"/>
  <c r="G8" i="140"/>
  <c r="H8" i="140"/>
  <c r="I8" i="140"/>
  <c r="J8" i="140"/>
  <c r="K8" i="140"/>
  <c r="N8" i="140"/>
  <c r="Q8" i="140"/>
  <c r="T8" i="140"/>
  <c r="V8" i="140"/>
  <c r="W8" i="140"/>
  <c r="B9" i="140"/>
  <c r="C9" i="140"/>
  <c r="F9" i="140"/>
  <c r="G9" i="140"/>
  <c r="H9" i="140"/>
  <c r="I9" i="140"/>
  <c r="J9" i="140"/>
  <c r="K9" i="140"/>
  <c r="N9" i="140"/>
  <c r="W9" i="140" s="1"/>
  <c r="P9" i="140"/>
  <c r="Q9" i="140"/>
  <c r="V9" i="140"/>
  <c r="B10" i="140"/>
  <c r="C10" i="140"/>
  <c r="F10" i="140"/>
  <c r="G10" i="140"/>
  <c r="E69" i="140" s="1"/>
  <c r="J69" i="140" s="1"/>
  <c r="H10" i="140"/>
  <c r="I10" i="140"/>
  <c r="J10" i="140"/>
  <c r="K10" i="140"/>
  <c r="N10" i="140"/>
  <c r="Q10" i="140"/>
  <c r="C11" i="140"/>
  <c r="F11" i="140"/>
  <c r="G69" i="140" s="1"/>
  <c r="G11" i="140"/>
  <c r="S10" i="140" s="1"/>
  <c r="H11" i="140"/>
  <c r="I11" i="140"/>
  <c r="N11" i="140"/>
  <c r="O11" i="140"/>
  <c r="Q11" i="140"/>
  <c r="C12" i="140"/>
  <c r="F12" i="140"/>
  <c r="G12" i="140"/>
  <c r="H12" i="140"/>
  <c r="I12" i="140"/>
  <c r="N12" i="140"/>
  <c r="O12" i="140"/>
  <c r="Q12" i="140"/>
  <c r="C13" i="140"/>
  <c r="F13" i="140"/>
  <c r="G13" i="140"/>
  <c r="H13" i="140"/>
  <c r="I13" i="140"/>
  <c r="N13" i="140"/>
  <c r="O13" i="140"/>
  <c r="Q13" i="140"/>
  <c r="B14" i="140"/>
  <c r="C14" i="140"/>
  <c r="F14" i="140"/>
  <c r="G14" i="140"/>
  <c r="H14" i="140"/>
  <c r="I14" i="140"/>
  <c r="J14" i="140"/>
  <c r="K14" i="140"/>
  <c r="N14" i="140"/>
  <c r="W14" i="140" s="1"/>
  <c r="Q14" i="140"/>
  <c r="B15" i="140"/>
  <c r="C15" i="140"/>
  <c r="F15" i="140"/>
  <c r="G15" i="140"/>
  <c r="H15" i="140"/>
  <c r="I15" i="140"/>
  <c r="J15" i="140"/>
  <c r="K15" i="140"/>
  <c r="S15" i="140" s="1"/>
  <c r="N15" i="140"/>
  <c r="W15" i="140" s="1"/>
  <c r="Q15" i="140"/>
  <c r="B16" i="140"/>
  <c r="C16" i="140"/>
  <c r="F16" i="140"/>
  <c r="G16" i="140"/>
  <c r="H16" i="140"/>
  <c r="I16" i="140"/>
  <c r="J16" i="140"/>
  <c r="K16" i="140"/>
  <c r="N16" i="140"/>
  <c r="Q16" i="140"/>
  <c r="C17" i="140"/>
  <c r="F17" i="140"/>
  <c r="G17" i="140"/>
  <c r="T16" i="140" s="1"/>
  <c r="H17" i="140"/>
  <c r="I17" i="140"/>
  <c r="N17" i="140"/>
  <c r="W16" i="140" s="1"/>
  <c r="O17" i="140"/>
  <c r="Q17" i="140"/>
  <c r="B18" i="140"/>
  <c r="C18" i="140"/>
  <c r="F18" i="140"/>
  <c r="G18" i="140"/>
  <c r="S18" i="140" s="1"/>
  <c r="H18" i="140"/>
  <c r="I18" i="140"/>
  <c r="J18" i="140"/>
  <c r="K18" i="140"/>
  <c r="N18" i="140"/>
  <c r="O18" i="140"/>
  <c r="Q18" i="140"/>
  <c r="T18" i="140"/>
  <c r="V18" i="140"/>
  <c r="W18" i="140"/>
  <c r="B19" i="140"/>
  <c r="C19" i="140"/>
  <c r="F19" i="140"/>
  <c r="G19" i="140"/>
  <c r="H19" i="140"/>
  <c r="I19" i="140"/>
  <c r="J19" i="140"/>
  <c r="K19" i="140"/>
  <c r="N19" i="140"/>
  <c r="O19" i="140"/>
  <c r="Q19" i="140"/>
  <c r="C20" i="140"/>
  <c r="F20" i="140"/>
  <c r="G20" i="140"/>
  <c r="H20" i="140"/>
  <c r="I20" i="140"/>
  <c r="N20" i="140"/>
  <c r="W19" i="140" s="1"/>
  <c r="O20" i="140"/>
  <c r="Q20" i="140"/>
  <c r="B21" i="140"/>
  <c r="C21" i="140"/>
  <c r="F21" i="140"/>
  <c r="G21" i="140"/>
  <c r="V21" i="140" s="1"/>
  <c r="H21" i="140"/>
  <c r="I21" i="140"/>
  <c r="J21" i="140"/>
  <c r="K21" i="140"/>
  <c r="N21" i="140"/>
  <c r="Q21" i="140"/>
  <c r="W21" i="140"/>
  <c r="C22" i="140"/>
  <c r="G22" i="140"/>
  <c r="S21" i="140" s="1"/>
  <c r="B23" i="140"/>
  <c r="C23" i="140"/>
  <c r="F23" i="140"/>
  <c r="G23" i="140"/>
  <c r="S23" i="140" s="1"/>
  <c r="H23" i="140"/>
  <c r="I23" i="140"/>
  <c r="J23" i="140"/>
  <c r="K23" i="140"/>
  <c r="N23" i="140"/>
  <c r="P23" i="140"/>
  <c r="Q23" i="140"/>
  <c r="W23" i="140"/>
  <c r="B24" i="140"/>
  <c r="C24" i="140"/>
  <c r="F24" i="140"/>
  <c r="G24" i="140"/>
  <c r="H24" i="140"/>
  <c r="I24" i="140"/>
  <c r="J24" i="140"/>
  <c r="K24" i="140"/>
  <c r="N24" i="140"/>
  <c r="W24" i="140" s="1"/>
  <c r="P24" i="140"/>
  <c r="Q24" i="140"/>
  <c r="B25" i="140"/>
  <c r="C25" i="140"/>
  <c r="F25" i="140"/>
  <c r="G25" i="140"/>
  <c r="H25" i="140"/>
  <c r="I25" i="140"/>
  <c r="J25" i="140"/>
  <c r="K25" i="140"/>
  <c r="S25" i="140" s="1"/>
  <c r="N25" i="140"/>
  <c r="W25" i="140" s="1"/>
  <c r="P25" i="140"/>
  <c r="Q25" i="140"/>
  <c r="B26" i="140"/>
  <c r="C26" i="140"/>
  <c r="F26" i="140"/>
  <c r="G65" i="140" s="1"/>
  <c r="I65" i="140" s="1"/>
  <c r="G26" i="140"/>
  <c r="T26" i="140" s="1"/>
  <c r="H26" i="140"/>
  <c r="I26" i="140"/>
  <c r="J26" i="140"/>
  <c r="K26" i="140"/>
  <c r="N26" i="140"/>
  <c r="W26" i="140" s="1"/>
  <c r="P26" i="140"/>
  <c r="Q26" i="140"/>
  <c r="U26" i="140"/>
  <c r="B27" i="140"/>
  <c r="C27" i="140"/>
  <c r="F27" i="140"/>
  <c r="G27" i="140"/>
  <c r="T27" i="140" s="1"/>
  <c r="H27" i="140"/>
  <c r="I27" i="140"/>
  <c r="J27" i="140"/>
  <c r="K27" i="140"/>
  <c r="N27" i="140"/>
  <c r="W27" i="140" s="1"/>
  <c r="P27" i="140"/>
  <c r="Q27" i="140"/>
  <c r="S27" i="140"/>
  <c r="U27" i="140"/>
  <c r="V27" i="140"/>
  <c r="B28" i="140"/>
  <c r="C28" i="140"/>
  <c r="F28" i="140"/>
  <c r="G28" i="140"/>
  <c r="S28" i="140" s="1"/>
  <c r="H28" i="140"/>
  <c r="I28" i="140"/>
  <c r="J28" i="140"/>
  <c r="K28" i="140"/>
  <c r="N28" i="140"/>
  <c r="P28" i="140"/>
  <c r="Q28" i="140"/>
  <c r="C29" i="140"/>
  <c r="F29" i="140"/>
  <c r="G29" i="140"/>
  <c r="H29" i="140"/>
  <c r="I29" i="140"/>
  <c r="N29" i="140"/>
  <c r="W28" i="140" s="1"/>
  <c r="O29" i="140"/>
  <c r="P29" i="140"/>
  <c r="Q29" i="140"/>
  <c r="B30" i="140"/>
  <c r="C30" i="140"/>
  <c r="F30" i="140"/>
  <c r="G30" i="140"/>
  <c r="S30" i="140" s="1"/>
  <c r="H30" i="140"/>
  <c r="I30" i="140"/>
  <c r="J30" i="140"/>
  <c r="K30" i="140"/>
  <c r="N30" i="140"/>
  <c r="W30" i="140" s="1"/>
  <c r="O30" i="140"/>
  <c r="Q30" i="140"/>
  <c r="V30" i="140"/>
  <c r="B31" i="140"/>
  <c r="C31" i="140"/>
  <c r="F31" i="140"/>
  <c r="G31" i="140"/>
  <c r="H31" i="140"/>
  <c r="I31" i="140"/>
  <c r="J31" i="140"/>
  <c r="K31" i="140"/>
  <c r="N31" i="140"/>
  <c r="W31" i="140" s="1"/>
  <c r="O31" i="140"/>
  <c r="P31" i="140"/>
  <c r="Q31" i="140"/>
  <c r="C32" i="140"/>
  <c r="F32" i="140"/>
  <c r="G68" i="140" s="1"/>
  <c r="G32" i="140"/>
  <c r="H32" i="140"/>
  <c r="H68" i="140" s="1"/>
  <c r="I32" i="140"/>
  <c r="N32" i="140"/>
  <c r="O32" i="140"/>
  <c r="P32" i="140"/>
  <c r="Q32" i="140"/>
  <c r="C33" i="140"/>
  <c r="F33" i="140"/>
  <c r="G33" i="140"/>
  <c r="H33" i="140"/>
  <c r="I33" i="140"/>
  <c r="J33" i="140"/>
  <c r="K33" i="140"/>
  <c r="N33" i="140"/>
  <c r="O33" i="140"/>
  <c r="P33" i="140"/>
  <c r="Q33" i="140"/>
  <c r="W33" i="140"/>
  <c r="C34" i="140"/>
  <c r="F34" i="140"/>
  <c r="G34" i="140"/>
  <c r="H34" i="140"/>
  <c r="I34" i="140"/>
  <c r="N34" i="140"/>
  <c r="O34" i="140"/>
  <c r="Q34" i="140"/>
  <c r="D58" i="140"/>
  <c r="E58" i="140"/>
  <c r="L58" i="140"/>
  <c r="M58" i="140"/>
  <c r="O58" i="140"/>
  <c r="R58" i="140"/>
  <c r="AA64" i="140"/>
  <c r="AB64" i="140"/>
  <c r="AA65" i="140"/>
  <c r="AB65" i="140"/>
  <c r="I66" i="140"/>
  <c r="AA66" i="140"/>
  <c r="AB66" i="140"/>
  <c r="AA67" i="140"/>
  <c r="AB67" i="140"/>
  <c r="F68" i="140"/>
  <c r="AA68" i="140"/>
  <c r="AB68" i="140"/>
  <c r="F69" i="140"/>
  <c r="AA69" i="140"/>
  <c r="AB69" i="140"/>
  <c r="AA70" i="140"/>
  <c r="AB70" i="140"/>
  <c r="D75" i="140"/>
  <c r="E75" i="140"/>
  <c r="F75" i="140"/>
  <c r="F77" i="140" s="1"/>
  <c r="G75" i="140"/>
  <c r="H75" i="140"/>
  <c r="I75" i="140"/>
  <c r="I77" i="140" s="1"/>
  <c r="J75" i="140"/>
  <c r="D76" i="140"/>
  <c r="E76" i="140"/>
  <c r="F76" i="140"/>
  <c r="G76" i="140"/>
  <c r="G77" i="140" s="1"/>
  <c r="H76" i="140"/>
  <c r="I76" i="140"/>
  <c r="J76" i="140"/>
  <c r="J86" i="140"/>
  <c r="P86" i="140" s="1"/>
  <c r="D87" i="140"/>
  <c r="D88" i="140" s="1"/>
  <c r="F87" i="140"/>
  <c r="F88" i="140" s="1"/>
  <c r="I87" i="140"/>
  <c r="I88" i="140" s="1"/>
  <c r="J87" i="140"/>
  <c r="E88" i="140"/>
  <c r="G88" i="140"/>
  <c r="H88" i="140"/>
  <c r="B4" i="139"/>
  <c r="C4" i="139"/>
  <c r="F4" i="139"/>
  <c r="G4" i="139"/>
  <c r="S4" i="139" s="1"/>
  <c r="H4" i="139"/>
  <c r="I4" i="139"/>
  <c r="J4" i="139"/>
  <c r="K4" i="139"/>
  <c r="N4" i="139"/>
  <c r="X4" i="139" s="1"/>
  <c r="Q4" i="139"/>
  <c r="B5" i="139"/>
  <c r="C5" i="139"/>
  <c r="D5" i="139"/>
  <c r="D60" i="139" s="1"/>
  <c r="F5" i="139"/>
  <c r="G5" i="139"/>
  <c r="S5" i="139" s="1"/>
  <c r="H5" i="139"/>
  <c r="V5" i="139" s="1"/>
  <c r="I5" i="139"/>
  <c r="J5" i="139"/>
  <c r="K5" i="139"/>
  <c r="N5" i="139"/>
  <c r="X5" i="139" s="1"/>
  <c r="Q5" i="139"/>
  <c r="U5" i="139"/>
  <c r="W5" i="139"/>
  <c r="C6" i="139"/>
  <c r="F6" i="139"/>
  <c r="G6" i="139"/>
  <c r="H6" i="139"/>
  <c r="I6" i="139"/>
  <c r="J6" i="139"/>
  <c r="K6" i="139"/>
  <c r="N6" i="139"/>
  <c r="Q6" i="139"/>
  <c r="X6" i="139"/>
  <c r="C7" i="139"/>
  <c r="F7" i="139"/>
  <c r="G7" i="139"/>
  <c r="H7" i="139"/>
  <c r="I7" i="139"/>
  <c r="J7" i="139"/>
  <c r="K7" i="139"/>
  <c r="N7" i="139"/>
  <c r="X7" i="139" s="1"/>
  <c r="Q7" i="139"/>
  <c r="U7" i="139"/>
  <c r="C8" i="139"/>
  <c r="F8" i="139"/>
  <c r="G8" i="139"/>
  <c r="H8" i="139"/>
  <c r="I8" i="139"/>
  <c r="N8" i="139"/>
  <c r="Q8" i="139"/>
  <c r="C9" i="139"/>
  <c r="F9" i="139"/>
  <c r="G9" i="139"/>
  <c r="H9" i="139"/>
  <c r="I9" i="139"/>
  <c r="J9" i="139"/>
  <c r="K9" i="139"/>
  <c r="O10" i="139" s="1"/>
  <c r="N9" i="139"/>
  <c r="X9" i="139" s="1"/>
  <c r="Q9" i="139"/>
  <c r="C10" i="139"/>
  <c r="F10" i="139"/>
  <c r="G10" i="139"/>
  <c r="H10" i="139"/>
  <c r="V10" i="139" s="1"/>
  <c r="I10" i="139"/>
  <c r="N10" i="139"/>
  <c r="Q10" i="139"/>
  <c r="C11" i="139"/>
  <c r="F11" i="139"/>
  <c r="G11" i="139"/>
  <c r="H11" i="139"/>
  <c r="I11" i="139"/>
  <c r="J11" i="139"/>
  <c r="K11" i="139"/>
  <c r="N11" i="139"/>
  <c r="V11" i="139" s="1"/>
  <c r="Q11" i="139"/>
  <c r="C12" i="139"/>
  <c r="F12" i="139"/>
  <c r="G12" i="139"/>
  <c r="H12" i="139"/>
  <c r="V12" i="139" s="1"/>
  <c r="I12" i="139"/>
  <c r="N12" i="139"/>
  <c r="O12" i="139"/>
  <c r="Q12" i="139"/>
  <c r="C13" i="139"/>
  <c r="F13" i="139"/>
  <c r="G13" i="139"/>
  <c r="S13" i="139" s="1"/>
  <c r="H13" i="139"/>
  <c r="V13" i="139" s="1"/>
  <c r="I13" i="139"/>
  <c r="J13" i="139"/>
  <c r="K13" i="139"/>
  <c r="N13" i="139"/>
  <c r="Q13" i="139"/>
  <c r="X13" i="139"/>
  <c r="C14" i="139"/>
  <c r="F14" i="139"/>
  <c r="G14" i="139"/>
  <c r="T14" i="139" s="1"/>
  <c r="H14" i="139"/>
  <c r="I14" i="139"/>
  <c r="J14" i="139"/>
  <c r="K14" i="139"/>
  <c r="N14" i="139"/>
  <c r="Q14" i="139"/>
  <c r="C15" i="139"/>
  <c r="F15" i="139"/>
  <c r="G15" i="139"/>
  <c r="H15" i="139"/>
  <c r="I15" i="139"/>
  <c r="N15" i="139"/>
  <c r="O15" i="139"/>
  <c r="Q15" i="139"/>
  <c r="C16" i="139"/>
  <c r="F16" i="139"/>
  <c r="G16" i="139"/>
  <c r="H16" i="139"/>
  <c r="I16" i="139"/>
  <c r="J16" i="139"/>
  <c r="K16" i="139"/>
  <c r="U16" i="139" s="1"/>
  <c r="N16" i="139"/>
  <c r="X16" i="139" s="1"/>
  <c r="Q16" i="139"/>
  <c r="S16" i="139"/>
  <c r="T16" i="139"/>
  <c r="W16" i="139"/>
  <c r="C17" i="139"/>
  <c r="F17" i="139"/>
  <c r="G17" i="139"/>
  <c r="H17" i="139"/>
  <c r="V17" i="139" s="1"/>
  <c r="I17" i="139"/>
  <c r="J17" i="139"/>
  <c r="K17" i="139"/>
  <c r="N17" i="139"/>
  <c r="Q17" i="139"/>
  <c r="X17" i="139"/>
  <c r="C18" i="139"/>
  <c r="F18" i="139"/>
  <c r="G18" i="139"/>
  <c r="H18" i="139"/>
  <c r="I18" i="139"/>
  <c r="N18" i="139"/>
  <c r="O18" i="139"/>
  <c r="Q18" i="139"/>
  <c r="C19" i="139"/>
  <c r="F19" i="139"/>
  <c r="G19" i="139"/>
  <c r="U19" i="139" s="1"/>
  <c r="H19" i="139"/>
  <c r="V19" i="139" s="1"/>
  <c r="I19" i="139"/>
  <c r="J19" i="139"/>
  <c r="K19" i="139"/>
  <c r="N19" i="139"/>
  <c r="X19" i="139" s="1"/>
  <c r="Q19" i="139"/>
  <c r="S19" i="139"/>
  <c r="W19" i="139"/>
  <c r="C20" i="139"/>
  <c r="F20" i="139"/>
  <c r="G20" i="139"/>
  <c r="H20" i="139"/>
  <c r="I20" i="139"/>
  <c r="J20" i="139"/>
  <c r="K20" i="139"/>
  <c r="N20" i="139"/>
  <c r="Q20" i="139"/>
  <c r="X20" i="139"/>
  <c r="C21" i="139"/>
  <c r="F21" i="139"/>
  <c r="G21" i="139"/>
  <c r="S21" i="139" s="1"/>
  <c r="H21" i="139"/>
  <c r="I21" i="139"/>
  <c r="J21" i="139"/>
  <c r="K21" i="139"/>
  <c r="O22" i="139" s="1"/>
  <c r="N21" i="139"/>
  <c r="X21" i="139" s="1"/>
  <c r="Q21" i="139"/>
  <c r="C22" i="139"/>
  <c r="F22" i="139"/>
  <c r="G69" i="139" s="1"/>
  <c r="I69" i="139" s="1"/>
  <c r="G22" i="139"/>
  <c r="H22" i="139"/>
  <c r="H69" i="139" s="1"/>
  <c r="I22" i="139"/>
  <c r="N22" i="139"/>
  <c r="Q22" i="139"/>
  <c r="C23" i="139"/>
  <c r="F23" i="139"/>
  <c r="G23" i="139"/>
  <c r="H23" i="139"/>
  <c r="I23" i="139"/>
  <c r="J23" i="139"/>
  <c r="K23" i="139"/>
  <c r="N23" i="139"/>
  <c r="X23" i="139" s="1"/>
  <c r="Q23" i="139"/>
  <c r="C24" i="139"/>
  <c r="F24" i="139"/>
  <c r="G24" i="139"/>
  <c r="H24" i="139"/>
  <c r="I24" i="139"/>
  <c r="J24" i="139"/>
  <c r="K24" i="139"/>
  <c r="S24" i="139" s="1"/>
  <c r="N24" i="139"/>
  <c r="X24" i="139" s="1"/>
  <c r="Q24" i="139"/>
  <c r="V24" i="139"/>
  <c r="C25" i="139"/>
  <c r="F25" i="139"/>
  <c r="G25" i="139"/>
  <c r="H25" i="139"/>
  <c r="V25" i="139" s="1"/>
  <c r="I25" i="139"/>
  <c r="J25" i="139"/>
  <c r="K25" i="139"/>
  <c r="O26" i="139" s="1"/>
  <c r="N25" i="139"/>
  <c r="Q25" i="139"/>
  <c r="C26" i="139"/>
  <c r="F26" i="139"/>
  <c r="G26" i="139"/>
  <c r="H26" i="139"/>
  <c r="I26" i="139"/>
  <c r="N26" i="139"/>
  <c r="X25" i="139" s="1"/>
  <c r="Q26" i="139"/>
  <c r="C27" i="139"/>
  <c r="F27" i="139"/>
  <c r="G27" i="139"/>
  <c r="H27" i="139"/>
  <c r="I27" i="139"/>
  <c r="J27" i="139"/>
  <c r="K27" i="139"/>
  <c r="O28" i="139" s="1"/>
  <c r="N27" i="139"/>
  <c r="Q27" i="139"/>
  <c r="V27" i="139"/>
  <c r="C28" i="139"/>
  <c r="F28" i="139"/>
  <c r="G28" i="139"/>
  <c r="H28" i="139"/>
  <c r="I28" i="139"/>
  <c r="N28" i="139"/>
  <c r="X27" i="139" s="1"/>
  <c r="Q28" i="139"/>
  <c r="C29" i="139"/>
  <c r="F29" i="139"/>
  <c r="G29" i="139"/>
  <c r="W29" i="139" s="1"/>
  <c r="H29" i="139"/>
  <c r="I29" i="139"/>
  <c r="J29" i="139"/>
  <c r="K29" i="139"/>
  <c r="N29" i="139"/>
  <c r="Q29" i="139"/>
  <c r="C30" i="139"/>
  <c r="F30" i="139"/>
  <c r="G30" i="139"/>
  <c r="H30" i="139"/>
  <c r="I30" i="139"/>
  <c r="N30" i="139"/>
  <c r="Q30" i="139"/>
  <c r="C31" i="139"/>
  <c r="F31" i="139"/>
  <c r="G31" i="139"/>
  <c r="H31" i="139"/>
  <c r="I31" i="139"/>
  <c r="N31" i="139"/>
  <c r="O31" i="139"/>
  <c r="Q31" i="139"/>
  <c r="C32" i="139"/>
  <c r="F32" i="139"/>
  <c r="G32" i="139"/>
  <c r="H32" i="139"/>
  <c r="I32" i="139"/>
  <c r="N32" i="139"/>
  <c r="X29" i="139" s="1"/>
  <c r="Q32" i="139"/>
  <c r="C33" i="139"/>
  <c r="F33" i="139"/>
  <c r="G33" i="139"/>
  <c r="W33" i="139" s="1"/>
  <c r="H33" i="139"/>
  <c r="I33" i="139"/>
  <c r="J33" i="139"/>
  <c r="K33" i="139"/>
  <c r="S33" i="139" s="1"/>
  <c r="N33" i="139"/>
  <c r="Q33" i="139"/>
  <c r="U33" i="139"/>
  <c r="C34" i="139"/>
  <c r="F34" i="139"/>
  <c r="G34" i="139"/>
  <c r="H34" i="139"/>
  <c r="I34" i="139"/>
  <c r="N34" i="139"/>
  <c r="O34" i="139"/>
  <c r="Q34" i="139"/>
  <c r="C35" i="139"/>
  <c r="F35" i="139"/>
  <c r="G35" i="139"/>
  <c r="H35" i="139"/>
  <c r="V35" i="139" s="1"/>
  <c r="I35" i="139"/>
  <c r="J35" i="139"/>
  <c r="K35" i="139"/>
  <c r="N35" i="139"/>
  <c r="X35" i="139" s="1"/>
  <c r="Q35" i="139"/>
  <c r="E60" i="139"/>
  <c r="L60" i="139"/>
  <c r="M60" i="139"/>
  <c r="P60" i="139"/>
  <c r="R60" i="139"/>
  <c r="AA66" i="139"/>
  <c r="AB66" i="139"/>
  <c r="AC66" i="139"/>
  <c r="AA67" i="139"/>
  <c r="AB67" i="139"/>
  <c r="AC67" i="139"/>
  <c r="I68" i="139"/>
  <c r="AB68" i="139"/>
  <c r="AC68" i="139"/>
  <c r="E69" i="139"/>
  <c r="J69" i="139" s="1"/>
  <c r="F69" i="139"/>
  <c r="AB69" i="139"/>
  <c r="AC69" i="139"/>
  <c r="AB70" i="139"/>
  <c r="AC70" i="139"/>
  <c r="I71" i="139"/>
  <c r="AB71" i="139"/>
  <c r="AC71" i="139"/>
  <c r="AB72" i="139"/>
  <c r="AC72" i="139"/>
  <c r="B4" i="137"/>
  <c r="C4" i="137"/>
  <c r="F4" i="137"/>
  <c r="G4" i="137"/>
  <c r="H4" i="137"/>
  <c r="I4" i="137"/>
  <c r="J4" i="137"/>
  <c r="K4" i="137"/>
  <c r="N4" i="137"/>
  <c r="X4" i="137" s="1"/>
  <c r="Q4" i="137"/>
  <c r="B5" i="137"/>
  <c r="C5" i="137"/>
  <c r="F5" i="137"/>
  <c r="G5" i="137"/>
  <c r="H5" i="137"/>
  <c r="I5" i="137"/>
  <c r="J5" i="137"/>
  <c r="K5" i="137"/>
  <c r="W5" i="137" s="1"/>
  <c r="N5" i="137"/>
  <c r="Q5" i="137"/>
  <c r="C6" i="137"/>
  <c r="F6" i="137"/>
  <c r="G6" i="137"/>
  <c r="H6" i="137"/>
  <c r="I6" i="137"/>
  <c r="N6" i="137"/>
  <c r="Q6" i="137"/>
  <c r="B7" i="137"/>
  <c r="C7" i="137"/>
  <c r="F7" i="137"/>
  <c r="G7" i="137"/>
  <c r="H7" i="137"/>
  <c r="I7" i="137"/>
  <c r="J7" i="137"/>
  <c r="K7" i="137"/>
  <c r="O8" i="137" s="1"/>
  <c r="N7" i="137"/>
  <c r="Q7" i="137"/>
  <c r="C8" i="137"/>
  <c r="F8" i="137"/>
  <c r="G8" i="137"/>
  <c r="E70" i="137" s="1"/>
  <c r="H8" i="137"/>
  <c r="H70" i="137" s="1"/>
  <c r="I70" i="137" s="1"/>
  <c r="I8" i="137"/>
  <c r="N8" i="137"/>
  <c r="Q8" i="137"/>
  <c r="C9" i="137"/>
  <c r="F9" i="137"/>
  <c r="G9" i="137"/>
  <c r="H9" i="137"/>
  <c r="I9" i="137"/>
  <c r="J9" i="137"/>
  <c r="K9" i="137"/>
  <c r="F69" i="137" s="1"/>
  <c r="N9" i="137"/>
  <c r="X9" i="137" s="1"/>
  <c r="Q9" i="137"/>
  <c r="C10" i="137"/>
  <c r="F10" i="137"/>
  <c r="G10" i="137"/>
  <c r="H10" i="137"/>
  <c r="I10" i="137"/>
  <c r="J10" i="137"/>
  <c r="K10" i="137"/>
  <c r="N10" i="137"/>
  <c r="Q10" i="137"/>
  <c r="C11" i="137"/>
  <c r="F11" i="137"/>
  <c r="G11" i="137"/>
  <c r="T10" i="137" s="1"/>
  <c r="H11" i="137"/>
  <c r="I11" i="137"/>
  <c r="N11" i="137"/>
  <c r="Q11" i="137"/>
  <c r="C12" i="137"/>
  <c r="F12" i="137"/>
  <c r="G12" i="137"/>
  <c r="H12" i="137"/>
  <c r="H71" i="137" s="1"/>
  <c r="I12" i="137"/>
  <c r="N12" i="137"/>
  <c r="O12" i="137"/>
  <c r="Q12" i="137"/>
  <c r="C13" i="137"/>
  <c r="F13" i="137"/>
  <c r="G13" i="137"/>
  <c r="H13" i="137"/>
  <c r="I13" i="137"/>
  <c r="N13" i="137"/>
  <c r="Q13" i="137"/>
  <c r="C14" i="137"/>
  <c r="F14" i="137"/>
  <c r="G14" i="137"/>
  <c r="S14" i="137" s="1"/>
  <c r="H14" i="137"/>
  <c r="I14" i="137"/>
  <c r="J14" i="137"/>
  <c r="K14" i="137"/>
  <c r="N14" i="137"/>
  <c r="Q14" i="137"/>
  <c r="U14" i="137"/>
  <c r="X14" i="137"/>
  <c r="C15" i="137"/>
  <c r="F15" i="137"/>
  <c r="G15" i="137"/>
  <c r="H15" i="137"/>
  <c r="I15" i="137"/>
  <c r="J15" i="137"/>
  <c r="K15" i="137"/>
  <c r="N15" i="137"/>
  <c r="Q15" i="137"/>
  <c r="X15" i="137"/>
  <c r="C16" i="137"/>
  <c r="F16" i="137"/>
  <c r="G16" i="137"/>
  <c r="H16" i="137"/>
  <c r="I16" i="137"/>
  <c r="J16" i="137"/>
  <c r="K16" i="137"/>
  <c r="N16" i="137"/>
  <c r="X16" i="137" s="1"/>
  <c r="Q16" i="137"/>
  <c r="S16" i="137"/>
  <c r="C17" i="137"/>
  <c r="F17" i="137"/>
  <c r="G17" i="137"/>
  <c r="H17" i="137"/>
  <c r="I17" i="137"/>
  <c r="J17" i="137"/>
  <c r="K17" i="137"/>
  <c r="N17" i="137"/>
  <c r="Q17" i="137"/>
  <c r="X17" i="137"/>
  <c r="C18" i="137"/>
  <c r="F18" i="137"/>
  <c r="G18" i="137"/>
  <c r="U18" i="137" s="1"/>
  <c r="H18" i="137"/>
  <c r="I18" i="137"/>
  <c r="J18" i="137"/>
  <c r="K18" i="137"/>
  <c r="N18" i="137"/>
  <c r="X18" i="137" s="1"/>
  <c r="Q18" i="137"/>
  <c r="S18" i="137"/>
  <c r="T18" i="137"/>
  <c r="C19" i="137"/>
  <c r="F19" i="137"/>
  <c r="G19" i="137"/>
  <c r="H19" i="137"/>
  <c r="I19" i="137"/>
  <c r="J19" i="137"/>
  <c r="K19" i="137"/>
  <c r="N19" i="137"/>
  <c r="X19" i="137" s="1"/>
  <c r="Q19" i="137"/>
  <c r="C20" i="137"/>
  <c r="F20" i="137"/>
  <c r="G20" i="137"/>
  <c r="H20" i="137"/>
  <c r="I20" i="137"/>
  <c r="J20" i="137"/>
  <c r="K20" i="137"/>
  <c r="N20" i="137"/>
  <c r="X20" i="137" s="1"/>
  <c r="Q20" i="137"/>
  <c r="C21" i="137"/>
  <c r="G21" i="137"/>
  <c r="C22" i="137"/>
  <c r="F22" i="137"/>
  <c r="G22" i="137"/>
  <c r="H22" i="137"/>
  <c r="I22" i="137"/>
  <c r="J22" i="137"/>
  <c r="K22" i="137"/>
  <c r="N22" i="137"/>
  <c r="Q22" i="137"/>
  <c r="C23" i="137"/>
  <c r="G23" i="137"/>
  <c r="C24" i="137"/>
  <c r="F24" i="137"/>
  <c r="G24" i="137"/>
  <c r="H24" i="137"/>
  <c r="I24" i="137"/>
  <c r="N24" i="137"/>
  <c r="Q24" i="137"/>
  <c r="C25" i="137"/>
  <c r="F25" i="137"/>
  <c r="G67" i="137" s="1"/>
  <c r="G25" i="137"/>
  <c r="H25" i="137"/>
  <c r="H67" i="137" s="1"/>
  <c r="I25" i="137"/>
  <c r="J25" i="137"/>
  <c r="K25" i="137"/>
  <c r="N25" i="137"/>
  <c r="X25" i="137" s="1"/>
  <c r="Q25" i="137"/>
  <c r="C26" i="137"/>
  <c r="F26" i="137"/>
  <c r="G26" i="137"/>
  <c r="T26" i="137" s="1"/>
  <c r="H26" i="137"/>
  <c r="I26" i="137"/>
  <c r="J26" i="137"/>
  <c r="K26" i="137"/>
  <c r="S26" i="137" s="1"/>
  <c r="N26" i="137"/>
  <c r="X26" i="137" s="1"/>
  <c r="Q26" i="137"/>
  <c r="C27" i="137"/>
  <c r="F27" i="137"/>
  <c r="G27" i="137"/>
  <c r="H27" i="137"/>
  <c r="I27" i="137"/>
  <c r="J27" i="137"/>
  <c r="K27" i="137"/>
  <c r="N27" i="137"/>
  <c r="X27" i="137" s="1"/>
  <c r="Q27" i="137"/>
  <c r="C28" i="137"/>
  <c r="F28" i="137"/>
  <c r="G28" i="137"/>
  <c r="H28" i="137"/>
  <c r="I28" i="137"/>
  <c r="J28" i="137"/>
  <c r="K28" i="137"/>
  <c r="N28" i="137"/>
  <c r="X28" i="137" s="1"/>
  <c r="P28" i="137"/>
  <c r="Q28" i="137"/>
  <c r="C29" i="137"/>
  <c r="F29" i="137"/>
  <c r="G29" i="137"/>
  <c r="S29" i="137" s="1"/>
  <c r="H29" i="137"/>
  <c r="I29" i="137"/>
  <c r="J29" i="137"/>
  <c r="K29" i="137"/>
  <c r="O30" i="137" s="1"/>
  <c r="N29" i="137"/>
  <c r="Q29" i="137"/>
  <c r="X29" i="137"/>
  <c r="C30" i="137"/>
  <c r="F30" i="137"/>
  <c r="G30" i="137"/>
  <c r="H30" i="137"/>
  <c r="I30" i="137"/>
  <c r="N30" i="137"/>
  <c r="Q30" i="137"/>
  <c r="E60" i="137"/>
  <c r="L60" i="137"/>
  <c r="M60" i="137"/>
  <c r="P60" i="137"/>
  <c r="R60" i="137"/>
  <c r="AA66" i="137"/>
  <c r="AB66" i="137"/>
  <c r="AC66" i="137"/>
  <c r="AB67" i="137"/>
  <c r="AC67" i="137"/>
  <c r="I68" i="137"/>
  <c r="AA68" i="137"/>
  <c r="AB68" i="137"/>
  <c r="AC68" i="137"/>
  <c r="AB69" i="137"/>
  <c r="AC69" i="137"/>
  <c r="G70" i="137"/>
  <c r="AB70" i="137"/>
  <c r="AC70" i="137"/>
  <c r="AB71" i="137"/>
  <c r="AC71" i="137"/>
  <c r="AB72" i="137"/>
  <c r="AC72" i="137"/>
  <c r="F4" i="136"/>
  <c r="G4" i="136"/>
  <c r="R4" i="136" s="1"/>
  <c r="H4" i="136"/>
  <c r="I4" i="136"/>
  <c r="J4" i="136"/>
  <c r="K4" i="136"/>
  <c r="M4" i="136"/>
  <c r="W4" i="136" s="1"/>
  <c r="O4" i="136"/>
  <c r="P4" i="136"/>
  <c r="F5" i="136"/>
  <c r="G70" i="136" s="1"/>
  <c r="G5" i="136"/>
  <c r="H5" i="136"/>
  <c r="I5" i="136"/>
  <c r="J5" i="136"/>
  <c r="K5" i="136"/>
  <c r="M5" i="136"/>
  <c r="O5" i="136"/>
  <c r="P5" i="136"/>
  <c r="F6" i="136"/>
  <c r="G6" i="136"/>
  <c r="H6" i="136"/>
  <c r="I6" i="136"/>
  <c r="M6" i="136"/>
  <c r="O6" i="136"/>
  <c r="P6" i="136"/>
  <c r="F7" i="136"/>
  <c r="F60" i="136" s="1"/>
  <c r="G7" i="136"/>
  <c r="H7" i="136"/>
  <c r="I7" i="136"/>
  <c r="J7" i="136"/>
  <c r="K7" i="136"/>
  <c r="T7" i="136" s="1"/>
  <c r="M7" i="136"/>
  <c r="W7" i="136" s="1"/>
  <c r="P7" i="136"/>
  <c r="F8" i="136"/>
  <c r="G8" i="136"/>
  <c r="R8" i="136" s="1"/>
  <c r="H8" i="136"/>
  <c r="I8" i="136"/>
  <c r="J8" i="136"/>
  <c r="K8" i="136"/>
  <c r="M8" i="136"/>
  <c r="W8" i="136" s="1"/>
  <c r="P8" i="136"/>
  <c r="T8" i="136"/>
  <c r="F9" i="136"/>
  <c r="G9" i="136"/>
  <c r="R9" i="136" s="1"/>
  <c r="H9" i="136"/>
  <c r="I9" i="136"/>
  <c r="J9" i="136"/>
  <c r="K9" i="136"/>
  <c r="M9" i="136"/>
  <c r="W9" i="136" s="1"/>
  <c r="P9" i="136"/>
  <c r="S9" i="136"/>
  <c r="V9" i="136"/>
  <c r="F10" i="136"/>
  <c r="G10" i="136"/>
  <c r="H10" i="136"/>
  <c r="I10" i="136"/>
  <c r="J10" i="136"/>
  <c r="K10" i="136"/>
  <c r="N11" i="136" s="1"/>
  <c r="M10" i="136"/>
  <c r="P10" i="136"/>
  <c r="F11" i="136"/>
  <c r="G11" i="136"/>
  <c r="H11" i="136"/>
  <c r="I11" i="136"/>
  <c r="M11" i="136"/>
  <c r="P11" i="136"/>
  <c r="F12" i="136"/>
  <c r="G12" i="136"/>
  <c r="H12" i="136"/>
  <c r="I12" i="136"/>
  <c r="J12" i="136"/>
  <c r="K12" i="136"/>
  <c r="M12" i="136"/>
  <c r="W12" i="136" s="1"/>
  <c r="P12" i="136"/>
  <c r="G13" i="136"/>
  <c r="F14" i="136"/>
  <c r="G14" i="136"/>
  <c r="T14" i="136" s="1"/>
  <c r="H14" i="136"/>
  <c r="H66" i="136" s="1"/>
  <c r="I14" i="136"/>
  <c r="J14" i="136"/>
  <c r="K14" i="136"/>
  <c r="M14" i="136"/>
  <c r="W14" i="136" s="1"/>
  <c r="P14" i="136"/>
  <c r="F15" i="136"/>
  <c r="G15" i="136"/>
  <c r="T15" i="136" s="1"/>
  <c r="H15" i="136"/>
  <c r="I15" i="136"/>
  <c r="J15" i="136"/>
  <c r="K15" i="136"/>
  <c r="R15" i="136" s="1"/>
  <c r="M15" i="136"/>
  <c r="W15" i="136" s="1"/>
  <c r="P15" i="136"/>
  <c r="V15" i="136"/>
  <c r="F16" i="136"/>
  <c r="G16" i="136"/>
  <c r="H16" i="136"/>
  <c r="I16" i="136"/>
  <c r="J16" i="136"/>
  <c r="K16" i="136"/>
  <c r="M16" i="136"/>
  <c r="P16" i="136"/>
  <c r="F17" i="136"/>
  <c r="G17" i="136"/>
  <c r="H17" i="136"/>
  <c r="I17" i="136"/>
  <c r="M17" i="136"/>
  <c r="W16" i="136" s="1"/>
  <c r="P17" i="136"/>
  <c r="F18" i="136"/>
  <c r="G18" i="136"/>
  <c r="H18" i="136"/>
  <c r="I18" i="136"/>
  <c r="J18" i="136"/>
  <c r="K18" i="136"/>
  <c r="M18" i="136"/>
  <c r="W18" i="136" s="1"/>
  <c r="P18" i="136"/>
  <c r="F19" i="136"/>
  <c r="G19" i="136"/>
  <c r="R19" i="136" s="1"/>
  <c r="H19" i="136"/>
  <c r="I19" i="136"/>
  <c r="J19" i="136"/>
  <c r="K19" i="136"/>
  <c r="N20" i="136" s="1"/>
  <c r="M19" i="136"/>
  <c r="P19" i="136"/>
  <c r="T19" i="136"/>
  <c r="W19" i="136"/>
  <c r="F20" i="136"/>
  <c r="G20" i="136"/>
  <c r="H20" i="136"/>
  <c r="I20" i="136"/>
  <c r="M20" i="136"/>
  <c r="P20" i="136"/>
  <c r="F21" i="136"/>
  <c r="G21" i="136"/>
  <c r="H21" i="136"/>
  <c r="I21" i="136"/>
  <c r="J21" i="136"/>
  <c r="K21" i="136"/>
  <c r="S21" i="136" s="1"/>
  <c r="M21" i="136"/>
  <c r="P21" i="136"/>
  <c r="W21" i="136"/>
  <c r="F22" i="136"/>
  <c r="G22" i="136"/>
  <c r="S22" i="136" s="1"/>
  <c r="H22" i="136"/>
  <c r="I22" i="136"/>
  <c r="J22" i="136"/>
  <c r="K22" i="136"/>
  <c r="V22" i="136" s="1"/>
  <c r="M22" i="136"/>
  <c r="P22" i="136"/>
  <c r="W22" i="136"/>
  <c r="F23" i="136"/>
  <c r="G23" i="136"/>
  <c r="H23" i="136"/>
  <c r="I23" i="136"/>
  <c r="J23" i="136"/>
  <c r="K23" i="136"/>
  <c r="N24" i="136" s="1"/>
  <c r="M23" i="136"/>
  <c r="W23" i="136" s="1"/>
  <c r="P23" i="136"/>
  <c r="F24" i="136"/>
  <c r="G24" i="136"/>
  <c r="H24" i="136"/>
  <c r="I24" i="136"/>
  <c r="M24" i="136"/>
  <c r="P24" i="136"/>
  <c r="F25" i="136"/>
  <c r="G25" i="136"/>
  <c r="H25" i="136"/>
  <c r="I25" i="136"/>
  <c r="J25" i="136"/>
  <c r="K25" i="136"/>
  <c r="M25" i="136"/>
  <c r="W25" i="136" s="1"/>
  <c r="P25" i="136"/>
  <c r="F26" i="136"/>
  <c r="G26" i="136"/>
  <c r="H26" i="136"/>
  <c r="I26" i="136"/>
  <c r="J26" i="136"/>
  <c r="K26" i="136"/>
  <c r="M26" i="136"/>
  <c r="W26" i="136" s="1"/>
  <c r="P26" i="136"/>
  <c r="F27" i="136"/>
  <c r="G27" i="136"/>
  <c r="T27" i="136" s="1"/>
  <c r="H27" i="136"/>
  <c r="I27" i="136"/>
  <c r="J27" i="136"/>
  <c r="K27" i="136"/>
  <c r="M27" i="136"/>
  <c r="W27" i="136" s="1"/>
  <c r="P27" i="136"/>
  <c r="R27" i="136"/>
  <c r="S27" i="136"/>
  <c r="V27" i="136"/>
  <c r="D60" i="136"/>
  <c r="E60" i="136"/>
  <c r="L60" i="136"/>
  <c r="Q60" i="136"/>
  <c r="AA66" i="136"/>
  <c r="AB66" i="136"/>
  <c r="AA67" i="136"/>
  <c r="AB67" i="136"/>
  <c r="I68" i="136"/>
  <c r="Z68" i="136"/>
  <c r="AA68" i="136"/>
  <c r="AB68" i="136"/>
  <c r="AA69" i="136"/>
  <c r="AB69" i="136"/>
  <c r="F70" i="136"/>
  <c r="AA70" i="136"/>
  <c r="AB70" i="136"/>
  <c r="I71" i="136"/>
  <c r="AA71" i="136"/>
  <c r="AB71" i="136"/>
  <c r="AA72" i="136"/>
  <c r="AB72" i="136"/>
  <c r="F4" i="135"/>
  <c r="G4" i="135"/>
  <c r="S4" i="135" s="1"/>
  <c r="H4" i="135"/>
  <c r="I4" i="135"/>
  <c r="J4" i="135"/>
  <c r="K4" i="135"/>
  <c r="M4" i="135"/>
  <c r="U4" i="135" s="1"/>
  <c r="O4" i="135"/>
  <c r="P4" i="135"/>
  <c r="F5" i="135"/>
  <c r="G69" i="135" s="1"/>
  <c r="I69" i="135" s="1"/>
  <c r="G5" i="135"/>
  <c r="H5" i="135"/>
  <c r="H69" i="135" s="1"/>
  <c r="I5" i="135"/>
  <c r="J5" i="135"/>
  <c r="K5" i="135"/>
  <c r="M5" i="135"/>
  <c r="O5" i="135"/>
  <c r="P5" i="135"/>
  <c r="F6" i="135"/>
  <c r="G6" i="135"/>
  <c r="H6" i="135"/>
  <c r="U6" i="135" s="1"/>
  <c r="I6" i="135"/>
  <c r="J6" i="135"/>
  <c r="K6" i="135"/>
  <c r="N7" i="135" s="1"/>
  <c r="M6" i="135"/>
  <c r="W6" i="135" s="1"/>
  <c r="O6" i="135"/>
  <c r="P6" i="135"/>
  <c r="F7" i="135"/>
  <c r="G7" i="135"/>
  <c r="V6" i="135" s="1"/>
  <c r="H7" i="135"/>
  <c r="I7" i="135"/>
  <c r="M7" i="135"/>
  <c r="O7" i="135"/>
  <c r="P7" i="135"/>
  <c r="F8" i="135"/>
  <c r="G8" i="135"/>
  <c r="T8" i="135" s="1"/>
  <c r="H8" i="135"/>
  <c r="I8" i="135"/>
  <c r="J8" i="135"/>
  <c r="K8" i="135"/>
  <c r="M8" i="135"/>
  <c r="W8" i="135" s="1"/>
  <c r="P8" i="135"/>
  <c r="R8" i="135"/>
  <c r="S8" i="135"/>
  <c r="F9" i="135"/>
  <c r="G9" i="135"/>
  <c r="H9" i="135"/>
  <c r="I9" i="135"/>
  <c r="J9" i="135"/>
  <c r="K9" i="135"/>
  <c r="N10" i="135" s="1"/>
  <c r="M9" i="135"/>
  <c r="W9" i="135" s="1"/>
  <c r="P9" i="135"/>
  <c r="F10" i="135"/>
  <c r="G10" i="135"/>
  <c r="H10" i="135"/>
  <c r="I10" i="135"/>
  <c r="M10" i="135"/>
  <c r="P10" i="135"/>
  <c r="F11" i="135"/>
  <c r="G11" i="135"/>
  <c r="S11" i="135" s="1"/>
  <c r="H11" i="135"/>
  <c r="I11" i="135"/>
  <c r="J11" i="135"/>
  <c r="K11" i="135"/>
  <c r="M11" i="135"/>
  <c r="P11" i="135"/>
  <c r="R11" i="135"/>
  <c r="T11" i="135"/>
  <c r="V11" i="135"/>
  <c r="W11" i="135"/>
  <c r="F12" i="135"/>
  <c r="G12" i="135"/>
  <c r="H12" i="135"/>
  <c r="I12" i="135"/>
  <c r="J12" i="135"/>
  <c r="K12" i="135"/>
  <c r="M12" i="135"/>
  <c r="P12" i="135"/>
  <c r="W12" i="135"/>
  <c r="F13" i="135"/>
  <c r="G13" i="135"/>
  <c r="R13" i="135" s="1"/>
  <c r="H13" i="135"/>
  <c r="I13" i="135"/>
  <c r="J13" i="135"/>
  <c r="K13" i="135"/>
  <c r="N14" i="135" s="1"/>
  <c r="M13" i="135"/>
  <c r="W13" i="135" s="1"/>
  <c r="P13" i="135"/>
  <c r="F14" i="135"/>
  <c r="G14" i="135"/>
  <c r="H14" i="135"/>
  <c r="I14" i="135"/>
  <c r="M14" i="135"/>
  <c r="P14" i="135"/>
  <c r="F15" i="135"/>
  <c r="G15" i="135"/>
  <c r="H15" i="135"/>
  <c r="I15" i="135"/>
  <c r="J15" i="135"/>
  <c r="K15" i="135"/>
  <c r="N18" i="135" s="1"/>
  <c r="M15" i="135"/>
  <c r="P15" i="135"/>
  <c r="G16" i="135"/>
  <c r="F17" i="135"/>
  <c r="G17" i="135"/>
  <c r="H17" i="135"/>
  <c r="I17" i="135"/>
  <c r="M17" i="135"/>
  <c r="N17" i="135"/>
  <c r="P17" i="135"/>
  <c r="F18" i="135"/>
  <c r="G18" i="135"/>
  <c r="H18" i="135"/>
  <c r="I18" i="135"/>
  <c r="M18" i="135"/>
  <c r="P18" i="135"/>
  <c r="F19" i="135"/>
  <c r="G19" i="135"/>
  <c r="R19" i="135" s="1"/>
  <c r="H19" i="135"/>
  <c r="I19" i="135"/>
  <c r="J19" i="135"/>
  <c r="K19" i="135"/>
  <c r="M19" i="135"/>
  <c r="W19" i="135" s="1"/>
  <c r="P19" i="135"/>
  <c r="S19" i="135"/>
  <c r="V19" i="135"/>
  <c r="F20" i="135"/>
  <c r="G20" i="135"/>
  <c r="H20" i="135"/>
  <c r="I20" i="135"/>
  <c r="J20" i="135"/>
  <c r="K20" i="135"/>
  <c r="M20" i="135"/>
  <c r="P20" i="135"/>
  <c r="W20" i="135"/>
  <c r="F21" i="135"/>
  <c r="G21" i="135"/>
  <c r="T21" i="135" s="1"/>
  <c r="H21" i="135"/>
  <c r="I21" i="135"/>
  <c r="J21" i="135"/>
  <c r="K21" i="135"/>
  <c r="M21" i="135"/>
  <c r="W21" i="135" s="1"/>
  <c r="P21" i="135"/>
  <c r="F22" i="135"/>
  <c r="G22" i="135"/>
  <c r="H22" i="135"/>
  <c r="U19" i="135" s="1"/>
  <c r="I22" i="135"/>
  <c r="J22" i="135"/>
  <c r="K22" i="135"/>
  <c r="N24" i="135" s="1"/>
  <c r="M22" i="135"/>
  <c r="P22" i="135"/>
  <c r="F23" i="135"/>
  <c r="G23" i="135"/>
  <c r="H23" i="135"/>
  <c r="I23" i="135"/>
  <c r="M23" i="135"/>
  <c r="W22" i="135" s="1"/>
  <c r="P23" i="135"/>
  <c r="F24" i="135"/>
  <c r="G24" i="135"/>
  <c r="H24" i="135"/>
  <c r="I24" i="135"/>
  <c r="M24" i="135"/>
  <c r="P24" i="135"/>
  <c r="F25" i="135"/>
  <c r="G25" i="135"/>
  <c r="H25" i="135"/>
  <c r="H71" i="135" s="1"/>
  <c r="I25" i="135"/>
  <c r="J25" i="135"/>
  <c r="K25" i="135"/>
  <c r="N26" i="135" s="1"/>
  <c r="M25" i="135"/>
  <c r="P25" i="135"/>
  <c r="F26" i="135"/>
  <c r="G26" i="135"/>
  <c r="R25" i="135" s="1"/>
  <c r="H26" i="135"/>
  <c r="I26" i="135"/>
  <c r="M26" i="135"/>
  <c r="P26" i="135"/>
  <c r="F27" i="135"/>
  <c r="G27" i="135"/>
  <c r="R27" i="135" s="1"/>
  <c r="H27" i="135"/>
  <c r="I27" i="135"/>
  <c r="J27" i="135"/>
  <c r="K27" i="135"/>
  <c r="M27" i="135"/>
  <c r="W27" i="135" s="1"/>
  <c r="P27" i="135"/>
  <c r="G28" i="135"/>
  <c r="F29" i="135"/>
  <c r="G29" i="135"/>
  <c r="T29" i="135" s="1"/>
  <c r="H29" i="135"/>
  <c r="I29" i="135"/>
  <c r="J29" i="135"/>
  <c r="K29" i="135"/>
  <c r="S29" i="135" s="1"/>
  <c r="M29" i="135"/>
  <c r="W29" i="135" s="1"/>
  <c r="P29" i="135"/>
  <c r="F30" i="135"/>
  <c r="G30" i="135"/>
  <c r="H30" i="135"/>
  <c r="I30" i="135"/>
  <c r="M30" i="135"/>
  <c r="P30" i="135"/>
  <c r="F31" i="135"/>
  <c r="G31" i="135"/>
  <c r="H31" i="135"/>
  <c r="I31" i="135"/>
  <c r="J31" i="135"/>
  <c r="K31" i="135"/>
  <c r="N32" i="135" s="1"/>
  <c r="M31" i="135"/>
  <c r="W31" i="135" s="1"/>
  <c r="P31" i="135"/>
  <c r="R31" i="135"/>
  <c r="T31" i="135"/>
  <c r="F32" i="135"/>
  <c r="G32" i="135"/>
  <c r="V31" i="135" s="1"/>
  <c r="H32" i="135"/>
  <c r="I32" i="135"/>
  <c r="M32" i="135"/>
  <c r="P32" i="135"/>
  <c r="F33" i="135"/>
  <c r="G33" i="135"/>
  <c r="H33" i="135"/>
  <c r="I33" i="135"/>
  <c r="J33" i="135"/>
  <c r="K33" i="135"/>
  <c r="M33" i="135"/>
  <c r="W33" i="135" s="1"/>
  <c r="P33" i="135"/>
  <c r="F34" i="135"/>
  <c r="G34" i="135"/>
  <c r="R34" i="135" s="1"/>
  <c r="H34" i="135"/>
  <c r="I34" i="135"/>
  <c r="J34" i="135"/>
  <c r="K34" i="135"/>
  <c r="M34" i="135"/>
  <c r="W34" i="135" s="1"/>
  <c r="P34" i="135"/>
  <c r="S34" i="135"/>
  <c r="V34" i="135"/>
  <c r="F35" i="135"/>
  <c r="G35" i="135"/>
  <c r="H35" i="135"/>
  <c r="I35" i="135"/>
  <c r="J35" i="135"/>
  <c r="K35" i="135"/>
  <c r="M35" i="135"/>
  <c r="P35" i="135"/>
  <c r="F36" i="135"/>
  <c r="G36" i="135"/>
  <c r="H36" i="135"/>
  <c r="I36" i="135"/>
  <c r="M36" i="135"/>
  <c r="P36" i="135"/>
  <c r="F37" i="135"/>
  <c r="G37" i="135"/>
  <c r="H37" i="135"/>
  <c r="I37" i="135"/>
  <c r="J37" i="135"/>
  <c r="K37" i="135"/>
  <c r="M37" i="135"/>
  <c r="W37" i="135" s="1"/>
  <c r="P37" i="135"/>
  <c r="F38" i="135"/>
  <c r="G38" i="135"/>
  <c r="V38" i="135" s="1"/>
  <c r="H38" i="135"/>
  <c r="I38" i="135"/>
  <c r="J38" i="135"/>
  <c r="K38" i="135"/>
  <c r="M38" i="135"/>
  <c r="P38" i="135"/>
  <c r="W38" i="135"/>
  <c r="D60" i="135"/>
  <c r="E60" i="135"/>
  <c r="L60" i="135"/>
  <c r="Q60" i="135"/>
  <c r="AA66" i="135"/>
  <c r="AB66" i="135"/>
  <c r="AA67" i="135"/>
  <c r="AB67" i="135"/>
  <c r="I68" i="135"/>
  <c r="AA68" i="135"/>
  <c r="AB68" i="135"/>
  <c r="AA69" i="135"/>
  <c r="AB69" i="135"/>
  <c r="Z70" i="135"/>
  <c r="AA70" i="135"/>
  <c r="AB70" i="135"/>
  <c r="AA71" i="135"/>
  <c r="AB71" i="135"/>
  <c r="AA72" i="135"/>
  <c r="AB72" i="135"/>
  <c r="F4" i="134"/>
  <c r="G4" i="134"/>
  <c r="R4" i="134" s="1"/>
  <c r="H4" i="134"/>
  <c r="I4" i="134"/>
  <c r="J4" i="134"/>
  <c r="K4" i="134"/>
  <c r="M4" i="134"/>
  <c r="W4" i="134" s="1"/>
  <c r="O4" i="134"/>
  <c r="P4" i="134"/>
  <c r="F5" i="134"/>
  <c r="G68" i="134" s="1"/>
  <c r="I68" i="134" s="1"/>
  <c r="G5" i="134"/>
  <c r="H5" i="134"/>
  <c r="I5" i="134"/>
  <c r="M5" i="134"/>
  <c r="N5" i="134"/>
  <c r="O5" i="134"/>
  <c r="P5" i="134"/>
  <c r="C6" i="134"/>
  <c r="F6" i="134"/>
  <c r="G6" i="134"/>
  <c r="H6" i="134"/>
  <c r="U6" i="134" s="1"/>
  <c r="I6" i="134"/>
  <c r="J6" i="134"/>
  <c r="K6" i="134"/>
  <c r="M6" i="134"/>
  <c r="W6" i="134" s="1"/>
  <c r="N6" i="134"/>
  <c r="O6" i="134"/>
  <c r="P6" i="134"/>
  <c r="C7" i="134"/>
  <c r="G7" i="134"/>
  <c r="C8" i="134"/>
  <c r="F8" i="134"/>
  <c r="G8" i="134"/>
  <c r="V8" i="134" s="1"/>
  <c r="H8" i="134"/>
  <c r="I8" i="134"/>
  <c r="J8" i="134"/>
  <c r="K8" i="134"/>
  <c r="N9" i="134" s="1"/>
  <c r="M8" i="134"/>
  <c r="O8" i="134"/>
  <c r="P8" i="134"/>
  <c r="S8" i="134"/>
  <c r="F9" i="134"/>
  <c r="G9" i="134"/>
  <c r="H9" i="134"/>
  <c r="I9" i="134"/>
  <c r="M9" i="134"/>
  <c r="O9" i="134"/>
  <c r="P9" i="134"/>
  <c r="F10" i="134"/>
  <c r="G10" i="134"/>
  <c r="H10" i="134"/>
  <c r="U10" i="134" s="1"/>
  <c r="I10" i="134"/>
  <c r="J10" i="134"/>
  <c r="K10" i="134"/>
  <c r="R10" i="134" s="1"/>
  <c r="M10" i="134"/>
  <c r="W10" i="134" s="1"/>
  <c r="P10" i="134"/>
  <c r="F11" i="134"/>
  <c r="G11" i="134"/>
  <c r="R11" i="134" s="1"/>
  <c r="H11" i="134"/>
  <c r="I11" i="134"/>
  <c r="J11" i="134"/>
  <c r="K11" i="134"/>
  <c r="M11" i="134"/>
  <c r="P11" i="134"/>
  <c r="W11" i="134"/>
  <c r="F12" i="134"/>
  <c r="G12" i="134"/>
  <c r="H12" i="134"/>
  <c r="I12" i="134"/>
  <c r="J12" i="134"/>
  <c r="K12" i="134"/>
  <c r="N13" i="134" s="1"/>
  <c r="M12" i="134"/>
  <c r="P12" i="134"/>
  <c r="F13" i="134"/>
  <c r="G13" i="134"/>
  <c r="H13" i="134"/>
  <c r="I13" i="134"/>
  <c r="M13" i="134"/>
  <c r="W12" i="134" s="1"/>
  <c r="P13" i="134"/>
  <c r="F14" i="134"/>
  <c r="G14" i="134"/>
  <c r="R14" i="134" s="1"/>
  <c r="H14" i="134"/>
  <c r="I14" i="134"/>
  <c r="J14" i="134"/>
  <c r="K14" i="134"/>
  <c r="M14" i="134"/>
  <c r="P14" i="134"/>
  <c r="T14" i="134"/>
  <c r="W14" i="134"/>
  <c r="F15" i="134"/>
  <c r="G66" i="134" s="1"/>
  <c r="G15" i="134"/>
  <c r="H15" i="134"/>
  <c r="I15" i="134"/>
  <c r="J15" i="134"/>
  <c r="K15" i="134"/>
  <c r="M15" i="134"/>
  <c r="W15" i="134" s="1"/>
  <c r="P15" i="134"/>
  <c r="C16" i="134"/>
  <c r="F16" i="134"/>
  <c r="G16" i="134"/>
  <c r="S16" i="134" s="1"/>
  <c r="H16" i="134"/>
  <c r="H70" i="134" s="1"/>
  <c r="I16" i="134"/>
  <c r="J16" i="134"/>
  <c r="K16" i="134"/>
  <c r="N17" i="134" s="1"/>
  <c r="M16" i="134"/>
  <c r="P16" i="134"/>
  <c r="R16" i="134"/>
  <c r="W16" i="134"/>
  <c r="C17" i="134"/>
  <c r="F17" i="134"/>
  <c r="G17" i="134"/>
  <c r="H17" i="134"/>
  <c r="I17" i="134"/>
  <c r="M17" i="134"/>
  <c r="P17" i="134"/>
  <c r="C18" i="134"/>
  <c r="F18" i="134"/>
  <c r="G18" i="134"/>
  <c r="H18" i="134"/>
  <c r="I18" i="134"/>
  <c r="M18" i="134"/>
  <c r="P18" i="134"/>
  <c r="F19" i="134"/>
  <c r="G19" i="134"/>
  <c r="H19" i="134"/>
  <c r="I19" i="134"/>
  <c r="J19" i="134"/>
  <c r="K19" i="134"/>
  <c r="S19" i="134" s="1"/>
  <c r="M19" i="134"/>
  <c r="P19" i="134"/>
  <c r="W19" i="134"/>
  <c r="C20" i="134"/>
  <c r="F20" i="134"/>
  <c r="G20" i="134"/>
  <c r="H20" i="134"/>
  <c r="I20" i="134"/>
  <c r="J20" i="134"/>
  <c r="K20" i="134"/>
  <c r="N20" i="134" s="1"/>
  <c r="M20" i="134"/>
  <c r="W20" i="134" s="1"/>
  <c r="P20" i="134"/>
  <c r="C21" i="134"/>
  <c r="G21" i="134"/>
  <c r="C22" i="134"/>
  <c r="F22" i="134"/>
  <c r="G22" i="134"/>
  <c r="H22" i="134"/>
  <c r="U22" i="134" s="1"/>
  <c r="I22" i="134"/>
  <c r="J22" i="134"/>
  <c r="K22" i="134"/>
  <c r="M22" i="134"/>
  <c r="W22" i="134" s="1"/>
  <c r="P22" i="134"/>
  <c r="C23" i="134"/>
  <c r="F23" i="134"/>
  <c r="G23" i="134"/>
  <c r="H23" i="134"/>
  <c r="I23" i="134"/>
  <c r="J23" i="134"/>
  <c r="K23" i="134"/>
  <c r="V23" i="134" s="1"/>
  <c r="M23" i="134"/>
  <c r="W23" i="134" s="1"/>
  <c r="P23" i="134"/>
  <c r="R23" i="134"/>
  <c r="U23" i="134"/>
  <c r="C24" i="134"/>
  <c r="F24" i="134"/>
  <c r="G24" i="134"/>
  <c r="R24" i="134" s="1"/>
  <c r="H24" i="134"/>
  <c r="I24" i="134"/>
  <c r="J24" i="134"/>
  <c r="K24" i="134"/>
  <c r="M24" i="134"/>
  <c r="U24" i="134" s="1"/>
  <c r="P24" i="134"/>
  <c r="F25" i="134"/>
  <c r="G25" i="134"/>
  <c r="H25" i="134"/>
  <c r="I25" i="134"/>
  <c r="J25" i="134"/>
  <c r="K25" i="134"/>
  <c r="M25" i="134"/>
  <c r="W25" i="134" s="1"/>
  <c r="P25" i="134"/>
  <c r="U55" i="134"/>
  <c r="U56" i="134"/>
  <c r="D60" i="134"/>
  <c r="E60" i="134"/>
  <c r="L60" i="134"/>
  <c r="Q60" i="134"/>
  <c r="D62" i="134"/>
  <c r="D63" i="135" s="1"/>
  <c r="D63" i="136" s="1"/>
  <c r="D63" i="137" s="1"/>
  <c r="D63" i="139" s="1"/>
  <c r="D61" i="140" s="1"/>
  <c r="D61" i="142" s="1"/>
  <c r="D61" i="143" s="1"/>
  <c r="D60" i="144" s="1"/>
  <c r="D60" i="145" s="1"/>
  <c r="D60" i="146" s="1"/>
  <c r="AA65" i="134"/>
  <c r="AB65" i="134"/>
  <c r="AA66" i="134"/>
  <c r="AB66" i="134"/>
  <c r="I67" i="134"/>
  <c r="Z67" i="134"/>
  <c r="AA67" i="134"/>
  <c r="AB67" i="134"/>
  <c r="E68" i="134"/>
  <c r="F68" i="134"/>
  <c r="J68" i="134" s="1"/>
  <c r="H68" i="134"/>
  <c r="AA68" i="134"/>
  <c r="AB68" i="134"/>
  <c r="I69" i="134"/>
  <c r="T69" i="134"/>
  <c r="AA69" i="134"/>
  <c r="AB69" i="134"/>
  <c r="E70" i="134"/>
  <c r="G70" i="134"/>
  <c r="AA70" i="134"/>
  <c r="AB70" i="134"/>
  <c r="AA71" i="134"/>
  <c r="AB71" i="134"/>
  <c r="F4" i="133"/>
  <c r="G4" i="133"/>
  <c r="H4" i="133"/>
  <c r="I4" i="133"/>
  <c r="J4" i="133"/>
  <c r="K4" i="133"/>
  <c r="N5" i="133" s="1"/>
  <c r="M4" i="133"/>
  <c r="P4" i="133"/>
  <c r="U4" i="133"/>
  <c r="F5" i="133"/>
  <c r="G5" i="133"/>
  <c r="G60" i="133" s="1"/>
  <c r="H5" i="133"/>
  <c r="H60" i="133" s="1"/>
  <c r="I5" i="133"/>
  <c r="M5" i="133"/>
  <c r="P5" i="133"/>
  <c r="F6" i="133"/>
  <c r="G6" i="133"/>
  <c r="H6" i="133"/>
  <c r="I6" i="133"/>
  <c r="M6" i="133"/>
  <c r="P6" i="133"/>
  <c r="F7" i="133"/>
  <c r="F60" i="133" s="1"/>
  <c r="G7" i="133"/>
  <c r="H7" i="133"/>
  <c r="I7" i="133"/>
  <c r="J7" i="133"/>
  <c r="K7" i="133"/>
  <c r="T7" i="133" s="1"/>
  <c r="M7" i="133"/>
  <c r="U7" i="133" s="1"/>
  <c r="N7" i="133"/>
  <c r="P7" i="133"/>
  <c r="R7" i="133"/>
  <c r="G8" i="133"/>
  <c r="F9" i="133"/>
  <c r="G9" i="133"/>
  <c r="H9" i="133"/>
  <c r="I9" i="133"/>
  <c r="J9" i="133"/>
  <c r="K9" i="133"/>
  <c r="M9" i="133"/>
  <c r="P9" i="133"/>
  <c r="U9" i="133"/>
  <c r="F10" i="133"/>
  <c r="G10" i="133"/>
  <c r="H10" i="133"/>
  <c r="I10" i="133"/>
  <c r="M10" i="133"/>
  <c r="N10" i="133"/>
  <c r="P10" i="133"/>
  <c r="F11" i="133"/>
  <c r="G69" i="133" s="1"/>
  <c r="G11" i="133"/>
  <c r="H11" i="133"/>
  <c r="I11" i="133"/>
  <c r="J11" i="133"/>
  <c r="K11" i="133"/>
  <c r="M11" i="133"/>
  <c r="P11" i="133"/>
  <c r="U11" i="133"/>
  <c r="F12" i="133"/>
  <c r="G12" i="133"/>
  <c r="H12" i="133"/>
  <c r="H66" i="133" s="1"/>
  <c r="I12" i="133"/>
  <c r="J12" i="133"/>
  <c r="K12" i="133"/>
  <c r="F66" i="133" s="1"/>
  <c r="M12" i="133"/>
  <c r="U12" i="133" s="1"/>
  <c r="P12" i="133"/>
  <c r="F13" i="133"/>
  <c r="G13" i="133"/>
  <c r="R13" i="133" s="1"/>
  <c r="H13" i="133"/>
  <c r="I13" i="133"/>
  <c r="J13" i="133"/>
  <c r="K13" i="133"/>
  <c r="M13" i="133"/>
  <c r="P13" i="133"/>
  <c r="Q13" i="133"/>
  <c r="S13" i="133"/>
  <c r="T13" i="133"/>
  <c r="U13" i="133"/>
  <c r="F14" i="133"/>
  <c r="G14" i="133"/>
  <c r="H14" i="133"/>
  <c r="I14" i="133"/>
  <c r="J14" i="133"/>
  <c r="K14" i="133"/>
  <c r="N14" i="133" s="1"/>
  <c r="M14" i="133"/>
  <c r="P14" i="133"/>
  <c r="U14" i="133"/>
  <c r="G15" i="133"/>
  <c r="F16" i="133"/>
  <c r="G16" i="133"/>
  <c r="H16" i="133"/>
  <c r="I16" i="133"/>
  <c r="J16" i="133"/>
  <c r="K16" i="133"/>
  <c r="M16" i="133"/>
  <c r="U16" i="133" s="1"/>
  <c r="P16" i="133"/>
  <c r="F17" i="133"/>
  <c r="G17" i="133"/>
  <c r="H17" i="133"/>
  <c r="I17" i="133"/>
  <c r="J17" i="133"/>
  <c r="K17" i="133"/>
  <c r="Q17" i="133" s="1"/>
  <c r="M17" i="133"/>
  <c r="U17" i="133" s="1"/>
  <c r="P17" i="133"/>
  <c r="F18" i="133"/>
  <c r="G18" i="133"/>
  <c r="Q18" i="133" s="1"/>
  <c r="H18" i="133"/>
  <c r="I18" i="133"/>
  <c r="J18" i="133"/>
  <c r="K18" i="133"/>
  <c r="M18" i="133"/>
  <c r="U18" i="133" s="1"/>
  <c r="P18" i="133"/>
  <c r="F19" i="133"/>
  <c r="G19" i="133"/>
  <c r="Q19" i="133" s="1"/>
  <c r="H19" i="133"/>
  <c r="I19" i="133"/>
  <c r="J19" i="133"/>
  <c r="K19" i="133"/>
  <c r="M19" i="133"/>
  <c r="U19" i="133" s="1"/>
  <c r="P19" i="133"/>
  <c r="F20" i="133"/>
  <c r="G20" i="133"/>
  <c r="Q20" i="133" s="1"/>
  <c r="H20" i="133"/>
  <c r="I20" i="133"/>
  <c r="J20" i="133"/>
  <c r="K20" i="133"/>
  <c r="M20" i="133"/>
  <c r="P20" i="133"/>
  <c r="R20" i="133"/>
  <c r="U20" i="133"/>
  <c r="F21" i="133"/>
  <c r="G21" i="133"/>
  <c r="H21" i="133"/>
  <c r="I21" i="133"/>
  <c r="J21" i="133"/>
  <c r="K21" i="133"/>
  <c r="N22" i="133" s="1"/>
  <c r="M21" i="133"/>
  <c r="P21" i="133"/>
  <c r="U21" i="133"/>
  <c r="F22" i="133"/>
  <c r="G22" i="133"/>
  <c r="H22" i="133"/>
  <c r="I22" i="133"/>
  <c r="M22" i="133"/>
  <c r="P22" i="133"/>
  <c r="F23" i="133"/>
  <c r="G23" i="133"/>
  <c r="H23" i="133"/>
  <c r="I23" i="133"/>
  <c r="J23" i="133"/>
  <c r="K23" i="133"/>
  <c r="N24" i="133" s="1"/>
  <c r="M23" i="133"/>
  <c r="P23" i="133"/>
  <c r="F24" i="133"/>
  <c r="G24" i="133"/>
  <c r="H24" i="133"/>
  <c r="I24" i="133"/>
  <c r="M24" i="133"/>
  <c r="P24" i="133"/>
  <c r="F25" i="133"/>
  <c r="G25" i="133"/>
  <c r="H25" i="133"/>
  <c r="I25" i="133"/>
  <c r="J25" i="133"/>
  <c r="K25" i="133"/>
  <c r="M25" i="133"/>
  <c r="U25" i="133" s="1"/>
  <c r="P25" i="133"/>
  <c r="F26" i="133"/>
  <c r="G26" i="133"/>
  <c r="H26" i="133"/>
  <c r="I26" i="133"/>
  <c r="J26" i="133"/>
  <c r="K26" i="133"/>
  <c r="N29" i="133" s="1"/>
  <c r="M26" i="133"/>
  <c r="P26" i="133"/>
  <c r="G27" i="133"/>
  <c r="Q26" i="133" s="1"/>
  <c r="F28" i="133"/>
  <c r="G28" i="133"/>
  <c r="H28" i="133"/>
  <c r="I28" i="133"/>
  <c r="M28" i="133"/>
  <c r="P28" i="133"/>
  <c r="F29" i="133"/>
  <c r="G29" i="133"/>
  <c r="R26" i="133" s="1"/>
  <c r="H29" i="133"/>
  <c r="I29" i="133"/>
  <c r="M29" i="133"/>
  <c r="P29" i="133"/>
  <c r="F30" i="133"/>
  <c r="G30" i="133"/>
  <c r="H30" i="133"/>
  <c r="I30" i="133"/>
  <c r="J30" i="133"/>
  <c r="K30" i="133"/>
  <c r="M30" i="133"/>
  <c r="U30" i="133" s="1"/>
  <c r="P30" i="133"/>
  <c r="F31" i="133"/>
  <c r="G31" i="133"/>
  <c r="H31" i="133"/>
  <c r="I31" i="133"/>
  <c r="J31" i="133"/>
  <c r="K31" i="133"/>
  <c r="M31" i="133"/>
  <c r="P31" i="133"/>
  <c r="T31" i="133"/>
  <c r="F32" i="133"/>
  <c r="G32" i="133"/>
  <c r="E70" i="133" s="1"/>
  <c r="H32" i="133"/>
  <c r="I32" i="133"/>
  <c r="M32" i="133"/>
  <c r="P32" i="133"/>
  <c r="F33" i="133"/>
  <c r="G33" i="133"/>
  <c r="H33" i="133"/>
  <c r="I33" i="133"/>
  <c r="M33" i="133"/>
  <c r="P33" i="133"/>
  <c r="F34" i="133"/>
  <c r="G34" i="133"/>
  <c r="H34" i="133"/>
  <c r="I34" i="133"/>
  <c r="M34" i="133"/>
  <c r="P34" i="133"/>
  <c r="F35" i="133"/>
  <c r="G35" i="133"/>
  <c r="T35" i="133" s="1"/>
  <c r="H35" i="133"/>
  <c r="I35" i="133"/>
  <c r="J35" i="133"/>
  <c r="K35" i="133"/>
  <c r="M35" i="133"/>
  <c r="P35" i="133"/>
  <c r="U35" i="133"/>
  <c r="F36" i="133"/>
  <c r="G36" i="133"/>
  <c r="H36" i="133"/>
  <c r="I36" i="133"/>
  <c r="J36" i="133"/>
  <c r="K36" i="133"/>
  <c r="M36" i="133"/>
  <c r="P36" i="133"/>
  <c r="U36" i="133"/>
  <c r="F37" i="133"/>
  <c r="G37" i="133"/>
  <c r="H37" i="133"/>
  <c r="I37" i="133"/>
  <c r="J37" i="133"/>
  <c r="K37" i="133"/>
  <c r="N38" i="133" s="1"/>
  <c r="M37" i="133"/>
  <c r="U37" i="133" s="1"/>
  <c r="P37" i="133"/>
  <c r="F38" i="133"/>
  <c r="G38" i="133"/>
  <c r="H38" i="133"/>
  <c r="I38" i="133"/>
  <c r="M38" i="133"/>
  <c r="P38" i="133"/>
  <c r="D60" i="133"/>
  <c r="E60" i="133"/>
  <c r="L60" i="133"/>
  <c r="O60" i="133"/>
  <c r="D62" i="133"/>
  <c r="X65" i="133"/>
  <c r="Y65" i="133"/>
  <c r="Z65" i="133"/>
  <c r="Y66" i="133"/>
  <c r="Z66" i="133"/>
  <c r="I67" i="133"/>
  <c r="X67" i="133"/>
  <c r="Y67" i="133"/>
  <c r="Z67" i="133"/>
  <c r="Y68" i="133"/>
  <c r="Z68" i="133"/>
  <c r="Y69" i="133"/>
  <c r="Z69" i="133"/>
  <c r="Y70" i="133"/>
  <c r="Z70" i="133"/>
  <c r="Y71" i="133"/>
  <c r="Z71" i="133"/>
  <c r="E84" i="171"/>
  <c r="J84" i="171" s="1"/>
  <c r="I78" i="171"/>
  <c r="J78" i="171"/>
  <c r="F84" i="171"/>
  <c r="J77" i="171"/>
  <c r="I77" i="171"/>
  <c r="H84" i="171"/>
  <c r="I84" i="171" s="1"/>
  <c r="K75" i="166"/>
  <c r="I75" i="166"/>
  <c r="H75" i="166"/>
  <c r="J68" i="166"/>
  <c r="Q74" i="166"/>
  <c r="D86" i="166"/>
  <c r="O75" i="166"/>
  <c r="J75" i="166"/>
  <c r="I52" i="166"/>
  <c r="F57" i="171"/>
  <c r="B52" i="171"/>
  <c r="G59" i="169"/>
  <c r="L52" i="166"/>
  <c r="P57" i="171"/>
  <c r="I56" i="168"/>
  <c r="F56" i="168"/>
  <c r="R4" i="170"/>
  <c r="L59" i="169"/>
  <c r="J89" i="172"/>
  <c r="L62" i="172"/>
  <c r="O62" i="172"/>
  <c r="M52" i="166"/>
  <c r="G56" i="168"/>
  <c r="G52" i="166"/>
  <c r="P52" i="166"/>
  <c r="I61" i="170"/>
  <c r="G57" i="171"/>
  <c r="P61" i="170"/>
  <c r="P56" i="168"/>
  <c r="L56" i="168"/>
  <c r="P59" i="169"/>
  <c r="E61" i="167"/>
  <c r="E59" i="169"/>
  <c r="M62" i="172"/>
  <c r="F52" i="166"/>
  <c r="M59" i="169"/>
  <c r="P62" i="172"/>
  <c r="K85" i="170"/>
  <c r="K74" i="165"/>
  <c r="K80" i="168"/>
  <c r="K79" i="169"/>
  <c r="AX8" i="173"/>
  <c r="AO6" i="173"/>
  <c r="D48" i="173"/>
  <c r="CH6" i="173"/>
  <c r="K70" i="164"/>
  <c r="K72" i="162"/>
  <c r="K86" i="172"/>
  <c r="K81" i="171"/>
  <c r="K86" i="167"/>
  <c r="K64" i="166"/>
  <c r="K65" i="166"/>
  <c r="K72" i="165"/>
  <c r="K71" i="164"/>
  <c r="K71" i="163"/>
  <c r="K87" i="172"/>
  <c r="K83" i="169"/>
  <c r="O60" i="162"/>
  <c r="O58" i="163"/>
  <c r="G103" i="161"/>
  <c r="I58" i="163"/>
  <c r="F103" i="161"/>
  <c r="P60" i="162"/>
  <c r="G57" i="164"/>
  <c r="M57" i="164"/>
  <c r="G58" i="163"/>
  <c r="J59" i="169" l="1"/>
  <c r="J56" i="168"/>
  <c r="R56" i="168"/>
  <c r="O90" i="168"/>
  <c r="F90" i="168"/>
  <c r="E90" i="168"/>
  <c r="R52" i="166"/>
  <c r="J52" i="166"/>
  <c r="G60" i="164"/>
  <c r="I60" i="164"/>
  <c r="G62" i="163"/>
  <c r="I74" i="163"/>
  <c r="K84" i="169"/>
  <c r="K81" i="168"/>
  <c r="R103" i="161"/>
  <c r="K82" i="172"/>
  <c r="K76" i="168"/>
  <c r="K80" i="171"/>
  <c r="K68" i="164"/>
  <c r="K85" i="167"/>
  <c r="K88" i="167"/>
  <c r="K82" i="169"/>
  <c r="K79" i="168"/>
  <c r="K69" i="164"/>
  <c r="K71" i="162"/>
  <c r="K84" i="170"/>
  <c r="K78" i="168"/>
  <c r="K70" i="165"/>
  <c r="K83" i="167"/>
  <c r="K72" i="164"/>
  <c r="K85" i="169"/>
  <c r="K78" i="171"/>
  <c r="K84" i="167"/>
  <c r="K75" i="162"/>
  <c r="K87" i="170"/>
  <c r="K81" i="169"/>
  <c r="K68" i="163"/>
  <c r="K80" i="169"/>
  <c r="K82" i="167"/>
  <c r="J76" i="162"/>
  <c r="K77" i="171"/>
  <c r="K68" i="165"/>
  <c r="K81" i="170"/>
  <c r="K67" i="166"/>
  <c r="K87" i="167"/>
  <c r="K82" i="168"/>
  <c r="K88" i="172"/>
  <c r="K68" i="162"/>
  <c r="K61" i="166"/>
  <c r="K69" i="165"/>
  <c r="K83" i="171"/>
  <c r="K69" i="162"/>
  <c r="K67" i="164"/>
  <c r="K83" i="172"/>
  <c r="K82" i="171"/>
  <c r="K73" i="164"/>
  <c r="K77" i="168"/>
  <c r="K82" i="170"/>
  <c r="K79" i="171"/>
  <c r="K74" i="162"/>
  <c r="K86" i="170"/>
  <c r="K83" i="170"/>
  <c r="K73" i="162"/>
  <c r="K84" i="172"/>
  <c r="J103" i="161"/>
  <c r="G108" i="161"/>
  <c r="P123" i="161" s="1"/>
  <c r="G107" i="161"/>
  <c r="D63" i="163" s="1"/>
  <c r="D61" i="164" s="1"/>
  <c r="D65" i="165" s="1"/>
  <c r="D58" i="166" s="1"/>
  <c r="D79" i="167" s="1"/>
  <c r="D73" i="168" s="1"/>
  <c r="P124" i="161"/>
  <c r="I66" i="130"/>
  <c r="J68" i="145"/>
  <c r="I67" i="122"/>
  <c r="X71" i="133"/>
  <c r="S35" i="133"/>
  <c r="U23" i="133"/>
  <c r="V4" i="134"/>
  <c r="T38" i="135"/>
  <c r="T6" i="135"/>
  <c r="W10" i="136"/>
  <c r="S22" i="137"/>
  <c r="H64" i="140"/>
  <c r="S4" i="140"/>
  <c r="H68" i="142"/>
  <c r="H65" i="142"/>
  <c r="H64" i="142"/>
  <c r="T26" i="145"/>
  <c r="R7" i="145"/>
  <c r="R13" i="146"/>
  <c r="R23" i="123"/>
  <c r="M58" i="124"/>
  <c r="U16" i="127"/>
  <c r="U13" i="131"/>
  <c r="R35" i="133"/>
  <c r="T17" i="133"/>
  <c r="O60" i="134"/>
  <c r="U4" i="134"/>
  <c r="F70" i="135"/>
  <c r="S38" i="135"/>
  <c r="S6" i="135"/>
  <c r="W4" i="135"/>
  <c r="G69" i="137"/>
  <c r="V23" i="140"/>
  <c r="V15" i="140"/>
  <c r="T22" i="143"/>
  <c r="U12" i="143"/>
  <c r="F58" i="143"/>
  <c r="F64" i="144"/>
  <c r="H66" i="144"/>
  <c r="S26" i="145"/>
  <c r="G63" i="145"/>
  <c r="H67" i="146"/>
  <c r="S4" i="146"/>
  <c r="H66" i="121"/>
  <c r="H69" i="121" s="1"/>
  <c r="H67" i="121"/>
  <c r="E64" i="122"/>
  <c r="J64" i="122" s="1"/>
  <c r="P23" i="123"/>
  <c r="T21" i="123"/>
  <c r="H66" i="126"/>
  <c r="U32" i="128"/>
  <c r="M60" i="128"/>
  <c r="I60" i="128"/>
  <c r="Q5" i="129"/>
  <c r="G60" i="131"/>
  <c r="N60" i="132"/>
  <c r="Q35" i="133"/>
  <c r="T19" i="133"/>
  <c r="S17" i="133"/>
  <c r="T4" i="134"/>
  <c r="R38" i="135"/>
  <c r="R6" i="135"/>
  <c r="V4" i="135"/>
  <c r="X10" i="137"/>
  <c r="S27" i="139"/>
  <c r="V26" i="140"/>
  <c r="T19" i="140"/>
  <c r="U15" i="140"/>
  <c r="S8" i="140"/>
  <c r="W11" i="142"/>
  <c r="G64" i="142"/>
  <c r="I64" i="142" s="1"/>
  <c r="R18" i="143"/>
  <c r="T12" i="143"/>
  <c r="S11" i="143"/>
  <c r="G76" i="144"/>
  <c r="T35" i="145"/>
  <c r="R20" i="145"/>
  <c r="O57" i="145"/>
  <c r="U5" i="145"/>
  <c r="Y69" i="146"/>
  <c r="R4" i="146"/>
  <c r="R5" i="121"/>
  <c r="G64" i="122"/>
  <c r="F64" i="123"/>
  <c r="S26" i="125"/>
  <c r="T18" i="126"/>
  <c r="T22" i="129"/>
  <c r="Q13" i="130"/>
  <c r="T16" i="132"/>
  <c r="E58" i="163"/>
  <c r="U26" i="133"/>
  <c r="R17" i="133"/>
  <c r="S4" i="134"/>
  <c r="W26" i="137"/>
  <c r="W10" i="137"/>
  <c r="T15" i="140"/>
  <c r="F77" i="142"/>
  <c r="F68" i="142"/>
  <c r="R22" i="143"/>
  <c r="H63" i="146"/>
  <c r="R27" i="122"/>
  <c r="H67" i="124"/>
  <c r="G66" i="125"/>
  <c r="U25" i="126"/>
  <c r="N60" i="128"/>
  <c r="E65" i="132"/>
  <c r="F65" i="132"/>
  <c r="U29" i="135"/>
  <c r="G71" i="135"/>
  <c r="T22" i="136"/>
  <c r="U4" i="136"/>
  <c r="V4" i="136"/>
  <c r="F70" i="137"/>
  <c r="J70" i="137" s="1"/>
  <c r="U26" i="137"/>
  <c r="W18" i="137"/>
  <c r="T21" i="139"/>
  <c r="T4" i="139"/>
  <c r="F67" i="142"/>
  <c r="J67" i="142" s="1"/>
  <c r="R5" i="143"/>
  <c r="E76" i="144"/>
  <c r="M76" i="145"/>
  <c r="S5" i="145"/>
  <c r="U20" i="146"/>
  <c r="F66" i="121"/>
  <c r="G66" i="122"/>
  <c r="I66" i="122" s="1"/>
  <c r="P8" i="122"/>
  <c r="I58" i="123"/>
  <c r="G58" i="124"/>
  <c r="S13" i="125"/>
  <c r="S27" i="126"/>
  <c r="S19" i="127"/>
  <c r="S11" i="129"/>
  <c r="T9" i="129"/>
  <c r="T27" i="130"/>
  <c r="T27" i="131"/>
  <c r="U17" i="131"/>
  <c r="M60" i="131"/>
  <c r="E70" i="132"/>
  <c r="J70" i="132" s="1"/>
  <c r="T18" i="132"/>
  <c r="BJ8" i="173"/>
  <c r="Q30" i="133"/>
  <c r="H65" i="133"/>
  <c r="S12" i="134"/>
  <c r="T8" i="134"/>
  <c r="W25" i="135"/>
  <c r="R21" i="136"/>
  <c r="V8" i="136"/>
  <c r="E71" i="137"/>
  <c r="J71" i="137" s="1"/>
  <c r="V14" i="139"/>
  <c r="S6" i="140"/>
  <c r="G77" i="143"/>
  <c r="D76" i="144"/>
  <c r="S32" i="144"/>
  <c r="R26" i="145"/>
  <c r="U8" i="145"/>
  <c r="T7" i="145"/>
  <c r="L76" i="146"/>
  <c r="E64" i="146"/>
  <c r="N86" i="166"/>
  <c r="T17" i="122"/>
  <c r="S6" i="123"/>
  <c r="S4" i="123"/>
  <c r="F66" i="124"/>
  <c r="S7" i="124"/>
  <c r="Q13" i="125"/>
  <c r="Q27" i="126"/>
  <c r="U17" i="126"/>
  <c r="U10" i="126"/>
  <c r="I60" i="127"/>
  <c r="T21" i="127"/>
  <c r="G68" i="127"/>
  <c r="T6" i="127"/>
  <c r="E69" i="129"/>
  <c r="T28" i="131"/>
  <c r="U20" i="131"/>
  <c r="G70" i="132"/>
  <c r="I70" i="132" s="1"/>
  <c r="T7" i="132"/>
  <c r="E60" i="162"/>
  <c r="U22" i="135"/>
  <c r="R22" i="136"/>
  <c r="F58" i="140"/>
  <c r="P58" i="142"/>
  <c r="I69" i="132"/>
  <c r="F58" i="163"/>
  <c r="R8" i="134"/>
  <c r="G67" i="136"/>
  <c r="S8" i="136"/>
  <c r="V18" i="145"/>
  <c r="F57" i="145"/>
  <c r="J66" i="122"/>
  <c r="E67" i="123"/>
  <c r="J67" i="123" s="1"/>
  <c r="G68" i="124"/>
  <c r="I68" i="124" s="1"/>
  <c r="T22" i="128"/>
  <c r="I66" i="132"/>
  <c r="X11" i="139"/>
  <c r="N60" i="139"/>
  <c r="X60" i="139" s="1"/>
  <c r="S26" i="133"/>
  <c r="V14" i="134"/>
  <c r="W14" i="137"/>
  <c r="X5" i="137"/>
  <c r="V29" i="139"/>
  <c r="U4" i="139"/>
  <c r="S26" i="140"/>
  <c r="U18" i="140"/>
  <c r="S35" i="142"/>
  <c r="F58" i="142"/>
  <c r="Q58" i="142" s="1"/>
  <c r="U9" i="142"/>
  <c r="K88" i="143"/>
  <c r="R24" i="145"/>
  <c r="E67" i="145"/>
  <c r="J67" i="145" s="1"/>
  <c r="I76" i="146"/>
  <c r="J86" i="166"/>
  <c r="G90" i="168"/>
  <c r="D46" i="173"/>
  <c r="R12" i="122"/>
  <c r="F65" i="122"/>
  <c r="J65" i="122" s="1"/>
  <c r="R6" i="122"/>
  <c r="T5" i="123"/>
  <c r="T21" i="124"/>
  <c r="T11" i="124"/>
  <c r="Q8" i="125"/>
  <c r="T17" i="126"/>
  <c r="E66" i="126"/>
  <c r="T4" i="127"/>
  <c r="T10" i="130"/>
  <c r="T12" i="131"/>
  <c r="T35" i="132"/>
  <c r="I65" i="142"/>
  <c r="I67" i="142"/>
  <c r="U21" i="126"/>
  <c r="G66" i="126"/>
  <c r="I66" i="126" s="1"/>
  <c r="S32" i="127"/>
  <c r="U33" i="128"/>
  <c r="I60" i="129"/>
  <c r="T10" i="131"/>
  <c r="Q33" i="132"/>
  <c r="T9" i="132"/>
  <c r="G60" i="162"/>
  <c r="T20" i="133"/>
  <c r="H68" i="133"/>
  <c r="T23" i="134"/>
  <c r="R19" i="134"/>
  <c r="S14" i="134"/>
  <c r="N10" i="134"/>
  <c r="H67" i="135"/>
  <c r="W29" i="137"/>
  <c r="T14" i="137"/>
  <c r="W13" i="139"/>
  <c r="T5" i="139"/>
  <c r="I60" i="139"/>
  <c r="U30" i="140"/>
  <c r="K77" i="142"/>
  <c r="U17" i="143"/>
  <c r="V30" i="144"/>
  <c r="S17" i="144"/>
  <c r="R14" i="144"/>
  <c r="H67" i="144"/>
  <c r="I67" i="144" s="1"/>
  <c r="I57" i="144"/>
  <c r="G76" i="145"/>
  <c r="V30" i="145"/>
  <c r="H68" i="145"/>
  <c r="T11" i="145"/>
  <c r="G76" i="146"/>
  <c r="V32" i="146"/>
  <c r="V30" i="146"/>
  <c r="S23" i="146"/>
  <c r="G67" i="121"/>
  <c r="I67" i="121" s="1"/>
  <c r="T9" i="122"/>
  <c r="P17" i="124"/>
  <c r="S14" i="124"/>
  <c r="T31" i="125"/>
  <c r="U26" i="125"/>
  <c r="Q24" i="126"/>
  <c r="S26" i="127"/>
  <c r="M60" i="127"/>
  <c r="S26" i="128"/>
  <c r="Q16" i="128"/>
  <c r="U8" i="128"/>
  <c r="S5" i="128"/>
  <c r="S27" i="129"/>
  <c r="U6" i="130"/>
  <c r="G66" i="131"/>
  <c r="U31" i="132"/>
  <c r="T20" i="132"/>
  <c r="T13" i="132"/>
  <c r="Q9" i="132"/>
  <c r="H69" i="133"/>
  <c r="S20" i="133"/>
  <c r="N6" i="133"/>
  <c r="S23" i="134"/>
  <c r="F67" i="135"/>
  <c r="S15" i="136"/>
  <c r="U29" i="137"/>
  <c r="V21" i="139"/>
  <c r="J77" i="140"/>
  <c r="T30" i="140"/>
  <c r="T17" i="143"/>
  <c r="S12" i="143"/>
  <c r="R8" i="143"/>
  <c r="U6" i="143"/>
  <c r="U22" i="144"/>
  <c r="S8" i="144"/>
  <c r="H57" i="144"/>
  <c r="U20" i="145"/>
  <c r="S11" i="145"/>
  <c r="T28" i="146"/>
  <c r="AZ6" i="173"/>
  <c r="CI6" i="173"/>
  <c r="T16" i="122"/>
  <c r="S12" i="122"/>
  <c r="R16" i="123"/>
  <c r="L58" i="123"/>
  <c r="S29" i="124"/>
  <c r="R14" i="124"/>
  <c r="U31" i="125"/>
  <c r="T13" i="125"/>
  <c r="S33" i="128"/>
  <c r="T30" i="129"/>
  <c r="T17" i="131"/>
  <c r="U6" i="131"/>
  <c r="U32" i="132"/>
  <c r="Q20" i="132"/>
  <c r="U16" i="132"/>
  <c r="T29" i="137"/>
  <c r="U21" i="139"/>
  <c r="U13" i="139"/>
  <c r="E67" i="144"/>
  <c r="U35" i="145"/>
  <c r="E76" i="146"/>
  <c r="U12" i="146"/>
  <c r="H66" i="146"/>
  <c r="R16" i="122"/>
  <c r="R9" i="122"/>
  <c r="R9" i="123"/>
  <c r="P29" i="124"/>
  <c r="T15" i="124"/>
  <c r="S31" i="126"/>
  <c r="Q23" i="127"/>
  <c r="S35" i="128"/>
  <c r="U31" i="128"/>
  <c r="T10" i="129"/>
  <c r="G65" i="129"/>
  <c r="F68" i="131"/>
  <c r="E68" i="132"/>
  <c r="Q32" i="132"/>
  <c r="N18" i="134"/>
  <c r="R12" i="134"/>
  <c r="W15" i="135"/>
  <c r="O60" i="135"/>
  <c r="G66" i="136"/>
  <c r="X14" i="139"/>
  <c r="T13" i="139"/>
  <c r="H77" i="140"/>
  <c r="T31" i="140"/>
  <c r="U28" i="140"/>
  <c r="T12" i="146"/>
  <c r="P75" i="166"/>
  <c r="P9" i="121"/>
  <c r="L59" i="121"/>
  <c r="R4" i="121"/>
  <c r="P19" i="123"/>
  <c r="P9" i="123"/>
  <c r="P15" i="124"/>
  <c r="T13" i="124"/>
  <c r="U10" i="125"/>
  <c r="T6" i="125"/>
  <c r="T29" i="126"/>
  <c r="U24" i="126"/>
  <c r="Q21" i="126"/>
  <c r="F68" i="126"/>
  <c r="J68" i="126" s="1"/>
  <c r="H69" i="126"/>
  <c r="Q31" i="128"/>
  <c r="H69" i="128"/>
  <c r="S7" i="128"/>
  <c r="H68" i="129"/>
  <c r="I68" i="129" s="1"/>
  <c r="T17" i="129"/>
  <c r="S5" i="129"/>
  <c r="T8" i="131"/>
  <c r="E66" i="132"/>
  <c r="J66" i="132" s="1"/>
  <c r="S19" i="132"/>
  <c r="U18" i="132"/>
  <c r="F68" i="132"/>
  <c r="G68" i="133"/>
  <c r="I57" i="164"/>
  <c r="W24" i="134"/>
  <c r="I60" i="134"/>
  <c r="T34" i="135"/>
  <c r="T19" i="135"/>
  <c r="V19" i="136"/>
  <c r="T9" i="136"/>
  <c r="H69" i="136"/>
  <c r="W24" i="139"/>
  <c r="U8" i="140"/>
  <c r="G77" i="142"/>
  <c r="R11" i="143"/>
  <c r="T22" i="144"/>
  <c r="U17" i="144"/>
  <c r="G64" i="144"/>
  <c r="R35" i="145"/>
  <c r="V24" i="145"/>
  <c r="S12" i="146"/>
  <c r="G66" i="146"/>
  <c r="T13" i="122"/>
  <c r="R19" i="123"/>
  <c r="T17" i="123"/>
  <c r="S16" i="123"/>
  <c r="R11" i="123"/>
  <c r="H63" i="124"/>
  <c r="Q5" i="127"/>
  <c r="E66" i="130"/>
  <c r="G70" i="131"/>
  <c r="I70" i="131" s="1"/>
  <c r="T19" i="131"/>
  <c r="T22" i="132"/>
  <c r="Q19" i="132"/>
  <c r="J65" i="143"/>
  <c r="S34" i="146"/>
  <c r="S26" i="146"/>
  <c r="U13" i="146"/>
  <c r="N75" i="166"/>
  <c r="N101" i="168"/>
  <c r="T26" i="122"/>
  <c r="T24" i="122"/>
  <c r="R17" i="123"/>
  <c r="S9" i="123"/>
  <c r="U22" i="125"/>
  <c r="G68" i="125"/>
  <c r="U20" i="126"/>
  <c r="H70" i="129"/>
  <c r="I70" i="129" s="1"/>
  <c r="U4" i="129"/>
  <c r="U26" i="130"/>
  <c r="F66" i="130"/>
  <c r="U22" i="131"/>
  <c r="T32" i="132"/>
  <c r="Q22" i="132"/>
  <c r="G65" i="132"/>
  <c r="G71" i="132" s="1"/>
  <c r="I71" i="132" s="1"/>
  <c r="L58" i="163"/>
  <c r="R58" i="163" s="1"/>
  <c r="O60" i="136"/>
  <c r="X22" i="137"/>
  <c r="W29" i="142"/>
  <c r="Q36" i="133"/>
  <c r="G70" i="133"/>
  <c r="G65" i="133"/>
  <c r="T16" i="134"/>
  <c r="V11" i="134"/>
  <c r="S10" i="134"/>
  <c r="V29" i="135"/>
  <c r="V21" i="136"/>
  <c r="S19" i="136"/>
  <c r="W22" i="137"/>
  <c r="U24" i="139"/>
  <c r="T19" i="139"/>
  <c r="V9" i="139"/>
  <c r="E77" i="140"/>
  <c r="S31" i="140"/>
  <c r="P76" i="142"/>
  <c r="W19" i="142"/>
  <c r="R17" i="143"/>
  <c r="V9" i="143"/>
  <c r="L87" i="144"/>
  <c r="T32" i="144"/>
  <c r="U30" i="144"/>
  <c r="S27" i="144"/>
  <c r="U20" i="144"/>
  <c r="R5" i="144"/>
  <c r="V11" i="145"/>
  <c r="P107" i="167"/>
  <c r="R23" i="122"/>
  <c r="R7" i="123"/>
  <c r="P26" i="124"/>
  <c r="S11" i="124"/>
  <c r="G63" i="124"/>
  <c r="R4" i="124"/>
  <c r="T30" i="125"/>
  <c r="U17" i="125"/>
  <c r="U31" i="126"/>
  <c r="T26" i="127"/>
  <c r="T12" i="127"/>
  <c r="S25" i="128"/>
  <c r="G71" i="129"/>
  <c r="G69" i="129"/>
  <c r="U16" i="129"/>
  <c r="U14" i="129"/>
  <c r="S4" i="129"/>
  <c r="Q26" i="130"/>
  <c r="S24" i="130"/>
  <c r="T11" i="130"/>
  <c r="E66" i="131"/>
  <c r="J66" i="131" s="1"/>
  <c r="S20" i="131"/>
  <c r="S6" i="131"/>
  <c r="Q13" i="132"/>
  <c r="T6" i="132"/>
  <c r="T4" i="132"/>
  <c r="H70" i="133"/>
  <c r="Q9" i="133"/>
  <c r="V24" i="134"/>
  <c r="I69" i="143"/>
  <c r="I60" i="133"/>
  <c r="T24" i="134"/>
  <c r="U14" i="134"/>
  <c r="T11" i="134"/>
  <c r="T21" i="136"/>
  <c r="V33" i="139"/>
  <c r="T24" i="139"/>
  <c r="V14" i="140"/>
  <c r="H69" i="140"/>
  <c r="I69" i="140" s="1"/>
  <c r="G68" i="142"/>
  <c r="I68" i="142" s="1"/>
  <c r="V24" i="144"/>
  <c r="T20" i="144"/>
  <c r="T18" i="144"/>
  <c r="S29" i="145"/>
  <c r="E67" i="121"/>
  <c r="J67" i="121" s="1"/>
  <c r="E66" i="121"/>
  <c r="J66" i="121" s="1"/>
  <c r="R16" i="121"/>
  <c r="R11" i="121"/>
  <c r="R26" i="122"/>
  <c r="R24" i="122"/>
  <c r="S19" i="123"/>
  <c r="R15" i="123"/>
  <c r="R7" i="124"/>
  <c r="T19" i="127"/>
  <c r="Q19" i="127"/>
  <c r="S5" i="127"/>
  <c r="E66" i="128"/>
  <c r="T20" i="128"/>
  <c r="T34" i="129"/>
  <c r="U19" i="129"/>
  <c r="S16" i="129"/>
  <c r="T14" i="129"/>
  <c r="U33" i="131"/>
  <c r="T32" i="131"/>
  <c r="U27" i="131"/>
  <c r="Q20" i="131"/>
  <c r="S6" i="132"/>
  <c r="L60" i="162"/>
  <c r="I70" i="134"/>
  <c r="S24" i="134"/>
  <c r="S11" i="134"/>
  <c r="R29" i="135"/>
  <c r="U5" i="135"/>
  <c r="P58" i="140"/>
  <c r="W26" i="142"/>
  <c r="U13" i="142"/>
  <c r="V28" i="144"/>
  <c r="F68" i="144"/>
  <c r="F64" i="145"/>
  <c r="K96" i="167"/>
  <c r="P7" i="121"/>
  <c r="S21" i="123"/>
  <c r="T13" i="123"/>
  <c r="T6" i="123"/>
  <c r="E64" i="123"/>
  <c r="T25" i="124"/>
  <c r="P7" i="124"/>
  <c r="K60" i="125"/>
  <c r="F71" i="125" s="1"/>
  <c r="T16" i="126"/>
  <c r="Q10" i="126"/>
  <c r="Q21" i="127"/>
  <c r="Q17" i="127"/>
  <c r="U13" i="127"/>
  <c r="S20" i="128"/>
  <c r="H70" i="128"/>
  <c r="U28" i="129"/>
  <c r="Q19" i="129"/>
  <c r="S20" i="130"/>
  <c r="T7" i="130"/>
  <c r="F65" i="131"/>
  <c r="U12" i="132"/>
  <c r="F60" i="132"/>
  <c r="S16" i="133"/>
  <c r="Q11" i="133"/>
  <c r="F70" i="134"/>
  <c r="J70" i="134" s="1"/>
  <c r="U20" i="134"/>
  <c r="H69" i="137"/>
  <c r="V8" i="139"/>
  <c r="H69" i="142"/>
  <c r="D77" i="143"/>
  <c r="U15" i="143"/>
  <c r="T13" i="146"/>
  <c r="K86" i="166"/>
  <c r="J96" i="167"/>
  <c r="R15" i="121"/>
  <c r="R13" i="122"/>
  <c r="P13" i="123"/>
  <c r="R6" i="123"/>
  <c r="T36" i="124"/>
  <c r="I58" i="124"/>
  <c r="G69" i="126"/>
  <c r="T31" i="128"/>
  <c r="E70" i="128"/>
  <c r="J70" i="128" s="1"/>
  <c r="T16" i="130"/>
  <c r="S12" i="130"/>
  <c r="Q7" i="130"/>
  <c r="U5" i="130"/>
  <c r="S22" i="131"/>
  <c r="T9" i="131"/>
  <c r="T6" i="131"/>
  <c r="H66" i="132"/>
  <c r="M60" i="132"/>
  <c r="Q12" i="132"/>
  <c r="S5" i="132"/>
  <c r="R57" i="171"/>
  <c r="G73" i="171"/>
  <c r="P101" i="168"/>
  <c r="N90" i="168"/>
  <c r="O101" i="168"/>
  <c r="M90" i="168"/>
  <c r="J90" i="168"/>
  <c r="I90" i="168"/>
  <c r="Q89" i="168"/>
  <c r="P90" i="168"/>
  <c r="H90" i="168"/>
  <c r="G72" i="168"/>
  <c r="O96" i="167"/>
  <c r="N96" i="167"/>
  <c r="M96" i="167"/>
  <c r="J107" i="167"/>
  <c r="I89" i="167"/>
  <c r="K107" i="167"/>
  <c r="J89" i="167"/>
  <c r="I57" i="166"/>
  <c r="I73" i="171"/>
  <c r="G57" i="166"/>
  <c r="P86" i="143"/>
  <c r="K76" i="144"/>
  <c r="Q88" i="168"/>
  <c r="Q73" i="166"/>
  <c r="Q75" i="166" s="1"/>
  <c r="I77" i="142"/>
  <c r="K101" i="168"/>
  <c r="H77" i="142"/>
  <c r="M87" i="145"/>
  <c r="N76" i="146"/>
  <c r="J88" i="140"/>
  <c r="M76" i="146"/>
  <c r="O107" i="167"/>
  <c r="N107" i="167"/>
  <c r="D75" i="166"/>
  <c r="J88" i="142"/>
  <c r="P88" i="143"/>
  <c r="H76" i="145"/>
  <c r="P74" i="144"/>
  <c r="J87" i="145"/>
  <c r="O76" i="146"/>
  <c r="D90" i="168"/>
  <c r="Q86" i="166"/>
  <c r="M101" i="168"/>
  <c r="N87" i="146"/>
  <c r="Q105" i="167"/>
  <c r="J76" i="146"/>
  <c r="K90" i="168"/>
  <c r="P85" i="144"/>
  <c r="P85" i="145"/>
  <c r="J87" i="144"/>
  <c r="L77" i="143"/>
  <c r="M76" i="144"/>
  <c r="P74" i="145"/>
  <c r="J77" i="143"/>
  <c r="H96" i="167"/>
  <c r="Q99" i="168"/>
  <c r="J76" i="144"/>
  <c r="K76" i="145"/>
  <c r="P86" i="166"/>
  <c r="G96" i="167"/>
  <c r="P88" i="142"/>
  <c r="J76" i="145"/>
  <c r="F96" i="167"/>
  <c r="K88" i="142"/>
  <c r="H76" i="144"/>
  <c r="I76" i="145"/>
  <c r="M59" i="165"/>
  <c r="O59" i="165"/>
  <c r="I59" i="165"/>
  <c r="E59" i="165"/>
  <c r="I65" i="133"/>
  <c r="I67" i="137"/>
  <c r="S15" i="134"/>
  <c r="T15" i="134"/>
  <c r="V15" i="134"/>
  <c r="E66" i="134"/>
  <c r="F60" i="134"/>
  <c r="S17" i="137"/>
  <c r="T17" i="137"/>
  <c r="U17" i="137"/>
  <c r="W17" i="137"/>
  <c r="W7" i="137"/>
  <c r="T7" i="137"/>
  <c r="U7" i="137"/>
  <c r="S33" i="142"/>
  <c r="T33" i="142"/>
  <c r="U33" i="142"/>
  <c r="V33" i="142"/>
  <c r="G65" i="134"/>
  <c r="R22" i="134"/>
  <c r="S22" i="134"/>
  <c r="V22" i="134"/>
  <c r="S6" i="134"/>
  <c r="K60" i="134"/>
  <c r="P78" i="133"/>
  <c r="U31" i="133"/>
  <c r="F65" i="134"/>
  <c r="U12" i="135"/>
  <c r="U9" i="135"/>
  <c r="R9" i="135"/>
  <c r="S9" i="135"/>
  <c r="T9" i="135"/>
  <c r="V9" i="135"/>
  <c r="S26" i="136"/>
  <c r="T26" i="136"/>
  <c r="V26" i="136"/>
  <c r="T9" i="137"/>
  <c r="U9" i="137"/>
  <c r="W9" i="137"/>
  <c r="E69" i="137"/>
  <c r="J69" i="137" s="1"/>
  <c r="F67" i="139"/>
  <c r="O8" i="139"/>
  <c r="R4" i="145"/>
  <c r="S4" i="145"/>
  <c r="T4" i="145"/>
  <c r="U4" i="145"/>
  <c r="E64" i="145"/>
  <c r="J64" i="145" s="1"/>
  <c r="G57" i="145"/>
  <c r="I66" i="136"/>
  <c r="W25" i="137"/>
  <c r="S25" i="137"/>
  <c r="T25" i="137"/>
  <c r="U25" i="137"/>
  <c r="T4" i="142"/>
  <c r="U4" i="142"/>
  <c r="V4" i="142"/>
  <c r="I107" i="161"/>
  <c r="N34" i="133"/>
  <c r="N32" i="133"/>
  <c r="Q14" i="133"/>
  <c r="R14" i="133"/>
  <c r="S14" i="133"/>
  <c r="T14" i="133"/>
  <c r="E65" i="134"/>
  <c r="U25" i="134"/>
  <c r="R20" i="135"/>
  <c r="S20" i="135"/>
  <c r="T20" i="135"/>
  <c r="V20" i="135"/>
  <c r="S12" i="135"/>
  <c r="T12" i="135"/>
  <c r="V12" i="135"/>
  <c r="R12" i="136"/>
  <c r="S12" i="136"/>
  <c r="T12" i="136"/>
  <c r="V12" i="136"/>
  <c r="M60" i="136"/>
  <c r="W60" i="136" s="1"/>
  <c r="W5" i="136"/>
  <c r="F66" i="137"/>
  <c r="G58" i="142"/>
  <c r="P60" i="133"/>
  <c r="P65" i="133" s="1"/>
  <c r="M60" i="133"/>
  <c r="U60" i="133" s="1"/>
  <c r="E67" i="135"/>
  <c r="R33" i="135"/>
  <c r="S33" i="135"/>
  <c r="T33" i="135"/>
  <c r="V33" i="135"/>
  <c r="Q36" i="127"/>
  <c r="S36" i="127"/>
  <c r="U36" i="127"/>
  <c r="Q23" i="133"/>
  <c r="R23" i="133"/>
  <c r="S23" i="133"/>
  <c r="T23" i="133"/>
  <c r="R25" i="134"/>
  <c r="S25" i="134"/>
  <c r="T25" i="134"/>
  <c r="V25" i="134"/>
  <c r="M60" i="134"/>
  <c r="W60" i="134" s="1"/>
  <c r="F66" i="136"/>
  <c r="N6" i="136"/>
  <c r="K60" i="136"/>
  <c r="T15" i="137"/>
  <c r="U15" i="137"/>
  <c r="W15" i="137"/>
  <c r="K60" i="139"/>
  <c r="V23" i="139"/>
  <c r="S14" i="140"/>
  <c r="F64" i="140"/>
  <c r="E77" i="143"/>
  <c r="P76" i="143"/>
  <c r="G70" i="143"/>
  <c r="F66" i="143"/>
  <c r="J66" i="143" s="1"/>
  <c r="R9" i="143"/>
  <c r="S9" i="143"/>
  <c r="O58" i="143"/>
  <c r="Q12" i="133"/>
  <c r="U8" i="134"/>
  <c r="W8" i="134"/>
  <c r="T6" i="134"/>
  <c r="I60" i="137"/>
  <c r="I78" i="167"/>
  <c r="Q21" i="133"/>
  <c r="R21" i="133"/>
  <c r="S21" i="133"/>
  <c r="T21" i="133"/>
  <c r="E68" i="133"/>
  <c r="J68" i="133" s="1"/>
  <c r="Q4" i="133"/>
  <c r="R4" i="133"/>
  <c r="S4" i="133"/>
  <c r="T4" i="133"/>
  <c r="I60" i="136"/>
  <c r="S29" i="139"/>
  <c r="T29" i="139"/>
  <c r="U29" i="139"/>
  <c r="W7" i="139"/>
  <c r="S7" i="139"/>
  <c r="T7" i="139"/>
  <c r="E66" i="139"/>
  <c r="S33" i="140"/>
  <c r="T33" i="140"/>
  <c r="U33" i="140"/>
  <c r="V33" i="140"/>
  <c r="S16" i="142"/>
  <c r="T16" i="142"/>
  <c r="G69" i="145"/>
  <c r="Q31" i="133"/>
  <c r="F68" i="133"/>
  <c r="S37" i="135"/>
  <c r="T37" i="135"/>
  <c r="V37" i="135"/>
  <c r="R37" i="135"/>
  <c r="F60" i="135"/>
  <c r="P80" i="136" s="1"/>
  <c r="G70" i="135"/>
  <c r="I70" i="135" s="1"/>
  <c r="F67" i="136"/>
  <c r="N17" i="136"/>
  <c r="G66" i="139"/>
  <c r="T35" i="142"/>
  <c r="R4" i="144"/>
  <c r="S4" i="144"/>
  <c r="T4" i="144"/>
  <c r="U4" i="144"/>
  <c r="G57" i="144"/>
  <c r="E63" i="144"/>
  <c r="F70" i="133"/>
  <c r="J70" i="133" s="1"/>
  <c r="N33" i="133"/>
  <c r="U16" i="134"/>
  <c r="G67" i="135"/>
  <c r="H70" i="135"/>
  <c r="R5" i="136"/>
  <c r="S5" i="136"/>
  <c r="T5" i="136"/>
  <c r="V5" i="136"/>
  <c r="E70" i="136"/>
  <c r="J70" i="136" s="1"/>
  <c r="F67" i="137"/>
  <c r="S28" i="137"/>
  <c r="T28" i="137"/>
  <c r="U28" i="137"/>
  <c r="W28" i="137"/>
  <c r="F60" i="137"/>
  <c r="P80" i="145" s="1"/>
  <c r="T14" i="142"/>
  <c r="U14" i="142"/>
  <c r="V14" i="142"/>
  <c r="R12" i="144"/>
  <c r="S12" i="144"/>
  <c r="T12" i="144"/>
  <c r="U12" i="144"/>
  <c r="E64" i="144"/>
  <c r="J64" i="144" s="1"/>
  <c r="F57" i="146"/>
  <c r="G67" i="146"/>
  <c r="I67" i="146" s="1"/>
  <c r="Q25" i="133"/>
  <c r="R25" i="133"/>
  <c r="S25" i="133"/>
  <c r="T25" i="133"/>
  <c r="P79" i="134"/>
  <c r="E66" i="136"/>
  <c r="G64" i="140"/>
  <c r="H67" i="140"/>
  <c r="H70" i="140" s="1"/>
  <c r="H58" i="140"/>
  <c r="Q58" i="140" s="1"/>
  <c r="S26" i="142"/>
  <c r="T26" i="142"/>
  <c r="U26" i="142"/>
  <c r="V26" i="142"/>
  <c r="G75" i="169"/>
  <c r="I75" i="169"/>
  <c r="T37" i="133"/>
  <c r="H65" i="134"/>
  <c r="H67" i="136"/>
  <c r="I67" i="136" s="1"/>
  <c r="D22" i="137"/>
  <c r="D60" i="137" s="1"/>
  <c r="S20" i="137"/>
  <c r="T20" i="137"/>
  <c r="U20" i="137"/>
  <c r="W20" i="137"/>
  <c r="V16" i="139"/>
  <c r="G67" i="139"/>
  <c r="U28" i="142"/>
  <c r="S28" i="142"/>
  <c r="T28" i="142"/>
  <c r="U16" i="142"/>
  <c r="R15" i="144"/>
  <c r="S15" i="144"/>
  <c r="U15" i="144"/>
  <c r="M57" i="144"/>
  <c r="V57" i="144" s="1"/>
  <c r="V5" i="144"/>
  <c r="P75" i="145"/>
  <c r="P76" i="145" s="1"/>
  <c r="D76" i="145"/>
  <c r="F65" i="133"/>
  <c r="U11" i="134"/>
  <c r="R16" i="136"/>
  <c r="S16" i="136"/>
  <c r="T16" i="136"/>
  <c r="V16" i="136"/>
  <c r="E67" i="136"/>
  <c r="V10" i="136"/>
  <c r="S25" i="139"/>
  <c r="T25" i="139"/>
  <c r="U25" i="139"/>
  <c r="W25" i="139"/>
  <c r="P87" i="140"/>
  <c r="P88" i="140" s="1"/>
  <c r="S4" i="142"/>
  <c r="E65" i="133"/>
  <c r="Q7" i="133"/>
  <c r="S7" i="133"/>
  <c r="H60" i="134"/>
  <c r="R15" i="134"/>
  <c r="S7" i="137"/>
  <c r="T11" i="139"/>
  <c r="S11" i="139"/>
  <c r="U11" i="139"/>
  <c r="W11" i="139"/>
  <c r="S7" i="140"/>
  <c r="U7" i="140"/>
  <c r="V7" i="140"/>
  <c r="P75" i="143"/>
  <c r="F77" i="143"/>
  <c r="G61" i="170"/>
  <c r="R61" i="170" s="1"/>
  <c r="Q16" i="133"/>
  <c r="R16" i="133"/>
  <c r="T16" i="133"/>
  <c r="G60" i="134"/>
  <c r="P78" i="134" s="1"/>
  <c r="R20" i="134"/>
  <c r="S20" i="134"/>
  <c r="T20" i="134"/>
  <c r="V20" i="134"/>
  <c r="E71" i="135"/>
  <c r="J71" i="135" s="1"/>
  <c r="R22" i="135"/>
  <c r="S22" i="135"/>
  <c r="S5" i="135"/>
  <c r="T5" i="135"/>
  <c r="V5" i="135"/>
  <c r="R5" i="135"/>
  <c r="E69" i="135"/>
  <c r="R14" i="136"/>
  <c r="S14" i="136"/>
  <c r="V14" i="136"/>
  <c r="G71" i="137"/>
  <c r="I71" i="137" s="1"/>
  <c r="O6" i="137"/>
  <c r="K60" i="137"/>
  <c r="S11" i="142"/>
  <c r="E68" i="142"/>
  <c r="J68" i="142" s="1"/>
  <c r="U21" i="146"/>
  <c r="T21" i="146"/>
  <c r="V9" i="146"/>
  <c r="M57" i="146"/>
  <c r="V57" i="146" s="1"/>
  <c r="G66" i="133"/>
  <c r="I66" i="133" s="1"/>
  <c r="T22" i="134"/>
  <c r="I71" i="135"/>
  <c r="V21" i="135"/>
  <c r="R21" i="135"/>
  <c r="S21" i="135"/>
  <c r="W35" i="139"/>
  <c r="S35" i="139"/>
  <c r="T35" i="139"/>
  <c r="U35" i="139"/>
  <c r="K58" i="140"/>
  <c r="F70" i="140" s="1"/>
  <c r="F65" i="140"/>
  <c r="O57" i="146"/>
  <c r="F67" i="146"/>
  <c r="F63" i="146"/>
  <c r="K57" i="146"/>
  <c r="F69" i="146" s="1"/>
  <c r="F66" i="146"/>
  <c r="J66" i="146" s="1"/>
  <c r="I69" i="133"/>
  <c r="V6" i="134"/>
  <c r="U11" i="135"/>
  <c r="R26" i="136"/>
  <c r="O24" i="137"/>
  <c r="O23" i="137"/>
  <c r="S9" i="137"/>
  <c r="H70" i="139"/>
  <c r="W4" i="142"/>
  <c r="N58" i="142"/>
  <c r="W58" i="142" s="1"/>
  <c r="T5" i="132"/>
  <c r="H60" i="132"/>
  <c r="H65" i="132"/>
  <c r="H71" i="132" s="1"/>
  <c r="K60" i="133"/>
  <c r="T60" i="133" s="1"/>
  <c r="T65" i="133" s="1"/>
  <c r="N28" i="133"/>
  <c r="F69" i="133"/>
  <c r="R6" i="134"/>
  <c r="V22" i="135"/>
  <c r="R12" i="135"/>
  <c r="N60" i="137"/>
  <c r="X60" i="137" s="1"/>
  <c r="H66" i="137"/>
  <c r="H60" i="137"/>
  <c r="S6" i="139"/>
  <c r="S60" i="139" s="1"/>
  <c r="E70" i="139"/>
  <c r="T6" i="139"/>
  <c r="U6" i="139"/>
  <c r="W6" i="139"/>
  <c r="G60" i="139"/>
  <c r="I68" i="140"/>
  <c r="I58" i="140"/>
  <c r="K58" i="142"/>
  <c r="F70" i="142" s="1"/>
  <c r="F64" i="142"/>
  <c r="I62" i="163"/>
  <c r="Q79" i="133"/>
  <c r="Q37" i="133"/>
  <c r="U31" i="135"/>
  <c r="S15" i="137"/>
  <c r="S5" i="137"/>
  <c r="E64" i="142"/>
  <c r="S29" i="142"/>
  <c r="T29" i="142"/>
  <c r="U29" i="142"/>
  <c r="V29" i="142"/>
  <c r="E69" i="142"/>
  <c r="J69" i="142" s="1"/>
  <c r="M87" i="146"/>
  <c r="P86" i="146"/>
  <c r="R21" i="146"/>
  <c r="S60" i="133"/>
  <c r="S65" i="133" s="1"/>
  <c r="G61" i="133"/>
  <c r="I61" i="133"/>
  <c r="G62" i="133"/>
  <c r="G62" i="134" s="1"/>
  <c r="G63" i="135" s="1"/>
  <c r="P79" i="133"/>
  <c r="T12" i="133"/>
  <c r="U15" i="134"/>
  <c r="U12" i="134"/>
  <c r="H66" i="134"/>
  <c r="I66" i="134" s="1"/>
  <c r="T22" i="135"/>
  <c r="F66" i="135"/>
  <c r="T27" i="137"/>
  <c r="S27" i="137"/>
  <c r="U27" i="137"/>
  <c r="W27" i="137"/>
  <c r="P76" i="140"/>
  <c r="G69" i="142"/>
  <c r="I69" i="142" s="1"/>
  <c r="S21" i="142"/>
  <c r="T21" i="142"/>
  <c r="U21" i="142"/>
  <c r="I58" i="142"/>
  <c r="V4" i="143"/>
  <c r="M58" i="143"/>
  <c r="V58" i="143" s="1"/>
  <c r="H63" i="144"/>
  <c r="H69" i="144" s="1"/>
  <c r="S24" i="140"/>
  <c r="T24" i="140"/>
  <c r="V24" i="140"/>
  <c r="V10" i="140"/>
  <c r="S6" i="142"/>
  <c r="T6" i="142"/>
  <c r="I64" i="144"/>
  <c r="I57" i="145"/>
  <c r="R25" i="146"/>
  <c r="S25" i="146"/>
  <c r="T25" i="146"/>
  <c r="U25" i="146"/>
  <c r="H140" i="147"/>
  <c r="F66" i="129"/>
  <c r="U13" i="129"/>
  <c r="S13" i="129"/>
  <c r="U21" i="135"/>
  <c r="R18" i="136"/>
  <c r="S18" i="136"/>
  <c r="T18" i="136"/>
  <c r="U5" i="136"/>
  <c r="U10" i="137"/>
  <c r="I69" i="137"/>
  <c r="S9" i="139"/>
  <c r="T9" i="139"/>
  <c r="U9" i="139"/>
  <c r="V7" i="139"/>
  <c r="G67" i="140"/>
  <c r="I67" i="140" s="1"/>
  <c r="R21" i="143"/>
  <c r="T21" i="143"/>
  <c r="U21" i="143"/>
  <c r="S21" i="143"/>
  <c r="K87" i="145"/>
  <c r="P86" i="145"/>
  <c r="F141" i="147"/>
  <c r="F146" i="147"/>
  <c r="F151" i="147"/>
  <c r="F144" i="147"/>
  <c r="F145" i="147"/>
  <c r="Q20" i="125"/>
  <c r="S20" i="125"/>
  <c r="T23" i="127"/>
  <c r="T20" i="127"/>
  <c r="H65" i="127"/>
  <c r="S20" i="127"/>
  <c r="U20" i="127"/>
  <c r="S10" i="137"/>
  <c r="H66" i="139"/>
  <c r="U23" i="139"/>
  <c r="W23" i="139"/>
  <c r="T19" i="142"/>
  <c r="U19" i="142"/>
  <c r="V19" i="142"/>
  <c r="T13" i="144"/>
  <c r="U13" i="144"/>
  <c r="F63" i="144"/>
  <c r="K57" i="144"/>
  <c r="F69" i="144" s="1"/>
  <c r="R30" i="145"/>
  <c r="S30" i="145"/>
  <c r="T30" i="145"/>
  <c r="U30" i="145"/>
  <c r="R32" i="146"/>
  <c r="S32" i="146"/>
  <c r="U32" i="146"/>
  <c r="T32" i="146"/>
  <c r="H139" i="147"/>
  <c r="I139" i="147"/>
  <c r="V19" i="134"/>
  <c r="V12" i="134"/>
  <c r="S25" i="135"/>
  <c r="T25" i="135"/>
  <c r="V25" i="135"/>
  <c r="R7" i="136"/>
  <c r="S7" i="136"/>
  <c r="V7" i="136"/>
  <c r="X33" i="139"/>
  <c r="W27" i="139"/>
  <c r="S14" i="139"/>
  <c r="U14" i="139"/>
  <c r="U21" i="140"/>
  <c r="S34" i="142"/>
  <c r="T34" i="142"/>
  <c r="U34" i="142"/>
  <c r="R7" i="144"/>
  <c r="F66" i="144"/>
  <c r="S7" i="144"/>
  <c r="I66" i="146"/>
  <c r="F220" i="147"/>
  <c r="F152" i="147"/>
  <c r="F66" i="134"/>
  <c r="U19" i="134"/>
  <c r="H66" i="135"/>
  <c r="R23" i="136"/>
  <c r="S23" i="136"/>
  <c r="T23" i="136"/>
  <c r="V23" i="136"/>
  <c r="F66" i="139"/>
  <c r="N58" i="140"/>
  <c r="W58" i="140" s="1"/>
  <c r="T21" i="140"/>
  <c r="V16" i="140"/>
  <c r="S7" i="142"/>
  <c r="T7" i="142"/>
  <c r="U7" i="142"/>
  <c r="V7" i="142"/>
  <c r="R34" i="144"/>
  <c r="S34" i="144"/>
  <c r="T34" i="144"/>
  <c r="U34" i="144"/>
  <c r="R32" i="145"/>
  <c r="S32" i="145"/>
  <c r="U32" i="145"/>
  <c r="T32" i="145"/>
  <c r="S35" i="127"/>
  <c r="U35" i="127"/>
  <c r="T36" i="133"/>
  <c r="T30" i="133"/>
  <c r="T18" i="133"/>
  <c r="T11" i="133"/>
  <c r="T9" i="133"/>
  <c r="T19" i="134"/>
  <c r="T12" i="134"/>
  <c r="U13" i="135"/>
  <c r="V8" i="135"/>
  <c r="E66" i="135"/>
  <c r="E67" i="137"/>
  <c r="O13" i="137"/>
  <c r="O11" i="137"/>
  <c r="U27" i="139"/>
  <c r="V6" i="139"/>
  <c r="F60" i="139"/>
  <c r="U23" i="140"/>
  <c r="V19" i="140"/>
  <c r="U16" i="140"/>
  <c r="U6" i="140"/>
  <c r="S5" i="140"/>
  <c r="T5" i="140"/>
  <c r="U5" i="140"/>
  <c r="V5" i="140"/>
  <c r="E65" i="140"/>
  <c r="T13" i="142"/>
  <c r="R24" i="144"/>
  <c r="F138" i="147"/>
  <c r="Q94" i="167"/>
  <c r="P96" i="167"/>
  <c r="I72" i="168"/>
  <c r="E69" i="133"/>
  <c r="J69" i="133" s="1"/>
  <c r="E66" i="133"/>
  <c r="J66" i="133" s="1"/>
  <c r="S36" i="133"/>
  <c r="S30" i="133"/>
  <c r="S18" i="133"/>
  <c r="S11" i="133"/>
  <c r="S9" i="133"/>
  <c r="W35" i="135"/>
  <c r="N23" i="135"/>
  <c r="F71" i="135"/>
  <c r="S13" i="135"/>
  <c r="T13" i="135"/>
  <c r="V13" i="135"/>
  <c r="G66" i="135"/>
  <c r="T4" i="136"/>
  <c r="G60" i="137"/>
  <c r="T16" i="137"/>
  <c r="U16" i="137"/>
  <c r="W16" i="137"/>
  <c r="T4" i="137"/>
  <c r="T27" i="139"/>
  <c r="H60" i="139"/>
  <c r="P75" i="140"/>
  <c r="T25" i="140"/>
  <c r="U25" i="140"/>
  <c r="V25" i="140"/>
  <c r="T23" i="140"/>
  <c r="U19" i="140"/>
  <c r="T6" i="140"/>
  <c r="W35" i="142"/>
  <c r="S13" i="142"/>
  <c r="R28" i="144"/>
  <c r="S28" i="144"/>
  <c r="U28" i="144"/>
  <c r="S14" i="144"/>
  <c r="R13" i="144"/>
  <c r="S5" i="144"/>
  <c r="T5" i="144"/>
  <c r="U5" i="144"/>
  <c r="F219" i="147"/>
  <c r="F150" i="147"/>
  <c r="S58" i="124"/>
  <c r="R36" i="133"/>
  <c r="R30" i="133"/>
  <c r="R18" i="133"/>
  <c r="R11" i="133"/>
  <c r="R9" i="133"/>
  <c r="S27" i="135"/>
  <c r="T27" i="135"/>
  <c r="V27" i="135"/>
  <c r="S4" i="136"/>
  <c r="G66" i="137"/>
  <c r="S4" i="137"/>
  <c r="T33" i="139"/>
  <c r="S17" i="139"/>
  <c r="T17" i="139"/>
  <c r="U17" i="139"/>
  <c r="W17" i="139"/>
  <c r="S15" i="143"/>
  <c r="R15" i="143"/>
  <c r="T15" i="143"/>
  <c r="J67" i="144"/>
  <c r="T7" i="144"/>
  <c r="F218" i="147"/>
  <c r="R25" i="136"/>
  <c r="S25" i="136"/>
  <c r="T25" i="136"/>
  <c r="V25" i="136"/>
  <c r="R10" i="136"/>
  <c r="S10" i="136"/>
  <c r="T10" i="136"/>
  <c r="S19" i="137"/>
  <c r="T19" i="137"/>
  <c r="U19" i="137"/>
  <c r="W19" i="137"/>
  <c r="O32" i="139"/>
  <c r="O30" i="139"/>
  <c r="F70" i="139"/>
  <c r="S24" i="142"/>
  <c r="T24" i="142"/>
  <c r="S22" i="142"/>
  <c r="T22" i="142"/>
  <c r="U22" i="142"/>
  <c r="V22" i="142"/>
  <c r="V11" i="142"/>
  <c r="F64" i="143"/>
  <c r="R6" i="143"/>
  <c r="S6" i="143"/>
  <c r="T6" i="143"/>
  <c r="P85" i="146"/>
  <c r="J87" i="146"/>
  <c r="K62" i="166"/>
  <c r="K66" i="164"/>
  <c r="F149" i="147"/>
  <c r="S31" i="135"/>
  <c r="U15" i="135"/>
  <c r="I60" i="135"/>
  <c r="F69" i="136"/>
  <c r="E66" i="137"/>
  <c r="E67" i="139"/>
  <c r="J67" i="139" s="1"/>
  <c r="E68" i="140"/>
  <c r="J68" i="140" s="1"/>
  <c r="V31" i="140"/>
  <c r="E65" i="142"/>
  <c r="J65" i="142" s="1"/>
  <c r="S37" i="142"/>
  <c r="T37" i="142"/>
  <c r="U37" i="142"/>
  <c r="U11" i="142"/>
  <c r="V6" i="142"/>
  <c r="R15" i="135"/>
  <c r="S15" i="135"/>
  <c r="T15" i="135"/>
  <c r="V15" i="135"/>
  <c r="H60" i="135"/>
  <c r="H70" i="136"/>
  <c r="I70" i="136" s="1"/>
  <c r="H60" i="136"/>
  <c r="P60" i="136" s="1"/>
  <c r="H67" i="139"/>
  <c r="U31" i="140"/>
  <c r="U10" i="140"/>
  <c r="V4" i="140"/>
  <c r="T11" i="142"/>
  <c r="U6" i="142"/>
  <c r="U22" i="143"/>
  <c r="E69" i="143"/>
  <c r="J69" i="143" s="1"/>
  <c r="V10" i="134"/>
  <c r="R35" i="135"/>
  <c r="S35" i="135"/>
  <c r="T35" i="135"/>
  <c r="V35" i="135"/>
  <c r="U20" i="135"/>
  <c r="G60" i="135"/>
  <c r="R4" i="135"/>
  <c r="T4" i="135"/>
  <c r="G60" i="136"/>
  <c r="D77" i="140"/>
  <c r="G58" i="140"/>
  <c r="V28" i="140"/>
  <c r="U24" i="140"/>
  <c r="T10" i="140"/>
  <c r="S9" i="140"/>
  <c r="T9" i="140"/>
  <c r="U9" i="140"/>
  <c r="U4" i="140"/>
  <c r="P75" i="142"/>
  <c r="P77" i="142" s="1"/>
  <c r="U35" i="142"/>
  <c r="V35" i="142"/>
  <c r="W16" i="142"/>
  <c r="M57" i="145"/>
  <c r="V57" i="145" s="1"/>
  <c r="U15" i="146"/>
  <c r="R15" i="146"/>
  <c r="S15" i="146"/>
  <c r="T15" i="146"/>
  <c r="R9" i="146"/>
  <c r="S9" i="146"/>
  <c r="T9" i="146"/>
  <c r="U9" i="146"/>
  <c r="E67" i="146"/>
  <c r="G57" i="146"/>
  <c r="U5" i="146"/>
  <c r="S37" i="133"/>
  <c r="S31" i="133"/>
  <c r="T26" i="133"/>
  <c r="S19" i="133"/>
  <c r="S12" i="133"/>
  <c r="V16" i="134"/>
  <c r="T10" i="134"/>
  <c r="E70" i="135"/>
  <c r="J70" i="135" s="1"/>
  <c r="W5" i="135"/>
  <c r="M60" i="135"/>
  <c r="W60" i="135" s="1"/>
  <c r="V18" i="136"/>
  <c r="E69" i="136"/>
  <c r="U22" i="137"/>
  <c r="U5" i="137"/>
  <c r="V4" i="137"/>
  <c r="W21" i="139"/>
  <c r="V20" i="139"/>
  <c r="W9" i="139"/>
  <c r="G70" i="139"/>
  <c r="I70" i="139" s="1"/>
  <c r="W4" i="139"/>
  <c r="E67" i="140"/>
  <c r="J67" i="140" s="1"/>
  <c r="T28" i="140"/>
  <c r="S16" i="140"/>
  <c r="U14" i="140"/>
  <c r="E77" i="142"/>
  <c r="S19" i="142"/>
  <c r="V9" i="142"/>
  <c r="K58" i="143"/>
  <c r="F70" i="143" s="1"/>
  <c r="P74" i="146"/>
  <c r="F76" i="146"/>
  <c r="R8" i="146"/>
  <c r="E63" i="146"/>
  <c r="S8" i="146"/>
  <c r="T8" i="146"/>
  <c r="U8" i="146"/>
  <c r="P18" i="121"/>
  <c r="R18" i="121"/>
  <c r="E65" i="121"/>
  <c r="J65" i="121" s="1"/>
  <c r="G59" i="121"/>
  <c r="R37" i="133"/>
  <c r="R31" i="133"/>
  <c r="R19" i="133"/>
  <c r="R12" i="133"/>
  <c r="K60" i="135"/>
  <c r="F69" i="135"/>
  <c r="G69" i="136"/>
  <c r="I69" i="136" s="1"/>
  <c r="F71" i="137"/>
  <c r="T22" i="137"/>
  <c r="X7" i="137"/>
  <c r="T5" i="137"/>
  <c r="U4" i="137"/>
  <c r="W4" i="137"/>
  <c r="T23" i="139"/>
  <c r="S20" i="139"/>
  <c r="T20" i="139"/>
  <c r="U20" i="139"/>
  <c r="W20" i="139"/>
  <c r="W14" i="139"/>
  <c r="V4" i="139"/>
  <c r="T14" i="140"/>
  <c r="W10" i="140"/>
  <c r="D77" i="142"/>
  <c r="V34" i="142"/>
  <c r="S18" i="142"/>
  <c r="T18" i="142"/>
  <c r="U18" i="142"/>
  <c r="V18" i="142"/>
  <c r="T9" i="142"/>
  <c r="J64" i="146"/>
  <c r="G63" i="146"/>
  <c r="P20" i="121"/>
  <c r="R20" i="121"/>
  <c r="S10" i="122"/>
  <c r="H63" i="122"/>
  <c r="S8" i="122"/>
  <c r="L58" i="122"/>
  <c r="U8" i="135"/>
  <c r="S23" i="139"/>
  <c r="E64" i="140"/>
  <c r="S19" i="140"/>
  <c r="S9" i="142"/>
  <c r="U14" i="144"/>
  <c r="E66" i="144"/>
  <c r="J66" i="144" s="1"/>
  <c r="T14" i="144"/>
  <c r="R10" i="144"/>
  <c r="S10" i="144"/>
  <c r="T10" i="144"/>
  <c r="U10" i="144"/>
  <c r="S27" i="146"/>
  <c r="R27" i="146"/>
  <c r="T27" i="146"/>
  <c r="U27" i="146"/>
  <c r="I65" i="121"/>
  <c r="I63" i="124"/>
  <c r="S9" i="126"/>
  <c r="Q30" i="129"/>
  <c r="S30" i="129"/>
  <c r="U30" i="129"/>
  <c r="Q95" i="167"/>
  <c r="D96" i="167"/>
  <c r="P24" i="121"/>
  <c r="R24" i="121"/>
  <c r="I63" i="122"/>
  <c r="G68" i="122"/>
  <c r="U25" i="125"/>
  <c r="Q25" i="125"/>
  <c r="S25" i="125"/>
  <c r="G58" i="143"/>
  <c r="R4" i="143"/>
  <c r="S4" i="143"/>
  <c r="T4" i="143"/>
  <c r="U4" i="143"/>
  <c r="T24" i="144"/>
  <c r="F76" i="145"/>
  <c r="R34" i="145"/>
  <c r="S34" i="145"/>
  <c r="T34" i="145"/>
  <c r="U34" i="145"/>
  <c r="E63" i="145"/>
  <c r="S9" i="145"/>
  <c r="U9" i="145"/>
  <c r="H57" i="145"/>
  <c r="P57" i="145" s="1"/>
  <c r="H63" i="145"/>
  <c r="H69" i="145" s="1"/>
  <c r="R17" i="146"/>
  <c r="S17" i="146"/>
  <c r="T17" i="146"/>
  <c r="U17" i="146"/>
  <c r="F148" i="147"/>
  <c r="E64" i="143"/>
  <c r="S13" i="143"/>
  <c r="T13" i="143"/>
  <c r="I68" i="145"/>
  <c r="P75" i="146"/>
  <c r="F147" i="147"/>
  <c r="R19" i="122"/>
  <c r="E67" i="122"/>
  <c r="J67" i="122" s="1"/>
  <c r="P19" i="122"/>
  <c r="T19" i="122"/>
  <c r="G66" i="123"/>
  <c r="I66" i="123" s="1"/>
  <c r="F58" i="123"/>
  <c r="N58" i="123" s="1"/>
  <c r="I69" i="125"/>
  <c r="Q27" i="125"/>
  <c r="S27" i="125"/>
  <c r="U27" i="125"/>
  <c r="P26" i="121"/>
  <c r="R26" i="121"/>
  <c r="M59" i="121"/>
  <c r="P14" i="122"/>
  <c r="R14" i="122"/>
  <c r="T14" i="122"/>
  <c r="I57" i="171"/>
  <c r="M58" i="123"/>
  <c r="S25" i="124"/>
  <c r="H64" i="124"/>
  <c r="I64" i="124" s="1"/>
  <c r="T58" i="124"/>
  <c r="D60" i="124"/>
  <c r="H68" i="127"/>
  <c r="T5" i="127"/>
  <c r="Q34" i="129"/>
  <c r="S34" i="129"/>
  <c r="U34" i="129"/>
  <c r="U13" i="143"/>
  <c r="T8" i="143"/>
  <c r="T15" i="144"/>
  <c r="G66" i="144"/>
  <c r="I66" i="144" s="1"/>
  <c r="F57" i="144"/>
  <c r="P57" i="144" s="1"/>
  <c r="V35" i="145"/>
  <c r="R27" i="145"/>
  <c r="S27" i="145"/>
  <c r="T27" i="145"/>
  <c r="T20" i="145"/>
  <c r="T9" i="145"/>
  <c r="P14" i="121"/>
  <c r="R14" i="121"/>
  <c r="H59" i="121"/>
  <c r="K59" i="121"/>
  <c r="F64" i="121"/>
  <c r="G58" i="122"/>
  <c r="P10" i="123"/>
  <c r="R10" i="123"/>
  <c r="T10" i="123"/>
  <c r="E63" i="123"/>
  <c r="S22" i="124"/>
  <c r="T9" i="130"/>
  <c r="T12" i="130"/>
  <c r="T5" i="130"/>
  <c r="H60" i="130"/>
  <c r="H65" i="130"/>
  <c r="R13" i="143"/>
  <c r="R14" i="145"/>
  <c r="S14" i="145"/>
  <c r="T14" i="145"/>
  <c r="U14" i="145"/>
  <c r="R9" i="145"/>
  <c r="T34" i="146"/>
  <c r="R30" i="146"/>
  <c r="S30" i="146"/>
  <c r="T30" i="146"/>
  <c r="U30" i="146"/>
  <c r="H57" i="146"/>
  <c r="K69" i="163"/>
  <c r="K85" i="172"/>
  <c r="F75" i="166"/>
  <c r="R27" i="121"/>
  <c r="E67" i="124"/>
  <c r="J67" i="124" s="1"/>
  <c r="R19" i="143"/>
  <c r="S19" i="143"/>
  <c r="T19" i="143"/>
  <c r="U19" i="143"/>
  <c r="O57" i="144"/>
  <c r="R34" i="146"/>
  <c r="V17" i="146"/>
  <c r="S5" i="146"/>
  <c r="H181" i="147"/>
  <c r="F59" i="121"/>
  <c r="G64" i="121"/>
  <c r="I59" i="121"/>
  <c r="S24" i="124"/>
  <c r="M60" i="125"/>
  <c r="U12" i="128"/>
  <c r="E65" i="128"/>
  <c r="Q12" i="128"/>
  <c r="S12" i="128"/>
  <c r="H58" i="143"/>
  <c r="P58" i="143" s="1"/>
  <c r="H64" i="143"/>
  <c r="H70" i="143" s="1"/>
  <c r="P86" i="144"/>
  <c r="V8" i="144"/>
  <c r="U11" i="145"/>
  <c r="F63" i="145"/>
  <c r="S21" i="146"/>
  <c r="F64" i="146"/>
  <c r="F63" i="122"/>
  <c r="K58" i="122"/>
  <c r="F68" i="122" s="1"/>
  <c r="Q9" i="127"/>
  <c r="S9" i="127"/>
  <c r="U9" i="127"/>
  <c r="V13" i="143"/>
  <c r="P75" i="144"/>
  <c r="F76" i="144"/>
  <c r="R33" i="144"/>
  <c r="S33" i="144"/>
  <c r="U33" i="144"/>
  <c r="E68" i="144"/>
  <c r="J68" i="144" s="1"/>
  <c r="G68" i="144"/>
  <c r="I68" i="144" s="1"/>
  <c r="E66" i="145"/>
  <c r="J66" i="145" s="1"/>
  <c r="R37" i="145"/>
  <c r="S37" i="145"/>
  <c r="T37" i="145"/>
  <c r="U37" i="145"/>
  <c r="R16" i="145"/>
  <c r="S16" i="145"/>
  <c r="T16" i="145"/>
  <c r="U16" i="145"/>
  <c r="R29" i="146"/>
  <c r="S29" i="146"/>
  <c r="T29" i="146"/>
  <c r="F221" i="147"/>
  <c r="M107" i="167"/>
  <c r="Q106" i="167"/>
  <c r="H65" i="125"/>
  <c r="T5" i="125"/>
  <c r="I68" i="127"/>
  <c r="I69" i="128"/>
  <c r="V16" i="142"/>
  <c r="S30" i="144"/>
  <c r="T30" i="144"/>
  <c r="S18" i="144"/>
  <c r="U18" i="144"/>
  <c r="T26" i="146"/>
  <c r="U26" i="146"/>
  <c r="U23" i="146"/>
  <c r="F143" i="147"/>
  <c r="S14" i="123"/>
  <c r="S13" i="123"/>
  <c r="U9" i="143"/>
  <c r="R39" i="145"/>
  <c r="S39" i="145"/>
  <c r="T39" i="145"/>
  <c r="U39" i="145"/>
  <c r="H64" i="145"/>
  <c r="I64" i="145" s="1"/>
  <c r="R18" i="145"/>
  <c r="H64" i="146"/>
  <c r="I64" i="146" s="1"/>
  <c r="F142" i="147"/>
  <c r="Q100" i="168"/>
  <c r="D101" i="168"/>
  <c r="S7" i="122"/>
  <c r="H58" i="122"/>
  <c r="S58" i="122" s="1"/>
  <c r="H64" i="122"/>
  <c r="I64" i="122" s="1"/>
  <c r="Q30" i="126"/>
  <c r="S30" i="126"/>
  <c r="U30" i="126"/>
  <c r="P24" i="123"/>
  <c r="R24" i="123"/>
  <c r="T24" i="123"/>
  <c r="G63" i="123"/>
  <c r="R37" i="124"/>
  <c r="T37" i="124"/>
  <c r="E66" i="124"/>
  <c r="J66" i="124" s="1"/>
  <c r="U18" i="125"/>
  <c r="Q18" i="125"/>
  <c r="T17" i="128"/>
  <c r="T14" i="128"/>
  <c r="T7" i="131"/>
  <c r="H66" i="131"/>
  <c r="F60" i="131"/>
  <c r="G65" i="131"/>
  <c r="I58" i="122"/>
  <c r="Q30" i="127"/>
  <c r="S30" i="127"/>
  <c r="Q11" i="127"/>
  <c r="S11" i="127"/>
  <c r="E65" i="129"/>
  <c r="U16" i="130"/>
  <c r="E68" i="130"/>
  <c r="S16" i="130"/>
  <c r="F60" i="130"/>
  <c r="G65" i="130"/>
  <c r="U32" i="144"/>
  <c r="U27" i="144"/>
  <c r="E64" i="121"/>
  <c r="M58" i="122"/>
  <c r="T6" i="122"/>
  <c r="T22" i="123"/>
  <c r="P22" i="123"/>
  <c r="T15" i="123"/>
  <c r="F63" i="123"/>
  <c r="K58" i="123"/>
  <c r="F69" i="123" s="1"/>
  <c r="Q11" i="125"/>
  <c r="S11" i="125"/>
  <c r="T27" i="126"/>
  <c r="T28" i="128"/>
  <c r="Q17" i="129"/>
  <c r="S17" i="129"/>
  <c r="U17" i="129"/>
  <c r="T5" i="129"/>
  <c r="I69" i="130"/>
  <c r="H68" i="130"/>
  <c r="I68" i="130" s="1"/>
  <c r="T26" i="130"/>
  <c r="I66" i="131"/>
  <c r="E68" i="128"/>
  <c r="Q18" i="128"/>
  <c r="U14" i="128"/>
  <c r="F69" i="128"/>
  <c r="U15" i="129"/>
  <c r="S15" i="129"/>
  <c r="Q17" i="130"/>
  <c r="U17" i="130"/>
  <c r="U18" i="143"/>
  <c r="U28" i="146"/>
  <c r="T10" i="122"/>
  <c r="P10" i="122"/>
  <c r="T22" i="124"/>
  <c r="Q30" i="125"/>
  <c r="S30" i="125"/>
  <c r="T10" i="125"/>
  <c r="Q4" i="125"/>
  <c r="S4" i="125"/>
  <c r="E65" i="125"/>
  <c r="G60" i="125"/>
  <c r="T21" i="126"/>
  <c r="F66" i="127"/>
  <c r="J66" i="127" s="1"/>
  <c r="J66" i="128"/>
  <c r="T32" i="129"/>
  <c r="T20" i="130"/>
  <c r="S18" i="143"/>
  <c r="U24" i="145"/>
  <c r="S20" i="145"/>
  <c r="S28" i="146"/>
  <c r="P19" i="121"/>
  <c r="T12" i="122"/>
  <c r="P12" i="122"/>
  <c r="F68" i="124"/>
  <c r="G67" i="124"/>
  <c r="I67" i="124" s="1"/>
  <c r="S31" i="125"/>
  <c r="H68" i="125"/>
  <c r="I68" i="125" s="1"/>
  <c r="F65" i="127"/>
  <c r="Q22" i="130"/>
  <c r="S22" i="130"/>
  <c r="U22" i="130"/>
  <c r="E69" i="130"/>
  <c r="J69" i="130" s="1"/>
  <c r="I60" i="131"/>
  <c r="T24" i="145"/>
  <c r="U18" i="145"/>
  <c r="D45" i="173"/>
  <c r="S17" i="124"/>
  <c r="S5" i="124"/>
  <c r="Q31" i="125"/>
  <c r="Q19" i="126"/>
  <c r="S19" i="126"/>
  <c r="K60" i="126"/>
  <c r="F71" i="126" s="1"/>
  <c r="F60" i="128"/>
  <c r="G65" i="128"/>
  <c r="F68" i="129"/>
  <c r="F65" i="129"/>
  <c r="K60" i="129"/>
  <c r="F71" i="129" s="1"/>
  <c r="T4" i="130"/>
  <c r="T4" i="131"/>
  <c r="H60" i="131"/>
  <c r="T60" i="131" s="1"/>
  <c r="L57" i="164"/>
  <c r="R57" i="164" s="1"/>
  <c r="R8" i="122"/>
  <c r="J64" i="123"/>
  <c r="E69" i="125"/>
  <c r="J69" i="125" s="1"/>
  <c r="F66" i="126"/>
  <c r="J66" i="126" s="1"/>
  <c r="T25" i="126"/>
  <c r="E69" i="126"/>
  <c r="F69" i="127"/>
  <c r="J69" i="127" s="1"/>
  <c r="Q4" i="127"/>
  <c r="S4" i="127"/>
  <c r="U4" i="127"/>
  <c r="G60" i="127"/>
  <c r="G70" i="128"/>
  <c r="I70" i="128" s="1"/>
  <c r="Q4" i="130"/>
  <c r="S4" i="130"/>
  <c r="U4" i="130"/>
  <c r="S60" i="131"/>
  <c r="U60" i="131"/>
  <c r="G61" i="131"/>
  <c r="I61" i="131"/>
  <c r="I65" i="132"/>
  <c r="I60" i="132"/>
  <c r="S18" i="145"/>
  <c r="S16" i="122"/>
  <c r="T26" i="123"/>
  <c r="P26" i="123"/>
  <c r="S26" i="124"/>
  <c r="S6" i="124"/>
  <c r="G66" i="124"/>
  <c r="I66" i="124" s="1"/>
  <c r="F58" i="124"/>
  <c r="N58" i="124" s="1"/>
  <c r="U20" i="125"/>
  <c r="E68" i="125"/>
  <c r="J68" i="125" s="1"/>
  <c r="Q17" i="125"/>
  <c r="S17" i="125"/>
  <c r="U14" i="125"/>
  <c r="T14" i="126"/>
  <c r="T13" i="126"/>
  <c r="U9" i="126"/>
  <c r="Q9" i="126"/>
  <c r="T8" i="127"/>
  <c r="F60" i="127"/>
  <c r="Q28" i="128"/>
  <c r="S28" i="128"/>
  <c r="M60" i="129"/>
  <c r="T14" i="131"/>
  <c r="I103" i="161"/>
  <c r="T7" i="122"/>
  <c r="H58" i="123"/>
  <c r="S58" i="123" s="1"/>
  <c r="S10" i="123"/>
  <c r="S11" i="123"/>
  <c r="T26" i="124"/>
  <c r="E68" i="124"/>
  <c r="H65" i="124"/>
  <c r="I65" i="124" s="1"/>
  <c r="S19" i="124"/>
  <c r="I67" i="125"/>
  <c r="Q14" i="125"/>
  <c r="I60" i="125"/>
  <c r="I69" i="126"/>
  <c r="Q14" i="126"/>
  <c r="S14" i="126"/>
  <c r="U14" i="126"/>
  <c r="F65" i="126"/>
  <c r="H60" i="126"/>
  <c r="H66" i="127"/>
  <c r="T10" i="127"/>
  <c r="E65" i="127"/>
  <c r="Q6" i="127"/>
  <c r="S6" i="127"/>
  <c r="U20" i="128"/>
  <c r="I60" i="130"/>
  <c r="U10" i="131"/>
  <c r="Q10" i="131"/>
  <c r="Q60" i="131" s="1"/>
  <c r="U7" i="144"/>
  <c r="T23" i="122"/>
  <c r="R7" i="122"/>
  <c r="I67" i="123"/>
  <c r="T28" i="123"/>
  <c r="P28" i="123"/>
  <c r="S15" i="123"/>
  <c r="H64" i="123"/>
  <c r="I64" i="123" s="1"/>
  <c r="F66" i="123"/>
  <c r="T11" i="123"/>
  <c r="J65" i="124"/>
  <c r="P36" i="124"/>
  <c r="R36" i="124"/>
  <c r="E64" i="124"/>
  <c r="J64" i="124" s="1"/>
  <c r="P19" i="124"/>
  <c r="T14" i="124"/>
  <c r="T33" i="125"/>
  <c r="T4" i="125"/>
  <c r="T17" i="127"/>
  <c r="U12" i="127"/>
  <c r="G65" i="127"/>
  <c r="T18" i="128"/>
  <c r="Q12" i="129"/>
  <c r="S12" i="129"/>
  <c r="U12" i="129"/>
  <c r="U10" i="129"/>
  <c r="S10" i="129"/>
  <c r="E65" i="130"/>
  <c r="I177" i="147"/>
  <c r="I171" i="147"/>
  <c r="R22" i="121"/>
  <c r="S22" i="122"/>
  <c r="P7" i="122"/>
  <c r="P37" i="124"/>
  <c r="R24" i="124"/>
  <c r="F63" i="124"/>
  <c r="K58" i="124"/>
  <c r="U4" i="125"/>
  <c r="T28" i="126"/>
  <c r="Q15" i="126"/>
  <c r="U15" i="126"/>
  <c r="F60" i="126"/>
  <c r="G65" i="126"/>
  <c r="S7" i="127"/>
  <c r="U35" i="128"/>
  <c r="J69" i="128"/>
  <c r="U18" i="128"/>
  <c r="S33" i="129"/>
  <c r="U33" i="129"/>
  <c r="H65" i="129"/>
  <c r="I65" i="129" s="1"/>
  <c r="T28" i="129"/>
  <c r="H69" i="129"/>
  <c r="I69" i="129" s="1"/>
  <c r="T19" i="129"/>
  <c r="T16" i="129"/>
  <c r="F60" i="129"/>
  <c r="U12" i="131"/>
  <c r="Q12" i="131"/>
  <c r="U8" i="143"/>
  <c r="U24" i="144"/>
  <c r="P23" i="122"/>
  <c r="S22" i="123"/>
  <c r="S21" i="124"/>
  <c r="F66" i="125"/>
  <c r="J66" i="125" s="1"/>
  <c r="S18" i="125"/>
  <c r="F60" i="125"/>
  <c r="G65" i="125"/>
  <c r="Q28" i="126"/>
  <c r="S28" i="126"/>
  <c r="U28" i="126"/>
  <c r="U12" i="126"/>
  <c r="K60" i="127"/>
  <c r="F71" i="127" s="1"/>
  <c r="U30" i="127"/>
  <c r="U11" i="127"/>
  <c r="Q7" i="127"/>
  <c r="E67" i="128"/>
  <c r="J67" i="128" s="1"/>
  <c r="Q22" i="128"/>
  <c r="U22" i="128"/>
  <c r="G68" i="128"/>
  <c r="K60" i="128"/>
  <c r="F71" i="128" s="1"/>
  <c r="Q28" i="129"/>
  <c r="J69" i="129"/>
  <c r="T15" i="131"/>
  <c r="U7" i="145"/>
  <c r="F58" i="122"/>
  <c r="N58" i="122" s="1"/>
  <c r="R4" i="122"/>
  <c r="T14" i="123"/>
  <c r="R31" i="124"/>
  <c r="T31" i="124"/>
  <c r="L58" i="124"/>
  <c r="F65" i="125"/>
  <c r="E65" i="126"/>
  <c r="G60" i="126"/>
  <c r="Q6" i="126"/>
  <c r="S6" i="126"/>
  <c r="T30" i="127"/>
  <c r="G69" i="127"/>
  <c r="I69" i="127" s="1"/>
  <c r="G60" i="129"/>
  <c r="Q16" i="130"/>
  <c r="E52" i="166"/>
  <c r="U11" i="143"/>
  <c r="S8" i="143"/>
  <c r="T5" i="143"/>
  <c r="S24" i="144"/>
  <c r="S13" i="144"/>
  <c r="U8" i="144"/>
  <c r="E57" i="171"/>
  <c r="R7" i="121"/>
  <c r="T4" i="122"/>
  <c r="R22" i="124"/>
  <c r="Q24" i="125"/>
  <c r="S24" i="125"/>
  <c r="T25" i="128"/>
  <c r="S22" i="128"/>
  <c r="F65" i="128"/>
  <c r="U27" i="129"/>
  <c r="M60" i="130"/>
  <c r="I69" i="131"/>
  <c r="O103" i="161"/>
  <c r="T11" i="143"/>
  <c r="S5" i="143"/>
  <c r="T8" i="144"/>
  <c r="T27" i="122"/>
  <c r="P27" i="122"/>
  <c r="R10" i="122"/>
  <c r="P4" i="122"/>
  <c r="S17" i="123"/>
  <c r="R33" i="124"/>
  <c r="T33" i="124"/>
  <c r="P22" i="124"/>
  <c r="P8" i="124"/>
  <c r="R8" i="124"/>
  <c r="T8" i="124"/>
  <c r="U30" i="125"/>
  <c r="J67" i="125"/>
  <c r="H66" i="125"/>
  <c r="I66" i="125" s="1"/>
  <c r="T14" i="125"/>
  <c r="M60" i="126"/>
  <c r="F68" i="127"/>
  <c r="J68" i="127" s="1"/>
  <c r="U5" i="127"/>
  <c r="T27" i="128"/>
  <c r="T24" i="128"/>
  <c r="H66" i="128"/>
  <c r="I66" i="128" s="1"/>
  <c r="H60" i="128"/>
  <c r="T60" i="128" s="1"/>
  <c r="E68" i="129"/>
  <c r="Q15" i="129"/>
  <c r="G60" i="130"/>
  <c r="K60" i="130"/>
  <c r="F71" i="130" s="1"/>
  <c r="E71" i="132"/>
  <c r="J65" i="132"/>
  <c r="P103" i="161"/>
  <c r="R9" i="121"/>
  <c r="T18" i="123"/>
  <c r="P18" i="123"/>
  <c r="H66" i="123"/>
  <c r="T8" i="126"/>
  <c r="T7" i="126"/>
  <c r="Q32" i="127"/>
  <c r="U32" i="127"/>
  <c r="Q22" i="129"/>
  <c r="H68" i="131"/>
  <c r="I68" i="131" s="1"/>
  <c r="U32" i="131"/>
  <c r="E63" i="122"/>
  <c r="R17" i="122"/>
  <c r="S7" i="123"/>
  <c r="E66" i="123"/>
  <c r="J66" i="123" s="1"/>
  <c r="G58" i="123"/>
  <c r="P4" i="123"/>
  <c r="R4" i="123"/>
  <c r="P11" i="124"/>
  <c r="T6" i="124"/>
  <c r="E63" i="124"/>
  <c r="P6" i="124"/>
  <c r="S4" i="124"/>
  <c r="Q33" i="125"/>
  <c r="S33" i="125"/>
  <c r="Q6" i="125"/>
  <c r="S6" i="125"/>
  <c r="U6" i="125"/>
  <c r="T30" i="126"/>
  <c r="F69" i="126"/>
  <c r="Q8" i="126"/>
  <c r="S8" i="126"/>
  <c r="I60" i="126"/>
  <c r="F68" i="128"/>
  <c r="S14" i="128"/>
  <c r="T4" i="128"/>
  <c r="K60" i="131"/>
  <c r="F71" i="131" s="1"/>
  <c r="Q31" i="132"/>
  <c r="Q5" i="132"/>
  <c r="Q7" i="128"/>
  <c r="Q5" i="130"/>
  <c r="S27" i="131"/>
  <c r="T22" i="131"/>
  <c r="S19" i="131"/>
  <c r="S17" i="131"/>
  <c r="S15" i="131"/>
  <c r="G68" i="132"/>
  <c r="I68" i="132" s="1"/>
  <c r="K60" i="132"/>
  <c r="F71" i="132" s="1"/>
  <c r="Q26" i="132"/>
  <c r="Q18" i="132"/>
  <c r="Q16" i="132"/>
  <c r="S19" i="129"/>
  <c r="T13" i="129"/>
  <c r="F65" i="130"/>
  <c r="F68" i="130"/>
  <c r="U24" i="130"/>
  <c r="U10" i="130"/>
  <c r="G66" i="127"/>
  <c r="I66" i="127" s="1"/>
  <c r="H68" i="128"/>
  <c r="G60" i="128"/>
  <c r="G60" i="132"/>
  <c r="Q27" i="127"/>
  <c r="T17" i="130"/>
  <c r="E69" i="131"/>
  <c r="J69" i="131" s="1"/>
  <c r="H66" i="129"/>
  <c r="I66" i="129" s="1"/>
  <c r="E65" i="131"/>
  <c r="U4" i="131"/>
  <c r="J69" i="132"/>
  <c r="U4" i="132"/>
  <c r="U18" i="126"/>
  <c r="H60" i="127"/>
  <c r="T60" i="127" s="1"/>
  <c r="E70" i="129"/>
  <c r="J70" i="129" s="1"/>
  <c r="E66" i="129"/>
  <c r="J66" i="129" s="1"/>
  <c r="S14" i="129"/>
  <c r="S9" i="129"/>
  <c r="S15" i="130"/>
  <c r="U9" i="131"/>
  <c r="U37" i="132"/>
  <c r="U35" i="132"/>
  <c r="U33" i="132"/>
  <c r="U25" i="132"/>
  <c r="U15" i="132"/>
  <c r="U13" i="132"/>
  <c r="U9" i="132"/>
  <c r="U7" i="132"/>
  <c r="R29" i="124"/>
  <c r="R25" i="124"/>
  <c r="R21" i="124"/>
  <c r="R19" i="124"/>
  <c r="R17" i="124"/>
  <c r="R13" i="124"/>
  <c r="R11" i="124"/>
  <c r="H60" i="125"/>
  <c r="T60" i="125" s="1"/>
  <c r="U21" i="127"/>
  <c r="Q9" i="129"/>
  <c r="U25" i="130"/>
  <c r="U11" i="130"/>
  <c r="E68" i="131"/>
  <c r="J68" i="131" s="1"/>
  <c r="U14" i="131"/>
  <c r="S4" i="131"/>
  <c r="U22" i="132"/>
  <c r="U20" i="132"/>
  <c r="R5" i="124"/>
  <c r="S18" i="126"/>
  <c r="S27" i="128"/>
  <c r="U17" i="128"/>
  <c r="S28" i="129"/>
  <c r="U31" i="131"/>
  <c r="U29" i="131"/>
  <c r="U21" i="131"/>
  <c r="S9" i="131"/>
  <c r="S37" i="132"/>
  <c r="S35" i="132"/>
  <c r="S33" i="132"/>
  <c r="S25" i="132"/>
  <c r="S15" i="132"/>
  <c r="S13" i="132"/>
  <c r="S9" i="132"/>
  <c r="S7" i="132"/>
  <c r="H65" i="126"/>
  <c r="H71" i="126" s="1"/>
  <c r="U23" i="127"/>
  <c r="U17" i="127"/>
  <c r="S25" i="130"/>
  <c r="S11" i="130"/>
  <c r="U7" i="130"/>
  <c r="U34" i="131"/>
  <c r="S14" i="131"/>
  <c r="Q35" i="132"/>
  <c r="S22" i="132"/>
  <c r="S20" i="132"/>
  <c r="U26" i="127"/>
  <c r="U25" i="128"/>
  <c r="S17" i="128"/>
  <c r="H60" i="129"/>
  <c r="T60" i="129" s="1"/>
  <c r="U32" i="129"/>
  <c r="U22" i="129"/>
  <c r="U20" i="130"/>
  <c r="S31" i="131"/>
  <c r="S29" i="131"/>
  <c r="S21" i="131"/>
  <c r="S23" i="127"/>
  <c r="U19" i="127"/>
  <c r="S17" i="127"/>
  <c r="U5" i="129"/>
  <c r="U9" i="130"/>
  <c r="S7" i="130"/>
  <c r="S22" i="129"/>
  <c r="G64" i="165" l="1"/>
  <c r="J59" i="165"/>
  <c r="J57" i="164"/>
  <c r="J58" i="163"/>
  <c r="R60" i="162"/>
  <c r="J60" i="162"/>
  <c r="G61" i="164"/>
  <c r="G63" i="163"/>
  <c r="P76" i="163" s="1"/>
  <c r="G65" i="162"/>
  <c r="P79" i="162" s="1"/>
  <c r="G64" i="162"/>
  <c r="R80" i="135"/>
  <c r="S80" i="137"/>
  <c r="I70" i="133"/>
  <c r="R60" i="134"/>
  <c r="I67" i="135"/>
  <c r="S81" i="142"/>
  <c r="G63" i="136"/>
  <c r="R60" i="136"/>
  <c r="S57" i="146"/>
  <c r="P59" i="121"/>
  <c r="Q65" i="131" s="1"/>
  <c r="O60" i="126"/>
  <c r="O60" i="129"/>
  <c r="S58" i="142"/>
  <c r="O60" i="128"/>
  <c r="P58" i="124"/>
  <c r="Q60" i="126"/>
  <c r="T58" i="140"/>
  <c r="T60" i="132"/>
  <c r="S58" i="140"/>
  <c r="Q80" i="137"/>
  <c r="U80" i="137" s="1"/>
  <c r="Q66" i="137" s="1"/>
  <c r="I68" i="133"/>
  <c r="Q60" i="128"/>
  <c r="J68" i="132"/>
  <c r="T60" i="130"/>
  <c r="H69" i="124"/>
  <c r="J68" i="128"/>
  <c r="H72" i="135"/>
  <c r="J67" i="135"/>
  <c r="S60" i="135"/>
  <c r="T60" i="139"/>
  <c r="Q60" i="129"/>
  <c r="J60" i="131"/>
  <c r="R57" i="146"/>
  <c r="J66" i="130"/>
  <c r="J70" i="139"/>
  <c r="K68" i="143" s="1"/>
  <c r="P80" i="135"/>
  <c r="J66" i="134"/>
  <c r="I66" i="121"/>
  <c r="Q81" i="140"/>
  <c r="U81" i="140" s="1"/>
  <c r="Q64" i="140" s="1"/>
  <c r="S60" i="134"/>
  <c r="I64" i="162"/>
  <c r="H71" i="133"/>
  <c r="J67" i="137"/>
  <c r="H72" i="137"/>
  <c r="H72" i="136"/>
  <c r="J67" i="146"/>
  <c r="H70" i="142"/>
  <c r="D76" i="169"/>
  <c r="D78" i="170" s="1"/>
  <c r="D74" i="171" s="1"/>
  <c r="Q90" i="168"/>
  <c r="P76" i="144"/>
  <c r="P87" i="144"/>
  <c r="P77" i="143"/>
  <c r="Q101" i="168"/>
  <c r="P87" i="145"/>
  <c r="Q107" i="167"/>
  <c r="P77" i="140"/>
  <c r="I64" i="165"/>
  <c r="R111" i="161"/>
  <c r="E72" i="139"/>
  <c r="J66" i="139"/>
  <c r="P80" i="144"/>
  <c r="S60" i="136"/>
  <c r="I64" i="121"/>
  <c r="G69" i="121"/>
  <c r="I69" i="121" s="1"/>
  <c r="I145" i="147"/>
  <c r="H145" i="147"/>
  <c r="S79" i="133"/>
  <c r="P57" i="146"/>
  <c r="F71" i="134"/>
  <c r="N60" i="134"/>
  <c r="J65" i="129"/>
  <c r="E71" i="129"/>
  <c r="J71" i="129" s="1"/>
  <c r="J58" i="122"/>
  <c r="R58" i="122"/>
  <c r="T58" i="122"/>
  <c r="D60" i="122"/>
  <c r="I65" i="126"/>
  <c r="G71" i="126"/>
  <c r="I71" i="126" s="1"/>
  <c r="H71" i="131"/>
  <c r="H69" i="123"/>
  <c r="O79" i="132"/>
  <c r="O76" i="131"/>
  <c r="O76" i="130"/>
  <c r="N59" i="121"/>
  <c r="Q78" i="132"/>
  <c r="Q75" i="130"/>
  <c r="F69" i="121"/>
  <c r="Q75" i="131"/>
  <c r="H144" i="147"/>
  <c r="I144" i="147"/>
  <c r="H69" i="146"/>
  <c r="P60" i="135"/>
  <c r="Q81" i="142"/>
  <c r="U81" i="142" s="1"/>
  <c r="Q64" i="142" s="1"/>
  <c r="P60" i="134"/>
  <c r="H143" i="147"/>
  <c r="I143" i="147"/>
  <c r="G59" i="124"/>
  <c r="D61" i="124"/>
  <c r="G71" i="127"/>
  <c r="I65" i="127"/>
  <c r="G69" i="144"/>
  <c r="I69" i="144" s="1"/>
  <c r="H141" i="147"/>
  <c r="I141" i="147"/>
  <c r="G71" i="133"/>
  <c r="I71" i="133" s="1"/>
  <c r="G72" i="137"/>
  <c r="I72" i="137" s="1"/>
  <c r="I66" i="137"/>
  <c r="G63" i="137"/>
  <c r="P79" i="136"/>
  <c r="G71" i="131"/>
  <c r="I65" i="131"/>
  <c r="J60" i="129"/>
  <c r="S60" i="129"/>
  <c r="D62" i="129"/>
  <c r="U60" i="129"/>
  <c r="O60" i="131"/>
  <c r="E69" i="145"/>
  <c r="J69" i="145" s="1"/>
  <c r="J63" i="145"/>
  <c r="Q96" i="167"/>
  <c r="Q60" i="139"/>
  <c r="J67" i="136"/>
  <c r="K64" i="146" s="1"/>
  <c r="P80" i="146"/>
  <c r="I65" i="134"/>
  <c r="G71" i="134"/>
  <c r="H146" i="147"/>
  <c r="I146" i="147"/>
  <c r="O60" i="139"/>
  <c r="F72" i="139"/>
  <c r="I68" i="128"/>
  <c r="F72" i="135"/>
  <c r="N60" i="135"/>
  <c r="Q60" i="130"/>
  <c r="H218" i="147"/>
  <c r="I218" i="147"/>
  <c r="P81" i="143"/>
  <c r="R79" i="134"/>
  <c r="J68" i="124"/>
  <c r="S60" i="132"/>
  <c r="U60" i="132"/>
  <c r="G61" i="132"/>
  <c r="I61" i="132"/>
  <c r="J60" i="132"/>
  <c r="F69" i="124"/>
  <c r="J58" i="124"/>
  <c r="R58" i="124"/>
  <c r="G70" i="140"/>
  <c r="I70" i="140" s="1"/>
  <c r="I64" i="140"/>
  <c r="F72" i="136"/>
  <c r="N60" i="136"/>
  <c r="J65" i="134"/>
  <c r="E71" i="134"/>
  <c r="G72" i="136"/>
  <c r="I72" i="136" s="1"/>
  <c r="I63" i="144"/>
  <c r="Q79" i="132"/>
  <c r="Q76" i="130"/>
  <c r="Q76" i="131"/>
  <c r="H147" i="147"/>
  <c r="I147" i="147"/>
  <c r="E70" i="140"/>
  <c r="J70" i="140" s="1"/>
  <c r="J64" i="140"/>
  <c r="H152" i="147"/>
  <c r="I152" i="147"/>
  <c r="R79" i="146"/>
  <c r="R79" i="145"/>
  <c r="R79" i="144"/>
  <c r="S79" i="139"/>
  <c r="S80" i="142"/>
  <c r="N60" i="133"/>
  <c r="R79" i="135"/>
  <c r="F71" i="133"/>
  <c r="R78" i="134"/>
  <c r="T78" i="134" s="1"/>
  <c r="T65" i="134" s="1"/>
  <c r="S80" i="140"/>
  <c r="S79" i="137"/>
  <c r="R80" i="143"/>
  <c r="R79" i="136"/>
  <c r="Q78" i="133"/>
  <c r="T78" i="133" s="1"/>
  <c r="T60" i="134"/>
  <c r="V60" i="134"/>
  <c r="G61" i="134"/>
  <c r="J60" i="134"/>
  <c r="I61" i="134"/>
  <c r="R80" i="144"/>
  <c r="E69" i="124"/>
  <c r="J63" i="124"/>
  <c r="G71" i="128"/>
  <c r="I65" i="128"/>
  <c r="E71" i="125"/>
  <c r="J71" i="125" s="1"/>
  <c r="J65" i="125"/>
  <c r="H71" i="130"/>
  <c r="P76" i="146"/>
  <c r="O78" i="132"/>
  <c r="O75" i="131"/>
  <c r="O75" i="130"/>
  <c r="J59" i="121"/>
  <c r="R59" i="121"/>
  <c r="S59" i="121"/>
  <c r="D61" i="121"/>
  <c r="U57" i="146"/>
  <c r="G59" i="146"/>
  <c r="I59" i="146"/>
  <c r="T57" i="146"/>
  <c r="J57" i="146"/>
  <c r="E72" i="137"/>
  <c r="J66" i="137"/>
  <c r="I150" i="147"/>
  <c r="H150" i="147"/>
  <c r="H220" i="147"/>
  <c r="I220" i="147"/>
  <c r="I67" i="139"/>
  <c r="E72" i="136"/>
  <c r="J72" i="136" s="1"/>
  <c r="J66" i="136"/>
  <c r="R60" i="133"/>
  <c r="I63" i="145"/>
  <c r="R80" i="136"/>
  <c r="T80" i="136" s="1"/>
  <c r="P66" i="136" s="1"/>
  <c r="H151" i="147"/>
  <c r="I151" i="147"/>
  <c r="J60" i="126"/>
  <c r="S60" i="126"/>
  <c r="D62" i="126"/>
  <c r="U60" i="126"/>
  <c r="J64" i="121"/>
  <c r="E69" i="121"/>
  <c r="J69" i="121" s="1"/>
  <c r="I219" i="147"/>
  <c r="H219" i="147"/>
  <c r="T60" i="137"/>
  <c r="P87" i="146"/>
  <c r="F72" i="137"/>
  <c r="O60" i="137"/>
  <c r="T79" i="134"/>
  <c r="P65" i="134" s="1"/>
  <c r="Q60" i="137"/>
  <c r="J63" i="144"/>
  <c r="E69" i="144"/>
  <c r="J69" i="144" s="1"/>
  <c r="Q60" i="133"/>
  <c r="U58" i="142"/>
  <c r="J58" i="142"/>
  <c r="V58" i="142"/>
  <c r="G60" i="142"/>
  <c r="I60" i="142"/>
  <c r="T57" i="145"/>
  <c r="U57" i="145"/>
  <c r="G59" i="145"/>
  <c r="I59" i="145"/>
  <c r="J57" i="145"/>
  <c r="S80" i="139"/>
  <c r="P79" i="135"/>
  <c r="T57" i="144"/>
  <c r="U57" i="144"/>
  <c r="G59" i="144"/>
  <c r="I59" i="144"/>
  <c r="J57" i="144"/>
  <c r="R80" i="146"/>
  <c r="J63" i="122"/>
  <c r="E68" i="122"/>
  <c r="J68" i="122" s="1"/>
  <c r="E71" i="127"/>
  <c r="J71" i="127" s="1"/>
  <c r="J65" i="127"/>
  <c r="K66" i="143"/>
  <c r="K65" i="146"/>
  <c r="K65" i="144"/>
  <c r="K65" i="145"/>
  <c r="I77" i="170"/>
  <c r="G77" i="170"/>
  <c r="I69" i="145"/>
  <c r="T58" i="142"/>
  <c r="Q60" i="132"/>
  <c r="Q60" i="125"/>
  <c r="J71" i="132"/>
  <c r="P58" i="123"/>
  <c r="J69" i="126"/>
  <c r="I65" i="130"/>
  <c r="G71" i="130"/>
  <c r="J64" i="143"/>
  <c r="E70" i="143"/>
  <c r="J70" i="143" s="1"/>
  <c r="J60" i="136"/>
  <c r="U60" i="136" s="1"/>
  <c r="T60" i="136"/>
  <c r="V60" i="136"/>
  <c r="G62" i="136"/>
  <c r="I62" i="136"/>
  <c r="F265" i="147"/>
  <c r="H138" i="147"/>
  <c r="H265" i="147" s="1"/>
  <c r="I138" i="147"/>
  <c r="U60" i="134"/>
  <c r="S81" i="140"/>
  <c r="G69" i="146"/>
  <c r="I63" i="146"/>
  <c r="S60" i="128"/>
  <c r="U60" i="128"/>
  <c r="J60" i="128"/>
  <c r="D62" i="128"/>
  <c r="H71" i="128"/>
  <c r="J66" i="135"/>
  <c r="E72" i="135"/>
  <c r="J72" i="135" s="1"/>
  <c r="H72" i="139"/>
  <c r="R58" i="123"/>
  <c r="T58" i="123"/>
  <c r="J58" i="123"/>
  <c r="D60" i="123"/>
  <c r="J60" i="130"/>
  <c r="S60" i="130"/>
  <c r="U60" i="130"/>
  <c r="I61" i="130"/>
  <c r="G61" i="130"/>
  <c r="H71" i="129"/>
  <c r="I71" i="129" s="1"/>
  <c r="O60" i="130"/>
  <c r="H71" i="125"/>
  <c r="S58" i="143"/>
  <c r="H68" i="122"/>
  <c r="I68" i="122" s="1"/>
  <c r="U60" i="135"/>
  <c r="U60" i="137"/>
  <c r="W60" i="137"/>
  <c r="G62" i="137"/>
  <c r="J60" i="137"/>
  <c r="V60" i="137" s="1"/>
  <c r="I62" i="137"/>
  <c r="W60" i="139"/>
  <c r="G62" i="139"/>
  <c r="I62" i="139"/>
  <c r="U60" i="139"/>
  <c r="J60" i="139"/>
  <c r="V60" i="139" s="1"/>
  <c r="G70" i="142"/>
  <c r="I70" i="142" s="1"/>
  <c r="S57" i="144"/>
  <c r="S57" i="145"/>
  <c r="R80" i="145"/>
  <c r="T80" i="145" s="1"/>
  <c r="P63" i="145" s="1"/>
  <c r="E71" i="131"/>
  <c r="J71" i="131" s="1"/>
  <c r="J65" i="131"/>
  <c r="T80" i="135"/>
  <c r="P66" i="135" s="1"/>
  <c r="J65" i="126"/>
  <c r="E71" i="126"/>
  <c r="J71" i="126" s="1"/>
  <c r="G69" i="124"/>
  <c r="I69" i="124" s="1"/>
  <c r="P58" i="122"/>
  <c r="Q65" i="130" s="1"/>
  <c r="T60" i="126"/>
  <c r="J65" i="128"/>
  <c r="E71" i="128"/>
  <c r="J71" i="128" s="1"/>
  <c r="J63" i="123"/>
  <c r="E69" i="123"/>
  <c r="J69" i="123" s="1"/>
  <c r="R58" i="143"/>
  <c r="R60" i="135"/>
  <c r="H149" i="147"/>
  <c r="I149" i="147"/>
  <c r="H71" i="127"/>
  <c r="K68" i="145"/>
  <c r="K68" i="144"/>
  <c r="K69" i="143"/>
  <c r="K69" i="140"/>
  <c r="K69" i="142"/>
  <c r="K68" i="146"/>
  <c r="R57" i="144"/>
  <c r="E88" i="170"/>
  <c r="R57" i="145"/>
  <c r="R81" i="143"/>
  <c r="O60" i="132"/>
  <c r="H148" i="147"/>
  <c r="I148" i="147"/>
  <c r="J58" i="143"/>
  <c r="U58" i="143"/>
  <c r="T58" i="143"/>
  <c r="G60" i="143"/>
  <c r="I60" i="143"/>
  <c r="E69" i="146"/>
  <c r="J69" i="146" s="1"/>
  <c r="J63" i="146"/>
  <c r="J69" i="136"/>
  <c r="J60" i="135"/>
  <c r="T60" i="135"/>
  <c r="V60" i="135"/>
  <c r="G62" i="135"/>
  <c r="I62" i="135"/>
  <c r="G72" i="135"/>
  <c r="I72" i="135" s="1"/>
  <c r="I66" i="135"/>
  <c r="J65" i="140"/>
  <c r="K65" i="140" s="1"/>
  <c r="J69" i="135"/>
  <c r="K67" i="143" s="1"/>
  <c r="E71" i="133"/>
  <c r="J71" i="133" s="1"/>
  <c r="J65" i="133"/>
  <c r="I70" i="143"/>
  <c r="V63" i="145"/>
  <c r="V63" i="144"/>
  <c r="V64" i="143"/>
  <c r="W64" i="142"/>
  <c r="W64" i="140"/>
  <c r="V63" i="146"/>
  <c r="X66" i="139"/>
  <c r="U65" i="133"/>
  <c r="J60" i="133"/>
  <c r="D62" i="127"/>
  <c r="S60" i="127"/>
  <c r="J60" i="127"/>
  <c r="U60" i="127"/>
  <c r="D62" i="125"/>
  <c r="S60" i="125"/>
  <c r="U60" i="125"/>
  <c r="J60" i="125"/>
  <c r="Q60" i="127"/>
  <c r="H142" i="147"/>
  <c r="I142" i="147"/>
  <c r="U58" i="140"/>
  <c r="J58" i="140"/>
  <c r="V58" i="140"/>
  <c r="G60" i="140"/>
  <c r="I60" i="140"/>
  <c r="J68" i="129"/>
  <c r="I65" i="125"/>
  <c r="G71" i="125"/>
  <c r="J68" i="130"/>
  <c r="O60" i="125"/>
  <c r="J65" i="130"/>
  <c r="E71" i="130"/>
  <c r="J71" i="130" s="1"/>
  <c r="O60" i="127"/>
  <c r="G69" i="123"/>
  <c r="I69" i="123" s="1"/>
  <c r="I63" i="123"/>
  <c r="H221" i="147"/>
  <c r="I221" i="147"/>
  <c r="S60" i="137"/>
  <c r="E70" i="142"/>
  <c r="J70" i="142" s="1"/>
  <c r="J64" i="142"/>
  <c r="H71" i="134"/>
  <c r="G72" i="139"/>
  <c r="I66" i="139"/>
  <c r="I64" i="143"/>
  <c r="Q80" i="139"/>
  <c r="P74" i="164" l="1"/>
  <c r="G65" i="165"/>
  <c r="P79" i="165" s="1"/>
  <c r="R66" i="162"/>
  <c r="R66" i="163"/>
  <c r="R64" i="164"/>
  <c r="K64" i="145"/>
  <c r="K65" i="143"/>
  <c r="K64" i="144"/>
  <c r="S79" i="132"/>
  <c r="O65" i="132" s="1"/>
  <c r="K68" i="140"/>
  <c r="K67" i="144"/>
  <c r="Q65" i="132"/>
  <c r="K67" i="145"/>
  <c r="K67" i="146"/>
  <c r="K68" i="142"/>
  <c r="I71" i="125"/>
  <c r="I71" i="131"/>
  <c r="U78" i="132"/>
  <c r="U65" i="132" s="1"/>
  <c r="S78" i="132"/>
  <c r="S65" i="132" s="1"/>
  <c r="G63" i="139"/>
  <c r="S66" i="139" s="1"/>
  <c r="Q79" i="137"/>
  <c r="I71" i="134"/>
  <c r="T80" i="146"/>
  <c r="P63" i="146" s="1"/>
  <c r="K63" i="144"/>
  <c r="K64" i="143"/>
  <c r="K63" i="145"/>
  <c r="K63" i="146"/>
  <c r="K64" i="142"/>
  <c r="K64" i="140"/>
  <c r="G61" i="126"/>
  <c r="D63" i="126"/>
  <c r="I71" i="128"/>
  <c r="K67" i="142"/>
  <c r="S76" i="130"/>
  <c r="O65" i="130" s="1"/>
  <c r="J72" i="137"/>
  <c r="J69" i="124"/>
  <c r="S76" i="131"/>
  <c r="O65" i="131" s="1"/>
  <c r="T79" i="135"/>
  <c r="T66" i="135" s="1"/>
  <c r="V79" i="135"/>
  <c r="V66" i="135" s="1"/>
  <c r="G61" i="128"/>
  <c r="D63" i="128"/>
  <c r="T79" i="136"/>
  <c r="T66" i="136" s="1"/>
  <c r="V79" i="136"/>
  <c r="V66" i="136" s="1"/>
  <c r="G61" i="127"/>
  <c r="D63" i="127"/>
  <c r="I72" i="139"/>
  <c r="S78" i="133"/>
  <c r="K66" i="145"/>
  <c r="R66" i="136"/>
  <c r="Q65" i="133"/>
  <c r="R65" i="134"/>
  <c r="S66" i="137"/>
  <c r="R66" i="135"/>
  <c r="J71" i="134"/>
  <c r="T81" i="143"/>
  <c r="P64" i="143" s="1"/>
  <c r="U75" i="130"/>
  <c r="U65" i="130" s="1"/>
  <c r="S75" i="130"/>
  <c r="S65" i="130" s="1"/>
  <c r="I69" i="146"/>
  <c r="K67" i="140"/>
  <c r="K66" i="144"/>
  <c r="K66" i="146"/>
  <c r="I71" i="127"/>
  <c r="J72" i="139"/>
  <c r="D63" i="125"/>
  <c r="G61" i="125"/>
  <c r="I265" i="147"/>
  <c r="T66" i="137"/>
  <c r="S66" i="136"/>
  <c r="R65" i="133"/>
  <c r="S65" i="134"/>
  <c r="S66" i="135"/>
  <c r="G61" i="129"/>
  <c r="D63" i="129"/>
  <c r="T80" i="144"/>
  <c r="P63" i="144" s="1"/>
  <c r="D61" i="122"/>
  <c r="G59" i="122"/>
  <c r="V78" i="134"/>
  <c r="V65" i="134" s="1"/>
  <c r="S75" i="131"/>
  <c r="S65" i="131" s="1"/>
  <c r="U75" i="131"/>
  <c r="U65" i="131" s="1"/>
  <c r="I71" i="130"/>
  <c r="U80" i="139"/>
  <c r="Q66" i="139" s="1"/>
  <c r="K65" i="142"/>
  <c r="G60" i="121"/>
  <c r="D62" i="121"/>
  <c r="G61" i="121"/>
  <c r="G60" i="122" s="1"/>
  <c r="G60" i="123" s="1"/>
  <c r="G60" i="124" s="1"/>
  <c r="G62" i="125" s="1"/>
  <c r="G62" i="126" s="1"/>
  <c r="G62" i="127" s="1"/>
  <c r="G62" i="128" s="1"/>
  <c r="G62" i="129" s="1"/>
  <c r="G62" i="130" s="1"/>
  <c r="G62" i="131" s="1"/>
  <c r="G62" i="132" s="1"/>
  <c r="G59" i="123"/>
  <c r="D61" i="123"/>
  <c r="R68" i="165" l="1"/>
  <c r="G58" i="166"/>
  <c r="T66" i="139"/>
  <c r="W79" i="137"/>
  <c r="W66" i="137" s="1"/>
  <c r="U79" i="137"/>
  <c r="U66" i="137" s="1"/>
  <c r="Q79" i="139"/>
  <c r="G61" i="140"/>
  <c r="G79" i="167" l="1"/>
  <c r="P99" i="167" s="1"/>
  <c r="P78" i="166"/>
  <c r="R61" i="166"/>
  <c r="Q80" i="140"/>
  <c r="G61" i="142"/>
  <c r="S64" i="140"/>
  <c r="T64" i="140"/>
  <c r="U79" i="139"/>
  <c r="U66" i="139" s="1"/>
  <c r="W79" i="139"/>
  <c r="W66" i="139" s="1"/>
  <c r="R82" i="167" l="1"/>
  <c r="G73" i="168"/>
  <c r="P93" i="168" s="1"/>
  <c r="G61" i="143"/>
  <c r="Q80" i="142"/>
  <c r="T64" i="142"/>
  <c r="S64" i="142"/>
  <c r="U80" i="140"/>
  <c r="U64" i="140" s="1"/>
  <c r="V80" i="140"/>
  <c r="V64" i="140" s="1"/>
  <c r="K70" i="140" s="1"/>
  <c r="R76" i="168" l="1"/>
  <c r="G76" i="169"/>
  <c r="P89" i="169" s="1"/>
  <c r="U80" i="142"/>
  <c r="U64" i="142" s="1"/>
  <c r="V80" i="142"/>
  <c r="V64" i="142" s="1"/>
  <c r="K70" i="142" s="1"/>
  <c r="G60" i="144"/>
  <c r="P80" i="143"/>
  <c r="S64" i="143"/>
  <c r="R64" i="143"/>
  <c r="R79" i="169" l="1"/>
  <c r="G78" i="170"/>
  <c r="P91" i="170" s="1"/>
  <c r="U80" i="143"/>
  <c r="U64" i="143" s="1"/>
  <c r="K70" i="143" s="1"/>
  <c r="T80" i="143"/>
  <c r="T64" i="143" s="1"/>
  <c r="P79" i="144"/>
  <c r="G60" i="145"/>
  <c r="S63" i="144"/>
  <c r="R63" i="144"/>
  <c r="R81" i="170" l="1"/>
  <c r="G74" i="171"/>
  <c r="P89" i="171" s="1"/>
  <c r="G60" i="146"/>
  <c r="P79" i="145"/>
  <c r="S63" i="145"/>
  <c r="R63" i="145"/>
  <c r="U79" i="144"/>
  <c r="U63" i="144" s="1"/>
  <c r="K69" i="144" s="1"/>
  <c r="T79" i="144"/>
  <c r="T63" i="144" s="1"/>
  <c r="R77" i="171" l="1"/>
  <c r="U79" i="145"/>
  <c r="U63" i="145" s="1"/>
  <c r="K69" i="145" s="1"/>
  <c r="T79" i="145"/>
  <c r="T63" i="145" s="1"/>
  <c r="P79" i="146"/>
  <c r="S63" i="146"/>
  <c r="R63" i="146"/>
  <c r="T79" i="146" l="1"/>
  <c r="T63" i="146" s="1"/>
  <c r="U79" i="146"/>
  <c r="U63" i="146" s="1"/>
  <c r="K69" i="146" s="1"/>
  <c r="H33" i="164" l="1"/>
  <c r="Q33" i="164" l="1"/>
  <c r="P61" i="167"/>
  <c r="Q34" i="164" l="1"/>
  <c r="H34" i="164"/>
  <c r="Q18" i="164"/>
  <c r="P57" i="164" l="1"/>
  <c r="Q40" i="164" l="1"/>
  <c r="O56" i="168" l="1"/>
  <c r="H59" i="165" l="1"/>
  <c r="Q59" i="165" s="1"/>
  <c r="Q44" i="164" l="1"/>
  <c r="Q4" i="165" l="1"/>
  <c r="I59" i="169" l="1"/>
  <c r="F59" i="169" l="1"/>
  <c r="O59" i="169" l="1"/>
  <c r="O61" i="170" l="1"/>
  <c r="J84" i="170" l="1"/>
  <c r="J82" i="170" l="1"/>
  <c r="J85" i="170" l="1"/>
  <c r="J87" i="170" l="1"/>
  <c r="F88" i="170" l="1"/>
  <c r="J88" i="170" s="1"/>
  <c r="J81" i="170"/>
  <c r="H91" i="170" l="1"/>
  <c r="I91" i="170" s="1"/>
  <c r="H84" i="170" l="1"/>
  <c r="H90" i="170"/>
  <c r="I90" i="170" s="1"/>
  <c r="H87" i="170" l="1"/>
  <c r="I87" i="170" s="1"/>
  <c r="H93" i="170"/>
  <c r="I93" i="170" s="1"/>
  <c r="H82" i="170"/>
  <c r="I82" i="170" s="1"/>
  <c r="H86" i="170"/>
  <c r="I84" i="170"/>
  <c r="H81" i="170" l="1"/>
  <c r="I81" i="170" s="1"/>
  <c r="H92" i="170"/>
  <c r="I92" i="170" s="1"/>
  <c r="H61" i="170"/>
  <c r="H85" i="170"/>
  <c r="G86" i="170"/>
  <c r="I86" i="170" s="1"/>
  <c r="H88" i="170" l="1"/>
  <c r="G85" i="170"/>
  <c r="F61" i="170"/>
  <c r="Q61" i="170" l="1"/>
  <c r="G88" i="170"/>
  <c r="I88" i="170" s="1"/>
  <c r="I85" i="170"/>
  <c r="O57" i="164" l="1"/>
  <c r="H57" i="171" l="1"/>
  <c r="Q57" i="171" s="1"/>
  <c r="G62" i="172" l="1"/>
  <c r="R62" i="172" s="1"/>
  <c r="G78" i="172" l="1"/>
  <c r="I78" i="172"/>
  <c r="G79" i="172"/>
  <c r="P93" i="172" s="1"/>
  <c r="R82" i="172" l="1"/>
  <c r="I62" i="172" l="1"/>
  <c r="F62" i="172"/>
  <c r="E62" i="172" l="1"/>
  <c r="H62" i="172" l="1"/>
  <c r="Q62" i="172" l="1"/>
  <c r="K53" i="172" l="1"/>
  <c r="K54" i="172"/>
  <c r="K55" i="172"/>
  <c r="S6" i="170" l="1"/>
  <c r="K52" i="172" l="1"/>
  <c r="K51" i="172"/>
  <c r="K50" i="172"/>
  <c r="H5" i="161" l="1"/>
  <c r="H8" i="161" l="1"/>
  <c r="Q5" i="161" l="1"/>
  <c r="H9" i="161" l="1"/>
  <c r="H10" i="161"/>
  <c r="H11" i="161"/>
  <c r="Q8" i="161" l="1"/>
  <c r="Q9" i="161" l="1"/>
  <c r="H12" i="161" l="1"/>
  <c r="H13" i="161"/>
  <c r="H14" i="161"/>
  <c r="Q12" i="161" l="1"/>
  <c r="Q11" i="161"/>
  <c r="Q13" i="161" l="1"/>
  <c r="Q10" i="161"/>
  <c r="Q14" i="161" l="1"/>
  <c r="H19" i="161" l="1"/>
  <c r="H20" i="161"/>
  <c r="Q19" i="161" l="1"/>
  <c r="Q20" i="161"/>
  <c r="M22" i="161" l="1"/>
  <c r="E22" i="161"/>
  <c r="Q23" i="161" l="1"/>
  <c r="Q24" i="161"/>
  <c r="E24" i="161" l="1"/>
  <c r="M24" i="161"/>
  <c r="E23" i="161"/>
  <c r="M23" i="161"/>
  <c r="M25" i="161" l="1"/>
  <c r="E25" i="161"/>
  <c r="E35" i="161" l="1"/>
  <c r="M35" i="161"/>
  <c r="E33" i="161"/>
  <c r="M33" i="161"/>
  <c r="M34" i="161"/>
  <c r="E34" i="161"/>
  <c r="Q37" i="161" l="1"/>
  <c r="Q36" i="161"/>
  <c r="M41" i="161" l="1"/>
  <c r="E41" i="161"/>
  <c r="H43" i="161" l="1"/>
  <c r="Q41" i="161" l="1"/>
  <c r="Q43" i="161" l="1"/>
  <c r="M49" i="161" l="1"/>
  <c r="M103" i="161" s="1"/>
  <c r="E49" i="161"/>
  <c r="E103" i="161" s="1"/>
  <c r="J40" i="161" l="1"/>
  <c r="H40" i="161" l="1"/>
  <c r="H103" i="161" s="1"/>
  <c r="Q103" i="161" l="1"/>
  <c r="Q111" i="161" s="1"/>
  <c r="Q124" i="161"/>
  <c r="S124" i="161" s="1"/>
  <c r="Q40" i="161" l="1"/>
  <c r="M60" i="162" l="1"/>
  <c r="F38" i="162" l="1"/>
  <c r="F12" i="162"/>
  <c r="F36" i="162" l="1"/>
  <c r="F43" i="162" l="1"/>
  <c r="J42" i="162" l="1"/>
  <c r="J43" i="162"/>
  <c r="J41" i="162"/>
  <c r="J40" i="162"/>
  <c r="J39" i="162"/>
  <c r="F41" i="162" l="1"/>
  <c r="H41" i="162"/>
  <c r="H43" i="162"/>
  <c r="H42" i="162"/>
  <c r="F40" i="162"/>
  <c r="J38" i="162" l="1"/>
  <c r="I37" i="162" l="1"/>
  <c r="F37" i="162"/>
  <c r="I36" i="162" l="1"/>
  <c r="J35" i="162" l="1"/>
  <c r="F35" i="162"/>
  <c r="F34" i="162"/>
  <c r="I34" i="162"/>
  <c r="H28" i="162" l="1"/>
  <c r="F28" i="162"/>
  <c r="F5" i="162" l="1"/>
  <c r="F11" i="162"/>
  <c r="F7" i="162"/>
  <c r="F6" i="162"/>
  <c r="I33" i="162" l="1"/>
  <c r="F33" i="162"/>
  <c r="F20" i="162" l="1"/>
  <c r="F26" i="162"/>
  <c r="F25" i="162"/>
  <c r="F19" i="162"/>
  <c r="J32" i="162"/>
  <c r="F32" i="162"/>
  <c r="F31" i="162"/>
  <c r="I32" i="162"/>
  <c r="F30" i="162" l="1"/>
  <c r="J28" i="162"/>
  <c r="J30" i="162"/>
  <c r="J29" i="162"/>
  <c r="J31" i="162"/>
  <c r="J33" i="162"/>
  <c r="J34" i="162"/>
  <c r="J36" i="162"/>
  <c r="J37" i="162"/>
  <c r="I28" i="162"/>
  <c r="F24" i="162"/>
  <c r="F29" i="162"/>
  <c r="F10" i="162" l="1"/>
  <c r="F22" i="162"/>
  <c r="F21" i="162" l="1"/>
  <c r="J26" i="162" l="1"/>
  <c r="I26" i="162"/>
  <c r="H25" i="162"/>
  <c r="J25" i="162"/>
  <c r="I25" i="162" l="1"/>
  <c r="J4" i="162" l="1"/>
  <c r="J6" i="162"/>
  <c r="J7" i="162"/>
  <c r="J8" i="162"/>
  <c r="J9" i="162"/>
  <c r="J10" i="162"/>
  <c r="J11" i="162"/>
  <c r="H4" i="162"/>
  <c r="H5" i="162"/>
  <c r="H6" i="162"/>
  <c r="H7" i="162"/>
  <c r="H8" i="162"/>
  <c r="H9" i="162"/>
  <c r="H10" i="162"/>
  <c r="H11" i="162"/>
  <c r="J22" i="162" l="1"/>
  <c r="J24" i="162"/>
  <c r="J23" i="162"/>
  <c r="J21" i="162"/>
  <c r="F23" i="162" l="1"/>
  <c r="J20" i="162" l="1"/>
  <c r="H20" i="162" l="1"/>
  <c r="H21" i="162" l="1"/>
  <c r="I22" i="162"/>
  <c r="J19" i="162" l="1"/>
  <c r="I19" i="162" l="1"/>
  <c r="J18" i="162" l="1"/>
  <c r="J17" i="162"/>
  <c r="J16" i="162"/>
  <c r="I18" i="162" l="1"/>
  <c r="F17" i="162"/>
  <c r="F18" i="162"/>
  <c r="F16" i="162" l="1"/>
  <c r="H14" i="162"/>
  <c r="F14" i="162"/>
  <c r="Q14" i="162" l="1"/>
  <c r="J15" i="162"/>
  <c r="J14" i="162"/>
  <c r="I14" i="162"/>
  <c r="F13" i="162" l="1"/>
  <c r="H13" i="162"/>
  <c r="I12" i="162" l="1"/>
  <c r="J13" i="162"/>
  <c r="J12" i="162"/>
  <c r="I10" i="162" l="1"/>
  <c r="I9" i="162"/>
  <c r="I7" i="162" l="1"/>
  <c r="F8" i="162" l="1"/>
  <c r="H32" i="162" l="1"/>
  <c r="H34" i="162"/>
  <c r="H35" i="162"/>
  <c r="H36" i="162"/>
  <c r="H37" i="162"/>
  <c r="H19" i="162"/>
  <c r="H22" i="162"/>
  <c r="H23" i="162"/>
  <c r="H24" i="162"/>
  <c r="H33" i="162" l="1"/>
  <c r="I6" i="162"/>
  <c r="I60" i="162" s="1"/>
  <c r="F4" i="162" l="1"/>
  <c r="F60" i="162" s="1"/>
  <c r="P80" i="162" l="1"/>
  <c r="P77" i="163"/>
  <c r="Q4" i="162"/>
  <c r="H38" i="162" l="1"/>
  <c r="H39" i="162"/>
  <c r="H40" i="162"/>
  <c r="Q33" i="162" l="1"/>
  <c r="Q35" i="162"/>
  <c r="H31" i="162"/>
  <c r="Q31" i="162" l="1"/>
  <c r="Q34" i="162"/>
  <c r="Q41" i="162"/>
  <c r="Q43" i="162"/>
  <c r="Q42" i="162"/>
  <c r="H30" i="162"/>
  <c r="Q39" i="162" l="1"/>
  <c r="Q37" i="162"/>
  <c r="Q40" i="162"/>
  <c r="Q36" i="162"/>
  <c r="Q32" i="162"/>
  <c r="Q38" i="162"/>
  <c r="H29" i="162" l="1"/>
  <c r="Q30" i="162"/>
  <c r="H26" i="162" l="1"/>
  <c r="Q25" i="162"/>
  <c r="Q21" i="162"/>
  <c r="Q22" i="162"/>
  <c r="Q28" i="162"/>
  <c r="Q26" i="162"/>
  <c r="Q29" i="162"/>
  <c r="Q24" i="162"/>
  <c r="Q23" i="162"/>
  <c r="Q20" i="162"/>
  <c r="H12" i="162" l="1"/>
  <c r="H16" i="162"/>
  <c r="H17" i="162"/>
  <c r="H18" i="162"/>
  <c r="H60" i="162" l="1"/>
  <c r="Q80" i="162" l="1"/>
  <c r="S80" i="162" s="1"/>
  <c r="Q66" i="162" s="1"/>
  <c r="Q60" i="162"/>
  <c r="Q16" i="162" l="1"/>
  <c r="Q10" i="162"/>
  <c r="Q5" i="162"/>
  <c r="Q6" i="162"/>
  <c r="Q9" i="162"/>
  <c r="Q7" i="162"/>
  <c r="Q18" i="162"/>
  <c r="Q11" i="162"/>
  <c r="Q17" i="162"/>
  <c r="Q8" i="162"/>
  <c r="Q12" i="162"/>
  <c r="Q13" i="162"/>
  <c r="Q19" i="162"/>
  <c r="H35" i="163" l="1"/>
  <c r="Q35" i="163"/>
  <c r="J36" i="163" l="1"/>
  <c r="J35" i="163"/>
  <c r="J33" i="163" l="1"/>
  <c r="H33" i="163"/>
  <c r="H32" i="163"/>
  <c r="Q33" i="163" l="1"/>
  <c r="Q32" i="163"/>
  <c r="Q34" i="163"/>
  <c r="J31" i="163" l="1"/>
  <c r="J30" i="163"/>
  <c r="H29" i="163" l="1"/>
  <c r="J28" i="163" l="1"/>
  <c r="J25" i="163" l="1"/>
  <c r="J24" i="163" l="1"/>
  <c r="J22" i="163"/>
  <c r="J20" i="163" l="1"/>
  <c r="J19" i="163"/>
  <c r="J18" i="163"/>
  <c r="H20" i="163" l="1"/>
  <c r="H17" i="163" l="1"/>
  <c r="J17" i="163"/>
  <c r="J16" i="163"/>
  <c r="J21" i="163"/>
  <c r="J23" i="163"/>
  <c r="J26" i="163"/>
  <c r="J27" i="163"/>
  <c r="J29" i="163"/>
  <c r="J32" i="163"/>
  <c r="J34" i="163"/>
  <c r="Q17" i="163" l="1"/>
  <c r="J15" i="163" l="1"/>
  <c r="J14" i="163"/>
  <c r="J11" i="163" l="1"/>
  <c r="J13" i="163"/>
  <c r="J12" i="163" l="1"/>
  <c r="J10" i="163" l="1"/>
  <c r="Q12" i="163" l="1"/>
  <c r="H12" i="163"/>
  <c r="H11" i="163" l="1"/>
  <c r="H10" i="163"/>
  <c r="H8" i="163" l="1"/>
  <c r="J8" i="163" l="1"/>
  <c r="H7" i="163" l="1"/>
  <c r="H5" i="163"/>
  <c r="H6" i="163"/>
  <c r="H9" i="163"/>
  <c r="H13" i="163"/>
  <c r="H14" i="163"/>
  <c r="H15" i="163"/>
  <c r="Q16" i="163" l="1"/>
  <c r="H16" i="163"/>
  <c r="J6" i="163" l="1"/>
  <c r="J5" i="163"/>
  <c r="J7" i="163"/>
  <c r="J9" i="163"/>
  <c r="J4" i="163" l="1"/>
  <c r="H18" i="163" l="1"/>
  <c r="H19" i="163"/>
  <c r="H21" i="163" l="1"/>
  <c r="H24" i="163" l="1"/>
  <c r="H25" i="163"/>
  <c r="H26" i="163"/>
  <c r="H27" i="163"/>
  <c r="H28" i="163"/>
  <c r="H22" i="163" l="1"/>
  <c r="H23" i="163"/>
  <c r="Q24" i="163" l="1"/>
  <c r="Q23" i="163"/>
  <c r="Q22" i="163"/>
  <c r="Q21" i="163"/>
  <c r="Q25" i="163"/>
  <c r="Q13" i="163" l="1"/>
  <c r="H4" i="163"/>
  <c r="Q15" i="163" l="1"/>
  <c r="Q18" i="163"/>
  <c r="Q20" i="163"/>
  <c r="Q11" i="163"/>
  <c r="Q19" i="163"/>
  <c r="Q28" i="163"/>
  <c r="Q29" i="163"/>
  <c r="Q27" i="163" l="1"/>
  <c r="Q14" i="163"/>
  <c r="Q10" i="163"/>
  <c r="Q6" i="163"/>
  <c r="Q8" i="163"/>
  <c r="Q7" i="163"/>
  <c r="Q5" i="163"/>
  <c r="Q9" i="163" l="1"/>
  <c r="Q4" i="163" l="1"/>
  <c r="Q43" i="163" l="1"/>
  <c r="H43" i="163"/>
  <c r="Q40" i="163" l="1"/>
  <c r="H40" i="163"/>
  <c r="Q42" i="163" l="1"/>
  <c r="H42" i="163"/>
  <c r="Q41" i="163"/>
  <c r="H41" i="163"/>
  <c r="H58" i="163" l="1"/>
  <c r="Q58" i="163" l="1"/>
  <c r="Q77" i="163"/>
  <c r="S77" i="163" s="1"/>
  <c r="Q66" i="163" s="1"/>
  <c r="J42" i="163"/>
  <c r="J43" i="163" l="1"/>
  <c r="J41" i="163"/>
  <c r="J40" i="163"/>
  <c r="J50" i="163" l="1"/>
  <c r="J51" i="163" l="1"/>
  <c r="J52" i="163"/>
  <c r="J53" i="163"/>
  <c r="J54" i="163"/>
  <c r="Q50" i="163" l="1"/>
  <c r="F4" i="164" l="1"/>
  <c r="F57" i="164" s="1"/>
  <c r="H4" i="164"/>
  <c r="H5" i="164"/>
  <c r="H57" i="164" l="1"/>
  <c r="P80" i="165"/>
  <c r="P75" i="164"/>
  <c r="P79" i="166"/>
  <c r="Q57" i="164" l="1"/>
  <c r="Q75" i="164"/>
  <c r="S75" i="164" s="1"/>
  <c r="Q64" i="164" s="1"/>
  <c r="Q80" i="165"/>
  <c r="S80" i="165" s="1"/>
  <c r="Q68" i="165" s="1"/>
  <c r="Q4" i="164" l="1"/>
  <c r="E57" i="164" l="1"/>
  <c r="J13" i="164" l="1"/>
  <c r="J17" i="164" l="1"/>
  <c r="J23" i="164" l="1"/>
  <c r="J21" i="164" l="1"/>
  <c r="J22" i="164"/>
  <c r="Q16" i="164" l="1"/>
  <c r="Q17" i="164"/>
  <c r="Q42" i="165" l="1"/>
  <c r="O25" i="166" l="1"/>
  <c r="O26" i="166" l="1"/>
  <c r="O24" i="166" l="1"/>
  <c r="O23" i="166"/>
  <c r="O19" i="166" l="1"/>
  <c r="O21" i="166" l="1"/>
  <c r="O15" i="166"/>
  <c r="O17" i="166"/>
  <c r="O16" i="166"/>
  <c r="O13" i="166" l="1"/>
  <c r="O11" i="166" l="1"/>
  <c r="O8" i="166"/>
  <c r="O10" i="166" l="1"/>
  <c r="O52" i="166" s="1"/>
  <c r="J26" i="166" l="1"/>
  <c r="J24" i="166" l="1"/>
  <c r="J23" i="166"/>
  <c r="J21" i="166" l="1"/>
  <c r="J17" i="166" l="1"/>
  <c r="J16" i="166"/>
  <c r="J15" i="166"/>
  <c r="H16" i="166" l="1"/>
  <c r="J12" i="166" l="1"/>
  <c r="H13" i="166"/>
  <c r="J13" i="166"/>
  <c r="J11" i="166" l="1"/>
  <c r="J10" i="166"/>
  <c r="H8" i="166" l="1"/>
  <c r="J8" i="166"/>
  <c r="H5" i="166"/>
  <c r="H6" i="166"/>
  <c r="H7" i="166"/>
  <c r="H9" i="166"/>
  <c r="H10" i="166"/>
  <c r="H11" i="166"/>
  <c r="H12" i="166"/>
  <c r="H14" i="166"/>
  <c r="H15" i="166"/>
  <c r="H18" i="166"/>
  <c r="H19" i="166"/>
  <c r="H20" i="166"/>
  <c r="H21" i="166"/>
  <c r="H22" i="166"/>
  <c r="H23" i="166"/>
  <c r="H24" i="166"/>
  <c r="H25" i="166"/>
  <c r="H26" i="166"/>
  <c r="H4" i="166"/>
  <c r="H52" i="166" l="1"/>
  <c r="J6" i="166"/>
  <c r="J5" i="166"/>
  <c r="J4" i="166"/>
  <c r="Q52" i="166" l="1"/>
  <c r="Q79" i="166"/>
  <c r="S79" i="166" s="1"/>
  <c r="Q61" i="166" s="1"/>
  <c r="Q9" i="166"/>
  <c r="J9" i="166"/>
  <c r="Q10" i="166"/>
  <c r="Q11" i="166"/>
  <c r="Q12" i="166"/>
  <c r="Q13" i="166"/>
  <c r="Q14" i="166"/>
  <c r="J14" i="166"/>
  <c r="Q15" i="166"/>
  <c r="Q16" i="166"/>
  <c r="Q18" i="166"/>
  <c r="J18" i="166"/>
  <c r="Q20" i="166"/>
  <c r="J20" i="166"/>
  <c r="Q21" i="166"/>
  <c r="Q22" i="166"/>
  <c r="J22" i="166"/>
  <c r="Q23" i="166"/>
  <c r="Q24" i="166"/>
  <c r="Q4" i="166"/>
  <c r="J7" i="166" l="1"/>
  <c r="J25" i="166"/>
  <c r="Q8" i="166" l="1"/>
  <c r="Q6" i="166" l="1"/>
  <c r="Q25" i="166"/>
  <c r="Q26" i="166"/>
  <c r="Q7" i="166" l="1"/>
  <c r="Q5" i="166"/>
  <c r="N40" i="165" l="1"/>
  <c r="T40" i="165" s="1"/>
  <c r="O54" i="167" l="1"/>
  <c r="O50" i="167" l="1"/>
  <c r="O51" i="167"/>
  <c r="O53" i="167" l="1"/>
  <c r="O48" i="167"/>
  <c r="O45" i="167" l="1"/>
  <c r="O43" i="167" l="1"/>
  <c r="O39" i="167" l="1"/>
  <c r="O36" i="167"/>
  <c r="O38" i="167" l="1"/>
  <c r="O34" i="167" l="1"/>
  <c r="O31" i="167"/>
  <c r="O27" i="167" l="1"/>
  <c r="O30" i="167" l="1"/>
  <c r="O28" i="167"/>
  <c r="O25" i="167" l="1"/>
  <c r="O22" i="167" l="1"/>
  <c r="O23" i="167"/>
  <c r="O20" i="167" l="1"/>
  <c r="O19" i="167"/>
  <c r="O21" i="167"/>
  <c r="O16" i="167" l="1"/>
  <c r="O17" i="167" l="1"/>
  <c r="O15" i="167"/>
  <c r="O10" i="167" l="1"/>
  <c r="O8" i="167" l="1"/>
  <c r="O7" i="167" l="1"/>
  <c r="O5" i="167"/>
  <c r="O61" i="167" s="1"/>
  <c r="F29" i="167" l="1"/>
  <c r="F28" i="167"/>
  <c r="F24" i="167"/>
  <c r="F55" i="167"/>
  <c r="H55" i="167"/>
  <c r="J55" i="167" l="1"/>
  <c r="F54" i="167" l="1"/>
  <c r="I55" i="167"/>
  <c r="J54" i="167" l="1"/>
  <c r="J53" i="167"/>
  <c r="J52" i="167"/>
  <c r="I53" i="167"/>
  <c r="F53" i="167"/>
  <c r="Q55" i="167"/>
  <c r="F14" i="167"/>
  <c r="F49" i="167"/>
  <c r="Q54" i="167" l="1"/>
  <c r="H54" i="167"/>
  <c r="Q53" i="167"/>
  <c r="H53" i="167"/>
  <c r="F52" i="167"/>
  <c r="F51" i="167"/>
  <c r="F9" i="167"/>
  <c r="Q52" i="167" l="1"/>
  <c r="H52" i="167"/>
  <c r="F27" i="167"/>
  <c r="H51" i="167" l="1"/>
  <c r="Q51" i="167" l="1"/>
  <c r="J51" i="167" l="1"/>
  <c r="J50" i="167"/>
  <c r="F47" i="167"/>
  <c r="H49" i="167"/>
  <c r="F6" i="167" l="1"/>
  <c r="F5" i="167"/>
  <c r="F13" i="167"/>
  <c r="F8" i="167"/>
  <c r="J48" i="167"/>
  <c r="J47" i="167"/>
  <c r="I47" i="167"/>
  <c r="H47" i="167" l="1"/>
  <c r="F35" i="167" l="1"/>
  <c r="J46" i="167"/>
  <c r="F46" i="167"/>
  <c r="H46" i="167"/>
  <c r="J45" i="167"/>
  <c r="J44" i="167"/>
  <c r="J43" i="167"/>
  <c r="Q46" i="167" l="1"/>
  <c r="I46" i="167"/>
  <c r="I44" i="167" l="1"/>
  <c r="F44" i="167"/>
  <c r="I41" i="167" l="1"/>
  <c r="F42" i="167"/>
  <c r="F30" i="167" l="1"/>
  <c r="J40" i="167" l="1"/>
  <c r="F40" i="167"/>
  <c r="J42" i="167" l="1"/>
  <c r="J49" i="167"/>
  <c r="J39" i="167"/>
  <c r="J38" i="167"/>
  <c r="F38" i="167"/>
  <c r="H38" i="167"/>
  <c r="I38" i="167"/>
  <c r="F39" i="167"/>
  <c r="H39" i="167"/>
  <c r="H40" i="167"/>
  <c r="F36" i="167"/>
  <c r="Q40" i="167" l="1"/>
  <c r="Q38" i="167"/>
  <c r="Q39" i="167"/>
  <c r="H37" i="167"/>
  <c r="J33" i="167" l="1"/>
  <c r="J32" i="167"/>
  <c r="J31" i="167"/>
  <c r="J30" i="167"/>
  <c r="J35" i="167"/>
  <c r="I35" i="167"/>
  <c r="H35" i="167" l="1"/>
  <c r="F11" i="167" l="1"/>
  <c r="F33" i="167" l="1"/>
  <c r="H30" i="167" l="1"/>
  <c r="F26" i="167"/>
  <c r="J29" i="167" l="1"/>
  <c r="J28" i="167"/>
  <c r="J27" i="167"/>
  <c r="I27" i="167"/>
  <c r="J26" i="167" l="1"/>
  <c r="I26" i="167" l="1"/>
  <c r="H26" i="167"/>
  <c r="F25" i="167"/>
  <c r="J24" i="167" l="1"/>
  <c r="I24" i="167" l="1"/>
  <c r="H24" i="167"/>
  <c r="F23" i="167"/>
  <c r="J22" i="167" l="1"/>
  <c r="I22" i="167" l="1"/>
  <c r="F22" i="167"/>
  <c r="I20" i="167" l="1"/>
  <c r="I19" i="167"/>
  <c r="J21" i="167"/>
  <c r="J20" i="167"/>
  <c r="J19" i="167"/>
  <c r="H20" i="167"/>
  <c r="F20" i="167"/>
  <c r="F19" i="167"/>
  <c r="F17" i="167" l="1"/>
  <c r="J18" i="167" l="1"/>
  <c r="J17" i="167"/>
  <c r="J16" i="167"/>
  <c r="J14" i="167"/>
  <c r="H15" i="167"/>
  <c r="H17" i="167"/>
  <c r="I14" i="167" l="1"/>
  <c r="I12" i="167" l="1"/>
  <c r="F12" i="167" l="1"/>
  <c r="I11" i="167" l="1"/>
  <c r="J12" i="167" l="1"/>
  <c r="J11" i="167"/>
  <c r="J9" i="167" l="1"/>
  <c r="F10" i="167" l="1"/>
  <c r="I9" i="167"/>
  <c r="J8" i="167" l="1"/>
  <c r="J7" i="167"/>
  <c r="J6" i="167"/>
  <c r="I6" i="167"/>
  <c r="J10" i="167"/>
  <c r="J13" i="167"/>
  <c r="J15" i="167"/>
  <c r="H7" i="167"/>
  <c r="H6" i="167"/>
  <c r="H5" i="167"/>
  <c r="J23" i="167" l="1"/>
  <c r="J25" i="167"/>
  <c r="J5" i="167"/>
  <c r="J4" i="167"/>
  <c r="I4" i="167"/>
  <c r="I61" i="167" s="1"/>
  <c r="F4" i="167" l="1"/>
  <c r="F61" i="167" s="1"/>
  <c r="P94" i="172" l="1"/>
  <c r="P90" i="169"/>
  <c r="P90" i="171"/>
  <c r="P100" i="167"/>
  <c r="P94" i="168"/>
  <c r="P92" i="170"/>
  <c r="H8" i="167" l="1"/>
  <c r="H9" i="167"/>
  <c r="H11" i="167"/>
  <c r="H12" i="167"/>
  <c r="H13" i="167"/>
  <c r="H14" i="167"/>
  <c r="Q15" i="167"/>
  <c r="H18" i="167"/>
  <c r="H19" i="167"/>
  <c r="Q20" i="167"/>
  <c r="H22" i="167"/>
  <c r="H25" i="167"/>
  <c r="H27" i="167"/>
  <c r="H28" i="167"/>
  <c r="H29" i="167"/>
  <c r="H33" i="167"/>
  <c r="H34" i="167"/>
  <c r="H36" i="167"/>
  <c r="H41" i="167"/>
  <c r="H42" i="167"/>
  <c r="H43" i="167"/>
  <c r="H44" i="167"/>
  <c r="H45" i="167"/>
  <c r="Q49" i="167"/>
  <c r="H10" i="167" l="1"/>
  <c r="H23" i="167"/>
  <c r="Q13" i="167"/>
  <c r="Q10" i="167"/>
  <c r="Q47" i="167"/>
  <c r="Q22" i="167"/>
  <c r="Q12" i="167"/>
  <c r="Q14" i="167"/>
  <c r="Q19" i="167"/>
  <c r="Q11" i="167"/>
  <c r="Q17" i="167"/>
  <c r="Q9" i="167" l="1"/>
  <c r="H4" i="167" l="1"/>
  <c r="H61" i="167" s="1"/>
  <c r="Q5" i="167"/>
  <c r="Q7" i="167"/>
  <c r="Q8" i="167"/>
  <c r="Q6" i="167"/>
  <c r="Q61" i="167" l="1"/>
  <c r="Q100" i="167"/>
  <c r="S100" i="167" s="1"/>
  <c r="Q82" i="167" s="1"/>
  <c r="Q43" i="167" l="1"/>
  <c r="Q42" i="167"/>
  <c r="Q33" i="167"/>
  <c r="Q29" i="167"/>
  <c r="Q27" i="167"/>
  <c r="Q25" i="167"/>
  <c r="Q24" i="167"/>
  <c r="Q26" i="167" l="1"/>
  <c r="Q30" i="167"/>
  <c r="Q28" i="167"/>
  <c r="Q44" i="167"/>
  <c r="Q4" i="167"/>
  <c r="Q23" i="167"/>
  <c r="Q35" i="167"/>
  <c r="J4" i="168" l="1"/>
  <c r="H4" i="168" l="1"/>
  <c r="Q4" i="168" l="1"/>
  <c r="Q7" i="168" l="1"/>
  <c r="J10" i="168" l="1"/>
  <c r="J12" i="168" l="1"/>
  <c r="H12" i="168" l="1"/>
  <c r="Q11" i="168" l="1"/>
  <c r="J13" i="168" l="1"/>
  <c r="H13" i="168"/>
  <c r="H14" i="168"/>
  <c r="H15" i="168"/>
  <c r="Q14" i="168" l="1"/>
  <c r="Q15" i="168"/>
  <c r="Q13" i="168" l="1"/>
  <c r="Q12" i="168"/>
  <c r="J16" i="168" l="1"/>
  <c r="H16" i="168"/>
  <c r="H17" i="168"/>
  <c r="H56" i="168" l="1"/>
  <c r="Q56" i="168" s="1"/>
  <c r="Q94" i="168" l="1"/>
  <c r="S94" i="168" s="1"/>
  <c r="Q76" i="168" s="1"/>
  <c r="J18" i="168" l="1"/>
  <c r="Q17" i="168" l="1"/>
  <c r="J24" i="168" l="1"/>
  <c r="N22" i="165" l="1"/>
  <c r="N27" i="165"/>
  <c r="N20" i="168"/>
  <c r="N13" i="165"/>
  <c r="N28" i="165"/>
  <c r="N10" i="165"/>
  <c r="N23" i="165"/>
  <c r="N26" i="165"/>
  <c r="T26" i="165" s="1"/>
  <c r="T27" i="165" l="1"/>
  <c r="N32" i="168"/>
  <c r="N28" i="168"/>
  <c r="N17" i="165"/>
  <c r="N19" i="165"/>
  <c r="N25" i="165"/>
  <c r="N18" i="165"/>
  <c r="N31" i="168"/>
  <c r="N22" i="168"/>
  <c r="N14" i="165"/>
  <c r="T14" i="165" s="1"/>
  <c r="N12" i="165"/>
  <c r="T12" i="165" s="1"/>
  <c r="N32" i="165"/>
  <c r="N29" i="165"/>
  <c r="N18" i="168"/>
  <c r="N25" i="168"/>
  <c r="N34" i="165"/>
  <c r="N30" i="168"/>
  <c r="N16" i="168"/>
  <c r="N13" i="168"/>
  <c r="N38" i="165"/>
  <c r="N15" i="165"/>
  <c r="T15" i="165" s="1"/>
  <c r="N7" i="168"/>
  <c r="N37" i="165"/>
  <c r="N30" i="165"/>
  <c r="N19" i="168"/>
  <c r="N39" i="165"/>
  <c r="N10" i="168"/>
  <c r="N35" i="165"/>
  <c r="N6" i="165"/>
  <c r="N43" i="165"/>
  <c r="T43" i="165" s="1"/>
  <c r="N36" i="165"/>
  <c r="N5" i="168"/>
  <c r="T5" i="168" s="1"/>
  <c r="N11" i="165"/>
  <c r="N8" i="165"/>
  <c r="T8" i="165" s="1"/>
  <c r="N17" i="168"/>
  <c r="N14" i="168"/>
  <c r="N11" i="168"/>
  <c r="T10" i="168" s="1"/>
  <c r="N42" i="165"/>
  <c r="N23" i="168"/>
  <c r="N6" i="168"/>
  <c r="N15" i="168"/>
  <c r="N8" i="168"/>
  <c r="N20" i="165"/>
  <c r="N31" i="165"/>
  <c r="N24" i="165"/>
  <c r="N21" i="165"/>
  <c r="N21" i="168"/>
  <c r="T20" i="168" s="1"/>
  <c r="N5" i="165"/>
  <c r="T16" i="168" l="1"/>
  <c r="T24" i="165"/>
  <c r="T22" i="168"/>
  <c r="T18" i="168"/>
  <c r="T13" i="168"/>
  <c r="T18" i="165"/>
  <c r="T31" i="168"/>
  <c r="T6" i="168"/>
  <c r="T37" i="165"/>
  <c r="T20" i="165"/>
  <c r="T34" i="165"/>
  <c r="T29" i="165"/>
  <c r="N4" i="165"/>
  <c r="N16" i="165"/>
  <c r="T16" i="165" s="1"/>
  <c r="N9" i="168"/>
  <c r="T9" i="168" s="1"/>
  <c r="N29" i="168"/>
  <c r="T29" i="168" s="1"/>
  <c r="N27" i="168"/>
  <c r="T27" i="168" s="1"/>
  <c r="N12" i="168"/>
  <c r="T12" i="168" s="1"/>
  <c r="N7" i="165"/>
  <c r="T6" i="165" s="1"/>
  <c r="N4" i="168"/>
  <c r="N9" i="165"/>
  <c r="T9" i="165" s="1"/>
  <c r="N24" i="168"/>
  <c r="T24" i="168" s="1"/>
  <c r="T4" i="165" l="1"/>
  <c r="T4" i="168"/>
  <c r="N33" i="165" l="1"/>
  <c r="T32" i="165" l="1"/>
  <c r="N41" i="165" l="1"/>
  <c r="T41" i="165" l="1"/>
  <c r="N59" i="165"/>
  <c r="T59" i="165" s="1"/>
  <c r="J33" i="168" l="1"/>
  <c r="N37" i="168" l="1"/>
  <c r="T36" i="168" l="1"/>
  <c r="N56" i="168"/>
  <c r="T56" i="168" s="1"/>
  <c r="J4" i="169" l="1"/>
  <c r="H4" i="169" l="1"/>
  <c r="H59" i="169" s="1"/>
  <c r="Q59" i="169" l="1"/>
  <c r="Q94" i="172"/>
  <c r="S94" i="172" s="1"/>
  <c r="Q82" i="172" s="1"/>
  <c r="Q90" i="169"/>
  <c r="S90" i="169" s="1"/>
  <c r="Q79" i="169" s="1"/>
  <c r="Q90" i="171"/>
  <c r="S90" i="171" s="1"/>
  <c r="Q77" i="171" s="1"/>
  <c r="Q92" i="170"/>
  <c r="S92" i="170" s="1"/>
  <c r="Q81" i="170" s="1"/>
  <c r="Q4" i="169"/>
  <c r="N4" i="169" l="1"/>
  <c r="T4" i="169" s="1"/>
  <c r="N11" i="169" l="1"/>
  <c r="T9" i="169" l="1"/>
  <c r="Q12" i="169" l="1"/>
  <c r="Q21" i="169" l="1"/>
  <c r="Q22" i="169"/>
  <c r="J37" i="169" l="1"/>
  <c r="Q37" i="169" l="1"/>
  <c r="N37" i="169" l="1"/>
  <c r="T37" i="169" l="1"/>
  <c r="J38" i="169" l="1"/>
  <c r="K30" i="168" l="1"/>
  <c r="S30" i="168" s="1"/>
  <c r="K28" i="168"/>
  <c r="S28" i="168" s="1"/>
  <c r="K29" i="168"/>
  <c r="S29" i="168" s="1"/>
  <c r="K34" i="167" l="1"/>
  <c r="S34" i="167" s="1"/>
  <c r="K45" i="167"/>
  <c r="K30" i="169" l="1"/>
  <c r="S30" i="169" s="1"/>
  <c r="K32" i="169"/>
  <c r="S32" i="169" s="1"/>
  <c r="K33" i="169"/>
  <c r="S33" i="169" s="1"/>
  <c r="K36" i="169"/>
  <c r="S36" i="169" s="1"/>
  <c r="K38" i="169"/>
  <c r="S38" i="169" s="1"/>
  <c r="K39" i="169"/>
  <c r="S39" i="169" s="1"/>
  <c r="K37" i="169" l="1"/>
  <c r="S37" i="169" s="1"/>
  <c r="K34" i="169"/>
  <c r="S34" i="169" s="1"/>
  <c r="K35" i="169"/>
  <c r="S35" i="169" s="1"/>
  <c r="K22" i="169" l="1"/>
  <c r="S22" i="169" s="1"/>
  <c r="K23" i="169"/>
  <c r="S23" i="169" s="1"/>
  <c r="K24" i="169"/>
  <c r="S24" i="169" s="1"/>
  <c r="K25" i="169"/>
  <c r="S25" i="169" s="1"/>
  <c r="K26" i="169"/>
  <c r="S26" i="169" s="1"/>
  <c r="K4" i="170"/>
  <c r="K4" i="172"/>
  <c r="K61" i="170" l="1"/>
  <c r="S4" i="170"/>
  <c r="S4" i="172"/>
  <c r="K62" i="172"/>
  <c r="J62" i="172" l="1"/>
  <c r="S62" i="172"/>
  <c r="S61" i="170"/>
  <c r="J61" i="170"/>
  <c r="K17" i="165" l="1"/>
  <c r="S17" i="165" s="1"/>
  <c r="K18" i="165"/>
  <c r="S18" i="165" s="1"/>
  <c r="K16" i="165"/>
  <c r="S16" i="165" s="1"/>
  <c r="K15" i="165" l="1"/>
  <c r="S15" i="165" s="1"/>
  <c r="K14" i="165" l="1"/>
  <c r="S14" i="165" s="1"/>
  <c r="K10" i="165" l="1"/>
  <c r="S10" i="165" s="1"/>
  <c r="J4" i="170" l="1"/>
  <c r="K8" i="165" l="1"/>
  <c r="S8" i="165" s="1"/>
  <c r="K7" i="165"/>
  <c r="S7" i="165" s="1"/>
  <c r="K9" i="165"/>
  <c r="S9" i="165" s="1"/>
  <c r="K6" i="165" l="1"/>
  <c r="S6" i="165" s="1"/>
  <c r="K4" i="165" l="1"/>
  <c r="S4" i="165" l="1"/>
  <c r="K9" i="164" l="1"/>
  <c r="S9" i="164" s="1"/>
  <c r="K4" i="164" l="1"/>
  <c r="S4" i="164" l="1"/>
  <c r="K50" i="163" l="1"/>
  <c r="S50" i="163" s="1"/>
  <c r="K33" i="163" l="1"/>
  <c r="S33" i="163" s="1"/>
  <c r="K9" i="163" l="1"/>
  <c r="S9" i="163" s="1"/>
  <c r="K10" i="163"/>
  <c r="S10" i="163" s="1"/>
  <c r="K11" i="163"/>
  <c r="S11" i="163" s="1"/>
  <c r="K12" i="163"/>
  <c r="S12" i="163" s="1"/>
  <c r="K13" i="163"/>
  <c r="S13" i="163" s="1"/>
  <c r="K14" i="163"/>
  <c r="S14" i="163" s="1"/>
  <c r="K15" i="163"/>
  <c r="S15" i="163" s="1"/>
  <c r="K5" i="163" l="1"/>
  <c r="S5" i="163" s="1"/>
  <c r="K25" i="162" l="1"/>
  <c r="S25" i="162" s="1"/>
  <c r="K24" i="162" l="1"/>
  <c r="S24" i="162" s="1"/>
  <c r="K23" i="162"/>
  <c r="S23" i="162" s="1"/>
  <c r="K26" i="162"/>
  <c r="S26" i="162" s="1"/>
  <c r="K22" i="162" l="1"/>
  <c r="S22" i="162" s="1"/>
  <c r="K18" i="162" l="1"/>
  <c r="S18" i="162" s="1"/>
  <c r="K13" i="162" l="1"/>
  <c r="S13" i="162" s="1"/>
  <c r="K15" i="162"/>
  <c r="S15" i="162" s="1"/>
  <c r="K19" i="162"/>
  <c r="S19" i="162" s="1"/>
  <c r="K20" i="162"/>
  <c r="S20" i="162" s="1"/>
  <c r="K21" i="162"/>
  <c r="S21" i="162" s="1"/>
  <c r="K14" i="162"/>
  <c r="S14" i="162" s="1"/>
  <c r="K17" i="162" l="1"/>
  <c r="S17" i="162" s="1"/>
  <c r="K16" i="162" l="1"/>
  <c r="S16" i="162" s="1"/>
  <c r="K13" i="165" l="1"/>
  <c r="S13" i="165" s="1"/>
  <c r="K12" i="165" l="1"/>
  <c r="S12" i="165" s="1"/>
  <c r="K19" i="165" l="1"/>
  <c r="S19" i="165" s="1"/>
  <c r="K21" i="165" l="1"/>
  <c r="S21" i="165" s="1"/>
  <c r="K25" i="165"/>
  <c r="S25" i="165" s="1"/>
  <c r="K23" i="165"/>
  <c r="S23" i="165" s="1"/>
  <c r="K22" i="165" l="1"/>
  <c r="S22" i="165" s="1"/>
  <c r="K20" i="165"/>
  <c r="S20" i="165" s="1"/>
  <c r="K24" i="165" l="1"/>
  <c r="S24" i="165" s="1"/>
  <c r="K43" i="165" l="1"/>
  <c r="S43" i="165" s="1"/>
  <c r="K42" i="165" l="1"/>
  <c r="S42" i="165" s="1"/>
  <c r="K28" i="165"/>
  <c r="S28" i="165" s="1"/>
  <c r="K27" i="165"/>
  <c r="S27" i="165" s="1"/>
  <c r="K11" i="165"/>
  <c r="S11" i="165" s="1"/>
  <c r="K5" i="165"/>
  <c r="K41" i="165"/>
  <c r="S41" i="165" s="1"/>
  <c r="K40" i="165"/>
  <c r="S40" i="165" s="1"/>
  <c r="K39" i="165"/>
  <c r="S39" i="165" s="1"/>
  <c r="K36" i="165"/>
  <c r="S36" i="165" s="1"/>
  <c r="K34" i="165"/>
  <c r="S34" i="165" s="1"/>
  <c r="K32" i="165"/>
  <c r="S32" i="165" s="1"/>
  <c r="K26" i="165"/>
  <c r="S26" i="165" s="1"/>
  <c r="S5" i="165" l="1"/>
  <c r="K30" i="165"/>
  <c r="S30" i="165" s="1"/>
  <c r="K29" i="165"/>
  <c r="S29" i="165" s="1"/>
  <c r="K33" i="165"/>
  <c r="S33" i="165" s="1"/>
  <c r="K35" i="165"/>
  <c r="S35" i="165" s="1"/>
  <c r="K37" i="165"/>
  <c r="S37" i="165" s="1"/>
  <c r="K31" i="165"/>
  <c r="S31" i="165" s="1"/>
  <c r="K38" i="165"/>
  <c r="S38" i="165" s="1"/>
  <c r="K59" i="165" l="1"/>
  <c r="K6" i="162"/>
  <c r="S6" i="162" s="1"/>
  <c r="S59" i="165" l="1"/>
  <c r="K4" i="166" l="1"/>
  <c r="S4" i="166" l="1"/>
  <c r="K6" i="166"/>
  <c r="S6" i="166" s="1"/>
  <c r="K25" i="166" l="1"/>
  <c r="S25" i="166" s="1"/>
  <c r="K5" i="166"/>
  <c r="S5" i="166" l="1"/>
  <c r="K23" i="166"/>
  <c r="S23" i="166" s="1"/>
  <c r="N4" i="166" l="1"/>
  <c r="T4" i="166" l="1"/>
  <c r="K46" i="161"/>
  <c r="S46" i="161" s="1"/>
  <c r="K54" i="167"/>
  <c r="S54" i="167" s="1"/>
  <c r="K55" i="167"/>
  <c r="S55" i="167" s="1"/>
  <c r="K53" i="167" l="1"/>
  <c r="S53" i="167" s="1"/>
  <c r="K52" i="167"/>
  <c r="S52" i="167" s="1"/>
  <c r="K51" i="167" l="1"/>
  <c r="S51" i="167" s="1"/>
  <c r="K43" i="167" l="1"/>
  <c r="S43" i="167" s="1"/>
  <c r="K40" i="167" l="1"/>
  <c r="S40" i="167" s="1"/>
  <c r="K33" i="167" l="1"/>
  <c r="S33" i="167" s="1"/>
  <c r="K39" i="161" l="1"/>
  <c r="S39" i="161" s="1"/>
  <c r="K25" i="167" l="1"/>
  <c r="S25" i="167" s="1"/>
  <c r="K23" i="167" l="1"/>
  <c r="S23" i="167" s="1"/>
  <c r="K17" i="167" l="1"/>
  <c r="S17" i="167" s="1"/>
  <c r="K32" i="161" l="1"/>
  <c r="S32" i="161" s="1"/>
  <c r="K10" i="167" l="1"/>
  <c r="S10" i="167" s="1"/>
  <c r="K8" i="167"/>
  <c r="S8" i="167" s="1"/>
  <c r="K11" i="167"/>
  <c r="S11" i="167" s="1"/>
  <c r="K6" i="167"/>
  <c r="S6" i="167" s="1"/>
  <c r="K9" i="167" l="1"/>
  <c r="S9" i="167" s="1"/>
  <c r="K12" i="167"/>
  <c r="S12" i="167" s="1"/>
  <c r="K13" i="167"/>
  <c r="S13" i="167" s="1"/>
  <c r="K14" i="167"/>
  <c r="S14" i="167" s="1"/>
  <c r="K15" i="167"/>
  <c r="S15" i="167" s="1"/>
  <c r="K16" i="167"/>
  <c r="K19" i="167"/>
  <c r="S19" i="167" s="1"/>
  <c r="K20" i="167"/>
  <c r="S20" i="167" s="1"/>
  <c r="K21" i="167"/>
  <c r="S21" i="167" s="1"/>
  <c r="K22" i="167"/>
  <c r="S22" i="167" s="1"/>
  <c r="K24" i="167"/>
  <c r="S24" i="167" s="1"/>
  <c r="K26" i="167"/>
  <c r="S26" i="167" s="1"/>
  <c r="K27" i="167"/>
  <c r="S27" i="167" s="1"/>
  <c r="K28" i="167"/>
  <c r="S28" i="167" s="1"/>
  <c r="K29" i="167"/>
  <c r="S29" i="167" s="1"/>
  <c r="K30" i="167"/>
  <c r="S30" i="167" s="1"/>
  <c r="K31" i="167"/>
  <c r="S31" i="167" s="1"/>
  <c r="K32" i="167"/>
  <c r="S32" i="167" s="1"/>
  <c r="K35" i="167"/>
  <c r="S35" i="167" s="1"/>
  <c r="K36" i="167"/>
  <c r="K37" i="167"/>
  <c r="K38" i="167"/>
  <c r="S38" i="167" s="1"/>
  <c r="K39" i="167"/>
  <c r="S39" i="167" s="1"/>
  <c r="K42" i="167"/>
  <c r="S42" i="167" s="1"/>
  <c r="K44" i="167"/>
  <c r="S44" i="167" s="1"/>
  <c r="K46" i="167"/>
  <c r="S46" i="167" s="1"/>
  <c r="K47" i="167"/>
  <c r="S47" i="167" s="1"/>
  <c r="K48" i="167"/>
  <c r="S48" i="167" s="1"/>
  <c r="K49" i="167"/>
  <c r="S49" i="167" s="1"/>
  <c r="K50" i="167"/>
  <c r="S50" i="167" s="1"/>
  <c r="K7" i="167" l="1"/>
  <c r="S7" i="167" s="1"/>
  <c r="K5" i="167"/>
  <c r="S5" i="167" s="1"/>
  <c r="K4" i="167" l="1"/>
  <c r="S4" i="167" l="1"/>
  <c r="K61" i="167"/>
  <c r="S61" i="167" l="1"/>
  <c r="K12" i="168"/>
  <c r="S12" i="168" s="1"/>
  <c r="K11" i="168" l="1"/>
  <c r="S11" i="168" s="1"/>
  <c r="K10" i="168" l="1"/>
  <c r="S10" i="168" s="1"/>
  <c r="K13" i="168" l="1"/>
  <c r="S13" i="168" s="1"/>
  <c r="K14" i="168"/>
  <c r="S14" i="168" s="1"/>
  <c r="K15" i="168"/>
  <c r="S15" i="168" s="1"/>
  <c r="K16" i="168" l="1"/>
  <c r="S16" i="168" s="1"/>
  <c r="K17" i="168"/>
  <c r="S17" i="168" s="1"/>
  <c r="K23" i="168" l="1"/>
  <c r="S23" i="168" s="1"/>
  <c r="K24" i="168" l="1"/>
  <c r="S24" i="168" s="1"/>
  <c r="K18" i="168" l="1"/>
  <c r="S18" i="168" s="1"/>
  <c r="K19" i="168"/>
  <c r="S19" i="168" s="1"/>
  <c r="K34" i="168" l="1"/>
  <c r="S34" i="168" s="1"/>
  <c r="K35" i="168" l="1"/>
  <c r="S35" i="168" s="1"/>
  <c r="K31" i="168" l="1"/>
  <c r="S31" i="168" s="1"/>
  <c r="K40" i="168" l="1"/>
  <c r="S40" i="168" s="1"/>
  <c r="K13" i="161" l="1"/>
  <c r="S13" i="161" s="1"/>
  <c r="K15" i="161"/>
  <c r="S15" i="161" s="1"/>
  <c r="K12" i="161" l="1"/>
  <c r="S12" i="161" s="1"/>
  <c r="K14" i="161" l="1"/>
  <c r="S14" i="161" s="1"/>
  <c r="K4" i="169" l="1"/>
  <c r="S4" i="169" l="1"/>
  <c r="K10" i="161" l="1"/>
  <c r="S10" i="161" s="1"/>
  <c r="K11" i="161"/>
  <c r="S11" i="161" s="1"/>
  <c r="K9" i="161" l="1"/>
  <c r="S9" i="161" s="1"/>
  <c r="K8" i="161"/>
  <c r="S8" i="161" s="1"/>
  <c r="K4" i="162"/>
  <c r="S4" i="162" l="1"/>
  <c r="K6" i="169"/>
  <c r="S6" i="169" s="1"/>
  <c r="K5" i="161" l="1"/>
  <c r="S5" i="161" s="1"/>
  <c r="K11" i="169"/>
  <c r="S11" i="169" s="1"/>
  <c r="K17" i="169" l="1"/>
  <c r="S17" i="169" s="1"/>
  <c r="K16" i="169" l="1"/>
  <c r="S16" i="169" s="1"/>
  <c r="K5" i="162" l="1"/>
  <c r="K7" i="162"/>
  <c r="S7" i="162" s="1"/>
  <c r="K8" i="162"/>
  <c r="S8" i="162" s="1"/>
  <c r="K9" i="162"/>
  <c r="S9" i="162" s="1"/>
  <c r="K10" i="162"/>
  <c r="S10" i="162" s="1"/>
  <c r="K11" i="162"/>
  <c r="S11" i="162" s="1"/>
  <c r="K12" i="162"/>
  <c r="S12" i="162" s="1"/>
  <c r="K28" i="162"/>
  <c r="S28" i="162" s="1"/>
  <c r="K29" i="162"/>
  <c r="S29" i="162" s="1"/>
  <c r="K30" i="162"/>
  <c r="S30" i="162" s="1"/>
  <c r="K31" i="162"/>
  <c r="S31" i="162" s="1"/>
  <c r="K32" i="162"/>
  <c r="S32" i="162" s="1"/>
  <c r="K33" i="162"/>
  <c r="S33" i="162" s="1"/>
  <c r="K34" i="162"/>
  <c r="S34" i="162" s="1"/>
  <c r="K35" i="162"/>
  <c r="S35" i="162" s="1"/>
  <c r="K36" i="162"/>
  <c r="S36" i="162" s="1"/>
  <c r="K37" i="162"/>
  <c r="S37" i="162" s="1"/>
  <c r="K38" i="162"/>
  <c r="S38" i="162" s="1"/>
  <c r="K39" i="162"/>
  <c r="S39" i="162" s="1"/>
  <c r="K40" i="162"/>
  <c r="S40" i="162" s="1"/>
  <c r="K41" i="162"/>
  <c r="S41" i="162" s="1"/>
  <c r="K42" i="162"/>
  <c r="S42" i="162" s="1"/>
  <c r="K43" i="162"/>
  <c r="S43" i="162" s="1"/>
  <c r="K6" i="161"/>
  <c r="K7" i="161"/>
  <c r="K16" i="161"/>
  <c r="S16" i="161" s="1"/>
  <c r="K17" i="161"/>
  <c r="S17" i="161" s="1"/>
  <c r="K18" i="161"/>
  <c r="S18" i="161" s="1"/>
  <c r="K19" i="161"/>
  <c r="S19" i="161" s="1"/>
  <c r="K20" i="161"/>
  <c r="S20" i="161" s="1"/>
  <c r="K21" i="161"/>
  <c r="S21" i="161" s="1"/>
  <c r="K22" i="161"/>
  <c r="S22" i="161" s="1"/>
  <c r="K23" i="161"/>
  <c r="S23" i="161" s="1"/>
  <c r="K24" i="161"/>
  <c r="S24" i="161" s="1"/>
  <c r="K25" i="161"/>
  <c r="S25" i="161" s="1"/>
  <c r="K26" i="161"/>
  <c r="S26" i="161" s="1"/>
  <c r="K27" i="161"/>
  <c r="S27" i="161" s="1"/>
  <c r="K28" i="161"/>
  <c r="S28" i="161" s="1"/>
  <c r="K29" i="161"/>
  <c r="S29" i="161" s="1"/>
  <c r="K30" i="161"/>
  <c r="S30" i="161" s="1"/>
  <c r="K33" i="161"/>
  <c r="S33" i="161" s="1"/>
  <c r="K34" i="161"/>
  <c r="S34" i="161" s="1"/>
  <c r="K35" i="161"/>
  <c r="S35" i="161" s="1"/>
  <c r="K36" i="161"/>
  <c r="S36" i="161" s="1"/>
  <c r="K37" i="161"/>
  <c r="S37" i="161" s="1"/>
  <c r="K38" i="161"/>
  <c r="S38" i="161" s="1"/>
  <c r="K40" i="161"/>
  <c r="S40" i="161" s="1"/>
  <c r="K41" i="161"/>
  <c r="S41" i="161" s="1"/>
  <c r="K43" i="161"/>
  <c r="S43" i="161" s="1"/>
  <c r="K44" i="161"/>
  <c r="S44" i="161" s="1"/>
  <c r="K45" i="161"/>
  <c r="S45" i="161" s="1"/>
  <c r="K47" i="161"/>
  <c r="S47" i="161" s="1"/>
  <c r="K48" i="161"/>
  <c r="S48" i="161" s="1"/>
  <c r="K49" i="161"/>
  <c r="S49" i="161" s="1"/>
  <c r="K4" i="161"/>
  <c r="S4" i="161" l="1"/>
  <c r="K103" i="161"/>
  <c r="S5" i="162"/>
  <c r="K60" i="162"/>
  <c r="J5" i="162"/>
  <c r="S60" i="162" l="1"/>
  <c r="Q123" i="161"/>
  <c r="S103" i="161"/>
  <c r="S111" i="161" s="1"/>
  <c r="Q79" i="162"/>
  <c r="K21" i="169"/>
  <c r="S21" i="169" s="1"/>
  <c r="S79" i="162" l="1"/>
  <c r="S66" i="162" s="1"/>
  <c r="K76" i="162" s="1"/>
  <c r="S78" i="162"/>
  <c r="S123" i="161"/>
  <c r="S122" i="161"/>
  <c r="K27" i="169" l="1"/>
  <c r="S27" i="169" s="1"/>
  <c r="K28" i="169"/>
  <c r="S28" i="169" s="1"/>
  <c r="K4" i="171" l="1"/>
  <c r="K19" i="169"/>
  <c r="S19" i="169" s="1"/>
  <c r="K18" i="169"/>
  <c r="S18" i="169" s="1"/>
  <c r="K13" i="169"/>
  <c r="S13" i="169" s="1"/>
  <c r="K12" i="169"/>
  <c r="S12" i="169" s="1"/>
  <c r="K14" i="169"/>
  <c r="S14" i="169" s="1"/>
  <c r="K9" i="169"/>
  <c r="S9" i="169" s="1"/>
  <c r="K8" i="169"/>
  <c r="S8" i="169" s="1"/>
  <c r="K7" i="169"/>
  <c r="S7" i="169" s="1"/>
  <c r="K39" i="168"/>
  <c r="S39" i="168" s="1"/>
  <c r="K36" i="168"/>
  <c r="S36" i="168" s="1"/>
  <c r="K33" i="168"/>
  <c r="S33" i="168" s="1"/>
  <c r="K21" i="168"/>
  <c r="S21" i="168" s="1"/>
  <c r="K7" i="168"/>
  <c r="S7" i="168" s="1"/>
  <c r="K38" i="168"/>
  <c r="S38" i="168" s="1"/>
  <c r="K32" i="168"/>
  <c r="S32" i="168" s="1"/>
  <c r="K27" i="168"/>
  <c r="S27" i="168" s="1"/>
  <c r="K25" i="168"/>
  <c r="S25" i="168" s="1"/>
  <c r="K20" i="168"/>
  <c r="S20" i="168" s="1"/>
  <c r="K20" i="166"/>
  <c r="S20" i="166" s="1"/>
  <c r="K14" i="166"/>
  <c r="S14" i="166" s="1"/>
  <c r="K13" i="166"/>
  <c r="S13" i="166" s="1"/>
  <c r="K11" i="166"/>
  <c r="S11" i="166" s="1"/>
  <c r="K9" i="166"/>
  <c r="S9" i="166" s="1"/>
  <c r="K7" i="166"/>
  <c r="K24" i="166"/>
  <c r="S24" i="166" s="1"/>
  <c r="K10" i="166"/>
  <c r="S10" i="166" s="1"/>
  <c r="K37" i="164"/>
  <c r="S37" i="164" s="1"/>
  <c r="K36" i="164"/>
  <c r="S36" i="164" s="1"/>
  <c r="K34" i="164"/>
  <c r="S34" i="164" s="1"/>
  <c r="K33" i="164"/>
  <c r="S33" i="164" s="1"/>
  <c r="K32" i="164"/>
  <c r="S32" i="164" s="1"/>
  <c r="K28" i="164"/>
  <c r="K25" i="164"/>
  <c r="S25" i="164" s="1"/>
  <c r="K23" i="164"/>
  <c r="S23" i="164" s="1"/>
  <c r="K19" i="164"/>
  <c r="S19" i="164" s="1"/>
  <c r="K17" i="164"/>
  <c r="S17" i="164" s="1"/>
  <c r="K5" i="164"/>
  <c r="K43" i="164"/>
  <c r="S43" i="164" s="1"/>
  <c r="K42" i="164"/>
  <c r="S42" i="164" s="1"/>
  <c r="K38" i="164"/>
  <c r="S38" i="164" s="1"/>
  <c r="K35" i="164"/>
  <c r="S35" i="164" s="1"/>
  <c r="K30" i="164"/>
  <c r="S30" i="164" s="1"/>
  <c r="K26" i="164"/>
  <c r="S26" i="164" s="1"/>
  <c r="K22" i="164"/>
  <c r="S22" i="164" s="1"/>
  <c r="K20" i="164"/>
  <c r="S20" i="164" s="1"/>
  <c r="K16" i="164"/>
  <c r="S16" i="164" s="1"/>
  <c r="K12" i="164"/>
  <c r="S12" i="164" s="1"/>
  <c r="K8" i="164"/>
  <c r="S8" i="164" s="1"/>
  <c r="K54" i="163"/>
  <c r="S54" i="163" s="1"/>
  <c r="K53" i="163"/>
  <c r="S53" i="163" s="1"/>
  <c r="K52" i="163"/>
  <c r="S52" i="163" s="1"/>
  <c r="K51" i="163"/>
  <c r="S51" i="163" s="1"/>
  <c r="K49" i="163"/>
  <c r="S49" i="163" s="1"/>
  <c r="K48" i="163"/>
  <c r="S48" i="163" s="1"/>
  <c r="K47" i="163"/>
  <c r="S47" i="163" s="1"/>
  <c r="K46" i="163"/>
  <c r="S46" i="163" s="1"/>
  <c r="K37" i="163"/>
  <c r="S37" i="163" s="1"/>
  <c r="K30" i="163"/>
  <c r="S30" i="163" s="1"/>
  <c r="K29" i="163"/>
  <c r="S29" i="163" s="1"/>
  <c r="K23" i="163"/>
  <c r="S23" i="163" s="1"/>
  <c r="K22" i="163"/>
  <c r="S22" i="163" s="1"/>
  <c r="K21" i="163"/>
  <c r="S21" i="163" s="1"/>
  <c r="K20" i="163"/>
  <c r="S20" i="163" s="1"/>
  <c r="K16" i="163"/>
  <c r="S16" i="163" s="1"/>
  <c r="K7" i="163"/>
  <c r="S7" i="163" s="1"/>
  <c r="K4" i="163"/>
  <c r="K42" i="163"/>
  <c r="S42" i="163" s="1"/>
  <c r="K35" i="163"/>
  <c r="S35" i="163" s="1"/>
  <c r="K32" i="163"/>
  <c r="S32" i="163" s="1"/>
  <c r="K28" i="163"/>
  <c r="S28" i="163" s="1"/>
  <c r="K27" i="163"/>
  <c r="S27" i="163" s="1"/>
  <c r="K24" i="163"/>
  <c r="S24" i="163" s="1"/>
  <c r="S5" i="164" l="1"/>
  <c r="S4" i="171"/>
  <c r="K57" i="171"/>
  <c r="S7" i="166"/>
  <c r="S4" i="163"/>
  <c r="N37" i="167"/>
  <c r="N46" i="167"/>
  <c r="T46" i="167" s="1"/>
  <c r="N48" i="161"/>
  <c r="N47" i="161"/>
  <c r="N45" i="161"/>
  <c r="N46" i="161"/>
  <c r="N49" i="161"/>
  <c r="N44" i="161"/>
  <c r="T44" i="161" s="1"/>
  <c r="N40" i="161"/>
  <c r="N43" i="161"/>
  <c r="N41" i="161"/>
  <c r="N36" i="162"/>
  <c r="T36" i="162" s="1"/>
  <c r="N46" i="164"/>
  <c r="N47" i="167"/>
  <c r="K8" i="163"/>
  <c r="S8" i="163" s="1"/>
  <c r="K8" i="166"/>
  <c r="S8" i="166" s="1"/>
  <c r="K17" i="166"/>
  <c r="S17" i="166" s="1"/>
  <c r="N18" i="164"/>
  <c r="K19" i="163"/>
  <c r="S19" i="163" s="1"/>
  <c r="K7" i="164"/>
  <c r="S7" i="164" s="1"/>
  <c r="K31" i="164"/>
  <c r="S31" i="164" s="1"/>
  <c r="K15" i="169"/>
  <c r="S15" i="169" s="1"/>
  <c r="K18" i="166"/>
  <c r="S18" i="166" s="1"/>
  <c r="K21" i="166"/>
  <c r="S21" i="166" s="1"/>
  <c r="K45" i="163"/>
  <c r="S45" i="163" s="1"/>
  <c r="N37" i="164"/>
  <c r="N23" i="164"/>
  <c r="K18" i="163"/>
  <c r="S18" i="163" s="1"/>
  <c r="K5" i="168"/>
  <c r="S5" i="168" s="1"/>
  <c r="N13" i="166"/>
  <c r="K44" i="164"/>
  <c r="S44" i="164" s="1"/>
  <c r="K40" i="163"/>
  <c r="S40" i="163" s="1"/>
  <c r="K8" i="168"/>
  <c r="S8" i="168" s="1"/>
  <c r="K20" i="169"/>
  <c r="S20" i="169" s="1"/>
  <c r="K25" i="163"/>
  <c r="S25" i="163" s="1"/>
  <c r="K44" i="163"/>
  <c r="S44" i="163" s="1"/>
  <c r="K29" i="164"/>
  <c r="S28" i="164" s="1"/>
  <c r="K15" i="166"/>
  <c r="S15" i="166" s="1"/>
  <c r="K39" i="163"/>
  <c r="S39" i="163" s="1"/>
  <c r="K34" i="163"/>
  <c r="S34" i="163" s="1"/>
  <c r="K36" i="163"/>
  <c r="S36" i="163" s="1"/>
  <c r="K14" i="164"/>
  <c r="S14" i="164" s="1"/>
  <c r="K22" i="166"/>
  <c r="S22" i="166" s="1"/>
  <c r="K22" i="168"/>
  <c r="S22" i="168" s="1"/>
  <c r="K17" i="163"/>
  <c r="S17" i="163" s="1"/>
  <c r="K21" i="164"/>
  <c r="S21" i="164" s="1"/>
  <c r="N52" i="167"/>
  <c r="N19" i="161"/>
  <c r="N15" i="164"/>
  <c r="N27" i="161"/>
  <c r="N51" i="163"/>
  <c r="N25" i="164"/>
  <c r="N52" i="163"/>
  <c r="N10" i="166"/>
  <c r="N37" i="162"/>
  <c r="K39" i="164"/>
  <c r="S39" i="164" s="1"/>
  <c r="K26" i="163"/>
  <c r="K24" i="164"/>
  <c r="S24" i="164" s="1"/>
  <c r="K15" i="164"/>
  <c r="S15" i="164" s="1"/>
  <c r="K43" i="163"/>
  <c r="S43" i="163" s="1"/>
  <c r="K31" i="163"/>
  <c r="S31" i="163" s="1"/>
  <c r="K13" i="164"/>
  <c r="S13" i="164" s="1"/>
  <c r="K18" i="164"/>
  <c r="S18" i="164" s="1"/>
  <c r="K6" i="163"/>
  <c r="S6" i="163" s="1"/>
  <c r="K41" i="163"/>
  <c r="S41" i="163" s="1"/>
  <c r="K27" i="164"/>
  <c r="S27" i="164" s="1"/>
  <c r="K10" i="164"/>
  <c r="S10" i="164" s="1"/>
  <c r="K11" i="164"/>
  <c r="S11" i="164" s="1"/>
  <c r="K41" i="164"/>
  <c r="S41" i="164" s="1"/>
  <c r="K6" i="164"/>
  <c r="K12" i="166"/>
  <c r="S12" i="166" s="1"/>
  <c r="K40" i="164"/>
  <c r="S40" i="164" s="1"/>
  <c r="K16" i="166"/>
  <c r="S16" i="166" s="1"/>
  <c r="K26" i="166"/>
  <c r="S26" i="166" s="1"/>
  <c r="K6" i="168"/>
  <c r="S6" i="168" s="1"/>
  <c r="K4" i="168"/>
  <c r="K37" i="168"/>
  <c r="S37" i="168" s="1"/>
  <c r="K10" i="169"/>
  <c r="S10" i="169" s="1"/>
  <c r="K9" i="168"/>
  <c r="S9" i="168" s="1"/>
  <c r="K5" i="169"/>
  <c r="K57" i="164" l="1"/>
  <c r="S57" i="164"/>
  <c r="S5" i="169"/>
  <c r="K58" i="163"/>
  <c r="K52" i="166"/>
  <c r="T48" i="161"/>
  <c r="S57" i="171"/>
  <c r="J57" i="171"/>
  <c r="S4" i="168"/>
  <c r="K56" i="168"/>
  <c r="T40" i="161"/>
  <c r="N55" i="167"/>
  <c r="T55" i="167" s="1"/>
  <c r="N51" i="167"/>
  <c r="N34" i="167"/>
  <c r="T33" i="167" s="1"/>
  <c r="N5" i="166"/>
  <c r="N6" i="166"/>
  <c r="T6" i="166" s="1"/>
  <c r="N17" i="166"/>
  <c r="N16" i="163"/>
  <c r="N39" i="161"/>
  <c r="N5" i="161"/>
  <c r="T5" i="161" s="1"/>
  <c r="N15" i="161"/>
  <c r="N4" i="171"/>
  <c r="N39" i="162"/>
  <c r="N41" i="164"/>
  <c r="N29" i="163"/>
  <c r="N34" i="164"/>
  <c r="N13" i="161"/>
  <c r="N6" i="163"/>
  <c r="T6" i="163" s="1"/>
  <c r="N16" i="164"/>
  <c r="T15" i="164" s="1"/>
  <c r="N22" i="163"/>
  <c r="N45" i="164"/>
  <c r="N32" i="167"/>
  <c r="N42" i="167"/>
  <c r="N15" i="162"/>
  <c r="N38" i="167"/>
  <c r="T37" i="167" s="1"/>
  <c r="N7" i="163"/>
  <c r="N39" i="164"/>
  <c r="T39" i="164" s="1"/>
  <c r="N40" i="167"/>
  <c r="N37" i="161"/>
  <c r="N7" i="161"/>
  <c r="N29" i="167"/>
  <c r="N20" i="164"/>
  <c r="N22" i="166"/>
  <c r="N31" i="167"/>
  <c r="N5" i="167"/>
  <c r="N40" i="163"/>
  <c r="N44" i="167"/>
  <c r="N12" i="162"/>
  <c r="T12" i="162" s="1"/>
  <c r="N9" i="164"/>
  <c r="N44" i="163"/>
  <c r="N22" i="164"/>
  <c r="N21" i="166"/>
  <c r="N9" i="166"/>
  <c r="N19" i="164"/>
  <c r="N24" i="167"/>
  <c r="N6" i="161"/>
  <c r="N10" i="167"/>
  <c r="N46" i="163"/>
  <c r="N30" i="162"/>
  <c r="N9" i="163"/>
  <c r="N43" i="167"/>
  <c r="N12" i="163"/>
  <c r="N18" i="161"/>
  <c r="N32" i="162"/>
  <c r="N18" i="163"/>
  <c r="N40" i="162"/>
  <c r="N31" i="161"/>
  <c r="N16" i="162"/>
  <c r="N22" i="161"/>
  <c r="N26" i="163"/>
  <c r="N11" i="161"/>
  <c r="T11" i="161" s="1"/>
  <c r="N33" i="162"/>
  <c r="T33" i="162" s="1"/>
  <c r="N23" i="166"/>
  <c r="N10" i="162"/>
  <c r="N38" i="161"/>
  <c r="N13" i="163"/>
  <c r="N24" i="161"/>
  <c r="N18" i="167"/>
  <c r="N14" i="161"/>
  <c r="N26" i="166"/>
  <c r="N36" i="167"/>
  <c r="N43" i="162"/>
  <c r="N30" i="161"/>
  <c r="N32" i="161"/>
  <c r="N37" i="163"/>
  <c r="N17" i="164"/>
  <c r="N13" i="167"/>
  <c r="N22" i="162"/>
  <c r="N54" i="163"/>
  <c r="N34" i="162"/>
  <c r="N41" i="163"/>
  <c r="N15" i="167"/>
  <c r="N27" i="163"/>
  <c r="N25" i="162"/>
  <c r="T25" i="162" s="1"/>
  <c r="N43" i="164"/>
  <c r="N35" i="162"/>
  <c r="N35" i="167"/>
  <c r="N35" i="164"/>
  <c r="N41" i="162"/>
  <c r="N43" i="163"/>
  <c r="N28" i="164"/>
  <c r="N32" i="164"/>
  <c r="N12" i="164"/>
  <c r="N23" i="163"/>
  <c r="N36" i="163"/>
  <c r="N20" i="161"/>
  <c r="T19" i="161" s="1"/>
  <c r="N35" i="161"/>
  <c r="N31" i="162"/>
  <c r="T31" i="162" s="1"/>
  <c r="N50" i="163"/>
  <c r="T50" i="163" s="1"/>
  <c r="N49" i="163"/>
  <c r="N53" i="167"/>
  <c r="N31" i="164"/>
  <c r="N5" i="164"/>
  <c r="N29" i="164"/>
  <c r="N18" i="166"/>
  <c r="N20" i="163"/>
  <c r="N17" i="163"/>
  <c r="N9" i="167"/>
  <c r="N32" i="163"/>
  <c r="N17" i="167"/>
  <c r="N14" i="164"/>
  <c r="T14" i="164" s="1"/>
  <c r="N28" i="162"/>
  <c r="N39" i="167"/>
  <c r="N13" i="162"/>
  <c r="N23" i="162"/>
  <c r="T23" i="162" s="1"/>
  <c r="N33" i="163"/>
  <c r="N4" i="172"/>
  <c r="N16" i="166"/>
  <c r="N29" i="162"/>
  <c r="N33" i="161"/>
  <c r="N8" i="161"/>
  <c r="T8" i="161" s="1"/>
  <c r="N19" i="167"/>
  <c r="N29" i="161"/>
  <c r="N23" i="167"/>
  <c r="N7" i="162"/>
  <c r="N26" i="162"/>
  <c r="T26" i="162" s="1"/>
  <c r="N27" i="167"/>
  <c r="N21" i="167"/>
  <c r="N11" i="166"/>
  <c r="N18" i="162"/>
  <c r="N35" i="163"/>
  <c r="N42" i="162"/>
  <c r="T42" i="162" s="1"/>
  <c r="N26" i="167"/>
  <c r="T26" i="167" s="1"/>
  <c r="N24" i="162"/>
  <c r="N20" i="167"/>
  <c r="N25" i="166"/>
  <c r="N11" i="162"/>
  <c r="N53" i="163"/>
  <c r="N10" i="164"/>
  <c r="N7" i="166"/>
  <c r="T7" i="166" s="1"/>
  <c r="N12" i="161"/>
  <c r="N6" i="167"/>
  <c r="N8" i="164"/>
  <c r="N36" i="164"/>
  <c r="N10" i="161"/>
  <c r="N8" i="162"/>
  <c r="N44" i="164"/>
  <c r="N7" i="167"/>
  <c r="N28" i="161"/>
  <c r="N41" i="167"/>
  <c r="N38" i="164"/>
  <c r="T37" i="164" s="1"/>
  <c r="N26" i="161"/>
  <c r="N22" i="167"/>
  <c r="N49" i="167"/>
  <c r="N21" i="163"/>
  <c r="N50" i="167"/>
  <c r="N20" i="162"/>
  <c r="N24" i="163"/>
  <c r="N30" i="164"/>
  <c r="N9" i="162"/>
  <c r="N13" i="164"/>
  <c r="T13" i="164" s="1"/>
  <c r="N11" i="163"/>
  <c r="T11" i="163" s="1"/>
  <c r="N54" i="167"/>
  <c r="N12" i="167"/>
  <c r="N33" i="164"/>
  <c r="N36" i="161"/>
  <c r="N6" i="164"/>
  <c r="N14" i="162"/>
  <c r="N15" i="163"/>
  <c r="T15" i="163" s="1"/>
  <c r="N38" i="162"/>
  <c r="T37" i="162" s="1"/>
  <c r="N8" i="163"/>
  <c r="N9" i="161"/>
  <c r="N17" i="161"/>
  <c r="T17" i="161" s="1"/>
  <c r="N48" i="167"/>
  <c r="T47" i="167" s="1"/>
  <c r="N25" i="167"/>
  <c r="N23" i="161"/>
  <c r="N8" i="166"/>
  <c r="N48" i="163"/>
  <c r="N24" i="164"/>
  <c r="T24" i="164" s="1"/>
  <c r="N47" i="163"/>
  <c r="N24" i="166"/>
  <c r="N27" i="164"/>
  <c r="N27" i="162"/>
  <c r="N25" i="163"/>
  <c r="T25" i="163" s="1"/>
  <c r="N20" i="166"/>
  <c r="T20" i="166" s="1"/>
  <c r="N19" i="166"/>
  <c r="N19" i="163"/>
  <c r="N26" i="164"/>
  <c r="N17" i="162"/>
  <c r="N34" i="163"/>
  <c r="N16" i="167"/>
  <c r="N30" i="163"/>
  <c r="T51" i="163" l="1"/>
  <c r="T27" i="161"/>
  <c r="T9" i="164"/>
  <c r="T52" i="167"/>
  <c r="T19" i="167"/>
  <c r="T34" i="162"/>
  <c r="T21" i="163"/>
  <c r="T22" i="167"/>
  <c r="T32" i="163"/>
  <c r="T9" i="162"/>
  <c r="T39" i="162"/>
  <c r="T40" i="167"/>
  <c r="T16" i="163"/>
  <c r="T9" i="161"/>
  <c r="T18" i="166"/>
  <c r="T7" i="163"/>
  <c r="N62" i="172"/>
  <c r="T62" i="172" s="1"/>
  <c r="T4" i="172"/>
  <c r="T35" i="164"/>
  <c r="T24" i="167"/>
  <c r="T42" i="167"/>
  <c r="T35" i="167"/>
  <c r="T22" i="166"/>
  <c r="T5" i="166"/>
  <c r="F74" i="163"/>
  <c r="J74" i="163" s="1"/>
  <c r="S58" i="163"/>
  <c r="Q76" i="163"/>
  <c r="Q74" i="164"/>
  <c r="T14" i="162"/>
  <c r="T48" i="163"/>
  <c r="T38" i="161"/>
  <c r="T49" i="167"/>
  <c r="T36" i="161"/>
  <c r="T9" i="167"/>
  <c r="T9" i="166"/>
  <c r="T34" i="163"/>
  <c r="T33" i="164"/>
  <c r="T12" i="161"/>
  <c r="T25" i="166"/>
  <c r="T7" i="162"/>
  <c r="T18" i="163"/>
  <c r="T23" i="163"/>
  <c r="T12" i="167"/>
  <c r="T43" i="164"/>
  <c r="Q78" i="166"/>
  <c r="T28" i="164"/>
  <c r="T22" i="162"/>
  <c r="T31" i="164"/>
  <c r="T28" i="162"/>
  <c r="Q79" i="165"/>
  <c r="N57" i="171"/>
  <c r="T57" i="171" s="1"/>
  <c r="T4" i="171"/>
  <c r="S56" i="168"/>
  <c r="T17" i="164"/>
  <c r="Q99" i="167"/>
  <c r="S52" i="166"/>
  <c r="Q93" i="168"/>
  <c r="T26" i="164"/>
  <c r="T23" i="161"/>
  <c r="N14" i="166"/>
  <c r="N39" i="163"/>
  <c r="T37" i="163" s="1"/>
  <c r="N34" i="161"/>
  <c r="T32" i="161" s="1"/>
  <c r="N4" i="163"/>
  <c r="N14" i="167"/>
  <c r="T14" i="167" s="1"/>
  <c r="N30" i="167"/>
  <c r="T29" i="167" s="1"/>
  <c r="N11" i="167"/>
  <c r="T11" i="167" s="1"/>
  <c r="N14" i="163"/>
  <c r="T14" i="163" s="1"/>
  <c r="N4" i="170"/>
  <c r="N28" i="163"/>
  <c r="T27" i="163" s="1"/>
  <c r="N10" i="163"/>
  <c r="T9" i="163" s="1"/>
  <c r="N45" i="163"/>
  <c r="T44" i="163" s="1"/>
  <c r="N31" i="163"/>
  <c r="T29" i="163" s="1"/>
  <c r="N4" i="161"/>
  <c r="N15" i="166"/>
  <c r="N45" i="167"/>
  <c r="T44" i="167" s="1"/>
  <c r="N19" i="162"/>
  <c r="T17" i="162" s="1"/>
  <c r="N21" i="162"/>
  <c r="T20" i="162" s="1"/>
  <c r="N16" i="161"/>
  <c r="T15" i="161" s="1"/>
  <c r="N25" i="161"/>
  <c r="T25" i="161" s="1"/>
  <c r="N5" i="163"/>
  <c r="N40" i="164"/>
  <c r="T40" i="164" s="1"/>
  <c r="N7" i="164"/>
  <c r="T7" i="164" s="1"/>
  <c r="N11" i="164"/>
  <c r="T11" i="164" s="1"/>
  <c r="N5" i="162"/>
  <c r="N21" i="161"/>
  <c r="T21" i="161" s="1"/>
  <c r="N28" i="167"/>
  <c r="T27" i="167" s="1"/>
  <c r="N4" i="162"/>
  <c r="N6" i="162"/>
  <c r="T6" i="162" s="1"/>
  <c r="N4" i="167"/>
  <c r="N42" i="164"/>
  <c r="T41" i="164" s="1"/>
  <c r="N12" i="166"/>
  <c r="T12" i="166" s="1"/>
  <c r="N8" i="167"/>
  <c r="T6" i="167" s="1"/>
  <c r="N21" i="164"/>
  <c r="T21" i="164" s="1"/>
  <c r="N42" i="163"/>
  <c r="T40" i="163" s="1"/>
  <c r="N4" i="164"/>
  <c r="N58" i="163" l="1"/>
  <c r="T58" i="163" s="1"/>
  <c r="T4" i="163"/>
  <c r="S78" i="166"/>
  <c r="S61" i="166" s="1"/>
  <c r="K68" i="166" s="1"/>
  <c r="S77" i="166"/>
  <c r="N103" i="161"/>
  <c r="T103" i="161" s="1"/>
  <c r="T4" i="161"/>
  <c r="N60" i="162"/>
  <c r="T60" i="162" s="1"/>
  <c r="T4" i="162"/>
  <c r="S76" i="163"/>
  <c r="S66" i="163" s="1"/>
  <c r="K74" i="163" s="1"/>
  <c r="S75" i="163"/>
  <c r="S73" i="164"/>
  <c r="S74" i="164"/>
  <c r="S64" i="164" s="1"/>
  <c r="K74" i="164" s="1"/>
  <c r="S79" i="165"/>
  <c r="S68" i="165" s="1"/>
  <c r="K75" i="165" s="1"/>
  <c r="S78" i="165"/>
  <c r="N52" i="166"/>
  <c r="T52" i="166" s="1"/>
  <c r="N61" i="167"/>
  <c r="T61" i="167" s="1"/>
  <c r="T4" i="167"/>
  <c r="N61" i="170"/>
  <c r="T61" i="170" s="1"/>
  <c r="T4" i="170"/>
  <c r="S92" i="168"/>
  <c r="S93" i="168"/>
  <c r="S76" i="168" s="1"/>
  <c r="K83" i="168" s="1"/>
  <c r="N57" i="164"/>
  <c r="T57" i="164" s="1"/>
  <c r="T4" i="164"/>
  <c r="S98" i="167"/>
  <c r="S99" i="167"/>
  <c r="S82" i="167" s="1"/>
  <c r="K89" i="167" s="1"/>
  <c r="T14" i="166"/>
  <c r="T61" i="166" l="1"/>
  <c r="T111" i="161"/>
  <c r="T82" i="167"/>
  <c r="T76" i="168"/>
  <c r="T68" i="165"/>
  <c r="T66" i="162"/>
  <c r="T64" i="164"/>
  <c r="T66" i="163"/>
  <c r="Q39" i="169" l="1"/>
  <c r="K41" i="169" l="1"/>
  <c r="K42" i="169"/>
  <c r="S42" i="169" s="1"/>
  <c r="S41" i="169" l="1"/>
  <c r="N42" i="169" l="1"/>
  <c r="N41" i="169"/>
  <c r="T41" i="169" s="1"/>
  <c r="N43" i="169" l="1"/>
  <c r="N44" i="169"/>
  <c r="N59" i="169" l="1"/>
  <c r="T79" i="169" l="1"/>
  <c r="V76" i="171"/>
  <c r="T82" i="172"/>
  <c r="T77" i="171"/>
  <c r="T81" i="170"/>
  <c r="K43" i="169" l="1"/>
  <c r="S43" i="169" l="1"/>
  <c r="K59" i="169"/>
  <c r="Q93" i="172" l="1"/>
  <c r="Q89" i="171"/>
  <c r="Q91" i="170"/>
  <c r="S59" i="169"/>
  <c r="Q89" i="169"/>
  <c r="S91" i="170" l="1"/>
  <c r="S81" i="170" s="1"/>
  <c r="K88" i="170" s="1"/>
  <c r="S90" i="170"/>
  <c r="S92" i="172"/>
  <c r="S93" i="172"/>
  <c r="S82" i="172" s="1"/>
  <c r="K89" i="172" s="1"/>
  <c r="S88" i="169"/>
  <c r="S89" i="169"/>
  <c r="S79" i="169" s="1"/>
  <c r="K86" i="169" s="1"/>
  <c r="S89" i="171"/>
  <c r="S77" i="171" s="1"/>
  <c r="K84" i="171" s="1"/>
  <c r="S88" i="171"/>
  <c r="U5" i="168" l="1"/>
  <c r="U4" i="168"/>
  <c r="U56" i="168" s="1"/>
  <c r="U61" i="168" s="1"/>
  <c r="U55" i="167" l="1"/>
  <c r="U53" i="167" l="1"/>
  <c r="U52" i="167"/>
  <c r="U51" i="167" l="1"/>
  <c r="U49" i="167"/>
  <c r="U48" i="167" l="1"/>
  <c r="U47" i="167"/>
  <c r="U46" i="167" l="1"/>
  <c r="U44" i="167" l="1"/>
  <c r="U42" i="167" l="1"/>
  <c r="U40" i="167" l="1"/>
  <c r="U38" i="167" l="1"/>
  <c r="U39" i="167"/>
  <c r="U35" i="167" l="1"/>
  <c r="U33" i="167" l="1"/>
  <c r="U30" i="167" l="1"/>
  <c r="U29" i="167"/>
  <c r="U28" i="167" l="1"/>
  <c r="U27" i="167"/>
  <c r="U26" i="167" l="1"/>
  <c r="U24" i="167" l="1"/>
  <c r="U23" i="167" l="1"/>
  <c r="U22" i="167"/>
  <c r="U20" i="167" l="1"/>
  <c r="U19" i="167"/>
  <c r="U17" i="167" l="1"/>
  <c r="U15" i="167"/>
  <c r="U14" i="167"/>
  <c r="U13" i="167" l="1"/>
  <c r="U12" i="167"/>
  <c r="U11" i="167" l="1"/>
  <c r="U10" i="167" l="1"/>
  <c r="U9" i="167"/>
  <c r="U8" i="167" l="1"/>
  <c r="U6" i="167"/>
  <c r="U5" i="167"/>
  <c r="U4" i="167"/>
  <c r="U61" i="167" s="1"/>
  <c r="U43" i="165" l="1"/>
  <c r="U42" i="165" l="1"/>
  <c r="U41" i="165"/>
  <c r="U40" i="165" l="1"/>
  <c r="U37" i="165" l="1"/>
  <c r="U35" i="165" l="1"/>
  <c r="U34" i="165"/>
  <c r="U33" i="165"/>
  <c r="U32" i="165"/>
  <c r="U31" i="165"/>
  <c r="U30" i="165"/>
  <c r="U29" i="165"/>
  <c r="U28" i="165"/>
  <c r="U27" i="165"/>
  <c r="U26" i="165"/>
  <c r="U25" i="165"/>
  <c r="U24" i="165"/>
  <c r="U21" i="165"/>
  <c r="U22" i="165"/>
  <c r="U23" i="165"/>
  <c r="U20" i="165"/>
  <c r="U19" i="165"/>
  <c r="U18" i="165"/>
  <c r="U17" i="165"/>
  <c r="U16" i="165"/>
  <c r="U15" i="165"/>
  <c r="U14" i="165"/>
  <c r="U13" i="165"/>
  <c r="U12" i="165"/>
  <c r="U11" i="165"/>
  <c r="U10" i="165"/>
  <c r="U9" i="165"/>
  <c r="U8" i="165"/>
  <c r="U6" i="165"/>
  <c r="U5" i="165"/>
  <c r="U4" i="165"/>
  <c r="U44" i="164"/>
  <c r="U43" i="164"/>
  <c r="U42" i="164"/>
  <c r="U41" i="164"/>
  <c r="U40" i="164"/>
  <c r="U39" i="164"/>
  <c r="U37" i="164"/>
  <c r="U38" i="164"/>
  <c r="U36" i="164"/>
  <c r="U35" i="164"/>
  <c r="U34" i="164"/>
  <c r="U33" i="164"/>
  <c r="U32" i="164"/>
  <c r="U31" i="164"/>
  <c r="U29" i="164"/>
  <c r="U30" i="164"/>
  <c r="U28" i="164"/>
  <c r="U59" i="165" l="1"/>
  <c r="U27" i="164"/>
  <c r="U26" i="164"/>
  <c r="U25" i="164" l="1"/>
  <c r="U24" i="164"/>
  <c r="U23" i="164" l="1"/>
  <c r="U21" i="164"/>
  <c r="U22" i="164"/>
  <c r="U18" i="164" l="1"/>
  <c r="U19" i="164"/>
  <c r="U20" i="164"/>
  <c r="U17" i="164"/>
  <c r="U15" i="164" l="1"/>
  <c r="U14" i="164" l="1"/>
  <c r="U13" i="164" l="1"/>
  <c r="U12" i="164" l="1"/>
  <c r="U11" i="164"/>
  <c r="U9" i="164" l="1"/>
  <c r="U8" i="164" l="1"/>
  <c r="U7" i="164"/>
  <c r="U4" i="164" l="1"/>
  <c r="U54" i="163" l="1"/>
  <c r="U52" i="163"/>
  <c r="U51" i="163"/>
  <c r="U50" i="163" l="1"/>
  <c r="U49" i="163" l="1"/>
  <c r="U48" i="163"/>
  <c r="U44" i="163" l="1"/>
  <c r="U41" i="163" l="1"/>
  <c r="U40" i="163"/>
  <c r="U39" i="163" l="1"/>
  <c r="U37" i="163"/>
  <c r="U34" i="163" l="1"/>
  <c r="U33" i="163" l="1"/>
  <c r="U32" i="163"/>
  <c r="U30" i="163" l="1"/>
  <c r="U29" i="163"/>
  <c r="U28" i="163" l="1"/>
  <c r="U25" i="163" l="1"/>
  <c r="U24" i="163" l="1"/>
  <c r="U23" i="163"/>
  <c r="U22" i="163" l="1"/>
  <c r="U21" i="163"/>
  <c r="U20" i="163" l="1"/>
  <c r="U19" i="163"/>
  <c r="U18" i="163"/>
  <c r="U17" i="163" l="1"/>
  <c r="U16" i="163"/>
  <c r="U15" i="163" l="1"/>
  <c r="U14" i="163" l="1"/>
  <c r="U13" i="163"/>
  <c r="U12" i="163"/>
  <c r="U11" i="163"/>
  <c r="U10" i="163" l="1"/>
  <c r="U9" i="163"/>
  <c r="U8" i="163" l="1"/>
  <c r="U7" i="163"/>
  <c r="U6" i="163" l="1"/>
  <c r="U5" i="163" l="1"/>
  <c r="U4" i="163"/>
  <c r="U58" i="163" s="1"/>
  <c r="U41" i="162" l="1"/>
  <c r="U40" i="162"/>
  <c r="U43" i="162"/>
  <c r="U39" i="162"/>
  <c r="U38" i="162" l="1"/>
  <c r="U37" i="162"/>
  <c r="U36" i="162" l="1"/>
  <c r="U35" i="162" l="1"/>
  <c r="U34" i="162"/>
  <c r="U33" i="162" l="1"/>
  <c r="U32" i="162" l="1"/>
  <c r="U31" i="162"/>
  <c r="U30" i="162" l="1"/>
  <c r="U29" i="162"/>
  <c r="U28" i="162"/>
  <c r="U26" i="162" l="1"/>
  <c r="U25" i="162" l="1"/>
  <c r="U23" i="162" l="1"/>
  <c r="U22" i="162"/>
  <c r="U21" i="162"/>
  <c r="U20" i="162"/>
  <c r="U19" i="162"/>
  <c r="U18" i="162"/>
  <c r="U17" i="162"/>
  <c r="U16" i="162"/>
  <c r="U14" i="162"/>
  <c r="U13" i="162"/>
  <c r="U12" i="162"/>
  <c r="U11" i="162"/>
  <c r="U10" i="162"/>
  <c r="U9" i="162"/>
  <c r="U8" i="162"/>
  <c r="U7" i="162"/>
  <c r="U6" i="162"/>
  <c r="U5" i="162"/>
  <c r="U4" i="162"/>
  <c r="U60" i="162" l="1"/>
  <c r="U57" i="16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author>
    <author>anthonyf</author>
  </authors>
  <commentList>
    <comment ref="Q3" authorId="0" shapeId="0" xr:uid="{855E984A-7C22-40B8-A13C-886D00DC6321}">
      <text>
        <r>
          <rPr>
            <b/>
            <sz val="8"/>
            <color indexed="81"/>
            <rFont val="Tahoma"/>
            <family val="2"/>
          </rPr>
          <t>David:</t>
        </r>
        <r>
          <rPr>
            <sz val="8"/>
            <color indexed="81"/>
            <rFont val="Tahoma"/>
            <family val="2"/>
          </rPr>
          <t xml:space="preserve">
15,000 bph @ 74% Efficiency = 464 c/s.</t>
        </r>
      </text>
    </comment>
    <comment ref="S3" authorId="1" shapeId="0" xr:uid="{8F3482F4-14CD-42EB-90B5-DDFE4110FA49}">
      <text>
        <r>
          <rPr>
            <b/>
            <sz val="8"/>
            <color indexed="81"/>
            <rFont val="Tahoma"/>
            <family val="2"/>
          </rPr>
          <t>anthonyf:</t>
        </r>
        <r>
          <rPr>
            <sz val="8"/>
            <color indexed="81"/>
            <rFont val="Tahoma"/>
            <family val="2"/>
          </rPr>
          <t xml:space="preserve">
calculated at 15,000 bph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David</author>
    <author>anthonyf</author>
  </authors>
  <commentList>
    <comment ref="R3" authorId="0" shapeId="0" xr:uid="{5976598B-2688-435F-ADDC-FF8F9329711E}">
      <text>
        <r>
          <rPr>
            <b/>
            <sz val="8"/>
            <color indexed="81"/>
            <rFont val="Tahoma"/>
            <family val="2"/>
          </rPr>
          <t>David:</t>
        </r>
        <r>
          <rPr>
            <sz val="8"/>
            <color indexed="81"/>
            <rFont val="Tahoma"/>
            <family val="2"/>
          </rPr>
          <t xml:space="preserve">
15400 bph @ 75% Efficiency = 480 c/s.</t>
        </r>
      </text>
    </comment>
    <comment ref="T3" authorId="1" shapeId="0" xr:uid="{6A4CF2EB-81D5-4340-9AB0-674801DB322D}">
      <text>
        <r>
          <rPr>
            <b/>
            <sz val="8"/>
            <color indexed="81"/>
            <rFont val="Tahoma"/>
            <family val="2"/>
          </rPr>
          <t>anthonyf:</t>
        </r>
        <r>
          <rPr>
            <sz val="8"/>
            <color indexed="81"/>
            <rFont val="Tahoma"/>
            <family val="2"/>
          </rPr>
          <t xml:space="preserve">
calculated at 14400 bph</t>
        </r>
      </text>
    </comment>
    <comment ref="U3" authorId="1" shapeId="0" xr:uid="{2EE808DA-0396-4880-932D-989201383867}">
      <text>
        <r>
          <rPr>
            <b/>
            <sz val="8"/>
            <color indexed="81"/>
            <rFont val="Tahoma"/>
            <family val="2"/>
          </rPr>
          <t>anthonyf:</t>
        </r>
        <r>
          <rPr>
            <sz val="8"/>
            <color indexed="81"/>
            <rFont val="Tahoma"/>
            <family val="2"/>
          </rPr>
          <t xml:space="preserve">
calculated at 15400 bph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David</author>
    <author>anthonyf</author>
  </authors>
  <commentList>
    <comment ref="R3" authorId="0" shapeId="0" xr:uid="{2BE45D04-B01A-4643-94AB-486311EC2291}">
      <text>
        <r>
          <rPr>
            <b/>
            <sz val="8"/>
            <color indexed="81"/>
            <rFont val="Tahoma"/>
            <family val="2"/>
          </rPr>
          <t>David:</t>
        </r>
        <r>
          <rPr>
            <sz val="8"/>
            <color indexed="81"/>
            <rFont val="Tahoma"/>
            <family val="2"/>
          </rPr>
          <t xml:space="preserve">
15400 bph @ 75% Efficiency = 480 c/s.</t>
        </r>
      </text>
    </comment>
    <comment ref="T3" authorId="1" shapeId="0" xr:uid="{5E21B56D-F298-44ED-9029-936185D700C2}">
      <text>
        <r>
          <rPr>
            <b/>
            <sz val="8"/>
            <color indexed="81"/>
            <rFont val="Tahoma"/>
            <family val="2"/>
          </rPr>
          <t>anthonyf:</t>
        </r>
        <r>
          <rPr>
            <sz val="8"/>
            <color indexed="81"/>
            <rFont val="Tahoma"/>
            <family val="2"/>
          </rPr>
          <t xml:space="preserve">
calculated at 14400 bph</t>
        </r>
      </text>
    </comment>
    <comment ref="U3" authorId="1" shapeId="0" xr:uid="{6ABB1BE9-FC1F-4C14-8CF0-3BCA6AD76279}">
      <text>
        <r>
          <rPr>
            <b/>
            <sz val="8"/>
            <color indexed="81"/>
            <rFont val="Tahoma"/>
            <family val="2"/>
          </rPr>
          <t>anthonyf:</t>
        </r>
        <r>
          <rPr>
            <sz val="8"/>
            <color indexed="81"/>
            <rFont val="Tahoma"/>
            <family val="2"/>
          </rPr>
          <t xml:space="preserve">
calculated at 15400 bph</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David</author>
    <author>anthonyf</author>
  </authors>
  <commentList>
    <comment ref="R3" authorId="0" shapeId="0" xr:uid="{C6DC932D-08DE-4025-A05C-3C375F4A3CD2}">
      <text>
        <r>
          <rPr>
            <b/>
            <sz val="8"/>
            <color indexed="81"/>
            <rFont val="Tahoma"/>
            <family val="2"/>
          </rPr>
          <t>David:</t>
        </r>
        <r>
          <rPr>
            <sz val="8"/>
            <color indexed="81"/>
            <rFont val="Tahoma"/>
            <family val="2"/>
          </rPr>
          <t xml:space="preserve">
15400 bph @ 75% Efficiency = 480 c/s.</t>
        </r>
      </text>
    </comment>
    <comment ref="T3" authorId="1" shapeId="0" xr:uid="{D24D0C68-8BD0-4347-AFE8-AED5ED42FE9B}">
      <text>
        <r>
          <rPr>
            <b/>
            <sz val="8"/>
            <color indexed="81"/>
            <rFont val="Tahoma"/>
            <family val="2"/>
          </rPr>
          <t>anthonyf:</t>
        </r>
        <r>
          <rPr>
            <sz val="8"/>
            <color indexed="81"/>
            <rFont val="Tahoma"/>
            <family val="2"/>
          </rPr>
          <t xml:space="preserve">
calculated at 14400 bph</t>
        </r>
      </text>
    </comment>
    <comment ref="U3" authorId="1" shapeId="0" xr:uid="{44DE69AE-9459-4012-89B7-F9F85B210BD5}">
      <text>
        <r>
          <rPr>
            <b/>
            <sz val="8"/>
            <color indexed="81"/>
            <rFont val="Tahoma"/>
            <family val="2"/>
          </rPr>
          <t>anthonyf:</t>
        </r>
        <r>
          <rPr>
            <sz val="8"/>
            <color indexed="81"/>
            <rFont val="Tahoma"/>
            <family val="2"/>
          </rPr>
          <t xml:space="preserve">
calculated at 15400 bph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David</author>
    <author>anthonyf</author>
    <author>Royd</author>
  </authors>
  <commentList>
    <comment ref="S3" authorId="0" shapeId="0" xr:uid="{F1703AEA-F08B-4365-A790-A1A73A7767BE}">
      <text>
        <r>
          <rPr>
            <b/>
            <sz val="8"/>
            <color indexed="81"/>
            <rFont val="Tahoma"/>
            <family val="2"/>
          </rPr>
          <t>David:</t>
        </r>
        <r>
          <rPr>
            <sz val="8"/>
            <color indexed="81"/>
            <rFont val="Tahoma"/>
            <family val="2"/>
          </rPr>
          <t xml:space="preserve">
15400 bph @ 75% Efficiency = 480 c/s.</t>
        </r>
      </text>
    </comment>
    <comment ref="U3" authorId="1" shapeId="0" xr:uid="{6063F002-C914-45D6-9D12-80D51191C354}">
      <text>
        <r>
          <rPr>
            <b/>
            <sz val="8"/>
            <color indexed="81"/>
            <rFont val="Tahoma"/>
            <family val="2"/>
          </rPr>
          <t>anthonyf:</t>
        </r>
        <r>
          <rPr>
            <sz val="8"/>
            <color indexed="81"/>
            <rFont val="Tahoma"/>
            <family val="2"/>
          </rPr>
          <t xml:space="preserve">
calculated at 14400 bph</t>
        </r>
      </text>
    </comment>
    <comment ref="V3" authorId="1" shapeId="0" xr:uid="{152F6709-C71F-4F1E-9B13-430F8DE6A6FE}">
      <text>
        <r>
          <rPr>
            <b/>
            <sz val="8"/>
            <color indexed="81"/>
            <rFont val="Tahoma"/>
            <family val="2"/>
          </rPr>
          <t>anthonyf:</t>
        </r>
        <r>
          <rPr>
            <sz val="8"/>
            <color indexed="81"/>
            <rFont val="Tahoma"/>
            <family val="2"/>
          </rPr>
          <t xml:space="preserve">
calculated at 15400 bph</t>
        </r>
      </text>
    </comment>
    <comment ref="G15" authorId="2" shapeId="0" xr:uid="{F80C70CD-3578-418E-8DD5-58BB9C0B6628}">
      <text>
        <r>
          <rPr>
            <b/>
            <sz val="9"/>
            <color indexed="81"/>
            <rFont val="Tahoma"/>
            <family val="2"/>
          </rPr>
          <t>Royd:</t>
        </r>
        <r>
          <rPr>
            <sz val="9"/>
            <color indexed="81"/>
            <rFont val="Tahoma"/>
            <family val="2"/>
          </rPr>
          <t xml:space="preserve">
</t>
        </r>
        <r>
          <rPr>
            <b/>
            <sz val="11"/>
            <color indexed="81"/>
            <rFont val="Tahoma"/>
            <family val="2"/>
          </rPr>
          <t xml:space="preserve">3247 cases local 1753 cases Export </t>
        </r>
      </text>
    </comment>
    <comment ref="P15" authorId="2" shapeId="0" xr:uid="{9C1C82C4-B95D-4848-BCE4-0F9A1AF2D971}">
      <text>
        <r>
          <rPr>
            <b/>
            <sz val="9"/>
            <color indexed="81"/>
            <rFont val="Tahoma"/>
            <family val="2"/>
          </rPr>
          <t>Royd:</t>
        </r>
        <r>
          <rPr>
            <sz val="9"/>
            <color indexed="81"/>
            <rFont val="Tahoma"/>
            <family val="2"/>
          </rPr>
          <t xml:space="preserve">
</t>
        </r>
        <r>
          <rPr>
            <sz val="11"/>
            <color indexed="81"/>
            <rFont val="Tahoma"/>
            <family val="2"/>
          </rPr>
          <t xml:space="preserve">17 stag export on hold due to labels </t>
        </r>
      </text>
    </comment>
    <comment ref="P28" authorId="2" shapeId="0" xr:uid="{D882B622-9B4D-41E5-8495-A7F7472F1C6A}">
      <text>
        <r>
          <rPr>
            <b/>
            <sz val="9"/>
            <color indexed="81"/>
            <rFont val="Tahoma"/>
            <family val="2"/>
          </rPr>
          <t>Royd:</t>
        </r>
        <r>
          <rPr>
            <sz val="9"/>
            <color indexed="81"/>
            <rFont val="Tahoma"/>
            <family val="2"/>
          </rPr>
          <t xml:space="preserve">
due to high PU</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David</author>
    <author>anthonyf</author>
  </authors>
  <commentList>
    <comment ref="S3" authorId="0" shapeId="0" xr:uid="{CF2F6BC3-AB9D-444D-BCC0-4372E3F73801}">
      <text>
        <r>
          <rPr>
            <b/>
            <sz val="8"/>
            <color indexed="81"/>
            <rFont val="Tahoma"/>
            <family val="2"/>
          </rPr>
          <t>David:</t>
        </r>
        <r>
          <rPr>
            <sz val="8"/>
            <color indexed="81"/>
            <rFont val="Tahoma"/>
            <family val="2"/>
          </rPr>
          <t xml:space="preserve">
15400 bph @ 75% Efficiency = 480 c/s.</t>
        </r>
      </text>
    </comment>
    <comment ref="U3" authorId="1" shapeId="0" xr:uid="{3E65A7E5-6C9C-494F-9FAE-462CB1B22E55}">
      <text>
        <r>
          <rPr>
            <b/>
            <sz val="8"/>
            <color indexed="81"/>
            <rFont val="Tahoma"/>
            <family val="2"/>
          </rPr>
          <t>anthonyf:</t>
        </r>
        <r>
          <rPr>
            <sz val="8"/>
            <color indexed="81"/>
            <rFont val="Tahoma"/>
            <family val="2"/>
          </rPr>
          <t xml:space="preserve">
calculated at 14400 bph</t>
        </r>
      </text>
    </comment>
    <comment ref="V3" authorId="1" shapeId="0" xr:uid="{61DB26D7-B1B3-4C89-A0E4-AEEFF4600224}">
      <text>
        <r>
          <rPr>
            <b/>
            <sz val="8"/>
            <color indexed="81"/>
            <rFont val="Tahoma"/>
            <family val="2"/>
          </rPr>
          <t>anthonyf:</t>
        </r>
        <r>
          <rPr>
            <sz val="8"/>
            <color indexed="81"/>
            <rFont val="Tahoma"/>
            <family val="2"/>
          </rPr>
          <t xml:space="preserve">
calculated at 15400 bph</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David</author>
    <author>anthonyf</author>
  </authors>
  <commentList>
    <comment ref="S3" authorId="0" shapeId="0" xr:uid="{661F8DE0-A405-488E-9B2A-541AFBAD8843}">
      <text>
        <r>
          <rPr>
            <b/>
            <sz val="8"/>
            <color indexed="81"/>
            <rFont val="Tahoma"/>
            <family val="2"/>
          </rPr>
          <t>David:</t>
        </r>
        <r>
          <rPr>
            <sz val="8"/>
            <color indexed="81"/>
            <rFont val="Tahoma"/>
            <family val="2"/>
          </rPr>
          <t xml:space="preserve">
15400 bph @ 75% Efficiency = 480 c/s.</t>
        </r>
      </text>
    </comment>
    <comment ref="U3" authorId="1" shapeId="0" xr:uid="{AD2A134D-FAE5-4915-BBDB-C909F999854A}">
      <text>
        <r>
          <rPr>
            <b/>
            <sz val="8"/>
            <color indexed="81"/>
            <rFont val="Tahoma"/>
            <family val="2"/>
          </rPr>
          <t>anthonyf:</t>
        </r>
        <r>
          <rPr>
            <sz val="8"/>
            <color indexed="81"/>
            <rFont val="Tahoma"/>
            <family val="2"/>
          </rPr>
          <t xml:space="preserve">
calculated at 14400 bph</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David</author>
    <author>anthonyf</author>
    <author>Royd</author>
  </authors>
  <commentList>
    <comment ref="S3" authorId="0" shapeId="0" xr:uid="{2B496C65-F503-4D4C-83AC-178DDF133F1B}">
      <text>
        <r>
          <rPr>
            <b/>
            <sz val="8"/>
            <color indexed="81"/>
            <rFont val="Tahoma"/>
            <family val="2"/>
          </rPr>
          <t>David:</t>
        </r>
        <r>
          <rPr>
            <sz val="8"/>
            <color indexed="81"/>
            <rFont val="Tahoma"/>
            <family val="2"/>
          </rPr>
          <t xml:space="preserve">
15400 bph @ 75% Efficiency = 480 c/s.</t>
        </r>
      </text>
    </comment>
    <comment ref="U3" authorId="1" shapeId="0" xr:uid="{C75B4828-1E3D-4ACF-8DC7-E89D55BB0641}">
      <text>
        <r>
          <rPr>
            <b/>
            <sz val="8"/>
            <color indexed="81"/>
            <rFont val="Tahoma"/>
            <family val="2"/>
          </rPr>
          <t>anthonyf:</t>
        </r>
        <r>
          <rPr>
            <sz val="8"/>
            <color indexed="81"/>
            <rFont val="Tahoma"/>
            <family val="2"/>
          </rPr>
          <t xml:space="preserve">
calculated at 14400 bph</t>
        </r>
      </text>
    </comment>
    <comment ref="O12" authorId="2" shapeId="0" xr:uid="{BCF3F154-5BDF-4841-A963-25789816A50D}">
      <text>
        <r>
          <rPr>
            <b/>
            <sz val="10"/>
            <color indexed="81"/>
            <rFont val="Tahoma"/>
            <family val="2"/>
          </rPr>
          <t>Royd:</t>
        </r>
        <r>
          <rPr>
            <sz val="10"/>
            <color indexed="81"/>
            <rFont val="Tahoma"/>
            <family val="2"/>
          </rPr>
          <t xml:space="preserve">
60mins spec</t>
        </r>
      </text>
    </comment>
    <comment ref="O20" authorId="2" shapeId="0" xr:uid="{2B117D6F-BF41-4B69-B4F0-1EB9A7B40C5B}">
      <text>
        <r>
          <rPr>
            <b/>
            <sz val="9"/>
            <color indexed="81"/>
            <rFont val="Tahoma"/>
            <family val="2"/>
          </rPr>
          <t>Royd:</t>
        </r>
        <r>
          <rPr>
            <sz val="9"/>
            <color indexed="81"/>
            <rFont val="Tahoma"/>
            <family val="2"/>
          </rPr>
          <t xml:space="preserve">
60mins spec</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David</author>
    <author>anthonyf</author>
    <author>Royd</author>
  </authors>
  <commentList>
    <comment ref="R3" authorId="0" shapeId="0" xr:uid="{0E6B6C9D-6327-4C0B-84BA-C2BB04762969}">
      <text>
        <r>
          <rPr>
            <b/>
            <sz val="8"/>
            <color indexed="81"/>
            <rFont val="Tahoma"/>
            <family val="2"/>
          </rPr>
          <t>David:</t>
        </r>
        <r>
          <rPr>
            <sz val="8"/>
            <color indexed="81"/>
            <rFont val="Tahoma"/>
            <family val="2"/>
          </rPr>
          <t xml:space="preserve">
15400 bph @ 75% Efficiency = 480 c/s.</t>
        </r>
      </text>
    </comment>
    <comment ref="T3" authorId="1" shapeId="0" xr:uid="{6C0FF4B7-9321-4015-8224-4E8253F19740}">
      <text>
        <r>
          <rPr>
            <b/>
            <sz val="8"/>
            <color indexed="81"/>
            <rFont val="Tahoma"/>
            <family val="2"/>
          </rPr>
          <t>anthonyf:</t>
        </r>
        <r>
          <rPr>
            <sz val="8"/>
            <color indexed="81"/>
            <rFont val="Tahoma"/>
            <family val="2"/>
          </rPr>
          <t xml:space="preserve">
calculated at 14400 bph</t>
        </r>
      </text>
    </comment>
    <comment ref="D66" authorId="2" shapeId="0" xr:uid="{87146743-92B8-4ED7-87FF-AC22D88E410D}">
      <text>
        <r>
          <rPr>
            <b/>
            <sz val="9"/>
            <color indexed="81"/>
            <rFont val="Tahoma"/>
            <family val="2"/>
          </rPr>
          <t>Royd:</t>
        </r>
        <r>
          <rPr>
            <sz val="9"/>
            <color indexed="81"/>
            <rFont val="Tahoma"/>
            <family val="2"/>
          </rPr>
          <t xml:space="preserve">
Bad Dog</t>
        </r>
      </text>
    </comment>
    <comment ref="P80" authorId="2" shapeId="0" xr:uid="{CE193AC3-A36F-4F52-8E23-56C1F5CFA1B2}">
      <text>
        <r>
          <rPr>
            <b/>
            <sz val="9"/>
            <color indexed="81"/>
            <rFont val="Tahoma"/>
            <family val="2"/>
          </rPr>
          <t>Royd:</t>
        </r>
        <r>
          <rPr>
            <sz val="9"/>
            <color indexed="81"/>
            <rFont val="Tahoma"/>
            <family val="2"/>
          </rPr>
          <t xml:space="preserve">
YTD CASES</t>
        </r>
      </text>
    </comment>
    <comment ref="R80" authorId="2" shapeId="0" xr:uid="{ECE7AAB4-E677-4220-B439-FC47B66207F2}">
      <text>
        <r>
          <rPr>
            <b/>
            <sz val="9"/>
            <color indexed="81"/>
            <rFont val="Tahoma"/>
            <family val="2"/>
          </rPr>
          <t>Royd:</t>
        </r>
        <r>
          <rPr>
            <sz val="9"/>
            <color indexed="81"/>
            <rFont val="Tahoma"/>
            <family val="2"/>
          </rPr>
          <t xml:space="preserve">
YTD FILL TIME</t>
        </r>
      </text>
    </comment>
    <comment ref="P81" authorId="2" shapeId="0" xr:uid="{F5783EF4-AB92-4780-8C47-11C0CF147B38}">
      <text>
        <r>
          <rPr>
            <b/>
            <sz val="9"/>
            <color indexed="81"/>
            <rFont val="Tahoma"/>
            <family val="2"/>
          </rPr>
          <t>Royd:</t>
        </r>
        <r>
          <rPr>
            <sz val="9"/>
            <color indexed="81"/>
            <rFont val="Tahoma"/>
            <family val="2"/>
          </rPr>
          <t xml:space="preserve">
YTD BBT Hls</t>
        </r>
      </text>
    </comment>
    <comment ref="R81" authorId="2" shapeId="0" xr:uid="{AF1A32DF-B43A-4691-987E-B9926B9BA5E0}">
      <text>
        <r>
          <rPr>
            <b/>
            <sz val="9"/>
            <color indexed="81"/>
            <rFont val="Tahoma"/>
            <family val="2"/>
          </rPr>
          <t>Royd:</t>
        </r>
        <r>
          <rPr>
            <sz val="9"/>
            <color indexed="81"/>
            <rFont val="Tahoma"/>
            <family val="2"/>
          </rPr>
          <t xml:space="preserve">
YTD Bottled Hls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David</author>
    <author>anthonyf</author>
    <author>Royd</author>
  </authors>
  <commentList>
    <comment ref="R3" authorId="0" shapeId="0" xr:uid="{4F138FA7-1477-42B3-AF5C-2EE9445BC591}">
      <text>
        <r>
          <rPr>
            <b/>
            <sz val="8"/>
            <color indexed="81"/>
            <rFont val="Tahoma"/>
            <family val="2"/>
          </rPr>
          <t>David:</t>
        </r>
        <r>
          <rPr>
            <sz val="8"/>
            <color indexed="81"/>
            <rFont val="Tahoma"/>
            <family val="2"/>
          </rPr>
          <t xml:space="preserve">
15400 bph @ 75% Efficiency = 480 c/s.</t>
        </r>
      </text>
    </comment>
    <comment ref="T3" authorId="1" shapeId="0" xr:uid="{99C72171-66C3-447D-B81C-E726AE415788}">
      <text>
        <r>
          <rPr>
            <b/>
            <sz val="8"/>
            <color indexed="81"/>
            <rFont val="Tahoma"/>
            <family val="2"/>
          </rPr>
          <t>anthonyf:</t>
        </r>
        <r>
          <rPr>
            <sz val="8"/>
            <color indexed="81"/>
            <rFont val="Tahoma"/>
            <family val="2"/>
          </rPr>
          <t xml:space="preserve">
calculated at 14400 bph</t>
        </r>
      </text>
    </comment>
    <comment ref="D65" authorId="2" shapeId="0" xr:uid="{48106322-D29B-47F8-8AB0-31C7AA30F056}">
      <text>
        <r>
          <rPr>
            <b/>
            <sz val="9"/>
            <color indexed="81"/>
            <rFont val="Tahoma"/>
            <family val="2"/>
          </rPr>
          <t>Royd:</t>
        </r>
        <r>
          <rPr>
            <sz val="9"/>
            <color indexed="81"/>
            <rFont val="Tahoma"/>
            <family val="2"/>
          </rPr>
          <t xml:space="preserve">
Bad Dog</t>
        </r>
      </text>
    </comment>
    <comment ref="P79" authorId="2" shapeId="0" xr:uid="{C38EB46C-34D4-4C83-A834-DC48581A12AC}">
      <text>
        <r>
          <rPr>
            <b/>
            <sz val="9"/>
            <color indexed="81"/>
            <rFont val="Tahoma"/>
            <family val="2"/>
          </rPr>
          <t>Royd:</t>
        </r>
        <r>
          <rPr>
            <sz val="9"/>
            <color indexed="81"/>
            <rFont val="Tahoma"/>
            <family val="2"/>
          </rPr>
          <t xml:space="preserve">
YTD CASES</t>
        </r>
      </text>
    </comment>
    <comment ref="R79" authorId="2" shapeId="0" xr:uid="{72681A9C-CC13-4050-ADB7-ADD69A4A5C34}">
      <text>
        <r>
          <rPr>
            <b/>
            <sz val="9"/>
            <color indexed="81"/>
            <rFont val="Tahoma"/>
            <family val="2"/>
          </rPr>
          <t>Royd:</t>
        </r>
        <r>
          <rPr>
            <sz val="9"/>
            <color indexed="81"/>
            <rFont val="Tahoma"/>
            <family val="2"/>
          </rPr>
          <t xml:space="preserve">
YTD FILL TIME</t>
        </r>
      </text>
    </comment>
    <comment ref="P80" authorId="2" shapeId="0" xr:uid="{3DF32AA3-D902-4DB9-B69C-437D32414255}">
      <text>
        <r>
          <rPr>
            <b/>
            <sz val="9"/>
            <color indexed="81"/>
            <rFont val="Tahoma"/>
            <family val="2"/>
          </rPr>
          <t>Royd:</t>
        </r>
        <r>
          <rPr>
            <sz val="9"/>
            <color indexed="81"/>
            <rFont val="Tahoma"/>
            <family val="2"/>
          </rPr>
          <t xml:space="preserve">
YTD BBT Hls</t>
        </r>
      </text>
    </comment>
    <comment ref="R80" authorId="2" shapeId="0" xr:uid="{ED8D753D-EA17-46CA-B0E5-79A8E812B034}">
      <text>
        <r>
          <rPr>
            <b/>
            <sz val="9"/>
            <color indexed="81"/>
            <rFont val="Tahoma"/>
            <family val="2"/>
          </rPr>
          <t>Royd:</t>
        </r>
        <r>
          <rPr>
            <sz val="9"/>
            <color indexed="81"/>
            <rFont val="Tahoma"/>
            <family val="2"/>
          </rPr>
          <t xml:space="preserve">
YTD Bottled Hls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David</author>
    <author>anthonyf</author>
    <author>Royd</author>
  </authors>
  <commentList>
    <comment ref="R3" authorId="0" shapeId="0" xr:uid="{7A0C2FB0-A8F0-42AE-8936-688B3EB75E1F}">
      <text>
        <r>
          <rPr>
            <b/>
            <sz val="8"/>
            <color indexed="81"/>
            <rFont val="Tahoma"/>
            <family val="2"/>
          </rPr>
          <t>David:</t>
        </r>
        <r>
          <rPr>
            <sz val="8"/>
            <color indexed="81"/>
            <rFont val="Tahoma"/>
            <family val="2"/>
          </rPr>
          <t xml:space="preserve">
15400 bph @ 75% Efficiency = 480 c/s.</t>
        </r>
      </text>
    </comment>
    <comment ref="T3" authorId="1" shapeId="0" xr:uid="{672CA5C8-087E-4F9F-8F58-0E9E613DA51F}">
      <text>
        <r>
          <rPr>
            <b/>
            <sz val="8"/>
            <color indexed="81"/>
            <rFont val="Tahoma"/>
            <family val="2"/>
          </rPr>
          <t>anthonyf:</t>
        </r>
        <r>
          <rPr>
            <sz val="8"/>
            <color indexed="81"/>
            <rFont val="Tahoma"/>
            <family val="2"/>
          </rPr>
          <t xml:space="preserve">
calculated at 14400 bph</t>
        </r>
      </text>
    </comment>
    <comment ref="D65" authorId="2" shapeId="0" xr:uid="{B8716122-DA51-45DE-9586-123C25825A98}">
      <text>
        <r>
          <rPr>
            <b/>
            <sz val="9"/>
            <color indexed="81"/>
            <rFont val="Tahoma"/>
            <family val="2"/>
          </rPr>
          <t>Royd:</t>
        </r>
        <r>
          <rPr>
            <sz val="9"/>
            <color indexed="81"/>
            <rFont val="Tahoma"/>
            <family val="2"/>
          </rPr>
          <t xml:space="preserve">
Bad Dog</t>
        </r>
      </text>
    </comment>
    <comment ref="P79" authorId="2" shapeId="0" xr:uid="{046F111B-F763-415C-82F4-861F3225A78B}">
      <text>
        <r>
          <rPr>
            <b/>
            <sz val="9"/>
            <color indexed="81"/>
            <rFont val="Tahoma"/>
            <family val="2"/>
          </rPr>
          <t>Royd:</t>
        </r>
        <r>
          <rPr>
            <sz val="9"/>
            <color indexed="81"/>
            <rFont val="Tahoma"/>
            <family val="2"/>
          </rPr>
          <t xml:space="preserve">
YTD CASES</t>
        </r>
      </text>
    </comment>
    <comment ref="R79" authorId="2" shapeId="0" xr:uid="{96AAC6A0-532B-4656-ADE0-031A94A195E5}">
      <text>
        <r>
          <rPr>
            <b/>
            <sz val="9"/>
            <color indexed="81"/>
            <rFont val="Tahoma"/>
            <family val="2"/>
          </rPr>
          <t>Royd:</t>
        </r>
        <r>
          <rPr>
            <sz val="9"/>
            <color indexed="81"/>
            <rFont val="Tahoma"/>
            <family val="2"/>
          </rPr>
          <t xml:space="preserve">
YTD FILL TIME</t>
        </r>
      </text>
    </comment>
    <comment ref="P80" authorId="2" shapeId="0" xr:uid="{96F61E6E-B2C9-4D1E-8477-156D37E3EEC3}">
      <text>
        <r>
          <rPr>
            <b/>
            <sz val="9"/>
            <color indexed="81"/>
            <rFont val="Tahoma"/>
            <family val="2"/>
          </rPr>
          <t>Royd:</t>
        </r>
        <r>
          <rPr>
            <sz val="9"/>
            <color indexed="81"/>
            <rFont val="Tahoma"/>
            <family val="2"/>
          </rPr>
          <t xml:space="preserve">
YTD BBT Hls</t>
        </r>
      </text>
    </comment>
    <comment ref="R80" authorId="2" shapeId="0" xr:uid="{A35A9E60-633B-4DF5-99B0-CC02A0244A96}">
      <text>
        <r>
          <rPr>
            <b/>
            <sz val="9"/>
            <color indexed="81"/>
            <rFont val="Tahoma"/>
            <family val="2"/>
          </rPr>
          <t>Royd:</t>
        </r>
        <r>
          <rPr>
            <sz val="9"/>
            <color indexed="81"/>
            <rFont val="Tahoma"/>
            <family val="2"/>
          </rPr>
          <t xml:space="preserve">
YTD Bottled Hls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David</author>
    <author>anthonyf</author>
    <author>Royd</author>
  </authors>
  <commentList>
    <comment ref="R3" authorId="0" shapeId="0" xr:uid="{2369E02E-5501-49E3-B952-59A5D0A8F2E5}">
      <text>
        <r>
          <rPr>
            <b/>
            <sz val="8"/>
            <color indexed="81"/>
            <rFont val="Tahoma"/>
            <family val="2"/>
          </rPr>
          <t>David:</t>
        </r>
        <r>
          <rPr>
            <sz val="8"/>
            <color indexed="81"/>
            <rFont val="Tahoma"/>
            <family val="2"/>
          </rPr>
          <t xml:space="preserve">
15400 bph @ 75% Efficiency = 480 c/s.</t>
        </r>
      </text>
    </comment>
    <comment ref="T3" authorId="1" shapeId="0" xr:uid="{A36C4A9C-05F6-440E-8A25-8249D137413A}">
      <text>
        <r>
          <rPr>
            <b/>
            <sz val="8"/>
            <color indexed="81"/>
            <rFont val="Tahoma"/>
            <family val="2"/>
          </rPr>
          <t>anthonyf:</t>
        </r>
        <r>
          <rPr>
            <sz val="8"/>
            <color indexed="81"/>
            <rFont val="Tahoma"/>
            <family val="2"/>
          </rPr>
          <t xml:space="preserve">
calculated at 14400 bph</t>
        </r>
      </text>
    </comment>
    <comment ref="D65" authorId="2" shapeId="0" xr:uid="{AD1D8C0F-113E-4596-9D97-F052526CFAE1}">
      <text>
        <r>
          <rPr>
            <b/>
            <sz val="9"/>
            <color indexed="81"/>
            <rFont val="Tahoma"/>
            <family val="2"/>
          </rPr>
          <t>Royd:</t>
        </r>
        <r>
          <rPr>
            <sz val="9"/>
            <color indexed="81"/>
            <rFont val="Tahoma"/>
            <family val="2"/>
          </rPr>
          <t xml:space="preserve">
Bad Dog</t>
        </r>
      </text>
    </comment>
    <comment ref="P79" authorId="2" shapeId="0" xr:uid="{03AB198B-FD33-4AF1-B6E4-278AF76B92CA}">
      <text>
        <r>
          <rPr>
            <b/>
            <sz val="9"/>
            <color indexed="81"/>
            <rFont val="Tahoma"/>
            <family val="2"/>
          </rPr>
          <t>Royd:</t>
        </r>
        <r>
          <rPr>
            <sz val="9"/>
            <color indexed="81"/>
            <rFont val="Tahoma"/>
            <family val="2"/>
          </rPr>
          <t xml:space="preserve">
YTD CASES</t>
        </r>
      </text>
    </comment>
    <comment ref="R79" authorId="2" shapeId="0" xr:uid="{ECEDF502-92FA-4DAB-85B2-01DCE040ABDE}">
      <text>
        <r>
          <rPr>
            <b/>
            <sz val="9"/>
            <color indexed="81"/>
            <rFont val="Tahoma"/>
            <family val="2"/>
          </rPr>
          <t>Royd:</t>
        </r>
        <r>
          <rPr>
            <sz val="9"/>
            <color indexed="81"/>
            <rFont val="Tahoma"/>
            <family val="2"/>
          </rPr>
          <t xml:space="preserve">
YTD FILL TIME</t>
        </r>
      </text>
    </comment>
    <comment ref="P80" authorId="2" shapeId="0" xr:uid="{6F0C119A-35C1-40BF-ADA7-EC93BFB4AEBD}">
      <text>
        <r>
          <rPr>
            <b/>
            <sz val="9"/>
            <color indexed="81"/>
            <rFont val="Tahoma"/>
            <family val="2"/>
          </rPr>
          <t>Royd:</t>
        </r>
        <r>
          <rPr>
            <sz val="9"/>
            <color indexed="81"/>
            <rFont val="Tahoma"/>
            <family val="2"/>
          </rPr>
          <t xml:space="preserve">
YTD BBT Hls</t>
        </r>
      </text>
    </comment>
    <comment ref="R80" authorId="2" shapeId="0" xr:uid="{68D8F8A1-9697-4B85-9656-B94418A4B55B}">
      <text>
        <r>
          <rPr>
            <b/>
            <sz val="9"/>
            <color indexed="81"/>
            <rFont val="Tahoma"/>
            <family val="2"/>
          </rPr>
          <t>Royd:</t>
        </r>
        <r>
          <rPr>
            <sz val="9"/>
            <color indexed="81"/>
            <rFont val="Tahoma"/>
            <family val="2"/>
          </rPr>
          <t xml:space="preserve">
YTD Bottled Hls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Royd</author>
  </authors>
  <commentList>
    <comment ref="P123" authorId="0" shapeId="0" xr:uid="{D2618B13-8263-4BE7-A897-B2130731E2C3}">
      <text>
        <r>
          <rPr>
            <b/>
            <sz val="9"/>
            <color indexed="81"/>
            <rFont val="Tahoma"/>
            <family val="2"/>
          </rPr>
          <t>Royd:</t>
        </r>
        <r>
          <rPr>
            <sz val="9"/>
            <color indexed="81"/>
            <rFont val="Tahoma"/>
            <family val="2"/>
          </rPr>
          <t xml:space="preserve">
YTD CASES</t>
        </r>
      </text>
    </comment>
    <comment ref="Q123" authorId="0" shapeId="0" xr:uid="{FA8191FF-12B0-46E1-8ADF-C44B1C5FC112}">
      <text>
        <r>
          <rPr>
            <b/>
            <sz val="9"/>
            <color indexed="81"/>
            <rFont val="Tahoma"/>
            <family val="2"/>
          </rPr>
          <t>Royd:</t>
        </r>
        <r>
          <rPr>
            <sz val="9"/>
            <color indexed="81"/>
            <rFont val="Tahoma"/>
            <family val="2"/>
          </rPr>
          <t xml:space="preserve">
FILL TIME each month</t>
        </r>
      </text>
    </comment>
    <comment ref="P124" authorId="0" shapeId="0" xr:uid="{12E55CCB-715E-4C28-AB4B-2DC0076644C8}">
      <text>
        <r>
          <rPr>
            <b/>
            <sz val="9"/>
            <color indexed="81"/>
            <rFont val="Tahoma"/>
            <family val="2"/>
          </rPr>
          <t>Royd:</t>
        </r>
        <r>
          <rPr>
            <sz val="9"/>
            <color indexed="81"/>
            <rFont val="Tahoma"/>
            <family val="2"/>
          </rPr>
          <t xml:space="preserve">
BBT Hls added each month</t>
        </r>
      </text>
    </comment>
    <comment ref="Q124" authorId="0" shapeId="0" xr:uid="{5FD0AC20-B07D-4DB8-B9D3-89EC4A8861B6}">
      <text>
        <r>
          <rPr>
            <b/>
            <sz val="9"/>
            <color indexed="81"/>
            <rFont val="Tahoma"/>
            <family val="2"/>
          </rPr>
          <t>Royd:</t>
        </r>
        <r>
          <rPr>
            <sz val="9"/>
            <color indexed="81"/>
            <rFont val="Tahoma"/>
            <family val="2"/>
          </rPr>
          <t xml:space="preserve">
BOTTLED hlS each month</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Kaylil Baptiste</author>
    <author>Royd</author>
  </authors>
  <commentList>
    <comment ref="B35" authorId="0" shapeId="0" xr:uid="{42826613-89CD-423A-8C15-8C74E04F83BF}">
      <text>
        <r>
          <rPr>
            <b/>
            <sz val="12"/>
            <color indexed="81"/>
            <rFont val="Tahoma"/>
            <family val="2"/>
          </rPr>
          <t>Kaylil Baptiste:</t>
        </r>
        <r>
          <rPr>
            <sz val="12"/>
            <color indexed="81"/>
            <rFont val="Tahoma"/>
            <family val="2"/>
          </rPr>
          <t xml:space="preserve">
2800 Stag planned but not done </t>
        </r>
      </text>
    </comment>
    <comment ref="P79" authorId="1" shapeId="0" xr:uid="{9BCDB836-5130-461A-8F35-9B5DA1576111}">
      <text>
        <r>
          <rPr>
            <b/>
            <sz val="9"/>
            <color indexed="81"/>
            <rFont val="Tahoma"/>
            <family val="2"/>
          </rPr>
          <t>Royd:</t>
        </r>
        <r>
          <rPr>
            <sz val="9"/>
            <color indexed="81"/>
            <rFont val="Tahoma"/>
            <family val="2"/>
          </rPr>
          <t xml:space="preserve">
YTD CASES</t>
        </r>
      </text>
    </comment>
    <comment ref="Q79" authorId="1" shapeId="0" xr:uid="{9985AA11-265E-4328-8D04-9F6EE2277990}">
      <text>
        <r>
          <rPr>
            <b/>
            <sz val="9"/>
            <color indexed="81"/>
            <rFont val="Tahoma"/>
            <family val="2"/>
          </rPr>
          <t>Royd:</t>
        </r>
        <r>
          <rPr>
            <sz val="9"/>
            <color indexed="81"/>
            <rFont val="Tahoma"/>
            <family val="2"/>
          </rPr>
          <t xml:space="preserve">
FILL TIME each month</t>
        </r>
      </text>
    </comment>
    <comment ref="P80" authorId="1" shapeId="0" xr:uid="{90866CC5-F5E1-4224-813A-E8B7969FD2B6}">
      <text>
        <r>
          <rPr>
            <b/>
            <sz val="9"/>
            <color indexed="81"/>
            <rFont val="Tahoma"/>
            <family val="2"/>
          </rPr>
          <t>Royd:</t>
        </r>
        <r>
          <rPr>
            <sz val="9"/>
            <color indexed="81"/>
            <rFont val="Tahoma"/>
            <family val="2"/>
          </rPr>
          <t xml:space="preserve">
BBT Hls added each month</t>
        </r>
      </text>
    </comment>
    <comment ref="Q80" authorId="1" shapeId="0" xr:uid="{899774F7-EBBF-4F54-ADB3-1B42E374C95E}">
      <text>
        <r>
          <rPr>
            <b/>
            <sz val="9"/>
            <color indexed="81"/>
            <rFont val="Tahoma"/>
            <family val="2"/>
          </rPr>
          <t>Royd:</t>
        </r>
        <r>
          <rPr>
            <sz val="9"/>
            <color indexed="81"/>
            <rFont val="Tahoma"/>
            <family val="2"/>
          </rPr>
          <t xml:space="preserve">
BOTTLED hlS each month</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Kaylil Baptiste</author>
    <author>Royd</author>
  </authors>
  <commentList>
    <comment ref="D5" authorId="0" shapeId="0" xr:uid="{C867261D-5B23-47F6-AAF8-A1323757E54F}">
      <text>
        <r>
          <rPr>
            <b/>
            <sz val="12"/>
            <color indexed="81"/>
            <rFont val="Tahoma"/>
            <family val="2"/>
          </rPr>
          <t>Kaylil Baptiste:</t>
        </r>
        <r>
          <rPr>
            <sz val="12"/>
            <color indexed="81"/>
            <rFont val="Tahoma"/>
            <family val="2"/>
          </rPr>
          <t xml:space="preserve">
1400 Starmalt planned but not done</t>
        </r>
      </text>
    </comment>
    <comment ref="D68" authorId="1" shapeId="0" xr:uid="{E76C9FCB-1925-4E1D-B5E6-403D08A9C9FB}">
      <text>
        <r>
          <rPr>
            <b/>
            <sz val="9"/>
            <color indexed="81"/>
            <rFont val="Tahoma"/>
            <family val="2"/>
          </rPr>
          <t>Royd:</t>
        </r>
        <r>
          <rPr>
            <sz val="9"/>
            <color indexed="81"/>
            <rFont val="Tahoma"/>
            <family val="2"/>
          </rPr>
          <t xml:space="preserve">
Bad Dog</t>
        </r>
      </text>
    </comment>
    <comment ref="P76" authorId="1" shapeId="0" xr:uid="{ECB8EAE9-4DB4-4E24-BA9B-BF566BF01AEA}">
      <text>
        <r>
          <rPr>
            <b/>
            <sz val="9"/>
            <color indexed="81"/>
            <rFont val="Tahoma"/>
            <family val="2"/>
          </rPr>
          <t>Royd:</t>
        </r>
        <r>
          <rPr>
            <sz val="9"/>
            <color indexed="81"/>
            <rFont val="Tahoma"/>
            <family val="2"/>
          </rPr>
          <t xml:space="preserve">
YTD CASES</t>
        </r>
      </text>
    </comment>
    <comment ref="Q76" authorId="1" shapeId="0" xr:uid="{F0597E2B-F839-4EF7-9BC6-5FE017B8CC6D}">
      <text>
        <r>
          <rPr>
            <b/>
            <sz val="9"/>
            <color indexed="81"/>
            <rFont val="Tahoma"/>
            <family val="2"/>
          </rPr>
          <t>Royd:</t>
        </r>
        <r>
          <rPr>
            <sz val="9"/>
            <color indexed="81"/>
            <rFont val="Tahoma"/>
            <family val="2"/>
          </rPr>
          <t xml:space="preserve">
FILL TIME each month</t>
        </r>
      </text>
    </comment>
    <comment ref="P77" authorId="1" shapeId="0" xr:uid="{A475191E-A1DE-478D-BC4C-518DB8483847}">
      <text>
        <r>
          <rPr>
            <b/>
            <sz val="9"/>
            <color indexed="81"/>
            <rFont val="Tahoma"/>
            <family val="2"/>
          </rPr>
          <t>Royd:</t>
        </r>
        <r>
          <rPr>
            <sz val="9"/>
            <color indexed="81"/>
            <rFont val="Tahoma"/>
            <family val="2"/>
          </rPr>
          <t xml:space="preserve">
BBT Hls added each month</t>
        </r>
      </text>
    </comment>
    <comment ref="Q77" authorId="1" shapeId="0" xr:uid="{60454FC0-103B-4A75-AAB7-4E41DB6FCA75}">
      <text>
        <r>
          <rPr>
            <b/>
            <sz val="9"/>
            <color indexed="81"/>
            <rFont val="Tahoma"/>
            <family val="2"/>
          </rPr>
          <t>Royd:</t>
        </r>
        <r>
          <rPr>
            <sz val="9"/>
            <color indexed="81"/>
            <rFont val="Tahoma"/>
            <family val="2"/>
          </rPr>
          <t xml:space="preserve">
BOTTLED hlS each month</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Reshelle Fleming</author>
    <author>Royd</author>
  </authors>
  <commentList>
    <comment ref="J3" authorId="0" shapeId="0" xr:uid="{CE0CCC5E-2F1B-497B-9F84-B4B0D87269BD}">
      <text>
        <r>
          <rPr>
            <b/>
            <sz val="9"/>
            <color indexed="81"/>
            <rFont val="Tahoma"/>
            <family val="2"/>
          </rPr>
          <t>Reshelle Fleming:</t>
        </r>
        <r>
          <rPr>
            <sz val="9"/>
            <color indexed="81"/>
            <rFont val="Tahoma"/>
            <family val="2"/>
          </rPr>
          <t xml:space="preserve">
Goal is 430 
Target set to 350  based on 8400 per day </t>
        </r>
      </text>
    </comment>
    <comment ref="D68" authorId="1" shapeId="0" xr:uid="{D099E127-8C9F-4D6F-B742-F7B032CC5D62}">
      <text>
        <r>
          <rPr>
            <b/>
            <sz val="9"/>
            <color indexed="81"/>
            <rFont val="Tahoma"/>
            <family val="2"/>
          </rPr>
          <t>Royd:</t>
        </r>
        <r>
          <rPr>
            <sz val="9"/>
            <color indexed="81"/>
            <rFont val="Tahoma"/>
            <family val="2"/>
          </rPr>
          <t xml:space="preserve">
Bad Dog</t>
        </r>
      </text>
    </comment>
    <comment ref="P74" authorId="1" shapeId="0" xr:uid="{6D798E3E-9503-484E-8BD6-31D2EF94D8A2}">
      <text>
        <r>
          <rPr>
            <b/>
            <sz val="9"/>
            <color indexed="81"/>
            <rFont val="Tahoma"/>
            <family val="2"/>
          </rPr>
          <t>Royd:</t>
        </r>
        <r>
          <rPr>
            <sz val="9"/>
            <color indexed="81"/>
            <rFont val="Tahoma"/>
            <family val="2"/>
          </rPr>
          <t xml:space="preserve">
YTD CASES</t>
        </r>
      </text>
    </comment>
    <comment ref="Q74" authorId="1" shapeId="0" xr:uid="{9670212E-4403-407C-93E5-2C5601BC3417}">
      <text>
        <r>
          <rPr>
            <b/>
            <sz val="9"/>
            <color indexed="81"/>
            <rFont val="Tahoma"/>
            <family val="2"/>
          </rPr>
          <t>Royd:</t>
        </r>
        <r>
          <rPr>
            <sz val="9"/>
            <color indexed="81"/>
            <rFont val="Tahoma"/>
            <family val="2"/>
          </rPr>
          <t xml:space="preserve">
FILL TIME each month</t>
        </r>
      </text>
    </comment>
    <comment ref="P75" authorId="1" shapeId="0" xr:uid="{0C1AA696-D661-4A9F-9672-794267B596FC}">
      <text>
        <r>
          <rPr>
            <b/>
            <sz val="9"/>
            <color indexed="81"/>
            <rFont val="Tahoma"/>
            <family val="2"/>
          </rPr>
          <t>Royd:</t>
        </r>
        <r>
          <rPr>
            <sz val="9"/>
            <color indexed="81"/>
            <rFont val="Tahoma"/>
            <family val="2"/>
          </rPr>
          <t xml:space="preserve">
BBT Hls added each month</t>
        </r>
      </text>
    </comment>
    <comment ref="Q75" authorId="1" shapeId="0" xr:uid="{D61949FB-2FE6-44CC-95E0-2B7A08541E8A}">
      <text>
        <r>
          <rPr>
            <b/>
            <sz val="9"/>
            <color indexed="81"/>
            <rFont val="Tahoma"/>
            <family val="2"/>
          </rPr>
          <t>Royd:</t>
        </r>
        <r>
          <rPr>
            <sz val="9"/>
            <color indexed="81"/>
            <rFont val="Tahoma"/>
            <family val="2"/>
          </rPr>
          <t xml:space="preserve">
BOTTLED hlS each month</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Royd</author>
  </authors>
  <commentList>
    <comment ref="D70" authorId="0" shapeId="0" xr:uid="{177C30AF-1FC8-40D6-BBDC-58DD15688957}">
      <text>
        <r>
          <rPr>
            <b/>
            <sz val="9"/>
            <color indexed="81"/>
            <rFont val="Tahoma"/>
            <family val="2"/>
          </rPr>
          <t>Royd:</t>
        </r>
        <r>
          <rPr>
            <sz val="9"/>
            <color indexed="81"/>
            <rFont val="Tahoma"/>
            <family val="2"/>
          </rPr>
          <t xml:space="preserve">
Bad Dog</t>
        </r>
      </text>
    </comment>
    <comment ref="P79" authorId="0" shapeId="0" xr:uid="{6FC7CA25-BB93-40C0-ADB4-66B0F8580706}">
      <text>
        <r>
          <rPr>
            <b/>
            <sz val="9"/>
            <color indexed="81"/>
            <rFont val="Tahoma"/>
            <family val="2"/>
          </rPr>
          <t>Royd:</t>
        </r>
        <r>
          <rPr>
            <sz val="9"/>
            <color indexed="81"/>
            <rFont val="Tahoma"/>
            <family val="2"/>
          </rPr>
          <t xml:space="preserve">
YTD CASES</t>
        </r>
      </text>
    </comment>
    <comment ref="Q79" authorId="0" shapeId="0" xr:uid="{8ECF20CC-DC49-4585-B44B-D676E51D3949}">
      <text>
        <r>
          <rPr>
            <b/>
            <sz val="9"/>
            <color indexed="81"/>
            <rFont val="Tahoma"/>
            <family val="2"/>
          </rPr>
          <t>Royd:</t>
        </r>
        <r>
          <rPr>
            <sz val="9"/>
            <color indexed="81"/>
            <rFont val="Tahoma"/>
            <family val="2"/>
          </rPr>
          <t xml:space="preserve">
FILL TIME each month</t>
        </r>
      </text>
    </comment>
    <comment ref="P80" authorId="0" shapeId="0" xr:uid="{4DE5B766-E3AA-4FEF-BF7D-0317379BF0C6}">
      <text>
        <r>
          <rPr>
            <b/>
            <sz val="9"/>
            <color indexed="81"/>
            <rFont val="Tahoma"/>
            <family val="2"/>
          </rPr>
          <t>Royd:</t>
        </r>
        <r>
          <rPr>
            <sz val="9"/>
            <color indexed="81"/>
            <rFont val="Tahoma"/>
            <family val="2"/>
          </rPr>
          <t xml:space="preserve">
BBT Hls added each month</t>
        </r>
      </text>
    </comment>
    <comment ref="Q80" authorId="0" shapeId="0" xr:uid="{D6547B14-41A4-47FC-9233-FFB0F03FC3FC}">
      <text>
        <r>
          <rPr>
            <b/>
            <sz val="9"/>
            <color indexed="81"/>
            <rFont val="Tahoma"/>
            <family val="2"/>
          </rPr>
          <t>Royd:</t>
        </r>
        <r>
          <rPr>
            <sz val="9"/>
            <color indexed="81"/>
            <rFont val="Tahoma"/>
            <family val="2"/>
          </rPr>
          <t xml:space="preserve">
BOTTLED hlS each month</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Reshelle Fleming</author>
    <author>Royd</author>
  </authors>
  <commentList>
    <comment ref="D60" authorId="0" shapeId="0" xr:uid="{7439F8A3-1A28-4633-800B-B2E65820E96E}">
      <text>
        <r>
          <rPr>
            <b/>
            <sz val="9"/>
            <color indexed="81"/>
            <rFont val="Tahoma"/>
            <family val="2"/>
          </rPr>
          <t>Reshelle Fleming:</t>
        </r>
        <r>
          <rPr>
            <sz val="9"/>
            <color indexed="81"/>
            <rFont val="Tahoma"/>
            <family val="2"/>
          </rPr>
          <t xml:space="preserve">
CRAFT </t>
        </r>
      </text>
    </comment>
    <comment ref="D63" authorId="1" shapeId="0" xr:uid="{9BE40D93-FD46-48D5-B02F-FEEFDF2151C7}">
      <text>
        <r>
          <rPr>
            <b/>
            <sz val="9"/>
            <color indexed="81"/>
            <rFont val="Tahoma"/>
            <family val="2"/>
          </rPr>
          <t>Royd:</t>
        </r>
        <r>
          <rPr>
            <sz val="9"/>
            <color indexed="81"/>
            <rFont val="Tahoma"/>
            <family val="2"/>
          </rPr>
          <t xml:space="preserve">
Bad Dog</t>
        </r>
      </text>
    </comment>
    <comment ref="P78" authorId="1" shapeId="0" xr:uid="{6B64CCA3-ABAD-4B5E-9A5E-F05D69316164}">
      <text>
        <r>
          <rPr>
            <b/>
            <sz val="9"/>
            <color indexed="81"/>
            <rFont val="Tahoma"/>
            <family val="2"/>
          </rPr>
          <t>Royd:</t>
        </r>
        <r>
          <rPr>
            <sz val="9"/>
            <color indexed="81"/>
            <rFont val="Tahoma"/>
            <family val="2"/>
          </rPr>
          <t xml:space="preserve">
YTD CASES</t>
        </r>
      </text>
    </comment>
    <comment ref="Q78" authorId="1" shapeId="0" xr:uid="{3B49DEA6-B5F7-4671-B26C-31164BB6EB83}">
      <text>
        <r>
          <rPr>
            <b/>
            <sz val="9"/>
            <color indexed="81"/>
            <rFont val="Tahoma"/>
            <family val="2"/>
          </rPr>
          <t>Royd:</t>
        </r>
        <r>
          <rPr>
            <sz val="9"/>
            <color indexed="81"/>
            <rFont val="Tahoma"/>
            <family val="2"/>
          </rPr>
          <t xml:space="preserve">
FILL TIME each month</t>
        </r>
      </text>
    </comment>
    <comment ref="P79" authorId="1" shapeId="0" xr:uid="{3E7D81CE-11BA-4E07-9DE0-1B8CB424CE93}">
      <text>
        <r>
          <rPr>
            <b/>
            <sz val="9"/>
            <color indexed="81"/>
            <rFont val="Tahoma"/>
            <family val="2"/>
          </rPr>
          <t>Royd:</t>
        </r>
        <r>
          <rPr>
            <sz val="9"/>
            <color indexed="81"/>
            <rFont val="Tahoma"/>
            <family val="2"/>
          </rPr>
          <t xml:space="preserve">
BBT Hls added each month</t>
        </r>
      </text>
    </comment>
    <comment ref="Q79" authorId="1" shapeId="0" xr:uid="{F06A510C-F7CE-4FC8-AF00-2360DA1FA88C}">
      <text>
        <r>
          <rPr>
            <b/>
            <sz val="9"/>
            <color indexed="81"/>
            <rFont val="Tahoma"/>
            <family val="2"/>
          </rPr>
          <t>Royd:</t>
        </r>
        <r>
          <rPr>
            <sz val="9"/>
            <color indexed="81"/>
            <rFont val="Tahoma"/>
            <family val="2"/>
          </rPr>
          <t xml:space="preserve">
BOTTLED hlS each month</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royd gilbert</author>
    <author>Royd</author>
  </authors>
  <commentList>
    <comment ref="D232" authorId="0" shapeId="0" xr:uid="{1007D0ED-7B78-4329-A309-6FCC04C80E12}">
      <text>
        <r>
          <rPr>
            <b/>
            <sz val="9"/>
            <color indexed="81"/>
            <rFont val="Tahoma"/>
            <family val="2"/>
          </rPr>
          <t>royd gilbert:</t>
        </r>
        <r>
          <rPr>
            <sz val="9"/>
            <color indexed="81"/>
            <rFont val="Tahoma"/>
            <family val="2"/>
          </rPr>
          <t xml:space="preserve">
APPLE</t>
        </r>
      </text>
    </comment>
    <comment ref="F245" authorId="1" shapeId="0" xr:uid="{6F5C069A-5A02-476B-9F0E-8784214F5E41}">
      <text>
        <r>
          <rPr>
            <b/>
            <sz val="9"/>
            <color indexed="81"/>
            <rFont val="Tahoma"/>
            <family val="2"/>
          </rPr>
          <t>Royd:</t>
        </r>
        <r>
          <rPr>
            <sz val="9"/>
            <color indexed="81"/>
            <rFont val="Tahoma"/>
            <family val="2"/>
          </rPr>
          <t xml:space="preserve">
export- local flint-loca
</t>
        </r>
      </text>
    </comment>
    <comment ref="D255" authorId="1" shapeId="0" xr:uid="{90535C52-5D56-4B9F-83BE-40F27508A308}">
      <text>
        <r>
          <rPr>
            <b/>
            <sz val="9"/>
            <color indexed="81"/>
            <rFont val="Tahoma"/>
            <family val="2"/>
          </rPr>
          <t>Royd:</t>
        </r>
        <r>
          <rPr>
            <sz val="9"/>
            <color indexed="81"/>
            <rFont val="Tahoma"/>
            <family val="2"/>
          </rPr>
          <t xml:space="preserve">
cider production</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Royd</author>
  </authors>
  <commentList>
    <comment ref="D84" authorId="0" shapeId="0" xr:uid="{3132A7D2-2D72-4ADD-8BCB-55669B9A88D1}">
      <text>
        <r>
          <rPr>
            <b/>
            <sz val="9"/>
            <color indexed="81"/>
            <rFont val="Tahoma"/>
            <family val="2"/>
          </rPr>
          <t>Royd:</t>
        </r>
        <r>
          <rPr>
            <sz val="9"/>
            <color indexed="81"/>
            <rFont val="Tahoma"/>
            <family val="2"/>
          </rPr>
          <t xml:space="preserve">
Bad Dog</t>
        </r>
      </text>
    </comment>
    <comment ref="P99" authorId="0" shapeId="0" xr:uid="{1FEA158F-A958-443B-AF62-0D2B1F0B251B}">
      <text>
        <r>
          <rPr>
            <b/>
            <sz val="9"/>
            <color indexed="81"/>
            <rFont val="Tahoma"/>
            <family val="2"/>
          </rPr>
          <t>Royd:</t>
        </r>
        <r>
          <rPr>
            <sz val="9"/>
            <color indexed="81"/>
            <rFont val="Tahoma"/>
            <family val="2"/>
          </rPr>
          <t xml:space="preserve">
YTD CASES</t>
        </r>
      </text>
    </comment>
    <comment ref="Q99" authorId="0" shapeId="0" xr:uid="{213684DF-2164-4BC2-A842-999104128C5C}">
      <text>
        <r>
          <rPr>
            <b/>
            <sz val="9"/>
            <color indexed="81"/>
            <rFont val="Tahoma"/>
            <family val="2"/>
          </rPr>
          <t>Royd:</t>
        </r>
        <r>
          <rPr>
            <sz val="9"/>
            <color indexed="81"/>
            <rFont val="Tahoma"/>
            <family val="2"/>
          </rPr>
          <t xml:space="preserve">
FILL TIME each month</t>
        </r>
      </text>
    </comment>
    <comment ref="P100" authorId="0" shapeId="0" xr:uid="{CE8D5507-C202-4833-94F5-BB3FBE67FBE7}">
      <text>
        <r>
          <rPr>
            <b/>
            <sz val="9"/>
            <color indexed="81"/>
            <rFont val="Tahoma"/>
            <family val="2"/>
          </rPr>
          <t>Royd:</t>
        </r>
        <r>
          <rPr>
            <sz val="9"/>
            <color indexed="81"/>
            <rFont val="Tahoma"/>
            <family val="2"/>
          </rPr>
          <t xml:space="preserve">
BBT Hls added each month</t>
        </r>
      </text>
    </comment>
    <comment ref="Q100" authorId="0" shapeId="0" xr:uid="{464CDB06-DE2E-4CA5-83B5-58DB074DEEB9}">
      <text>
        <r>
          <rPr>
            <b/>
            <sz val="9"/>
            <color indexed="81"/>
            <rFont val="Tahoma"/>
            <family val="2"/>
          </rPr>
          <t>Royd:</t>
        </r>
        <r>
          <rPr>
            <sz val="9"/>
            <color indexed="81"/>
            <rFont val="Tahoma"/>
            <family val="2"/>
          </rPr>
          <t xml:space="preserve">
BOTTLED hlS each month</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Royd</author>
  </authors>
  <commentList>
    <comment ref="D78" authorId="0" shapeId="0" xr:uid="{E446F61A-4729-4A49-81B3-25BC7DD6C206}">
      <text>
        <r>
          <rPr>
            <b/>
            <sz val="9"/>
            <color indexed="81"/>
            <rFont val="Tahoma"/>
            <family val="2"/>
          </rPr>
          <t>Royd:</t>
        </r>
        <r>
          <rPr>
            <sz val="9"/>
            <color indexed="81"/>
            <rFont val="Tahoma"/>
            <family val="2"/>
          </rPr>
          <t xml:space="preserve">
Bad Dog</t>
        </r>
      </text>
    </comment>
    <comment ref="P93" authorId="0" shapeId="0" xr:uid="{DA0D7DE0-8E9A-4DA0-8187-36EADF3C8860}">
      <text>
        <r>
          <rPr>
            <b/>
            <sz val="9"/>
            <color indexed="81"/>
            <rFont val="Tahoma"/>
            <family val="2"/>
          </rPr>
          <t>Royd:</t>
        </r>
        <r>
          <rPr>
            <sz val="9"/>
            <color indexed="81"/>
            <rFont val="Tahoma"/>
            <family val="2"/>
          </rPr>
          <t xml:space="preserve">
YTD CASES</t>
        </r>
      </text>
    </comment>
    <comment ref="Q93" authorId="0" shapeId="0" xr:uid="{3A8D4EA4-83E5-4909-8378-9A27DC588ECA}">
      <text>
        <r>
          <rPr>
            <b/>
            <sz val="9"/>
            <color indexed="81"/>
            <rFont val="Tahoma"/>
            <family val="2"/>
          </rPr>
          <t>Royd:</t>
        </r>
        <r>
          <rPr>
            <sz val="9"/>
            <color indexed="81"/>
            <rFont val="Tahoma"/>
            <family val="2"/>
          </rPr>
          <t xml:space="preserve">
FILL TIME each month</t>
        </r>
      </text>
    </comment>
    <comment ref="P94" authorId="0" shapeId="0" xr:uid="{70FA3301-D82B-47C5-B841-A2E77ED797D3}">
      <text>
        <r>
          <rPr>
            <b/>
            <sz val="9"/>
            <color indexed="81"/>
            <rFont val="Tahoma"/>
            <family val="2"/>
          </rPr>
          <t>Royd:</t>
        </r>
        <r>
          <rPr>
            <sz val="9"/>
            <color indexed="81"/>
            <rFont val="Tahoma"/>
            <family val="2"/>
          </rPr>
          <t xml:space="preserve">
BBT Hls added each month</t>
        </r>
      </text>
    </comment>
    <comment ref="Q94" authorId="0" shapeId="0" xr:uid="{A49C17EC-DF85-4F5A-B43C-EE7989E70802}">
      <text>
        <r>
          <rPr>
            <b/>
            <sz val="9"/>
            <color indexed="81"/>
            <rFont val="Tahoma"/>
            <family val="2"/>
          </rPr>
          <t>Royd:</t>
        </r>
        <r>
          <rPr>
            <sz val="9"/>
            <color indexed="81"/>
            <rFont val="Tahoma"/>
            <family val="2"/>
          </rPr>
          <t xml:space="preserve">
BOTTLED hlS each month</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Royd</author>
  </authors>
  <commentList>
    <comment ref="D81" authorId="0" shapeId="0" xr:uid="{C5DF20F2-0BAD-4B1A-9B50-EA750A91622E}">
      <text>
        <r>
          <rPr>
            <b/>
            <sz val="9"/>
            <color indexed="81"/>
            <rFont val="Tahoma"/>
            <family val="2"/>
          </rPr>
          <t>Royd:</t>
        </r>
        <r>
          <rPr>
            <sz val="9"/>
            <color indexed="81"/>
            <rFont val="Tahoma"/>
            <family val="2"/>
          </rPr>
          <t xml:space="preserve">
Bad Dog</t>
        </r>
      </text>
    </comment>
    <comment ref="P89" authorId="0" shapeId="0" xr:uid="{5AD4B9B4-52C7-4953-B6BF-4B25004BAD04}">
      <text>
        <r>
          <rPr>
            <b/>
            <sz val="9"/>
            <color indexed="81"/>
            <rFont val="Tahoma"/>
            <family val="2"/>
          </rPr>
          <t>Royd:</t>
        </r>
        <r>
          <rPr>
            <sz val="9"/>
            <color indexed="81"/>
            <rFont val="Tahoma"/>
            <family val="2"/>
          </rPr>
          <t xml:space="preserve">
YTD CASES</t>
        </r>
      </text>
    </comment>
    <comment ref="Q89" authorId="0" shapeId="0" xr:uid="{E8D37524-29C7-413A-BD25-2FA34464FD96}">
      <text>
        <r>
          <rPr>
            <b/>
            <sz val="9"/>
            <color indexed="81"/>
            <rFont val="Tahoma"/>
            <family val="2"/>
          </rPr>
          <t>Royd:</t>
        </r>
        <r>
          <rPr>
            <sz val="9"/>
            <color indexed="81"/>
            <rFont val="Tahoma"/>
            <family val="2"/>
          </rPr>
          <t xml:space="preserve">
FILL TIME each month</t>
        </r>
      </text>
    </comment>
    <comment ref="P90" authorId="0" shapeId="0" xr:uid="{2276F19B-C6B0-404D-BF5F-DF74D625F686}">
      <text>
        <r>
          <rPr>
            <b/>
            <sz val="9"/>
            <color indexed="81"/>
            <rFont val="Tahoma"/>
            <family val="2"/>
          </rPr>
          <t>Royd:</t>
        </r>
        <r>
          <rPr>
            <sz val="9"/>
            <color indexed="81"/>
            <rFont val="Tahoma"/>
            <family val="2"/>
          </rPr>
          <t xml:space="preserve">
BBT Hls added each month</t>
        </r>
      </text>
    </comment>
    <comment ref="Q90" authorId="0" shapeId="0" xr:uid="{D36338EF-AC8C-41B5-97B7-A8C0E4012CCD}">
      <text>
        <r>
          <rPr>
            <b/>
            <sz val="9"/>
            <color indexed="81"/>
            <rFont val="Tahoma"/>
            <family val="2"/>
          </rPr>
          <t>Royd:</t>
        </r>
        <r>
          <rPr>
            <sz val="9"/>
            <color indexed="81"/>
            <rFont val="Tahoma"/>
            <family val="2"/>
          </rPr>
          <t xml:space="preserve">
BOTTLED hlS each month</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Royd</author>
  </authors>
  <commentList>
    <comment ref="D83" authorId="0" shapeId="0" xr:uid="{3F81C1B3-6AB6-4DB6-82EB-7C7BF3A55A3B}">
      <text>
        <r>
          <rPr>
            <b/>
            <sz val="9"/>
            <color indexed="81"/>
            <rFont val="Tahoma"/>
            <family val="2"/>
          </rPr>
          <t>Royd:</t>
        </r>
        <r>
          <rPr>
            <sz val="9"/>
            <color indexed="81"/>
            <rFont val="Tahoma"/>
            <family val="2"/>
          </rPr>
          <t xml:space="preserve">
Bad Dog</t>
        </r>
      </text>
    </comment>
    <comment ref="P91" authorId="0" shapeId="0" xr:uid="{E95F1575-40E9-491B-A9E1-4E474F0A8C26}">
      <text>
        <r>
          <rPr>
            <b/>
            <sz val="9"/>
            <color indexed="81"/>
            <rFont val="Tahoma"/>
            <family val="2"/>
          </rPr>
          <t>Royd:</t>
        </r>
        <r>
          <rPr>
            <sz val="9"/>
            <color indexed="81"/>
            <rFont val="Tahoma"/>
            <family val="2"/>
          </rPr>
          <t xml:space="preserve">
YTD CASES</t>
        </r>
      </text>
    </comment>
    <comment ref="Q91" authorId="0" shapeId="0" xr:uid="{C804562B-5C5B-48C0-8E46-433BF8F97174}">
      <text>
        <r>
          <rPr>
            <b/>
            <sz val="9"/>
            <color indexed="81"/>
            <rFont val="Tahoma"/>
            <family val="2"/>
          </rPr>
          <t>Royd:</t>
        </r>
        <r>
          <rPr>
            <sz val="9"/>
            <color indexed="81"/>
            <rFont val="Tahoma"/>
            <family val="2"/>
          </rPr>
          <t xml:space="preserve">
FILL TIME each month</t>
        </r>
      </text>
    </comment>
    <comment ref="P92" authorId="0" shapeId="0" xr:uid="{D792805C-6E4C-4024-9174-7D1D7B90946D}">
      <text>
        <r>
          <rPr>
            <b/>
            <sz val="9"/>
            <color indexed="81"/>
            <rFont val="Tahoma"/>
            <family val="2"/>
          </rPr>
          <t>Royd:</t>
        </r>
        <r>
          <rPr>
            <sz val="9"/>
            <color indexed="81"/>
            <rFont val="Tahoma"/>
            <family val="2"/>
          </rPr>
          <t xml:space="preserve">
BBT Hls added each month</t>
        </r>
      </text>
    </comment>
    <comment ref="Q92" authorId="0" shapeId="0" xr:uid="{52258F86-CE87-4BB9-9AC6-43930BA4D2C0}">
      <text>
        <r>
          <rPr>
            <b/>
            <sz val="9"/>
            <color indexed="81"/>
            <rFont val="Tahoma"/>
            <family val="2"/>
          </rPr>
          <t>Royd:</t>
        </r>
        <r>
          <rPr>
            <sz val="9"/>
            <color indexed="81"/>
            <rFont val="Tahoma"/>
            <family val="2"/>
          </rPr>
          <t xml:space="preserve">
BOTTLED hlS each month</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Royd</author>
  </authors>
  <commentList>
    <comment ref="D79" authorId="0" shapeId="0" xr:uid="{DA03443A-A60B-49DB-9853-3E5C0E38FE38}">
      <text>
        <r>
          <rPr>
            <b/>
            <sz val="9"/>
            <color indexed="81"/>
            <rFont val="Tahoma"/>
            <family val="2"/>
          </rPr>
          <t>Royd:</t>
        </r>
        <r>
          <rPr>
            <sz val="9"/>
            <color indexed="81"/>
            <rFont val="Tahoma"/>
            <family val="2"/>
          </rPr>
          <t xml:space="preserve">
Bad Dog</t>
        </r>
      </text>
    </comment>
    <comment ref="P89" authorId="0" shapeId="0" xr:uid="{CE61361D-A40B-4F00-8E45-0CA7B6EDB7C1}">
      <text>
        <r>
          <rPr>
            <b/>
            <sz val="9"/>
            <color indexed="81"/>
            <rFont val="Tahoma"/>
            <family val="2"/>
          </rPr>
          <t>Royd:</t>
        </r>
        <r>
          <rPr>
            <sz val="9"/>
            <color indexed="81"/>
            <rFont val="Tahoma"/>
            <family val="2"/>
          </rPr>
          <t xml:space="preserve">
YTD CASES</t>
        </r>
      </text>
    </comment>
    <comment ref="Q89" authorId="0" shapeId="0" xr:uid="{F69D190D-5DAD-4A8F-844D-A401F4F71C07}">
      <text>
        <r>
          <rPr>
            <b/>
            <sz val="9"/>
            <color indexed="81"/>
            <rFont val="Tahoma"/>
            <family val="2"/>
          </rPr>
          <t>Royd:</t>
        </r>
        <r>
          <rPr>
            <sz val="9"/>
            <color indexed="81"/>
            <rFont val="Tahoma"/>
            <family val="2"/>
          </rPr>
          <t xml:space="preserve">
FILL TIME each month</t>
        </r>
      </text>
    </comment>
    <comment ref="P90" authorId="0" shapeId="0" xr:uid="{5ABA3892-5737-45A4-921B-C509DC306429}">
      <text>
        <r>
          <rPr>
            <b/>
            <sz val="9"/>
            <color indexed="81"/>
            <rFont val="Tahoma"/>
            <family val="2"/>
          </rPr>
          <t>Royd:</t>
        </r>
        <r>
          <rPr>
            <sz val="9"/>
            <color indexed="81"/>
            <rFont val="Tahoma"/>
            <family val="2"/>
          </rPr>
          <t xml:space="preserve">
BBT Hls added each month</t>
        </r>
      </text>
    </comment>
    <comment ref="Q90" authorId="0" shapeId="0" xr:uid="{2902EA00-7A81-43B7-B96C-C09E06A77677}">
      <text>
        <r>
          <rPr>
            <b/>
            <sz val="9"/>
            <color indexed="81"/>
            <rFont val="Tahoma"/>
            <family val="2"/>
          </rPr>
          <t>Royd:</t>
        </r>
        <r>
          <rPr>
            <sz val="9"/>
            <color indexed="81"/>
            <rFont val="Tahoma"/>
            <family val="2"/>
          </rPr>
          <t xml:space="preserve">
BOTTLED hlS each month</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Royd</author>
  </authors>
  <commentList>
    <comment ref="D84" authorId="0" shapeId="0" xr:uid="{5119627D-1DEF-4460-96E4-372B251F9E83}">
      <text>
        <r>
          <rPr>
            <b/>
            <sz val="9"/>
            <color indexed="81"/>
            <rFont val="Tahoma"/>
            <family val="2"/>
          </rPr>
          <t>Royd:</t>
        </r>
        <r>
          <rPr>
            <sz val="9"/>
            <color indexed="81"/>
            <rFont val="Tahoma"/>
            <family val="2"/>
          </rPr>
          <t xml:space="preserve">
Bad Dog</t>
        </r>
      </text>
    </comment>
    <comment ref="P93" authorId="0" shapeId="0" xr:uid="{513B038B-3C3D-4C9C-82C8-4DB3F6C60961}">
      <text>
        <r>
          <rPr>
            <b/>
            <sz val="9"/>
            <color indexed="81"/>
            <rFont val="Tahoma"/>
            <family val="2"/>
          </rPr>
          <t>Royd:</t>
        </r>
        <r>
          <rPr>
            <sz val="9"/>
            <color indexed="81"/>
            <rFont val="Tahoma"/>
            <family val="2"/>
          </rPr>
          <t xml:space="preserve">
YTD CASES</t>
        </r>
      </text>
    </comment>
    <comment ref="Q93" authorId="0" shapeId="0" xr:uid="{E69D9A1F-F6E5-462E-9718-C31207395734}">
      <text>
        <r>
          <rPr>
            <b/>
            <sz val="9"/>
            <color indexed="81"/>
            <rFont val="Tahoma"/>
            <family val="2"/>
          </rPr>
          <t>Royd:</t>
        </r>
        <r>
          <rPr>
            <sz val="9"/>
            <color indexed="81"/>
            <rFont val="Tahoma"/>
            <family val="2"/>
          </rPr>
          <t xml:space="preserve">
FILL TIME each month</t>
        </r>
      </text>
    </comment>
    <comment ref="P94" authorId="0" shapeId="0" xr:uid="{7E39EEEF-EF03-4A29-9E53-44F7DFC5693C}">
      <text>
        <r>
          <rPr>
            <b/>
            <sz val="9"/>
            <color indexed="81"/>
            <rFont val="Tahoma"/>
            <family val="2"/>
          </rPr>
          <t>Royd:</t>
        </r>
        <r>
          <rPr>
            <sz val="9"/>
            <color indexed="81"/>
            <rFont val="Tahoma"/>
            <family val="2"/>
          </rPr>
          <t xml:space="preserve">
BBT Hls added each month</t>
        </r>
      </text>
    </comment>
    <comment ref="Q94" authorId="0" shapeId="0" xr:uid="{1252D5B0-65DB-420B-809D-E64E2369126E}">
      <text>
        <r>
          <rPr>
            <b/>
            <sz val="9"/>
            <color indexed="81"/>
            <rFont val="Tahoma"/>
            <family val="2"/>
          </rPr>
          <t>Royd:</t>
        </r>
        <r>
          <rPr>
            <sz val="9"/>
            <color indexed="81"/>
            <rFont val="Tahoma"/>
            <family val="2"/>
          </rPr>
          <t xml:space="preserve">
BOTTLED hlS each month</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David</author>
    <author>anthonyf</author>
  </authors>
  <commentList>
    <comment ref="P3" authorId="0" shapeId="0" xr:uid="{42446DE8-7184-4235-ABFC-63683F23B33F}">
      <text>
        <r>
          <rPr>
            <b/>
            <sz val="8"/>
            <color indexed="81"/>
            <rFont val="Tahoma"/>
            <family val="2"/>
          </rPr>
          <t>David:</t>
        </r>
        <r>
          <rPr>
            <sz val="8"/>
            <color indexed="81"/>
            <rFont val="Tahoma"/>
            <family val="2"/>
          </rPr>
          <t xml:space="preserve">
15400 bph @ 75% Efficiency = 480 c/s.</t>
        </r>
      </text>
    </comment>
    <comment ref="R3" authorId="1" shapeId="0" xr:uid="{98D31DB9-7048-4951-83D0-3D25CA523C3D}">
      <text>
        <r>
          <rPr>
            <b/>
            <sz val="8"/>
            <color indexed="81"/>
            <rFont val="Tahoma"/>
            <family val="2"/>
          </rPr>
          <t>anthonyf:</t>
        </r>
        <r>
          <rPr>
            <sz val="8"/>
            <color indexed="81"/>
            <rFont val="Tahoma"/>
            <family val="2"/>
          </rPr>
          <t xml:space="preserve">
calculated at 14400 bph</t>
        </r>
      </text>
    </comment>
    <comment ref="S3" authorId="1" shapeId="0" xr:uid="{99701BB8-1397-427D-8BEC-60C5F56EB3B1}">
      <text>
        <r>
          <rPr>
            <b/>
            <sz val="8"/>
            <color indexed="81"/>
            <rFont val="Tahoma"/>
            <family val="2"/>
          </rPr>
          <t>anthonyf:</t>
        </r>
        <r>
          <rPr>
            <sz val="8"/>
            <color indexed="81"/>
            <rFont val="Tahoma"/>
            <family val="2"/>
          </rPr>
          <t xml:space="preserve">
calculated at 15400 bph</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David</author>
    <author>anthonyf</author>
  </authors>
  <commentList>
    <comment ref="P3" authorId="0" shapeId="0" xr:uid="{109A26AF-969B-4886-9ADE-F760120EE2D4}">
      <text>
        <r>
          <rPr>
            <b/>
            <sz val="8"/>
            <color indexed="81"/>
            <rFont val="Tahoma"/>
            <family val="2"/>
          </rPr>
          <t>David:</t>
        </r>
        <r>
          <rPr>
            <sz val="8"/>
            <color indexed="81"/>
            <rFont val="Tahoma"/>
            <family val="2"/>
          </rPr>
          <t xml:space="preserve">
15400 bph @ 75% Efficiency = 480 c/s.</t>
        </r>
      </text>
    </comment>
    <comment ref="R3" authorId="1" shapeId="0" xr:uid="{C90C370D-0504-4822-8078-EDF1437A98F6}">
      <text>
        <r>
          <rPr>
            <b/>
            <sz val="8"/>
            <color indexed="81"/>
            <rFont val="Tahoma"/>
            <family val="2"/>
          </rPr>
          <t>anthonyf:</t>
        </r>
        <r>
          <rPr>
            <sz val="8"/>
            <color indexed="81"/>
            <rFont val="Tahoma"/>
            <family val="2"/>
          </rPr>
          <t xml:space="preserve">
calculated at 14400 bph</t>
        </r>
      </text>
    </comment>
    <comment ref="S3" authorId="1" shapeId="0" xr:uid="{43A0F67B-1776-4C63-B950-1147D298B213}">
      <text>
        <r>
          <rPr>
            <b/>
            <sz val="8"/>
            <color indexed="81"/>
            <rFont val="Tahoma"/>
            <family val="2"/>
          </rPr>
          <t>anthonyf:</t>
        </r>
        <r>
          <rPr>
            <sz val="8"/>
            <color indexed="81"/>
            <rFont val="Tahoma"/>
            <family val="2"/>
          </rPr>
          <t xml:space="preserve">
calculated at 15400 bph</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David</author>
    <author>anthonyf</author>
  </authors>
  <commentList>
    <comment ref="P3" authorId="0" shapeId="0" xr:uid="{BDFA4AB2-C1D8-4040-AAF5-2D076678FCEA}">
      <text>
        <r>
          <rPr>
            <b/>
            <sz val="8"/>
            <color indexed="81"/>
            <rFont val="Tahoma"/>
            <family val="2"/>
          </rPr>
          <t>David:</t>
        </r>
        <r>
          <rPr>
            <sz val="8"/>
            <color indexed="81"/>
            <rFont val="Tahoma"/>
            <family val="2"/>
          </rPr>
          <t xml:space="preserve">
15400 bph @ 75% Efficiency = 480 c/s.</t>
        </r>
      </text>
    </comment>
    <comment ref="R3" authorId="1" shapeId="0" xr:uid="{B00E47CC-CC5B-40A4-B424-95A17E4A4C2C}">
      <text>
        <r>
          <rPr>
            <b/>
            <sz val="8"/>
            <color indexed="81"/>
            <rFont val="Tahoma"/>
            <family val="2"/>
          </rPr>
          <t>anthonyf:</t>
        </r>
        <r>
          <rPr>
            <sz val="8"/>
            <color indexed="81"/>
            <rFont val="Tahoma"/>
            <family val="2"/>
          </rPr>
          <t xml:space="preserve">
calculated at 14400 bph</t>
        </r>
      </text>
    </comment>
    <comment ref="S3" authorId="1" shapeId="0" xr:uid="{EB926F3B-96EC-4587-B2CE-30B7D8925696}">
      <text>
        <r>
          <rPr>
            <b/>
            <sz val="8"/>
            <color indexed="81"/>
            <rFont val="Tahoma"/>
            <family val="2"/>
          </rPr>
          <t>anthonyf:</t>
        </r>
        <r>
          <rPr>
            <sz val="8"/>
            <color indexed="81"/>
            <rFont val="Tahoma"/>
            <family val="2"/>
          </rPr>
          <t xml:space="preserve">
calculated at 15400 bph</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David</author>
    <author>anthonyf</author>
  </authors>
  <commentList>
    <comment ref="P3" authorId="0" shapeId="0" xr:uid="{95D7EC17-2BD0-4218-BE26-0771D435C961}">
      <text>
        <r>
          <rPr>
            <b/>
            <sz val="8"/>
            <color indexed="81"/>
            <rFont val="Tahoma"/>
            <family val="2"/>
          </rPr>
          <t>David:</t>
        </r>
        <r>
          <rPr>
            <sz val="8"/>
            <color indexed="81"/>
            <rFont val="Tahoma"/>
            <family val="2"/>
          </rPr>
          <t xml:space="preserve">
15400 bph @ 75% Efficiency = 480 c/s.</t>
        </r>
      </text>
    </comment>
    <comment ref="R3" authorId="1" shapeId="0" xr:uid="{00BF92F6-61A5-4017-AF3D-A5F9C2E7CE43}">
      <text>
        <r>
          <rPr>
            <b/>
            <sz val="8"/>
            <color indexed="81"/>
            <rFont val="Tahoma"/>
            <family val="2"/>
          </rPr>
          <t>anthonyf:</t>
        </r>
        <r>
          <rPr>
            <sz val="8"/>
            <color indexed="81"/>
            <rFont val="Tahoma"/>
            <family val="2"/>
          </rPr>
          <t xml:space="preserve">
calculated at 14400 bph</t>
        </r>
      </text>
    </comment>
    <comment ref="S3" authorId="1" shapeId="0" xr:uid="{F9BE5E7B-EBE9-43E2-A712-EDA6EFD6BCD5}">
      <text>
        <r>
          <rPr>
            <b/>
            <sz val="8"/>
            <color indexed="81"/>
            <rFont val="Tahoma"/>
            <family val="2"/>
          </rPr>
          <t>anthonyf:</t>
        </r>
        <r>
          <rPr>
            <sz val="8"/>
            <color indexed="81"/>
            <rFont val="Tahoma"/>
            <family val="2"/>
          </rPr>
          <t xml:space="preserve">
calculated at 15400 bph</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David</author>
    <author>anthonyf</author>
  </authors>
  <commentList>
    <comment ref="Q3" authorId="0" shapeId="0" xr:uid="{B5D81D1E-23A7-4054-B0F5-9B0BB0588371}">
      <text>
        <r>
          <rPr>
            <b/>
            <sz val="8"/>
            <color indexed="81"/>
            <rFont val="Tahoma"/>
            <family val="2"/>
          </rPr>
          <t>David:</t>
        </r>
        <r>
          <rPr>
            <sz val="8"/>
            <color indexed="81"/>
            <rFont val="Tahoma"/>
            <family val="2"/>
          </rPr>
          <t xml:space="preserve">
15400 bph @ 75% Efficiency = 480 c/s.</t>
        </r>
      </text>
    </comment>
    <comment ref="S3" authorId="1" shapeId="0" xr:uid="{DD3B0A88-D0A8-472E-B2F1-B5E2BD236D7D}">
      <text>
        <r>
          <rPr>
            <b/>
            <sz val="8"/>
            <color indexed="81"/>
            <rFont val="Tahoma"/>
            <family val="2"/>
          </rPr>
          <t>anthonyf:</t>
        </r>
        <r>
          <rPr>
            <sz val="8"/>
            <color indexed="81"/>
            <rFont val="Tahoma"/>
            <family val="2"/>
          </rPr>
          <t xml:space="preserve">
calculated at 14400 bph</t>
        </r>
      </text>
    </comment>
    <comment ref="T3" authorId="1" shapeId="0" xr:uid="{E23C3AFD-AE89-42C0-BB8B-9626321FF1CC}">
      <text>
        <r>
          <rPr>
            <b/>
            <sz val="8"/>
            <color indexed="81"/>
            <rFont val="Tahoma"/>
            <family val="2"/>
          </rPr>
          <t>anthonyf:</t>
        </r>
        <r>
          <rPr>
            <sz val="8"/>
            <color indexed="81"/>
            <rFont val="Tahoma"/>
            <family val="2"/>
          </rPr>
          <t xml:space="preserve">
calculated at 15400 bph</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David</author>
    <author>anthonyf</author>
  </authors>
  <commentList>
    <comment ref="Q3" authorId="0" shapeId="0" xr:uid="{AEECE9E1-6146-4FE8-A495-C71A0067963F}">
      <text>
        <r>
          <rPr>
            <b/>
            <sz val="8"/>
            <color indexed="81"/>
            <rFont val="Tahoma"/>
            <family val="2"/>
          </rPr>
          <t>David:</t>
        </r>
        <r>
          <rPr>
            <sz val="8"/>
            <color indexed="81"/>
            <rFont val="Tahoma"/>
            <family val="2"/>
          </rPr>
          <t xml:space="preserve">
15400 bph @ 75% Efficiency = 480 c/s.</t>
        </r>
      </text>
    </comment>
    <comment ref="S3" authorId="1" shapeId="0" xr:uid="{F174CBB6-DC5C-4262-BEE5-97985F068FE2}">
      <text>
        <r>
          <rPr>
            <b/>
            <sz val="8"/>
            <color indexed="81"/>
            <rFont val="Tahoma"/>
            <family val="2"/>
          </rPr>
          <t>anthonyf:</t>
        </r>
        <r>
          <rPr>
            <sz val="8"/>
            <color indexed="81"/>
            <rFont val="Tahoma"/>
            <family val="2"/>
          </rPr>
          <t xml:space="preserve">
calculated at 14400 bph</t>
        </r>
      </text>
    </comment>
    <comment ref="T3" authorId="1" shapeId="0" xr:uid="{176C9FB4-C269-46F7-B698-8DB62472DA64}">
      <text>
        <r>
          <rPr>
            <b/>
            <sz val="8"/>
            <color indexed="81"/>
            <rFont val="Tahoma"/>
            <family val="2"/>
          </rPr>
          <t>anthonyf:</t>
        </r>
        <r>
          <rPr>
            <sz val="8"/>
            <color indexed="81"/>
            <rFont val="Tahoma"/>
            <family val="2"/>
          </rPr>
          <t xml:space="preserve">
calculated at 15400 bph</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David</author>
    <author>anthonyf</author>
  </authors>
  <commentList>
    <comment ref="Q3" authorId="0" shapeId="0" xr:uid="{1815772D-5382-49BB-91DD-A281A84AD01A}">
      <text>
        <r>
          <rPr>
            <b/>
            <sz val="8"/>
            <color indexed="81"/>
            <rFont val="Tahoma"/>
            <family val="2"/>
          </rPr>
          <t>David:</t>
        </r>
        <r>
          <rPr>
            <sz val="8"/>
            <color indexed="81"/>
            <rFont val="Tahoma"/>
            <family val="2"/>
          </rPr>
          <t xml:space="preserve">
15400 bph @ 75% Efficiency = 480 c/s.</t>
        </r>
      </text>
    </comment>
    <comment ref="S3" authorId="1" shapeId="0" xr:uid="{A0966E2A-031F-4A95-927A-E888F6C5E360}">
      <text>
        <r>
          <rPr>
            <b/>
            <sz val="8"/>
            <color indexed="81"/>
            <rFont val="Tahoma"/>
            <family val="2"/>
          </rPr>
          <t>anthonyf:</t>
        </r>
        <r>
          <rPr>
            <sz val="8"/>
            <color indexed="81"/>
            <rFont val="Tahoma"/>
            <family val="2"/>
          </rPr>
          <t xml:space="preserve">
calculated at 14400 bph</t>
        </r>
      </text>
    </comment>
    <comment ref="T3" authorId="1" shapeId="0" xr:uid="{E746AF0C-4F72-4A65-8B9E-09A66BF2226F}">
      <text>
        <r>
          <rPr>
            <b/>
            <sz val="8"/>
            <color indexed="81"/>
            <rFont val="Tahoma"/>
            <family val="2"/>
          </rPr>
          <t>anthonyf:</t>
        </r>
        <r>
          <rPr>
            <sz val="8"/>
            <color indexed="81"/>
            <rFont val="Tahoma"/>
            <family val="2"/>
          </rPr>
          <t xml:space="preserve">
calculated at 15400 bph</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David</author>
    <author>anthonyf</author>
  </authors>
  <commentList>
    <comment ref="Q3" authorId="0" shapeId="0" xr:uid="{3153BEBE-F303-4C99-92A0-E3B838C7B844}">
      <text>
        <r>
          <rPr>
            <b/>
            <sz val="8"/>
            <color indexed="81"/>
            <rFont val="Tahoma"/>
            <family val="2"/>
          </rPr>
          <t>David:</t>
        </r>
        <r>
          <rPr>
            <sz val="8"/>
            <color indexed="81"/>
            <rFont val="Tahoma"/>
            <family val="2"/>
          </rPr>
          <t xml:space="preserve">
15400 bph @ 75% Efficiency = 480 c/s.</t>
        </r>
      </text>
    </comment>
    <comment ref="S3" authorId="1" shapeId="0" xr:uid="{0589D359-890E-4E0A-9896-CA2DFE90F2AE}">
      <text>
        <r>
          <rPr>
            <b/>
            <sz val="8"/>
            <color indexed="81"/>
            <rFont val="Tahoma"/>
            <family val="2"/>
          </rPr>
          <t>anthonyf:</t>
        </r>
        <r>
          <rPr>
            <sz val="8"/>
            <color indexed="81"/>
            <rFont val="Tahoma"/>
            <family val="2"/>
          </rPr>
          <t xml:space="preserve">
calculated at 14400 bph</t>
        </r>
      </text>
    </comment>
    <comment ref="T3" authorId="1" shapeId="0" xr:uid="{9A1F6756-CA9C-4B7F-A723-CE9B720C4E78}">
      <text>
        <r>
          <rPr>
            <b/>
            <sz val="8"/>
            <color indexed="81"/>
            <rFont val="Tahoma"/>
            <family val="2"/>
          </rPr>
          <t>anthonyf:</t>
        </r>
        <r>
          <rPr>
            <sz val="8"/>
            <color indexed="81"/>
            <rFont val="Tahoma"/>
            <family val="2"/>
          </rPr>
          <t xml:space="preserve">
calculated at 15400 bph</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David</author>
    <author>anthonyf</author>
  </authors>
  <commentList>
    <comment ref="Q3" authorId="0" shapeId="0" xr:uid="{00B8A425-36A1-4E0D-B4EC-E2281B67D202}">
      <text>
        <r>
          <rPr>
            <b/>
            <sz val="8"/>
            <color indexed="81"/>
            <rFont val="Tahoma"/>
            <family val="2"/>
          </rPr>
          <t>David:</t>
        </r>
        <r>
          <rPr>
            <sz val="8"/>
            <color indexed="81"/>
            <rFont val="Tahoma"/>
            <family val="2"/>
          </rPr>
          <t xml:space="preserve">
15400 bph @ 75% Efficiency = 480 c/s.</t>
        </r>
      </text>
    </comment>
    <comment ref="S3" authorId="1" shapeId="0" xr:uid="{27E48C6C-AF8A-48E5-9990-22D04A4F87D4}">
      <text>
        <r>
          <rPr>
            <b/>
            <sz val="8"/>
            <color indexed="81"/>
            <rFont val="Tahoma"/>
            <family val="2"/>
          </rPr>
          <t>anthonyf:</t>
        </r>
        <r>
          <rPr>
            <sz val="8"/>
            <color indexed="81"/>
            <rFont val="Tahoma"/>
            <family val="2"/>
          </rPr>
          <t xml:space="preserve">
calculated at 14400 bph</t>
        </r>
      </text>
    </comment>
    <comment ref="T3" authorId="1" shapeId="0" xr:uid="{DDEA3F83-498A-400E-B69A-1C0A2DA0315E}">
      <text>
        <r>
          <rPr>
            <b/>
            <sz val="8"/>
            <color indexed="81"/>
            <rFont val="Tahoma"/>
            <family val="2"/>
          </rPr>
          <t>anthonyf:</t>
        </r>
        <r>
          <rPr>
            <sz val="8"/>
            <color indexed="81"/>
            <rFont val="Tahoma"/>
            <family val="2"/>
          </rPr>
          <t xml:space="preserve">
calculated at 15400 bph</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David</author>
    <author>anthonyf</author>
  </authors>
  <commentList>
    <comment ref="Q3" authorId="0" shapeId="0" xr:uid="{B29FA362-26C9-49EB-8E33-E21BB9C0C92C}">
      <text>
        <r>
          <rPr>
            <b/>
            <sz val="8"/>
            <color indexed="81"/>
            <rFont val="Tahoma"/>
            <family val="2"/>
          </rPr>
          <t>David:</t>
        </r>
        <r>
          <rPr>
            <sz val="8"/>
            <color indexed="81"/>
            <rFont val="Tahoma"/>
            <family val="2"/>
          </rPr>
          <t xml:space="preserve">
15400 bph @ 75% Efficiency = 480 c/s.</t>
        </r>
      </text>
    </comment>
    <comment ref="S3" authorId="1" shapeId="0" xr:uid="{186D4C39-B069-4AFB-9688-60BC0C614C3C}">
      <text>
        <r>
          <rPr>
            <b/>
            <sz val="8"/>
            <color indexed="81"/>
            <rFont val="Tahoma"/>
            <family val="2"/>
          </rPr>
          <t>anthonyf:</t>
        </r>
        <r>
          <rPr>
            <sz val="8"/>
            <color indexed="81"/>
            <rFont val="Tahoma"/>
            <family val="2"/>
          </rPr>
          <t xml:space="preserve">
calculated at 14400 bph</t>
        </r>
      </text>
    </comment>
    <comment ref="T3" authorId="1" shapeId="0" xr:uid="{6A530A11-6B62-40EB-8F54-391555FBDEF5}">
      <text>
        <r>
          <rPr>
            <b/>
            <sz val="8"/>
            <color indexed="81"/>
            <rFont val="Tahoma"/>
            <family val="2"/>
          </rPr>
          <t>anthonyf:</t>
        </r>
        <r>
          <rPr>
            <sz val="8"/>
            <color indexed="81"/>
            <rFont val="Tahoma"/>
            <family val="2"/>
          </rPr>
          <t xml:space="preserve">
calculated at 15400 bph</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David</author>
    <author>anthonyf</author>
  </authors>
  <commentList>
    <comment ref="Q3" authorId="0" shapeId="0" xr:uid="{854347DF-2195-48D7-883A-004A35CC3181}">
      <text>
        <r>
          <rPr>
            <b/>
            <sz val="8"/>
            <color indexed="81"/>
            <rFont val="Tahoma"/>
            <family val="2"/>
          </rPr>
          <t>David:</t>
        </r>
        <r>
          <rPr>
            <sz val="8"/>
            <color indexed="81"/>
            <rFont val="Tahoma"/>
            <family val="2"/>
          </rPr>
          <t xml:space="preserve">
15400 bph @ 75% Efficiency = 480 c/s.</t>
        </r>
      </text>
    </comment>
    <comment ref="S3" authorId="1" shapeId="0" xr:uid="{60EA6D01-D127-4FE0-9BEF-AC7486306920}">
      <text>
        <r>
          <rPr>
            <b/>
            <sz val="8"/>
            <color indexed="81"/>
            <rFont val="Tahoma"/>
            <family val="2"/>
          </rPr>
          <t>anthonyf:</t>
        </r>
        <r>
          <rPr>
            <sz val="8"/>
            <color indexed="81"/>
            <rFont val="Tahoma"/>
            <family val="2"/>
          </rPr>
          <t xml:space="preserve">
calculated at 14400 bph</t>
        </r>
      </text>
    </comment>
    <comment ref="T3" authorId="1" shapeId="0" xr:uid="{046DEB1E-CB86-462F-AD20-1EE096F99950}">
      <text>
        <r>
          <rPr>
            <b/>
            <sz val="8"/>
            <color indexed="81"/>
            <rFont val="Tahoma"/>
            <family val="2"/>
          </rPr>
          <t>anthonyf:</t>
        </r>
        <r>
          <rPr>
            <sz val="8"/>
            <color indexed="81"/>
            <rFont val="Tahoma"/>
            <family val="2"/>
          </rPr>
          <t xml:space="preserve">
calculated at 15400 bph</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David</author>
    <author>anthonyf</author>
  </authors>
  <commentList>
    <comment ref="Q3" authorId="0" shapeId="0" xr:uid="{1D72CEA1-C08C-4DE8-89BB-A4EA7A2BEDA9}">
      <text>
        <r>
          <rPr>
            <b/>
            <sz val="8"/>
            <color indexed="81"/>
            <rFont val="Tahoma"/>
            <family val="2"/>
          </rPr>
          <t>David:</t>
        </r>
        <r>
          <rPr>
            <sz val="8"/>
            <color indexed="81"/>
            <rFont val="Tahoma"/>
            <family val="2"/>
          </rPr>
          <t xml:space="preserve">
15400 bph @ 75% Efficiency = 480 c/s.</t>
        </r>
      </text>
    </comment>
    <comment ref="S3" authorId="1" shapeId="0" xr:uid="{4018BB61-90CE-4BB9-A695-5C2E8E6091FB}">
      <text>
        <r>
          <rPr>
            <b/>
            <sz val="8"/>
            <color indexed="81"/>
            <rFont val="Tahoma"/>
            <family val="2"/>
          </rPr>
          <t>anthonyf:</t>
        </r>
        <r>
          <rPr>
            <sz val="8"/>
            <color indexed="81"/>
            <rFont val="Tahoma"/>
            <family val="2"/>
          </rPr>
          <t xml:space="preserve">
calculated at 14400 bph</t>
        </r>
      </text>
    </comment>
    <comment ref="T3" authorId="1" shapeId="0" xr:uid="{55A7E8D2-4C36-4ACC-8D6C-05CA1D6F1AD3}">
      <text>
        <r>
          <rPr>
            <b/>
            <sz val="8"/>
            <color indexed="81"/>
            <rFont val="Tahoma"/>
            <family val="2"/>
          </rPr>
          <t>anthonyf:</t>
        </r>
        <r>
          <rPr>
            <sz val="8"/>
            <color indexed="81"/>
            <rFont val="Tahoma"/>
            <family val="2"/>
          </rPr>
          <t xml:space="preserve">
calculated at 15400 bph</t>
        </r>
      </text>
    </comment>
  </commentList>
</comments>
</file>

<file path=xl/sharedStrings.xml><?xml version="1.0" encoding="utf-8"?>
<sst xmlns="http://schemas.openxmlformats.org/spreadsheetml/2006/main" count="4598" uniqueCount="1332">
  <si>
    <t>Date</t>
  </si>
  <si>
    <t>Comments</t>
  </si>
  <si>
    <t>Product Bottled</t>
  </si>
  <si>
    <t>MTD</t>
  </si>
  <si>
    <t>Fill Time Mins</t>
  </si>
  <si>
    <t>No.of Rejects</t>
  </si>
  <si>
    <t>Percent Re-works</t>
  </si>
  <si>
    <t>GBL   Plant Utilization</t>
  </si>
  <si>
    <t>Reworks Cases</t>
  </si>
  <si>
    <t>Cases bottled</t>
  </si>
  <si>
    <t>Down  Time Mins</t>
  </si>
  <si>
    <t>Filler Start Time</t>
  </si>
  <si>
    <t>Planned Production Cases</t>
  </si>
  <si>
    <r>
      <t>Line Rated Efficiency (</t>
    </r>
    <r>
      <rPr>
        <b/>
        <u/>
        <sz val="10"/>
        <rFont val="Times New Roman"/>
        <family val="1"/>
      </rPr>
      <t>15400 75</t>
    </r>
    <r>
      <rPr>
        <b/>
        <sz val="10"/>
        <rFont val="Times New Roman"/>
        <family val="1"/>
      </rPr>
      <t>%)</t>
    </r>
  </si>
  <si>
    <t>Product</t>
  </si>
  <si>
    <t>BBT Hls</t>
  </si>
  <si>
    <t>Loss</t>
  </si>
  <si>
    <t>Bott Hls</t>
  </si>
  <si>
    <t>Malts</t>
  </si>
  <si>
    <t>Category</t>
  </si>
  <si>
    <t>Lagers</t>
  </si>
  <si>
    <t>Stouts</t>
  </si>
  <si>
    <t>Total</t>
  </si>
  <si>
    <t>Cases</t>
  </si>
  <si>
    <t>Fill Time</t>
  </si>
  <si>
    <t>Juicy Cool</t>
  </si>
  <si>
    <t>SH/GS/TN</t>
  </si>
  <si>
    <t>STAG</t>
  </si>
  <si>
    <t>MAXIMALT</t>
  </si>
  <si>
    <t>CARIB (AMBER)</t>
  </si>
  <si>
    <t>GUINNESS</t>
  </si>
  <si>
    <t>VITAMALT</t>
  </si>
  <si>
    <t>CARIB (FLINT)</t>
  </si>
  <si>
    <t>MACKESON</t>
  </si>
  <si>
    <t>Cases on hold</t>
  </si>
  <si>
    <t>Montly Budget</t>
  </si>
  <si>
    <t>YTD Cases</t>
  </si>
  <si>
    <t>YTD Budget</t>
  </si>
  <si>
    <t>Current Cases</t>
  </si>
  <si>
    <t>Percent Bottled</t>
  </si>
  <si>
    <t>Days Left</t>
  </si>
  <si>
    <t>Cases Remaing</t>
  </si>
  <si>
    <t>STARMALT</t>
  </si>
  <si>
    <t>Cases Per hour (462)</t>
  </si>
  <si>
    <t>SHANDY GINGER</t>
  </si>
  <si>
    <t>TING</t>
  </si>
  <si>
    <t>SHANDY LIME</t>
  </si>
  <si>
    <r>
      <t>Line Rated Efficiency (</t>
    </r>
    <r>
      <rPr>
        <b/>
        <u/>
        <sz val="12"/>
        <rFont val="Times New Roman"/>
        <family val="1"/>
      </rPr>
      <t xml:space="preserve">15000 </t>
    </r>
    <r>
      <rPr>
        <b/>
        <sz val="12"/>
        <rFont val="Times New Roman"/>
        <family val="1"/>
      </rPr>
      <t>74%)</t>
    </r>
  </si>
  <si>
    <t xml:space="preserve">  </t>
  </si>
  <si>
    <t>SHANDY (LIME)</t>
  </si>
  <si>
    <t>SHANDY (GINGER)</t>
  </si>
  <si>
    <t>GINSENG</t>
  </si>
  <si>
    <t>Daily Bottling Hall Summary 2016</t>
  </si>
  <si>
    <t>63mins Low air pressure on the Filler. 12mins Labeler downtime due to an issue with the coder. 6mins spent cleaning the Fobber.</t>
  </si>
  <si>
    <t>16mins stoppage because a conveyer line behind the Pasteurizer came off. An additional 7mins downtime to fix the conveyer ex. Washer. 14mins downtime due to damaged crowns</t>
  </si>
  <si>
    <r>
      <t>Bottling Loss (</t>
    </r>
    <r>
      <rPr>
        <b/>
        <u/>
        <sz val="12"/>
        <color indexed="8"/>
        <rFont val="Times New Roman"/>
        <family val="1"/>
      </rPr>
      <t>1.1</t>
    </r>
    <r>
      <rPr>
        <b/>
        <sz val="12"/>
        <color indexed="8"/>
        <rFont val="Times New Roman"/>
        <family val="1"/>
      </rPr>
      <t>%)</t>
    </r>
  </si>
  <si>
    <t>38mins Labeler adjusments for neck labels. 19mins Pasteurizer downtime due to low temperatures; 51mins change-over &amp; 19mins downtime for Packer adjustments.</t>
  </si>
  <si>
    <t>36mins change-over downtime.30mins lost due to a damaged belt on the compressor in the soft drink plant. 13mins stoppage due to missing body labels &amp; 4mins for damaged crowns.</t>
  </si>
  <si>
    <t>24mins cleaning the Fobber. 4mins adjusting the Videojet &amp; 4mins low air pressure on the Filler.</t>
  </si>
  <si>
    <t>110mins late start-up due to low steam on the Washer because Boiler pressure was under 8 bars. Also 22mins downtime due to methylene blue on the Washer</t>
  </si>
  <si>
    <t>26mins change-over downtime &amp; 6mins low temperature on the Pasteurizer.</t>
  </si>
  <si>
    <t>33mins Packer downtime due to damaged fingers. 16mins Filler downtime caused by damaged crowns. And 10mins product delay to the filling bowl.</t>
  </si>
  <si>
    <t>62mins total Washer downtime to adjust the main motor &amp; fix jammed fingers at the load end. Also 29mins low air pressure on the Filler; 15mins for damaged crowns &amp; 11mins due to high EBI rejection.</t>
  </si>
  <si>
    <t>50mins late start-up due to caustic carry-over &amp; 45mins lost after start-up. The label extractor chain on the Washer was also displaced resulting in 23mins downtime. 16mins due to damaged crowns &amp; 13mins labeler adjustments.</t>
  </si>
  <si>
    <t>49mins late start-up due to low steam on the Washer; the steam valve had to be fixed. The beer pump seal was also changed &amp; contributed 51mins downtime. Damaged crowns contributed 17mins downtime.</t>
  </si>
  <si>
    <t>38mins Labeler adjustments for body labels. 15mins stoppage due to damaged crowns &amp; 6mins caused by the crown chute sensor malfunction. 6mins low air.</t>
  </si>
  <si>
    <t>70mins downtime due to a malfunctioning sensor on the Filler which also caused 50c/s of 1/2 fills. 26mins due to damaged crowns &amp; 14mins to adjust the hydraulics on the Pasteurizer.</t>
  </si>
  <si>
    <t>21mins Labeler downtime to fix a broken hose. 4mins low air pressure on the Filler &amp; 6mins stoppage due to damaged crowns.</t>
  </si>
  <si>
    <t>29mins EBI downtime due to a tripped breaker &amp; a PLC communication fault. Replacing a bolt on a partition on the Washer contributed 9mins &amp; there only 3mins downtime due to damaged crowns. 13mins late start-up due to short bottles been loaded.</t>
  </si>
  <si>
    <t>103mins downtime waiting on product to be filtered. Change-over downtime was 12mins. 23mins cleaning the Fobber.</t>
  </si>
  <si>
    <t>3mins downtime due to damaged crowns; 4mins low air pressure on the Filler &amp; 7mins to put back a roller infront the Washer.</t>
  </si>
  <si>
    <t>57mins downtime for repairs on the Packer accumilation table; the guide was broken. 4mins lost due to damaged crowns.</t>
  </si>
  <si>
    <t>59mins downtime to repair the conveyer line ex. EBI. 14mins lost due to adjustments for Maximalt bottle Labels. Change-over downtime was 48mins.</t>
  </si>
  <si>
    <t>100mins downtime due to broken guide on the conveyor before the Packer. 11mins downtime due to damaged crowns.</t>
  </si>
  <si>
    <t>SHANDY (SORREL)</t>
  </si>
  <si>
    <t>9mins downtime due to faulty Labeler switch.</t>
  </si>
  <si>
    <t>55mins downtime due to adjustments to the Shandy Ginger product &amp; 101mins change-over downtime.</t>
  </si>
  <si>
    <t>57mins downtime due to low air pressure on the Filler. Neck label adjustments contributed 34mins downtime &amp; change-over downtime was 38mins.</t>
  </si>
  <si>
    <t>22mins late start-up due to caustic carry-over. 21mins Labeler downtime to adjust the glue scraper. 15mins waiting for CO2 to push up product to end filling. Adjustments to the sealer contributed 19mins.</t>
  </si>
  <si>
    <t>12mins downtime due to damaged crowns &amp; 4mins stoppage caused by low air pressure on the Filler.</t>
  </si>
  <si>
    <t>40mins Labeler downtime due to adjustments for misaligned neck &amp; body labels, &amp; twisted back labels. Damaged crowns contributed 14mins downtime &amp; 12mins stoppage due to a chain coming of a sprocket ex. Pasteurizer.</t>
  </si>
  <si>
    <t>12mins downtime due to damaged crowns &amp; 15mins stoppage because the Filler overheated while also waiting on the Palletizer. 14mins Labeler adjustments &amp; 6mins low air pressure.</t>
  </si>
  <si>
    <t>28mins low air pressure on the Filler. Damaged crowns contirbuted 13mins downtime &amp; a crown transfer sensor malfunction contributed 6mins downtime. Change-over was done in 35mins &amp; adjustments for Ting body labels was 10mins.</t>
  </si>
  <si>
    <t>16mins stoppage due to damaged crowns stick in the chute/hopper. 12mins downtime for Uncaser adjustments. 20mins late start due to a damaged centering cup clip on the Filler.</t>
  </si>
  <si>
    <t>31mins caustic carry-over on the Washer. 16mins downtime due to damaged crowns. 11mins Labeler adjustments &amp; 8mins stoppage on the Uncaser.</t>
  </si>
  <si>
    <t>21mins late start-up due to low steam on the Washer. 20mins stoppage due to damaged crowns &amp; 9mins to put on tube valve #9. EBI malfunction contributed 15mins downtime. 12mins Packer downtime for change-over &amp; fallen bottles.</t>
  </si>
  <si>
    <t>25mins downtime for damaged crowns. Damaged cups &amp; hose contributed 23mins stoppage on the Packer. Also 10mins low air pressure on the Filler.</t>
  </si>
  <si>
    <t>15mins downtime to replace damaged suction cups on the Packer &amp; 6mins adjusting the shuffler. Also 10mins waiting on the palletizer. Damaged crowns contributed 16mins downtime. Change-over took 10mins.</t>
  </si>
  <si>
    <t>CREAM SODA</t>
  </si>
  <si>
    <t>KOLA</t>
  </si>
  <si>
    <t>CLUB SODA</t>
  </si>
  <si>
    <t>78mins late start-up due to Uncaser issues with the Pepsi crates. Change-over downtime was 32mins &amp; 30mins. A further 81mins downtime was due to a broken chain on the conveyer line to the Packer. Bottles were packed by hand.</t>
  </si>
  <si>
    <r>
      <t>2mins downtime due to damaged crowns &amp; 22mins low air pressure on the Filler. 83mins lost due to Labeler adjustments</t>
    </r>
    <r>
      <rPr>
        <i/>
        <sz val="12.5"/>
        <color indexed="8"/>
        <rFont val="Arial"/>
        <family val="2"/>
      </rPr>
      <t xml:space="preserve"> (51 consecutive mins.)</t>
    </r>
    <r>
      <rPr>
        <sz val="12.5"/>
        <color indexed="8"/>
        <rFont val="Arial"/>
        <family val="2"/>
      </rPr>
      <t>. Adjustments to the Packer contributed 46mins downtime.</t>
    </r>
  </si>
  <si>
    <t xml:space="preserve">49mins Labeler downtime due to missing neck labels &amp; repair of the tension shaft on the magazine. 8mins downtime for damaged crowns &amp; 9mins low air pressure on the Filler. </t>
  </si>
  <si>
    <r>
      <t>Line Rated Efficiency (</t>
    </r>
    <r>
      <rPr>
        <b/>
        <u/>
        <sz val="12"/>
        <rFont val="Times New Roman"/>
        <family val="1"/>
      </rPr>
      <t xml:space="preserve">15300 </t>
    </r>
    <r>
      <rPr>
        <b/>
        <sz val="12"/>
        <rFont val="Times New Roman"/>
        <family val="1"/>
      </rPr>
      <t>74%)</t>
    </r>
  </si>
  <si>
    <t>42mins late start due to a broken sprocket on the Washer load table. 28mins low air pressure &amp; 5mins downtime for damaged crowns. 37mins product delay.</t>
  </si>
  <si>
    <t>47mins change-over. There was also 21mins low air pressure &amp; 8mins downtime due to damaged crowns.</t>
  </si>
  <si>
    <t>22mins low air pressure on the Filler &amp; 24mins Washer downtime. 13mins due to damaged crowns.</t>
  </si>
  <si>
    <t>40mins Change-over; 6mins for Uncaser repair; &amp; 6mins to change the Videojet date.</t>
  </si>
  <si>
    <t>73mins downtime for Washer repairs because a partition broke on the discharge end. 4mins stoppage due to damaged crowns.</t>
  </si>
  <si>
    <t>70mins late start-up due to a damaged gasket on the Pasteurizer. 52mins low air on the Filler &amp; 28mins caustic carry-over on the Washer. Labeler downtime for adjustments was 28mins &amp; damaged crowns contributed 8mins downtime.</t>
  </si>
  <si>
    <t>68mins downtime due to low air pressure on the Filler. 6mins stoppage for damaged crowns &amp; 6mins low water pressure on the Washer.</t>
  </si>
  <si>
    <t>12mins downtime due to damaged crowns sticking in the chute. 21mins downtime due to adjustments on the Packer &amp; 8mins Labeler adjustments.</t>
  </si>
  <si>
    <t>40mins late start due to a jam on the Label extractor. 5mins downtime for damaged crowns.</t>
  </si>
  <si>
    <t>6mins downtime due to damaged crowns &amp; 15mins stoppage because of a problem with the Washer wear strip. 29mins Washer downtime &amp; 6mins caustic carry-over.</t>
  </si>
  <si>
    <t>108mins downtime due to low air pressure on the Filler. Adjustments to the bottle guide on the Washer lasted 74mins &amp; valve #30 on the Filler took 18mins to be repaired. Damaged crowns contributed 6mins downtime.</t>
  </si>
  <si>
    <t>34mins downtime for low air pressure on the Filler. 6mins downtime due to damaged crowns.</t>
  </si>
  <si>
    <t>BAD DOG</t>
  </si>
  <si>
    <t>48mins downtime due to low air pressure on the Filler. 40mins downtime due to low water pressure. Also 17mins due to a PLC communication fault &amp; 11mins Labeler downtime for missing neck labels. Damaged crowns contirbuted 8mins downtime.</t>
  </si>
  <si>
    <t>130mins late start-up due to caustic carry-over on the Washer &amp; a further 20mins after start-up. Adjustments @ the Washer load table also contributed 64mins downtime. 12mins for damaged crowns; 5mins low air pressure &amp; 7mins low PU.</t>
  </si>
  <si>
    <t xml:space="preserve">31mins Washer downtime for adjustments &amp; 14mins Videojet adjusmtents. </t>
  </si>
  <si>
    <t>123mins Labeler downtime due to the glue pump tripping off; gripper cylinder adjustments; torn glue hose &amp; missing labels. 59mins low air pressure; 23mins Packer adjustments of the crate stop plunger; 24mins low PU due to a missing nozzle &amp; 14mins caustic carry-over. Also 5mins PLC communication fault on the Filler.</t>
  </si>
  <si>
    <t xml:space="preserve">73mins low air pressure &amp; 31mins Labeler adjustments (new Carib labels). 15mins caustic carry-over &amp; 5mins Pasteurizer downtime due to hydraulic issues. </t>
  </si>
  <si>
    <t>12mins low air pressure on the Filler. 10mins Labeler adjustments for missing labels &amp; 9mins downtime due to damaged crowns. Also 8mins low PU.</t>
  </si>
  <si>
    <t>19mins Labeler adjusments for missing labels &amp; 16mins low air pressure on the Filler. 14mins downtime for low PU &amp; 8mins due to the sensor behind the Pasteurizer being bocked. Damaged crowns contributed 12mins downtime.</t>
  </si>
  <si>
    <t>115mins late start to repair filling valve #30 on the Filler. 40mins low air pressure on the Filler. 8mins due to damaged crowns. change-over downtime. 15mins caustic carry-over &amp; 22mins downtime for EBI PLC communication fault. 29mins Packer adjustments from Flint to Amber.</t>
  </si>
  <si>
    <t>36mins downtime to fix tape on the sealer &amp; bad sealing because the palletizer was too slow. 32mins Packer downtime to switch from cartons to crates; a blocked sensor &amp; adjustments for slow packing. Also 27mins low air pressure; 8mins to clean the Fobber &amp; 7mins for damaged crowns.</t>
  </si>
  <si>
    <r>
      <t xml:space="preserve">72mins downtime due to a broken guide for the shuffler on the Packer. 22mins low air pressure on the Filler </t>
    </r>
    <r>
      <rPr>
        <i/>
        <sz val="12.5"/>
        <color indexed="8"/>
        <rFont val="Arial"/>
        <family val="2"/>
      </rPr>
      <t>(20mins just after start-up) &amp; 8mins for damaged crowns.</t>
    </r>
  </si>
  <si>
    <t>24mins low air pressure on the Filler. 15mins stoppages due to damaged crowns &amp; 9mins downtime for Videojet adjustments.</t>
  </si>
  <si>
    <t>10mins downtime due to damaged crowns &amp; 8mins Pasteurizer downtime due to bottle jams. Also 4mins low air pressure on the Filler.</t>
  </si>
  <si>
    <t>33mins late start due to work done on the Pasteurizer main door. 61mins low air pressure on the Filler.</t>
  </si>
  <si>
    <t>20mins change-over downtime &amp; 10mins lost due to damaged crowns. Low air pressure on the Filler contributed 27mins downtime.</t>
  </si>
  <si>
    <t>20mins downtime due to damaged crowns &amp; 21mins low air pressure on the Filler.</t>
  </si>
  <si>
    <t>35mins change-over. 85mins Labeler downtime for adjustments &amp; 31mins due to low air pressure on the Filler. 4mins for damaged crowns.</t>
  </si>
  <si>
    <t>Ale</t>
  </si>
  <si>
    <t>24mins downtime to clean the Fobber &amp; 22mins downtime due to damaged crowns. 8mins low air pressure on the Filler &amp; 7mins stoppage due to wrong bottle type loaded.</t>
  </si>
  <si>
    <t>51mins low air pressure on the Filler. 15mins Labeler adjustments &amp; 9mins downtime because the Filler had to restart due to a power failure.</t>
  </si>
  <si>
    <r>
      <t xml:space="preserve">74mins low air pressure on the Filler </t>
    </r>
    <r>
      <rPr>
        <i/>
        <sz val="12.5"/>
        <color indexed="8"/>
        <rFont val="Arial"/>
        <family val="2"/>
      </rPr>
      <t xml:space="preserve">(mostly between 9:00am &amp; 11:00am). </t>
    </r>
    <r>
      <rPr>
        <sz val="12.5"/>
        <color indexed="8"/>
        <rFont val="Arial"/>
        <family val="2"/>
      </rPr>
      <t>23mins downtime due to damaged crowns sticking chute &amp; hopper. 5mins to adjustment the sensor on the crown bin.</t>
    </r>
  </si>
  <si>
    <t>17mins due to damaged crowns sticking in the bin &amp; chute. The Filler also shut down for 7mins. 10mins Labeler downtime due to missing neck labels &amp; 7mins downtime to change suctions cups on the Pakcer. 5mins low air pressure on the Filler &amp; 5mins product delay.</t>
  </si>
  <si>
    <t>40mins downtime due to an operator error from filtration where by Shandy Lime was accidentally blended with Carib. 3 mins downtime due to damaged crowns.</t>
  </si>
  <si>
    <t>The change-over took 22mins. Videojet date adjustments took 11mins &amp; 6mins downtime were contributed by damaged crowns. No low air pressure issues reported.</t>
  </si>
  <si>
    <t>SHANDY SORREL</t>
  </si>
  <si>
    <t>108mins downtime Labeler downtime due to flagging neck labels. 12mins downtime due to damaged crowns &amp; 5mins waiting on CO2 to push up product.</t>
  </si>
  <si>
    <t>111mins Change-over downtime. 28mins lost while replacing a broken air hose on the Labeler. No low air pressure issues recorded.</t>
  </si>
  <si>
    <t>39mins downtime due to low air pressure &amp; 9mins due to damaged crowns.</t>
  </si>
  <si>
    <t>37mins downtime due to low pressure on the Filler. 13mins downtime for damaged crowns; 5mins uncaser adjustments &amp; 4mins low CO2 on the Filler.</t>
  </si>
  <si>
    <t>62mins downtime due to low air pressure on the Filler. 13mins due to damaged crowns &amp; 5mins cleaning the Fobber. 21mins downtime on the Uncaser for adjustments.</t>
  </si>
  <si>
    <t>116mins product delay; Ting prodcution was cancelled thereafter. 26mins low air pressure on the Filler.</t>
  </si>
  <si>
    <t>117mins change-over to do a full CIP &amp; offload green bottles from the Washer &amp; 42mins Labeler adjustments.</t>
  </si>
  <si>
    <t>10mins downtime waiting on CO2 to push up product to ennd filling.</t>
  </si>
  <si>
    <t>46mins downtime due to low air pressure on the Filler. 21mins Labeler downtime for adjustments for missing back labels. 101mins change-over.</t>
  </si>
  <si>
    <t>41mins low air pressure on the Filler. 30mins Labeler downtime due to adjustments &amp; missing neck labels. 12mins for Videojet adjustments.</t>
  </si>
  <si>
    <t>86mins downtime due to a burnt motor on the conveyor line to the Filler. 28mins downtime for low air pressure. 16mins Packer downtime &amp; 14mins for damaged crowns. Change-over for bottle types &amp; Packer adjustments were 24mins.</t>
  </si>
  <si>
    <t>15mins downtime due to a blocked sensor behind the Pasteurizer. 19mins lost due to damaged crowns. 11mins Labeler adjustments for neck labels. 7mins low air pressure on the Filler &amp; 7mins waiting on crowns.</t>
  </si>
  <si>
    <t>18mins downtime due to Pasteurizer discharge line break down. 11mins adjustments to the crowner. 16mins downtime due to crowns getting stuck in the chute. 35mins low air pressure on the Filler.</t>
  </si>
  <si>
    <t>CFEAM SODA</t>
  </si>
  <si>
    <t>68mins total change-over downtime. 10mins for adjustments to the crowner. 10mins EBI adjustments &amp; 10mins stoppage on the Packer.</t>
  </si>
  <si>
    <t>86mins downtime due to low air pressure on the Filler. 76mins downtime for Labeler adjustments. 13mins lost due to low temperature on the Pasteurizer; 13mins change-over &amp; 8mins for a broken blot on the Washer.</t>
  </si>
  <si>
    <t>11mins low air pressure on the Filler &amp; 6mins downtime due to chute getting stuck in the chute.</t>
  </si>
  <si>
    <t>27mins change-over. 14mins downtime due to crowns sticking in the chute &amp; 10mins downtime due to back-up on the Pasteurizer.</t>
  </si>
  <si>
    <t>ORANGE</t>
  </si>
  <si>
    <t>GINGER</t>
  </si>
  <si>
    <t>GRAPE</t>
  </si>
  <si>
    <t>62mins total change-over downtime. 33mins delay of Orange J. Cool to the filling bowl. 15mins wait for bottles &amp; 17mins wait for crates.</t>
  </si>
  <si>
    <t>28mins late startup due to low temperature on the Pasteurizer. 51mins Labeler adjustments. 15mins downtime because the green conveyor line to the Packer infeed lne was running slow causing cartons to stick at the Packer infeed; 13mins to change-over to crates. Fallen bottles behind the Pasteurizer contributed to 19mins downtime &amp; low air pressure was 8mins on the Filler.</t>
  </si>
  <si>
    <t>20mins late start due to wait for bottles. 50mins downtime for low air pressure on the Filler. 16mins to adjust the Washer's speed &amp; 7mins to check &amp; clean Fobber.</t>
  </si>
  <si>
    <t>70mins late start due to repairs to filling valve #57. 26mins downtime for adjustments to the crowner &amp; sticking crowns in the chute. 17mins adjustments on the Packer centering device &amp; 10mins lost due to wrong date codes.</t>
  </si>
  <si>
    <t>22mins change-over downtime. 9mins for damaged crowns &amp; 8mins Packer adjustment.</t>
  </si>
  <si>
    <t>19mins low air pressure &amp; 13mins change-over downtime.</t>
  </si>
  <si>
    <t>50mins downtime on the Washer to adjust the bar on the load table. 17mins low air pressure &amp; 7mins for adjustments to the crowner.</t>
  </si>
  <si>
    <t>96mins downtime casued by low air pressure on the Filler. 14mins downtime due to crowns sticking in the chute.</t>
  </si>
  <si>
    <t>Packer End Time</t>
  </si>
  <si>
    <t>29 minutes downtime due to low air pressure on the Packer. 8 minutes downtime to adjust the Washer speed &amp; 13 minutes for adjustments on the load table.</t>
  </si>
  <si>
    <t>14 Minutes downtime due to low air pressure on the packer and filler. 7 mins due to stuck crowns in chute.</t>
  </si>
  <si>
    <t>11 minutes changeover and 12 mins labeller adjustments due to missing labels.</t>
  </si>
  <si>
    <t>11 minutes downtime due to stuck crowns. 17 mins due to low air pressure on filler. 7 mins for no pressure on BBT bowl.</t>
  </si>
  <si>
    <t xml:space="preserve">GUINNESS </t>
  </si>
  <si>
    <t xml:space="preserve">9 minutes late start. 32 minutes downtime was due to low air pressure. 30 mins video jet was down. 13 mins low tempreture on pasteurizer. 5 mins labeller stopped for adjustments </t>
  </si>
  <si>
    <t>7 mins late start no air pressure on filler. 4 mins low air on filler. 11 minutes pasteurizer stopped for adjustments. 15 mins for stuck crowns. 5 mins waiting on CO2</t>
  </si>
  <si>
    <t>20 Mins downtime due to low air pressure. 9 mins due to stuck crowns. 9 mins no CO2.</t>
  </si>
  <si>
    <r>
      <t>Line Rated Efficiency (</t>
    </r>
    <r>
      <rPr>
        <b/>
        <sz val="12"/>
        <rFont val="Times New Roman"/>
        <family val="1"/>
      </rPr>
      <t>74%)</t>
    </r>
  </si>
  <si>
    <t>94mins late start-up due to repairs to the crowner. Change-over downtime from cartons was 22mins. Videojet adjustments took 13mins &amp; 16mins lost waiting on palletizers.</t>
  </si>
  <si>
    <t>5mins low air pressure &amp; 8mins downtime due to sticking crowns.</t>
  </si>
  <si>
    <t>Change-over downtime was 30mins. Adjustments to the Videojet &amp; Packer took 8mins each. 6mins for bottles getting jammed behind the Pasteurizer.</t>
  </si>
  <si>
    <t>Downtime for change-over lasted 12mins. Low air pressure on the Filler lasted 26mins. Adjustments &amp; repair to the shuffler on the Packer took 32mins. Broken Heineken bottles on the EBI contributed 13mins downtime.</t>
  </si>
  <si>
    <t>31mins Packer downtime to adjust the crate-stop &amp; change suction cups. 9mins lost because the worng bottle type was loaded. The EBI needed 16mins for adjustments to a sensor &amp; there were 6mins low air pressure on the Filler.</t>
  </si>
  <si>
    <t>206mins late start-up due to a malfunction with the controller &amp; display panel. 41mins downtime for adjustments to the Packer.</t>
  </si>
  <si>
    <t>50mins late start-up due to adjustments to the Uncaser &amp; Washer load table. 19mins downtime for adjustments to the starwheel on the Filler &amp; 10mins caused by crowns getting stuck in the chute &amp; hopper.</t>
  </si>
  <si>
    <t>31mins of low water pressure on the Fobber line.</t>
  </si>
  <si>
    <t>17mins change-over downtime &amp; 4mins for sticking crowns.</t>
  </si>
  <si>
    <t>44mins change-over downtime; 12mins for Labeler adjustments &amp; 13mins due to an Air Dryer fault.</t>
  </si>
  <si>
    <t>46mins late start-up due to low steam on the Washer. 13mins lost due to crowns sticking in the chute &amp; 7mins for Air Dryer fault.</t>
  </si>
  <si>
    <t>20mins downtime due to crowns sticking in the chute &amp; hopper. Change-over took 14mins &amp; there were 16mins Packer adjustments &amp; 12mins on the Labeler.</t>
  </si>
  <si>
    <t>30mins downtime for Packer adjustments &amp; 11mins due to stuck crowns. Adjustments to the Labeler contributed 18mins downtime.</t>
  </si>
  <si>
    <t>28mins Washer downtime for adjustments. 5mins for stuck crowns.</t>
  </si>
  <si>
    <t>59mins Washer downtime for adjustments. 4mins each for Labeler adjustments &amp; stuck crowns.</t>
  </si>
  <si>
    <t>70mins change-over downtime. 38mins product delay. Jammed bottles that block the sensor behind the Pasteurizer contributed 19mins downtime. Also 11mins for stuck crowns &amp; 11mins Sealer adjustments.</t>
  </si>
  <si>
    <t>29mins Labeler adjustments for missing neck labels. 14mins Packer adjustments &amp; 15mins for stuck crowns. 12mins for sealer adjustments.</t>
  </si>
  <si>
    <t>38mins downtime for adjustments to the Packer case-stop system. A break down on the Pasteurizer discharge line contributed 29mins downtime. 12mins for stuck crowns &amp; 5mins low air pressure on the Packer.</t>
  </si>
  <si>
    <t>25mins Packer downtime for adjustments to the case-stopper &amp; 12mins due to stuck crowns in the chute &amp; hopper. Change-over downtime was 11mins.</t>
  </si>
  <si>
    <t>20mins downtime for stuck crowns in the chute. The sealer needed 31mins for adjustments to the tap &amp; belt that came off. The Videojet not printing properly also contributed 11mins downtime. 9mins change-over from export.</t>
  </si>
  <si>
    <t>282mins Washer downtime due to repairs on the load table. 6mins for stuck crowns in the chute &amp; 7mins adjustments on the Packer.</t>
  </si>
  <si>
    <t>46mins change-over downtime; 10mins lost when the hydraulics on the Pasteurizer cut off; &amp; 7mins for stuck crowns.</t>
  </si>
  <si>
    <t>95mins late start-up due to adjustments on the Washer load table.  21mins Packer adjustments &amp; 14mins lost because the Videojet was not printing.</t>
  </si>
  <si>
    <t>30mins late start-up waiting on bottles from the Washer. 20mins downtime for stuck crowns in the chute &amp; crown bin. 18mins stoppage on the Labeler for adjustments &amp; 10mins changing over to exports. 7mins Videojet downtime.</t>
  </si>
  <si>
    <r>
      <t>17mins late due to final adjustments on the Washer after servicing. 52mins due to methylene blue on the Washer &amp; 16mins for stuck crowns</t>
    </r>
    <r>
      <rPr>
        <i/>
        <sz val="12.5"/>
        <color indexed="8"/>
        <rFont val="Arial"/>
        <family val="2"/>
      </rPr>
      <t>.</t>
    </r>
    <r>
      <rPr>
        <sz val="12.5"/>
        <color indexed="8"/>
        <rFont val="Arial"/>
        <family val="2"/>
      </rPr>
      <t xml:space="preserve"> 9mins downtime to clean the Fobber.</t>
    </r>
  </si>
  <si>
    <r>
      <t xml:space="preserve">14mins downtime due to PLC communication fault on the Filler &amp; 9mins because the plate on top the crowner wasn't spinning </t>
    </r>
    <r>
      <rPr>
        <i/>
        <sz val="12.5"/>
        <color indexed="8"/>
        <rFont val="Arial"/>
        <family val="2"/>
      </rPr>
      <t xml:space="preserve">(breaker tripped). </t>
    </r>
    <r>
      <rPr>
        <sz val="12.5"/>
        <color indexed="8"/>
        <rFont val="Arial"/>
        <family val="2"/>
      </rPr>
      <t>44mins lost because the Videojet was not printing. 16mins for stuck crowns &amp; 21mins change-over from exports &amp; 41mins to change-over to Guinness.</t>
    </r>
  </si>
  <si>
    <t>18mins late start due to PLC communication fault on the Filler. 125mins downtime on the Packer to change fingers &amp; make other adjustments. 6mins lost due to stuck crowns. 6mins Labeler downtime for flagging labels.</t>
  </si>
  <si>
    <t>66mins late start-up caused by a steam leak on the Pasteurizer. There was also 12mins of low temperature on the Pasteurizer &amp; 6mins Labeler adjustments for missing back labels. 11mins for stuck crowns &amp; 8mins PLC com. fault on the Filler.</t>
  </si>
  <si>
    <t>7mins downtime for stuck crowns.</t>
  </si>
  <si>
    <t>142mins downtime for change-over &amp; 22mins for adjustments on the Labeler.</t>
  </si>
  <si>
    <t>47mins downtime caused by crowns getting stuck on the crown transfer system. 10mins downtime for maintenance on the conveyor line ex. Pasteurizer.</t>
  </si>
  <si>
    <t>17mins downtime due to low temperatures on the Pasteurizer. Stuck crowns contributed 9mins downtime and caustic carry-over on the Washer was 5mins.</t>
  </si>
  <si>
    <t>13mins change-over downtime &amp; 8mins Labeler adjustments. Also 8mins of low air pressure on the Filler.</t>
  </si>
  <si>
    <t>15mins downtime caused by the crown conveyor belt was not running. 12mins for stuck crowns &amp; 11mins for maintenance to check the crowner sensor. 18mins total product delay &amp; 7mins low air pressure on the Filler.</t>
  </si>
  <si>
    <t>12mins downtime due to stuck crowns &amp; 16mins Labeler adjustments.</t>
  </si>
  <si>
    <t>16mins downtime to clean the bin top the crowner &amp; 15mins for crowns getting stuck in the chute &amp; hopper. 15mins downtime caused  by bottles blocking the sensor on the line behind the Pasteurizer.</t>
  </si>
  <si>
    <t>21mins because the glue pump was not working &amp; 14mins for Labeler adjustments. 12mins downtime for stuck crowns; &amp; 16mins adjustments on the conveyor line ex. Pasteurizer.</t>
  </si>
  <si>
    <t>32mins downtime caused by stcuk crowns. 7mins for adjustments to the rail on the line behind the Pasteurizer.</t>
  </si>
  <si>
    <t>32mins downtime to repair the conveyor line ex. Pasteurizer. 31mins caused  by bottles blocking the sensor on the line behind the Pasteurizer. 27mins for stuck crowns; 14mins Sealer adjustments &amp; 13mins Labeler adjustments.</t>
  </si>
  <si>
    <r>
      <t xml:space="preserve">56mins caused by crown transfer sensor malfunctioning; &amp; 55mins caused by stuck crowns </t>
    </r>
    <r>
      <rPr>
        <i/>
        <sz val="12.5"/>
        <color indexed="8"/>
        <rFont val="Arial"/>
        <family val="2"/>
      </rPr>
      <t>(cleaning crown bin on top the crowner)</t>
    </r>
    <r>
      <rPr>
        <sz val="12.5"/>
        <color indexed="8"/>
        <rFont val="Arial"/>
        <family val="2"/>
      </rPr>
      <t>. 54mins Washer downtime to repair a broken Kidney &amp; 65mins waiting on CO2.</t>
    </r>
  </si>
  <si>
    <r>
      <t xml:space="preserve">100mins downtime due to crowns sticking in the chute </t>
    </r>
    <r>
      <rPr>
        <i/>
        <sz val="12.5"/>
        <color indexed="8"/>
        <rFont val="Arial"/>
        <family val="2"/>
      </rPr>
      <t xml:space="preserve">(A faulty air valve was the main contributor to the problems faced; not bent crowns). </t>
    </r>
    <r>
      <rPr>
        <sz val="12.5"/>
        <color indexed="8"/>
        <rFont val="Arial"/>
        <family val="2"/>
      </rPr>
      <t>15mins for adjustments on the Washer load table. 15mins &amp; 11mins for conveyor jams on the Uncaser &amp; ex. Filler respectively.</t>
    </r>
  </si>
  <si>
    <t>85mins downtime caused constant problems getting the crowns out of the chute. 15mins downtime caused by back ups on the line ex. Pasteurizer.</t>
  </si>
  <si>
    <t>18mins downtime to repair a Kidney on the Washer dischagre. 12mins downtime for stuck crowns.</t>
  </si>
  <si>
    <t>15mins downtime for stuck crowns.</t>
  </si>
  <si>
    <t>24mins downtime for repairs on the conveyor line ex. Pasteurizer. (The wear strip wedged a link &amp; jammed the line). Adjustments to the Sealer (tape) contributed 22mins downtime. 11mins each for low water pressure on the Washer &amp; Labeler adjustments. Only 4mins for stuck crowns.</t>
  </si>
  <si>
    <t>20mins Change over downtime &amp; 2mins for stuck crowns.</t>
  </si>
  <si>
    <t>18mins downtime for caustic carry-over on the Washer. 14mins downtime on the Videojet &amp; 17mins Packer adjustments. 18mins downtime changing over to from Flint &amp; 12mins downtime because there was no pressure on the BBT.</t>
  </si>
  <si>
    <t>16mins downtime for adjustments on the Washer. 13mins for stuck crowns &amp; 10mins downtime on the conveyor ex. Pasteurizer.</t>
  </si>
  <si>
    <t>64mins change-over downtime. 11mins for stuck crowns; 8mins to push up product with CO2 @ to end filling; &amp; 27mins adjustments on the Packer.</t>
  </si>
  <si>
    <t>15mins downtime to adjust the starwheel below the crowner &amp; 43mins due to the Filler infeed worm running out of timing. 75mins downtime due to the Label extractor chain on the Washer coming off. 7mins low air pressure on the Packer.</t>
  </si>
  <si>
    <t>370mins downtime trying to repair the rejection trigger on the EBI. 12mins downtime due to a broken bolt on the shuffler plate. Adjustments to the Sealer took 17mins. Only 4mins for stuck crowns.</t>
  </si>
  <si>
    <t xml:space="preserve">22mins late start due to high rejection rate on the EBI. 27mins Washer adjustments to the flap on the load table. </t>
  </si>
  <si>
    <t>47mins change-over downtime for adjustments &amp; cold caustic clean. Product delayed by 92mins due to problems with filtration &amp; 11mins waiting on the product to be released.</t>
  </si>
  <si>
    <t xml:space="preserve">17mins downtime for stuck crowns. 15mins caustic carry-over on the Washer. 10mins downtime for high EBI rejection. </t>
  </si>
  <si>
    <t>16mins Labeler adjustments. 26mins change-over.</t>
  </si>
  <si>
    <t>22mins product delay &amp; 23mins for stuck crowns. PLC communication on the EBI contributed 15mins downtime &amp; low CO2 on the Filler lasted 19mins.</t>
  </si>
  <si>
    <t>29mins change-over downtime &amp; 4mins for stuck crowns.</t>
  </si>
  <si>
    <t>92mins downtime on the EBI for adjustments to a jerking chain. 12mins Packer downtime for adjustments. 7mins for stuck crowns.</t>
  </si>
  <si>
    <t>43mins change-over downtime &amp; 19mins for twisting neck labels on the Labeler.</t>
  </si>
  <si>
    <t>15mins downtime due to stuck crowns.</t>
  </si>
  <si>
    <t>108mins product delay. 53mins change-over downtime. 8mins downtime for stuck crowns. Packer was down for 43mins due to damaged fingers.</t>
  </si>
  <si>
    <t>36mins change-over downtime.</t>
  </si>
  <si>
    <r>
      <t xml:space="preserve">61mins downtime due to a broken guide on the Washer. 15mins Sealer downtime </t>
    </r>
    <r>
      <rPr>
        <i/>
        <sz val="12.5"/>
        <color indexed="8"/>
        <rFont val="Arial"/>
        <family val="2"/>
      </rPr>
      <t>(15mins because no one noticed it was unplugged)</t>
    </r>
    <r>
      <rPr>
        <sz val="12.5"/>
        <color indexed="8"/>
        <rFont val="Arial"/>
        <family val="2"/>
      </rPr>
      <t xml:space="preserve">. 27mins Packer adjustments </t>
    </r>
    <r>
      <rPr>
        <i/>
        <sz val="12.5"/>
        <color indexed="8"/>
        <rFont val="Arial"/>
        <family val="2"/>
      </rPr>
      <t>(mostly during cartons)</t>
    </r>
    <r>
      <rPr>
        <sz val="12.5"/>
        <color indexed="8"/>
        <rFont val="Arial"/>
        <family val="2"/>
      </rPr>
      <t>. 18mins downtime on conveyor line ex. Pasteurizer. 56mins downtime on line ex. Sealer (rollers need replacement). 11mins for stuck crowns.</t>
    </r>
  </si>
  <si>
    <t>166mins downtime because the sensor controlling the hydraulic arms on the Pasteurizer was faulty. 53mins downtime for stuck &amp; bent crowns. 17mins Packer adjustments for damaged fingers.</t>
  </si>
  <si>
    <t>9mins late start-up due to bad bottles being loaded.</t>
  </si>
  <si>
    <t>22mins adjustments on the Packer (fingers) &amp; 19mins downtime on conveyor line ex. Pasteurizer. 12mins for stuck crowns &amp; 40mins change-over downtime.</t>
  </si>
  <si>
    <t>79mins downtime (full CIP) &amp; 8mins downtime on line ex. Pasteurizer.</t>
  </si>
  <si>
    <t>32mins product delay. 41mins Labeler downtime to put oil in the gearbox &amp; 27mins for missing body labels &amp; adjustments to a malfunctioning back up sensor. 22mins Filler downtime for stuck crowns.</t>
  </si>
  <si>
    <t>15mins adjustments on the accumulation table to the Packer. 17mins downtime due to Carib &amp; Stag being blended &amp; bottled.</t>
  </si>
  <si>
    <t>41mins change-over downtime. 23mins Packer downtime to straighten some fingers. 11mins Labeler adjustments &amp; 15mins downtime on line ex. Pasteurizer.</t>
  </si>
  <si>
    <t>31mins Packer downtime for adjustments &amp; changing of suction cups. 98mins product delay &amp; 18mins Labeler downtime for adjustments at start-up.</t>
  </si>
  <si>
    <t>69mins Labeler downtime for adjustments. 39mins for Packer adjustments.</t>
  </si>
  <si>
    <t>31mins Change-over.</t>
  </si>
  <si>
    <t>27mins Change-over.</t>
  </si>
  <si>
    <t>32mins Change-over.</t>
  </si>
  <si>
    <r>
      <t xml:space="preserve">25mins downtime adjusting the infeed worm on the Filler </t>
    </r>
    <r>
      <rPr>
        <i/>
        <sz val="12.5"/>
        <color indexed="8"/>
        <rFont val="Arial"/>
        <family val="2"/>
      </rPr>
      <t xml:space="preserve">(fallen bottles caused it to go out of timing). </t>
    </r>
    <r>
      <rPr>
        <sz val="12.5"/>
        <color indexed="8"/>
        <rFont val="Arial"/>
        <family val="2"/>
      </rPr>
      <t>21mins to replace a damaged kidney on the Washer &amp; 18mins to change damaged fingers on the Packer.</t>
    </r>
  </si>
  <si>
    <t>6mins to clean the Fobber &amp; 4mins for bent crowns. 4mins downtime for a frequency converter fault.</t>
  </si>
  <si>
    <t>22mins to check &amp; clean the Fobber &amp; 3mins to check the water line.</t>
  </si>
  <si>
    <t>33mins late start-up due to caustic carry-over on the Washer &amp; 16mins downtime after start-up. Also 27mins downtime for adjustment to the flap on the Washer load table. 14mins downtime for bent crowns getting stuck in the chute.</t>
  </si>
  <si>
    <t>83mins downtime at the Sealer for realignment and bursting tape. 54mins Packer adjustments; but there was also an issue getting cartons to the Packer from the Green conveyor line. 12mins caustic carry-over &amp; 22mins downtime when the crown conveyor belt tripped off.</t>
  </si>
  <si>
    <t>7mins Labeler adjustments to replace the neck sponge on the gripper cylinder. 10mins downtime caused by a jam on the conveyor line infeed to the Labeler.</t>
  </si>
  <si>
    <t xml:space="preserve">19mins downtime on the Filler caused by bent crowns stuck in the chute &amp; transfer plate. 22mins downtime for a PLC communication error on the EBI &amp; change-over downtime was 34mins. 7mins to replace the neck sponge on the gripper cylinder. </t>
  </si>
  <si>
    <t>14mins downtime due to the conveyor line from the Washer to the EBI tripped off. 24mins Labeler downtime to retime the infeed worm &amp; make adjustments for neck labels. 9mins Packer adjustments &amp; 5mins stop to put CO2 on the line.</t>
  </si>
  <si>
    <t>67mins change-over downtime (CIP). 6mins lost because the hopper ran out of crowns &amp; 3mins to adjust the table top part on the Filler. 5mins low air on the Filler.</t>
  </si>
  <si>
    <t>12mins downtime caused by stuck crowns &amp; 4mins of low CO2 in product.</t>
  </si>
  <si>
    <t>15mins Change-Over downtime.</t>
  </si>
  <si>
    <t>40mins late start-up because the conveyor lines  to the Washer &amp; Crate Rinser were not starting up. 10mins for stuck crowns &amp; 13mins for a moment of silence.</t>
  </si>
  <si>
    <t>95mins late start-up due to an electrical issue on the Washer. 17mins downtime to adjustment the guide on the Washer load table; &amp; 5mins to adjust the crown plate on the Filler.</t>
  </si>
  <si>
    <t>6mins stoppage on the Labeler to change the sponge on the neck cylinder. 3mins lost when the infeed worm on the Filler went out of timing.</t>
  </si>
  <si>
    <t>359mins downtime on the Labeler due to an electrical (VLT) speed control issue.</t>
  </si>
  <si>
    <t xml:space="preserve">69mins Packer downtime mainly due to repairs on the red &amp; green air hoses. 41mins downtime for a jam on the conveyor line ex. Pasteurizer. </t>
  </si>
  <si>
    <t>30mins change-over downtime. 25mins downtime for adjustments to the air hoses on the Packer. 31mins Labeler downtime for twisting neck labels.</t>
  </si>
  <si>
    <r>
      <t xml:space="preserve">25mins late start-up due to adjustments on the Filler </t>
    </r>
    <r>
      <rPr>
        <i/>
        <sz val="12.5"/>
        <color indexed="8"/>
        <rFont val="Arial"/>
        <family val="2"/>
      </rPr>
      <t>(height)</t>
    </r>
    <r>
      <rPr>
        <sz val="12.5"/>
        <color indexed="8"/>
        <rFont val="Arial"/>
        <family val="2"/>
      </rPr>
      <t xml:space="preserve"> &amp; EBI </t>
    </r>
    <r>
      <rPr>
        <i/>
        <sz val="12.5"/>
        <color indexed="8"/>
        <rFont val="Arial"/>
        <family val="2"/>
      </rPr>
      <t>(belt)</t>
    </r>
    <r>
      <rPr>
        <sz val="12.5"/>
        <color indexed="8"/>
        <rFont val="Arial"/>
        <family val="2"/>
      </rPr>
      <t>. 20mins Labeler downtime to adjust the infeed worm sensor &amp; 15mins downtime on the line ex. Pasteurizer. 8mins downtime on line ex. Filler due to falling bottles. 8mins EBI downtime during production due to high rejection.</t>
    </r>
  </si>
  <si>
    <r>
      <t xml:space="preserve">40mins late start-up due to adjustments to the bottle-burst sensor </t>
    </r>
    <r>
      <rPr>
        <i/>
        <sz val="12.5"/>
        <color indexed="8"/>
        <rFont val="Arial"/>
        <family val="2"/>
      </rPr>
      <t>(still had Vitamalt setup)</t>
    </r>
    <r>
      <rPr>
        <sz val="12.5"/>
        <color indexed="8"/>
        <rFont val="Arial"/>
        <family val="2"/>
      </rPr>
      <t>. 28mins Packer downtime to adjust the shuffler &amp; 13mins to attach dettached air hoses. 38mins low air pressure on the Uncaser &amp; 28mins downtime on line ex. Pasteurizer.</t>
    </r>
  </si>
  <si>
    <t>12mins change-over downtime. 13mins Packer adjustments for damaged cups. 5mins downtime at the end of filling to put CO2 on the line.</t>
  </si>
  <si>
    <t>12mins downtime to remove damaged crowns; 9mins &amp; 3mins low air pressure on the Packer &amp; Uncaser respectively. 12mins downtime on the Packer to replace  five damaged suction cups. 5mins lost when the Pasteurizer hydraulic cut off. 6mins downtime on line ex. Pasteurizer &amp; 6mins Uncaser downtime to tighten a sensor on the unit head.</t>
  </si>
  <si>
    <t>66mins low air pressure on the Filler (29), Packer (27) &amp; Uncaser (10). 7mins to replace bent tubes on the Filler. 24mins downtime on line ex. Pasteurizer.</t>
  </si>
  <si>
    <t>9mins low air pressure on the Uncaser. 12mins lost due to low pressure on the BBT.</t>
  </si>
  <si>
    <t>12mins Filler downtime for sticking crowns; 46mins low air pressure on the Uncaser &amp; 2mins on the Packer. 12mins low pressure on the BBT.</t>
  </si>
  <si>
    <t>BANANA</t>
  </si>
  <si>
    <r>
      <t>73mins Packer downtime for adjustments to the head &amp; sensor</t>
    </r>
    <r>
      <rPr>
        <i/>
        <sz val="12.5"/>
        <color indexed="8"/>
        <rFont val="Arial"/>
        <family val="2"/>
      </rPr>
      <t xml:space="preserve"> (A change-over had to be done from the previous day's production)</t>
    </r>
    <r>
      <rPr>
        <sz val="12.5"/>
        <color indexed="8"/>
        <rFont val="Arial"/>
        <family val="2"/>
      </rPr>
      <t xml:space="preserve">. 10mins downtime for stuck crowns. 88mins total change-over downtime between product flavours. </t>
    </r>
  </si>
  <si>
    <r>
      <t>35mins late start-up because the Uncaser was not starting</t>
    </r>
    <r>
      <rPr>
        <i/>
        <sz val="12.5"/>
        <color indexed="8"/>
        <rFont val="Arial"/>
        <family val="2"/>
      </rPr>
      <t xml:space="preserve"> (the centering device was not correctly positioned). </t>
    </r>
    <r>
      <rPr>
        <sz val="12.5"/>
        <color indexed="8"/>
        <rFont val="Arial"/>
        <family val="2"/>
      </rPr>
      <t>28mins Labeler downtime for adjustments to the pallets &amp; gripper cylinder; 10mins downtime for stuck crowns; &amp; 11mins downtime on the conveyor line ex. Pasteurizer.</t>
    </r>
  </si>
  <si>
    <t>26mins of Low Air Pressure on the Uncaser; 9mins changing-over BBT's; 10mins for stuck crowns &amp; 7mins to change the date on the Videojet.</t>
  </si>
  <si>
    <t>40mins late start due an HPI heating problem on the Filler (tripped breaker). 19mins Packer downtime to change suction cups &amp; inspect fingers. 12mins Labeler adjustments for twisting/missing neck labels. 8mins stuck crowns.</t>
  </si>
  <si>
    <t>7mins downtime on the Packer to adjust the fingers; 7mins Labeler adjustments; 5mins for stuck crowns.</t>
  </si>
  <si>
    <t>23mins low air pressure on the Uncaser. 14mins downtime for stuck crowns &amp; 7mins downtime on line ex. Pasteurizer.</t>
  </si>
  <si>
    <t xml:space="preserve">81mins downtime for Casutic carry-over on the Washer. 19mins for stuck crowns. 24mins Packer adjustments to fingers &amp; air hoses. </t>
  </si>
  <si>
    <r>
      <t xml:space="preserve">69mins late start-up because the Filler Operator was not aware that the EBI wasn't logged/set to 'filler operator setting'. 24mins downtime due to slow palletizing </t>
    </r>
    <r>
      <rPr>
        <i/>
        <sz val="12.5"/>
        <color indexed="8"/>
        <rFont val="Arial"/>
        <family val="2"/>
      </rPr>
      <t xml:space="preserve">(new casuals); </t>
    </r>
    <r>
      <rPr>
        <sz val="12.5"/>
        <color indexed="8"/>
        <rFont val="Arial"/>
        <family val="2"/>
      </rPr>
      <t>14mins for stuck crowns &amp; 9mins Packer adjustments.</t>
    </r>
  </si>
  <si>
    <t xml:space="preserve">19mins change-over downtime. 21mins downtime on the EBI due to high rejections; 10mins downtime to realign the guide on the Washer load table &amp; 8mins low air pressure on the Uncaser. </t>
  </si>
  <si>
    <t>4mins downtime to check CO2.</t>
  </si>
  <si>
    <t>22mis change-over downtime.</t>
  </si>
  <si>
    <t>19mis change-over downtime.</t>
  </si>
  <si>
    <t>23mis change-over downtime. 9mins for bent crowns &amp; jam on the infeed worm.</t>
  </si>
  <si>
    <t>13mis change-over downtime. 22mins low air pressure on the Uncaser.</t>
  </si>
  <si>
    <t>10mins downtime downtime for stuck crowns; 6mins low air pressure on the Uncaser; &amp; 6mins Packer downtime for adjustments.</t>
  </si>
  <si>
    <t>17mins for stuck crowns; 19mins adjusting the rail on the conveyor line ex. Labeler; &amp; 7mins changing damaged fingers on the Packer.</t>
  </si>
  <si>
    <t>13mins change-over downtime.</t>
  </si>
  <si>
    <t>14mins downtime on the EBI due to a slack screw on the shaft. 11mins Packer adjustments; 9mins waiting on CO2 &amp; 5mins for stuck crowns.</t>
  </si>
  <si>
    <t>27mins change-over downtime. 6mins low temperature on the Pasteurizer &amp; 9mins waiting on CO2.</t>
  </si>
  <si>
    <t>327mins EBI downtime due to a communication fault with the Neck Finish check. 20mins low temperature on the Pasteurizer;13mins Labeler downtime when the glue pump tripped off &amp;; 4mins low air pressure on the Uncaser.</t>
  </si>
  <si>
    <t>23mins low air pressure on the Uncaser. 19mins product delay; 10mins Labeler adjustments; &amp; 7mins for stuck crowns.</t>
  </si>
  <si>
    <t>21mins downtime due to bursting tape on the Sealer casuing the Packer line to run slow. 9mins Labeler adjustments for flagging labels; 8mins to adjust the centering cups on the Uncaser; 6mins stuck crowns; 7mins to flush the crowner; &amp; 3mins for foreign object in a bottle.</t>
  </si>
  <si>
    <t>Labeler stopped for adjustments. 6mins for stuck crowns.</t>
  </si>
  <si>
    <r>
      <t xml:space="preserve">71mins change-over downtime; 35mins downtime on the Packer due to an air leak; 30mins Labeler downtime for adjustments </t>
    </r>
    <r>
      <rPr>
        <i/>
        <sz val="12.5"/>
        <color indexed="8"/>
        <rFont val="Arial"/>
        <family val="2"/>
      </rPr>
      <t>(including changing the finger on the label basket</t>
    </r>
    <r>
      <rPr>
        <sz val="12.5"/>
        <color indexed="8"/>
        <rFont val="Arial"/>
        <family val="2"/>
      </rPr>
      <t>); &amp; 11mins low PU.</t>
    </r>
  </si>
  <si>
    <t>40mins late start due to adjustments on the Filler &amp; EBI infeed conveyors. 28mins downtime on the Filler due to the crown transfer sensor malfunctioning. 20mins low air pressure on the Packer.</t>
  </si>
  <si>
    <t>29mins downtime due to the Coder not printing. 9mins for stuck crowns &amp; 6mins low air pressure on the Filler.</t>
  </si>
  <si>
    <t>85mins downtime caused by a breakdown on the Washer's caustic pump. 19mins for stuck crowns &amp; 4mins for missing neck labels.</t>
  </si>
  <si>
    <t>100mins late start-up due to repairs on a burnt motor on the Washer caustic pump. 10mins downtime for bent crowns getting stuck in the chute &amp; hopper.</t>
  </si>
  <si>
    <t>5mins EBI adjustments. Although the line did not stop running, bottles getting stuck in the shuffler resulted in the slow production. 21mins change-over downtime &amp; 9mins for stuck crowns</t>
  </si>
  <si>
    <t>9mins downtime for stuck crowns.</t>
  </si>
  <si>
    <t>224mins downtime due to caustic carry-over on the Washer. 28mins downtime for EBI adjustments for foreign objects found in bottles.</t>
  </si>
  <si>
    <t>156mins downtime on the Washer for caustic carry-over. 13mins of low water pressure on the Washer; &amp; 7mins low air pressure on the Filler.</t>
  </si>
  <si>
    <t>25mins Packer downtime because the air hoses kept popping off. 11mins downtime for stuck crowns; 5mins caustic carry-over on the Washer.</t>
  </si>
  <si>
    <t>40mins downtime was a result of the discharge line ex. EBI not coming on. 12mins downtime on conveyor line ex. Pasteurizer due to fallen bottles &amp; jams. jams. 6mins low air pressure on the Filler. 5mins waiting on palletizing personnel. 2mins for stuck crowns.</t>
  </si>
  <si>
    <t>17mins change-over downtime. 8mins downtime for stuck crowns &amp; 10mins waiting on palletizing personnel. 3mins Packer adjustments.</t>
  </si>
  <si>
    <t>10mins downtime for stuck crowns.</t>
  </si>
  <si>
    <t>Line Rated Efficiency (74%)  @15,000</t>
  </si>
  <si>
    <t>Line Rated Efficiency (74%)  @17,000</t>
  </si>
  <si>
    <t>46mins stoppage to check temperatures on the Pasteurizer during Maximalt PU test. 19mins of low air pressure on the Filler. 15mins to change belt on the EBI; &amp; 13mins for stuck crowns.</t>
  </si>
  <si>
    <t>10mins change-over downtime. 3mins EBI downtime due to the Inner Sidewall parameter check malfunctioning.</t>
  </si>
  <si>
    <t>49mins Washer downtime for repairs to a broken guide on the discharge end. 5mins for stuck crowns. (Although the line did not stop &amp; cause downtime; issues on the Shuffler pre. EBI caused gaps in the line &amp; contributed to a low efficiency).</t>
  </si>
  <si>
    <t>10mins downtime as a result of the conveyor line ex. EBI tripping off. 5mins downtime for stuck crowns; &amp; 3mins labeler adjustments.</t>
  </si>
  <si>
    <t>55mins late start-up caused by the conveyor lines to the crate washer &amp; washer were not turning on. 24mins downtime due to the EBI's discharge line tripping off. 24mins downtime because the 'bottle burst' sensor was not working. 16mins change-over from short Amber bottles to CDC Flint.</t>
  </si>
  <si>
    <t>18mins low air pressure on the Filler; &amp; 14mins low air pressure on the Uncaser. 8mins stoppage to check the caustic pump. 6mins downtime for stuck crowns.</t>
  </si>
  <si>
    <t>10mins change-over downtime. 19mins Labeler adjustment &amp; 5mins to adjust the Videojet coder.</t>
  </si>
  <si>
    <t>B. Efficiency</t>
  </si>
  <si>
    <t>372mins downtime due to a conveyor line breakdown after the Washer discharge. 5mins downtime for stuck crowns.</t>
  </si>
  <si>
    <t>30mins downtime on the Labeler back station to setup the gripper cylinder for exports. 14mins EBI downtime to clean the track beneath the EBI belt. 13mins for stuck crowns &amp; 21mins product delay due to an air lock in the line.</t>
  </si>
  <si>
    <t>194mins downtime on the EBI. 15mins for stuck crowns.</t>
  </si>
  <si>
    <t>YTD Efficiency @ 15k</t>
  </si>
  <si>
    <t>YTD Utilization</t>
  </si>
  <si>
    <t>October cases balance</t>
  </si>
  <si>
    <t>YTD Efficiency @ 15,000</t>
  </si>
  <si>
    <t>YTD Efficiency @ 17,000</t>
  </si>
  <si>
    <t>YTD Loss (1.1%)</t>
  </si>
  <si>
    <t>DAYS LEFT</t>
  </si>
  <si>
    <t>% Bottled</t>
  </si>
  <si>
    <r>
      <t xml:space="preserve">490mins EBI downtime for adjustments </t>
    </r>
    <r>
      <rPr>
        <i/>
        <sz val="12.5"/>
        <color indexed="8"/>
        <rFont val="Arial"/>
        <family val="2"/>
      </rPr>
      <t>(450mins late start)</t>
    </r>
    <r>
      <rPr>
        <sz val="12.5"/>
        <color indexed="8"/>
        <rFont val="Arial"/>
        <family val="2"/>
      </rPr>
      <t>. 11mins low air pressure on the Filler</t>
    </r>
    <r>
      <rPr>
        <i/>
        <sz val="12.5"/>
        <color indexed="8"/>
        <rFont val="Arial"/>
        <family val="2"/>
      </rPr>
      <t xml:space="preserve"> (air compressor cut off)</t>
    </r>
    <r>
      <rPr>
        <sz val="12.5"/>
        <color indexed="8"/>
        <rFont val="Arial"/>
        <family val="2"/>
      </rPr>
      <t xml:space="preserve">. </t>
    </r>
  </si>
  <si>
    <t>17mins EBI adjustments at startup.10mins adjustments to the discharge conveyor. 51mins downtime to load chute with promotional crowns.</t>
  </si>
  <si>
    <t>82mins EBI adjustments due to high rejection. 65mins change-over downtime &amp; 8mins due to bent crowns stuck in the chute.</t>
  </si>
  <si>
    <t>25mins downtime to check for stuck crowns &amp; 23mins Labeler adjustments.</t>
  </si>
  <si>
    <t>63mins downtime due to Sealer related adjustments. 24mins stoppage due to a jam on the line ex. Pasteurizer. 19mins downtime for stuck crowns. 17mins waiting on cartons at the Packer.</t>
  </si>
  <si>
    <t>66mins downtime to change belt beneath the Filler. 14mins for stuck crowns &amp; 17mins stoppage caused by the breaker on the beer transfer pump tripping off.</t>
  </si>
  <si>
    <t xml:space="preserve">235mins downtime caused by the conveyor line to the Pasteurizer coming off the track. 275mins downtime was a result of the infeed worm on the Filler going out of timing. 14mins downtime due to bent crowns getting stuck in the chute. </t>
  </si>
  <si>
    <r>
      <t xml:space="preserve">15mins change-over downtime </t>
    </r>
    <r>
      <rPr>
        <i/>
        <sz val="12.5"/>
        <color indexed="8"/>
        <rFont val="Arial"/>
        <family val="2"/>
      </rPr>
      <t>(7mins taking amber bottles off the line).</t>
    </r>
  </si>
  <si>
    <t>115mins late start was a result of the infeed worm on the Filler going out of timing.14mins for stuck crowns &amp; 7mins Packer downtime to change fingers.</t>
  </si>
  <si>
    <t>November cases balance</t>
  </si>
  <si>
    <t>24mins downtime for stuck crowns. 8mins Packer adjustments.</t>
  </si>
  <si>
    <t>Stopped Filler for 22mins to put promotion crowns in the chute. 31mins stoppage to drop the temperature on the Pasteurizer for PU test. 6mins stoppage to put promotion crowned bottles on the Labeler. 10mins stuck crowns &amp; 15mins caused by jam on the conveyor ex. Pasteurizer.</t>
  </si>
  <si>
    <t xml:space="preserve">160mins downtime on the Labeler; 5mins low air pressure on the Filler; 5mins of adjustments on the EBI; &amp; 3mins for stuck crowns. </t>
  </si>
  <si>
    <t>39mins downtime on the Packer to change damaged fingers. 15mins low air pressure on the Filler &amp; 3mins for stuck crowns.</t>
  </si>
  <si>
    <t>16mins change-over downtime &amp; 9mins for stuck crowns.</t>
  </si>
  <si>
    <t>201mins product delay due to a high haze spec. 53mins change-over downtime; 7mins for stuck crowns &amp; 16mins adjustments on the Packer.</t>
  </si>
  <si>
    <t>14mins for stuck crowns; 13mins downtime due to an absent pallet-packer &amp; lack of correct size pallets. 8mins Packer downtime for adjustments.</t>
  </si>
  <si>
    <t>95mins downtime waiting on product to be filtered &amp; released. 42mins spent repairing the conveyor line ex. Filler. 6mins downtime for stuck crowns.</t>
  </si>
  <si>
    <t>GUINNESSS</t>
  </si>
  <si>
    <t>26mins for stuck crowns &amp; 4mins to flush the crowner. 7mins of low pressure on the BBT &amp; 4mins for adjustments on the Packer.</t>
  </si>
  <si>
    <t>37mins EBI downtime for adjustments to the Neck-Finish parameters; 19mins Caustic carry-over on the Washer; 10mins downtime because the bottle-burst function on the Filler was malfunctioning; &amp; 8mins for stuck crowns</t>
  </si>
  <si>
    <t>51mins late start-up due to adjustments made to the EBI Neck-Finish function. 10mins downtime due to low filling bowl level close to the end of filling; 7mins for stuck crowns &amp; 2mins to change a damaged filling tube.</t>
  </si>
  <si>
    <t>24mins change-over downtime. 5mins for stuck crowns.</t>
  </si>
  <si>
    <t>23mins change-over downtime. 3mins low filling bowl level</t>
  </si>
  <si>
    <t>22mins change-over downtime. 4mins low filling bowl level</t>
  </si>
  <si>
    <t>24mins change-over downtime. 2mins low filling bowl level</t>
  </si>
  <si>
    <t>77mins Labeler downtime at start-up for adjustments due to Labels folding in the magazine. 13mins downtime taking bottles with missing neck labels off the line. 12mins downtime on the Packer due to damaged fingers. 8mins downtime switching pallet packer; changing pallets; and slow packing. 8mins downtime for stuck crowns &amp; 5mins total downtime switching BBT's.</t>
  </si>
  <si>
    <t>14mins downtime for stuck crowns; 8mins total downtime changing the pallet packer; 7mins downtime changing fingers on the Packer; 8mins downtime on line ex. Pasteurizer due to fallen bottles causing a back up on the line; 4mins switching BBT's; &amp; 4mins flushing the crowner &amp; height adjustment.</t>
  </si>
  <si>
    <t>21mins change-over downtime. 10mins for stuck crowns. 2mins to flush crowner; 6mins total downtime for switching the pallet packer; 10mins for stuck crowns &amp; 2mins to flush crowner.</t>
  </si>
  <si>
    <t>9mins bent crowns in the chute/hopper. Packer stopped to adjust bent fingers. Stop to increase CO2 pressure on the line.</t>
  </si>
  <si>
    <r>
      <t>97mins low water pressure on the Washer</t>
    </r>
    <r>
      <rPr>
        <i/>
        <sz val="12.5"/>
        <color indexed="8"/>
        <rFont val="Arial"/>
        <family val="2"/>
      </rPr>
      <t xml:space="preserve"> (29mins of the total waiting for fermentation to cleaning tanks)</t>
    </r>
    <r>
      <rPr>
        <sz val="12.5"/>
        <color indexed="8"/>
        <rFont val="Arial"/>
        <family val="2"/>
      </rPr>
      <t>. 41mins to autoclave filling tubes; 19mins low steam; 16mins EBI malfunction; &amp; 8mins for stuck crowns.</t>
    </r>
  </si>
  <si>
    <t>32mins waiting on an operator for the Labeler.; 9mins downtime on line ex. Pasteurizer due to fallen bottles &amp; 5mins on Pasteurizer in-feed due to bottle jams. 10mins preparing for 10 cases of silver crowned Stag. 9mins for stuck crowns.</t>
  </si>
  <si>
    <t>54mins downtime on the Washer because the Label Extarctor had jammed. 11mins for stuck crwons &amp; 3mins flushing the crowner; 5mins fallen bottles ex. Pasteurizer. 3mins for flagging labels; &amp; 5mins switching BBT's.</t>
  </si>
  <si>
    <t>31mins downtime on the Packer adjust/align the rails &amp; centering device. 27mins to repair damaged head. 24mins downtime for adjustments on the Sealer; 14mins downtime to check for stuck crowns &amp; 5mins to flush the crowner.</t>
  </si>
  <si>
    <t>38mins adjusting the temperature on the Pasteurizer for the PU test. 37mins adjustments on the Labeler; 27mins Packer adjustments to the head, centering cup, sensor &amp; stuck bottles in the head. 12mins downtime on line ex. Pasteurizer &amp; 4mins on the in-feed line; &amp; 8mins to clean the Fobber; 4mins for stuck crowns. 3mins to flush the crowner.</t>
  </si>
  <si>
    <t>8mins for stuck crowns; 5mins each for adjustments on the Labeler &amp; Packer; 5mins downtime for low filling bowl level; &amp; 3mins checking the Pasteurizer in-feed line.</t>
  </si>
  <si>
    <t>225mins EBI downtime for repairs to the belt drive sprocket &amp; shaft. 91mins Labeler downtime to correct issue with flagging &amp; twisting labels. 22mins downtime for a broken bolt on the tensioner for the motor on the conveyopr line ex. Pasteuirizer. 20mins due to a sensor on the conveyor line to the Packer load table malfunctioning; that line also tripped off.</t>
  </si>
  <si>
    <t>30mins for 80 PU Starmalt trial. 13mins switching pallet packer; 6mins waiting on the forklift &amp; 5mins slow packing. 9mins for stuck crowns. 2mins flushing the crowner. 9mins downtime for Packer adjustments. 4mins delay switching BBT's</t>
  </si>
  <si>
    <t>7mins for stuck crowns. 2mins to flush the crowner; 7mins Labeler adjustments; &amp; 4mins to increase CO2 pressure on the line to end filling. Uncaser stopped for 3mins.</t>
  </si>
  <si>
    <t>72mins change-over downtime (Full CIP). 12mins stuck crowns; 12mins delay switching pallet packers. 3mins as a result of slow packing.</t>
  </si>
  <si>
    <t>11mins change-over from Carib. 3mins stop to increase CO2 pressure on the line. 2mins for stuck crowns.</t>
  </si>
  <si>
    <t>31mins downtime due to a damaged fobber pump. 36mins downtime to fix damaged fingers on the Packer. 7mins stop to increase CO2 pressure on the line to end filling. 6mins change-over from promotional crowns.</t>
  </si>
  <si>
    <t>CDC Amber</t>
  </si>
  <si>
    <t>CDC Flint</t>
  </si>
  <si>
    <t>CDC Green</t>
  </si>
  <si>
    <t>Guinness</t>
  </si>
  <si>
    <t>Vita Malt</t>
  </si>
  <si>
    <t>BOTTLE TYPE</t>
  </si>
  <si>
    <t>Daily Rejection</t>
  </si>
  <si>
    <t>MTD Rejection</t>
  </si>
  <si>
    <t>YTD Rejection</t>
  </si>
  <si>
    <t>TOTAL</t>
  </si>
  <si>
    <t>50mins stoppage to repair conveyor line to the Pasteurizer. 27mins for stuck crowns. 9mins EBI downtime due to short bottles not being rejected at the Kicker. 6mins due to the accumulation table running slow &amp; 6mins downtime for fallen bottles ex. Pasteurizer.</t>
  </si>
  <si>
    <t>69mins change-over downtime; 3mins Labeler adjustments; 2mins for stuck crowns; &amp; 2mins low pressure on the BBT.</t>
  </si>
  <si>
    <t>13mins for stuck crwons. 8mins low CO2 pressure (buffer tank was low) at start-up. 5mins stoppage to increase CO2 pressure on the line to end filling.</t>
  </si>
  <si>
    <r>
      <t xml:space="preserve">23mins stoppage to adjust the Labeler; fix the glue hose &amp; remove bottles with missing back labels from the line. 15mins adjustments on the Packer </t>
    </r>
    <r>
      <rPr>
        <i/>
        <sz val="14"/>
        <color indexed="8"/>
        <rFont val="Arial"/>
        <family val="2"/>
      </rPr>
      <t>(air hose came off the head for 3mins downtime)</t>
    </r>
    <r>
      <rPr>
        <sz val="14"/>
        <color indexed="8"/>
        <rFont val="Arial"/>
        <family val="2"/>
      </rPr>
      <t>. 13mins stoppage for caustic carry-over; 11mins for stuck crowns; 9mins downtime repairing the in-feed line to the Pasteurizer after a bottle jammed; 7mins low air pressure on the Uncaser; 7mins Low water pressure to the Washer @ start up; 5mins changing center cups on the Uncaser.</t>
    </r>
  </si>
  <si>
    <t>21mins change-over downtime; 6mins stoppage to increase CO2 pressure on the line to end filling; 4mins for stuck crowns; &amp; 4mins downtime due to high rejection on the EBI.</t>
  </si>
  <si>
    <t>28mins stoppage for bent fingers on the Packer &amp; 6mins for leaking suction cups.19mins adjustments on the Labeler for flagging &amp; missing labels; 16mins for stuck crowns &amp; 5mins flushing the crowner; 10mins delay switching BBT's; Pasteurizer hydraulics cut off for 8mins; &amp; 4mins to turn the belt on the EBI.</t>
  </si>
  <si>
    <t>12mins waiting for product to be released; 7mins Labeler adjustments for flagging labels; 6mins for stuck crowns; 4mins low air pressure on the Filler; 3mins switching pallet packer;  4mins stoppage for slow packing; &amp; 4mins stoppage for jammed bottles at the in-feed to the Pasteurizer.</t>
  </si>
  <si>
    <t>17mins for stuck crowns &amp; 4mins flushing crowner; 11mins total downtime due to low filling bowl levels (switching BBT's); 8mins EBI downtime for high rejections (neck Finish); 7mins waiting on crates; 7mins Labeler adjustments for neck issues; &amp; 4mins low air pressure on the Filler.</t>
  </si>
  <si>
    <t>December balance</t>
  </si>
  <si>
    <t>13mins change-over downtime; 14mins Coder date adjustment; 9mins Labeler adjustments for Shandy Lime; &amp; 6mins low air pressure on the Packer &amp; Uncaser.</t>
  </si>
  <si>
    <r>
      <t xml:space="preserve">4mins cleaning the Fobber &amp; 4mins to remove foreign object stuck in the chute. 2mins for stuck crowns. 14mins downtime due to a broken bolt on the Shuffler to the Packer; &amp; 5mins backup on line ex. Pasteurizer </t>
    </r>
    <r>
      <rPr>
        <i/>
        <sz val="14"/>
        <color indexed="8"/>
        <rFont val="Arial"/>
        <family val="2"/>
      </rPr>
      <t>(fallen bottles)</t>
    </r>
    <r>
      <rPr>
        <sz val="14"/>
        <color indexed="8"/>
        <rFont val="Arial"/>
        <family val="2"/>
      </rPr>
      <t>.</t>
    </r>
  </si>
  <si>
    <r>
      <t>32mins Washer downtime to re-time the drop plate on the discharge</t>
    </r>
    <r>
      <rPr>
        <i/>
        <sz val="14"/>
        <color indexed="8"/>
        <rFont val="Arial"/>
        <family val="2"/>
      </rPr>
      <t xml:space="preserve"> (bottles were dropping hard &amp; bursting)</t>
    </r>
    <r>
      <rPr>
        <sz val="14"/>
        <color indexed="8"/>
        <rFont val="Arial"/>
        <family val="2"/>
      </rPr>
      <t>. 14mins EBI downtime due to wrong bottle type being selected; 9mins for stuck crowns; 5mins cleaning the Fobber; 10mins low temperature on the Pasteurizer; &amp; 6mins Labeler downtime for missing neck labels.</t>
    </r>
  </si>
  <si>
    <t>54mins Change-over downtime; 3mins Labeler adjustments; Conveyor line ex. Pasteuirzer cut off due to an electrical issue in the panel box; &amp; 3mins stoppage to increase CO2 pressure on the line.</t>
  </si>
  <si>
    <t>7mins Labeler downtime for flagging labels &amp; 13mins adjusting the back magazine on the Labeler; 7mins for stuck crowns; 3mins to change suction cups.</t>
  </si>
  <si>
    <t>26mins Change-over; 19mins low CO2; &amp; 6mins for stuck crowns.</t>
  </si>
  <si>
    <t>16mins Change-over; 12mins low CO2 in the soft drink plant; 12mins low CO2 in the soft drink plant; 7mins Packer adjustments; &amp; 3mins due to stuck crate in the Crate Rinser.</t>
  </si>
  <si>
    <t>28mins Change-over; 9mins low air pressure on the Filler; &amp; 5mins to check filling valves #5 &amp; #8.</t>
  </si>
  <si>
    <t>37mins Change-over; 3mins stuck crowns; &amp; 3mins low bowl level.</t>
  </si>
  <si>
    <t>19mins late start due to low CO2; 3mins downtime due to low filling bowl level.</t>
  </si>
  <si>
    <t>16mins late startup because the head on the Uncaser was not put on properly; 20mins for adjustments on the Packer; 14mins for stuck crowns; 8mins Labeler adjustments for missing neck labels.</t>
  </si>
  <si>
    <t>13mins for stuck crowns; 11mins low water pressure on the Washer; 6mins downtime on line ex. Pasteurizer (3mins for tripping off). 3mins for bottle jams on Pasteurizer in-feed.</t>
  </si>
  <si>
    <t>38mins late start-up due to maintenance work on the EBI. 2mins for stuck crowns.</t>
  </si>
  <si>
    <t>24mins downtime waiting on green bottles; 14mins change-over downtime; 13mins low filling bowl level (air lock on the line); &amp; 6mins low air on the Filler.</t>
  </si>
  <si>
    <t>42mins Labeler adjustments for misaligned labels &amp; labels not sticking; 6mins for stuck crowns; 4mins switching BBT's; &amp; 3mins EBI adjustments.</t>
  </si>
  <si>
    <t>66mins Change-over downtime; 43mins Labeler ajustments for flagging &amp; missing neck labels; &amp; 13mins low temperature on the Pasteurizer.</t>
  </si>
  <si>
    <t>124mins EBI adjustments (High rejections); 21mins Labeler adjustments; &amp; 4mins for stuck crowns.</t>
  </si>
  <si>
    <t>Daily Bottling Hall Summary 2017</t>
  </si>
  <si>
    <t>5mins downtime due to the back-up sensor on the Filler malfunctioning. 3mins for stuck crowns; &amp; 4mins downtime caused by lack of bottles.</t>
  </si>
  <si>
    <t>131mins Change-over from Vitamalt; 9mins stuck crowns &amp; 2mins back-up sensor malfunction. 5mins downtime to increase CO2 on the line; 3mins waiting on pallet packer; 3mins Packer adjustments.</t>
  </si>
  <si>
    <t>30mins Change-over from Stag; 7mins low water pressure on the Washer; &amp; 2mins downtime to increase CO2 on the line.</t>
  </si>
  <si>
    <t>13mins due to foreign object found in bottles past the EBI; &amp; 10mins high rejection. 10mins adjusting the tape on the Sealer. 8mins cleaning &amp; adjusting the rollers on the Sealer; 7mins changing over the Packer from cartons to crates. Pasteurizer stopped for 4mins to separate Flint from CDC Amber; &amp; 10mins low air pressure on the Filler.</t>
  </si>
  <si>
    <t>7mins low pressure on the BBT at the end of filling. 2mins for stuck crowns &amp; 3mins high rejection.</t>
  </si>
  <si>
    <t>15mins downtime investigation to check why some bottles were leaking resulted in 3 worn-out pistons being changed &amp; a crimp test done. 9mins stuck crowns; &amp; 7mins change-over downtime.</t>
  </si>
  <si>
    <t>26mins low water pressure on the Washer due to repairs on the water supply pump (Seal replacement). 18mins downtime caused by lack of water in the condenser in the Soft Drink plant. 20mins Labeler repair @ start-up due to twisting labels (Sponge changed); 16mins downtime on the Uncaser due to a damaged sprocket; 6mins downtime to increase CO2 on the line to end filling; &amp; 5mins stuck crowns</t>
  </si>
  <si>
    <t>48mins late start due to fault with the crown transfer system on the Filler. 6mins for stuck crowns. 12mins and 6mins low air pressure on the Filler &amp; Uncaser respectively; 2mins Labeler adjustments for flagging &amp; missing labels; &amp; 5mins waiting on labels.</t>
  </si>
  <si>
    <t>150mins EBI downtime for repairs and adjustments to the sprocket, shaft, rollers &amp; bearing of the belt drive system; 4mins stuck crowns; Uncaser conveyor line needed adjusting; &amp; 5mins Labeler adjustments.</t>
  </si>
  <si>
    <t>13mins downtime for stuck crowns; 3mins for air dryer fault; 9mins low air pressure on the Filler; 6mins downtime due to bottle jams on line ex. Pasteurizer; &amp; 5mins each for EBI &amp; Labeler adjustments.</t>
  </si>
  <si>
    <t>46mins downtime to replace damaged fingers on the Packer; 12mins adjusting the crate-stop on the Packer; 12mins waiting on pallet packer; 11mins for stuck crowns; 3mins air dryer fault; 4mins bottle jam in the worm; 7mins downtime on line ex. Pasteurizer &amp; 4mins on the in-feed line to the Pasteurizer.</t>
  </si>
  <si>
    <t>142mins downtime for adjustments to the crate stopper on the Packer; 28mins adjusting the centering device &amp; 15mins adjusting the fingers. 13mins downtime for low PU; 8mins for stuck crowns; 4mins bleeding thr Fobber line; 3mins flushing the crowner; &amp; 3mins air dryer fault.</t>
  </si>
  <si>
    <t>14mins Low air pressure on the Filler; 9mins for stuck crowns; 7mins downtime on the Filler due to air faults;  15mins Packer downtime for adjustments; &amp; 9mins downtime due to the backup sensor on the line behind the Pasteurizer malfunctioning.</t>
  </si>
  <si>
    <t>34mins Packer downtime adjusting the centering cup assembly &amp; 12mins for adjustments to fingers and the crate stopper. 18mins downtime resulted from the conveyor leading the Labeler tripping off; 10mins downtime on the line ex. Pasteurizer due to fallen bottles;  10mins for stuck crowns; 9mins downtime caused by Air Dryer faults.</t>
  </si>
  <si>
    <r>
      <t xml:space="preserve">27mins downtime adjusting the Sealer &amp; tape; 21mins Labeler adjustments </t>
    </r>
    <r>
      <rPr>
        <i/>
        <sz val="14"/>
        <color indexed="8"/>
        <rFont val="Arial"/>
        <family val="2"/>
      </rPr>
      <t>(10mins preparation &amp; 11mins for missing body labels)</t>
    </r>
    <r>
      <rPr>
        <sz val="14"/>
        <color indexed="8"/>
        <rFont val="Arial"/>
        <family val="2"/>
      </rPr>
      <t>; 26mins downtime for stuck crowns</t>
    </r>
    <r>
      <rPr>
        <i/>
        <sz val="14"/>
        <color indexed="8"/>
        <rFont val="Arial"/>
        <family val="2"/>
      </rPr>
      <t xml:space="preserve"> (the vibrator was also malfunctioning)</t>
    </r>
    <r>
      <rPr>
        <sz val="14"/>
        <color indexed="8"/>
        <rFont val="Arial"/>
        <family val="2"/>
      </rPr>
      <t>; 6mins air fault; 6mins downtime on the Uncaser to replacing leaking suction cups; &amp; 7mins while switching BBT's.</t>
    </r>
  </si>
  <si>
    <t>January balance</t>
  </si>
  <si>
    <t>6mins uncaser adjustments; 3mins Sealer adjustments; &amp; 3mins waiting on CO2 to push up product to end filling.</t>
  </si>
  <si>
    <t>37mins Change-over downtime; 17mins low CO2 on the Filler; 4mins air dryer fault &amp; 11mins stuck crows; &amp; 6mins Videojet adjustment.</t>
  </si>
  <si>
    <t>Plant Availability (95%)</t>
  </si>
  <si>
    <t>6mins for stuck crowns &amp; 2mins Air dryer fault. 4mins downtime on conveyor ex. Pasteurizer due to fallen bottles.</t>
  </si>
  <si>
    <t>57mins Change-Over downtime; 11mins downtime for stuck crowns; 3mins for air dryer fault; 9mins Packer downtime to change damaged fingers; &amp; 6mins downtime for fallen bottles on the line ex. Pasteurizer; &amp; 3mins for bottle jams on the in-feed line to the Pasteurizer.</t>
  </si>
  <si>
    <t>Change Over % (1.1)</t>
  </si>
  <si>
    <t>48mins adjusting the the centering device &amp; head on the Packer; 13mins adjusting thr Packer fingers; &amp;11mins adjustments to Packer air hose. 11mins Labeler magazine adjustments for missing labels; 6mins for stuck crowns; 3mins air dryer fault; &amp; 2mins bleeding the Fobber line. 6mins adjusting the EBI belt (Rejection table full); &amp; 4mins bottle backup on line ex. Pasteruizer &amp; 3mins on Pasteurizer in-feed line.</t>
  </si>
  <si>
    <t>13mins downtime on the Packer replacing fingers &amp; suction cups; 3mins Air dryer fault on the Filler; 4mins downtime on line ex. Pasteurizer due to fallen bottles; &amp; 2mins on in-feed line to the Pasteurizer.</t>
  </si>
  <si>
    <t>8mins Change-over from Carib to Shandy Ginger; 6mins downtime due to an object being found in a bottle by the manual sighter; 4mins Videojet adjustment; 3mins of fluctuating Fobber pressure &amp; 2mins bleeding the Fobber line.</t>
  </si>
  <si>
    <t>49mins Change-Over downtime from Shandy Ginger to Shandy Lime; &amp; 6mins Labeler adjustments for flagging labels.</t>
  </si>
  <si>
    <r>
      <t xml:space="preserve">50mins downtime on the EBI for high rejections </t>
    </r>
    <r>
      <rPr>
        <i/>
        <sz val="14"/>
        <color indexed="8"/>
        <rFont val="Arial"/>
        <family val="2"/>
      </rPr>
      <t xml:space="preserve">(belt adjustments); </t>
    </r>
    <r>
      <rPr>
        <sz val="14"/>
        <color indexed="8"/>
        <rFont val="Arial"/>
        <family val="2"/>
      </rPr>
      <t>19mins downtime due to a broken kidney on the Washer;  17mins downtime cleaning the Fobber; 9mins for stuck crowns; 7mins adjusting the Filler in-feed worm &amp; 4mins air dryer fault. 6mins low air pressure on the Filler; 6mins Uncaser adjustments; &amp; 4mins Packer adjustments.</t>
    </r>
  </si>
  <si>
    <t>ORNAGE</t>
  </si>
  <si>
    <t>KOLA CHAMPAGNE</t>
  </si>
  <si>
    <t>10mins low water pressure on the Soft Drink Plant.</t>
  </si>
  <si>
    <t>41mins Change-over downtime. 10mins low water pressure on the Soft Drink Plant.</t>
  </si>
  <si>
    <t>13mins Change-over downtime. 10mins low water pressure on the Soft Drink Plant (resulting in low product level in the filling bowl). 3mins Packer adjustments.</t>
  </si>
  <si>
    <t>32mins Change-over downtime. 3mins low filling level as a result of low water pressure.</t>
  </si>
  <si>
    <t>4mins downtime for Air dryer fault on the Filler; 2mins stuck crowns; 8mins downtime switching BBT's; 3mins Labeler adjustments for missing labels; &amp; 2mins switching pallet packer.</t>
  </si>
  <si>
    <t>24mins Packer adjustments to the head (air hose).12mins downtime for jams &amp; fallen bottles on the conveyor line ex. Pasteurizer. 5mins adjusting the in-feed worm on the Filler; 5mins flushing the crowner; 4mins air dryer fault; &amp; 7mins low CO2 on the Filler.</t>
  </si>
  <si>
    <t xml:space="preserve">8mis downtime changing a gasket on the gaf filter line. 5mins Air dryer fault on the Filler. </t>
  </si>
  <si>
    <t>19mins Change-Over downtime; 9mins adjustments to the Packer head; 5mins downtime for jammed &amp; fallen bottles on conveyor ex. Pasteurizer; 2mins Air dryer fault on the Filler &amp; 3mins for stuck crowns.</t>
  </si>
  <si>
    <t>February balance</t>
  </si>
  <si>
    <t>40mins Change-Over downtime; 21mins for repairs to the Uncaser; 2mins air dryer fault &amp; 11mins for stuck crowns; 6mins for  Videojet date adjustment; 8mins downtime switching/waiting on Pallet Packer; &amp; 4mins downtime on conveyor ex. Pasteurizer for jammed bottles &amp; 3mins for jammed bottles on the conveyor ex. Filler.</t>
  </si>
  <si>
    <t>20mins late start fixing a leaking gasket &amp; clamp on the Gaf Filter line; 20mins for repairs to the Uncaser; 5mins for stuck crowns; &amp; 3mins Air dryer fault.</t>
  </si>
  <si>
    <t>74mins late startup due to adjustments/repairs on the EBI passageway. 10mins downtime for stuck crowns; 8mins adjusting the wear strip for the table-top parts; 5mins for adjustments &amp; stuck bottles in the in-feed worm; 8mins Change-over from export to local &amp; 19mins changing from cartons to crates.</t>
  </si>
  <si>
    <t>10mins change-over downtime; 6mins Labeler adjustments for missing neck labels; &amp; 4mins downtime removing bent crown in the bin on top the crowner.</t>
  </si>
  <si>
    <t>6mins low air pressure on the Filler; 4mins for stuck crowns; 2mins flushing the crowner. 2mins due to no crowns in the hopper; &amp; 3mins downtime because crowns had finished in the bin.</t>
  </si>
  <si>
    <t>9mins downtime replacing a broken bolt on the Shuffler for the Packer &amp; 8mins for a broken bolt beneath the Packer. 8mins Labeler startup adjustments due to the operator being late; 6mins downtime due to the crown transfer sensor malfunctioning; 3mins for stuck crowns; 6mins downtime switching BBT's; &amp; 2mins switching Labeler from local to export and 5mins from export to local.</t>
  </si>
  <si>
    <t>10mins late start due to low temperature on the Washer; 10mins downtime resulting from adjustments to the pusher for EBI rejection; 7mins downtime for stuck crowns; 3mins for jammed bottle in the Filler worm; 2mins HPI temperature fault; 6mins downtime switching BBT's (low level in the filling bowl); &amp; 3mins waiting on the forklift.</t>
  </si>
  <si>
    <t>13mins change-over downtime; 2mins EBI adjustments; 1min for stuck crowns.</t>
  </si>
  <si>
    <t>27mins Packer downtime for adjustments to the cup on the head; 11mins downtime for back up on the conveyor line ex. Pasteurizer due to bottle jams. 4mins on line ex. Filler; 8mins downtime for stuck crowns; &amp; 10mins product delay for an air lock on the line.</t>
  </si>
  <si>
    <t>27mins downtime for stuck crowns in the chute; hopper; &amp; bin. 3mins stuck bottles in the in-feed worm; 6mins product delay switching BBT's; &amp; 4mins downtime due to slow packing.</t>
  </si>
  <si>
    <t>42mins downtime for adjustments on the Sealer; 20mins downtime to make adjustments on the Labeler &amp; remove bottles with upside down labels from the line; 16mins low temperature on the Pasteurizer at startup; 13mins downtime for stuck crowns in the chute and hopper. 1min flushing the crowner; &amp; 8mins Labeler adjustments for missing labels.</t>
  </si>
  <si>
    <t>13mins low water pressure in the Soft Drink Plant; 9mins adjusting the guide in the crown transfer chute; 4mins for stuck crowns in the chute; 4mins adjusting the centering cup on the Packer; 5mins adjusting the guard rail; &amp; 4mins Labeler downtime for adjustments.</t>
  </si>
  <si>
    <t>27mins change-over downtime; 7mins for Labeler adjustments; &amp; 4mins Packer downtime for adjustments.</t>
  </si>
  <si>
    <r>
      <t xml:space="preserve">19mins change-over downtime; 24mins Product delay </t>
    </r>
    <r>
      <rPr>
        <i/>
        <sz val="14"/>
        <color indexed="8"/>
        <rFont val="Arial"/>
        <family val="2"/>
      </rPr>
      <t>(Grape mixing was not complete)</t>
    </r>
    <r>
      <rPr>
        <sz val="14"/>
        <color indexed="8"/>
        <rFont val="Arial"/>
        <family val="2"/>
      </rPr>
      <t>; 28mins downtime resulted from the pump in the Soft Drink Plant tripping off (A fuse had to be changed); 8mins downtime for stuck crowns; &amp; 6mins low air pressure on the Filler.</t>
    </r>
  </si>
  <si>
    <t>70mins late start due to a breakdown on the Boiler (low temperature on the Washer &amp; Pasteurizer); 14mins downtime for stuck crowns; 9mins adjusting the Labeler for body labels; 5mins Pasteurizer downtime (hydraulics cut off); &amp; 5mins low CO2 on the Filler.</t>
  </si>
  <si>
    <t>GBL   Plant Utilization @15,000</t>
  </si>
  <si>
    <t>GBL   Plant Utilization @17,000</t>
  </si>
  <si>
    <t>YTD Utilization @ 17,000</t>
  </si>
  <si>
    <t>9mins EBI adjustments (changing the belt); 5mins Labeler downtime for adjustments; 5mins change-over from export to local and local to export; 5mins downtime for bottle jams ex. Pasteurizer; 4mins cleaning the Fobber line; 3mins adjusting the centering bell on the Filler; &amp; 3mins adjusting the in-feed worm on the Filler.</t>
  </si>
  <si>
    <t>GBL   Plant Utilization @ 15,000</t>
  </si>
  <si>
    <t>GBL   Plant Utilization @ 17,000</t>
  </si>
  <si>
    <t>YTD Utilization @ 15k</t>
  </si>
  <si>
    <t>YTD Utilization @ 17k</t>
  </si>
  <si>
    <t>13mins EBI downtime adjusting the blue belt in the passageway; 14mins downtime for stuck crowns in the chute and hopper; 6mins product delat switching BBT's; &amp; 3mins downtime to repair broken rail on the in-feed conveyor to the Packer.</t>
  </si>
  <si>
    <r>
      <t>110mins Washer downtime caused by a damaged motor on the load table; 49mins Labeler downtime for alignment issues at startup</t>
    </r>
    <r>
      <rPr>
        <i/>
        <sz val="14"/>
        <color indexed="8"/>
        <rFont val="Arial"/>
        <family val="2"/>
      </rPr>
      <t xml:space="preserve"> (back station</t>
    </r>
    <r>
      <rPr>
        <sz val="14"/>
        <color indexed="8"/>
        <rFont val="Arial"/>
        <family val="2"/>
      </rPr>
      <t xml:space="preserve">). 15mins of adjustments for flagging labels; 17mins downtime due to low filling bowl level </t>
    </r>
    <r>
      <rPr>
        <i/>
        <sz val="14"/>
        <color indexed="8"/>
        <rFont val="Arial"/>
        <family val="2"/>
      </rPr>
      <t>(explanation needed)</t>
    </r>
    <r>
      <rPr>
        <sz val="14"/>
        <color indexed="8"/>
        <rFont val="Arial"/>
        <family val="2"/>
      </rPr>
      <t>; 15mins Packer downtime for adjustments to the Head; The Videojet cut off for 12mins; &amp; 7mins downtime on line ex. Pasteurizer.</t>
    </r>
  </si>
  <si>
    <t>85mins downtime for repairs to the crown transfer sensor; &amp; 14mins for stuck crowns; 7mins downtime for fallen &amp; jammed bottles on the conveyor line ex. Pasteurizer; &amp; 4mins Packer downtime for adjustments.</t>
  </si>
  <si>
    <t>15mins late startup replacing damaged oring on the gaf filter. 9mins downtime making adjustments for half-fills; 10mins for stuck crowns; 15mins low air pressure on the Filler; 7mins downtime picking up fallen bottles on line ex. Pasteurizer; &amp; 4mins adjusting the in-feed sensor to the Packer.</t>
  </si>
  <si>
    <t>13mins downtime for broken and jammed bottles on line ex. Pasteurizer; 7mins downtime for stuck crowns; &amp; 1min flushing the crowner.</t>
  </si>
  <si>
    <t>GBL Plant Utilization @ 17,000</t>
  </si>
  <si>
    <t>TARGETS</t>
  </si>
  <si>
    <t>100mins downtime repairing a broken guide on the crown transfer shute; 20mins downtime removing bent crowns from the chute and bin on top the crowner; 6mins Labeler downtime for start-up adjustments; 5mins caustic carry over on the Washer; 5mins Packer adjustments; &amp; 3mins air dryer fault.</t>
  </si>
  <si>
    <t>166mins late start-up due to a broken key on the EBI Shaft; 6mins for stuck crowns; 2mins air dryer fault; &amp; 2mins for stuck bottles in the Filler in-feed worm.</t>
  </si>
  <si>
    <t>25mins Change-over downtime; 9mins Videojet adjustments because it was not printing; &amp; 6mins downtime for jammed bottles on conveyor line ex. Pasteurizer.</t>
  </si>
  <si>
    <t>Late start-up due to malfunction on panel that controls the conveyor lines to the Washer &amp; Crate Rinser. 6mins downtime due to the line ex. Washer tripping off &amp; 5mins due to bottle jams on line ex. Pasteurizer.  14mins for stuck crowns; 2mins air dryer fault; 9mins downtime switching pallet packer; &amp; 9mins downtime to low filling bowl level when switching BBT's.</t>
  </si>
  <si>
    <t>17mins Change-over downtime; 3mins for stuck crowns &amp; 2mins air dryer fault.</t>
  </si>
  <si>
    <t>25mins late start waiting for product release; 10mins downtime for low PU. 8mins Pasteurizer downtime for hydraulics malfunction; 9mins for jammed bottle ex. Pasteurizer; 8mins downtime for stuck crowns; 2mins dryer fault; 3mins for jammed bottle in the in-feed worm; &amp; 7mins low bowl level while switching BBT's.</t>
  </si>
  <si>
    <t>March balance</t>
  </si>
  <si>
    <t>58mins waiting on product release (perceived high haze); 33mins downtime resulting from the conveyor ex. Pasteurizer coming off the track; 14mins for jammed bottles on conveyor ex. Pasteurizer.  20mins for stuck crowns in the chute; 10mins stuck crowns in the bin on top the crowner; 8mins flushing the crowner; &amp; 5mins air dryer fault.  9mins adjusting the EBI belt at start-up; &amp; 8mins of caustic carry-over on the Washer.</t>
  </si>
  <si>
    <t>27mins adjusting the fingers on the gripper cylinder for the Labeler; 10mins low steam on the Pasteurizer at start-up &amp; 17mins around mid-day. 21mins delay waiting on product release; 10mins downtime on the Pasteurizer due to the hydraulics malfunctioning; 8mins downtime for jammed bottles on conveyor ex. Pasterizer; &amp; 6mins for stuck crowns.</t>
  </si>
  <si>
    <t>15mins low air pressure on the Uncaser; 6mins change-over downtime; &amp; 6mins stuck crowns &amp; 3mins air dryer fault.</t>
  </si>
  <si>
    <t>20mins late start waiting on product release &amp; 4mins for stuck crowns.</t>
  </si>
  <si>
    <t>14mins change-over</t>
  </si>
  <si>
    <t>22mins change-over.</t>
  </si>
  <si>
    <t>12mins late start waiting on product release; 9mins for stuck crowns; 3mins air dryer faults; &amp; 4mins labeler adjustments.</t>
  </si>
  <si>
    <t>58mins downtime making adjustments on the Labeler back station; 12mins for stuck crowns; 5mins removing jammed bottles from in-feed worm on the Filler; 3mins lost checking the Fobber pressure; &amp; 8mins downtime for jammed bottles on conveyor ex. Pasterizer.</t>
  </si>
  <si>
    <t>19mins late start due to low PU; &amp; 3mins low PU after start up. 10mins downtime for jammed bottles on conveyor ex. Pasteurizer; 2mins to fix rail on line ex. Pasteurizer; 7mins for stuck crowns; 3mins to remove broken/jammed bottle on the Packer; 3mins adjusting a finger on the Packer head; &amp; 4mins switching pallet packer.</t>
  </si>
  <si>
    <t>67mins downtime caused by difficulties resetting the EBI. 62mins adjusting the gripper cylinder on the Labeler due to misaligned labels; 10mins adjustments for missing labels &amp; 6mins caused by the glue pump cutting off; 10mins downtime due to the Conveyor ex. Washer tripping off; 8mins downtime due to bottle jams on conveyor ex. Pasteurizer; 14mins for stuck crowns; 7mins flushing the crowner; 8mins low air pressure on the Uncaser; &amp; 10mins waiting on PU monitor from the Pasteurizer.</t>
  </si>
  <si>
    <t>Cases Per hour (524 @ 17000bph)</t>
  </si>
  <si>
    <t>KOLA CHAMP</t>
  </si>
  <si>
    <t>Cases Per hour (524)</t>
  </si>
  <si>
    <t xml:space="preserve">MACKESON </t>
  </si>
  <si>
    <t>68mins late start up due to the conveyor line ex. Washer tripping off. 85mins EBI downtime to change the drive belt and repair shaft. 13mins for stuck crowns.</t>
  </si>
  <si>
    <t>134mins late due to repairs made on the EBI. 12mins Packer downtime for adjustments; &amp; 6mins for stuck crowns.</t>
  </si>
  <si>
    <t>20mins change-over downtime; 33mins EBI downtime for repairs; 12mins Labeler downtime; &amp; 12mins for stuck crowns.</t>
  </si>
  <si>
    <t xml:space="preserve">1 min crown stuck in transfer plate, 2 mins air dryer fault on filler, 2 mins crwon stuck in chute, 1 min labeller stopped for adjustments,10 mins no water in soft drink plant; 2 mins bottle jam ex-pasteurizer line,1 min product level dropped on carbo cooler; and 3 mins bowl level went low.  </t>
  </si>
  <si>
    <t xml:space="preserve">1 min line empty, 4 mins crown stuck in chute, 5 mins bend crown in chute, 4 mins removing bend crowns from crowner from conveyer bin; 3 mins checking crowner bin for bend crowns,1 min air dryer fault on filler, 1 min bowl level went low; and 7 mins water pressure low in softdrink plant. </t>
  </si>
  <si>
    <t xml:space="preserve">4 mins crown stuck in chute, 4 mins labeller making adjustments at start up, 2 mins packer stopped for adjustments; 7 mins adjusting packer crate stopper, 1 min bottle jam ex-pasteurizer line, 2 mins removing bend crowns from crowner bin; and 3 mins stop to put water on line. </t>
  </si>
  <si>
    <t xml:space="preserve">100 mins EBI under repairs, 3 mins bowl level drop, waiting on product, 1 min crown stuck in chute, 1 min air dryer fault on filler, 2 mins crown stuck in crowner bin; and 2 mins stop to put water on line. </t>
  </si>
  <si>
    <t xml:space="preserve">2 mins crown stuck in chute, 1 min air dryer fault on filler, 1 min bowl level went low, 6 mins back up sensor on filler malfuntioning; 2 mins stop to adjust bottle presence sensor, 30 mins ex- pasteurizer conveyor line jam, 18 mins low water pressure in soft drink plant, 4 mins labeller stopped for adjustments, 2 mins bowl level went low; and 2 mins stop to put water on line. </t>
  </si>
  <si>
    <t xml:space="preserve">4 min air dryer fault on filler, 2 mins back up sensor on filler malfuntioning, 12 mins packer making adjustments, 6 mins crown stuck in chute, 9 mins stop to clean fobber and bleed air from line, 2 mins crowner self flashing, 6 mins bottle jam infeed worm on filler, 9 mins forklift breakdown, packer waiting crates; 38 mins forklift breakdown, uncaser waiting on bottles, 5 mins bowl level went high, 3 mins plate close in hopper, 16 mins stop to change over packer to soft box, 3 mins blend crown stuck in transfer plate, 2 mins crown stuck in hopper, 2 mins crowner self flushing, 3 mins stop to adjust the in feed worm, 9 mins stopped to check broken bottles under crowner, 1 min palletizer changing pallet, 1 min bottle jam ex-pasteurizer line, 2 mins bottle block sensor behind pasteurizer, 2 mins cleaning line to pack pallet, 5 mins cartoon jam on conveyor line packer, 4 mins making space for pasteurizer to run CDC Brown, 4 mins low water pressure on washer, 10 mins changing over packer from cartoon to crate and 13 mins conveyer line to crate; and 13 mins conveyer line to create washer not conveyer.  </t>
  </si>
  <si>
    <t xml:space="preserve">3 mins EBI rejection table full up, 3 mins stop to change bend tube, 29 mins bottle pad on filler run slack, 1 min air dryer fault on filler, 1 min crown stuck in chute, 1 min crown stuck in transfer plate, 1 min crowner self flushing, 1 min bottle jam ex-pasteurizer line, 30 mins waiting on bottles conveyer line by uncaser tripe off; 17 mins packer stop waiting on crate; and 2 mins level low in filling bowl. </t>
  </si>
  <si>
    <t>3 mins crown stuck in chute, 10 min pressure on BBT drop, Co2 hose bend,3 mins plate close in hopper, 1 min pasteurizer in feed back up, 1 min bottle block sensor behind pasteurizer;1 min crowner self flushing, 2 mins packer stop crate stick; and 6 mins packer stop for adjustments.</t>
  </si>
  <si>
    <t xml:space="preserve">2 mins crown stuck in chute, 2mins air dryer fault on filler,1 min bottle jammed ex-filler line; 2 mins bottle jam pasterizer infeed line, 1 min Lab tech installing monitor in the pasteurizer, 2 mins pasteurizer in feed back up,1 mins packer stopped for adjustments, 2 mins packer waiting on crate (stuck on crate washer), 3 mins low air pressure on filler; and 2 mins accumulation table infront packer full.  </t>
  </si>
  <si>
    <t xml:space="preserve">4 mins Labeller making adjustments at start up, 3 mins crowner self flushing,3 mins BBT tank empty,bowl level went low; 1 min palletizer backup, packer stopped, 2 mins packer stopped  for adjustments, 1 min fallen bottle jam shuffler on packer,1 min bottle jam infeed worm on filler, 3 mins waiting on palletizer, 3 mins labeller stop for adjustment, 3 mins waiting for the product, 2 mins air dryer fault on filler, 1 min fallen bottles on ex pasteurizer conveyor, 9 mins crown stick in chute, 2 mins crown stick in hoper; and 4 mins stop to pick up half filled from bed change over.    </t>
  </si>
  <si>
    <t xml:space="preserve">17 mins labeller stop for adjustments, 2 mins labeller adressing missing back labels, 3 mins bottle jam ex-pasteurizer line, 5 mins bad product change over bowl level drop,1 min packer stopped to unstick crate; 4 mins crate stopper on packer malfunction, 2 mins packer stopped for adjustments, 5 mins air dryer fault on filler, 4 mins bottle block sensor behind pateurizer,4 mins crown stick in chute,5 mins sensor on crate washer malfunction, 10 mins broken bottle block sensor on packer, 1 min accumulation table infront packer full, 2 mins bottle jam ex-pasteurizer line, 1 min crowner self flushing, 8 mins valve close by mistake in filtration bowl level went low; and 2 mins lab tech stop pasteurizer to put in PU monitor.  </t>
  </si>
  <si>
    <t>86mins downtime on the Packer making adjustments to the crate stopper, centering device &amp; leaking suction cups. 33mins downtime on the EBI due to a misssing screw on the shaft; 15mins Labeler downtime making adjustments for flagging back labels; 8mins for stuck crowns.</t>
  </si>
  <si>
    <t>34mins downtime cleaning the Fobber line; 9mins for stuck crowns. 18mins downtime to do a crimp test; 7mins Labeler downtime to make adjustments to relabel Vitamalt &amp; 5mins for flagging labels. 9mins low CO2 pressure on the Filler; 9mins downtime adjusting a sensor on the EBI; 6mins for low PU; &amp; 5mins downtime repairing a broken chain on the Uncaser.</t>
  </si>
  <si>
    <t>April balance</t>
  </si>
  <si>
    <t>CARIB (AMBER</t>
  </si>
  <si>
    <t>33mins late start waiting on product release; 18mins for stuck crowns; 5mins low water pressureon the  Fobber; 10mins changing the rails on the line ex. Pasteurizer; 14mins for bottle jammed bottles on line ex. Pasteurizer (bottle block sensor activated); 12mins for adjustments on the Packer; 5mins Labeler downtime for adjustments.</t>
  </si>
  <si>
    <t>26mins Labeler adjustments for missing neck labels; 13mins downtime due to the Videojet not printing; 18mins late start awaiting product release; 4mins for stuck crowns</t>
  </si>
  <si>
    <t>52mins change-over downtime; 16mins low air pressure on the Filler; 11mins for stuck crowns; &amp; 5mins Packer adjustments.</t>
  </si>
  <si>
    <t>23mins low air pressure on the Filler; 10mins low water pressure on the Washer; 10mins Labeler startup adjustments; 14mis for stuck crowns; 6mins cleaning fobber line; &amp; 9mins Packer adjustments</t>
  </si>
  <si>
    <t xml:space="preserve">VITA MALT </t>
  </si>
  <si>
    <t>19mins caustic carry over on the Washer; 19 mins packer downtime because the main air valve not fully open; 12mins for stuck crowns; &amp; 6mins caused by jammed bottles on the Filler in-feed worm.</t>
  </si>
  <si>
    <t xml:space="preserve">STAR MALT </t>
  </si>
  <si>
    <t>272mis downtime due to the base function not reseting on the EBI. 14mins Labeler adjustments; 7mins for stuck crowns &amp; 5mins fixing a leak on the Fobber; &amp; 8mins low CO2 on the Filler.</t>
  </si>
  <si>
    <t>5mins downtime due to low air Pressure on the Filler. 6mins downtime waiting on crowns; &amp; 3mins for stuck crowns.</t>
  </si>
  <si>
    <t>25mins Sealer adustments; 17 mins low air pressure on filler; 23mins downtime crown stuck; 12 mins product delay (switching BBT's); 5 mins downtime fault on air dryer; 16mins stoppage to recode Flint bottles; 11 mins videojet making adjustments because it was not printing; 8 mins adjustment to packer.</t>
  </si>
  <si>
    <t>73mins downtime due to low air Pressure on the Filler; 68mins change-over downtime; &amp; 23mins for stuck crowns</t>
  </si>
  <si>
    <t xml:space="preserve">23mins downtime due to low air on the filler; 3mins downtime changing center cup on uncaser;  4mins crown stuck on chute; 5 mins downtime fault on air dryer; 4 mins downtime removing bend crowns; 11mins downtime removing bend crowns from crowner bin, adjusting crowns; and downtime due to HPI temperature fault on filler </t>
  </si>
  <si>
    <t xml:space="preserve">24mins downtime due to low air pressure on the filler; 14mins low water pressure on washer; 4 mins downtime EBI rection table was filled; 42mins EBI stopped to reset; 10 mins downtime due to a malfunction in the EBI base (EBI not resetting); 4mins air dryer fault on filler; 8mins downtime crown stuck in chute; and 75mins line stop due to the EBI.  </t>
  </si>
  <si>
    <t>2mins downtime fallen bottle jam on ex-filler line; 15mins downtime EBI rejection table was filled, 2mins pressure on BBT drop (bowl level drrop); 2 mins downtime stop to put CO2</t>
  </si>
  <si>
    <t>7 mins downtime crown stuck on chute and Hopper; 8 mins downtime making adjustments to EBI (foreign object in bottle pass EBI rejection).</t>
  </si>
  <si>
    <t xml:space="preserve">5 mins downtime air dryer fault on filler; 7 mins crown stuck on chute; 3 mins plate in hopper closed in; 25 mins downtime due to EBI unable to reset (EBI froze); 122mins downtime making adjustments to EBI; 3 mins EBI rejection table is filled; 12 mins downtime due to high EBI malfuntion rejection; 17mins supervisor stopped EBI to remove foreign object in bottles; and 3 mins downtime waiting on palletizer </t>
  </si>
  <si>
    <t>22mins downtime low air pressure on filler; 4 mins downtime waiting on CO2 to push up product; 2 mins plate in hopper closed in; 1 min air dryer at fault; 2 mins stuck crowns; and 4 mins downtime Labeller making adjustments.</t>
  </si>
  <si>
    <t>2 mins downtime plate in hopper closed in; 2 mins downtime stuck crowns; and 4 mins downtime Labeller making adjustments.</t>
  </si>
  <si>
    <t xml:space="preserve">7mins downtime air dryer fault on filler; 3mins downtime due to stuck crown in chute; 7mins downtime trying to reset EBI (unable to reset); 2mins downtime due to a high level of rejection on the EBI table; 11mins downtime making adjustments to EBI; 2mins due to a continuous rejection of neck finish on the EBI;and 6mins downtime due to a drop in the bowl level on the BBT change over. </t>
  </si>
  <si>
    <t xml:space="preserve">48mins downtime making adjustments to the Caustic carryover on washer; 5mins downtime on the EBI due to making adjustments and clearing EBI table (high rejection); 15mins downtime due to bend crowns on hopper;also to drain and empty hopper belt ; 15mins making adjustments to filler; 270mins downtime on filler caused by the refusal of the discharge conveyer on filler to be turned on automatically; and 10mins Caustic carryover waiting on bottles. </t>
  </si>
  <si>
    <t>25 mins downtime due to high EBI rejection, making adjustments to EBI; 3 mins downtime due to stuck crowns in chute an mini hopper; and 1 min air dryer on filler fault</t>
  </si>
  <si>
    <t>14 mins downtime low water pressure on washer; 60mins downtime due to soft box sealer breakdown; and 45mins due to a malfunction on the sealer.</t>
  </si>
  <si>
    <t xml:space="preserve">17mins downtime due to low air pressure on the filler ; 4mins Krones  tech working on EBI and filler ; 6mins downtime fallen bottle jam infeed worm on filler;  1 min crown self flushing ; 2 mins downtime crown stuck in chute; 14mins downtime making ajustments to Packer; and 4 mins downtime due to a trip off of a empty crate conveyer .
40mins downtime making adjustments to the sealer; </t>
  </si>
  <si>
    <t>12mins low air pressure on filler; 4 mins downtime low CO2 on filler; 4mins downtime crowner self flushing; 7 mins downtime making adjustments to labeller (missing labels);12mins stop to check Videojet (not printing); 15mins downtime making adjustments to ex-filler; 38min downtime due to broken air valve on packer; 71 mins making adjustments to packer; 3 mins downtime accumulation table was filled; 6mins downtime due to making adjustments to valve on soap line; and 2 mins due to slow packing on the palletizer</t>
  </si>
  <si>
    <t>26mins downtime replacing an o-ring on the gaf filter for the Filler; 14mins downtime for adjustments on the Packer (slack sensor); 7mins of low air pressure on the Filler; 3mins downtime due to the coder not printing; &amp; 2mins for stuck crowns.</t>
  </si>
  <si>
    <t xml:space="preserve"> 205 mins late start due to discharge conveyer on filler being unable to start;14 mins packer stopped to tighten fingers; 7 mins downtime low level in filling bowl; 2 mins crown stuck  in chute; 2 mins labeller making adjustments;  5 mins packer making adjustments, 3 mins accumulation table in front packer filled; and 3 mins downtime switching pallet packer.</t>
  </si>
  <si>
    <t>Fill Time for Utilization</t>
  </si>
  <si>
    <t>8 mins downtime due to bad product change over (bowl level drop); 3 mins downtime making adjustments to uncaser; 3 mins downtime bottle jam EBI infeedline;6 mins downtime crowner self flushing; 3 mins crown stuck in chute; 2 mins downtime bottle jam ex-pasteurizer line; 2 mins downtime due to packer operater waiting on crates from conveyer; 2 mins downtime changing pallet packer</t>
  </si>
  <si>
    <t>3 mins downtime due to insufficient crown in hopper</t>
  </si>
  <si>
    <t xml:space="preserve">36 mins downtime due to replacing packing on pump four on washer; 2 mins crown stuck in chute; 2 mins crowner self flushing; 2 mins bottle jam pasteurizer infeedline; 3 mins downtime bottle jam ex-pasteurizer; 4 mins making adjustments to packer; 5 mins downtime stop to replace finger on packer;and  3 mins downtime switching pallet packer </t>
  </si>
  <si>
    <t>38 mins downtime due to low air pressure on filler; 4 mins downtime making adjustments to Labeller;  3 mins making adjustments to EBI ; 3 mins bottle jam ex- pasteurizer line; 2 mins downtime due to fallen bottles that  jam ex- filler line; 2 mins downtime due to bad product change over (bowl level drop); 2 mins downtime crowner self flushing; and  2mins air dryer fault on filler</t>
  </si>
  <si>
    <t>14 mins low water pressure on line in the soft drink plant; and  9 mins downtime low Co2 in soft drink plant</t>
  </si>
  <si>
    <t xml:space="preserve">2 mins downtime making adjustments to packer </t>
  </si>
  <si>
    <t xml:space="preserve">45 mins late start due to EBI and filler discharge line chip ( filler got white screen between Kola champagne to cream soda); 9 mins low level in carbo cooler; and 8 mins downtime stop making adjustments to labeller </t>
  </si>
  <si>
    <t>11 mins downtime making adjustments to videojet; 7 mins downtime low air pressure on filler; 3 mins low water pressure on line;3 mins downtime labeller addressing missing labels; and 2 downtime crowner self flushing</t>
  </si>
  <si>
    <t xml:space="preserve">99 mins downtime due to low air pressure on filler(air dryer issue); 6 mins downtime replacing suction cup stem on packer; 5 mins downtime replacing finger on packer; 4 mins downtime low air pressure on uncaser; 3 mins labeller stop to  replace sponge on griper; 2 mins replacing centering cup on packer; 2 mins downtime due to bowl level in filling bowl went low while switching BBTs; and 2 mins downtime crowner self flushing </t>
  </si>
  <si>
    <t xml:space="preserve">25 mins downtime change over changing over from Export stag to local;19 mins downtime due to a breakdown on the sealer; 11 mins downtime due to glue pump cut off (labeller);10 mins downtime due to missing back labels; 4 mins downtime adjusting EBI sensor; and 2 mins labeller stopped due to label issues </t>
  </si>
  <si>
    <t>80 mins downtime due to leak on the air dryer; 22 mins downtime EBI freeze up therefore the EBI was rebooted;10 mins downtime low air pressure on filler; 6 mins EBI Short bottle kicker unable to function; 4 mins downtime bottle jam ex- pasteurizer line; and 2 mins downtime crowns stuck in hopper</t>
  </si>
  <si>
    <t>5 mins downtime due to faults on packer sensor; 2 mins downtime making adjustments to packer 2 mins downtime stop to put CO2 on line; and 2 mins downtime crowner self flushing</t>
  </si>
  <si>
    <t>44 mins downtime EBI unable to reset and filler bottle stop not responding due to a disconnected line on the filler.; 22 mins late start due to white screen on filler and caustic carryover on washer; 17 mins downtime caustic carry over on washer;12mins downtime to check crowner on filler;8 mins downtime glue pump on labeller cut off; 4 mins changing from promo to regular crowns; 3 mins downtime making adjustments to uncaser; 2 mins bottle jam ex-pasteurizer line;2 mins downtime labeller switching from promo to regular crowns; 2 mins downtime making adjustments to videojet; 2 mins air dryer fault on filler; and 2 mins crowner self flushing</t>
  </si>
  <si>
    <t xml:space="preserve">12 mins downtime cleaning fobber; 5 mins downtime crown stuck in chute;4 mins bottle jam ex-pasteurizer line;  3 mins downtime labeller changing from export to local;3 mins downtime making adjustments to packer; 3 mins changing pallet packer; 2 mins packer stopped;  2 mins making ajustments to Labeller; and 2 mins crowner self flushing </t>
  </si>
  <si>
    <t xml:space="preserve">13 mins adjusting gripper cylinder on labeller; 11 mins making adjustments to the sealer ;10 mins downtime making adjustments to packer;12 mins changing soft box to crates; 9 mins downtime uncaser malfuntioning;  6 mins downtime due to low pressure on fobber line; 6 mins low water pressure on washer; 5 mins stop to straighten fingers; 5 mins downtime making adjustments to the uncaser; 5 mins downtime due to isuues on the sealer; 4 mins downtime making adjustments to the labeller; 3 mins downtime changing from flint to amber;  2 mins crown stuck in hopper;  2 mins downtime packer accumulation table filled; 2 mins bottle jam pasteurizer; 2 mins bottle jam ex- labeller; and 2 mins bottle jame ex- pasteurizer </t>
  </si>
  <si>
    <t>14 mins downtime due to low CO2 on filler ; 6 mins switching from flint to amber; 5 mins downtime due to low fobber pressure;5 mins downtime setting up videojet;3 mins downtime packer stopped to adjust fingers; 2 mins downtime pasteurizer backup fallen bottles jam sensor; and 2 mins downtime labeller seperating flint from amber</t>
  </si>
  <si>
    <t>21 mins downtime making adjustments to the Labeller; 8 mins downtime due to a malfunction of the Hydrualics on the pasteurizer;  5 mins downtime labeller changing over and preparing to label; 4 mins packer stop inorder to change centering cup; 2 mins downtime pasteurizer infeed line backing up; 2 mins downtime bottle jam behind ex-pasteurizer; 2 mins making adjustments to the packer; and 2 mins downtime accumulation table infront packer full</t>
  </si>
  <si>
    <t>9 mins downtime because of a low PU; 5 mins downtime due to low pressure on fobber line; 2 mins downtime preparing to label after low PU; 2 mins stop to tighten bolts on starwheel; 2 mins stop to put CO2 on line; and 2 mins downtime accumulation table infront packer full</t>
  </si>
  <si>
    <t>May balance</t>
  </si>
  <si>
    <t>196 mins downtime due to a malfunction on the hydrualic and pasteurizer; 5 mins downtime due to a stop to do crimp test; 4 mins downtime due to air dryer fault on filler; 3 mins stuck crown in chute; 3 mins downtime due to making adjustments to the labeller; 2 mins crown stuck in hopper; and  2 minsdowntime due to stuck crown in bin ontop crowner</t>
  </si>
  <si>
    <t>319 mins downtime due to a malfuntioning on the EBI; 57 mins issue on washer load table; 10 mins due to space in washer, waiting on bottles; and 5 mins downtime due to a stop to adjust vibrator in bin on crowner</t>
  </si>
  <si>
    <r>
      <rPr>
        <sz val="14"/>
        <color indexed="10"/>
        <rFont val="Arial"/>
        <family val="2"/>
      </rPr>
      <t>3 mins downtime due to air dryer fault on filler</t>
    </r>
    <r>
      <rPr>
        <sz val="14"/>
        <color indexed="8"/>
        <rFont val="Arial"/>
        <family val="2"/>
      </rPr>
      <t>; and 2 mins downtime due to stuck crowns in chute</t>
    </r>
  </si>
  <si>
    <r>
      <t xml:space="preserve">12 mins downtime to adjust video jet; </t>
    </r>
    <r>
      <rPr>
        <sz val="14"/>
        <color indexed="10"/>
        <rFont val="Arial"/>
        <family val="2"/>
      </rPr>
      <t>3 mins downtime due to air dryer fault on filler</t>
    </r>
    <r>
      <rPr>
        <sz val="14"/>
        <color indexed="8"/>
        <rFont val="Arial"/>
        <family val="2"/>
      </rPr>
      <t>;and  2 mins downtime EBI rejection table filled</t>
    </r>
  </si>
  <si>
    <r>
      <t xml:space="preserve">10 mins downtime making adjustments to Videojet ; </t>
    </r>
    <r>
      <rPr>
        <sz val="14"/>
        <color indexed="10"/>
        <rFont val="Arial"/>
        <family val="2"/>
      </rPr>
      <t>9 mins downtime due to air dryer fault on filler;</t>
    </r>
    <r>
      <rPr>
        <sz val="14"/>
        <color indexed="8"/>
        <rFont val="Arial"/>
        <family val="2"/>
      </rPr>
      <t xml:space="preserve"> 8 mins downtime due to stuck crowns in chute; 6 mins downtime due to jam bottles on filler infeed worm; 3 mins making adjustments to the EBI; 2 mins downtime hopper plate closed in; and 2 mins downtime stop to put Co2 on line</t>
    </r>
  </si>
  <si>
    <t>June balance</t>
  </si>
  <si>
    <t>38 mins downtime making adjustments to the videojet; 4 mins downtime due to low air pressure on the filler; and 3 mins downtime due to stuck crowns in chute</t>
  </si>
  <si>
    <t>383 mins downtime due to malfunctioning of the side wall 2 on the EBI; 2 mins downtime due to low Co2; and 2 mins downtime due to stuck crowns in chute</t>
  </si>
  <si>
    <t>390 mins downtime due to issues on the EBI during start up; and 8 mins downtime due to frequent malfunction on the converter sorter crowner</t>
  </si>
  <si>
    <t xml:space="preserve">25 mins downtime making adjustments to the packer; 12 mins downtime due to caustic carryover on washer; 11 mins downtime due to a drop in the pressure on the BBT; 9 mins downtime making adjustments to the labeller; 4 mins downtime due to jam bottles on the ex- filler line and ex- pasterizer line; 3 mins downtime due to stuck crowns in chute;and 2 mins air dryer fault on filler  </t>
  </si>
  <si>
    <t>50 mins late start due to issues on th EBI; 47 mins downtime due to the unavailability of the PLC communication on the EBI; 8 mins downtime BBT bowl level went low; 4 mins downtime due to frequent malfunction of the converter sorter crowner; 2 mins air dryer fault on filler; and 2 mins low CO2 on the filler</t>
  </si>
  <si>
    <t xml:space="preserve">13 mins downtime making adjustments to the packer; 4 mins downtime air dryer fault on filler;and 2 mins due to stuck crowns on filler </t>
  </si>
  <si>
    <t xml:space="preserve">11 mins downtime due to low CO2 on the filler ; 10 mins downtime due to low air pressure on filler ; 9 mins downtime due to a cut off on the Videojet ; 8 mins downtime addressing missing back labels; 3 mins downtime due to stuck crowns in chute; 2 mins downtime due to crowner self flushing; and 2 mins making adjusments to the sealer </t>
  </si>
  <si>
    <t>YTD Efficiency @ 95%</t>
  </si>
  <si>
    <t>14 mins downtime making adjustments to the packer; and 5 mins downtime due to air dryer fault on filler</t>
  </si>
  <si>
    <t>4 mins downtime due to making adjustments to the labeller at start up</t>
  </si>
  <si>
    <t>YTD Plant Availability@ 95%</t>
  </si>
  <si>
    <t>5 mins downtime making adjustments to the packer</t>
  </si>
  <si>
    <t>15 mins downtime making adjustments to the packer; 5 mins bad product change over; and  5 mins downtime due to stuck crowns in chute</t>
  </si>
  <si>
    <t>10 mins late start due to the crate washer not powering up and the pallet jack could not be found; 6 mins downtime due to air dryer fault on the filler;5 mins downtime due to stuck crowns in chute; 3 mins bottle jam infeed worm on the filler;3 mins stop due to low PU; 2 mins downtime crowner self flushing; 2 mins removing bend crowns from crowner bin; and 2 mins low pressure on fobber</t>
  </si>
  <si>
    <t>141mins downtime on the EBI for reprogramming of the CDC Green bottle parameters and trigger. 23mins downtime due to a fault on the Filler crown stopper. 30mins Labeler downtime for adjustments to the magazine due to missing neck labels. 6mins for stuck crowns &amp; 3mins air dryer fault.</t>
  </si>
  <si>
    <t>8 mins making adjustments to the EBI; 5 mins bad product change over; ; 4 mins downtime crown stuck in chute; 2 mins low pressure on fobber line;and  2 mins adjusting centering cup on packer</t>
  </si>
  <si>
    <t>14 mins dowtime to adjust test bottles for EBI; 10 mins downtime making adjustments to the sealer; 8 mins downtime inorder to clean the roller on the sealer;  5 mins waiting on someone to close carton; 5 mins waiting on carton; 4 mins due to stuck crowns in chute; 2 mins air dryer fault on filler; and 2 mins crowner self flushing</t>
  </si>
  <si>
    <t>355mins late start due to reprogramming of the EBI communication &amp; parameters; 30 mins downtime due to electrical fault; 10 mis downtime changing labels; 9 mins downtime replacing damage finger on packer; 7 mins replacing finger on packer; 6 mins due to crowner self flushing; 5 mins backing up sensor fault; 4  mins due to stuck crowns on filler; 4 mins downtime fallen bottles block ex- pasteurizer line; 4 mins downtime bottle jam pasterizer line; 3 mins air dryer fault on filler; 3 mins changing packer centering cup; 2 mins making adjustments to packer;  2 mins due to a leakage on the packer centering cup; and 2 mins due to malfuntioning on the packer head sensor</t>
  </si>
  <si>
    <t>315mins downtime due to a Software malfunction on the EBI whereby parameter, settings &amp; communication was not responding.  156mins Planned downtime due to General Staff meeting.</t>
  </si>
  <si>
    <t xml:space="preserve">12 mins accumulation table was filled; 17 mins downtime due to PLC communication fault on packer ; 12 mins downtime waiting on maintainance technicians; 7 mins adjusting the packer; 4 mins waiting on pallet packer; 3 mins air dryer fault on filler; 2 mins crown stuck in chute;  2 mins bottle jam in infeed on filler </t>
  </si>
  <si>
    <t>6 mins making adjustments to the packer; 5 mins downtime due to crate washer infeed conveyer trip off ; 4 mins waiting on botles from the washer ;3 mins making adjustments to the videojet; 3 mins switching BBT; 3 mins accumulation table infront packer is filled; 2 mins hydraulics on pasteurizer malfunctioned; 2 mins low co2; 2 mins bottle jam ex- pasteurizer line; and 2 mins downtime to change centering cup stem</t>
  </si>
  <si>
    <t>34mins Packer downtime to adjust &amp; change centering cups; 9mins addressing the issue of labels blocking a sensor on the Packer; &amp; 6mins adjusting the shuffler assembly on the Packer. 21mins downtime for adjustments on the Labeler back station. 19mins downtime switching Packer from catons to crates. 15mins downtime due to the Videojet not printing. 10mins for stuck crowns; 8mins Filler Air dryer fault; 6mins low air on the Filler. 8mins low air pressure (entire plant)</t>
  </si>
  <si>
    <t>10mins caustic carry-over on the Washer. 14mins downtime for stuck crowns; 7mins for air dryer fault. 8mins adjusting the Videojet coder; &amp; 5mins downtime for missing bottle labels.</t>
  </si>
  <si>
    <t>5mins adjustment Filler infeed worm for  jammed bottles; 4mins for stuck crowns;&amp; 3mins Filler air dryer fault. 10mins downtime for  Packer head adjustments; 10mins delay in product release; 4mins for falling/jammed bottles on conveyor line ex. Pasteurizer.</t>
  </si>
  <si>
    <t>54mins Change-over downtime from Carib to Ting; 3mins for stuck crowns; 2mins adjusting the bottle-stop; 3mins for jammed bottles in the worm; &amp; 1mins flushing the crowner.</t>
  </si>
  <si>
    <t>31mins making adjustments on the Sealer (tape adjustments, tape gum removal). 15min downtime to remove broken bottles from the Packer Shuffler; 22mins making adjustments to the Packer head; &amp; 9mins changing the centering cups. 23mins Labeler downtime for missing labels caused by a missing spring on the gripper cylinder.</t>
  </si>
  <si>
    <t>10 mins downtime making adjustments to the packer; 8 mins downtime adjusting suction cup stem;  4 mins downtime due to jam bottles on the ex- pasteurizer line ; 2 mins adjusting packer infeed conveyer; 2 mins accumulation on packer table;</t>
  </si>
  <si>
    <t>3 mins downtime due to stuck crowns in chute; 3 mins downtime due to low CO2 on line; 3 mins making adjustments to the packer</t>
  </si>
  <si>
    <r>
      <rPr>
        <sz val="14"/>
        <color indexed="10"/>
        <rFont val="Arial"/>
        <family val="2"/>
      </rPr>
      <t>63mins repairing the crown turner on the Fille</t>
    </r>
    <r>
      <rPr>
        <sz val="14"/>
        <color indexed="8"/>
        <rFont val="Arial"/>
        <family val="2"/>
      </rPr>
      <t>r; 5mins for stuck crowns. 26mins downtime changing the Packer head from cartons to crates. 20mins change-over downtime.</t>
    </r>
  </si>
  <si>
    <t xml:space="preserve">34 mins downtime due to continuous base rejection on the EBI; 7 mins no pressure on BBT;  6 mins downtime due to a drop in temperature on the pasteurizer; 5 mins downtime air lock in beer line; 3 mins low CO2; 3 mins downtime due air dryer fault on filler; and 3 mins making adjustments to the packer (bottles broken inside units) </t>
  </si>
  <si>
    <t xml:space="preserve"> 23 mins downtime due to a  broken screw on crown transfer chute; 12 mins downtime replacing centering cup on packer; 7 mins downtime making adjustments to the packer; 4 mins making adjustments to the EBI; 4 mins downtime air dryer fault on filler; 3 mins downtime crown stuck in chute; 2 mins removing bend crowns from crowner bin</t>
  </si>
  <si>
    <t xml:space="preserve">140 mins downtime making adjustment to the Ginseng apple; 5 mins low air pressure on the filler; and 2 mins crown stuck in hopper </t>
  </si>
  <si>
    <t xml:space="preserve">
167 mins downtime due to a broken shaft for encoder under the filler; 17 mins making adjustments to the sealer; 15 mins downtime waiting on cartons while conveyor line to the Packer was being repaired; 10 mins addressing flagging label; 7 mins downtime due to back up of side wall 2;  6 mins backing up the sealer; 5 mins switching pallet packers; 5 mins downtime addressing missing neck labels and labels on sensor;  4 mins downtime crowner self flushing; 3 mins stop to adjust labeller worm;  2 mins air dryer fault on filler; and 2 mins due to jam broken bottles on ex-pasturizer </t>
  </si>
  <si>
    <t>B. Efficiency YTD</t>
  </si>
  <si>
    <t>B. Efficiency MTD</t>
  </si>
  <si>
    <t xml:space="preserve">39 mins downtime due to caustic carryover on washer; 25 mins late start due to low caustic strength; 25 mins downtime due broken kidney on washer; 25 mins late start making adjustments to  crowner to get the right crimp; 16 mins downtime restarting the filler due to a blank screen; 14 mins downtime due to low water pressure on washer line (empty); 5 mins for stuck crowns; 5 mins downtime PLC communication unavailable on EBI;  4 mins air dryer fault on filler; 3 mins downtime switching BBT's; and 2 mins downtime due to empty crowner bin </t>
  </si>
  <si>
    <t>20 mins  late start waiting on bottles; 13 mins downtime due to low CO2 on the filler; 8 mins downtime due to a loose chain on the conveyer ( chain came of track); 7 mins downtime making adjustments to the labeller; 6 mins air dryer fault on filler; 5 mins downtime due to bad product change over (BBT went low); 4 mins downtime waiting on BBT in filtration to be changed over; 4 mins crowner self flushing;3 mins making adjustments to the packer; and 3 mins downtime due to stuck crowns in chute</t>
  </si>
  <si>
    <t>62mins downtime to repair a steam leak on a gasket for the Pasteurizer steam line. 17mins downtime for Labeler start-up adjustments (alignment). 10mins downtime due to Filler air dryer fault; 7mins for stuck crowns. 7mins for low PU; &amp; 6mins due to fallen/jammed bottles on conveyor line ex. Pasteurizer.</t>
  </si>
  <si>
    <t xml:space="preserve">352 mins late start adjusting and repairing bottling chain on the washer ;7 mins making adjustments to the labeller; 5 mins downtime observing broken bottles infront washer; 4 mins downtime air lock on beer line (bowl level went low);2 mins downtime bottles jam ex-pasteurizer ; and  2 mins downtime due to bend crowns stuck in chute </t>
  </si>
  <si>
    <t>Jan</t>
  </si>
  <si>
    <t>Feb</t>
  </si>
  <si>
    <t>Mar</t>
  </si>
  <si>
    <t>Apr</t>
  </si>
  <si>
    <t>May</t>
  </si>
  <si>
    <t>Jun</t>
  </si>
  <si>
    <t>Jul</t>
  </si>
  <si>
    <t>Aug</t>
  </si>
  <si>
    <t>Sep</t>
  </si>
  <si>
    <t>Oct</t>
  </si>
  <si>
    <t>Nov</t>
  </si>
  <si>
    <t>Dec</t>
  </si>
  <si>
    <t>YTD</t>
  </si>
  <si>
    <t>Change-Overs (2016 vs 2017)</t>
  </si>
  <si>
    <t>% Chng.</t>
  </si>
  <si>
    <t>CHANGE OVER DOWNTIME (Target 25% reduction from previous year)</t>
  </si>
  <si>
    <t>Target -25%</t>
  </si>
  <si>
    <t>Change Over</t>
  </si>
  <si>
    <t>20mins change over</t>
  </si>
  <si>
    <t>25mins change over. 12 mins due to low water pressure in soft drink plant; and 2 mins bowl level went low</t>
  </si>
  <si>
    <t xml:space="preserve">33mins changeover. 8 mins downtime low water pressure in carbo cooler </t>
  </si>
  <si>
    <t>From</t>
  </si>
  <si>
    <t>To</t>
  </si>
  <si>
    <t>Carib</t>
  </si>
  <si>
    <t>Stag</t>
  </si>
  <si>
    <t>Mackeson</t>
  </si>
  <si>
    <t>Ting</t>
  </si>
  <si>
    <r>
      <t xml:space="preserve">38 mins making adjustments to the labeller; </t>
    </r>
    <r>
      <rPr>
        <sz val="14"/>
        <color indexed="10"/>
        <rFont val="Arial"/>
        <family val="2"/>
      </rPr>
      <t>16 mins downtime PLC communication on EBI unavailable</t>
    </r>
    <r>
      <rPr>
        <sz val="14"/>
        <rFont val="Arial"/>
        <family val="2"/>
      </rPr>
      <t>; 15 mins due to a jam on the crowns conveyer;12 mins downtime due to jam bottles on the ex- pasteurizer line;11 mins downtime due to tripped conveyer at pasteurizer discharge;10 mins stop to put crowns in small bin; 8 mins downtime adressing missing labels; 6 mins downtime preparing labeller afer low PU; 5 mins downtime tightening the bolts on packerhead;  5 mins downtime crowner self flushing; 5 mins downtime crown stuck in crowner bin; 4 mins downtime due to a cutt off on the Videojet; 4 mins due to stuck crowns in chute; 4 mins downtime due to low PU; 4 mins downtime bend crowns stuck in transfer plate; 3 mins air dryer fault on filler; 2 mins due to full accumulation table; and  2 mins downtime due to a broken bolt on packer shuffler</t>
    </r>
  </si>
  <si>
    <r>
      <rPr>
        <sz val="14"/>
        <color indexed="10"/>
        <rFont val="Arial"/>
        <family val="2"/>
      </rPr>
      <t xml:space="preserve">45 mins late start due to PLC communication fault on the EBI </t>
    </r>
    <r>
      <rPr>
        <sz val="14"/>
        <color indexed="8"/>
        <rFont val="Arial"/>
        <family val="2"/>
      </rPr>
      <t xml:space="preserve">(unit had to be restarted); and scuffing and side wall1 was not resetting; 33 mins downtime making adjustments to the Labeller; 43 mins downtime due to broken kidney on the washer; 10 mins downtime due to block of the pocket (line empty); 6 mins due to bad product change over; 5 mins due to stuck crowns in chute; 2 mins downtime plate in hopper closed in; 2 mins air dryer fault on filler; 2 mins crowner self flushing; and 2 mins low CO2 on line </t>
    </r>
  </si>
  <si>
    <r>
      <rPr>
        <sz val="14"/>
        <color indexed="10"/>
        <rFont val="Arial"/>
        <family val="2"/>
      </rPr>
      <t>20mins late start-up adjusting the height of the EBI</t>
    </r>
    <r>
      <rPr>
        <sz val="14"/>
        <rFont val="Arial"/>
        <family val="2"/>
      </rPr>
      <t>;15 mins downtime making height adjustments on the crowner at start up; 12 mins due to low CO2 on the filler; 2 mins downtime due to a malfunction on the hyraulics on pasteurizer; and 2 mins bowl level went low</t>
    </r>
  </si>
  <si>
    <r>
      <rPr>
        <sz val="14"/>
        <color indexed="10"/>
        <rFont val="Arial"/>
        <family val="2"/>
      </rPr>
      <t>58 mins downtime adjusting uncaser conveyor rail</t>
    </r>
    <r>
      <rPr>
        <sz val="14"/>
        <rFont val="Arial"/>
        <family val="2"/>
      </rPr>
      <t>; 9 mins late start changing over the filler</t>
    </r>
    <r>
      <rPr>
        <i/>
        <sz val="14"/>
        <rFont val="Arial"/>
        <family val="2"/>
      </rPr>
      <t>( materials for JCool to Stag</t>
    </r>
    <r>
      <rPr>
        <sz val="14"/>
        <rFont val="Arial"/>
        <family val="2"/>
      </rPr>
      <t>); 7 mins stop on the packer to change hose fitting 7 mins adjusting uncaser case stop; 5 mis downtime making adjustments to the uncaser; 5 mins downtime crowner self flushing; 3 mins delay on the conveyer (waiting on crates); 2 mins downtime bottle jam ex- pasteurizer line; 2 mins stop on the filler inorder to put spring back in place on the chute; 2 mins downtime crown stuck in chute; 2 mins air dryer fault on filler; and 2 mins downtime changing centering cup stem on the packer</t>
    </r>
  </si>
  <si>
    <t>78 mins downtime due to a slip off of the chain on the washer ( kidney drive came off); 43 mins downtime making adjustments to the timing on the washer; 35 mins issue on the washer that resulted in a frequency of bottles been broken at discharge; 11 mins downtime to make adjustments to the kidney assembly; 10 mins downtime making adjustments to the labeller; 6 mins downtime due to bursted soap line on the washer; 4 mins downtime inorder to clean roller on the sealer; 3 mins making adjustments to cartoon sealer; 3 mins downtime crowner self flushing; 3 mins downtime due to a plate close in on the hopper</t>
  </si>
  <si>
    <t xml:space="preserve">12 mins downtime due to low PU; 3 mins downtime addressing flagging labels </t>
  </si>
  <si>
    <t xml:space="preserve">24 mins product change over; 16 mins late start waiting on a rise of temperature on the pasteurizer;  5 mins downtime making adjustments to the labeller; 4 mins downtime due to a slow down of the hyraulics on the pasteurizer </t>
  </si>
  <si>
    <t xml:space="preserve">34 mins late start up due to low temperature on the washer; 10 mins downtime changing centering cup; 7 mins downtime due to temperature issue on the pasteurizer; 4 mins downtime adjusting pasteurizer infeed guide; and 2 mins downtime to tightening letter arm on filler </t>
  </si>
  <si>
    <t xml:space="preserve">24 mins downtime due to a drop in the product bowl level (low pressure); 20 mins late start due to no air on the filler and crowner; 18 mins downtime addressing missing back labels; 13 mins downtime due to empty crate washer; 10  mins dowtime on the washer to removing short bottles from line; 7 mins downtime due to changing damaged air hose connector on the uncaser; 7 mins downtime due to air dryer fault on filler; 6 mins downtime due to broken rod in crown hopper; 4 mins due to empty hopper; 3 mins downtime due to switching pallet packer; and 3 mins downtime crowner self flushing </t>
  </si>
  <si>
    <t>14 mins late start waiting on stag bottles to be cleared on the line; 9 mins product change over; 7 mins downtime crate washer conveyer came off rail; and 5 mins downtime to check leaking centering cup on filler</t>
  </si>
  <si>
    <t xml:space="preserve">91 mins downtime due to a broken drive chain on the washer load table; 7 mins downtime due to low air pressure (entire wall);  5 mins downtime due to no air on the filler and also low water pressure on the washer; 4 mins downtime switching bottle type; and 4 mins downtime due to air dryer fault on filler </t>
  </si>
  <si>
    <t xml:space="preserve">100mins PLC communication fault on the Filler; 177mins downtime due to no communication with sidewall 2 &amp; base CPU card. (Swapped back panel for sidewall 2/Base frame grapper &amp; inner-sidewall frame grabber); 192 mins downtime due to burn main drive motor on the washer; 25 mins downtime due to a fault on the PLC communication on the EBI;  and 3 mins downtime due to a drop in the bowl level </t>
  </si>
  <si>
    <t>142mins downtime due to malfunction on conveyor in-feed to the Labeler. Another 16mins downtime after ex. Pasteurizer line had cut off; 6mins downtime due to low PU. 4mins downtime after tank 4 on the Pasteurizer cut off. 3mins downtime for Labeler start-up adjustments &amp; 4mins adjustments for missing labels. 4mins product delay (empty BBT). 3mins for falling bottles on ex. Labeler line; 2mins for bottle jams on line ex. Pasteurizer.</t>
  </si>
  <si>
    <t>Shandy Sorrel</t>
  </si>
  <si>
    <t>275mins EBI downtime due to a system lag &amp; CPU card non-communication (inspections not working). 43mins downtime repairing the in-feed worm on the Filler. 30mins low steam on the Washer at start-up. 24mins installing new rods in the crown bin. Videojet coder was not printing for 52mins. 15mins downtime on the Pasteurizer caused by sticking hydraulics.</t>
  </si>
  <si>
    <t>65 mins downtime Caustic carry over;15 mins downtime inorder to change date code on the videojet; 10 mins downtime due to low air pressure;10 mins high rejection on the EBI at start up; 7 mins downtime pasteurizer stop to change wire on pump #4; 6 mins downtime lab tech stop labeller for glue usage test; 5 mins downtime EBI side wall back up activated by fallen bottles; 5 mins stop adjusting the PLC sensor on the EBI;5 mins waiting on product; 4 mins air dryer fault on filler; 4 mins for bottle jam on pasteurizer infeed</t>
  </si>
  <si>
    <t>210mins EBI downtime due to CPU card malfunctioning &amp; disabling parameters. 25mins Packer adjustments to fingers &amp; cups. 23mins downtime for jammed bottles on in-feed line to the Pasteurizer. 13mins Labeler adjustments for missing neck back &amp; body labels. 13mins draining water from the filling bowl. Videojet coder wasn't printing for 8mins. 7mins low air pressure on the Filler; 5mins for stuck crowns; 6mins flushing the crowner; 5mins air dryer fault.</t>
  </si>
  <si>
    <t xml:space="preserve">50mins adjustments on the Washer's label extractor; 20mins for EBI PLC communication error. 4mins Labeler adjustments for missing neck labels. </t>
  </si>
  <si>
    <t>62mins change-over downtime. 18mins downtime for bottle jams on Pasteurizer in-feed line. 13mins low CO2 on the Filler; 9mins air dryer fault; 6mins for stuck crowns &amp; 6mins flushing the crowner.</t>
  </si>
  <si>
    <t xml:space="preserve">64mins downtime repairing a steam leak on the Washer (damaged gasket). 29mins low CO2 on the Filler. 16mins repairing glue pump on the Labeler. Accumulation table to the Packer cut off for 8mins; 7mins for fallen bottles ex. Pasteurizer line. 6mins bottle back up on in-feed line to the Pasteurizer. 8mins Packer adjustments 6mins for crowner flush; 5mins air dryer fault; 5mins addressing overfilled bottles; 7mins due to no crowns in the hopper; 8mins for stuck crowns. </t>
  </si>
  <si>
    <t xml:space="preserve">11 mins downtime due to a broken bolt on the packer shuffler;10 mins late start uncaser personnel arrived late; 6 mins downtime making adjustments on the packer; 6 mins downtime hydraulics on the pasteurizer kept slowing down;  3 mins downtime switching pallet packer; and 3 mins downtime crowner self flushing </t>
  </si>
  <si>
    <t xml:space="preserve">35 mins product change over;32 mins downtime due to low CO2 in the soft drink plant; 31 mins downtime waiting on lab tech to taste product; 16 mins downtime due to low water pressure on the washer; and 10 mins downtime due to low water pressure in soft drink plant </t>
  </si>
  <si>
    <t xml:space="preserve">8mins change-over downtime. 7mins waiting on product for bottling. 6mins for bottle jams ex. Pasteurizer. 6mins downtime switching Pallet Packer; 3mins lost due to slow packing. </t>
  </si>
  <si>
    <t>30mins low Pasteurizer temperature resulted in a late start. 17mins EBI downtime for a malfunctioning sensor. 8mins waiting for Carib bottles to be cleared from the line. 4mins stoppage for low PU. 4mins air dryer fault; 3mins for crowner flush. Conveyor ex. Pasteurizer cut off for 4mins</t>
  </si>
  <si>
    <t>7mins Pasteurizer downtime due to the hydraulics malfunctioning. 9mins downtime due to the scent of the chemicals from the CIP plant being unbearable. 3mins air dryer fault; 3mins crowner flush. 4mins downtime for back up ex. Pasteurizer line because no one was stationed there.</t>
  </si>
  <si>
    <t>105mins low CO2 to the Bottling Hall.  9mins crowner flush; 2mins air dryer fault; 4mins stuck crowns. 4mins bottle jams on line ex. Pasteurizer. 8mins Packer adjustments.</t>
  </si>
  <si>
    <t>Ratio</t>
  </si>
  <si>
    <t>249mins product delay from filtration. 12mins low air pressure on the Filler &amp; 4mins on the Uncaser. (Air compressor cut off). 11mins low CO2 on the Filler (switching CO2 tanks). 15mins adjusting the centering cup stem on the Packer. 9mins for Hydraulic malfunction on the Pasteurizer. 6mins flushing the crowner; 4mins for stuck crowns; 2mins air dryer fault.</t>
  </si>
  <si>
    <t xml:space="preserve">41 mins downtime  change over; 12 mins making adjustments to the labeller; 11 mins downtime due to due to a malfunctioning of the hydraulics on the pasteurizer; and 7 mins downtime making adjustments to the video-jet </t>
  </si>
  <si>
    <t>71 mins line stop by supervisor for meeting; 26 mins downtime due to low temperature on the pasteurizer; 18 mins late start waiting on bottles from the washer; 11 mins downtime crowner self flushing; 11 mins downtime due to a malfunction of the hydraulics on the pasteurizer ; 8 mins pasteurizing starmalt draft; 5 mins downtime due to a mistake made by filtration operator (close Valve); 4 mins waiting on product; 4 mins downtime cleaning and repositioning uncaser sensor;  4 mins downtime sir dryer fault on filler; 4 mins low low air pressure on the uncaser; 4 mins downtime packer accumulation filled; 3 mins downtime due to a run off of crown in hopper; and 3 mins downtime ex- pasteurizer conveyer trip off</t>
  </si>
  <si>
    <t>55 mins product change over; 3 mins downtime due to full accumulation table on packer; 3 mins dowtime switching shandy bottles from export to local</t>
  </si>
  <si>
    <t xml:space="preserve">53 mins downtime due to servicing the glue pump on the labeller; 15 mins late start waiting on Lab tech to do necessary tests; 9 mins downtime due to hyraulics on pasteurizer slowing down; 8 mins downtime making adjustments to the sealer ; 4 mins downtime packer accumulation table got filled </t>
  </si>
  <si>
    <t>August balance</t>
  </si>
  <si>
    <t>22 mins late start due to ex-uncaser conveyer being unable to start; 11 mins downtime due to a malfunctioning of the hydraulics on the pasteurizer;  and 10 mins due to low air pressure on the filler( changing filter on the line)</t>
  </si>
  <si>
    <t>39 mins product change over ;  14 mins late waiting on bottles from the washer ; 10 mins downtime making adjustments to the labeller; 9 mins downtime making adjustments to the videojet; and 6 mins downtime due to adressing missing neck labels</t>
  </si>
  <si>
    <t>July balance</t>
  </si>
  <si>
    <t>53 mins PLC Communication unavailable on the EBI24mins downtime making adjustments to the labeller; 6 mins downtime flagging missing labels; 6 mins downtime due to low air pressure on the filler; 4 mins downtime crown stuck in chute; 4 mins downtime waiting for CO2 to push product (low CO2); and 4 mins crowner self flushing</t>
  </si>
  <si>
    <t>3 mins downtime due to hydraulics malfunction on the pasteurizer</t>
  </si>
  <si>
    <t>14 mins product change over( 7 mins filler was ready; 7 mins waiting for the line to be cleared of Stag); 6 mins downtime waiting on lab tech to release more Carib; 5 mins downtime due to Hydraulics malfunction on the pasteurizer; and  4 mins downtime crowner self flushing</t>
  </si>
  <si>
    <t>19 mins late start waiting on the monitor to come of the pasteurizer;</t>
  </si>
  <si>
    <t xml:space="preserve">19 mins product change over;15 mins downtime making adjustments to the videojet </t>
  </si>
  <si>
    <t>135 mins late start due to a shut down on the EBI (PLC communication fault); 60 mins late start due to issues on the washer (pump four not working, label extractor jammed); 22 mins downtime making adjustments to the videojet; 11 mins addressing missing back labels; 9 mins making adjustments to the labeller at start up;  8 mins low CO2 on line; 4 mins due to low air pressure on the filler; 4 mins air dryer fault on the filler; 4 mins crowner self flushing;and 3 mins crown stuck in chute</t>
  </si>
  <si>
    <t xml:space="preserve">7 mins late start waiting on bottles from the washer;  6 mins late start waiting on sigther;and 3 mins air dryer fault on filler </t>
  </si>
  <si>
    <t>76 mins product change over; 14 mins downtime videojet was unable to print properly ; 11 mins downtime bottle jam ex- pasteurizer line ; 8 mins downtime due to Hydrualics malfunctioning on the pasteurizer; 6 mins downtime due to a broken shuffler bolt on the packer; 5 mins downtime removing the short bottles that was loaded in error;5 mins downtime crowner self flushing; and 4 mins air dryer fault on filler</t>
  </si>
  <si>
    <t>10 mins late due to high temperature on the EBI; 10 mins downtime due to no space to pack forklift outside; as a result the packer had to stop. 5 mins downtime crowner self flushing; and 4 mins downtime air dryer fault on the filler</t>
  </si>
  <si>
    <t xml:space="preserve">16 mins product change over </t>
  </si>
  <si>
    <t xml:space="preserve">20 mins downtime addressing missing back labels; 20 mins downtime due to the inability of the crate conveyer to function;  17 mins downtime making adjustments to the videojet (not printing) ; 10 mins downtime changing fro soft box to crates; 6 mins downtime changing from export to local;6 mins late start due to Hydrualics malfunctioning on the pasteurizer; 4 mins downtime due to uncaser malfunctioning; 4 mins crowner self flushing; and 4 mins downtime making adjustments to the labeller </t>
  </si>
  <si>
    <t>15 mins downtime due to Hydrualics malfunction on the pasteurizer;6 mins downtime to adjust flagging missing neck labels; 5 mins downtime due to stuck crowns in chute; 4 mins downtime crowner self flushing; and 4 mins product change over from Flint Local to Amber</t>
  </si>
  <si>
    <t>28 mins late start due to no PLC communication on the EBI</t>
  </si>
  <si>
    <t xml:space="preserve">45 mins downtime due to high teperature on the EBI; 41 mins product change over; 19 mins downtime making adjustments to the labeller; 11 mins addressing flagging body labels; 4 mins making adjustments to the videojet; 4 mins bowl level went low; and 3 mins downtime due to hydraulics malfunction on the pasteurizer </t>
  </si>
  <si>
    <t>38 mins setting up the videojet ; 26 mins late start due to the inability of the infeed worm on filler to respond; 13 mins downtime due to hydraulics malfunctioning on the pasteurizer;  8 mins downtime infeed worm on labeller out of timing; 6 mins downtime due to high temperature on the EBI; 4 mins air dryer fault on the filler; 3 mins downtime crowner self flushing; and 3 mins due to stuck crowns in chute</t>
  </si>
  <si>
    <t xml:space="preserve">62 mins late start due to EBI base sensor not pulsing </t>
  </si>
  <si>
    <t>24 mins making adjustments to the packer head and the packer; 12 mins product change over ;9 mins downtime due to high temperature on the EBI; 7 mins downtime labeller infeed line got jammed; 6 mins downtime making adjustments to the labeller</t>
  </si>
  <si>
    <t>31 mins product change over; 5 mins doentime due to low water pressure in soft drink plant ; 21 mins downtime making adjustments to the gripper cylinder; 8 mins addressing missing labels; 4 mins downtime due to low bowl level; 4 mins downtime due to high temperature on the EBI</t>
  </si>
  <si>
    <t xml:space="preserve">24 mins product change over  </t>
  </si>
  <si>
    <t>297 mins late start due to PLC communication malfunction on the EBI; 163 mins downtime caused by a burnt output module on the EBI (device net error) ; 11 mins downtime BBT bowl level went low;  7 mins downtime due to slow running of the labeller (bottles backed up); and 5 mins downtime making adjustments to the labeller</t>
  </si>
  <si>
    <t>71 mins downtime due to faulty camera CPU (sidewall 1 &amp; Base); 24 mins downtime due to a malfunctioning of the Labeller back up sensor; 22 mins downtime making adjustments to the labeller; 16 mins downtime due to the videojet being unable to print ;8 mins downtime labeller infeed line got jammed; 5 mins downtime due to air dryer fault on the filler ; 4 mins downtime due to low air pressure within bottling hall (compressor tripped); 3 mins dowtime changing BBT bowl level; and 3 mins downtime crowner self flushing</t>
  </si>
  <si>
    <t>11 mins product change over; and 4 mins downtime due to high EBI rejections</t>
  </si>
  <si>
    <t>16 mins downtime making adjustments to the labeller;  15 mins late start waiting to receive a reading in BBT5;  8 mins downtime to adjust packer finger; 5 mins downtime inorder to change expiry date o the Videojet; 5 mins stop waiting on someone to put on crate leds (no one was there); 4 mins downtime due to Low air on the filler; 4 mins air dryer fault on the filler; 4 mins crowner self flushing; 4 mins downtime addressing flagging labels; and 3 mins downtime due to a tripped of the breaker behind the pasteurizer</t>
  </si>
  <si>
    <t>281 mins late start due to a burnt power supply on the EBI computer; 31 mins downtime due to CPU card error on the EBI; 8 mins due to caustic carry over on the washer; 3 mins downtime crowner self flushing; and 3 mins downtime making adjustments to the fingers on the packer</t>
  </si>
  <si>
    <t>September balance</t>
  </si>
  <si>
    <t xml:space="preserve">174 mins downtime making adjustments to the labeller; 13 mins downtime making adjustments to the sealer; 12 mins downtime waiting on pasteurizer temperature;10 mins line stop to pick up bottles with missing labels;  8 mins bad change over in filtration; 3 mins downtime crowner self flushing; 3 mins downtime due to stuck crowns in chute </t>
  </si>
  <si>
    <t>10 mins downtime ex- pasteurizer line stuck, 26 mins downtime due to continuous jamming of bottles in neck on conveyor #3 ; 3 mins bottle jam ex- pasteurizer.  15mins adjusting the Videojet. 17 mins downtime changing sponge on the labeller; 24 mins downtime addressing missing neck labels; 14mins EBI adjustments.</t>
  </si>
  <si>
    <t>21mins change-over downtime from Stag; 13mins Pasteurizer downtime due to the hydraulics cutting off; 6mins adjusting the Videojet (not printing); 9mins porduct delay due to low BBT pressure.</t>
  </si>
  <si>
    <t>22mins change-over downtime from Carib; 9mins Videojet adjustments (not printing); 13mins Pasteurizer downtime caused by the hydraulics cutting off.</t>
  </si>
  <si>
    <t>99 mins downtime due to broken guide on the washer discharge; 18mins Labeler downtime timing the infeed worm; 31mins adjustments due to neck labels tearing on their edge; 24 mins downtime due to hydralics lag on the pasteurizer; 16 mins downtime caused by a chain coming off the crate rinser infeed conveyor (slippedsprocket); 14 mins downtime due the bottle burst sensor malfunctioning; 11mins due to low air pressure on the filler; 9mins air dryer fault; 5mins for low BBT's pressure.</t>
  </si>
  <si>
    <t>22 mins product change over; 8 mins downtime due to low air pressure on the filler.</t>
  </si>
  <si>
    <t>10mins adjustments on the Washer Rinse Jets at start-up; &amp; 17mins for caustic carry-over. 30mins Pasteurizer downtime due to hydraulic lag. 17mins PLC Communication error; 10mins adjusting the Labeler at start-up; 3mins adjustments for flagging labels; &amp; 45mins later then usual start-up due to the Washer starting 30mins late (Operators were late).</t>
  </si>
  <si>
    <t xml:space="preserve">37mins hydraulic lag on the Pasteurizer; 8mins low temperature on the Pasteurizer. 13mins air dryer fault; 9mins low air pressure; 8mins for stuck crowns in the chute; 6mins stuck crowns in the crown bin; 18mins low pressure line pressure (excess foaming); 9mins downtime due to low bowl levels switching BBT's.  9mins adjusting glue scraper on the Labeler; 6mins for flagging neck labels; 6mins further adjustments.  11mins Packer downtime adjusting jammed cups on the teflon. </t>
  </si>
  <si>
    <t xml:space="preserve">14 mins downtime making adjustments to the Extractor chain on pump 4 due to a jump off sprocket on the washer ;13 mins downtime making adjustments to the labeller;  13 mins downtime making adjustments to the Videojet (videojet unable to print); 13 mins downtime adjusting the filler infeed worm; 8 mins downtime addressing missing back label; 8 mins downtime due to low bowl level; 6 mins bottle jam pasteurizer discharge 2; discharge 4 and discharge 3; 5 mins downtime emptying crowner bin and removing bend crowns; and 5 mins downtime making adjustments to the fingers on the packer </t>
  </si>
  <si>
    <t xml:space="preserve">
33 mins caused by the slowing down of hydrualics on the pasteurizer; 13 mins downtime due to a jam on the pasteurizer discharge 4 conveyer; 8 mins making adjustments to the labeller; 10 mins late start waiting on the washer to load; 5 mins downtime due to low air pressure on the filler; and 3 mins downtime due to back up on the pasteurizer infeed line</t>
  </si>
  <si>
    <t xml:space="preserve">57 mins product change over; 20 mins hydrualics  lag on pasteurizer; 21 mins downtime making adjustments to the labeller and addressing missing neck labels; 12 mins downtime waiting on pallet packers; 7 mins due to a jam on discharge conveyer 2 behind the pasteurizer; 6 mins air dryer fault on the filler; 6 mins making adjustments to the Videojet;  4 mins due to stuck crowns in chute ; 3 mins crowner self flushing; and 3 mins low CO2 </t>
  </si>
  <si>
    <t xml:space="preserve">15 mins downtime due to jam bottles on pasteurizer discharge 2 and 4; 14 mins downtime making adjustments to the videojet (not printing); 6 mins downtime making adjustments and jame bottle on the filler infeed worm; 4 mins waitng on to put crate lids; and 3 mins stop to put CO2 on line </t>
  </si>
  <si>
    <t xml:space="preserve">37 mins late start waiting on lab tech to release the product and 13 mins  waiting on stag line to be cleared ;11 mins product change over;8 mins downtime on the washer repairing wear strip on the load table; 8 mins downtime due to lag hydraulics on the pasteurizer; 7 mins air dryer fault on filler; 6 mins crown stuck in chute;3 mins crowner self flushing; and 3 mins downtime waiting on bottle supply </t>
  </si>
  <si>
    <t xml:space="preserve">180mins late start due to Union meeting; 153mins Washer downtime due to a broken chain on a starwheel; 4mins for low fills; 3mins Pasteurizer hydraulics downtime &amp; 2mins backup sensor malfunction on the Filler. </t>
  </si>
  <si>
    <t>33mins Pasteurizer downtime due to high temperature; &amp; 22mins for malfunctioning Pasteurizer hydraulics.  17mins Videojet downtime (not printing).  8mins adjustments to the Labeler brushes.  8mins waiting on product release.  5mins for stuck crowns; 7mins air dryer fault; 6mins Filler back-up sensor malfunction; 4mins crowner flush &amp; 3mins stuck crowns in the bin.</t>
  </si>
  <si>
    <t>37mins Pasteurizer downtime due to hydraulics lag; 41mins downtime due to Sealer adjustments; 18mins switching the Packer from flint export to local amber;  19mins Labeler downtime for adjustments at startup; 9mins low CO2 on the Filler; 4mins back-up sensor fault on the Filler; 7mins waiting on cartons on to the Packer; &amp; 5mins seperating flint from amber on the Labeler.</t>
  </si>
  <si>
    <t>79mins adjustments on the infeed worm on the Filler; 7mins low air; 7mins bleeding the Fobber line.  23mins EBI downtime due to overheating of the panel.  36mins downtime due to slowing down of the Pasteurizerhydraulics.  15mins downtime adjustments for missing neck labels.</t>
  </si>
  <si>
    <t>October balance</t>
  </si>
  <si>
    <t>144mins late start due to a jam on the Crown Conveyor.  10mins Uncaser downtime.  7mins due to Pasteurizer hydraulics malfunctioning.  7mins Labeler downtime for  head &amp; body labels adjustments.</t>
  </si>
  <si>
    <t>22mins change-over downtime.  5mins air dryer fault.  2mins Packer adjustments.</t>
  </si>
  <si>
    <t>22mins change-over downtime.  15mins due to Pasteurizer hydraulics malfunctioning.  2mins each for stuck crowns in the hopper &amp; air dryer fault.</t>
  </si>
  <si>
    <t>58mins late start due to a damaged seal on the gaf filter. 14mins low pressure on the BBT.  39mins Pasteurizer downtime due to lagging of the hydraulics.  18mins Videojet downtime for adjustments.  11mins downtime on the EBI due tp falling bottles.  15mins for Filler dischagre sensor malfunction; 8mins air dryer fault; 5mins for stuck crowns in the chute/hopper.</t>
  </si>
  <si>
    <t>21mins change-over downtime.  14mins adjustments for missing body labels. 5mins for broken bottle in the Labeler. 8mins each for stuck crowns in the chute &amp; air dryer fault.  10mins adjusting for bottle jams on the EBI infeed line.  8mins Pasteurizer downtime due to lagging hydraulics.</t>
  </si>
  <si>
    <t>2mins for stuck crowns in the chute &amp; 1min air dryer fault.  14mins Videojet adjustment. 10mins late start due to low steam on the Washer at startup.</t>
  </si>
  <si>
    <t>108mins low steam resulting in Low PU on the Pasteurizer.  65mins late start adjusting the Filler infeed worm; 14mins low air on the Filler; 9mins for stuck crowns; 5mins air dryer fault; 6mins for communication error between the Filler &amp; EBI.  29mins Packer downtime adjusting &amp; changing broken fingers.  12mins for bottle jams on the EBI discharge line; 4mins downtime for bottle jams on EBI infeed line</t>
  </si>
  <si>
    <t>105mins late start repairing a leaking caustic hose on the Washer. 9mins downtime for stuck crowns in the chute/hopper; 9mins downtime due to the Filler going into basic mode when switching products</t>
  </si>
  <si>
    <t>51mins change-over.  12mins downtime due to the EBI &amp; Filler not syncing properly at the start of Shandy filling.  7mins Pasteurizer downtime due to lagging hydraulics</t>
  </si>
  <si>
    <t>27mins adjusting the Fobber switch &amp; pump; 13mins for stuck crowns in the chute/hopper; 9mins low air pressure on the Filler.  20mins trying to select the correct bottle type on the EBI.  16mins for bottle jams on the EBI infeed line; 13mins on the discharge lines &amp; 3mins ex. Pasteurizer.</t>
  </si>
  <si>
    <t xml:space="preserve">54mins  Pasteurizer downtime due to lagging hydraulics.  54mins stoppage to make adjustments on the gripper cylinder due to missing labels.  20mins Sealer adjustments.  25mins EBI downtime due to  high temperature in the panel; 5mins due to high rejections.  20mins for stuck crowns in the chute/hopper; 9mins air dryer fault.  8mins for jammed bottles ex. Pasteurizer; 7mins  &amp; 3mins on EBI infeed &amp; discharge lines; 2mins on Packer infeed for jammed cartons.  2mins looking for pallets to pack shells. 4mins switching pallet packer. </t>
  </si>
  <si>
    <t>500mins downtime due to caustic carry-over on the Washer (water pressure/jetting adjustments).</t>
  </si>
  <si>
    <t>78min Washer downtime due to caustic carry-over issues; 10mins removing labels from the tray over the Washer discharge end.  27mins Uncaser downtime for adjustments.  16mins downtime on EBI infeed line; 9mins on Pasteurizer inffed line; 6mins on Washer dischagre line.  14mins downtime due to the rejection table for the EBI being filled.  5mins stuck crowns in the chute; 9mins air dryer fault error.  11mins low water pressure on the Washer.</t>
  </si>
  <si>
    <t>21mins downtime due to AC failure on the EBI.  32mins Pasteurizer downtime for malfunctioning hydraulics &amp; 8mins low PU.  23mins adjustments for missing neck labels.  31mins downtime on EBI infeed line (#2).  30mins product delay for tasting &amp; release.</t>
  </si>
  <si>
    <t xml:space="preserve">22mins change-over downtime.  19mins stoppage due to a bad bearing on the caustic pump.  29mins downtime EBI infeed line (#2 &amp; #3); 8mins EBI discharge line (#2).  3mins stuck crowns; 4mins air dryer fault.  </t>
  </si>
  <si>
    <t>90mins late start repairing caustic pump on the Washer (pump #4).  63mins due to falling bottles ex. EBI; 43mins on EBI discharge line; &amp; 54mins repairing Uncaser discharge line (slipped key).  25mins Coder downtime due to low viscosity (not printing).  20mins stuck crowns; 13mins HPI temperature fault on the Filler; 11mins air dryer fault; 12mins PLC sensor malfunction; 9mins low air; &amp; 5mins flushing the crowner.</t>
  </si>
  <si>
    <t xml:space="preserve">4mins stuck crowns; 34mins repairing fobbing pressure valve.  13mins downtime ex. Uncaser line.  </t>
  </si>
  <si>
    <t>25mins product delay.  27mins change-over downtime from Carib.  47mins repairing label extractor chain/pump; 50mins downtime EBI discharge line; 54mins Uncaser discharge; 34mins EBI infeed line.  12mins PLC Comm error.  9mins adjusting back label.  10mins changing from line from crates to cartons &amp; 16mins changing back from cartons to crates.</t>
  </si>
  <si>
    <r>
      <t xml:space="preserve">50mins Washer downtime repairing the Label Extractor.  50mins Packer downtime for repairs </t>
    </r>
    <r>
      <rPr>
        <i/>
        <sz val="14"/>
        <color indexed="8"/>
        <rFont val="Arial"/>
        <family val="2"/>
      </rPr>
      <t>(change air line; adjust fingers; falling bottles)</t>
    </r>
    <r>
      <rPr>
        <sz val="14"/>
        <color indexed="8"/>
        <rFont val="Arial"/>
        <family val="2"/>
      </rPr>
      <t>.  19mins downtime on Uncaser discharge line; 10mins each ex. EBI &amp; EBI infeed; 7mins ex. Pasteurizer &amp; 6mins Packer infeed.  19mins low air pressure on the Uncaser.  16mins EBI sensor malfunction (PLC Bottle Press 2 Fault).  16mins stuck crowns; 3mins ari dryer fault.  10mins downtime because the pallet jack was being used in the Soft Drink Plant.</t>
    </r>
  </si>
  <si>
    <t>52mins change-over downtime.  5mins waiting on CO2 to push up remaining prodcut in the line.  2mins EBI discharge line.</t>
  </si>
  <si>
    <t>83mins switching from Grape</t>
  </si>
  <si>
    <t xml:space="preserve">40mins adjustments on the Uncaser.  19mins high rejection on the EBI.  14mins stuck/bent crowns.  28mins low water pressure on the carbo cooler.  2mins each EBI discharge &amp; infeed lines.  10mins due to lack of crowns.  25mins change-over. </t>
  </si>
  <si>
    <t>168mins changing from Guinnes; 10mins to empty line because the wrong bottles were loaded; 10mins software fault on the EBI.</t>
  </si>
  <si>
    <t xml:space="preserve">Line stopped by lab for 32mins; 10mins each waiting on shells &amp; crowns from forklift.  </t>
  </si>
  <si>
    <t>21mins adjusting the kicker on the EBI (rubber came off). 14mins high rejection.  72mins downtime EBI infeed line; 15mins ex. Pasterurizer; &amp; 7mins EBI discharge line.  25mins Labeler adjustments.  31mins repairing the Packer head.  19mins stuck crowns; 8mins crown supply downtime; 9mins air dryer downtime; 6mins low air pressure on the Filler.  18mins Pasteurizer hydraulics downtime.</t>
  </si>
  <si>
    <t>45 mins product delay; 40 mins product change over; 15 mins making adjustments to the videojet; 5 mins downtime bottle jam EBI infeed conveyer; and 3 mins from export to local</t>
  </si>
  <si>
    <t xml:space="preserve"> 41 mins downtime due to a trip off of the Labeller infeed conveyer; 32 mins downtime making adjustments to the centering cup; 26 mins making adjustment to flagging labels; 22 mins downtime due to lag on hydraulic; 17 mins downtime due to low air pressure on the uncaser; 14 mins making adjustments to the packer head; 7 mins bollte jam Ex. EBI discharge 2; 6 mins due to stuck crowns;  5 mins downtime videojet unable to print;  4 mins low air pressure on the packer; and 4 mins making adjustments to stuck labels</t>
  </si>
  <si>
    <t>29 mins downtime crown stuck in chute and hopper;15 mins bottle jam pasteurizer infeed; 11 mins product delay; 9 mins bottle jam Ex. EBI discharge; 11 mins downtime Hydraulics lag on pasteurizer; 9 mins fobber adjustments; 6 mins crowns stuck in crowner bin; 4 mins downtime EBI rejection table is filled ; and 4mins bottle jam ex. Washer</t>
  </si>
  <si>
    <t>51 mins product change over;  31 mins downtime due to continuous rejection on side wall 1 (labels carryover); 7 mins downtime bottle jam Ex. EBI discharge</t>
  </si>
  <si>
    <t>19mins Pasteurizer hydraulic downtime.  15mins bottle jam EBI discharge lines; 10mins bottle jam EBI infeed lines; &amp; 10mins bottle jams ex. Pasteurizer.  10mins stuck crowns in the chute/hopper; 6mins air dryer fault.  6mins waiting on EBI rejection table to be cleared; 8mins waiting on pallet packing personnel. 5mins to remove stuck bottle in the Packer head; 3mins for stuck bottle in the Shuffler.</t>
  </si>
  <si>
    <t>378 mins downtime addressing bottle breakage at washer discharge; 53 mins testing bottles with water; 47 mins due to continuous rejection on the EBI (labels stuck in side wall 2); 15 mins dowtime making adjustments to the labeller (worm out of timing); 9 mins downtime stopper on crowner swung out;18 mins waiting on pallet packer to load crates etc; 5 mins waiting on CO2 to push product;  4 mins making adjustments to the fobber; 4 mins downtime due to stuck bottles on the Ex. EBI infeed</t>
  </si>
  <si>
    <t>29 mins waiting on bottles from the washer and heavy rejection from the EBI due to labels on bottles; 28 mins change over ;26 mins bottle jam Ex. EBI discharge;14 mins low air on the filler; 14 mins adjusting centering cup;13 mins making adjustments to the discharge rail; 13 mins bottle jam EBI infeed; 9 mins bottle jam ex- pastueizer; 8 mins downtime HF Caustic on EBI malfunctioning rejecting all bottles; 8 mins crown stuck in chute and hopper ;9 mins making adjustments to the gripper cylinder on the labeller; 8 mins downtime adjusting the height of the videojet; and  8 mins hydrualics lag on pasteurizer</t>
  </si>
  <si>
    <t>November balance</t>
  </si>
  <si>
    <t>31 mins product change over; 28 mins downtime due to lag of the hydrualics on the pasteurizer; 25 mins bottle jam Ex. EBI discharge; 25 mins bottle jam Ex. EBI infeed line; 10 mins low water pressure on the washer; 10 mins waiting on pallet packer; pallet packer packing slowly; 8 mins bottle jam Ex. Pasteurizer; 7 mins air dyer fault on filler; 5 mins packer accumulation table filled; 5 mins downtime changing finger on the packer; 4 mins bottle jam shuffler on the packer;  4 mins low CO2 on the filler; 3 mins crowner self flushing; 3 mins product delay;  3 mins due to low PUs; 3 mins making adjustment to the glue scraper on the labeller</t>
  </si>
  <si>
    <t xml:space="preserve">46 mins late start repairing burst hydraulic on the pasteurizer; 20 mins downtime adjusting the worm on the labeller ; 19 mins hydrualics lag on pastuerizer; 8 mins downtime due to a breakdown on the forklift; and 3 mins bottle jam Ex. EBI infeed and discharge line </t>
  </si>
  <si>
    <t>51 mins bottle jam Ex. EBI infeed and discharge line; 34 mins hydrualics lag on pasteurizer; 18 mins change over; 15 mins bottle stuck in shuffler on the packer; 6 mins crown stuck in chute</t>
  </si>
  <si>
    <t>77 mins hydrualics lag on pasteurizer ; 28 mins downtime due to fallen bottles in the Ex. EBI infeed and on the discharge line; 16 mins product change over ; and  5 mins due to damaged wire on packer discharge conveyor motor</t>
  </si>
  <si>
    <t>100 mins late start fixing the centering cup on the uncaser ; 67 mins hydrualics lag on pasteurizer; 36 mins removing bottles stuck in Ex. EBI infeed line and discharge line; 20 mins downtime making adjustments to the gripper cylinder on the Labeller; 13 mins adjusting neck labels magazine; and 12 mins due to stuck bottles in shuffler on the packer</t>
  </si>
  <si>
    <t>37 mins product change over; 45 mins product delay; 5 mins high rejection on the EBI;  4 mins due to low crown supply in bin; 4 mins bottle jam EBI discharge line; and 3 mins downtime addressing missing labels</t>
  </si>
  <si>
    <t>126 mins due to lag of the hydrualics on the pasteurizer ; 64 mins late start waiting on PU monitor to exit; 34 addressing bottle breakage on the washer discharge; 20 mins bottle jam EBI infeed and discharge line ; 13 mins downtime making adjustments to the the glue scraper on the labeller; 10 mins making adjustments to the infeed worm on the filler; 5 mins product delay;3 mins bottle jam in shuffler;  and 3 mins crowner self flushing</t>
  </si>
  <si>
    <t>17 mins product change over</t>
  </si>
  <si>
    <t xml:space="preserve">107 mins product change over; 74 mins low water pressure; 19 mins product delay; 3 mins making adjustments to the crimp;3 mins dowtime due to lag of the hydraulics on the pasteurizer </t>
  </si>
  <si>
    <t xml:space="preserve">47 mins dowtime due to lag of the hydraulics on the pasteurizer ; 43 mins late start due to a burn wire on caustic pump; 25 mins low water pressure in soft drink plant; 24 mins downtime bottle jam EBI infeed and discharge line; 14 mins  downtime for toolbox meeting; 10 mins downtime switching pallet packer </t>
  </si>
  <si>
    <t>10 mins product change over; 10 mins due to a mix up of bottles(short, tall etc); 10 mins EBI rejection table full; 10 mins waiting on forklift to off load</t>
  </si>
  <si>
    <t>47mins late start due to low temperature on the Pasteurizer; 318 mins dowtime due to stuck PU monitor; &amp; 19mins high PU.</t>
  </si>
  <si>
    <t>19 mins product change over; 20mins caustic carry-over;  9mins downtime on EBI infeed line; 12mins on line EBI discharge line; 4mins on Packer discharge line.  6mins for stuck crowns in the chute/hopper; 2mins crowner flush; 2mins air dryer fault; &amp; 3mins for low fills.</t>
  </si>
  <si>
    <t>49 mins late start waiting on results from dry run (monitor inside pasteurizer); 22 mins downtime making adjustments to the EBI (chipped bottle head passed EBI); 3 mins downtime due to heavy rejection on the EBI; and 3 mins bottle jam on EBI discharge line</t>
  </si>
  <si>
    <t>77 mins product change over; 50 mins addressing missing labels; 26 mins bottle jam EBI infeed line and EBI discharge line ; 11 mins due to a trip off on the pasteurizer discharge line; 5 mins bottle jam packer infeed line;  4 mins product delay; 3 mins due to bottle breakage infront washer; and 3 mins crowns stuck in chute</t>
  </si>
  <si>
    <t>40 mins changing centering bell on the filler; 1 mins due to jam bottles on the EBI discharge line 21 mins bottle jam EBI infeed line; 15 mins making adjustments to the washer due to bottle breakage infront washer; 12 mins due to high rejection on the EBI; 11 mins downtime due to the loading of wrong bottle type; 10 mins late start doing dry run; 10 mins downtime due to stuck crowns in chute; 5 mins due to low supply of crowns;  5 mins bottle jam packer infeed line; 5 mins washer jammed; 5 mins downtime making adjustments to the discharge guide on the washer; 5 mins caustic carry over; 4 mins air dryer fault ;  and 4 mins making adjustments to the packer</t>
  </si>
  <si>
    <t>48 mins late start waiting on PU monitor to exit the pasteurizer; 39 mins changing suction cup stem crate stopper on the packer; 35 mins due to high temperature on the EBI; 28 mins due to fallen bottles on the EBI discharge line and 23 mins on infeed line; 15 mins making adjustments to the cartoon sealer; 11 mins lag on the packer due to the usage of soft boxes; 10 mins due to a loose belt on the uncaser line; 10 mins bottles stuck in shuffler; 15 mins due to glue pump malfunction on the Labeller; 11 mins changing soft box to crates; 10 mins due to stuck crowns in chute;  9 mins due to fill accumulation table;  8 mins due to high rejection on the EBI; 7 mins pasteurizer infeed line backup; 7 mins making adjustments to the fobber on the filler; 7 mins air dryer fault on the filler; 7 mins stop inorder to clean base camera on the EBI; and 6 mins changing fingers on the packer</t>
  </si>
  <si>
    <t>31 mins making adjustments to the cartoon sealer; 17 mins downtime waiting for soft boxes; and bottles from forklift; 12 mins EBI table filled ;12 mins due to jam bottles on EBI discharge line; 8 mins making adjustments to the plunger on the packer;  7 mins late start waiting on dry run testing to be completed; 6 mins Krones tech making adjustments to the filler; 5 mins due to jam bottles on packer infeed line; and 5 mins due to high rejection on the EBI</t>
  </si>
  <si>
    <t>39 mins Videojet unable to print;23 mins due to jam bottles on the EBI discharge line; 17 mins change over from Flint short to CDC;  14 mins due to jam bottles on packer infeed line;  9 mins EBI infeed line; 7 mins damage crate stop uncaser; 8 mins due to high rejection on the EBI; 8 mins due to stuck crowns in chute; 6 mins product delay (low bowl level); 5 mins putting in pu monitor;  4 mins due to labeller extractor issue on the washer; 4 mins air dryer faut on filler</t>
  </si>
  <si>
    <t>194 mins downtime due to trip off pasteurizer infeed conveyor ; 58 mins due to jam labeller extractor issues ; 55 mins late start making adjustments to the parameter on the EBI;  44 mins changing and making adjustments to kidney on the washer; 41 mins due to jam bottles on the EBI infeed &amp; discharge line; 11 mins due to jam bottles on packer infeed line;  8 mins low PU; 7 mins due to hydrualics malfunction ; 7 mins due to heavy rejection on the EBI; 6 mins making adjustments to the videojet (unable to print);  5 mins making adjustment to guide on the washer; 4 mins rectifying issue with cuction cups on the uncaser; 4 mins due to stuck crowns in chute and transfer plate;and 4 mins air dryer fault on filler</t>
  </si>
  <si>
    <t>22 mins product change over; 21 mins due to jam bottles on EBI infeed line; 18 mins EBI discharge line; 10 mins pasteurizer discharge line; 11 mins due to stuck bottles on packer infeed; 16 mins downtime making adjustments to the EBI (chipped bottle head passed EBI); 12 mins due to stuck crowns in chute and hopper plate; 9 mins stop to remove PU monitor;  6 mins due to low PU; 6 mins downtime addressing missing label; 5 mins downtime packer accumulation table fill; 4 mins air dryer fault on filler; 4 mins due to high rejection on the EBI ; and 3 mins pasteurizer infeed line back up</t>
  </si>
  <si>
    <t>370 mins late start testing ; making adjustments on the pasteurizer to find a balance between speed and temperature;and also replacing damaged gasket on the pasteurizer stream line; 63 mins due to stuck bottles on EBI infeed and discharge line; 50 mins late start washer discharge unable to turn on; 22 mins lab tech stop the line to remove object in bottle; 21 mins videojet unable to print; 20 mins due to high rejection on the EBI; 14 mins EBI rejection table filled; 9 mins downtime bottle stuck in shuffler; 4 mins pasteurizer infeed backing up;  7 mins due to a malfunction on the pasteurizer; and 5 mins cleaning base camera on the EBI</t>
  </si>
  <si>
    <t>41 mins bottle jam EBI infeed and discharge line;  25 mins due to hydrualics lag on the pasteurizer; 22 mins caused by a malfuctioning on the pasteurizer (not completing full stroke); 17 mins product delay; 11 mins due to stuck crowns in chute and hopper plate; 10 mins bottle stuck in shuffler; 7 mins packer accumulation table filled; 5 min changing centering cups; 5 mins crowner self flushing; 4 mins downtime cleaning the base camera on the EBI; 3 mins due to the label extractor been unable to remove all labels on bottles; and 3 mins due to jam bottles on pasteurizer infeed line</t>
  </si>
  <si>
    <t xml:space="preserve">17 mins change over from flint to CDC;14 mins due to jam bottles on Ex. EBI infeed and discharge line;  10 mins adjusting the teflon (responsible for dropping centering bells on filler) ;8 mins crown stuck in chute and hopper; 9 mins downtime video jet unable to print; 7 mins adjusting labeller during start up;  6 mins air dyer fault on the filler; 6 mins hydrualics lag on pasteurizer </t>
  </si>
  <si>
    <t>164 mins hydrualics lag on pasteurizer; 103 mins low water pressure supply; 20 mins downtime bottle jam Ex. EBI infeed ; 11 mins downtime low air pressure on the filler; 7 mins changing belt on the EBI; 6 mins addressing and flagging missing labels; 4 mins bottle jam discharge line ; 4 mins air dryer fault on filler; 4 mins crown stuck in chute and hopper; and 3 mins bottle jam pasteurizer infeed line</t>
  </si>
  <si>
    <t>39 mins hydraulics lag on the pasteurizer; 25 mins due to jam bottles on Ex. EBI discharge;  21 mins  making adjustments to the shuffler plate (change a bolt); 16 mins addressing bottle breakage at washer discharge; 15 mins bottle jam Ex. EBI infeed line; 12 mins bottle jam ex. pasteurizer; 6 mins waiting on bottles from the washer; 6 mins crown stuck in hopper and chute; 4 mins air dryer fault on filler; 6 mins downtime making adjustments to Guide infeed on the packer; and 4 mins packer accumulation table filled</t>
  </si>
  <si>
    <t xml:space="preserve">78 mins due to a jam gear on filler infeed worm; 48 mins washer out of timing;  9 mins due to jam bottles in filler infeed worm; 28 mins making adjustments to the labeller (back station pallet); 14 mins downtime Videojet unable to print ; 11 mins recoding flint export;  11 mins late start waiting on line to be cleared; 6 mins due to jam bottles on Ex. EBI discharge; 4 mins due to jam bottles on Ex. EBI infeed line; 5 mins EBI table filled; 4 mins due to stuck crate on washer </t>
  </si>
  <si>
    <t xml:space="preserve"> 47 mins replacing broken kidney on the washer; 18 mins addressing bottle breakage and making adjustments to the washer discharge; 14 mins bottle jam Ex. EBI discharge; 7 mins downtime crown stuck in chute and hopper; 6 mins due to a lag on the pasteurizer; 3 mins hydrualics malfunction; 4 mins bottles jam Ex. EBI infeed </t>
  </si>
  <si>
    <t>105  mins boiler cut off; 47 mins due to low temperature on the pasteurizer; 27 mins downtime bottle jam ex- pasteurizer line; 16 mins bottle jam Ex. EBI discharge; 29 mins bottle jam Ex. EBI infeed; 29 mins making adjustment to the packer (adjust arm on centering cup); 17 mins bottles jam in labeller; 15 mins downtime waiting on PU monitor ( temps. Was not ready); 9 mins flagging labels; 6 mins labeller adjustments;  9 mins air dryer fault on filler; 8 mins crown stuck in chute and hopper; 7 mins hydrualics lag on pasteurizer;  5 mins high temperature on the EBI; 4 mins crowner self flushing; and  3 mins high PU</t>
  </si>
  <si>
    <t>47 mins product change over; 10 mins due to fill EBI rejection table; 10 mins downtime removing labels from bottles after passing through the washer; 10 mins hydrualics lag on the pasteurizer; and 4 mins making adjustment to the labeller at start up</t>
  </si>
  <si>
    <t xml:space="preserve">30 mins product change over; (79mins Krones making height adjustments; fixing sensor on the filler);  24 mins labeller extractor issues; 19 mins due to high rejection on the EBI; 20 mins rejection table filled; 14 mins due to jam bottles on EBI discharge line; 10 mins pasteurizing 37 cans of Mackeson;  8 mins due to stuck bottles in packer infeed line; 8 mins hydrualics cut off on the pasteurizer;  5 mins waiting on CO2 to push product;  5 mins deu to fallen bottles on EBI infeed line; 4 mins due to a stop on the washer discharge; and 4 mins air dryer faults on filler </t>
  </si>
  <si>
    <t xml:space="preserve"> 12 mins late start waiting for PU monitor to exit pasteurizer;  10 mins making adjustments on the pasteurizer discharge  line; 5 mins due to jam bottles on EBI infeed line; and 5 mins EBI discharge</t>
  </si>
  <si>
    <t xml:space="preserve">59 mins product change over; 56 mins washer was unable to start back (electrical issue);  32 mins making adjustments to the back station magazine labeller; 30 mins due to high rejection on the EBI; 20 mins making adjustments to the packer (sensor came off; bend fingers); 12 mins due Hydrualics stops on the pasteurizer; 11 mins due to high temperature on the EBI;  11 mins preparing the labeller; 9 mins due to jam bottles on the EBI discharge line and 7 mins  EBI infeed line;  6 mins due to block sensor on the packer by labels; and 5 mins due to stuck bottles on packer infeed line </t>
  </si>
  <si>
    <t>59 mins washer trip off and was unable to start back; 40 mins chain came off in front of the washer; 35 mins due to jam bottles on the EBI discharge line and 19 mins  EBI infeed line; 20 mins in shuffler; 6 mins pasteurizer discharge line; 32 mins due to issue with the start/ stop button on the washer discharge; 25 mins making adjustments to the gripper cylinder on the labeller; 18 mins due to low PU; 17 mins product delay;  17 mins making adjustments to the washer discharge tensioner; 10 mins hyduraulics stop on the pasteurizer ; 7 mins high rejections on the EBI;  6 mins due to label extractor issue; 5 mins due to stuck bottles on filler infeed worm; and 4 mins low CO2 on the filler</t>
  </si>
  <si>
    <t>Change-Overs</t>
  </si>
  <si>
    <t>Actual Starts</t>
  </si>
  <si>
    <t>Target Starts</t>
  </si>
  <si>
    <t>27mins late start due to encoder card fault on the EBI; 25 mins late start completing dry run; 16 mins hydraulics malfunction; 5 mins due to a stop on the washer; 5 mins washer tripped ( power down); 4 mins product delay; 5 mins adjusting fallen bottle jam on the filler infeed worm; 5 mins bottles jam Ex. EBI discharge &amp; 5 mins EBI infeed; and 3 mins bottles jam pasteurizer discharge line</t>
  </si>
  <si>
    <t xml:space="preserve"> 351 mins due to broken knock out bar on washer discharge; 9 mins due to stuck bottles in shuffler (before the EBI); 6 mins due to fallen bottles in EBI infeed line; and 3 mins due to stuck crowns in chute</t>
  </si>
  <si>
    <t>85 mins late start working on the washe; 48 mins making adjustments to the washer</t>
  </si>
  <si>
    <t>131 mins addressing bottle breakage infron washer discharge; 100 mins product change over; 47 mins making adjustments to the shuffler on the packer; 20 mins replacing shuffler plate on the packer; 14 mins due to stuck bottles in shuffler on the packer; 14 mins continuous stop on the washer ;7 mins due to stuck bottles in the packer shuffler; 7 mins due to stuck bottles on the EBI discharge line &amp; 15 EBI infeed line; 6 mins packer acc. table filled; and 6 mins product delay</t>
  </si>
  <si>
    <t>7 mins due to stuck bottles on the EBI discharge line(#2&amp;1) &amp; 9 EBI infeed line (#2&amp;1); 3 mins due to jam bottles on pasteurizer discharge line and line back up; 4 mins due to stuck bottles in shuffler (before the EBI)</t>
  </si>
  <si>
    <t>31 mins due to fallen bottles in EBI infeed line &amp; 31 mins EBI discharge line; 25 mins due to stuck bottles in shuffler (before the EBI); 23 mins stop on the washer;  18 mins due to high rejection on the EBI; 12 mins EBI rejection table filled; 10 mins due to stuck crowns in chute and hopper; 7 mins air dryer fault on the filler; 7mins product change over; 6 mins packer discharge line backed up; 6 mins adressing missing labels; 3 mins crowner self flushing; and 3 mins hopper plate closed in</t>
  </si>
  <si>
    <t>Star Malt</t>
  </si>
  <si>
    <t xml:space="preserve">Star Malt </t>
  </si>
  <si>
    <t>Stag (Local)</t>
  </si>
  <si>
    <t>Stag (Export)</t>
  </si>
  <si>
    <t>Shandy Lime</t>
  </si>
  <si>
    <t>Shandy Ginger</t>
  </si>
  <si>
    <t>Ginseng Up (Original)</t>
  </si>
  <si>
    <t>Carib (Local)</t>
  </si>
  <si>
    <t>Carib (Export)</t>
  </si>
  <si>
    <t>Change-overs 2017</t>
  </si>
  <si>
    <t>Hours</t>
  </si>
  <si>
    <t>Change-overs 2016</t>
  </si>
  <si>
    <t>J. Cool</t>
  </si>
  <si>
    <t>27 mins product change over; 11 mins due to power trip on the washer ; 7 mins addressing flagging body labels issues; 4 mins due to stuck bottles in shuffler (before the EBI); 3 mins due to fallen bottles in EBI infeed line &amp; 5 mins EBI discharge line; and 3 making adjustments to code on the videojet</t>
  </si>
  <si>
    <t>OVERALL</t>
  </si>
  <si>
    <t>Stag carried over due to insufficient bottles</t>
  </si>
  <si>
    <t>Starmalt carried over due to insufficient bottles</t>
  </si>
  <si>
    <t>Vitamalt carried over due to Washer discharge issue the previous day</t>
  </si>
  <si>
    <t>Stag carried over due to Washer discharge issue the previous day</t>
  </si>
  <si>
    <t>Carib carried over  from Dec. 1st due to insufficient bottles</t>
  </si>
  <si>
    <t>41 mins late start due to insufficient bottles; and 6 mins due to high rejection on the EBI</t>
  </si>
  <si>
    <t>Score</t>
  </si>
  <si>
    <t>Var</t>
  </si>
  <si>
    <t>Target (mins)</t>
  </si>
  <si>
    <t>Actual (mins)</t>
  </si>
  <si>
    <t>65 mins due to malfunction with the uncaser(4 mins belt burst); 54 mins due to fill EBI tabl;  18 mins due to low supply of bottles;  17 mins bottles jam EBI discharge &amp; 9 mins  EBI infeed; 35 mins bottles jam shuffler before the EBI;13 mins searching for the forlift (in use by another user);  8 mins due to back up on pasteurizer infeed line; 8 mins forklift break down;  4 mins infeed monitoring unit on the filler trip; 4 mins late start waiting for dry run to complete; 4 mins air dryer fault on the filler; and 4 mins crowns stuck in chute</t>
  </si>
  <si>
    <t>46 mins making adjustments to the packer head; 41 mins change over; 12 mins bottles jam EBI discharge &amp; 5 mins EBI infeed; 13 mins bottles jam shuffler before the EBI; 6 mins bottles jam pasteurizer discharge line;11 mins Videojet unable to print; 6 mins due to high rejection on the EBI; and 4 mins making adjustments to the EBI</t>
  </si>
  <si>
    <t>42 mins product change over; 9 mins due to fill EBI rejection table; 7 mins due to jam bottles on EBI discharge &amp; 8 mins on EBI infeed; 4 mins due to jam bottles on the shuffler before the EBI; 3 mins due to jam bottles on the pasteurizer discharge line&amp; 2 mins infeed line; 4 mins crowns stuck in chute;  4 min due to back up on pasteurizer infeed line; 3 mins videojet unable to print; and 3 mins fallen bottle jam on the filler infeed worm</t>
  </si>
  <si>
    <t>50 mins due to broken partition on the washer discharge;  24 mins due to issues with the PLC com. on the EBI; 24 mins as a result of high rejection on the EBI; 23 mins due to low bottle supply; 21 mins due to stuck bottles on the washer discharge;  20 mins hydrualics stop (monitor stuck inside waiting for results); 19 mins working on the EBI to divert water from carmera lens (base); 15 mins due to stuck bottles shuffler before the EBI; 13 mins due to stuck bottles on the EBI discharge line &amp; 8 on EBI infeed line; 11 mins due to fill EBI rejection table; 10 mins due to low PU on the pasteurizer; 10 mins making adjustments to the packer; 9 mins due to stuck crowns in chute and hopper;  7 mins product delay; 5 mins air dryer fault on the filler; and 5 mins cleaning base camera on the EBI</t>
  </si>
  <si>
    <t>100 mins product change over; 40 mins due to continuous tripping of power on the washer ; 19 mins videojet unable to print; 10 mins making adjustments to the guiding rail on the packer ; 7 mins product delay; 7 mins due to continuous rejection on the EBI; 6 mins due to stuck bottles in shuffler; 6 mins due to stuck bottles on the EBI discharge line;  4 mins due to low PU on the pasteurizer; 4 mins stop on the uncaser; 4 mins due to stuck bottles and breakage on the washer discharge;and 3 mins due to stuck crowns in chute</t>
  </si>
  <si>
    <t xml:space="preserve">233 mins due to broken knock out bar on washer discharge;57 mins due to countinous tripping of power on the washer; 28 mins Low CO2 on the filler;   27 mins caustic carryover; 19 mins high rejection on the EBI;  17 mins due to stuck bottles in the shuffler; 14 mins due to bottle breakages in front of the washer; 13 mins countinuous stop on the washer; 13 mins EBI rejection table filled8 mins addressing bottle breakage at washer discharge; 7 mins due to overiding bottles on washer infeed;7 mins due to stuck bottles on the EBI discharge line;  5 mins due to stuck crowns in chute and hopper; 5 mins making adjustments to the labeller and 4 mins stop on the Hydraulics </t>
  </si>
  <si>
    <t>13 mins continuous stop on the washer; 9 mins making adjustments to the glue pump on the labeller; 7 mins due to stuck bottles in the shuffler (before the EBI); 6 mins due to stuck bottles on the EBI discharge line &amp; 3 EBI infeed line; 7 mins due to jam bottles on pasteurizer discharge line; 6 mins due to caustic carry over on the washer; 4 mins due to stuck crowns in chute and hopper; 3 mins due to high rejection on base on the EBI; 3 mins making start up adjustments to the labeller</t>
  </si>
  <si>
    <t>10 mins product change over ; 6 mins continuous stop on the washer; and 3 mins due to stuck bottles on the EBI discharge line</t>
  </si>
  <si>
    <t>36 mins making adjustments to the labeller; 28 mins due to fallen bottles on filler infeed worm/ screw ; 27 mins product delay; 25 mins product change over; 14 mins due to stuck bottles in shuffler (before the EBI); 13 mins due to high rejection on base on the EBI;  9 mins making adjustmets to filler infeed rail; 9 mins due to stuck crowns in chute and hopper; 6 mins air dryer fault on the filler; 6 mins due to stuck bottles on the EBI discharge line &amp; 7 EBI infeed line; 4 mins due to issues with the packer infeed line chain</t>
  </si>
  <si>
    <t>120 mins late start due to faulty VFD for Uncaser conveyor line; 24 mins due to high rejection on the EBI; 23 mins due to stuck bottles in shuffler (before the EBI); 21 mins due to stuck bottles on the EBI discharge line &amp; 17 EBI infeed line;19 mins EBI rejection table filled; 9 mins continuous stop on the washer; 8 mins making adjustments to the sensor on the uncaser; 6 mins air dryer fault on the fille; 5 mins inspecting the sensor below the filler for the clutch; 4 mins due to fallen bottles on filler infeed worm; and 3 mins due to stuck crowns in chute and hopper</t>
  </si>
  <si>
    <t>59 mins changing the contactor on the washer; 43 mins product change over; ;22 mins due to stuck bottles on the EBI infeed line &amp; 9 EBI discharge line; 15 mins due to high rejection on the EBI; 12 mins EBI rejection table filled;12 mins due to the fingers on the uncaser hitting the edge of crates; 9 mins product delay; 6 mins due to stuck bottles in shuffler before the EBI;  4 mins caused by labels remaining on bottles after passing through the washer; and 4 mins caustic carry over on the washer</t>
  </si>
  <si>
    <t xml:space="preserve">103 mins product change over; 7 mins due to high rejection on base on the EBI; 6 mins making adjustments to the packer </t>
  </si>
  <si>
    <t>36 mins additional late start due to broken kidney on the washer; 26 mins due to high rejection on base on the EBI;10 mins due to low PU; ;9 mins due to stuck bottles on the EBI discharge line &amp; 22 EBI infeed line;  9 mins EBI rejection table filled; 7 mins due to stuck crowns in chute; 7 mins due to sensor malfunctioning on the filler infeed; 6 mins due to finish crowns in hopper; 6 mins due to stuck bottles in the packer shuffler; and 4 mins air dryer fault on the filler</t>
  </si>
  <si>
    <t>103 mins due to broken kidney and guide on the washer;  40 mins late start crate stopper on the uncaser had delayed response causing the sensors to stop the machine; 38 mins changing cups on the packer due to cup leakage; 33 mins due to stuck bottles in the shuffler before the EBI; 25 mins due to stuck bottles on the EBI discharge line &amp; 9 EBI infeed line; 28 mins after changing the broken kidney on the  washer; 25 mins due to sensor malfunctioning on the filler infeed; 9 mins due to low PU; 7 mins EBI rejection table filled; 7 mins due to fill acc. table;  6 mins due to stuck crowns in chute; 6 mins making adjustments to the filler infeed worm; 5 mins air dryer fault on the filler;4 mins making adjustments to the videojet;  4 mins crowner self flushing; and 3 mins making adjustments to the EBI</t>
  </si>
  <si>
    <t>30mins late start due to leaking beer pump; 24mins due to stuck bottles on EBI infeed line 1 (shuffler); 17mins due to stuck bottles on the EBI discharge line &amp; 7 EBI infeed 2 line; 22mins due to low CO2 on the filler; 19 mins switching pallet packers and loading the uncaser; 5 mins due to no space to pack pallets;15mins videojet unable to print;15 mins due to high rejection on base on the EBI;  10 mins due to a power trip on the washer; 10mins pasteurizer infeed line back up; 7 mins changing cups on the uncaser; 6 mins due to stuck crowns in crowner bin; 6mins due to stuck bottles on pasteurizer discharge line;  5 mins due to packer discharge chain coming off sprocket</t>
  </si>
  <si>
    <t>Insufficient bottles to produce Shandy Ginger previous day</t>
  </si>
  <si>
    <t>308mins caustic carry over &amp; adjustments to resolve issue; 31 mins changing leaking cups on the uncaser;  12mins due to stuck bottles in the shuffler before the EBI; 8 mins investigating bottle burst program on the filler;  6 mins due to stuck bottles on the EBI discharge line &amp; 11 EBI infeed line; 7 mins washer jam at infeed( flap);7 mins high rejection on the EBI (old bottles); 5 mins crowns stuck in chute; 5 mins tightening loose fingers on the packer; and 3mins pasteurizer infeed line back up</t>
  </si>
  <si>
    <t>85 mins to repair CO2 regulator in filtration; 39mins due to cup leakage on the uncaser; 15mins due to stuck bottles on the EBI discharge line &amp; 14 EBI infeed line;  9mins infeed sensor on packer malfunctioned; 9mins due to stuck in chute; 6 mins due to low CO2 on the filler;  6mins due to stuck bottles in the shuffler before the EBI; 5mins pasteurizer infeed line back up; 5mins bottles block sensor on pasteurizer discharge line; 4 mins air dryer fault on filler; 7mins due to fill EBI table;  mins changing belt on the EBI; 5 mins due to stuck labels on EBI side wall; 5 mins switching pallet packer; 4 mins product delay; and 3 mins due to PEC sensor malfunction on the EBI</t>
  </si>
  <si>
    <t>46mins stuck bottles in shuffler before the EBI; 28 mins stuck bottles on the EBI discharge line &amp; 11mins EBI infeed line; 22mins EBI rejection table filled; 18 mins trimming bent fingers on the packer; 15mins due to high rejection on base on the EBI;7mins addressing and removing bottles with missing labels; 7mins product delay; 6mins crowns stuck in crown chute; 5mins suction cup leakage on the uncaser; and 4mins air dryer fault on filler</t>
  </si>
  <si>
    <t>116mins late start repairing burst gasket on the washer steam line; 16mins suction cup leakage on the uncaser ;4 mins due to stuck bottles on the EBI discharge line &amp; 8mins EBI infeed line; 4 mins waiting on CO2 to push up product</t>
  </si>
  <si>
    <t>26 mins change over; 11mins due to leaking suction cup on the uncaser; 11 mins due to stuck bottles on the EBI discharge line &amp; 6mins EBI infeed line;10mins product delay; 7 mins rail on EBI discharge 2 came out;7mins waiting on CO2 to push product; 5mins EBI rejection table filled; and 3mins start up adjustments on the labeller</t>
  </si>
  <si>
    <t>37mins suction cup leakage on the uncaser; 33mins making adjustments to uncaser head;15mins product change over; 13mins stuck bottles in the shuffler before the EBI; 35 mins stuck bottles on the EBI infeed line&amp; 3 mins EBI discharge line; 11mins EBI rejection table filled(old bottles); 9mins EBI adjustments; 3mins making adjustments to the labeller ; and 3mins low air on packer</t>
  </si>
  <si>
    <t>34mins suction cup leakage on the uncaser; 9mins EBI rejection table filled;6mins stuck bottles in the shuffler before the EBI; and 4mins waiting on CO2 to push product</t>
  </si>
  <si>
    <t>100 mins product change over;17mins making adjustments to the videojet (unable to print);10mins changing suction cups on the uncaser; and 3mins waiting on CO2 to push product</t>
  </si>
  <si>
    <t xml:space="preserve">42mins due to uncaser malfunction; 20mins High Pu &amp; 23 mins low Pu on the pasteurizer; 15mins high rejection on the EBI; 8mins due to stuck bottles in the shuffler before the EBI; 8mins completing change over on the packer to Vitamalt; 6mins EBI rejection table filled;  6mins pallet packer packing slowly; 4mins product delay;and 4mins label extractor issues </t>
  </si>
  <si>
    <t>Insufficient bottles to produce 1000 Carib Flint previous day</t>
  </si>
  <si>
    <t>Broken shaft on the EBI the previousday</t>
  </si>
  <si>
    <t>Insufficient bottles to produce Carib Flint previous day(switch to local)</t>
  </si>
  <si>
    <t>Insufficient bottles and labels to produce all Ting previous day</t>
  </si>
  <si>
    <t>Testing production after shutdown period (bad dog)</t>
  </si>
  <si>
    <t>Product shortage</t>
  </si>
  <si>
    <t>Available Time</t>
  </si>
  <si>
    <t xml:space="preserve">Insufficient flint bottles </t>
  </si>
  <si>
    <t xml:space="preserve"> </t>
  </si>
  <si>
    <t>Craft</t>
  </si>
  <si>
    <t xml:space="preserve">Cider </t>
  </si>
  <si>
    <t>Double shift for Carnival</t>
  </si>
  <si>
    <t>Monthly Budget</t>
  </si>
  <si>
    <t>Flint 330</t>
  </si>
  <si>
    <t>,</t>
  </si>
  <si>
    <t xml:space="preserve">, </t>
  </si>
  <si>
    <t>Generic Flint 275</t>
  </si>
  <si>
    <t>Juicy Cool(New)</t>
  </si>
  <si>
    <t>Generic Amber 275</t>
  </si>
  <si>
    <t>Hurricane Reef</t>
  </si>
  <si>
    <t>YTD BBT Hls</t>
  </si>
  <si>
    <t>YTD Fill mins</t>
  </si>
  <si>
    <t>YTD Bott. Hls</t>
  </si>
  <si>
    <t>Line Rated Efficiency (66%)  @17,000</t>
  </si>
  <si>
    <t xml:space="preserve"> TARGETS </t>
  </si>
  <si>
    <t>Plant Availability (80%)</t>
  </si>
  <si>
    <t xml:space="preserve">Cases on hold </t>
  </si>
  <si>
    <r>
      <t>Bottling Loss (</t>
    </r>
    <r>
      <rPr>
        <b/>
        <u/>
        <sz val="12"/>
        <color indexed="8"/>
        <rFont val="Times New Roman"/>
        <family val="1"/>
      </rPr>
      <t>1.6</t>
    </r>
    <r>
      <rPr>
        <b/>
        <sz val="12"/>
        <color indexed="8"/>
        <rFont val="Times New Roman"/>
        <family val="1"/>
      </rPr>
      <t>%)</t>
    </r>
  </si>
  <si>
    <t>Covid 19</t>
  </si>
  <si>
    <t>Jan.17</t>
  </si>
  <si>
    <t>Feb.17</t>
  </si>
  <si>
    <t>Mar.17</t>
  </si>
  <si>
    <t>Apr.17</t>
  </si>
  <si>
    <t>May.17</t>
  </si>
  <si>
    <t>Jun.17</t>
  </si>
  <si>
    <t>Jul.17</t>
  </si>
  <si>
    <t>Aug.17</t>
  </si>
  <si>
    <t>Sep.17</t>
  </si>
  <si>
    <t>Oct.17</t>
  </si>
  <si>
    <t>Nov.17</t>
  </si>
  <si>
    <t>Dec.17</t>
  </si>
  <si>
    <t>Jan.18</t>
  </si>
  <si>
    <t>Feb.18</t>
  </si>
  <si>
    <t>Mar.18</t>
  </si>
  <si>
    <t>Apr.18</t>
  </si>
  <si>
    <t>May.18</t>
  </si>
  <si>
    <t>Jun.18</t>
  </si>
  <si>
    <t>Jul.18</t>
  </si>
  <si>
    <t>Aug.18</t>
  </si>
  <si>
    <t>Sept.18</t>
  </si>
  <si>
    <t>Oct.18</t>
  </si>
  <si>
    <t>Nov.18</t>
  </si>
  <si>
    <t>Dec.18</t>
  </si>
  <si>
    <t>Jan.19</t>
  </si>
  <si>
    <t>Feb.19</t>
  </si>
  <si>
    <t>Mar.19</t>
  </si>
  <si>
    <t>Apr.19</t>
  </si>
  <si>
    <t>May.19</t>
  </si>
  <si>
    <t>Jun.19</t>
  </si>
  <si>
    <t>Jul.19</t>
  </si>
  <si>
    <t>Aug.19</t>
  </si>
  <si>
    <t>Sept.19</t>
  </si>
  <si>
    <t>Oct.19</t>
  </si>
  <si>
    <t>Nov.19</t>
  </si>
  <si>
    <t>Dec.19</t>
  </si>
  <si>
    <t>Jan.20</t>
  </si>
  <si>
    <t>Feb.20</t>
  </si>
  <si>
    <t>Mar.20</t>
  </si>
  <si>
    <t>Apr.20</t>
  </si>
  <si>
    <t>May.20</t>
  </si>
  <si>
    <t>Jun.20</t>
  </si>
  <si>
    <t>Jul.20</t>
  </si>
  <si>
    <t>Aug.20</t>
  </si>
  <si>
    <t>Sept.20</t>
  </si>
  <si>
    <t>Oct.20</t>
  </si>
  <si>
    <t>Nov.20</t>
  </si>
  <si>
    <t>Dec.20</t>
  </si>
  <si>
    <t>Jan.21</t>
  </si>
  <si>
    <t>Feb.21</t>
  </si>
  <si>
    <t>Mar.21</t>
  </si>
  <si>
    <t>Apr.21</t>
  </si>
  <si>
    <t>May.21</t>
  </si>
  <si>
    <t>Jun.21</t>
  </si>
  <si>
    <t>Jul.21</t>
  </si>
  <si>
    <t>Aug.21</t>
  </si>
  <si>
    <t>Sept.21</t>
  </si>
  <si>
    <t>Oct.21</t>
  </si>
  <si>
    <t>Nov.21</t>
  </si>
  <si>
    <t>Dec.21</t>
  </si>
  <si>
    <t>Jan.22</t>
  </si>
  <si>
    <t>Feb.22</t>
  </si>
  <si>
    <t>Mar.22</t>
  </si>
  <si>
    <t>Apr.22</t>
  </si>
  <si>
    <t>May.22</t>
  </si>
  <si>
    <t>Jun.22</t>
  </si>
  <si>
    <t>Jul.22</t>
  </si>
  <si>
    <t>Aug.22</t>
  </si>
  <si>
    <t>Sept.22</t>
  </si>
  <si>
    <t>Oct.22</t>
  </si>
  <si>
    <t>Nov.22</t>
  </si>
  <si>
    <t>Dec.22</t>
  </si>
  <si>
    <t>Jan.23</t>
  </si>
  <si>
    <t>Feb.23</t>
  </si>
  <si>
    <t>Mar.23</t>
  </si>
  <si>
    <t>Apr.23</t>
  </si>
  <si>
    <t>May.23</t>
  </si>
  <si>
    <t>Jun.23</t>
  </si>
  <si>
    <t>Jul.23</t>
  </si>
  <si>
    <t>Aug.23</t>
  </si>
  <si>
    <t>Sept.23</t>
  </si>
  <si>
    <t>Oct.23</t>
  </si>
  <si>
    <t>Nov.23</t>
  </si>
  <si>
    <t>Dec.23</t>
  </si>
  <si>
    <t>Jan.24</t>
  </si>
  <si>
    <t>Production Tracking 2017-2023</t>
  </si>
  <si>
    <t>ACTUAL</t>
  </si>
  <si>
    <t>BUDGET</t>
  </si>
  <si>
    <t>GBL DIFFERENCE</t>
  </si>
  <si>
    <t>Year</t>
  </si>
  <si>
    <t>Production Cases</t>
  </si>
  <si>
    <r>
      <t>Bottling Loss (</t>
    </r>
    <r>
      <rPr>
        <b/>
        <u/>
        <sz val="12"/>
        <color indexed="8"/>
        <rFont val="Times New Roman"/>
        <family val="1"/>
      </rPr>
      <t>1.8</t>
    </r>
    <r>
      <rPr>
        <b/>
        <sz val="12"/>
        <color indexed="8"/>
        <rFont val="Times New Roman"/>
        <family val="1"/>
      </rPr>
      <t>%)</t>
    </r>
  </si>
  <si>
    <t>Cases Per hour (350)</t>
  </si>
  <si>
    <t>.</t>
  </si>
  <si>
    <t>VM</t>
  </si>
  <si>
    <t>ST</t>
  </si>
  <si>
    <t>CB</t>
  </si>
  <si>
    <t>SM</t>
  </si>
  <si>
    <t>Daily Bottling Hall Summary 2026</t>
  </si>
  <si>
    <t>62mins consecutive stops on washer infeed, 60mins production preparation,  60mins late start due to low temperature on caustic tank 2, 32mins filler lost commincation with sensors, 13mins waiting on lab to release product , 11mins consecutive stops on washer discharge, 10mins waiting on bottles, 6mins high EBI rejection, 5mins EBI rejection table full (waiting on crates), 5mins fallen bottles inside EBI shuffler</t>
  </si>
  <si>
    <t>1320mins communication unit fault between Filler and EBI (Krones device), 38mins late start waiting on product</t>
  </si>
  <si>
    <t>1440mins communication unit fault between Filler and EBI (Krones device)</t>
  </si>
  <si>
    <t>1180mins lost for communication fault 37 mins lost for adjustments to speed control, 15mins bottles jam at washer discharge flap, 12mins high EBI rejection, 9mins consecutive stops at washer infeed, 7mins labeler startup adjustments</t>
  </si>
  <si>
    <t>83mins keeps jamming, 67mins high EBI rejection caused by pre-washed bottles, 40 mins stop for break (not enough personnel to cover rotation), 47mins Krones technician making adjustment, 15mins taking midnight reading and greasing filler, 11mins worm skipped timing, 8mins missing labels, 8mins centering device issues, 6mins fallen bottles on EBI starwheel</t>
  </si>
  <si>
    <t>30mins waiting on bottles from Washer, 17mins Krones technician making adjustment, 11mins fallen bottles on EBI shuffler, 9 mins stop to oil filler leg</t>
  </si>
  <si>
    <t xml:space="preserve"> 45mins high high ebi rejection caused by mixed and old bottles, 27mins worm went out of timing , 18mins filler change over from Carib to Star Malt, 11mins packer head adjustments, 6mins waiting on crates, 6mins fallen bottles at washer infeed flap,  5mins uncaser head hitting crates, 5mins waiting on crowns</t>
  </si>
  <si>
    <t xml:space="preserve">50mins filler change over, 29mins filler waiting for cold water (cold water tank empty), 10mins awaiting product release (QA), 11mins making adjustment on washer infeed guide, 6mins startup adjustments </t>
  </si>
  <si>
    <t>188mins filler change over from Vita Malt to Star Malt, 34mins broken electrical cable on uncaser head, 22mins for bottles jamming, 16mins fallen bottles on EBI shuffler, 8mins bent fingers on packer</t>
  </si>
  <si>
    <t>70 mins late start waiting for dry run, 20mins high rejection due to labels, 17mins for head jamming, 15mins late start product preparation, 10mins stop to replace cups, 10mins bottles jamming at EBI infeed, 10mins uncasher discharge conveyor trip, 9mins high EBI rejection, 5mins for bottles jamming</t>
  </si>
  <si>
    <t>48mins detached sponge, 40mins repairs to broken labeler infeed conveyor, 26 mins labeler change over, 8mins bottles jam at washer discharge flap, 7mins fallen bottles on OSW, 7mins adjustments on centering device, 7mins labeler infeed conveyor stuttering , 6mins fallen bottles on EBI shuffler, 6mins bottles jam at washer infeed flap, 5mins filler stopped waiting for crowns (filler operator did not realise that the crowns were already in the bottling hall), 5mins missing labels</t>
  </si>
  <si>
    <t>117mins stop for damaged sprocket, 25mins high rejection due to labels on bottles, 20mins taking midnight reading, 19mins bottles jam at washer infeed flap, 18mins bottles jam at washer discharge flap, 15mins filler lost communication, 12mins repairing cups, 8 mins toolbox meeting, 5mins waiting on line to load, 5mins uncaser head hitting crates,  5mins fallen bottles on EBI shuffler</t>
  </si>
  <si>
    <t>131mins waiting for product to be filtered, 24mins uncaser sensor malfunction, 20mins malfunction on labeler infeed conveyor, 16mins waiting on crates, 16mins maintenance working on EBI infeed conveyor, 16mins low temp on tank #4 , 13mins filleer change over from Carib to Stag, 12mins high EBI rejection, 12mins waiting on man power, 11mins fallen bottles on EBI shuffler, 10mins crown sticking in chute (adjustment had to be made to resolve issue), 8mins uncaser head hitting crates, 8mins missing labels, 5mins fallen bottles on OSW</t>
  </si>
  <si>
    <t xml:space="preserve">15mins incorrect bottles loaded , 13mins jammed bottles at washer discharge, 12mins midnight reading </t>
  </si>
  <si>
    <t>60mins bottles jamming at washer infeed flap, 37mins high rejection due to labels on bottles, 29 mins repairing the centering device for packer, 26mins waiting on dry run , 26mins waiting on lab to analyze BBT, 26mins fallen bottles on OSW, 18mins broken/jammed bottles on washer discharge flap, 10mins crowns stuck in chute , 10 mins waiting on staff to arrive on plant, 10mins high EBI rejection, 6mins changing over to mackeson, 5mins fallen bottles inside EBI shuffler</t>
  </si>
  <si>
    <t>67mins filler change over from Mackeson to Shandy Sorrel (short flint), 41mins mins high rejection due to labels on bottles, 22mins wait for pasteurizer temps to reach spec, 15mins changing gas needle, 10 mins lost due to incorrect bottle type loaded, 5mins jammed bottles on washer discharge flap</t>
  </si>
  <si>
    <t>60mins change over to Ting, 36mins stop for lunch break, 30mins low temp on pasteurizer, 15mins high EBI rejection, 9 mins wait due to low water level in soft drink plant , 8mins label adjustments, 7mins crowner stuck in chute, 6mins leaking cups on uncaser</t>
  </si>
  <si>
    <t xml:space="preserve">60mins product change over, 36mins draining and refilling rinse tanks on Washer, 36mins bottles jamming and riding up washer infeed flap, 26mins bottles jamming at washer discharge flap, 12mins fallen bottles on EBI shuffler, 12mins uncaser head malfunction, 12mins fallen bottles on OSW rail, 11mins changing neck sponge (fell off), 7mins high EBI rejection, 6mins crowner stuck in chute, 5mins cleaning labeler base </t>
  </si>
  <si>
    <t>37mins bottles jamming at washer fiinger infeed, 24mins change over from carib to stag, 6mins fallen bottles on EBI shuffler,  6mins start up adjustments, 5mins trying to put in guide on washer table</t>
  </si>
  <si>
    <t xml:space="preserve">37mins late start due to damaged electrical cable on uncaser, 34mins fallen bottles on EBI shuffler, 30mins lunch break, 25mins product preparation, 28mins bottles jam at washer discharge flap, 26mins lots of stops on washer infeed flap ,22mins waiting on product, 12mins malfunction  on uncaser had to restart, 6mins crowner stuck in chute, 5mins high EBI rejection, 5mins fallen bottles on EBI starwheel, 5mins high EBI rejection, 5mins fallen bottles on EBI starwheel, 5mins missing labels </t>
  </si>
  <si>
    <t>63mins filler communication malfunction, 18mins videojet not printing, 15mins fallen bottles on EBI shuffler, 11mins fallen bottles on pasteurizer dischage 1, 9mins high EBI rejection, 6mins pasteurizer malfunction, 6mins crowner stuck in chute, 5mins bottles jam at washer discharge</t>
  </si>
  <si>
    <t>76mins product change over , 32mins bottles jam at washer infeed, 17mins twisted labels, 17mins fallen bottles on EBI starwheel, 9mins pasteurizer malfunction, 7mins bottles stuck at washer discharge, 6mins high EBI rejection, 5mins parameter adjustment on EBI</t>
  </si>
  <si>
    <t>184 mins Filler CIP and change over from Ginseng to club soda, 11mins low water level in soft drink plant</t>
  </si>
  <si>
    <t>62mins change over, 49 mins low water supply in soft drink plant, 36mins low water supply on plant</t>
  </si>
  <si>
    <t>175mins uncaser sensor malfunction, 36mins for tool box meeting, 30 for washer loading, 17mins uncaser head malfunction, 12mins damaged crates causing misalignmment on uncaser head, 12mins filler change over from soda water to Kola Champ, 6mins high EBI rejection</t>
  </si>
  <si>
    <t xml:space="preserve">61mins low water supply in soft drink plant,  40mins waiting on a decision about the water and fire alarm went off, 33mins videojet no printing, 31mins for change over, 30mins High product temperature causing low fills and filler speed had to be reduced, 12mins fallen bottles jamming at washer flap infeed, 5mins damaged crates causing misalignmment on uncaser head </t>
  </si>
  <si>
    <t>1440mins no production due to low water supply on plant.</t>
  </si>
  <si>
    <t>21mins product change over</t>
  </si>
  <si>
    <t>360mins no production due to low water level on plant, 29mins waiting on product, 9mins filler preparation</t>
  </si>
  <si>
    <t>129mins issues in soft drink plant, 26mins high EBI rejection, 25mins repairing carrier on Washer, 20mins changing over from banana to ginger, 10mins bottles stuck at washer discharge, 10mins fallen bottles at  washer infeed, 5mins waitng on line to load (logistics)</t>
  </si>
  <si>
    <t>29mins product change over, 16mins low CO2 at soft drink plant , 7mins bottles jamming at washer infeed, 6mins mixed up bottles causing high rejection</t>
  </si>
  <si>
    <t xml:space="preserve">45mins product preparation </t>
  </si>
  <si>
    <t>672mins intalling new pump on tank #2, 112mins removing bottles with caustic residue, 97mins waiting on pasteurizer to reach temp, 32mins product change over, 10mins uncaser head hitting crates, 9mins fallen bottles on shuffler,  8mins bottles jam at washer discharge, 7mins high PU on pasteurizer</t>
  </si>
  <si>
    <t>52mins bottles jam at washer infeed, 24mins bottles jam at washer discharge, 23mins uncaser head jamming crates, 14mins picking up wrong bottle type from the washer load table. (short amber), 8mins high rejection due to labels on bottles,  8mins stop to clean pasteurizer discharge , 8mins syop at pasteurizer discharge conveyor, 7mins slack suction cups,  6mins fallen bottles on EBI shuffler, 5mins cleaning filler base, 5mins labeler pump cut off, 5mins cleaning the labeler, 5mins greasing filler and taking midnight readings</t>
  </si>
  <si>
    <t>165mins waiting on product, 60mins product change over, 10mins mins uncaser head jamming crates, 18mins incorrect bottles jamming EBI, 6mins fallen bottles on filler discharge #1</t>
  </si>
  <si>
    <t>120mins product change over, 22mins bottles sticking in EBI starwheel, 10mins high EBI rejection, 10mins replacing rubbers, 5mins cleaning filler base</t>
  </si>
  <si>
    <t>57mins make up fluid finish on videojet and it took a while for the viscosity to be adjusted, 23mins bottles jamming on EBI infeed, 17mins uncaser head hitting crates, 7mins high rejection due to labels, 7mins packer sensor malfunction, 5mins fallen bottles on EBI shuffler</t>
  </si>
  <si>
    <t>31mins uncaser head hitting crates, 30mins fallen bottles on EBI shuffler,  24mins waitng for cartons, 23mins fallen bottles on OSW, 20mins filler change over from Peraseco to Rose, 16 mins waiting for big pallets to pack crates, 15 mins changing over carton in carton erector from pearseco to Rose, 15mins bottles jam at washer infeed,11mins bottles falling on pasteurizer discharge activated the back up sensor causing unit to stop several times, 6mins waiting for flats, 6 mins incorrect bottles (carib) jamming at EBI,  5mins high rejection due to labels</t>
  </si>
  <si>
    <t>35mins cleaning filters , 25mins product change over, 6mins uncaser head hitting crates</t>
  </si>
  <si>
    <t>75mins waiting for filling tubes from lab (they were not autocleaved), 29mins product change over,15mins crate washer conveyor jumped out from sprocket, 15mins person missing in position , 13mins high EBI rejection, 10mins stop to clean strainers,  8mins packer infeed conveyor  jumped out of track, 7mins fallen bottles on washer infeed, 7mins high rejection due to labels on bottles,  6mins fallen bottles on washer discharge, 5mins fallen bottles on EBI starwheel, 5mins fallen bottles on EBI shuffler</t>
  </si>
  <si>
    <t>10mins filler switch over from Vitamalt classic  to Vitamalt ginger, 8mins Heavy EBI rejections caused by pre-washed bottles, 6mins test bottle adjustments</t>
  </si>
  <si>
    <t xml:space="preserve">22mins bottles jamming at ebi discharge, 18 mins Incorrect bottle type stuck at EBI , 8mins final  rinse level drop , 8mins crowns stuck in chute, 8mins changing at end of day, 7 mins heavy EBI rejections caused by pre-washed bottles, 5mins high rejectio due to labels on bottles, </t>
  </si>
  <si>
    <t>26mins mins uncaser head hitting crates, 10mins taking midnight reading, 6mins high rejection caused by old bottles, 6mins low air pressure in bottling hall</t>
  </si>
  <si>
    <t>30 mins 11-7 shift tool box meeting, 28mins bottles jam at washer discharge, 21mins bottles jam at washer infeed,  21mins nobody at pasteurizer discharge station, 20 mins filler change over from Carib to Stag, 15mins fallen bottles inside EBI shuffler,15 mins 7-2 shift tool box meeting,  11mins packer discharge conveyor came off track, 11mins no big pallets for palletizing, 10mins high rejection due to labels, 10 mins labeler change over from Carib to Stag, 9mins uncaser head hitting crates, 8mins low air pressure on packer, 5mins emptying washer</t>
  </si>
  <si>
    <t>Glue Usage (lbs/case)</t>
  </si>
  <si>
    <t>90mins waiting for water pressure to increase on the fobber, 54mins washer loading and filler preparation, 22mins maintenance working on pasteurizer discharge, 10mins uncaser head hitting crate, 7mins fallen bottles inside EBI, 6mins bottles stop on filler, 6mins jammed bottles on washer infeed flap</t>
  </si>
  <si>
    <t>27mins waiitng for lab to do bitterness check on product before releasing, 17mins waiting on lab to release product, 16mins uncaser head hitting crates, 13mins heavy EBI rejections caused by pre-washed and mixed bottles, 13mins jammed bottles on washer infeed flap, 13mins adding water to final rinse, 13mins change over from stag to carib, 12mins bottles jam on washer discharge flap, 10mins fallen bottles inside EBI, 8mins broken head airline,  6mins high rejection due to labels on bottle</t>
  </si>
  <si>
    <t>220mins waiting for product, 44mins stop to drain and clean rinse tanks on washer, 35mins replacing cups, 31mins bottles jam at washer discharge flap, 12mins rewashed bottles, 11mins low CO2 on filler, 11 mins lost for man power, 10mins stop for midnight reading, 8mins switching palletizer  , 6mins bottles jam at washer discharge flap, 5mins cleaning filters and bins, 5mins uncaser head hitting crates</t>
  </si>
  <si>
    <t>84mins carton errector malfuntion, 32mins bottles jamming at washer infeed, 30mins change over from Amber to flint,  24mins waiting on bottles, 23mins uncaser head hitting crates, 22mins crowner adjustments, 20mins crate stopper malfunction due to dry rot air hose , 18mins heavy ebi rejections due to mixed bottles, 16mins low air on carton erector, 9mins labeler start up adjustments, 7mins crowner stuck in chute, 7mins high rejection, 7mins packer sensor malunction, 6mins fallen bottles on EBI starwheel, 6mins mins bottles jamming at washer discharge, 5mins carton errector not taping properly, 5mins waiting on boxes no one at station</t>
  </si>
  <si>
    <t>135mins changing over from Carib export to Caribe Rose, 110mins filler centering bell sensor malfunction plus replacement , 78 mins low air pressure problem on carton errector, 22mins boxes jamming on carton errector, 12mins crate stopper not totally retracting causing crates to stick, 12mins uncaser head hitting crates, 12mins lack of manpower at pasteurizer discharge, 8mins uncaser infeed conveyor cut off, 5mins high EBI rejection</t>
  </si>
  <si>
    <t>75mins product change over, 37mins videojet not printing properly, 34mins uncaser head hitting crates, 22 mins repairing leak on crate rinser pump by engineering, 20 mins line stop due to test bottle # 2 failing and a new one had to be made,19mins bottles jamming at washer discharge, 16mins making adjustments to crates uncaser head and centering device, 16 mins Broken shaft for centering cups was replaced,13mins to tighten cups, 12mins crate discharge sensor malfunction ,  10mins high EBI rejection, 6mins reloading EBI program, 5mins mins fallen bottles inside EBI</t>
  </si>
  <si>
    <t>21mins operator sop to do box count and take midnight reading, 15mins stop to take midnight reading, 9mins tape not taping properly on carton errector, 6mins fallen bottles jam at pasteurizer disccharge, 5mins removing cases from pasteurizer discharge</t>
  </si>
  <si>
    <t>57mins product change over, 39mins crate discharge sensor malfunction, 27mins filler mid week clean,  17mins mins mins bottles jamming at washer discharge, 13mins waitng for lab tech to do swab on filler, ,13 mins waiting on manpower, 7mins waiitng for bottles from washer (bottles at washer discharge but conveyors were empty)</t>
  </si>
  <si>
    <t>40mins filler change over from Carib to Shandy Ginger, 14mins broken bottles stick at discharge, 13mins bottles jam at washer discharge, 5mins fallen bottles inside EBI</t>
  </si>
  <si>
    <t>147mins uncaser sensor malfunctiom, 57mins head jamming crates, 20mins bottles jam at washer discharge,  15 mins tool box meeting (7-2 shift), 13mins fallen bottles inside EBI, 10 mins for midnight reading, 8mins mins bottles jam at washer infeed</t>
  </si>
  <si>
    <t>31mins uncaser head malfunction, 5mins packer start upp adjustments</t>
  </si>
  <si>
    <t>55mins waiting on bottles from washer, 53mins uncaser head hitting crates,  25mins uncase head not descending, 10mins lack of manpower at pasteurizer discharge conveyor, 9mins filler stop by sup to facilitate cut off loading,  6mins low co2 of filler,  5mins fallen bottles inside EBI</t>
  </si>
  <si>
    <t>130mins product out of spec waiting on product to be analyze, 55mins uncaser sensor malfunction, 50mins changing over from shandy to stag, 47mins mins uncaser head hitting crates, 37mins dead plate adjustments , 20mins bottles jamming at washer discharge, 12mins adjustments to dead plate,  5mins bottles jamming a washer infeed</t>
  </si>
  <si>
    <t>137mins green ting mixing not complete filler waiting on product ,26mins uncaser head hitting crates, 19mins changing over from Pink Ting to Green Ting , 5mins washer loading</t>
  </si>
  <si>
    <t xml:space="preserve">104mins filler preparation moving from Stag to Pink Ting ,46mins preparation delay due to fire alarm activation, 35 mins EBI infeed 1 conveyor running slow (ENI working to resolve), 18mins washer loading, 13mins waiting for product from soft drink plant, 12mins bottles jam at washer discharge, 10mins for low manpower, 7mins fallen bottles stick in shuffler, 6mins for low water in soft drink plant </t>
  </si>
  <si>
    <t>77mins change over from Ting to Carib, 28mins high rejection due to rewashed bottles, 14mins uncaser head hitting crates, 6mins switching depalletizer (shift change), 10mins bottles jamming at infeed flap</t>
  </si>
  <si>
    <t>88mins stop to clean washer tanks, 53mins midweek clean, 37mins bottles jamming at washer discharge, 33mins test bottle fail, 27 mins late arrival of staff transport,   21 mins changing from CDC green to short green, 20mins low CO2 on filler, 19mins leaking suction cups, 18mins bottles jamming at washer infeed, 15 mins change over from short to medium weight bottles, 12mins changing over from carib to stag, 8mins uncaser head jamming crates, 7mins broken air line on uncaser head,  8mins high EBI rejection, 5mins fallen bottles on EBI starwheel, 5mins resetting EBI settings, 5mins fallen bottles stick in shuffler, 5mins missing labels</t>
  </si>
  <si>
    <t>25mins fallen bottles stick in shuffler, 17mins bottles jamming at washer discharge, 14mins bottles jamming at washer infeed, 12mins rinse water tank level low, 10 mins for lack of man power at pasteurizer discharge, 8mins high rejection due to labels, 6mins fallen bottles on OSW, 6mins for cutting of loading</t>
  </si>
  <si>
    <t>123mins leaking cups on uncaser, 83mins filler infeed conveyor trip off then was running slow while engineering worked on it, 39mins leaking cups on packer, 37mins adjustments to stop bottles exiting half labeled, 33mins missing labels, 30mins low air pressure on packer and uncaser, 28mins lunch break, 26mins EBI running slow,  26mins heavy rejection caused by pre-washed bottles, 25mins videojet not printing, 20mins EBI infeed conveyor running extremely fast causing bottles to trip at EBI starwheel, 18mins bottles jamming at washer infeed, 14mins twisted labels, 13mins high rejection due to labels, 12mins high EBI rejection, 10mins midnight readings and switch over to new day,  7mins fallen bottles on EBI discharge, 6mins restarting EBI, 5mins crate washer sensor malfunction</t>
  </si>
  <si>
    <t>32mins uncaser leaking cups, 10mins fallen bottles inside shuffler</t>
  </si>
  <si>
    <t>675mins Starmalt relabelling, 60mins product change over, 26mins uncaser sensor malfunction, 12mins adjustment on uncaser, 8mins high EBI rejection, 5mins falllen bottles at washer infeed flap</t>
  </si>
  <si>
    <t>360mins late start up due to boiler being down, 120mins town hall meeting, 103 washer heat up and loading (no bottling happened on previous shift), 18mins waiting on product, 17mins labeler adjustmentss, 14mins bottles jam at washer discharge flap, 11mins uncaser head malfuction, 9mins high EBI rejection, 6mins fallen bottles on EBI starwheel, 7mins bottles jam at washer infeed flap, 7mins removing bottles from crates due to damage rubbers in the washer cup, 7mins uncaser head hitting crates, 6mins EBI starwheel encoder failure,  6mins palletizer chacking an issue with pallet tickets</t>
  </si>
  <si>
    <t>873mins repairs to shaft on washer load table, 31mins waiting on lab to release product, 21mins bottles jam at washer discharge flap, 17mins midnight change over also oiling and greasing filler, 17mins high EBI rejection, 15mins changing leaking cups on packer, 13mins damaged filler fobber filter housing, 9mins leaking cups on uncaser, 8mins bottles jam at washer infeed flap, 6mins fallen bottles on EBI starwheel, 5mins fallen bottles inside EBI shuffler</t>
  </si>
  <si>
    <t>1440mins repairs to shaft on washer load table</t>
  </si>
  <si>
    <t>89mins leaking cups on uncaser, 69mins change over to Ting, 16mins waiting on product</t>
  </si>
  <si>
    <t xml:space="preserve">57mins leaking cups on uncaser, 34mins change over from Carib to Shandy Sorrel, 9mins EBI test bottles failing, 8mins for cutting off loading </t>
  </si>
  <si>
    <t>170mins leaking cups on uncaser, 120mins washer heating up after shaft repairs, 38mins EBI test bottles failing, 34mins bottles jamming when drop at discharge flap, 28mins heavy EBI rejections caused by pre-washed bottles, 23mins changing leaking cups on packer, 13mins high EBI rejection, 11mins high rejection due to labels on bottles, 5mins EBI infeed conveyor malfunction caused bottle jam at starwheel, 7mins uncaser head hitting crates</t>
  </si>
  <si>
    <t xml:space="preserve">90mins leaking cups on uncaser, 73mins changing over from Ting Original to Carib, 41mins uncaser head hitting crates, 17mins EBI running slow, 12mins stop to full line, 9mins low water in soft drink plant, 9mins bottles jamming at washer discharge flap, 6mins laber change over  from Ting to Carib </t>
  </si>
  <si>
    <t>94mins leaking cups on uncaser, 70mins leaking cups on packer, 42mins enquiring about and creating gap in washer for pre-washed bottles, 21mins uncaser head hitting crates, 29mins changing product from Ting to Carib (waiting for temperature drop ), 17mins damaged star wheel, 10mins low water pressure in soft drink plant  which delayed change over, 7mins sensor damaged by bottle dropping from a compromised suction cup , 5mins bottles jamming at washer discharge flap, 5mins high rejections caused by pre-washed bottles</t>
  </si>
  <si>
    <t>300mins EBI discharge conveyor not coming on, 152mins leaking suction cups on uncaser, 150mins EBI infeed conveyor is not stopping when emergency button is pressed while discharge #2 is taking longer to rest than is normal (ENI called in to rectify), 60mins washer loading which started late because of late bus,  33mins waiting for product realease by QA, 31mins fallen bottles on washer infeed flap, 42mins high EBI rejection, 18mins test bottle #5 failing (tape had to be changed), 14mins high PU on pasteurizer, 11mins fallen bottles on washer discharge flap, 10mins leaking cups on packer, 9mins uncaser head hitting crates, 8mins uncaser head malfunction, 8mins fallen bottles on EBI shuffler, 8mins fallen bottles on EBI starwheel, 6mins fallen bottles on EBI discharge,  5mins fallen bottles on OSW</t>
  </si>
  <si>
    <t xml:space="preserve">17mins leaking cups on uncaser, 15mins fallen bottles on washer discharge flap, 12mins stop to take midnight reading, 11mins fallen bottles on EBI shuffler, 8mins high EBI rejection,  7mins waiting on product </t>
  </si>
  <si>
    <t>177 mins broken shaft on pasteurizer pump 5, 103mins to full tank and heat up pasteurizer, 72mins labeler infeed conveyor repairs (stuttering), 43mins high EBI rejection, 42mins test bottle failure, 30mins high rejection due to labels on bottles, 24mins fallen bottles jam EBI starwheel, 16mins leaking cups on uncaser, 16mins high rejection caused by old and mixed bottles, 12mins product change over</t>
  </si>
  <si>
    <t>287mins pasteurizer pump#5 down for repairs, 85mins pasteurizer infeed conveyor (came out of track), 79mins rejections caused by fast running conveyors which cannot be slowed down at the moment due to VLT restraints, 79mins bottles jamming on washer infeed flap, 56mins stop to repair stem on uncaser head,  47mins conveyors running faster than normal is causing bottle jam at discharge, 29mins trouble shooting EBI malfunction( all bottles exiting on rejection table conveyor/all bottles rejecting), 25mins change over from Guinness to Stag, 22mins leaking cups, 16mins sensor adjustment on uncaser, 11mins stop to investigate to air leak, 10mins EBI adjustments to try stop the excessive rejections, 10 mins trouble shooting  to stop bottles jammimg at discharge, 10mins bottles jamming on washer discharge flap, 7mins EBI infeed conveyors not running, 6 mins stop to try vita malt starwheel in an effort to minmise bottles jamming at discharge, 6mins stop to create gap in washer to switch from Guinn to CDC Green bottles, 5mins fallen bottles on EBI shuffler, 5mins bottles exiting washer  looking cloudy</t>
  </si>
  <si>
    <t>710mins troubleshooting EBI malfuction (all bottles rejecting), 24mins bottles jamming on washer infeed flap, 20mins adjustment to EBI conveyors, 17mins changing out leaking suction cups with new ones, 12mins adjustments to stop flagging labels, 10mins bottles jamming on washer discharge flap, 7mins EBI infeed conveyors running slow</t>
  </si>
  <si>
    <t>40mins ENI tech making adjustments to test bottle, 38mins high rejection due to labels, 12mins uncaser head hitting crates, 11 mins Filler change over from Stag to Carib, 10mins high EBI rejection,  7mins adding water to tank #3 on washer to address cloudy look, 6mins mins bottles jamming on washer infeed flap, 6 mins labeler change over from Stag to Carib, 6mins washer space between green and amber bottles (change of product)</t>
  </si>
  <si>
    <t>15mins removing incorrect crowns from hopper and crown chute, 10mins replacing leaking cups, 10mins midnight reading on filler, 7mins jammed bottles on washer infeed flap, 6mins uncaser head hitting crates</t>
  </si>
  <si>
    <t>42mins dry run on pasteurizer, 24mins jammed bottles on washer infeed flap, 23mins changing over from Carib to Starmalt, 20mins replacing leaking cups, 15mins high EBI rejection, 10mins fallen bottles on EBI shuffler,  9mins uncaser head hitting crates, 7mins lack of man power, 6mins labeler adjustments</t>
  </si>
  <si>
    <t>50mins filler change over from Starmalt to Carib, 17mins high rejection due to labels on bottles, 10mins jammed bottles on washer infeed flap, 9mins uncaser head hitting crates, 8mins fallen bottle on EBI discharge conveyor, 7mins fallen bottles on EBI shuffler,  6mins jammed bottles on washer discharge flap, 5mins waiting for product from filtration</t>
  </si>
  <si>
    <t>83mins high rejection due to labels on bottles, 50mins change over from Starmalt to Carib , 27mins jammed bottles on washer discharge flap, 25mins jammed bottles on washer infeed flap, 12mins fallen bottles on EBI discharge conveyor, 8mins fallen bottles inside EBI shuffler</t>
  </si>
  <si>
    <t>29mins water added to tank 5 too fast and the temperature drop, 27mins jammed bottles on washer discharge flap, 18mins product preparation, 8mins high EBI rejection, 7mins waiting for product to be analyzed</t>
  </si>
  <si>
    <t>48mins test bottles failing,  36mins head sensor malfunction, 16mins waiting on lab tech to test bottles from Washer, 14mins packer head not moving, 9mins high rejection due to rewashed bottles, 9mins very heavy EBI rejection, 7mins infeed worm breaking bottles, 7mins changing leaking suction cups</t>
  </si>
  <si>
    <t xml:space="preserve">103mins high rejection due to labels, 44mins uncaser head malfunction, 33mins very heavy EBI rejection, 31mins waiting on bottles to exit washer, 29mins filler infeed worm out of timing, 16mins bottles jam on washer discharge flap, 16mins bottles jam on washer infeed flap, 10mins fallen bottles on EBI discharge conveyors, 9mins filler change over, 8mins broken stem for centering cup, 7mins space in washer for rewash bottles, 6mins track broken on uncaser </t>
  </si>
  <si>
    <t>83mins uncaser sensor malfunction, 66mins fallen bottles jam at discharge flap, 59mins high rejection due to labels on bottles, 27mins fallen bottles at washer infeed flap, 27mins broken transport belt track, 18mins bent dead plate had to be taken off machine and brought to maintenance workshop, 17mins uncaser head hitting crates, 16mins fallen bottles on EBI shuffler, 16mins fallen bottles stuck on EBI discharge conveyor, 14 mins to cut off a piece of guide rail at discharge flap, 14mins stop work to be done on washer extractor, 13mins pre-washed bottles (high rejections), 10mins changing cups,  8mins fallen bottles on EBI starwheel, 7mins high EBI rejection, 6mins fallen bottles on EBI OSW, 6mins crowner stuck in chute, 5mins filler taking midnight reading (change over to a new day)</t>
  </si>
  <si>
    <t xml:space="preserve">54mins leaking suction  cups, 25mins bottles jamming at washer infeed flap, 27mins bottles jamming at washer discharge flap, 20mins EBI dead plate repairs, 14mins heavy EBI rejections caused by pre-washed bottles, 10mins cutting off for loading, 7mins uncaser head hitting crates, 7mins fallen bottles inside shuffler, 5mins bowl level drop </t>
  </si>
  <si>
    <t>62mins conductiing repairs to derailed pasteurizer infeed conveyor, 45mins stop to repair conveyer, 45mins lost due to lack of man power.( making arrangement to the team as shift was significant short staffed), 32mins bottles jamming at washer infeed flap, 25mins bottles jamming at washer discharge flap, 17mins high rejection due to labels on bottles, 15mins stop to remove short NR amber bottles at the washer infeed, 10mins waiting on depalletiser( switching shifts), 9mins product change over, 9mins uncaser head hitting crates, 9mins bottles jamming at  EBI starwheel, 9mins low air pressure on filler, 8mins crowner stuck in chute, 7mins crowns stuck in transfer chute, 7mins high EBI rejection,  6mins unresponsive EBI discharge conveyor, 5mins outfeed sensor backed up on filler</t>
  </si>
  <si>
    <t>13mins high rejection due to labels on bottles</t>
  </si>
  <si>
    <t>147mins filling bowl not adjusting ,127mins high rejection due to labels on bottles, 87mins motor to adjust crowner height jam, 82mins pasteurizer infeed conveyor jam, 81mins product change over, 43mins Test bottles #2 fail, 31mins stop to add chemicals in the washer( stabillon), 24mins leaking cups, 17mins resetting EBI, 15mins incorrect bottles loaded, 10 mins lost for meeting, 9mins high EBI rejection, 6mins uncaser head hitting crates, 6mins fallen bottles stuck at filler infeed worm, 6 mins gap from rewash bottles, 5mins filler height adjustment</t>
  </si>
  <si>
    <t>105mins pasteurizer infeed conveyor derailed, 30mins high rejection due to glue/ labels on bottle, 10mins bottles jammed at EBI infeed, 10mins test bottle #2 failing</t>
  </si>
  <si>
    <t>120mins change over from Vitamalt Ginger to Guinness, 35mins aggregate adjustor break, 22mins high rejection due to glue/ labels on bottle, 20mins high EBI rejection, 8mins bottles jamming at washer infeed flap, 6mins labeler adjustments, 5mins fallen bottles at EBI starwheel</t>
  </si>
  <si>
    <t>31mins high rejection due to glue/ labels on bottle, 12mins bottles jamming at washer infeed flap, 12mins EBI discharge conveyor cut off, 9mins change over from Classic to Ginger, 6mins uncaser head malfunction</t>
  </si>
  <si>
    <t>120mins waiting on bottles from washer,  53mins uncaser head malfunction, 47mins solenoid for fobber not working, 32mins bottles jamming at washer discharge flap, 25mins bottles jamming at washer infeed flap, 24mins high EBI rejection, 19mins high rejection due to glue/ labels on bottle, 17mins fallen bottles sticking in EBI shuffler, 10mins product preparation, 7mins uncaser head hitting crates</t>
  </si>
  <si>
    <t>237 mins stop for bottling hall and union meeting, 130mins stop on line due to the unavailability of product, 57mins bottles jamming at washer discharge flap, 54mins boiler cut off, 31mins no lab tech to analyse product, 30 mins break, 20mins uncaser head malfunction,17mins high rejection due to glue/ labels on bottle, 12mins fallen bottles on EBI starwheel, 11mins stop to do midnight change over, 10mins EBI syction cups malfunction, 8mins bottles jamming at washer infeed flap, 8mins uncaser head hitting crates, 8mins missing labels, 7mins fallen bottles inside shuffler, 5mins leaking suction cups</t>
  </si>
  <si>
    <t>44mins uncaser sensor malfunction, 30mins bottles jamming at washer discharge flap, 29mins high EBI rejections caused by pre-washed bottles, 19mins high rejection due to glue/ labels on bottle, 13mins high EBI rejection, 12mins changing suction cups to improve vaccum pressure,  11mins midnight change over, adjusting labeler speed, 10mins bottles jamming at washer infeed flap, 7mins changing rubber on centering cup, 7mins packer head adjustments, 6 mins for cutting off loading, 6mins uncaser head hitting crates, 5mins fallen bottles on EBI OSW</t>
  </si>
  <si>
    <t>80mins product change over, 34mins waiting on product, 31mins labels adjustments on labeler, 22mins videojet not printing, 18mins crowner height adjustments, 9mins replacing cups on packer, 6mins high EBI rejections caused by pre-washed bottles, 5mins crowner stuck in chute, 5mins uncaser head hitting crates, 5mins cartons not taping</t>
  </si>
  <si>
    <t>42mins maintenance adjusting transfer plate in EBI, 10mins high rejection due to labels, 8mins fallen bottles jam at flap discharge</t>
  </si>
  <si>
    <t>45mins carton errector malfunction, 30mins test bottle failure, 28mins product change over from Pearsecco to Rose, 22mins uncaser head hitting crates, 14mins mins fallen bottles jam at flap infeed, 13mins carton errector jamming, 8mins waiting for bottles from logistics, 6mins waiting on palletizer, 5 mins EBI rejection caused by mixed bottles entering unit (cdc clear)</t>
  </si>
  <si>
    <t>62mins filler change over, 50mins was used to do midweek clean while operator waited for maintenance to adjust filler bowl manually, 35mins lost due to filler bowl height not adjusting automatically, 25mins packer sensor malfunction, 18mins waiting on washer operator to load line, 14mins bottles jam at discharge flap, 12mins uncaser head hitting crates, 10mins lost waiting on stag crowns, 10mins high rejection due to labels, 10mins leaking cups on packer, 7mins fallen bottles jam at flap infeed</t>
  </si>
  <si>
    <t>38mins bottles jamming washer discharge flap,32mins filler change over from Stag to Star Malt, 22mins leaking cups, 20mins uncaser head malfunction, 11mins uncaser head hitting damaged crates,  5mins bottles jamming washer infeed flap</t>
  </si>
  <si>
    <t xml:space="preserve"> 24mins high EBI rejection due to labels, 12mins bottles jamming washer infeed flap, 12mins midnigt change over, 11mins fallen bottles jamming OSW, 10mins high EBI rejection, 9mins bottles jamming starwheel, 8mins bottles jamming washer discharge flap,  8mins heavy EBI rejections caused by pre-washed bottles, 7mins space in washer to separate pre-washed bottles, 6mins uncaser head hitting damaged, 6mins centering device adjustments, 5mins crowner self flushing crates</t>
  </si>
  <si>
    <t xml:space="preserve">165mins repasteurizing low Pu starmalt, 92mins awaiting dry run for Guinness, 10mins high EBI rejection , 10mins washer loading, 6mins bottles jam at washer discharge, 5mins uncaser head hitting crates, 5mins packer head adjustments </t>
  </si>
  <si>
    <t>113mins crate rinser conveyor derailed, 43mins filler change over from Star Malt to Guinness, 27mins toolbox meeting, 26mins uncaser head hitting damaged crates, 23mins fallen bottles inside shuffler, 11mins bottles jam at washer discharge flap, 10mins stop to take midnight reading  , 9mins bottles jam at washer infeed flap, 5mins bottles jam at carriers, 5mins high EBI rejections caused by pre-rejected bottles, 5mins cleaning filler base</t>
  </si>
  <si>
    <t>828mins broken shaft at washer infeed, 208mins air compressor cut off, 23mins high EBI rejections caused by old/bad bottles, 15mins product preparation, 9mins fallen bottles on washer discharge, 5mins EBI discharge conveyor not coming on, 5mins fallen bottles on EBI shuffler</t>
  </si>
  <si>
    <t>1440mins broken shaft at washer infeed</t>
  </si>
  <si>
    <t>480mins broken shaft at washer infeed, 34mins high EBI rejection, 23mins videojet not printing properly, 16mins low air pressure, 15mins low temp on washer tank 1, 12mins uncaser head hitting crates, 11mins bottles jam at washer infeed flap,  8mins bottles jam at washer discharge flap</t>
  </si>
  <si>
    <t>58mins Filler change over from Guinness to Carib which included a cold caustic flush, 18mins crate stopper sticking, 10mins fallen bottles on OSW, 9mins bottles jam at washer infeed flap, 9mins all crate rinser conveyors cut off,  8mins high rejection due to labels, 8mins labeler change over from Guinness Carib</t>
  </si>
  <si>
    <t>33mins waiting on product from filtration, 14mins bottles jam at washer infeed flap, 14mins fallen bottles inside EBI, 10mins taking midnight reading, 9mins crowner stuck in chute, 8mins fallen bottles on EBI starwheel, 8mins flagging labels, 6mins uncaser head malfunction, 5mins misaligned labels, 5mins bottles jam at washer discharge flap</t>
  </si>
  <si>
    <t>15mins high rejection due to labels on bottles, 8mins high EBI rejection, 7mins bottles jam at washer discharge flap, 6mins placing crates into pasteurizer to separate Amber from Flint , 5 mins waitiing for crate lids person</t>
  </si>
  <si>
    <t>16mins switching palletizer, 11mins bottles jam at washer discharge flap</t>
  </si>
  <si>
    <t xml:space="preserve">18mins filler operator waiting on crowns, 17mins filler change over from Carib Amber to Stag (cdc bottle), 15mins removing excess amber bottles from washer, 12mins washer infeed gone out of timing,  7mins switching palletizer, 6mins bottles jam at washer discharge flap, 6mins waiting from product from filtration, </t>
  </si>
  <si>
    <t>37mins adjustments on magazine, 19mins high rejection due to old/ rewashed bottles, 17mins bottles jam at washer discharge flap, 14mins low CO2 on filler,  13mins missing labels, 13mins incorrect bottles loaded, 12mins waiting on labels, 12mins uncaser head hitting crates, 10mins high EBI rejection, 10mins taking midnight reading , 9mins waiting on palletizer, 9mins stop to laod washer discharge conveyor, 9mins malfunction at packer discharge #2, 8mins start up adjustments</t>
  </si>
  <si>
    <t>11 mins wait for CDC brown in washer, 9mins labeler startup adjustments, 8mins product change over, 7mins fallen bottles inside EBI shuffler, 5mins switching BBTs, 5mins packer head adjustments</t>
  </si>
  <si>
    <t>6mins cleaning filler base, 6mins palletiser packing slow, 5mins waiitng for palletizer (shift change), 5mins changing from Amber to Flint</t>
  </si>
  <si>
    <t xml:space="preserve">45mins delayed start up waiting on bottles to exit washer, 17mins bottles jam at washer discharge flap,  13mins fallen bottles inside EBI shuffler, 8mins fallen bottles stuck on pasteurizer discharge conveyor, 7mins inspecting filler centering cups and rollers, 6mins high EBI rejection </t>
  </si>
  <si>
    <t>24mins product change over, 12mins uncaser head hitting crates, 12mins bottles jam at washer discharge flap,10mins changing fingers on packer, 9mins packer head adjustments, 9mins bottles jam at washer infeed flap, 8mins high EBI rejections caused by pre-washed bottles, 8mins packer sensor malfunction, 6mins high EBI rejection</t>
  </si>
  <si>
    <t xml:space="preserve"> 172mins rectifying incorrect bottle type loaded, 142 mins lost for hydraulic isses, 87mins packer sensor malfunction,  42mins filler change over from carib ginger shandy, 30mins labeler startup adjustments, 30mins dry run, 30mins ENI tech adjusting EBI , 29mins staff meeting, 24mins EBI infeed conveyors unresponsive, 7mins uncaser head hitting crates, 6mins fallen bottles stuck on pasteurizer discharge conveyor, 6mins stop to load washer conveyor</t>
  </si>
  <si>
    <t>23mins uncaser heard hitting crates, 32mins high EBI rejections caused by pre-washed bottles, 20mins fallen bottles on washer infeed, 11mins high EBI rejection, 8mins crowner stuck in chute,  6mins fallen bottles jam OSW, 6mins fallen bottles inside EBI shuffler</t>
  </si>
  <si>
    <t>173mins bending flats, 95mins packer sensor malfunction , 59mins product change over, 11mins cartoon errector destroying boxes, 8 mins removing low filled bottles from line, 7mins lost removing incorrect bottle type, 5mins fallen bottles jam OSW, 5mins fallen bottles inside EBI shuffler</t>
  </si>
  <si>
    <t>88mins packer sensor malfunction, 23mins waiting on lab to release product,  22mins bending flats, 10mins product change over, 9mins EBI discharge conveyor rail came out , 5mins fallen bottles jam om EBI starwheel</t>
  </si>
  <si>
    <t>120mins bending flats, 60mins changing over from boxes to crate on packer, 44 mins changing over from cream soda to banana, 20mins low water in the soft drink plnt, 12mins misalgned labels adjustments, 9mins packer fingers hitting crate edges</t>
  </si>
  <si>
    <t>42mins low water pressure in soft drink plant, 25mins product change over , 22mins tentioners came out on cartoon errector</t>
  </si>
  <si>
    <t>37mins changeover from grape to sorrel, 22 mins waiting for pallets to pack finish product, 20mins uncaser head hitting crates, 10mins videojet not printing properly, 10mins break, 5mins stop to full up line</t>
  </si>
  <si>
    <t>29mins change over on packer for cartons, 25mins cartoon errector bending flats, 16mins change over on filler for next product, 12mins waiting on product , 10mins waiting on man power from logistics to fold boxes</t>
  </si>
  <si>
    <t>120mins product change over, 80mins crowner height not moving</t>
  </si>
  <si>
    <t>132mins waiting for pasteurizer to reach operational specs plus PU results for Stag which came after J.Cool, 68mins filler change over from J.Cool to Stag, 35mins straightening bent fingers on packer, 19mins uncaser head hitting old crates, 7mins missing labels, 6mins leaking air hose on packer, 5mins fallen bottles inside shuffler</t>
  </si>
  <si>
    <t>24mins cartoon errector not sealing, 18mins high EBI rejection, 11mins low water level in soft drink plant, 7mins fallen bottles on EBI starwheeL, 5mins filler operator taking midnight readings</t>
  </si>
  <si>
    <t>360mins lost due to absent filler operator, 75mins product preapration, 29mins bent fingers on packer, 18mins pasteurizer hydraulics malfunction, 10mins proximity sensor malfunction on labeler discharge, 10mins no personnel at pasteurizer discharge, 7mins bowl level drop (changing BBT), 7mins bottle jamming at filler infeed, 6mins fallen bottles at washer infeed flap, 6mins palletizer packing slow, 5mins cleaning filler base</t>
  </si>
  <si>
    <t>7mins midnight change over, 6mins waiting on crates to load line, 5mins flase rejection</t>
  </si>
  <si>
    <t>9min case sticking on crate transport belt , 7mins change over, 7mins fallen bottles on washer infeed flap, 7mins waiting on crates, 5mins fallen bottles on EBI starwheel</t>
  </si>
  <si>
    <t>70mins trouble shooting and addressing EBI starwheel malfunction, all bottles were rejecting due to lack of suction, 29mins crate stopper malfunction,24mins fallen bottles on washer discharge flap, 11mins wait for palletizer and crate lids operators (change of shift) ,  11mins to address leaking crate washer pump, 10mins fallen bottles inside shuffler, 5mins removing excess clear bottles,  5mins leaking cups, 5mins heavy EBI rejection caused by previously rejected bottles</t>
  </si>
  <si>
    <t>108mins product change over, 74mins dry run, 36mins filling bowl height not adjusting, 23mins replacing missing filling tubes, 13mins incorrect bottle type jamming EBI star wheel, 8mins cleaning filler base, 5mins infeed worm went out of timing</t>
  </si>
  <si>
    <t>929mins filler height adjustment malfunction, 45mins filler bowl not moving repairs in progress</t>
  </si>
  <si>
    <t>15mins product change over, 6mins cleaning filler base, 6mins bottles jamming at EBI infeed #2</t>
  </si>
  <si>
    <t>13mins bottles jamming at EBI infeed #2, 9mins adjusting bent fingers on packer, 8mins midnight change over, 5mins fallen bottles at washer discharge flap</t>
  </si>
  <si>
    <t>520mins filler bowl not moving repairs + filler not starting, 100mins low filler volume, 70mins crowner sorter unit had to be replaced</t>
  </si>
  <si>
    <t xml:space="preserve">125mins filler change over from Pearseco to Carib, 110mins crate stopper malfunction, 42mins filler infeed screw jump timing, 28mins videojet not printing properly, 7mins lack of man power on shift, 7mins uncaser head malfunction, 6mins waiting on palletizer, 6mins fallen bottles stuck on shuffler </t>
  </si>
  <si>
    <t>121mins filler change over from Pearseco to Carib, 50mins changing spacer on EBI starwheel, 46mins all bottles rejecting technician called to make adjustment, 6mins waiting for product</t>
  </si>
  <si>
    <t>360mins absent filler and filtration operators, 240mins product preparation, 166mins filler sensor malfunction, 140mins work on filler to eliminate low fills, 90mins not getting air in starwheel suction cups on EBI, 26mins adjusting parameter on EBI, 11mins several stop on EBI caused by mixed bottles ( carib+ cider), 7mins removing discoloured/white bottles from washer, 5mins high EBI rejection due to labels</t>
  </si>
  <si>
    <t xml:space="preserve">47mins bottles jam at washer discharge, 35mins filler not resetting had to restart, 34mins filler panel overheating, 23mins filler sensor malfunction, 22mins high rejection due to labels, 17mins uncaser head jammin crates, 17 mins lost replacing tube on valve #16, 11mins waiting on palletizer, 11mins high rejections caused by mixed bottles entering EBI, 10mins uncaser head malfunction, 10mins low CO2 on filler, 10mins falllen bottles inside shuffler, 9mins bottles jam at washer infeed, 7mins fallen bottles on EBI starwheel </t>
  </si>
  <si>
    <t>25 mins filler change over from CDC medium weight to short green, 23 mins labeler change over , 11mins high rejection due to labels, 9mins uncaser head malfunction, 8mins bottles jam at washer discharge, 8mins E&amp;I Tech making adjustment to stop heavy rejection, 6mins alignement issues on EBI, 5mins fallen bottles on EBI starwheel, 5mins crowner stuck in chute, 5mins mixed bottles entering EBI (short + medium weight green)</t>
  </si>
  <si>
    <t>64mins bottles jam at washer discharge flap, 23mins crowner stuck in chute,  20mins uncaser head hitting crates, 18mins falllen bottles inside shuffler, 13mins high EBI rejection, 13mins fallen bottles on EBI starwheel, 12mins changing from short green to medium green, 10mins taking midnight reading,  9mins high EBI rejection due to labels, 9mins cleaning filler base, 7mins low CO2 on filler, 7mins waiting for product from filtration,  6mins bent fingers, 6mins missing labels, 5mins packer head adjustments, 5mins incorrect bottles jamming starwheel</t>
  </si>
  <si>
    <t>140mins working with the OEM to repair carton erector, 45 mins lost due to washer over load (miscommunication with logistics), 24mins high rejection due to labels on bottles, 23mins low CO2 pressure on filler (low at source), 22mins bottles jam at washer discharge, 18mins falllen bottles inside shuffler,  15 mins tool box meeting (11-7 shift), 15 mins tool box meeting (7-2 shift), 12mins uncaser head hitting crates, 8mins high rejection due to rewashed, 6mins bottles jam at washer infeed, 6mins high EBI rejection, 5mins crowns stuck in chute, 5mins stop to clean behind pasteurizer</t>
  </si>
  <si>
    <t>72mins videojet not printing properly, 30mins waiting on product (adjustment being done), 25mins tape not taping properly on cartoon errector, 17mins uncaser head malfunction, 16mins stops on EBI caused by mixed bottles (Carib + cider), 15mins making adjustment to filling bowl, 15mins uncaser head hitting crates, 10mins bottles sticking on EBI infeed, 8mins high EBI rejection, 8mins fallen bottles on EBI starwheel , 8mins date code adjustments, 6mins Fallen bottle stuck on washer discharge conveyor, 6mins falllen bottles inside shuffler, 5mins fallen bottles on EBI infeed</t>
  </si>
  <si>
    <t>68mins lost for ring replacement on EBI star wheel, 65mins product change over, 47mins head jamming in bend finger, 32mins pasteurizer hydraulics malfunction, 30mins waiting on dry run, 25mins leaking air on packer head, 11mins waiting for pasteurizer temp to increase, 7mins EBI discharge conveyor cut off, 7mins falllen bottles inside shuffler, 6mins worm went out of timing on filler</t>
  </si>
  <si>
    <t>34mins bottles jam at washer discharge, 19mins uncaser head not picking up the bottles, 11mins uncaser head hitting crates, 8mins mins bottles jam at washer infeed</t>
  </si>
  <si>
    <t>134mins packer changed over for carton then changed back to hard shells , 7mins uncaser head hitting crates</t>
  </si>
  <si>
    <t>142mins carton errector destroying boxes, 126mins problem with hand control and back aggregate unable to adjust on labeller, 17mins pasteurizer hydraulics malfunction, 13mins glue pump not coming on, 8mins change over from short bottles to 275 clear</t>
  </si>
  <si>
    <t>30mins filler change over from shandy lime to Sorrel</t>
  </si>
  <si>
    <t>23mins high rejection due to labels on bottles, 21mins EBI sensor malfunction, 20mins filler and EBI change over from medium weight to short flint, 14mins bottles jam at washer discharge, 10mins bottles falling / sticking on washer discharge #2 conveyor, 5mins falllen  bottles on EBI starwheel</t>
  </si>
  <si>
    <t>107mins maintnance working on worm, 67mins change from Shandy to Stag, 20mins bottles jam at washer discharge, 19mins waiting on lab swab, 18mins EBI discharge running slow,  15mins fulling back tank on washer , 14mins mid week cleaning, 12mins worm going out of timing, 9mins high rejection due to labels on bottle, 7mins EBI rejection table full , 6mins bottles jam at washer infeed,  6mins fallen bottles stick in shuffler</t>
  </si>
  <si>
    <t>12mins bottles jam at washer discharge, 11mins incorrect bottle type stuck in EBI starwheel, 5mins parameter adjustment on EBI, 5mins filler operator taking midnight readings</t>
  </si>
  <si>
    <t>74mins videojet not printing properly, 18mins bottles jam at washer discharge,  11mins fallen bottles stick in shuffler, 8mins missing labels, 8mins filler operator taking midnight readings, 7mins low air pressure on pasteurizer , 6mins fallen bottles on OSW, 6mins bent fingers on packer, 6mins fallen bottle jammed on pasteurizer discharge conveyor, 5mins waiting for crates, 5mins crowns stuck in chute, 5mins bottles jam at washer infeed</t>
  </si>
  <si>
    <t xml:space="preserve">39mins bent fingers on packer, 17mins bottles jam at washer discharge, 15mins waiting on bottles,  12mins water making contact with glue on pallets affected the sticking power of the glue, 10mins change over from Stag to Carib, 9mins fallen bottles stick in shuffler, 8mins waiting for palletiser, 7mins uncaser head malfunction </t>
  </si>
  <si>
    <t>175mins product change over, 51mins high EBI rejection due labels on bottles, 50mins change over, 36mins date code adjustment on videojet, 34mins damage pallet had to be replaced, 19mins bottles jam at washer discharge, 9 mins awaiting crates to empty EBI table, 9mins uncaser head hitting crates, 6mins bottles jam at washer infeed, 6 mins waiting on crates to load line due to damage crates coming on line with bottles</t>
  </si>
  <si>
    <t>43mins heavy EBI rejections caused by pre-washed/EBI rejected bottles, 17mins bottles jam at washer discharge, 11mins fallen bottles inside shuffler, 10mins tool box meeting, 10mins waiting for labeler operator, 7mins crowner stuck in chute, 6mins blank screen on uncaser, 6mins filler operator taking midnight readings, 5mins uncaser head malfunction, 5mins glue finished on labeler</t>
  </si>
  <si>
    <t xml:space="preserve">163mins changing over and CIP, 36mins gripper jam on labeler, 5mins waiting on crowns from logistic </t>
  </si>
  <si>
    <t>11mins filler change over from medium weight to short bottles, 9mins uncaser head hitting crates, 8mins lost no one at pasteurizer discharge, 7mins lost waiting on neck labels, 6mins high rejection due to labels on bottles, 6mins ENI tech making adjustment to stop high rejection, 5mins removing empty crates</t>
  </si>
  <si>
    <t>180mins packer sensor malfunction, 110mins communication problem on packer, 44mins high rejection due to labels on bottles, 40mins crate stopper malfunction,  36mins washer loading,  35mins stop for break, 34mins filler sensor malfunction, 18mins discharge cam jammed on Washer, 12mins filler preparation, 8mins lab tech swabbing</t>
  </si>
  <si>
    <t xml:space="preserve">90mins neck gripper jammed on labeler, 20mins broken bottles jam at washer discharge, 20mins uncaser sensor malfunction , 13 mins adding oil to labeler, 9mins missing labels, 8mins fallen bottles inside shuffler, 5mins midnight change over,  5mins bottles jam at washer infeed, 5mins high rejection due to labels on bottles </t>
  </si>
  <si>
    <t>153mins chain slipping causing bottles to delay coming to labeller, 64mins missing labels, 13mins high EBI rejection, 13mins filler change over from Carib to Satg, 12 mins labeler change over from Carib to Stag, 11mins pasteurizer hydraulics malfunction, 9mins waiting for product from filtration (operator went to lab to find out if BBT were to be blended or put on line as a single tank/BBT), 7mins waiting on palletizer , 6mins fallen bottles inside shuffler, 6mins adjustment to magazine on labeler</t>
  </si>
  <si>
    <t>41mins stop to clean rinse tanks and strainers, 9mins waiting on crates, 7mins stop on line to pick up foreign bottles, 6mins fallen/ stuck bottles on pasteurizer discharge, 6mins stop to blow out flies inside EBI</t>
  </si>
  <si>
    <t>86mins making preparations to repair damages on conveyor, 76mins wait on product from filtration,  65mins product change over, 24mins doing repairs to conveyor,20mins broken bottles at washer discharge,  16mins problem with sprocket caused frequent bottle jam, 14mins changing fingers on packer, 9 mins ending up break (staff were sent on lunch break while work was done on pasteurizer conveyor #3 ), 9mins fallen bottles on EBI shuffler, 8mins bottles stuck on pasteurizer infeed conveyor, 7mins fallen/ stuck bottles on pasteurizer discharge, 7mins low CO2 ( area not specified), 7mins crowns stuck in chute, 6mins bowl level dropped, 6mins uncaser head hitting crates, 5mins missing labels, 5mins heavy EBI rejections caused by EBI pre- rejected bottle</t>
  </si>
  <si>
    <t xml:space="preserve">194mins filler infeed conveyor sticking, 61mins pasteurizer infeed damage key way on gearbox, 27 mins for packer changer, 17mins filler and EBI change over from explorer to short amber, 13mins EBI rejecting all bottles Technician called to make adjustment, 13mins crowner dead plate stuck, 11mins packer operator waiting for flats, 8mins broken bottles stuck at washer discharge, 5mins labeler startup adjustments </t>
  </si>
  <si>
    <t xml:space="preserve">245mins electrical problem on Washer, 80mins filler change over from Guinness to Carib, 40mins timing and electrical problem, 35mins filling on pause CO2 regulator in filtration not working -Maintenance team called in to resolve, 32mins stop to change packer head,25mins carton coder not printing properly, 16mins carton erector malfunction, 11mins loading flats unto carton erector (waiting for forklift operator to bring flats),  6mins fallen bottles inside shuffler </t>
  </si>
  <si>
    <t xml:space="preserve">50mins pasteurizer infeed conveyor down, 6mins fallen bottles inside shuffler, 6mins picking up half fill at pasteurizer discharge, 5mins to pick up fallen bottles at pasteurizer discharge 2, 5mins bottles jam at washer discharge </t>
  </si>
  <si>
    <t>642mins major steam leak on washer bellowing on employee stationed between the lines and unto washed bottles, 40mins low temperature on washer,  14mins high EBI rejection, 12mins cleaning labeler, 12mins change over from short amber to medium weight, 8mins gap in washer to seperate  new from used bottles,  8mins removing low filled bottles from pasteurizer discharge (drop in bowl pressure on filler), 8mins fallen bottles inside shuffler, 7mins changing labeler, 6mins to pick up fallen bottles at pasteurizer discharge 2, 6mins bottles jam at washer discharge, 5mins fingers hitting crate head</t>
  </si>
  <si>
    <t>175mins valve left closed on washer delayed start up, 63mins filler transport belt problem (sensor),  44mins maintenance working on pasteurizer infeed conveyor, 38mins packer fingers hiting crates, 22mins low CO2 on filler, 19mins high EBI rejection, 18mins broken bottles jam at washer discharge, 17mins fallen bottles inside shuffler, 15mins changing bent fingers on packer, 15mins filler communication malfunction, 14mins system reboot following a electrical power surge, 13mins low air pressure on packer, 12mins broken air hose on uncaser, 10mins cleaning labeler, , 9mins uncaser head malfunction, 8mins heavy EBI rejections caused by EBI Pre-rejected bottles, 7mins fallen bottles on EBI starwheel , 7mins fallen bottle jam pasteurizer discharge, 6mins waiting on bottles, 5mins space in washer, 5mins EBI infeed conveyor was off, 5mins crowns stuck in chute,  5mins uncaser head hitting crates</t>
  </si>
  <si>
    <t xml:space="preserve">438mins gearbox for pasteurizer infeed damaged, 64mins product change over, 35mins crowns stick in chute, 23mins bottles sticking inside shuffler, 17mins bent fingers on packer, 12mins low CO2 on filler, 10mins bottles jam at washer infeed, 8mins cleaning labeler, 5mins fallen bottles on OSW </t>
  </si>
  <si>
    <t>54mins pasteurizer discharge 3 chain jump out,  23mins filler lost communication, 21mins sensor malfunction, 15mins fallen bottles on pasteurizer discharge, 13mins uncaser head malfuction, 12mins fallen bottles stick on EBI shuffler, 7mins misaligned label adjustment, 6mins cleaning labeler, 5mins crowns stuck on chute</t>
  </si>
  <si>
    <t>29mins break, 18mins filler change over from Carib to Stag, 18mins packer accumulation conveyor chain derailed, 16mins bottles jam at washer discharge, 15mins fallen bottles stick on EBI shuffler, 15mins picking up excess carib bottles from washer (changing from carib to stag), 12mins videojet not printing properly , 8mins bottles jam at washer infeed, 5mins label stuck on sensor (heavy inner side wall rejections), 5mins waiting on bottles</t>
  </si>
  <si>
    <t>29mins packer infeed conveyor conveyor trip off, 19mins fallen bottles inside shuffler, 19mins fallen bottles jam at pasteurizer discharge, 13mins twisted labels, 10mins stop to take midnight reading, 6mins sensor malfunction on packer</t>
  </si>
  <si>
    <t xml:space="preserve">51mins change over from stag to ginseng,  49mins fallen bottles on pasteurizer discharge, 37mins bottles jam at washer discharge, 29mins waiting on dry run, 22mins EBI system shut down and reboot, 21mins broken bottles below starwheel, 21mins fingers jamming on damaged crates on packer, 20mins labeler change over from old ginseng labels to new, 19mins fallen bottles inside shuffler, 14mins high EBI rejection, 11mins leaking cups on packer had to be changed,  9mins packer stopped (lack of good crates),  9mins crate rinser sensor malfunction, 7 mins waiting on depalletizer (change of shift), 5mins filler bowl level drop </t>
  </si>
  <si>
    <t>135mins vaccuum pressure failure on EBI, 39mins test bottles failure, 32mins videojet not printing properly, 30mins adjustment to bottle stop unit (sticking), 7mins fallen bottles inside, 5mins uncaser head hitting crates</t>
  </si>
  <si>
    <t>220mins product change over, 40mins switching seal ring on starwheel on EBI, 23mins high EBI rejection, 23mins incorrect bottles jamming EBI, 20mins no one at pasteurizer discharge, 10mins magazine adjustment,  10mins replacing tube on filler, 10mins labeler infeed conveyor jumping, 9mins fallen bottles inside shuffler, 8mins fallen bottles on EBI starwheel, 5mins filler infeed worm jammed</t>
  </si>
  <si>
    <t>11mins replacing bent tube on filler, 8mins EBI infeed worm jam, 7mins high EBI rejection , 6mins product change over, 6 mins low filler bowl level</t>
  </si>
  <si>
    <t>463mins vaccum failure on EBI,118mins Filler CIP and prep for Carib bottling, 87mins infeed worm jam on filler, 50mins bottles jamming at EBI starwheel, 49mins EBI discharge conveyor dropped, 41mins videojet not printing properly, 30 mins for lunch break,  19mins bent transfer plate on EBI, 18mins filler discharge cut off, 18mins labeler infeed not coming on, 10mins high EBI rejection , 7mins bottles jam at washer discharge, 7mins stop to service valve #44 on filler, 6mins low CO2 on filler,  6mins pasteurizer discharge cut off, 5mins low filler bowl level</t>
  </si>
  <si>
    <t>67mins broken test bottle #3 (a new one had to be made), 38mins bottles stuck in shuffler before EBI, 23mins adjustment on magazine on labeler, 19mins bottles jam at washer discharge, 18mins stop to fix filler worm infeed, 15mins replacing fingers on packer , 8mins filler operator taking midnight readings (change over to a new day),  8mins EBI unit running slow, 7mins crowns stuck in chute, 7mins cleaning filler base, 5mins fallen bottles on EBI starwheel</t>
  </si>
  <si>
    <t>25mins fallen bottles on washer discharge, 21mins bottles stuck in shuffler before EBI, 10mins frozen screen on EBI , 6mins filler operator taking midnight readings (change over to a new day)</t>
  </si>
  <si>
    <t>89mins Ting had to be adjusted for high TA, 60mins for midweek cleaning, 60 mins for change over, 41mins low CO2 in soft drink plant, 17mins checking diaphram on filler, 6mins cleaning filler base</t>
  </si>
  <si>
    <t xml:space="preserve">75mins change over from Ting to Stag, 10mins filler communication malfunction, 6mins missing labels, 6mins stop to clean tank on washer, 5mins fallen bottles on washer discharge,  5mins startup adjustments on labeler </t>
  </si>
  <si>
    <t xml:space="preserve">130mins waiting on product, 120mins shift ended earlier because product wasn't ready, 11mins product change over, 8mins adjustment to starwheel, 7mins fallen bottles on EBI discharge, 6mins mins fallen bottles on EBI shuffler </t>
  </si>
  <si>
    <t>35mins communication fault on filler, 19mins fallen bottles on EBI shuffler, 13mins fallen bottles jam at washer discharge flap, 12mins fallen bottles jam at washer infeed flap , 10mins Filler operator taking midnight readings (changing over to a new day), 10mins empty BBT caused low filler bowl level, 9mins incorrect bottle type brought in and loaded on line,  8mins replacing air hose on packer, 5mins uncaser head hitting crates, 5mins high rejection due to rewashed</t>
  </si>
  <si>
    <t xml:space="preserve">46mins bent fingers on packer, 37mins uncaser heat hitting crates, 26mins bottles jam at washer discharge, 21mins uncaser head malfunction, 21mins communication issue on filler, 18mins adjustements being made to product, 15mins product preparation , 10mins packer sensor malfunction , 5mins fallen bottles inside shuffler </t>
  </si>
  <si>
    <t>417mins no lab tech on plant to do checks for PU and methylene blue, 32mins waiting for product to be analyzed, 28mins making adjustment to worm infeed on filler, 25mins adjustment to stop flagging and twisted labels, 19mins fallen bottles inside shuffler, 15mins packer sensor malfunction, 12mins high rejection due to rewashed bottles,  9mins waiting on palletizer, 8mins fallen bottles at washer discharge flap, 8mins CO2 low on filler, 6mins crowner stuck in chute,  6mins twisted labels</t>
  </si>
  <si>
    <t>19mins old crates jamming on packer, 15mins stop to take midnight reading, 14mins malfunction on crate stopper conveyor</t>
  </si>
  <si>
    <t>88mins infeed worm out of timing , 50mins labeler adjustment change over, 47mins high rejection due to old bottles,  24mins product change over, 18mins waiting on crates, 16mins EBI infeed conveyor slow down, 16mins fallen bottles stuck inside shuffler,  10mins waiting on bottles, 9mins waiting on palletizer, 7mins mins old crates jamming on packer, 7mins high EBI rejection, 6mins fallen bottles stick at pasteurizer discharge</t>
  </si>
  <si>
    <t>13mins adjusting EBI speed, 10mins fallen bottles on EBI starwheel, 7mins crowner stuck in chute, 5mins midnight change over, 5mins empting pasteurizer for midnight</t>
  </si>
  <si>
    <t xml:space="preserve">78mins labeler start up adjustments , 60mins cleaning washer rinse tanks, 30mins fallen bottes at washer discharge, 21mins fallen bottles inside shuffler, 20mins product change over from Carib to Stag, 16mins sensor issues on crate rinser conveyor, 15mins waiting for expasteurizer personnel, 14mins uncaser head hitting crates, 7mins high EBI rejection,7mins old crates hitting crate guide, 7mins switching palletizer, 5mins bent fingers on packer, 5mins low filler bowl level caused by empy BBT, 5 mins waiting on palletiser, 5mins waiting on bottles to load </t>
  </si>
  <si>
    <t xml:space="preserve">6mins miidnight change over </t>
  </si>
  <si>
    <t xml:space="preserve">28mins stop to clean rinse tanks, 17mins change over from Carib to Stag, 11mins old crates sticking on packer, 9mins high rejection due to labels/ glue on bottles, 8mins low fills,7mins fallen bottle stuck on pasteurizer discharge conveyor, 7mins cleaning filler base, 5mins high rejection due to old bottles </t>
  </si>
  <si>
    <t>55mins product change over, 31mins waiting on dry run, 9mins restarting EBI, 7mins waiting on bottles</t>
  </si>
  <si>
    <t>45mins CIP, 34mins working on two  filling valves, 28mins all bottles rejecting, 16mins high rejection due to labels/ glue on bottles,  15mins awaiting lab tech to do swab after mid-week clean on filler, 15 mins mid week clean, 13mins fallen bottles on washer infeed flap,  9mins high EBI rejection, 8mins fallen bottles stuck inside shuffler, 7mins filler taking up product from filtration</t>
  </si>
  <si>
    <t>143mins product change over, 120mins waiting on product from filtration, 53mins high EBI rejection caused by pre-rejected bottles, 24mins parameter adjustment on EBI, 17mins fallen bottles at washer discharge flap, 17mins pasteurizer infeed conveyor jammed, 12 mins tool box meeting, 7mins sensor issue on head on packer , 7mins bowl level dropped, 5mins 330ml vita malt bottles stuck at shuffler</t>
  </si>
  <si>
    <t>9mins waiting on bottles from logistc , 5mins change over from Classic to Ginger</t>
  </si>
  <si>
    <t>20mins EBI infeed conveyor running slow,  18mins Lab tech doing routine checks on bottles exiting washer before green light is given for filling, 14mins fallen bottles at washer discharge flap,  12mins high haze in product (line stopped by QA), 10mins waiting on bottles , 9mins crate washer infeed sensor malfunction, 8mins fallen bottles at washer infeed flap, 8mins instructions given to change filler gaff bage due to high haze in beer ex filler</t>
  </si>
  <si>
    <t>64mins doing quality check on liquid in BBT, 58mins filler change over from Star Malt to Carib, 21mins heavy EBI rejections caused by pre-rejected bottles, 16mins fallen bottles at washer discharge flap, 9mins labeler adjustments on magazine, 7mins waiting for pallets, 6mins uncaser head hitting crates, 5mins filler infeed worm jammed, 5mins Empty BBT caused low filler bowl level</t>
  </si>
  <si>
    <t xml:space="preserve">40mins product preparation, 30 mins lost for EBI infeed conveyor not coming on, 20 mins wait for product from filtration, 16mins EBI conveyor running slow, 15mins high rejection due to rewashed bottles, 13mins fallen bottles inside shuffler, 8mins fallen bottles at washer discharge flap,  8mins power outage on plant, 5mins missing labels, 5mins cleaning fille base, 5mins crowner stuck in chute </t>
  </si>
  <si>
    <t xml:space="preserve">26mins fallen bottles at washer discharge flap, 20mins high EBI rejection, 21mins high EBI rejection, 16mins EBI discharge malfunction, 15mins fallen bottles at washer infeed flap, 9mins adjustments on EBI , 6mins low water pressure on filler, 5mins bottle type change over </t>
  </si>
  <si>
    <t xml:space="preserve"> 28 mins labeler change over from carib to Stag both in short bottles, 15mins filler change over from carib (short flint ) to Stag ( short green), 13mins high rejection due to labels, 13mins removing excess short flint bottles from washer before starting stag filling,  7mins EBI conveyor running slow </t>
  </si>
  <si>
    <t>57mins high rejection due to labels, 26mins pasteurizer discharge conveyor malfunction, 25mins uncaser head hitting crates, 19mins changing from CDC amber to short amber, 16mins fallen bottles at washer discharge flap, 13mins uncaser head malfunction, 9mins rewashed bottles, 8mins fallen bottles inside shuffler, 8mins waiting on crates, 6mins crate washer malfunction,  5mins rebooting system, 5mins waiting on bottles</t>
  </si>
  <si>
    <t>60 mins filler midweek clean,  35mins filler change over (275ml bottle), 25 mins conducting swab on filler, 15 mins filler change over from Stag to Carib, 11mins making adjustment to neck label magazine, 11mins waiting on crates, 8mins awaiting lab tech to conduct swab on filler, 8mins  filler taking up product, 6mins crowner stuck in chute ,  6mins toolbox meeting, 5mins fallen bottles at washer discharge flap, 5mins fallen bottles at washer infeed flap</t>
  </si>
  <si>
    <t>35mins filler change over (275ml bottle), 33mins adjustment to stop flagging / missing labels, 21mins old bottles on line, 11mins fallen bottles inside shuffler, 10mins maintenance adjustment on EBI, 7mins fallen bottles at washer discharge flap, 5mins uncaser head hitting crates, 5mins misaligned labels</t>
  </si>
  <si>
    <t xml:space="preserve">14mins taking midnight reading </t>
  </si>
  <si>
    <t>31mins high rejection due to old bottles, 20mins pasteurizer discharge conveyor trip off, 14mins filler change over, 13mins fallen bottles inside shuffler, 12mins labeler change over, 10mins stop for tools box meeting, 9mins high rejection due to labels on bottles, 8mins labeler start up adjustments,  7mins waiting on good crates, 5mins fallen bottles on EBI starwheel,  5mins wait for palletizer</t>
  </si>
  <si>
    <t>65mins waiting for blend to be transferred and product analyzed, 64mins filler &amp; EBI change over from Stag to Cider, 42mins unresponsive pasteurizer discharge #1 conveyor, 33mins wsher discharge Conveyor cut off, 15 mins taking up product , 10 mins ending up lunch break, 7mins fallen bottles inside shuffler, 6mins large bottles jamming starwheel, 5mins waiting for bottles from washer</t>
  </si>
  <si>
    <t>75mins filler change over and taking up product, 15mins high rejection due to labels, 9mins waiting for cold water from filtration to cool down filler bowl before taking up the product, 5mins EBI discharge conveyor line stopped (sensor ran slack)</t>
  </si>
  <si>
    <t xml:space="preserve">46mins fallen bottles stick at pasteurizer discharge, 33mins carton errector malfuction, 32mins changing over to rose and oiling machine, 10mins sealing issues on carton errector, 9mins cartons upside down and had to be removed, 8mins fallen bottles at filler discharge, 6mins fallen bottles inside shuffler, 5mins high rejection due to labels, 5mins start up adjustments </t>
  </si>
  <si>
    <t xml:space="preserve">70mins change over from rose to ting, 16mins waiting for pasteurizer to empty to begin the ting.15mins for toolbox meeting, 15mins uncaser conveyor cut off, 14mins crowner stuck in chute, 10mins high EBI rejection, 10mins awaiting depalletizer(change of shift), 10mins fallen bottles at filler discharge, 9mins bottles jam in filler infeed, 7mins cleaning filler base </t>
  </si>
  <si>
    <t>180 mins lost for union meeting, 115mins vaccum pump malfunction, 56mins working on filler infeed worm, 13mins crowner stuck in chute</t>
  </si>
  <si>
    <t>31mins filler change over, 31mins dry run on pasteurizer, 20mins crown transfer sensor malfunction, 12mins pasteurizer temp dropped, 5mins high rejection due to labels</t>
  </si>
  <si>
    <t>196mins thermic trip fault on uncaser, 80mins malfunction on centering device (manual loading), 56mins infeed worm jamming on filler, 25mins high EBI rejections caused by pre-rejected bottles, 16mins bent fingers on packer, 15mins pasteurizer temp dropped, 13mins fallen bottles inside shuffler, 6mins waiting on crates, 5mins missing labels</t>
  </si>
  <si>
    <t>33mins replacing crown transfer sensor on crowner, 21mins bent fingers on packer , 5mins filler operator taking midnight readings (switch over to a new day)</t>
  </si>
  <si>
    <t>24mins missing rail at pasteurizer, 10mins EBI conveyor running slow</t>
  </si>
  <si>
    <t>75mins caustic carry over, 69mins waiting on san martin techs to heat up pasteurizer, 62mins awaiting dry run to be completed, 30mins flap jammed, 27 mins making adjustments to magazine prongs and brushes, 22mins low air pressure caused by power outage (compressor went off), 17mins fallen bottles at washer discharge,  16mins tank #3 flap jammed, 16 mins making adjustments to labeler infeed conveyor(san martin conveyor), 15mins san martin technician making adjustment to conveyor, 14mins pasteurizer tank 3 malfunction resulting in the tank overflowing and temperature drop, 8 mins tank #4, 9mins uncaser head hitting crates, 8mins fallen bottles on EBI shuffler, 5mins EBI discharge conveyor runing slow</t>
  </si>
  <si>
    <t>59mins changing over from starmalt to carib, 18mins waiting on bottles from washer (gap in unit), 17mins pasteurizer trip off, 16mins low CO2 on filler, 11mins uncaser head hitting crate, 8mins fallen bottles on EBI shuffler, 8mins fallen bottles jam in worm infeed , 7mins fallen bottles at washer discharge, 5mins bowl drop on filler.</t>
  </si>
  <si>
    <t xml:space="preserve">191mins pasteurizer malfunction, 60 mins dry run was done twice, 25 mins technician adjusting pasteurizer, 20mins stop at washer infeed to remove incorrect bottle type off the line.(short amber),17mins uncaser head malfunction, 13mins line stopped by lab tech (monitor reporting low PU), 10 mins taking midnight reading on filler and putting a gap in pasteurizer for overall end of day reading, 8mins restarting unit due to frozen function screen, 6mins uncaser head hitting crates, 6mins operator cleaning bases of filler , 5mins cleaning washer filters </t>
  </si>
  <si>
    <t>54mins lost due to pasteurizer malfunction( detained mesh waiting up), 15mins bottles jamming at washer discharge, 10mins stop for midnight reading, 10mins uncaser head hitting crates, 7mins restarting EBI</t>
  </si>
  <si>
    <t>37mins awaiting bottles from washer, 22mins pasteurizer malfunction, 13mins waiting for product from filtration, 10mins change over from carib to stag</t>
  </si>
  <si>
    <t>120mins adjusting PU, 120mins adjusting temperature on pasteurizer, 55mins waiting for pasteurizer to release all stag inside, 51mins videojet not printing,  45mins waiting on PU monitor, 42mins waiting for dry run results, 29mins bottles jamming at washer discharge, 12mins filler change over from Stag to Guinness, 6mins labeler change over</t>
  </si>
  <si>
    <t>94mins pasteurizer preparation for carib (san martin tech adjusting parameters), 55mins filler change over from Guinness to Carib, 52mins washer discharge conveyor unresponsive, 38mins low temperature on paste, 36mins PU adjustments, 26mins filler mid week clean and swab, 22mins pateurizer malfunction, 15mins EBI infeed malfunctio, 15mins washer discharge conveyor cut off, 14mins fallen bottles on EBI shuffler, 7mins pasteurizer sensor malfunction</t>
  </si>
  <si>
    <t xml:space="preserve">33mins bottles jamming at washer discharge, 27mins lost due to low temperature in tanks, 18mins taking midnight reading on filler, 14 mins bottles jamming at pasteurizer infeed mouth, 9 mins technician adjustment to pasteurizer, 8mins fallen bottle jam in  worm, 7mins pastuerizer running program(line back up), 6mins adjustment being done to sensor on filler discharge conveyor, 6mins fallen bottles on EBI shuffler </t>
  </si>
  <si>
    <t>40mins conveyor unresponsive due to communication issue, 37mins cleaning rinse tank, 12mins change over from flint to amber, 10mins bottles jamming at washer discharge,  10mins PU adjustments, 10mins uncaser head hitting crates</t>
  </si>
  <si>
    <t>37mins change over from stag to carib flint, 14mins technician making adjustments, 13mins sensor for conveyor stop pasteurizer, 10mins incorrect bottle loaded, 5mins fallen bottles on EBI shuffler, 5mins bottles jamming at washer discharge</t>
  </si>
  <si>
    <t xml:space="preserve">23mins change over from carib to stag on filler, 21mins toolbox, 18 mins low co2 on filler, 11mins bottle jam at pasteurizer infeed,  9mins lost removing low fills product at pasteurizer discharge, 8mins high EBI rejection, 8mins co2 and air pressure low, 7mins crowns stuck in chute, 6 mins label stuck on OSW, 6mins change over on labeler, 5mins fallen bottles on EBI shuffler
</t>
  </si>
  <si>
    <t>12mins stop to take midnight reading, 7mins waiting on bottles from washer</t>
  </si>
  <si>
    <t>15mins stop low tank temperature(self pu adjustment), 14mins labeller adjustments</t>
  </si>
  <si>
    <t>25mins low CO2 on filler, 25mins EBI infeed conveyor unresponsive due to communication error,  21mins maintenance making adjustment to base camera setting, 9mins heavy rejection, table full, 9mins high rejection, 9mins bottles jamming at washer discharge, 7mins unit waiting on tank temperatures,  5mins bottles stuck on OSW</t>
  </si>
  <si>
    <t xml:space="preserve">105mins issue in soft drink plant issue resulting in CIP having  to be done, 60 mins washer loading, 45mins filler prep for Ting,44mins product preparation, </t>
  </si>
  <si>
    <t xml:space="preserve">660mins lost pasteurizer commissioning adjustment to temperature probes + electrical problem, 210mins adjusting PU, 49mins lost bottles consecutively jamming in flap (san martin tech made adjustments to mitigate this),  25mins washer discharge conveyor cut off, 37mins lack of air pressure on filler,  19mins EBI discharge #2 unresponsive,  14mins low filler bowl level, 9mins heavy consecutive rejection; table full, 5mins high EBI rejection </t>
  </si>
  <si>
    <t>48mins waiting on dry run, 24mins pasteurizer self adjusting, 24mins videojet cut off,  18mins filler preparation, 6mins misscommunication between palletisers, 6mins fallen bottles at washer infeed</t>
  </si>
  <si>
    <t>60mins filler change over from Ting to Ginseng original, 55mins awaiting PU results, 33mins ENI tech making adjustments, 20mins ENI adjustment to starwheel, 20mins low water in soft drink plant, 14mins filler HPI fault, 11mins communication problem on filler, 8mins fallen bottles on EBI starwheel, 5mins fallen bottles at washer discharge</t>
  </si>
  <si>
    <t>65mins waiting on dry run, 60mins waiting on pasteurizer to be empty and change product recipe, 53mins changing over from Stag to Ting, 22mins CO2 drop on carbo cooler, 19mins low pressure water in soft drink plant, 19mins waiting on pasteurizer temperature to be within spec, 13mins remove incorrect bottles type at washer infeed(short green),  9mins carbo cooler malfunction(compressor unresponsive); waiting on product, 5mins stop on filler to fill up washer discharge convoyer</t>
  </si>
  <si>
    <t>30mins videojet not printing, 27mins high EBI rejection, 23mins maintenance cleaning base camera lens, 21mins fallen bottles on EBI shuffler, 18mins waiitng for depalletizer(shift change and incoming depalletizer was late), 16mins changing over from stag to carib, 11mins labeler change over from stag to carib, 11mins operator inadvertently pressed the pasteurizer discharge conveyor emergency stop button, without being aware that he needs to reset on the main screen, 10mins heavy EBI rejection caused by Pre-washed bottles,  8mins ENI tech making adjustments, 6mins pasteurizer waiting on PU, 6mins fallen bottles on washer infeed, 5mins bottles stuck on EBI starwheel</t>
  </si>
  <si>
    <t>160mins product change over from Ginseng to Stag, 160mins waiting on dry run , 40mins panel adjustments on pasteurizer by tech, 11mins bottles hitting dead plate and going unto rejection table, 10mins waiting on co2 to push product in the line(tank finish). Co2 regulator malfunction, 10mins operator preparing filler, 9mins fallen bottles on washer discharge</t>
  </si>
  <si>
    <t>240mins waiting for dry run results Note that first dry run read off scale (Pu monitor malfunction) second result was too low and so a third was done which came out within spec, 110mins filler change over from carib to Vita Malt + midweek clean, 37mins missing labels, 33mins low co2 on filler, 29mins back label adjustments, 15mins pasteurizer regulating temperature, 7mins adjustment to starwheel, 6mins crowns stuck in chute, 5mins incorrect bottle stuck at EBI starwheel</t>
  </si>
  <si>
    <t>60mins waiting on product, 27mins filler infeed sensor malfunction/unresponsive, 17mins glue finish on labeler, 15mins fallen bottles at washer discharge flap, 11mins fallen bottles at EBI starwheel, 10mins san martin tech making adjustment on pasteurizer(pu), 9mins mins fallen bottles at washer infeed flap, 9mins uncaser head hitting crates, 8mins high EBI rejection, 6mins fallen bottles inside shuffler, 6mins fallen bottles inside shuffler,  5mins Depalletiser throwing up slow</t>
  </si>
  <si>
    <t>41mins removing partially labeles bottles from line, 26mins test bottle #5 failing, 14mins missing labels, 12mins employee unintentionally stopped pasteurizer conveyor,  9mins filler operator taking midnight readings ( change over to a new day), 8mins crowns stuck in chute, 7mins flagging labels, 6mins fallen bottles on EBI starwheel, 5mins low temp on pasteurizer</t>
  </si>
  <si>
    <t>140mins changing over from vita malt to carib, 80mins making adjustment/adding mackeson and starmalt pasteurizer recipes, 35 mins awaiting Carib dry run results, 24mins low temp on pasteurizer, 22mins high EBI rejection, 20mins videojet not printing properly, 11mins sensor malfunction on pasteurizer, 10mins magazine adjustments, 10mins sanmartin technician indicated that there may have been a power drop for which the unit is very sensitive to, 9mins fallen bottles on OSW, 5mins screen unresponsive on uncaser, 5mins mins fallen bottles inside shuffler</t>
  </si>
  <si>
    <t>41mins creating gap in pasteurizer to separate classic from ginger vita malt, 10mins filler changing from classic to ginger vita malt, 8mins bottle blocking sensor at labeler infeed, 5mins waiting for pallet to continue palletizing</t>
  </si>
  <si>
    <t>15mins operator stop to take midnight reading, 13mins mins fallen bottles inside shuffler, 8mins uncaser head hitting crates, 6mins uncaser malfunction, 8mins fallen bottles at washer infeed,  5mins palletiser got cut</t>
  </si>
  <si>
    <t xml:space="preserve">197 mins san martin tech making adjustment to pasteurizer Parameter to calculate/reading pu 50 degrees instead of 60, 24mins mins mins fallen bottles inside shuffler, 14mins changeover from carib to stag, 14mins missing labels, 10 mins waiting depalletiser64mins waiting on dry run, 7mins making adjustment on magazine, 7mins fallen bottles at washer infeed, 5mins high rejection due to labels, 5mins fallen bottles on OSW </t>
  </si>
  <si>
    <t>185mins working on pasteurizer tank flap, 60 mins steaming up pasteurizer, 45 mins dry run, 17 mins filler taking up product,  17 mins pasteurizer adjustment by San Martin team , 11mins mins fallen bottles at washer discharge, 8mins uncaser head hitting crates</t>
  </si>
  <si>
    <t>242mins videojet not printing (both units down), 160mins missing labels, 123mins pu monitor jam at pastuerizer discharge leading to the conveyor belt derail from track, 24mins waiting on PU monitor results, 15mins fallen bottles on washer infeed, 13mins flagging labels,  13 mins crate rinser pump tripp off, 8mins fallen bottles inside shuffler,  7mins pasteurizer waiting on PU, 7 mins labeler conveyor is runninig slow(line back up, 7mins crate rinser pump leaking heavily -makeshift being implemented, 6mins fallen bottles on washer discharge, 6mins high rejection due to labels, 8mins parameter adjustment on EBI, 5mins PU monitor jamming at pasteurizer discharge, 5mins palletiser packing slow</t>
  </si>
  <si>
    <t xml:space="preserve">134mins low temps on pasteurizer, 58mins pasteurizer pumps shutting down, 20mins videojet not printitng properly, 13mins fallen bottles on washer discharge, 11mins fallen bottle stuck on washer discharge #2 conveyor, 10mins crowner stuck in chute,  8mins fallen bottles inside shuffler, 6mins derailed pasteurizer discharge conveyor, 5mins palletizer waiting for pallets </t>
  </si>
  <si>
    <t>148mins communication fault between the machine and the discharge conveyor, 8mins flagging labels</t>
  </si>
  <si>
    <t xml:space="preserve"> 47mins labeler and packer changing over( packer from crate to boxes.), </t>
  </si>
  <si>
    <t>27mins stop to create a space in the pasteurizer.(line running slow),, 20mins change over from shandy lime to ginger on filler, 6mins maintenance replacing rollers on packer discharge,  6mins waiting on shandy lime to run out on pasteurizer dicharge</t>
  </si>
  <si>
    <t>212mins waiting for product to be annalyzed ( no lab tech), 100mins videojet not printing,  32mins fallen bottles on washer discharge, 17mins fallen bottles inside shuffler, 10mins crate infeed conveyor cut off, 9 mins low BBT pressure, 5mins changing over to a new day, 5mins high EBI rejection</t>
  </si>
  <si>
    <t>28mins change over from Carib to shandy lime, 26mins parameter adjustment,  15mins picking up excess bottles from line, 11 mins waiting on crowns</t>
  </si>
  <si>
    <t>146mins refilling and heating up washer after incident, 87mins partially opened manhhole on  washer tank # 3 causes it's contents to violently gush out , 47 mins packer change over from carton to crates, 14mins high rejction due to labels, 12mins fallen bottles inside shuffler, 10 mins Filler taking midnight reading + creating gap in pasteurizer (change over to a new day),  10mins cartoon errector malfunction,  7mins crowns sticking at transfer plate, 6mins crowner stuck in chute, 5mins fallen bottles on washer infeed</t>
  </si>
  <si>
    <t>46mins high rejction due to labels, 21mins missing label, 17mins product change over, 14mins tech making adjustments,  11mins mins fallen bottles on washer infeed, 10mins pasteurizer infeed cut off , 8mins high EBI rejection, 6mins clearing uncaser area, 5mins labeler infeed sensor malfunction ( closeing the infeed regardless of if the line is full)</t>
  </si>
  <si>
    <t>53mins change over on packer from crate to boxes, 10mins waiting on boxes, 5mins san martin tech making adjustment to pasteurizer infeed conveyor.</t>
  </si>
  <si>
    <t>360mins pastuerizer recipe trials, 345mins dry run testing for starmalt and ginseng,  15mins space/gap in washer due to waiting on bottles from forklift,15mins product change over, 12mins fallen bottles on washer infeed, 11mins high EBI rejection</t>
  </si>
  <si>
    <t>105mins dry run, 90mins labeler unresponsive(maintenance trying to resolve), 50mins changing over from shandy sorrel to mackeson on filler, 30mins waiting on pasteurizer to empty, 30mins packer infeed cut off, 28mins missing labels, 22mins low temp on pasteurizer, 14mins high EBI rejection, 6mins fallen bottles into OSW, 8mins temperature normalizing after long labeler downtime, 8mins labeler infeed sensor malfinction, 8mins caused by old and mixed bottle (short brown with cdc brown), 6mins crowns shuck in chute , 5mins heavy EBI rejections caused by pre-washed bottles plus, 5mins PU monitor stuck at pasteurizer discharge, 5mins fallen bottles on washer discharge</t>
  </si>
  <si>
    <t>120mins dry run,  28mins packer discharge running slow, 18mins EBI software reboot, 17mins fallen bottles on washer discharge, 15 mins change over from mackeson to guinness, 13mins communication issue between the pasteurizer discharge and labeler infeed conveyor creating gaps in the line ultimately slows down the labeler resulting is line backing up, 10mins product preparation, 8mins uncaser head malfunction, 7mins co2 low on filler, 7mins pasteurizer waiting on tank temperature, 7mins fallen bottles jamming at pasteurizer infeed, 7mins flagging labels, 5mins high EBI rejection</t>
  </si>
  <si>
    <t>60mins waiting on product, 33mins to empty pasteurizer, 32 mins change over from guinness to stag, 28mins pasteurizer infeed running slow,  23mins adjusting pasteurizer recipe</t>
  </si>
  <si>
    <t xml:space="preserve">167mins videojet not printing properly (skipping bottles), 47mins fallen bottles on washer discharge, 45mins dry run went in late, 25mins mins fallen bottles inside shuffler, 24 mins pasteurizer infeed conveyor running slow, 20mins product preparation,  17 mins for safety circuit fault caused by broken wire, 15mins changing spacing on back cylinder, 14mins waiitng for crates (damaged crates on line plus wait for forklift to supply crates), 15 mins conveyor stopping, 15mins pump #4 had to be reset, 15 pasteurizer in feed runnng slow, 7mins missing labels,  6mins crowns stuck in chute,  6mins pasteurizer discharge conveyor stopping, 6mins fallen bottles on washer infeed, 5mins PU monitor stuck and blocking discharge, 5 mins broken bottle stuck on conveyor caused line back up, 5mins for labeller infeed sensor adjustments, 5mins uncaser head hitting crates </t>
  </si>
  <si>
    <t>137mins waiting on bottles from logistics, 31mins lots of stops on pasteurizer infeed, 31mins fallen bottles on washer discharge, 28mins crate rinser infeed malfunction, 26mins faulty bottles passing EBI, 23mins high EBI rejection, 20mins fallen bottles on washer infeed, 19mins videojet not printing properly, 15mins stop to take midnigh reading, 14mins fallen bottles inside shuffler, 10 mins change of shift out going palletizer left incoming palletizer went for a glove replacement, 10mins awaiting crates, 8mins waiting on lab to release product,  8mins fallen bottles at EBI starwheel, 7 mins frozen screen on uncaser, 6mins incorrect bottles brought on line, 6mins missing labels, 5mins uncaser head hitting crates</t>
  </si>
  <si>
    <t>68mins product change over and mid week cleaning, 27mins washer discharge out of timing, 25mins cartoon errector malfunction, 23mins sensor issues on filler, 19mins waiting for productt from filtration ( c02 had to be added), 17mins fallen bottles on washer discharge, 16mins false EBI rejection, 16mins bending flats on cartoon errector, 14mins pasteuriser discharge conveyor running too slow, 13mins line stopped by quality assurance to investigate label on bottles , 9mins high EBI rejection, 8mins parameter adjustment on EBI, 6mins checking valve #53 on filler, 5mins  fallen bottles inside shuffler</t>
  </si>
  <si>
    <t xml:space="preserve">125mins break down on the labeler (power failure), 36 mins EBI change over to run short green bottle, 20mins filler change over from  carib to Stag ( explorer to short green), 19mins start up adjustments, 17mins back station adjustments, 15mins waiting on bottles from logistics ,  13mins high EBI rejection, 12mins waiting for product from filtration ( co2 had to be bubbled into product), 10 mins changing from short to regular green bottles, 9mins fallen bottles inside shuffler, 7mins fallen bottles on EBI starwheel, 5mins low water pressure on filler </t>
  </si>
  <si>
    <t>34mins labeller infeed conveyor running slow, 10mins change over, 9mins gripper cylinder adjustments, 8mins fallen bottles at pasteurizer discharge, 6mins fallen bottles inside shuffler, 6mins EBI infeed fault , 5mins packer head adjustments</t>
  </si>
  <si>
    <t>141mins packer sensor malfunction, 76mins filler infeed star star/bottle guide sensor plus centering bell sensor malfunction, 44mins change over, 30 mins installing new seal tape,  25mins changing cups, 14mins parameter adjustments on EBI, 11mins cartoon errector malfunction, 9mins false rejection, 9mins EBI conveyor running slow, 7mins conveyor running too slow which create gaps on line  ultimately closing labeler infeed due to lack of adequate  bottle feed to machine, 7mins fallen bottles stuck inside shuffler, 7mins high EBI rejection</t>
  </si>
  <si>
    <t>31mins pasteurizer infeed stopped it was later discovered by Itrad that the isolator for that conveyor was turned off, 23mins packer change over, 13mins EBI speed adjustments, 8mins missing labels, 8mins waiting on crate lids</t>
  </si>
  <si>
    <t>17mins head adjustements being made, 15mins stop to take midnight reading , 9mins EBI software reboot, 9mins waiting on space to pack</t>
  </si>
  <si>
    <t>623mins no level control on carbo cooler final mix reservoir (product overflowing ) . NO BOTTLING ON 2-9 SHIFT, 220mins awaiting dry run results ( had to be conducted twice), 161mins drink plant ( co2 valve on carbo cooler)had to be worked on , 45mins filler change over from carib (amber ) to Pink Tink (short clear), 30mins awaiting cold water from soft drink plant to cool filler bowl, 13mins filler preparation</t>
  </si>
  <si>
    <t xml:space="preserve">61mins air line blow off in control panel on pasteurizer, 14 mins as aresult 15mins stop to take midnight reading </t>
  </si>
  <si>
    <t xml:space="preserve">194mins head malfunction on uncaser -servo motor on head had to be replaced, 108mins malfunction on EBI starwheel, 53mins communication issue on filler ,40mins waiting on dry run,  34mins fallen bottles at washer discharge flap, 16mins high EBI rejection, 15 mins waiitng for crowns, 12mins fallen bottles inside EBI shuffler, 11mins uncaser head hitting crates, 8mins fallen bottles at EBI starwheel,   7mins low temp on pasteurizer, 7mins high rejection due to rewashed bottles </t>
  </si>
  <si>
    <t xml:space="preserve">75mins Changing over filler star malt to ting, 55mins awaiting dry run, 15mins waiting for pasteurizer to reach desired temps </t>
  </si>
  <si>
    <t>60mins change over from ting to carib, 6mins washer loading, 5mins gap in line</t>
  </si>
  <si>
    <t>75mins compressor cut off in soft drink plant, 60mins product not fit for bottling- Problem with product being out of spec, 6mins high rejection due to rewashed</t>
  </si>
  <si>
    <t xml:space="preserve">90 mins extended dry run due to pump #5 failure to start ( monitor was stuck in tank six as issue with pump failure stopped pasteurizer), 60mins waiting dry run, 60mins filler change over from Carib to Pink Ting, 32 mins incorrect bottle jammed at starwheel, 29mins fallen bottles at washer discharge flap, 22mins fallen bottles inside EBI shuffler, 14mins communication fault on filler </t>
  </si>
  <si>
    <t>760mins lost preparation for blending Pornstar Martini  water sample checks consumed the greater portion of the 3-11 shift ( blending started 2135</t>
  </si>
  <si>
    <t>59mins incorrect bottle jamming starwheel, 56 mins to remove wrong bottle type from line,  32mins fallen bottles at washer discharge flap, 28mins screen replacement on uncaser,  13mins midnight change over, 13 mins low water in soft drink plant, 7mins adjusting centering device</t>
  </si>
  <si>
    <t>480mins product being blending, 32mins high rejection due to rewashed, 28mins adjustment to neck magazine (label is too big for magazine), 27mins uncaser screen issues, 11mins uncaser head malfuction</t>
  </si>
  <si>
    <t>86mins filler change over from pornstar to royale ( cold caustic), 66mins faulty bottles passing EBI, 11mins high EBI rejection,  5mins fallen bottle stuck on pasteurizer discharge</t>
  </si>
  <si>
    <t>113mins EBI rejecting all bottles that enter unit (bottling had to be aborted), 57mins filler change over, 8 mins Incorrect bottle type stuck on conveyor</t>
  </si>
  <si>
    <t>228mins maintenance working to address dicharge out of timing issue, 180mins no lab tech on shift, 58mins consecutive rejection on neck finish, 39mins communication fault on filler, 35 mins lost for picking up bottles from washer, 31mins tech making adjustment to EBI, 29mins fallen bottles at washer discharge, 22mins EBI discharge sensor malfunction, 15mins fallen bottles sticking inside shuffler, 10mins filler preparation, 7mins cleaning filler base, 6mins fire alarm went off, 5mins EBI discharge conveyor not running,  5mins fallen bottles at washer infeed</t>
  </si>
  <si>
    <t>763mins waiting on product, 71mins no power to one side of the head, 5mins crimp adjustment ,  5mins fallen bottle stuck on pasteurizer discharge</t>
  </si>
  <si>
    <t xml:space="preserve">37mins replacing diaphram for valve #33, 29mins carton coder malfunction, 22mins change over, 10mins lost for not printing, 10mins lost for chain repair, 10mins no pallets for palletizing finished product, 8 mins waiting for cartons (loading carton erector), 7mins fallen bottles at pasteurizer discharge, 6mins EBI parameter adjustment </t>
  </si>
  <si>
    <t>41mins uncaser head hitting crates,21mins fallen bottles at washer discharge flap, 9 mins Filler operator taking midnight readings ( change over to a new day), 8mins removing low filled bottles from pasteurizer discharge conveyor (13 cases result of bad BBT switch)</t>
  </si>
  <si>
    <t>11mins cartoon errector bending flats, 10mins Filler operator taking midnight readings plus creating gap inside pasteurizer to mark end of bottling  for 28 July, 6mins tape not sealing properly</t>
  </si>
  <si>
    <t>58mins packer change over, 22mins EBI bottle type adjustment for Local Flint , 17mins waiting on stores to issue cartoon, 6mins fallen bottles at pasteurizer discharge, 5mins broken bottles inside packer</t>
  </si>
  <si>
    <t>285min recoding of carib, 96mins waiting on gaf filter repair, 70mins filler change over from Carib to Vita Malt,  60 mins waiting on pastuerizer to empty, 30mins communication fault,  14mins high rejection due  to rewashed, 11mins allen bottles at washer discharge, 10mins emptying pasteurizer of carib before doing dry run for Vita Malt, 10mins fallen bottles inside shuffler, 6mins cleaning filler base, 5mins crowner stuck in chute, 5mins tank #4 flap jam on pasteurizer</t>
  </si>
  <si>
    <t>18mins fallen bottles inside shuffler, 6mins filler operator taking midnight reading plus creating gap inside pasteurizer to separate 29th production from start of 30th ( new day), 5mins fallen bottles at washer infeed flap</t>
  </si>
  <si>
    <t>105mins filler change over from vita Malt to Stag, 60 mins awaiitng dry run results, 26 waiitng for pasteurizer reach specs for Stag, 26 mins lost for house keeping washer bin over flowing with labels, 23mins adjusting drive belt on uncaser, 20mins missing labels, 18mins fallen bottles inside shuffler, 15mins EBI rejecting all bottles ENI tech making adjustment, 14mins high rejection due to labels, 11mins high rejection due to rewashed, 10mins high EBI rejection,  9mins filler swab</t>
  </si>
  <si>
    <t>50mins midweek clean on washer, 14mins high EBI rejection, 14mins uncaser head malfunction, 7mins product change over, 6mins waiting on lab for product relase</t>
  </si>
  <si>
    <t>60mins waiting on product, 40mins low water pressure on filler fobber due to problems with pump at water supply end (up the hill), 33mins toolbox meeting, 22mins head not picking up bottles, 12mins videojet not printing properly, 12mins high EBI rejection, 10mins Filler operator taking midnight reading + creatin space between 30th bottling and the start of the 31st, 10mins bottles jamming at washer infeed, 9 mins Pu monitor stuck at discharge, 7mins high rejects due to old bottles, 6mins removing low filled bottles from pasteurizer discharge ( bad BBT switch over), 5mins crowner self flushing, 5mins fallen bottles on OSW</t>
  </si>
  <si>
    <t>165mins missing labels, 138mins magazine repairs and adjustment, 80mins false EBI rejection, 48mins uncaser malfunction, 26mins waiting for crates and pallets, 25mins waiting on dry run,  18mins due to high rejection on neck finish and OSW ENI tech was called in to make the necessary adjustment, 17mins pump #4 cut off, 15mins product preparation,15mins misaligned label adjustments, 12 mins low water level on pasteurizer (long stop- temp regulation), 12mins uncaser head malfunction, 11mins fallen bottles inside shuffler, 8mins fallen bottles at pasteurizer discharge, 8mins sensor malfunction at pasteurizer infeed,  7mins uncaser guiding rail ran slack, 6mins low temp on pasteuriser, 6mins fallen bottles at pasteurizer infeed, 6mins waiting on crowns, 5mins uncaser head hitting crates</t>
  </si>
  <si>
    <t xml:space="preserve">65mins waiting temp to go down from guinness ,57mins heavy consecutive EBI rejection due to re-washed bottles, 28 mins blown bulb at sighters station, 25mins product change over, 19 mins waiting on depalletizer , 14 mins bottles jamming at washer discharge, 13mins packer head adjustments,  12mins bottles jamming at washer infeed, 11mins packer sensor malfunction, 10mins tank 2 overflowing on pasteurizer, 10mins fallen bottles inside shuffler,  9mins high rejection due to labels, 8mins fallen bottles on EBI stawheel, 7mins high EBI rejection, 5mins sensor on conveyor jammed by broken bottle which caused the conveyor to remain in a stop position, 5mins labeler start up adjustments </t>
  </si>
  <si>
    <t>29mins Labeller safety circuit fault  , 21mins Product change over from stag to carib (14 cases stag placed on line for repasteurization.)</t>
  </si>
  <si>
    <t xml:space="preserve">17mins low bowl level, 13mins breaker for pump #1 tripped (extractor), 10mins stop to take midnight reading, 9mins High EBI rejection, 7mins fallen and incorrect bottles stuck in EBI Starwheel  </t>
  </si>
  <si>
    <t>271mins due to space availabilty constraints, 41mins Videojet not printing properly, 33mins lunch break, 25 mins pasteurizer discharge conveyors cut off  ,  16mins late start waiting for bottles from washer, 14mins Product Change-Over from Carib to Stag, 12mins heavy EBI rejection caused by prewasher &amp; mixed bottles on line, 9mins High EBI rejection, 7mins Pasteurizer conveyor sensor malfunction,  6mins changing broken hose for Uncaser suction cup- leaking</t>
  </si>
  <si>
    <t xml:space="preserve">319mins issues with Filler rotating plate, 63mins low CO2 on filler, 23mins terrible stench in the bottling hall I had to unblock the main drain, 24mins high EBI rejection,  13mins Broken bottles jam chain at washer discharge, 11mins bottles jamming at washer infeed , 10mins Late start midnight count, 9mins fallen bottles stuck in starwheel, 8mins Side guard on packer outfeed came out , 8mins PU monitor stuck at discharge conveyor, 7mins making adjustments to the Labeller , 6mins fallen bottles on shuffler before the EBI; and 5mins at washer infeed. </t>
  </si>
  <si>
    <t>135mins change over from starmalt to carib , 6mins High rejection - neck finish</t>
  </si>
  <si>
    <t xml:space="preserve">80mins late start waiting for dry run, 47mins heavy EBI rejection caused by pre-washed bottles, 44mins cleaning washer rinse tank, 35mins pasteurizer stop fo low temp (16mins tank 4),  17mins High rejection - Old bottles, 15mins bottle jam on shuffler before the EBI and 5mins at pasteurizer discharge.  11mins due to old crates sticking in Uncaser head, 11mins making adjustments to neck labels , 7mins fallen bottles on EBI OSW, 6mins replacing air hose on Uncaser, 6mins pump #5 on pasteurizer cut off and 4 mins on pump#4. 5mins stop at washer infeed </t>
  </si>
  <si>
    <t xml:space="preserve">164mins late start up loading washer and filler start up, 60mins Sealer malfunction - not sealing , 46mins stop for lunch break, 31mins Pasteurizer pump #4 cut off,21mins Uncaser Head malfunction, 15mins broken crates jamming in Uncaser head,16mins palletizer waiting for small pallets from logistics, 13mins missing back labels ,13mins crowns stuck in chute , 12mins making adjustments to EBI setting , 10mins Carton errector malfunction- bended flats , 10mins waiting on bottles,  9mins replacing air hose on Uncaser  , 8mins bottles jamming at pasteurizer discharge, 8mins low temperature on pasteurizer (pump 2 and 3 cut off), 5mins broken bottle jammed discharge conveyor sensor,  5mins false rejection on EBI OSW,  6mins removing pallet with empty crates from uncaser discharge (one employee stationed at the moment), </t>
  </si>
  <si>
    <t xml:space="preserve">69mins Product Change- Over from Carib Flint Local to Amber (packer change over), 63mins Caustic Carry-Over, 6mins fallen bottles in EBI Starwheel </t>
  </si>
  <si>
    <t>49mins High Rejection- Labels , 48mins Product Change- Over from Carib to Stag, 31mins stop for lunch break, 9mins fallen bottles on EBI infeed and 5mins on shuffler before the EBI. 7mins waiting for palletizer, 5mins waiting on crate lids, 5mins High Rejection- NF</t>
  </si>
  <si>
    <t xml:space="preserve">10mins Sealer malfunction - not sealing, 7mins Change Over From Export To Local Flint, </t>
  </si>
  <si>
    <t xml:space="preserve">20mins Product change over from Carib to Stag, 5mins high rejection- labels </t>
  </si>
  <si>
    <t>73mins low air on filler, 34 mins to facilate staff break due to being shot staff, 36 mins for lunch break, 29mins High EBI rejection- OSW , 25mins Pasteurizer pump malfunction, 20mins High rejection- Labels , 17mins waiting to make space in the pasteurizer for midnight change over, 17mins fallen bottles on Shuffler before the EBI, 14mins Uncaser head hitting crates , 8mins cleaning Filler Base  6 mins waiting for pallets,  6mins low pasteurizer temperature, 5mins crowns stuck in filler chute.</t>
  </si>
  <si>
    <t xml:space="preserve">14mins changeover on EBI, 10mins adjusting EBI Starwheel, 10mins EBI unresponsive </t>
  </si>
  <si>
    <t>90mins Late due to late turn on of pasteurizer by shift man, 80mins adjusting drive belt for carton sealer, 58mins change- Over on packer - Carton finish ,  36mins incorrect bottle was placed on the line, 26mins welding rail at Packer discharge ,24mins replacing starwheel and making adjustments,  17mins changeover on packer switching from crate to carton, 34mins repairing bent bottle pad, 22mins back station glue pump cut off, 18mins making adjustments to Labeller magazine, 16mins adjusting fingers on Labeller Gripper cylinder, 12mins sealer not taping properly, 12mins broken crate infeed guide rail,  9mins switching bbt bowl level drop.</t>
  </si>
  <si>
    <t>75mins communication problem between EBI and filler where filler was not getting signal from EBI to open it's infeed (sensor malfunction), 47mins High rejection- labels and glue, 24mins Packer change over from carton to crate, 10mins low CO2 pressure in buffer tank at supply, 10mins making adjustments to sensor on EBI discharge conveyor line</t>
  </si>
  <si>
    <t>23mins bottles jamming in Washer infeed and discharge flap, 22mins fallen bottles on Shuffler before the EBI, 19mins Uncaser head hitting crates, 16mins crowns stuck in chute , 11mins Uncaser head malfunction, 13mins filler stop to create space in pasteurizer between flint and amber, 10mins stop on pasteurizer as emergency stop button was accidentally pressed by ex-pasteurizer personnel., 8mins High EBI rejection, 7mins making adjustment to crate stopper.</t>
  </si>
  <si>
    <t xml:space="preserve">118mins waiting on dry run.(came out low the first time), 52mins change over from carib to ting, 47mins carbon cooler compressor malfunction(pressure to high to run), 30mins midweek clean on filler and washer, 7mins fallen bottles jam at Washer discharge, 5mins Low temperature on pasteurizer 
</t>
  </si>
  <si>
    <t>20mins High rejection- labels and glue, 7mins pasteurizer pump 5 cut off</t>
  </si>
  <si>
    <t xml:space="preserve">164mins Filler change over from Ting to Stag (emptying pasteurizer plus waiitng for temp drop, waiitng for dry run),31mins waiting on crates- damage crates on line, 17mins missing labels, 13mins malfunction on crate conveyor,13mins sensor malfunction on packer,  12mins High rejection- labels and glue, 8mins fallen bottles jam at Pasteurizer discharge. </t>
  </si>
  <si>
    <t>30mins lunch break,   16mins Packer sensor malfunction , 12mins Low temperature on pasteurizer , 12mins emergency switch malfunction- labeller , 9mins Uncaser head hitting crates, 7mins crowns stuck in chute, 7mins fallen bottles jam at shuffler before the EBI , 8mins cleaning filler base, 5mins depalletizer stopped to clean up broken glass on floor at workstation.</t>
  </si>
  <si>
    <t>Planned "no bottling"</t>
  </si>
  <si>
    <t>60mins not releasing crown, 55mins washer loading,  50mins communication fault on filler, 49mins uncaser belt stuttering, 45mins delayed start due to low temp on washer,  32mins lunch break, 45mins product preparation, 26mins sensor on filler malfunction, 21mins high rejection due to labels, 19mins packer discharge conveyor chain detached, 17mins crate stopper on uncaser malfunction, 11mins low filler bowl level, 10mins bottles jam at washer discharge flap, 9mins fallen bottles inside shuffler,  9mins crowner stuck in chute, 7 mins waiting for palletizer (shift change + palletizer absent), 7mins videojet not printing properly, 6 mins removing low fills from pasteurizer discharge caused by bad BBT change over,  5mins cover for uncaser discharge motor fell off,  5mins crowner adjustments</t>
  </si>
  <si>
    <t>48mins filler change over from Carib to Star Malt , 48mins waiitng for dry run, 24mins videojet not printing properly, 22mins burnt motor on washer discharge, 17 mins waiting for pasteurizer empty, 15mins washer infeed conveyor conveyor cut off, 8mins low temp on pasteurizer</t>
  </si>
  <si>
    <t>84mins pump #4 &amp; #5 cut off (flap jammed) on pasteurizer, 78mins flap jamming on pasteurizer, 36mins high rejection caused by pre-washed bottles, 31mins uncaser infeed conveyor repairs plus lack of good crates to keep line fluid, 13mins low temp on pasteurizer, 13mins crown sticking in chute , 11mins creating space to switch over to need day, 10mins high rejection due to labels, 8mins fallen bottles on EBI starwheel, 7mins taking midnight reading, 6mins crate stopper malfunction, 5mins PU monitor stuck on pasteurizer conveyor</t>
  </si>
  <si>
    <t>62mins change over from Guinness to Carib, 21 mins waiting for pasteurizer to empty.10 mins adjusting temperature, 9mins product preparation</t>
  </si>
  <si>
    <t xml:space="preserve">206mins waiting on product, 12mins product preparation, 21mins product change over </t>
  </si>
  <si>
    <t>78mins high EBI rejection caused by pre-washed bottles, 76mins awaiting product from filtration (finish filter + analyze), 46mins high EBI rejection, 43mins high rejection due to labels, 34mins rinse water pump pump trip off, 28mins rotating glass fell out of EBI, 23mins sonic gap detection malfunction,  20mins pumps 3&amp; 4 tripped off on pasteurizer, 16mins fallen bottles on EBI starwheel, 15mins fallen bottles inside shuffler,  15 mins removing low fills from pasteurizer discharge (happened at restart after long wait for product), 10mins stop for midnight reading ,10mins changing suction cups on uncaser , 10 mins Line was stopped by outgoing sighter (change of shift), 6mins fallen bottles on discharge flap, 5mins missing labels, 5mins crowner self flushing</t>
  </si>
  <si>
    <t>95mins CIP and filler change over, 26 mins rinsing caustic from filler, 20mins midweek clean, 19 mins lab tech swabbing filler, 13mins packer sensor malfunction</t>
  </si>
  <si>
    <t>27 mins high product temperature forcing a slow run, 20 mins waiting for product from soft drink plant., 10mins change from club soda to kola champ, 9mins malfunction on EBI</t>
  </si>
  <si>
    <t>50mins wiaitng on bottles, 24mins uncaser infeed conveyor cut off, 19mins fallen bottles inside shuffler, 17mins crate stopper malfunction, 16mins reounding crates, 12 mins stop to change from short to tall amber, 12mins fallen bottles at EBI discharege, 10mins incorrect bottle jamming starwheel, 10mins stop for midnight reading,  8mins uncaser head hitting crates, 6mins filler bowl level drop, 5mins high EBI rejection, 5mins crowner self flushing</t>
  </si>
  <si>
    <t>46mins replacing damaged sensor on EBI discharge, 43mins filler change over,  39mins low air pressure in soft drink plant , 36mins stop for lunch, 11mins EBI discharge sensor malfunction, 5mins lack of man power at uncaser</t>
  </si>
  <si>
    <t>25mins change over from cream to banana, 11mins videojet not printing properly, 6mins cleaning filler base</t>
  </si>
  <si>
    <t>35mins filler change over from Banana to grape J.Cool , 15mins CO2 flushing problem on filler, 6mins EBI infeed conveyor cut off</t>
  </si>
  <si>
    <t>186mins EBI infeed conveyor malfunction, 105mins filler change over from J.Cool to vita Malt , 67mins waiting for dry run results (apparently monitor got stuck at the infeed of the pasteurizer), 43mins refitting filling tube, 8mins low temperature on pasteurizer, 8mis fallen bottles at EBI starwheel</t>
  </si>
  <si>
    <t>556mins damaged card on labeller, 48 mins space in washer from empting, 30 mins lunch, 27mins incorrect bottles jamming EBI, 12mins high rejection due to labels, 10mins fallen bottles inside shuffler, 7mins cleaning flow meter on washer, 5mins bottles falling at pasteuriser discharge</t>
  </si>
  <si>
    <t>53mins cartoon errector bending flat,  45 mins packer change over from crates to carton, 30 mins lunch, 25mins issue with packer head prolonged the change over,  20mins iller change over from Stag to Carib (export-explorer),  16 mins removing excess stag bottles from washer, 12mins fallen bottles on EBI shuffler, 10mins date code adjusment on cartoon errector, 10mins CO2 level drop on filler, 7 mins no one at pasteurizer discharge, 5mins waiting for flats, 5mins pump #4 cut off on pasteurizer, 5mins drop in bowl level</t>
  </si>
  <si>
    <t>106mins filler change over from vita Malt to Stag, 40mins stop for lunch, 35mins adjusting teflon , 32mins uncaser head malfunction, 26mins low temp on pasteurizer, 25mins high rejection due to labels, 12 mins filler preperation, 11mins high rejection due to prewashed, 9mins fallen bottles on EBI shuffler, 8mins fallen bottles on EBI infeed, 6mins uncaser head hitting crates, 5mins missing labels</t>
  </si>
  <si>
    <t>56mins trying to sort out case anomomaly fault on carton errector, 30 mins for break, 24mins dead plate repair on pasteurizer, 17mins fallen bottles on EBI shuffler, 13 mins to resume filling awaiting staff on the finish end who went on lunch 15 mins later, 12mins packer sensor malfunction, 12 mins greasing filler and taking midnight reading, 10 mins creating space in pasteurizer , 7mins uncaser head hitting crates, 7mins uncaser head hitting crates, 5mins bowl level drop</t>
  </si>
  <si>
    <t>22mins adjustments on gripper cylinder, 12mins magazine adjustments, 12 mins to discuss how we are going to sort out the night as it relates to short staff issues., 9mins seperating flint from amber at pasteurizer discharge, 9mins high rejection due to labels, 7mins Filler stopped to make space between flint and amber inside pasteurizer, 6mins fallen bottles jam at washer discharge, 5mins fallen bottles on EBI shuffler</t>
  </si>
  <si>
    <t>45mins break for lunch, 27mins change over, 19mins faulty sensor stopping filler infeed, 17mins incorrect bottle stuck at EBI starwheel, 8mins EBI discharge  sensor malfunction, 7mins stop to investigate valve #140 at filler pipe fence,  6mins high EBI rejection</t>
  </si>
  <si>
    <t>9mins malfunction on emergency push button on EBI, 9mins fallen bottles on EBI shuffler</t>
  </si>
  <si>
    <t>48 mins stop for lunch, 44mins videojet not printing properly, 40 mins for break, 17 mins taking up stag to start up, 12mins labeler change over, 11mins fallen bottles jam at washer discharge, 11mins fallen bottles at pasteurier discharge, 10mins high rejection due to rewashed , 9mins fallen bottles on EBI shuffler, 8mins sensor on packer head malfunction, 7mins high EBI rejection, 5mins pasteurizer pump #5 cut off</t>
  </si>
  <si>
    <t>195mins waiitng for product to be transferred into BBT and to be annalyzed, 75 mins filler change over from Stag to Ginseng, 58mins boiler lock out, 9mins fallen bottles on OSW, 5mins incorrect bottle type jammed EBI starwheel</t>
  </si>
  <si>
    <t>45mins boiler lock out, 22mins tall bottles jamming starwheel</t>
  </si>
  <si>
    <t>147mins stop to drop pasteurizer tank level and refill, 60mins for washer loading, 50mins packer sensor malfunction, 40mins malfunction on packer discharge conveyor, 30mins waiting on dry run, 20mins for EBI infeed sensor malfunction, 20mins uncaser head hitting crates, 20mins filler bottle sensor malfunction, 8mins product preparation, 7mins fallen bottles in EBI shuffer, 5mins adjusting labels</t>
  </si>
  <si>
    <t>63mins washing loading, 30mins boiler lock out, 21mins mins fallen bottles on EBI shuffler, 12mins lab testing bottles, 7mins crowner self flushing, 6mins uncaser head hitting cates, 5mins bowl level drop</t>
  </si>
  <si>
    <t>20mins waiting dry run, 16mins power failure in bottling hall ( machines needs to reset), 15mins fallen bottles inside shuffler, 12mins fallen bottles at EBI OSW, 11mins uncaser head hitting crates, 10mins software malfunction on EBI, 9mins fallen bottles at EBI starwheel, 6mins labels stuck on EBI, 5mins waiting on depalletizer, 5mins cleaning filters</t>
  </si>
  <si>
    <t>18mins waiting on bottles and lab testing bottles</t>
  </si>
  <si>
    <t>83mins waiting on dry run,  35mins waiting on pasteurizer to empty, 15mins change over from carib to mackeson, 14mins rewashed bottles causing high rejection,  9mins waiting on depalletizer, 8mins high EBI rejection, 8mins EBI malfunction (slow infeed), 8mins filler bowl level drop</t>
  </si>
  <si>
    <t>50mins filler change over from Mackeson to Stag, 40 mins awaiting dry run, 39 mins crown sticking in chute ( sensor malfunction), 20 mins waiting for pasteurizer to empty, 16mins high rejection due to labels,  13mins low temp on pasteurizer, 11mins waiting on pasteurizer temperature drop, 11mins uncaser head hitting crates, 9mins awaiting lab tech to conduct dry run, 7mins fallen bottles inside EBI starwheel,  7mins crowns stuck in chute, 7mins accumulation discharge conveyor unresponsive, 5mins fallen bottles inside shuffler</t>
  </si>
  <si>
    <t>80mins sensor issue on filleer- not allowing crowns into chute ( resulted in uncrown bottles), 44mins lost for lunch, 40mins for washer loading , 20 mins tools box meeting, 12mins EBI discharge conveyor issues, 5mins low temp on pasteurizer, 5mins adjusting teflon for centering bells</t>
  </si>
  <si>
    <t xml:space="preserve">35 mins stop for lunch,10mins taking midnight reading, 10mins fallen bottles at washer infeed, 6mins fallen bottles at washer discharge, 5 mins wait for sighters </t>
  </si>
  <si>
    <t>36 mins awaiting product from filtration, 31mins uncaser head hitting crates, 27mins stop for crate rinser issue, 22mins pasteurizer emergency stop button was accidently pressed, 21mins replacing gas needle and diaphragm on valve 39, 20mins videojet not printing properly, 14mins high EBI rejections caused by pre-washed bottles, 14mins filler change over, 14mins no water to fobber, 12mins maintenance replacing crowner crown stop sensor, 11mins fallen bottles inside shuffler, 10mins crown jammed at transfer plate , 8 mins low BBT pressure caused low filler bowl level, 8mins  stop for man power, 7mins stop to clean uncaser area, 7mins fallen bottles at washer discharge, 6mins cleaning washer filters, 6mins glue pump cut off</t>
  </si>
  <si>
    <t xml:space="preserve">65mins waiting on crates and  pallets plus limited storage space for damaged crates, 35mins stop for lunch break, 34mins working on valve 34,  10mins stop to take reading. </t>
  </si>
  <si>
    <t>755 mins waiting on product, 60mins filler change over , 25mins filler mid week clean, 18mins lack of man power on uncasor, 14mins low co2 pressure on filler, 14mins box taper malfunction, 11mins making adjustment to filler bowl height</t>
  </si>
  <si>
    <t>142mins carton errector destroying boxes, 68mins lunch, 36mins filler change over from Bellini to Royale, 15mins carton errector malfunction, 14mins low temp on pasteurizer, 12mins fallen bottles on OSW, 10mins parameter adjustment on EBI,  9mins pump # 5 cut off ( downtime on labeler),  7mins magazine adjustments on labeler, 5mins cleaning filler base, 5mins fallen bottle at washer discharge</t>
  </si>
  <si>
    <t>124mins test bottle failure, 25mins troubleshooting EBI, 24mins change over, 13mins broken cable on sensor, 12mins magazine adjustments on labeler, 10mins high rejection due to labels, 10mins replacing gas nipple on diaphragm #34, 8mins adjusting filler bowl height, 6mins hose burst out on uncaser head, 5mins incorrect back label</t>
  </si>
  <si>
    <t>103mins videojet not printing properly, 50mins carton sealer not taping properly, 12mins low temp on pasteurizer, 10mins high rejection due to labels, 8mins filler bowl level drop</t>
  </si>
  <si>
    <t>20mins change over from Carib to Shandy lime, 8mins missing labels</t>
  </si>
  <si>
    <t>18mins changing over from shandy lime to shandy ginger, 5mins start up adjustments on labeler</t>
  </si>
  <si>
    <t>110mins waiting on pasteurizer to empty reasons being labeller issue as well as  carton erector issue, 78 mins lost replacing O ring from valve 34, 55mins waiting on dry run, 13mins high EBI rejection, 15mins filler infeed conveyor not working, 6min fallen bottles inside shuffler ,  10mins filler screen frozen up, 9mins suction cup assembly fell off ( including spring and stem), 8mins crowns stuck in chute , 5mins low filler bowl level</t>
  </si>
  <si>
    <t>38mins crowns sticking in chute, 16mins changing over from export to local, 7mins low temp on pasteurizer</t>
  </si>
  <si>
    <t>130mins delay on washer washer loading for low temp, 25mins labels and glue on bottles, 17mins miscommunication between lines men, 5mins EBI software malfunction, 5mins carton errector malfunction</t>
  </si>
  <si>
    <t>45mins high rejection due to labels and glue on bottles, 40 mins stop for staff break, 20mins waiting on bottles from washer, 20mins repairs to valve #34 on filler, 7mins fallen bottles inside shuffler, 6mins crowns stuck in chute</t>
  </si>
  <si>
    <t>10mins waiying on bottles from washer, 6mins high rejection due to labels</t>
  </si>
  <si>
    <t>96mins packer sensor malfunction, 30 mins for break, 16mins labeler change over, 15mins product change over, 15mins videojet not printing properly, 15mins waiting on product, 13mins adjusting neck magazine, 8 mins loading line, 6mins fallen bottles inside shuffler, 5mins low temp on pasteurizer</t>
  </si>
  <si>
    <t xml:space="preserve">60mins repais on valve #34, 30mins cartoon errector malfunction, 26 mins lost for incorrect bottles loaded,  19mins low temp on pasteurizer, 14mins EBI running slow , 9mins missing labels, 9mins boxes not sliding in, 7mins uncaser head hitting crates, 5mins labeler running slow </t>
  </si>
  <si>
    <t>63 mins waiting on pasteurizer to empty to make adjustments for new products, 40mins change over from carib to guinness</t>
  </si>
  <si>
    <t>34mins Waiting on bottles, 24mins uncaser head hitting crates, 18mins sponge fell off labeler, 16mins packer sensor malfunction, 15mins washer loadiing delayed startup, 8mins fallen bottles inside shuffler, 6mins uncaser malfunction</t>
  </si>
  <si>
    <t>102mins packer sensor malfunction, 65mins mesh conveyor in pasteurizer stopped during the dry run causing a delay, 50mins uncaser head malfuction, 28mins adjusting magazine, 21mins accumulation sensor on pasteurizer discharge stick on tank #4, 15mins communication error on filler, 10mins fallen bottles inside shuffler, 10mins product preparation, 7mins uncaser head hitting crates</t>
  </si>
  <si>
    <t>12mins waiting on dry run, 10mins product preparation, 8mins high EBI rejection, 6mins videojet not printing properly, 5mins uncaser head hitting crates</t>
  </si>
  <si>
    <t>70mins waiting on pasteurizer to empty to adjust temp, 51mins damaged pipe on buffer tank, 44mins changing over , 11mins bowl level drop, 8mins high rejection due to labels, 8mins crowner stuck in chute, 8mins stop on labeler infeed, 7mins incorrect bottles in loading area</t>
  </si>
  <si>
    <t>20mins waiting on dry run, 10mins low temp on pasteurizer,10mins videojet not printing properly , 10mins product prep,  8mins pasteuriser pump cut off  on tank #4, 6mins waiting on product,  5 mins due to water falling from line, 5mins magzine adjustments, 5mins bottles stuck at EBI starwheel</t>
  </si>
  <si>
    <t xml:space="preserve">134mins waiting on pasteurizer to empty to switch product, 65mins filler change over, 20mins waiting on lab tech, 10mins stop at washer infeed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</si>
</sst>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0.0%"/>
    <numFmt numFmtId="165" formatCode="0.0"/>
    <numFmt numFmtId="166" formatCode="0.000"/>
    <numFmt numFmtId="167" formatCode="[$-409]d\-mmm\-yy;@"/>
    <numFmt numFmtId="168" formatCode="#,##0.0"/>
    <numFmt numFmtId="169" formatCode="h:mm;@"/>
  </numFmts>
  <fonts count="113" x14ac:knownFonts="1">
    <font>
      <sz val="10"/>
      <name val="Arial"/>
    </font>
    <font>
      <sz val="10"/>
      <name val="Arial"/>
      <family val="2"/>
    </font>
    <font>
      <b/>
      <sz val="8"/>
      <color indexed="81"/>
      <name val="Tahoma"/>
      <family val="2"/>
    </font>
    <font>
      <sz val="8"/>
      <color indexed="81"/>
      <name val="Tahoma"/>
      <family val="2"/>
    </font>
    <font>
      <sz val="10"/>
      <name val="Arial"/>
      <family val="2"/>
    </font>
    <font>
      <b/>
      <sz val="10"/>
      <name val="Times New Roman"/>
      <family val="1"/>
    </font>
    <font>
      <b/>
      <sz val="8"/>
      <name val="Times New Roman"/>
      <family val="1"/>
    </font>
    <font>
      <b/>
      <u/>
      <sz val="10"/>
      <name val="Times New Roman"/>
      <family val="1"/>
    </font>
    <font>
      <b/>
      <sz val="16"/>
      <name val="Times New Roman"/>
      <family val="1"/>
    </font>
    <font>
      <b/>
      <sz val="9"/>
      <name val="Times New Roman"/>
      <family val="1"/>
    </font>
    <font>
      <sz val="9"/>
      <name val="Times New Roman"/>
      <family val="1"/>
    </font>
    <font>
      <b/>
      <sz val="10"/>
      <name val="Arial"/>
      <family val="2"/>
    </font>
    <font>
      <sz val="11"/>
      <name val="Arial"/>
      <family val="2"/>
    </font>
    <font>
      <sz val="24"/>
      <name val="Gulim"/>
      <family val="2"/>
    </font>
    <font>
      <sz val="11"/>
      <name val="Times New Roman"/>
      <family val="1"/>
    </font>
    <font>
      <b/>
      <sz val="11"/>
      <name val="Times New Roman"/>
      <family val="1"/>
    </font>
    <font>
      <b/>
      <sz val="12"/>
      <name val="Arial"/>
      <family val="2"/>
    </font>
    <font>
      <b/>
      <sz val="13"/>
      <name val="Times New Roman"/>
      <family val="1"/>
    </font>
    <font>
      <b/>
      <sz val="13"/>
      <name val="Arial"/>
      <family val="2"/>
    </font>
    <font>
      <sz val="13"/>
      <name val="Arial"/>
      <family val="2"/>
    </font>
    <font>
      <b/>
      <sz val="12"/>
      <name val="Times New Roman"/>
      <family val="1"/>
    </font>
    <font>
      <sz val="16"/>
      <name val="Times New Roman"/>
      <family val="1"/>
    </font>
    <font>
      <b/>
      <sz val="12"/>
      <color indexed="8"/>
      <name val="Arial Narrow"/>
      <family val="2"/>
    </font>
    <font>
      <b/>
      <sz val="12"/>
      <color indexed="8"/>
      <name val="Times New Roman"/>
      <family val="1"/>
    </font>
    <font>
      <b/>
      <u/>
      <sz val="12"/>
      <name val="Times New Roman"/>
      <family val="1"/>
    </font>
    <font>
      <sz val="12.5"/>
      <name val="Arial"/>
      <family val="2"/>
    </font>
    <font>
      <b/>
      <sz val="12.5"/>
      <name val="Arial"/>
      <family val="2"/>
    </font>
    <font>
      <sz val="14.5"/>
      <name val="Times New Roman"/>
      <family val="1"/>
    </font>
    <font>
      <b/>
      <sz val="14.5"/>
      <name val="Times New Roman"/>
      <family val="1"/>
    </font>
    <font>
      <b/>
      <sz val="16"/>
      <name val="Arial"/>
      <family val="2"/>
    </font>
    <font>
      <b/>
      <sz val="18"/>
      <name val="Arial Narrow"/>
      <family val="2"/>
    </font>
    <font>
      <u/>
      <sz val="14.5"/>
      <name val="Times New Roman"/>
      <family val="1"/>
    </font>
    <font>
      <b/>
      <u/>
      <sz val="12"/>
      <color indexed="8"/>
      <name val="Times New Roman"/>
      <family val="1"/>
    </font>
    <font>
      <sz val="12.5"/>
      <color indexed="8"/>
      <name val="Arial"/>
      <family val="2"/>
    </font>
    <font>
      <i/>
      <sz val="12.5"/>
      <color indexed="8"/>
      <name val="Arial"/>
      <family val="2"/>
    </font>
    <font>
      <sz val="14"/>
      <name val="Arial"/>
      <family val="2"/>
    </font>
    <font>
      <b/>
      <sz val="14"/>
      <name val="Arial"/>
      <family val="2"/>
    </font>
    <font>
      <b/>
      <sz val="14"/>
      <name val="Times New Roman"/>
      <family val="1"/>
    </font>
    <font>
      <sz val="14"/>
      <color indexed="8"/>
      <name val="Arial"/>
      <family val="2"/>
    </font>
    <font>
      <i/>
      <sz val="14"/>
      <color indexed="8"/>
      <name val="Arial"/>
      <family val="2"/>
    </font>
    <font>
      <b/>
      <sz val="17.5"/>
      <name val="Times New Roman"/>
      <family val="1"/>
    </font>
    <font>
      <b/>
      <sz val="17.5"/>
      <name val="Arial"/>
      <family val="2"/>
    </font>
    <font>
      <sz val="16"/>
      <name val="Arial"/>
      <family val="2"/>
    </font>
    <font>
      <sz val="9"/>
      <color indexed="81"/>
      <name val="Tahoma"/>
      <family val="2"/>
    </font>
    <font>
      <b/>
      <sz val="9"/>
      <color indexed="81"/>
      <name val="Tahoma"/>
      <family val="2"/>
    </font>
    <font>
      <sz val="11"/>
      <color indexed="81"/>
      <name val="Tahoma"/>
      <family val="2"/>
    </font>
    <font>
      <b/>
      <sz val="11"/>
      <color indexed="81"/>
      <name val="Tahoma"/>
      <family val="2"/>
    </font>
    <font>
      <sz val="14"/>
      <color indexed="10"/>
      <name val="Arial"/>
      <family val="2"/>
    </font>
    <font>
      <b/>
      <sz val="18"/>
      <name val="Arial"/>
      <family val="2"/>
    </font>
    <font>
      <sz val="12"/>
      <name val="Arial"/>
      <family val="2"/>
    </font>
    <font>
      <i/>
      <sz val="14"/>
      <name val="Arial"/>
      <family val="2"/>
    </font>
    <font>
      <b/>
      <i/>
      <sz val="14"/>
      <name val="Arial"/>
      <family val="2"/>
    </font>
    <font>
      <b/>
      <sz val="10"/>
      <color indexed="81"/>
      <name val="Tahoma"/>
      <family val="2"/>
    </font>
    <font>
      <sz val="10"/>
      <color indexed="81"/>
      <name val="Tahoma"/>
      <family val="2"/>
    </font>
    <font>
      <b/>
      <i/>
      <sz val="16"/>
      <name val="Arial"/>
      <family val="2"/>
    </font>
    <font>
      <b/>
      <i/>
      <sz val="12"/>
      <name val="Arial"/>
      <family val="2"/>
    </font>
    <font>
      <b/>
      <sz val="11"/>
      <name val="Arial"/>
      <family val="2"/>
    </font>
    <font>
      <i/>
      <sz val="12"/>
      <name val="Times New Roman"/>
      <family val="1"/>
    </font>
    <font>
      <sz val="18"/>
      <name val="Arial"/>
      <family val="2"/>
    </font>
    <font>
      <sz val="18"/>
      <name val="Gulim"/>
      <family val="2"/>
    </font>
    <font>
      <b/>
      <sz val="18"/>
      <name val="Times New Roman"/>
      <family val="1"/>
    </font>
    <font>
      <b/>
      <sz val="22"/>
      <name val="Times New Roman"/>
      <family val="1"/>
    </font>
    <font>
      <b/>
      <sz val="22"/>
      <name val="Arial"/>
      <family val="2"/>
    </font>
    <font>
      <sz val="22"/>
      <name val="Arial"/>
      <family val="2"/>
    </font>
    <font>
      <b/>
      <sz val="24"/>
      <name val="Times New Roman"/>
      <family val="1"/>
    </font>
    <font>
      <b/>
      <sz val="24"/>
      <name val="Arial"/>
      <family val="2"/>
    </font>
    <font>
      <sz val="24"/>
      <name val="Arial"/>
      <family val="2"/>
    </font>
    <font>
      <b/>
      <sz val="20"/>
      <name val="Times New Roman"/>
      <family val="1"/>
    </font>
    <font>
      <b/>
      <sz val="20"/>
      <name val="Arial"/>
      <family val="2"/>
    </font>
    <font>
      <sz val="18"/>
      <name val="Times New Roman"/>
      <family val="1"/>
    </font>
    <font>
      <b/>
      <sz val="28"/>
      <name val="Arial Narrow"/>
      <family val="2"/>
    </font>
    <font>
      <b/>
      <i/>
      <sz val="10"/>
      <name val="Arial"/>
      <family val="2"/>
    </font>
    <font>
      <sz val="10"/>
      <name val="Arial"/>
      <family val="2"/>
    </font>
    <font>
      <b/>
      <sz val="10"/>
      <name val="Arial Black"/>
      <family val="2"/>
    </font>
    <font>
      <b/>
      <sz val="18"/>
      <name val="Amasis MT Pro Black"/>
      <family val="1"/>
    </font>
    <font>
      <b/>
      <sz val="16"/>
      <name val="Amasis MT Pro Black"/>
      <family val="1"/>
    </font>
    <font>
      <sz val="11"/>
      <color theme="1"/>
      <name val="Calibri"/>
      <family val="2"/>
      <scheme val="minor"/>
    </font>
    <font>
      <b/>
      <sz val="11"/>
      <color theme="1"/>
      <name val="Calibri"/>
      <family val="2"/>
      <scheme val="minor"/>
    </font>
    <font>
      <sz val="9"/>
      <color theme="1"/>
      <name val="Arial"/>
      <family val="2"/>
    </font>
    <font>
      <sz val="12.5"/>
      <color theme="1"/>
      <name val="Arial"/>
      <family val="2"/>
    </font>
    <font>
      <sz val="13"/>
      <color theme="0"/>
      <name val="Arial"/>
      <family val="2"/>
    </font>
    <font>
      <b/>
      <sz val="16"/>
      <color theme="0"/>
      <name val="Times New Roman"/>
      <family val="1"/>
    </font>
    <font>
      <sz val="14"/>
      <color theme="0"/>
      <name val="Arial"/>
      <family val="2"/>
    </font>
    <font>
      <sz val="14"/>
      <color theme="0" tint="-4.9989318521683403E-2"/>
      <name val="Arial"/>
      <family val="2"/>
    </font>
    <font>
      <sz val="13"/>
      <color theme="1"/>
      <name val="Arial"/>
      <family val="2"/>
    </font>
    <font>
      <sz val="14"/>
      <color theme="1"/>
      <name val="Arial"/>
      <family val="2"/>
    </font>
    <font>
      <b/>
      <i/>
      <sz val="12"/>
      <color theme="1"/>
      <name val="Calibri"/>
      <family val="2"/>
      <scheme val="minor"/>
    </font>
    <font>
      <b/>
      <sz val="16"/>
      <color theme="1"/>
      <name val="Calibri"/>
      <family val="2"/>
      <scheme val="minor"/>
    </font>
    <font>
      <b/>
      <sz val="16"/>
      <color rgb="FFFF0000"/>
      <name val="Times New Roman"/>
      <family val="1"/>
    </font>
    <font>
      <sz val="16"/>
      <color theme="1"/>
      <name val="Arial"/>
      <family val="2"/>
    </font>
    <font>
      <b/>
      <sz val="16"/>
      <color theme="1"/>
      <name val="Arial"/>
      <family val="2"/>
    </font>
    <font>
      <b/>
      <i/>
      <sz val="16"/>
      <color theme="1"/>
      <name val="Arial"/>
      <family val="2"/>
    </font>
    <font>
      <sz val="13"/>
      <color theme="0" tint="-4.9989318521683403E-2"/>
      <name val="Arial"/>
      <family val="2"/>
    </font>
    <font>
      <b/>
      <sz val="12"/>
      <name val="Calibri"/>
      <family val="2"/>
      <scheme val="minor"/>
    </font>
    <font>
      <b/>
      <sz val="13"/>
      <color theme="3" tint="-0.249977111117893"/>
      <name val="Arial"/>
      <family val="2"/>
    </font>
    <font>
      <sz val="12"/>
      <color theme="3" tint="-0.249977111117893"/>
      <name val="Arial"/>
      <family val="2"/>
    </font>
    <font>
      <sz val="10"/>
      <color theme="1"/>
      <name val="Arial"/>
      <family val="2"/>
    </font>
    <font>
      <sz val="22"/>
      <color theme="1"/>
      <name val="Arial"/>
      <family val="2"/>
    </font>
    <font>
      <sz val="22"/>
      <color theme="0"/>
      <name val="Arial"/>
      <family val="2"/>
    </font>
    <font>
      <sz val="24"/>
      <color theme="1"/>
      <name val="Arial"/>
      <family val="2"/>
    </font>
    <font>
      <sz val="22"/>
      <color theme="0" tint="-4.9989318521683403E-2"/>
      <name val="Arial"/>
      <family val="2"/>
    </font>
    <font>
      <sz val="22"/>
      <color theme="0" tint="-0.14999847407452621"/>
      <name val="Arial"/>
      <family val="2"/>
    </font>
    <font>
      <b/>
      <sz val="14"/>
      <color theme="1" tint="0.34998626667073579"/>
      <name val="Calibri"/>
      <family val="2"/>
      <scheme val="minor"/>
    </font>
    <font>
      <b/>
      <sz val="16"/>
      <color theme="1" tint="0.34998626667073579"/>
      <name val="Calibri"/>
      <family val="2"/>
      <scheme val="minor"/>
    </font>
    <font>
      <b/>
      <sz val="20"/>
      <color theme="1"/>
      <name val="Times New Roman"/>
      <family val="1"/>
    </font>
    <font>
      <b/>
      <sz val="16"/>
      <color theme="1"/>
      <name val="Times New Roman"/>
      <family val="1"/>
    </font>
    <font>
      <b/>
      <sz val="20"/>
      <color theme="1"/>
      <name val="Arial"/>
      <family val="2"/>
    </font>
    <font>
      <b/>
      <sz val="9"/>
      <color theme="1"/>
      <name val="Calibri"/>
      <family val="2"/>
      <scheme val="minor"/>
    </font>
    <font>
      <b/>
      <sz val="10"/>
      <color rgb="FFFF0000"/>
      <name val="Arial"/>
      <family val="2"/>
    </font>
    <font>
      <sz val="20"/>
      <color theme="1"/>
      <name val="Arial"/>
      <family val="2"/>
    </font>
    <font>
      <sz val="18"/>
      <color theme="1"/>
      <name val="Arial"/>
      <family val="2"/>
    </font>
    <font>
      <b/>
      <sz val="12"/>
      <color indexed="81"/>
      <name val="Tahoma"/>
      <family val="2"/>
    </font>
    <font>
      <sz val="12"/>
      <color indexed="81"/>
      <name val="Tahoma"/>
      <family val="2"/>
    </font>
  </fonts>
  <fills count="28">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0"/>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rgb="FF92D050"/>
        <bgColor indexed="64"/>
      </patternFill>
    </fill>
    <fill>
      <patternFill patternType="solid">
        <fgColor theme="9" tint="0.39997558519241921"/>
        <bgColor indexed="64"/>
      </patternFill>
    </fill>
    <fill>
      <patternFill patternType="solid">
        <fgColor theme="8" tint="-0.249977111117893"/>
        <bgColor indexed="64"/>
      </patternFill>
    </fill>
    <fill>
      <patternFill patternType="solid">
        <fgColor theme="6"/>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0.249977111117893"/>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3" tint="0.39997558519241921"/>
        <bgColor indexed="64"/>
      </patternFill>
    </fill>
    <fill>
      <patternFill patternType="solid">
        <fgColor theme="9" tint="0.59999389629810485"/>
        <bgColor indexed="64"/>
      </patternFill>
    </fill>
    <fill>
      <patternFill patternType="solid">
        <fgColor rgb="FF00B050"/>
        <bgColor indexed="64"/>
      </patternFill>
    </fill>
    <fill>
      <patternFill patternType="solid">
        <fgColor theme="5" tint="0.59999389629810485"/>
        <bgColor indexed="64"/>
      </patternFill>
    </fill>
  </fills>
  <borders count="171">
    <border>
      <left/>
      <right/>
      <top/>
      <bottom/>
      <diagonal/>
    </border>
    <border>
      <left style="thin">
        <color indexed="64"/>
      </left>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ck">
        <color indexed="64"/>
      </bottom>
      <diagonal/>
    </border>
    <border>
      <left style="thin">
        <color indexed="64"/>
      </left>
      <right style="thick">
        <color indexed="64"/>
      </right>
      <top style="medium">
        <color indexed="64"/>
      </top>
      <bottom style="thick">
        <color indexed="64"/>
      </bottom>
      <diagonal/>
    </border>
    <border>
      <left/>
      <right/>
      <top/>
      <bottom style="thick">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medium">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diagonal/>
    </border>
    <border>
      <left/>
      <right/>
      <top style="medium">
        <color indexed="64"/>
      </top>
      <bottom style="thick">
        <color indexed="64"/>
      </bottom>
      <diagonal/>
    </border>
    <border>
      <left style="thin">
        <color indexed="64"/>
      </left>
      <right/>
      <top style="medium">
        <color indexed="64"/>
      </top>
      <bottom style="thick">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ck">
        <color indexed="64"/>
      </top>
      <bottom/>
      <diagonal/>
    </border>
    <border>
      <left style="thin">
        <color indexed="64"/>
      </left>
      <right style="thin">
        <color indexed="64"/>
      </right>
      <top/>
      <bottom/>
      <diagonal/>
    </border>
    <border>
      <left style="thick">
        <color indexed="64"/>
      </left>
      <right style="thin">
        <color indexed="64"/>
      </right>
      <top/>
      <bottom/>
      <diagonal/>
    </border>
    <border>
      <left style="thin">
        <color indexed="64"/>
      </left>
      <right/>
      <top/>
      <bottom/>
      <diagonal/>
    </border>
    <border>
      <left style="thin">
        <color indexed="64"/>
      </left>
      <right style="thick">
        <color indexed="64"/>
      </right>
      <top/>
      <bottom/>
      <diagonal/>
    </border>
    <border>
      <left style="thick">
        <color indexed="64"/>
      </left>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top/>
      <bottom style="hair">
        <color indexed="64"/>
      </bottom>
      <diagonal/>
    </border>
    <border>
      <left style="thin">
        <color indexed="64"/>
      </left>
      <right style="thin">
        <color indexed="64"/>
      </right>
      <top/>
      <bottom style="hair">
        <color indexed="64"/>
      </bottom>
      <diagonal/>
    </border>
    <border>
      <left/>
      <right style="thick">
        <color indexed="64"/>
      </right>
      <top/>
      <bottom style="hair">
        <color indexed="64"/>
      </bottom>
      <diagonal/>
    </border>
    <border>
      <left style="thick">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ck">
        <color indexed="64"/>
      </left>
      <right/>
      <top style="hair">
        <color indexed="64"/>
      </top>
      <bottom/>
      <diagonal/>
    </border>
    <border>
      <left style="thin">
        <color indexed="64"/>
      </left>
      <right style="thin">
        <color indexed="64"/>
      </right>
      <top style="hair">
        <color indexed="64"/>
      </top>
      <bottom/>
      <diagonal/>
    </border>
    <border>
      <left style="thick">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right style="thick">
        <color indexed="64"/>
      </right>
      <top style="thin">
        <color indexed="64"/>
      </top>
      <bottom style="thick">
        <color indexed="64"/>
      </bottom>
      <diagonal/>
    </border>
    <border>
      <left style="thin">
        <color indexed="64"/>
      </left>
      <right/>
      <top style="thin">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ck">
        <color indexed="64"/>
      </top>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style="thick">
        <color indexed="64"/>
      </right>
      <top/>
      <bottom style="thick">
        <color indexed="64"/>
      </bottom>
      <diagonal/>
    </border>
    <border>
      <left style="thin">
        <color indexed="64"/>
      </left>
      <right/>
      <top style="thin">
        <color indexed="64"/>
      </top>
      <bottom/>
      <diagonal/>
    </border>
    <border>
      <left style="thick">
        <color indexed="64"/>
      </left>
      <right style="medium">
        <color indexed="64"/>
      </right>
      <top style="thick">
        <color indexed="64"/>
      </top>
      <bottom style="medium">
        <color indexed="64"/>
      </bottom>
      <diagonal/>
    </border>
    <border>
      <left style="medium">
        <color indexed="64"/>
      </left>
      <right style="medium">
        <color indexed="64"/>
      </right>
      <top style="thick">
        <color indexed="64"/>
      </top>
      <bottom style="medium">
        <color indexed="64"/>
      </bottom>
      <diagonal/>
    </border>
    <border>
      <left style="medium">
        <color indexed="64"/>
      </left>
      <right style="thick">
        <color indexed="64"/>
      </right>
      <top style="thick">
        <color indexed="64"/>
      </top>
      <bottom style="medium">
        <color indexed="64"/>
      </bottom>
      <diagonal/>
    </border>
    <border>
      <left style="thick">
        <color indexed="64"/>
      </left>
      <right style="medium">
        <color indexed="64"/>
      </right>
      <top style="medium">
        <color indexed="64"/>
      </top>
      <bottom style="thin">
        <color indexed="64"/>
      </bottom>
      <diagonal/>
    </border>
    <border>
      <left style="thick">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ck">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ck">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ck">
        <color indexed="64"/>
      </left>
      <right style="medium">
        <color indexed="64"/>
      </right>
      <top/>
      <bottom/>
      <diagonal/>
    </border>
    <border>
      <left style="medium">
        <color indexed="64"/>
      </left>
      <right style="medium">
        <color indexed="64"/>
      </right>
      <top style="thin">
        <color indexed="64"/>
      </top>
      <bottom/>
      <diagonal/>
    </border>
    <border>
      <left style="medium">
        <color indexed="64"/>
      </left>
      <right style="thick">
        <color indexed="64"/>
      </right>
      <top style="thin">
        <color indexed="64"/>
      </top>
      <bottom/>
      <diagonal/>
    </border>
    <border>
      <left style="thick">
        <color indexed="64"/>
      </left>
      <right style="medium">
        <color indexed="64"/>
      </right>
      <top style="thick">
        <color indexed="64"/>
      </top>
      <bottom style="thick">
        <color indexed="64"/>
      </bottom>
      <diagonal/>
    </border>
    <border>
      <left style="medium">
        <color indexed="64"/>
      </left>
      <right style="medium">
        <color indexed="64"/>
      </right>
      <top style="thick">
        <color indexed="64"/>
      </top>
      <bottom style="thick">
        <color indexed="64"/>
      </bottom>
      <diagonal/>
    </border>
    <border>
      <left style="medium">
        <color indexed="64"/>
      </left>
      <right style="thick">
        <color indexed="64"/>
      </right>
      <top style="thick">
        <color indexed="64"/>
      </top>
      <bottom style="thick">
        <color indexed="64"/>
      </bottom>
      <diagonal/>
    </border>
    <border>
      <left style="thin">
        <color indexed="64"/>
      </left>
      <right style="thick">
        <color indexed="64"/>
      </right>
      <top style="thin">
        <color indexed="64"/>
      </top>
      <bottom/>
      <diagonal/>
    </border>
    <border>
      <left/>
      <right/>
      <top style="thick">
        <color indexed="64"/>
      </top>
      <bottom style="thick">
        <color indexed="64"/>
      </bottom>
      <diagonal/>
    </border>
    <border>
      <left/>
      <right/>
      <top style="thin">
        <color indexed="64"/>
      </top>
      <bottom/>
      <diagonal/>
    </border>
    <border>
      <left style="thick">
        <color indexed="64"/>
      </left>
      <right style="thin">
        <color indexed="64"/>
      </right>
      <top style="thin">
        <color indexed="64"/>
      </top>
      <bottom/>
      <diagonal/>
    </border>
    <border>
      <left style="thick">
        <color indexed="64"/>
      </left>
      <right style="thick">
        <color indexed="64"/>
      </right>
      <top style="thin">
        <color indexed="64"/>
      </top>
      <bottom/>
      <diagonal/>
    </border>
    <border>
      <left style="thick">
        <color indexed="64"/>
      </left>
      <right style="thin">
        <color indexed="64"/>
      </right>
      <top/>
      <bottom style="thin">
        <color indexed="64"/>
      </bottom>
      <diagonal/>
    </border>
    <border>
      <left style="thin">
        <color indexed="64"/>
      </left>
      <right/>
      <top style="thick">
        <color indexed="64"/>
      </top>
      <bottom style="thin">
        <color indexed="64"/>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style="thick">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ck">
        <color indexed="64"/>
      </right>
      <top style="thin">
        <color indexed="64"/>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ck">
        <color indexed="64"/>
      </right>
      <top style="thin">
        <color indexed="64"/>
      </top>
      <bottom/>
      <diagonal/>
    </border>
    <border>
      <left style="thick">
        <color indexed="64"/>
      </left>
      <right/>
      <top/>
      <bottom style="thin">
        <color indexed="64"/>
      </bottom>
      <diagonal/>
    </border>
    <border>
      <left/>
      <right/>
      <top/>
      <bottom style="thin">
        <color indexed="64"/>
      </bottom>
      <diagonal/>
    </border>
    <border>
      <left/>
      <right style="thick">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double">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right style="medium">
        <color indexed="64"/>
      </right>
      <top style="thin">
        <color indexed="64"/>
      </top>
      <bottom/>
      <diagonal/>
    </border>
    <border>
      <left style="thick">
        <color indexed="64"/>
      </left>
      <right/>
      <top/>
      <bottom/>
      <diagonal/>
    </border>
    <border>
      <left style="thick">
        <color indexed="64"/>
      </left>
      <right style="thick">
        <color indexed="64"/>
      </right>
      <top style="thin">
        <color indexed="64"/>
      </top>
      <bottom style="thin">
        <color indexed="64"/>
      </bottom>
      <diagonal/>
    </border>
    <border>
      <left style="thick">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thick">
        <color indexed="64"/>
      </left>
      <right style="medium">
        <color indexed="64"/>
      </right>
      <top style="thin">
        <color indexed="64"/>
      </top>
      <bottom style="medium">
        <color indexed="64"/>
      </bottom>
      <diagonal/>
    </border>
    <border>
      <left style="medium">
        <color indexed="64"/>
      </left>
      <right style="thick">
        <color indexed="64"/>
      </right>
      <top style="thin">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ck">
        <color indexed="64"/>
      </top>
      <bottom style="double">
        <color indexed="64"/>
      </bottom>
      <diagonal/>
    </border>
    <border>
      <left style="thick">
        <color indexed="64"/>
      </left>
      <right style="thick">
        <color indexed="64"/>
      </right>
      <top style="medium">
        <color indexed="64"/>
      </top>
      <bottom style="medium">
        <color indexed="64"/>
      </bottom>
      <diagonal/>
    </border>
    <border>
      <left style="thick">
        <color indexed="64"/>
      </left>
      <right/>
      <top style="thin">
        <color indexed="64"/>
      </top>
      <bottom style="thin">
        <color indexed="64"/>
      </bottom>
      <diagonal/>
    </border>
    <border>
      <left style="medium">
        <color indexed="64"/>
      </left>
      <right style="medium">
        <color indexed="64"/>
      </right>
      <top style="medium">
        <color indexed="64"/>
      </top>
      <bottom/>
      <diagonal/>
    </border>
    <border>
      <left/>
      <right style="thin">
        <color indexed="64"/>
      </right>
      <top style="medium">
        <color indexed="64"/>
      </top>
      <bottom style="medium">
        <color indexed="64"/>
      </bottom>
      <diagonal/>
    </border>
    <border>
      <left style="thick">
        <color indexed="64"/>
      </left>
      <right style="thin">
        <color indexed="64"/>
      </right>
      <top style="thick">
        <color indexed="64"/>
      </top>
      <bottom style="double">
        <color indexed="64"/>
      </bottom>
      <diagonal/>
    </border>
    <border>
      <left style="thin">
        <color indexed="64"/>
      </left>
      <right/>
      <top style="thick">
        <color indexed="64"/>
      </top>
      <bottom style="double">
        <color indexed="64"/>
      </bottom>
      <diagonal/>
    </border>
    <border>
      <left style="thin">
        <color indexed="64"/>
      </left>
      <right/>
      <top/>
      <bottom style="thin">
        <color indexed="64"/>
      </bottom>
      <diagonal/>
    </border>
    <border>
      <left/>
      <right style="thick">
        <color indexed="64"/>
      </right>
      <top/>
      <bottom/>
      <diagonal/>
    </border>
    <border>
      <left style="thick">
        <color indexed="64"/>
      </left>
      <right style="thick">
        <color indexed="64"/>
      </right>
      <top/>
      <bottom style="thin">
        <color indexed="64"/>
      </bottom>
      <diagonal/>
    </border>
    <border>
      <left/>
      <right/>
      <top style="thin">
        <color indexed="64"/>
      </top>
      <bottom style="thin">
        <color indexed="64"/>
      </bottom>
      <diagonal/>
    </border>
    <border>
      <left style="thick">
        <color indexed="64"/>
      </left>
      <right style="thick">
        <color indexed="64"/>
      </right>
      <top/>
      <bottom/>
      <diagonal/>
    </border>
    <border>
      <left/>
      <right style="thin">
        <color indexed="64"/>
      </right>
      <top style="thick">
        <color indexed="64"/>
      </top>
      <bottom/>
      <diagonal/>
    </border>
    <border>
      <left style="medium">
        <color indexed="64"/>
      </left>
      <right style="thick">
        <color indexed="64"/>
      </right>
      <top style="medium">
        <color indexed="64"/>
      </top>
      <bottom/>
      <diagonal/>
    </border>
    <border>
      <left style="thin">
        <color indexed="64"/>
      </left>
      <right style="thick">
        <color indexed="64"/>
      </right>
      <top/>
      <bottom style="thin">
        <color indexed="64"/>
      </bottom>
      <diagonal/>
    </border>
    <border>
      <left style="thick">
        <color indexed="64"/>
      </left>
      <right/>
      <top style="thin">
        <color indexed="64"/>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n">
        <color indexed="64"/>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top style="medium">
        <color indexed="64"/>
      </top>
      <bottom style="thick">
        <color indexed="64"/>
      </bottom>
      <diagonal/>
    </border>
    <border>
      <left/>
      <right style="thick">
        <color indexed="64"/>
      </right>
      <top style="medium">
        <color indexed="64"/>
      </top>
      <bottom style="thick">
        <color indexed="64"/>
      </bottom>
      <diagonal/>
    </border>
    <border>
      <left/>
      <right/>
      <top style="thick">
        <color indexed="64"/>
      </top>
      <bottom style="thin">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thick">
        <color indexed="64"/>
      </right>
      <top/>
      <bottom style="thin">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thick">
        <color indexed="64"/>
      </right>
      <top/>
      <bottom/>
      <diagonal/>
    </border>
    <border>
      <left/>
      <right/>
      <top style="medium">
        <color indexed="64"/>
      </top>
      <bottom/>
      <diagonal/>
    </border>
    <border>
      <left style="thin">
        <color indexed="64"/>
      </left>
      <right style="thin">
        <color indexed="64"/>
      </right>
      <top style="double">
        <color indexed="64"/>
      </top>
      <bottom/>
      <diagonal/>
    </border>
    <border>
      <left/>
      <right style="medium">
        <color indexed="64"/>
      </right>
      <top/>
      <bottom style="thin">
        <color indexed="64"/>
      </bottom>
      <diagonal/>
    </border>
    <border>
      <left style="medium">
        <color indexed="64"/>
      </left>
      <right style="medium">
        <color indexed="64"/>
      </right>
      <top style="thick">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thick">
        <color indexed="64"/>
      </left>
      <right style="thick">
        <color indexed="64"/>
      </right>
      <top style="medium">
        <color indexed="64"/>
      </top>
      <bottom/>
      <diagonal/>
    </border>
    <border>
      <left style="thin">
        <color indexed="64"/>
      </left>
      <right style="medium">
        <color indexed="64"/>
      </right>
      <top/>
      <bottom/>
      <diagonal/>
    </border>
    <border>
      <left style="medium">
        <color indexed="64"/>
      </left>
      <right/>
      <top style="medium">
        <color indexed="64"/>
      </top>
      <bottom style="thick">
        <color indexed="64"/>
      </bottom>
      <diagonal/>
    </border>
    <border>
      <left/>
      <right style="medium">
        <color indexed="64"/>
      </right>
      <top style="medium">
        <color indexed="64"/>
      </top>
      <bottom style="thick">
        <color indexed="64"/>
      </bottom>
      <diagonal/>
    </border>
    <border>
      <left style="medium">
        <color indexed="64"/>
      </left>
      <right style="medium">
        <color indexed="64"/>
      </right>
      <top style="medium">
        <color indexed="64"/>
      </top>
      <bottom style="double">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ck">
        <color indexed="64"/>
      </top>
      <bottom style="thin">
        <color indexed="64"/>
      </bottom>
      <diagonal/>
    </border>
    <border>
      <left style="medium">
        <color indexed="64"/>
      </left>
      <right style="medium">
        <color indexed="64"/>
      </right>
      <top/>
      <bottom style="thick">
        <color indexed="64"/>
      </bottom>
      <diagonal/>
    </border>
    <border>
      <left style="thin">
        <color indexed="64"/>
      </left>
      <right style="thin">
        <color indexed="64"/>
      </right>
      <top/>
      <bottom style="double">
        <color indexed="64"/>
      </bottom>
      <diagonal/>
    </border>
  </borders>
  <cellStyleXfs count="11">
    <xf numFmtId="0" fontId="0" fillId="0" borderId="0"/>
    <xf numFmtId="43" fontId="4" fillId="0" borderId="0" applyFont="0" applyFill="0" applyBorder="0" applyAlignment="0" applyProtection="0"/>
    <xf numFmtId="43" fontId="76" fillId="0" borderId="0" applyFont="0" applyFill="0" applyBorder="0" applyAlignment="0" applyProtection="0"/>
    <xf numFmtId="43" fontId="72" fillId="0" borderId="0" applyFont="0" applyFill="0" applyBorder="0" applyAlignment="0" applyProtection="0"/>
    <xf numFmtId="44" fontId="4" fillId="0" borderId="0" applyFont="0" applyFill="0" applyBorder="0" applyAlignment="0" applyProtection="0"/>
    <xf numFmtId="0" fontId="4" fillId="0" borderId="0"/>
    <xf numFmtId="0" fontId="76" fillId="0" borderId="0"/>
    <xf numFmtId="9" fontId="1" fillId="0" borderId="0" applyFont="0" applyFill="0" applyBorder="0" applyAlignment="0" applyProtection="0"/>
    <xf numFmtId="9" fontId="4" fillId="0" borderId="0" applyFont="0" applyFill="0" applyBorder="0" applyAlignment="0" applyProtection="0"/>
    <xf numFmtId="9" fontId="72" fillId="0" borderId="0" applyFont="0" applyFill="0" applyBorder="0" applyAlignment="0" applyProtection="0"/>
    <xf numFmtId="9" fontId="4" fillId="0" borderId="0" applyFont="0" applyFill="0" applyBorder="0" applyAlignment="0" applyProtection="0"/>
  </cellStyleXfs>
  <cellXfs count="1267">
    <xf numFmtId="0" fontId="0" fillId="0" borderId="0" xfId="0"/>
    <xf numFmtId="0" fontId="0" fillId="0" borderId="0" xfId="0" applyAlignment="1">
      <alignment horizontal="center"/>
    </xf>
    <xf numFmtId="2" fontId="0" fillId="0" borderId="0" xfId="0" applyNumberFormat="1"/>
    <xf numFmtId="3" fontId="0" fillId="0" borderId="0" xfId="0" applyNumberFormat="1" applyAlignment="1">
      <alignment horizontal="center"/>
    </xf>
    <xf numFmtId="0" fontId="5" fillId="0" borderId="1" xfId="0" applyFont="1" applyBorder="1" applyAlignment="1">
      <alignment horizontal="center" vertical="center" wrapText="1"/>
    </xf>
    <xf numFmtId="0" fontId="8" fillId="0" borderId="2" xfId="0" applyFont="1" applyBorder="1" applyAlignment="1">
      <alignment horizontal="center" vertical="center" wrapText="1"/>
    </xf>
    <xf numFmtId="166" fontId="0" fillId="0" borderId="0" xfId="0" applyNumberFormat="1"/>
    <xf numFmtId="0" fontId="11" fillId="0" borderId="0" xfId="0" applyFont="1" applyAlignment="1">
      <alignment horizontal="center"/>
    </xf>
    <xf numFmtId="0" fontId="4" fillId="0" borderId="0" xfId="0" applyFont="1" applyAlignment="1">
      <alignment horizontal="center"/>
    </xf>
    <xf numFmtId="0" fontId="78" fillId="0" borderId="0" xfId="0" applyFont="1" applyAlignment="1">
      <alignment vertical="center" wrapText="1"/>
    </xf>
    <xf numFmtId="166" fontId="0" fillId="0" borderId="0" xfId="0" applyNumberFormat="1" applyAlignment="1">
      <alignment horizontal="center"/>
    </xf>
    <xf numFmtId="0" fontId="9" fillId="0" borderId="0" xfId="0" applyFont="1" applyAlignment="1">
      <alignment horizontal="center" vertical="center"/>
    </xf>
    <xf numFmtId="3" fontId="9" fillId="0" borderId="0" xfId="0" applyNumberFormat="1" applyFont="1" applyAlignment="1">
      <alignment horizontal="center" vertical="center"/>
    </xf>
    <xf numFmtId="165" fontId="9" fillId="0" borderId="0" xfId="0" applyNumberFormat="1" applyFont="1" applyAlignment="1">
      <alignment horizontal="center" vertical="center"/>
    </xf>
    <xf numFmtId="10" fontId="9" fillId="0" borderId="0" xfId="0" applyNumberFormat="1" applyFont="1" applyAlignment="1">
      <alignment horizontal="center" vertical="center"/>
    </xf>
    <xf numFmtId="10" fontId="10" fillId="0" borderId="0" xfId="0" applyNumberFormat="1" applyFont="1" applyAlignment="1">
      <alignment horizontal="center" vertical="center"/>
    </xf>
    <xf numFmtId="166" fontId="9" fillId="0" borderId="0" xfId="0" applyNumberFormat="1" applyFont="1" applyAlignment="1">
      <alignment horizontal="center" vertical="center"/>
    </xf>
    <xf numFmtId="0" fontId="6" fillId="0" borderId="0" xfId="0" applyFont="1" applyAlignment="1">
      <alignment vertical="center"/>
    </xf>
    <xf numFmtId="10" fontId="14" fillId="0" borderId="3" xfId="0" applyNumberFormat="1" applyFont="1" applyBorder="1" applyAlignment="1">
      <alignment horizontal="center" vertical="center"/>
    </xf>
    <xf numFmtId="0" fontId="12" fillId="0" borderId="0" xfId="0" applyFont="1"/>
    <xf numFmtId="10" fontId="14" fillId="0" borderId="4" xfId="0" applyNumberFormat="1" applyFont="1" applyBorder="1" applyAlignment="1">
      <alignment horizontal="center" vertical="center"/>
    </xf>
    <xf numFmtId="0" fontId="15" fillId="0" borderId="5" xfId="0" applyFont="1" applyBorder="1" applyAlignment="1">
      <alignment vertical="center"/>
    </xf>
    <xf numFmtId="0" fontId="16" fillId="0" borderId="0" xfId="0" applyFont="1" applyAlignment="1">
      <alignment horizontal="left"/>
    </xf>
    <xf numFmtId="0" fontId="16" fillId="0" borderId="6" xfId="0" applyFont="1" applyBorder="1"/>
    <xf numFmtId="0" fontId="79" fillId="0" borderId="7" xfId="0" applyFont="1" applyBorder="1" applyAlignment="1">
      <alignment vertical="top" wrapText="1"/>
    </xf>
    <xf numFmtId="16" fontId="21" fillId="0" borderId="8" xfId="0" applyNumberFormat="1" applyFont="1" applyBorder="1" applyAlignment="1">
      <alignment horizontal="right" vertical="center"/>
    </xf>
    <xf numFmtId="0" fontId="21" fillId="0" borderId="3" xfId="0" applyFont="1" applyBorder="1" applyAlignment="1">
      <alignment horizontal="center" vertical="center"/>
    </xf>
    <xf numFmtId="3" fontId="21" fillId="0" borderId="3" xfId="0" applyNumberFormat="1" applyFont="1" applyBorder="1" applyAlignment="1">
      <alignment horizontal="center" vertical="center"/>
    </xf>
    <xf numFmtId="20" fontId="21" fillId="0" borderId="3" xfId="0" applyNumberFormat="1" applyFont="1" applyBorder="1" applyAlignment="1">
      <alignment horizontal="center" vertical="center" wrapText="1"/>
    </xf>
    <xf numFmtId="165" fontId="21" fillId="0" borderId="3" xfId="0" applyNumberFormat="1" applyFont="1" applyBorder="1" applyAlignment="1">
      <alignment horizontal="center" vertical="center" wrapText="1"/>
    </xf>
    <xf numFmtId="3" fontId="21" fillId="0" borderId="3" xfId="0" applyNumberFormat="1" applyFont="1" applyBorder="1" applyAlignment="1">
      <alignment horizontal="center" vertical="center" wrapText="1"/>
    </xf>
    <xf numFmtId="1" fontId="21" fillId="0" borderId="3" xfId="0" applyNumberFormat="1" applyFont="1" applyBorder="1" applyAlignment="1">
      <alignment horizontal="center" vertical="center" wrapText="1"/>
    </xf>
    <xf numFmtId="1" fontId="21" fillId="0" borderId="3" xfId="0" applyNumberFormat="1" applyFont="1" applyBorder="1" applyAlignment="1">
      <alignment horizontal="center" vertical="center"/>
    </xf>
    <xf numFmtId="2" fontId="21" fillId="0" borderId="3" xfId="0" applyNumberFormat="1" applyFont="1" applyBorder="1" applyAlignment="1">
      <alignment horizontal="center" vertical="center"/>
    </xf>
    <xf numFmtId="10" fontId="21" fillId="0" borderId="3" xfId="0" applyNumberFormat="1" applyFont="1" applyBorder="1" applyAlignment="1">
      <alignment horizontal="center" vertical="center"/>
    </xf>
    <xf numFmtId="0" fontId="8" fillId="0" borderId="9" xfId="0" applyFont="1" applyBorder="1" applyAlignment="1">
      <alignment horizontal="center" vertical="center"/>
    </xf>
    <xf numFmtId="0" fontId="8" fillId="0" borderId="4" xfId="0" applyFont="1" applyBorder="1" applyAlignment="1">
      <alignment horizontal="center" vertical="center"/>
    </xf>
    <xf numFmtId="0" fontId="20" fillId="0" borderId="10" xfId="0" applyFont="1" applyBorder="1" applyAlignment="1">
      <alignment horizontal="center" vertical="center" wrapText="1"/>
    </xf>
    <xf numFmtId="0" fontId="20" fillId="0" borderId="11" xfId="0" applyFont="1" applyBorder="1" applyAlignment="1">
      <alignment horizontal="center" vertical="center" wrapText="1"/>
    </xf>
    <xf numFmtId="0" fontId="22" fillId="0" borderId="12" xfId="0" applyFont="1" applyBorder="1" applyAlignment="1">
      <alignment horizontal="center" vertical="center" wrapText="1"/>
    </xf>
    <xf numFmtId="0" fontId="23" fillId="0" borderId="1" xfId="0" applyFont="1" applyBorder="1" applyAlignment="1">
      <alignment horizontal="center" vertical="center" wrapText="1"/>
    </xf>
    <xf numFmtId="0" fontId="20" fillId="0" borderId="1" xfId="0" applyFont="1" applyBorder="1" applyAlignment="1">
      <alignment horizontal="center" vertical="center" wrapText="1"/>
    </xf>
    <xf numFmtId="3" fontId="25" fillId="0" borderId="0" xfId="0" applyNumberFormat="1" applyFont="1" applyAlignment="1">
      <alignment horizontal="left" vertical="center"/>
    </xf>
    <xf numFmtId="9" fontId="25" fillId="0" borderId="0" xfId="7" applyFont="1" applyFill="1" applyAlignment="1">
      <alignment horizontal="left" vertical="center"/>
    </xf>
    <xf numFmtId="0" fontId="25" fillId="0" borderId="0" xfId="0" applyFont="1" applyAlignment="1">
      <alignment horizontal="left"/>
    </xf>
    <xf numFmtId="0" fontId="26" fillId="0" borderId="0" xfId="0" applyFont="1" applyAlignment="1">
      <alignment horizontal="left"/>
    </xf>
    <xf numFmtId="10" fontId="8" fillId="0" borderId="3" xfId="0" applyNumberFormat="1" applyFont="1" applyBorder="1" applyAlignment="1">
      <alignment horizontal="center" vertical="center"/>
    </xf>
    <xf numFmtId="16" fontId="27" fillId="0" borderId="8" xfId="0" applyNumberFormat="1" applyFont="1" applyBorder="1" applyAlignment="1">
      <alignment horizontal="right" vertical="center"/>
    </xf>
    <xf numFmtId="0" fontId="27" fillId="0" borderId="3" xfId="0" applyFont="1" applyBorder="1" applyAlignment="1">
      <alignment horizontal="center" vertical="center"/>
    </xf>
    <xf numFmtId="3" fontId="27" fillId="0" borderId="3" xfId="0" applyNumberFormat="1" applyFont="1" applyBorder="1" applyAlignment="1">
      <alignment horizontal="center" vertical="center"/>
    </xf>
    <xf numFmtId="20" fontId="27" fillId="0" borderId="3" xfId="0" applyNumberFormat="1" applyFont="1" applyBorder="1" applyAlignment="1">
      <alignment horizontal="center" vertical="center" wrapText="1"/>
    </xf>
    <xf numFmtId="165" fontId="27" fillId="0" borderId="3" xfId="0" applyNumberFormat="1" applyFont="1" applyBorder="1" applyAlignment="1">
      <alignment horizontal="center" vertical="center" wrapText="1"/>
    </xf>
    <xf numFmtId="3" fontId="27" fillId="0" borderId="3" xfId="0" applyNumberFormat="1" applyFont="1" applyBorder="1" applyAlignment="1">
      <alignment horizontal="center" vertical="center" wrapText="1"/>
    </xf>
    <xf numFmtId="1" fontId="27" fillId="0" borderId="3" xfId="0" applyNumberFormat="1" applyFont="1" applyBorder="1" applyAlignment="1">
      <alignment horizontal="center" vertical="center" wrapText="1"/>
    </xf>
    <xf numFmtId="1" fontId="27" fillId="0" borderId="3" xfId="0" applyNumberFormat="1" applyFont="1" applyBorder="1" applyAlignment="1">
      <alignment horizontal="center" vertical="center"/>
    </xf>
    <xf numFmtId="2" fontId="27" fillId="0" borderId="3" xfId="0" applyNumberFormat="1" applyFont="1" applyBorder="1" applyAlignment="1">
      <alignment horizontal="center" vertical="center"/>
    </xf>
    <xf numFmtId="10" fontId="27" fillId="0" borderId="3" xfId="0" applyNumberFormat="1" applyFont="1" applyBorder="1" applyAlignment="1">
      <alignment horizontal="center" vertical="center"/>
    </xf>
    <xf numFmtId="3" fontId="8" fillId="0" borderId="4" xfId="0" applyNumberFormat="1" applyFont="1" applyBorder="1" applyAlignment="1">
      <alignment horizontal="center" vertical="center"/>
    </xf>
    <xf numFmtId="20" fontId="8" fillId="0" borderId="4" xfId="0" applyNumberFormat="1" applyFont="1" applyBorder="1" applyAlignment="1">
      <alignment horizontal="center" vertical="center"/>
    </xf>
    <xf numFmtId="165" fontId="8" fillId="0" borderId="4" xfId="0" applyNumberFormat="1" applyFont="1" applyBorder="1" applyAlignment="1">
      <alignment horizontal="center" vertical="center"/>
    </xf>
    <xf numFmtId="1" fontId="8" fillId="0" borderId="4" xfId="0" applyNumberFormat="1" applyFont="1" applyBorder="1" applyAlignment="1">
      <alignment horizontal="center" vertical="center"/>
    </xf>
    <xf numFmtId="1" fontId="21" fillId="0" borderId="4" xfId="0" applyNumberFormat="1" applyFont="1" applyBorder="1" applyAlignment="1">
      <alignment horizontal="center" vertical="center"/>
    </xf>
    <xf numFmtId="3" fontId="8" fillId="0" borderId="13" xfId="0" applyNumberFormat="1" applyFont="1" applyBorder="1" applyAlignment="1">
      <alignment horizontal="center" vertical="center"/>
    </xf>
    <xf numFmtId="10" fontId="21" fillId="0" borderId="4" xfId="0" applyNumberFormat="1" applyFont="1" applyBorder="1" applyAlignment="1">
      <alignment horizontal="center" vertical="center"/>
    </xf>
    <xf numFmtId="166" fontId="8" fillId="0" borderId="14" xfId="0" applyNumberFormat="1" applyFont="1" applyBorder="1" applyAlignment="1">
      <alignment horizontal="center" vertical="center"/>
    </xf>
    <xf numFmtId="2" fontId="4" fillId="0" borderId="0" xfId="0" applyNumberFormat="1" applyFont="1" applyAlignment="1">
      <alignment horizontal="center"/>
    </xf>
    <xf numFmtId="10" fontId="28" fillId="0" borderId="15" xfId="0" applyNumberFormat="1" applyFont="1" applyBorder="1" applyAlignment="1">
      <alignment horizontal="center" vertical="center"/>
    </xf>
    <xf numFmtId="1" fontId="27" fillId="0" borderId="16" xfId="0" applyNumberFormat="1" applyFont="1" applyBorder="1" applyAlignment="1">
      <alignment horizontal="center" vertical="center"/>
    </xf>
    <xf numFmtId="1" fontId="31" fillId="0" borderId="17" xfId="0" applyNumberFormat="1" applyFont="1" applyBorder="1" applyAlignment="1">
      <alignment horizontal="center" vertical="center"/>
    </xf>
    <xf numFmtId="1" fontId="31" fillId="0" borderId="3" xfId="0" applyNumberFormat="1" applyFont="1" applyBorder="1" applyAlignment="1">
      <alignment horizontal="center" vertical="center"/>
    </xf>
    <xf numFmtId="10" fontId="8" fillId="0" borderId="18" xfId="0" applyNumberFormat="1" applyFont="1" applyBorder="1" applyAlignment="1">
      <alignment horizontal="center" vertical="center"/>
    </xf>
    <xf numFmtId="3" fontId="21" fillId="0" borderId="18" xfId="0" applyNumberFormat="1" applyFont="1" applyBorder="1" applyAlignment="1">
      <alignment horizontal="center" vertical="center"/>
    </xf>
    <xf numFmtId="1" fontId="21" fillId="0" borderId="18" xfId="0" applyNumberFormat="1" applyFont="1" applyBorder="1" applyAlignment="1">
      <alignment horizontal="center" vertical="center"/>
    </xf>
    <xf numFmtId="20" fontId="21" fillId="0" borderId="18" xfId="0" applyNumberFormat="1" applyFont="1" applyBorder="1" applyAlignment="1">
      <alignment horizontal="center" vertical="center" wrapText="1"/>
    </xf>
    <xf numFmtId="16" fontId="21" fillId="0" borderId="19" xfId="0" applyNumberFormat="1" applyFont="1" applyBorder="1" applyAlignment="1">
      <alignment horizontal="right" vertical="center"/>
    </xf>
    <xf numFmtId="0" fontId="21" fillId="0" borderId="18" xfId="0" applyFont="1" applyBorder="1" applyAlignment="1">
      <alignment horizontal="center" vertical="center"/>
    </xf>
    <xf numFmtId="165" fontId="21" fillId="0" borderId="18" xfId="0" applyNumberFormat="1" applyFont="1" applyBorder="1" applyAlignment="1">
      <alignment horizontal="center" vertical="center" wrapText="1"/>
    </xf>
    <xf numFmtId="3" fontId="21" fillId="0" borderId="18" xfId="0" applyNumberFormat="1" applyFont="1" applyBorder="1" applyAlignment="1">
      <alignment horizontal="center" vertical="center" wrapText="1"/>
    </xf>
    <xf numFmtId="1" fontId="21" fillId="0" borderId="18" xfId="0" applyNumberFormat="1" applyFont="1" applyBorder="1" applyAlignment="1">
      <alignment horizontal="center" vertical="center" wrapText="1"/>
    </xf>
    <xf numFmtId="2" fontId="21" fillId="0" borderId="18" xfId="0" applyNumberFormat="1" applyFont="1" applyBorder="1" applyAlignment="1">
      <alignment horizontal="center" vertical="center"/>
    </xf>
    <xf numFmtId="1" fontId="21" fillId="0" borderId="0" xfId="0" applyNumberFormat="1" applyFont="1" applyAlignment="1">
      <alignment horizontal="center" vertical="center"/>
    </xf>
    <xf numFmtId="10" fontId="21" fillId="0" borderId="20" xfId="0" applyNumberFormat="1" applyFont="1" applyBorder="1" applyAlignment="1">
      <alignment horizontal="center" vertical="center"/>
    </xf>
    <xf numFmtId="10" fontId="14" fillId="0" borderId="18" xfId="0" applyNumberFormat="1" applyFont="1" applyBorder="1" applyAlignment="1">
      <alignment horizontal="center" vertical="center"/>
    </xf>
    <xf numFmtId="0" fontId="79" fillId="0" borderId="21" xfId="0" applyFont="1" applyBorder="1" applyAlignment="1">
      <alignment vertical="top" wrapText="1"/>
    </xf>
    <xf numFmtId="165" fontId="27" fillId="0" borderId="15" xfId="0" applyNumberFormat="1" applyFont="1" applyBorder="1" applyAlignment="1">
      <alignment horizontal="center" vertical="center" wrapText="1"/>
    </xf>
    <xf numFmtId="1" fontId="27" fillId="0" borderId="15" xfId="0" applyNumberFormat="1" applyFont="1" applyBorder="1" applyAlignment="1">
      <alignment horizontal="center" vertical="center" wrapText="1"/>
    </xf>
    <xf numFmtId="2" fontId="27" fillId="0" borderId="15" xfId="0" applyNumberFormat="1" applyFont="1" applyBorder="1" applyAlignment="1">
      <alignment horizontal="center" vertical="center"/>
    </xf>
    <xf numFmtId="10" fontId="29" fillId="0" borderId="4" xfId="0" applyNumberFormat="1" applyFont="1" applyBorder="1" applyAlignment="1">
      <alignment horizontal="right"/>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3" fontId="17" fillId="0" borderId="23" xfId="0" applyNumberFormat="1" applyFont="1" applyBorder="1" applyAlignment="1">
      <alignment horizontal="center" vertical="center" wrapText="1"/>
    </xf>
    <xf numFmtId="0" fontId="17" fillId="0" borderId="24" xfId="0" applyFont="1" applyBorder="1" applyAlignment="1">
      <alignment horizontal="center" vertical="center" wrapText="1"/>
    </xf>
    <xf numFmtId="0" fontId="18" fillId="0" borderId="25" xfId="0" applyFont="1" applyBorder="1" applyAlignment="1">
      <alignment horizontal="center" vertical="center"/>
    </xf>
    <xf numFmtId="0" fontId="19" fillId="0" borderId="26" xfId="0" applyFont="1" applyBorder="1" applyAlignment="1">
      <alignment horizontal="left"/>
    </xf>
    <xf numFmtId="3" fontId="19" fillId="0" borderId="26" xfId="0" applyNumberFormat="1" applyFont="1" applyBorder="1" applyAlignment="1">
      <alignment horizontal="right"/>
    </xf>
    <xf numFmtId="3" fontId="19" fillId="0" borderId="26" xfId="0" applyNumberFormat="1" applyFont="1" applyBorder="1" applyAlignment="1">
      <alignment horizontal="center"/>
    </xf>
    <xf numFmtId="165" fontId="19" fillId="0" borderId="26" xfId="0" applyNumberFormat="1" applyFont="1" applyBorder="1" applyAlignment="1">
      <alignment horizontal="right"/>
    </xf>
    <xf numFmtId="10" fontId="19" fillId="0" borderId="26" xfId="0" applyNumberFormat="1" applyFont="1" applyBorder="1" applyAlignment="1">
      <alignment horizontal="right"/>
    </xf>
    <xf numFmtId="10" fontId="19" fillId="0" borderId="27" xfId="0" applyNumberFormat="1" applyFont="1" applyBorder="1" applyAlignment="1">
      <alignment horizontal="right"/>
    </xf>
    <xf numFmtId="0" fontId="18" fillId="0" borderId="28" xfId="0" applyFont="1" applyBorder="1" applyAlignment="1">
      <alignment horizontal="center" vertical="center"/>
    </xf>
    <xf numFmtId="0" fontId="19" fillId="0" borderId="29" xfId="0" applyFont="1" applyBorder="1" applyAlignment="1">
      <alignment horizontal="left"/>
    </xf>
    <xf numFmtId="3" fontId="19" fillId="0" borderId="29" xfId="0" applyNumberFormat="1" applyFont="1" applyBorder="1" applyAlignment="1">
      <alignment horizontal="right"/>
    </xf>
    <xf numFmtId="3" fontId="19" fillId="0" borderId="29" xfId="0" applyNumberFormat="1" applyFont="1" applyBorder="1" applyAlignment="1">
      <alignment horizontal="center"/>
    </xf>
    <xf numFmtId="165" fontId="19" fillId="0" borderId="29" xfId="0" applyNumberFormat="1" applyFont="1" applyBorder="1" applyAlignment="1">
      <alignment horizontal="right"/>
    </xf>
    <xf numFmtId="0" fontId="18" fillId="0" borderId="30" xfId="0" applyFont="1" applyBorder="1" applyAlignment="1">
      <alignment horizontal="center" vertical="center"/>
    </xf>
    <xf numFmtId="0" fontId="19" fillId="0" borderId="31" xfId="0" applyFont="1" applyBorder="1" applyAlignment="1">
      <alignment horizontal="left"/>
    </xf>
    <xf numFmtId="3" fontId="19" fillId="0" borderId="31" xfId="0" applyNumberFormat="1" applyFont="1" applyBorder="1" applyAlignment="1">
      <alignment horizontal="right"/>
    </xf>
    <xf numFmtId="3" fontId="19" fillId="0" borderId="31" xfId="0" applyNumberFormat="1" applyFont="1" applyBorder="1" applyAlignment="1">
      <alignment horizontal="center"/>
    </xf>
    <xf numFmtId="165" fontId="19" fillId="0" borderId="31" xfId="0" applyNumberFormat="1" applyFont="1" applyBorder="1" applyAlignment="1">
      <alignment horizontal="right"/>
    </xf>
    <xf numFmtId="10" fontId="80" fillId="0" borderId="26" xfId="0" applyNumberFormat="1" applyFont="1" applyBorder="1" applyAlignment="1">
      <alignment horizontal="right"/>
    </xf>
    <xf numFmtId="165" fontId="80" fillId="0" borderId="31" xfId="0" applyNumberFormat="1" applyFont="1" applyBorder="1" applyAlignment="1">
      <alignment horizontal="right"/>
    </xf>
    <xf numFmtId="10" fontId="80" fillId="0" borderId="27" xfId="0" applyNumberFormat="1" applyFont="1" applyBorder="1" applyAlignment="1">
      <alignment horizontal="right"/>
    </xf>
    <xf numFmtId="0" fontId="18" fillId="0" borderId="32" xfId="0" applyFont="1" applyBorder="1"/>
    <xf numFmtId="0" fontId="18" fillId="0" borderId="33" xfId="0" applyFont="1" applyBorder="1" applyAlignment="1">
      <alignment horizontal="left"/>
    </xf>
    <xf numFmtId="3" fontId="18" fillId="0" borderId="33" xfId="0" applyNumberFormat="1" applyFont="1" applyBorder="1" applyAlignment="1">
      <alignment horizontal="right"/>
    </xf>
    <xf numFmtId="3" fontId="18" fillId="0" borderId="33" xfId="0" applyNumberFormat="1" applyFont="1" applyBorder="1" applyAlignment="1">
      <alignment horizontal="center"/>
    </xf>
    <xf numFmtId="168" fontId="18" fillId="0" borderId="33" xfId="0" applyNumberFormat="1" applyFont="1" applyBorder="1" applyAlignment="1">
      <alignment horizontal="right"/>
    </xf>
    <xf numFmtId="10" fontId="18" fillId="0" borderId="33" xfId="0" applyNumberFormat="1" applyFont="1" applyBorder="1" applyAlignment="1">
      <alignment horizontal="right"/>
    </xf>
    <xf numFmtId="10" fontId="18" fillId="0" borderId="34" xfId="0" applyNumberFormat="1" applyFont="1" applyBorder="1" applyAlignment="1">
      <alignment horizontal="right"/>
    </xf>
    <xf numFmtId="1" fontId="0" fillId="0" borderId="0" xfId="0" applyNumberFormat="1" applyAlignment="1">
      <alignment horizontal="center"/>
    </xf>
    <xf numFmtId="165" fontId="0" fillId="0" borderId="0" xfId="0" applyNumberFormat="1" applyAlignment="1">
      <alignment horizontal="center"/>
    </xf>
    <xf numFmtId="10" fontId="81" fillId="0" borderId="3" xfId="0" applyNumberFormat="1" applyFont="1" applyBorder="1" applyAlignment="1">
      <alignment horizontal="center" vertical="center"/>
    </xf>
    <xf numFmtId="1" fontId="27" fillId="0" borderId="17" xfId="0" applyNumberFormat="1" applyFont="1" applyBorder="1" applyAlignment="1">
      <alignment horizontal="center" vertical="center"/>
    </xf>
    <xf numFmtId="16" fontId="27" fillId="0" borderId="8" xfId="0" applyNumberFormat="1" applyFont="1" applyBorder="1" applyAlignment="1">
      <alignment vertical="center"/>
    </xf>
    <xf numFmtId="0" fontId="20" fillId="2" borderId="1" xfId="0" applyFont="1" applyFill="1" applyBorder="1" applyAlignment="1">
      <alignment horizontal="center" vertical="center" wrapText="1"/>
    </xf>
    <xf numFmtId="10" fontId="8" fillId="2" borderId="3" xfId="0" applyNumberFormat="1" applyFont="1" applyFill="1" applyBorder="1" applyAlignment="1">
      <alignment horizontal="center" vertical="center"/>
    </xf>
    <xf numFmtId="10" fontId="14" fillId="2" borderId="35" xfId="0" applyNumberFormat="1" applyFont="1" applyFill="1" applyBorder="1" applyAlignment="1">
      <alignment horizontal="center" vertical="center"/>
    </xf>
    <xf numFmtId="10" fontId="14" fillId="2" borderId="20" xfId="0" applyNumberFormat="1" applyFont="1" applyFill="1" applyBorder="1" applyAlignment="1">
      <alignment horizontal="center" vertical="center"/>
    </xf>
    <xf numFmtId="10" fontId="21" fillId="2" borderId="4" xfId="0" applyNumberFormat="1" applyFont="1" applyFill="1" applyBorder="1" applyAlignment="1">
      <alignment horizontal="center" vertical="center"/>
    </xf>
    <xf numFmtId="10" fontId="8" fillId="0" borderId="15" xfId="0" applyNumberFormat="1" applyFont="1" applyBorder="1" applyAlignment="1">
      <alignment horizontal="center" vertical="center"/>
    </xf>
    <xf numFmtId="1" fontId="27" fillId="0" borderId="15" xfId="0" applyNumberFormat="1" applyFont="1" applyBorder="1" applyAlignment="1">
      <alignment horizontal="center" vertical="center"/>
    </xf>
    <xf numFmtId="10" fontId="8" fillId="2" borderId="15" xfId="0" applyNumberFormat="1" applyFont="1" applyFill="1" applyBorder="1" applyAlignment="1">
      <alignment horizontal="center" vertical="center"/>
    </xf>
    <xf numFmtId="1" fontId="27" fillId="0" borderId="15" xfId="0" applyNumberFormat="1" applyFont="1" applyBorder="1" applyAlignment="1">
      <alignment vertical="center"/>
    </xf>
    <xf numFmtId="169" fontId="27" fillId="0" borderId="18" xfId="0" applyNumberFormat="1" applyFont="1" applyBorder="1" applyAlignment="1">
      <alignment horizontal="center" vertical="center"/>
    </xf>
    <xf numFmtId="169" fontId="27" fillId="0" borderId="3" xfId="0" applyNumberFormat="1" applyFont="1" applyBorder="1" applyAlignment="1">
      <alignment horizontal="center" vertical="center"/>
    </xf>
    <xf numFmtId="169" fontId="8" fillId="0" borderId="4" xfId="0" applyNumberFormat="1" applyFont="1" applyBorder="1" applyAlignment="1">
      <alignment horizontal="center" vertical="center"/>
    </xf>
    <xf numFmtId="10" fontId="27" fillId="0" borderId="15" xfId="0" applyNumberFormat="1" applyFont="1" applyBorder="1" applyAlignment="1">
      <alignment horizontal="center" vertical="center"/>
    </xf>
    <xf numFmtId="16" fontId="27" fillId="0" borderId="8" xfId="0" applyNumberFormat="1" applyFont="1" applyBorder="1" applyAlignment="1">
      <alignment horizontal="center" vertical="center"/>
    </xf>
    <xf numFmtId="20" fontId="27" fillId="0" borderId="16" xfId="0" applyNumberFormat="1" applyFont="1" applyBorder="1" applyAlignment="1">
      <alignment horizontal="center" vertical="center" wrapText="1"/>
    </xf>
    <xf numFmtId="9" fontId="0" fillId="0" borderId="0" xfId="7" applyFont="1" applyFill="1"/>
    <xf numFmtId="2" fontId="0" fillId="0" borderId="0" xfId="0" applyNumberFormat="1" applyAlignment="1">
      <alignment horizontal="center"/>
    </xf>
    <xf numFmtId="0" fontId="17" fillId="0" borderId="36" xfId="0" applyFont="1" applyBorder="1" applyAlignment="1">
      <alignment horizontal="center" vertical="center" wrapText="1"/>
    </xf>
    <xf numFmtId="0" fontId="0" fillId="0" borderId="37" xfId="0" applyBorder="1"/>
    <xf numFmtId="3" fontId="17" fillId="0" borderId="38" xfId="0" applyNumberFormat="1" applyFont="1" applyBorder="1" applyAlignment="1">
      <alignment horizontal="center" vertical="center" wrapText="1"/>
    </xf>
    <xf numFmtId="10" fontId="35" fillId="0" borderId="39" xfId="7" applyNumberFormat="1" applyFont="1" applyFill="1" applyBorder="1" applyAlignment="1">
      <alignment horizontal="right"/>
    </xf>
    <xf numFmtId="10" fontId="35" fillId="0" borderId="40" xfId="7" applyNumberFormat="1" applyFont="1" applyFill="1" applyBorder="1" applyAlignment="1">
      <alignment horizontal="right"/>
    </xf>
    <xf numFmtId="10" fontId="35" fillId="0" borderId="40" xfId="7" applyNumberFormat="1" applyFont="1" applyFill="1" applyBorder="1" applyAlignment="1">
      <alignment horizontal="center"/>
    </xf>
    <xf numFmtId="0" fontId="35" fillId="0" borderId="6" xfId="0" applyFont="1" applyBorder="1"/>
    <xf numFmtId="10" fontId="35" fillId="0" borderId="41" xfId="7" applyNumberFormat="1" applyFont="1" applyFill="1" applyBorder="1" applyAlignment="1">
      <alignment horizontal="center"/>
    </xf>
    <xf numFmtId="3" fontId="13" fillId="0" borderId="6" xfId="0" applyNumberFormat="1" applyFont="1" applyBorder="1" applyAlignment="1">
      <alignment vertical="center"/>
    </xf>
    <xf numFmtId="0" fontId="18" fillId="0" borderId="0" xfId="0" applyFont="1" applyAlignment="1">
      <alignment horizontal="left"/>
    </xf>
    <xf numFmtId="3" fontId="13" fillId="0" borderId="37" xfId="0" applyNumberFormat="1" applyFont="1" applyBorder="1" applyAlignment="1">
      <alignment vertical="center"/>
    </xf>
    <xf numFmtId="3" fontId="13" fillId="0" borderId="0" xfId="0" applyNumberFormat="1" applyFont="1" applyAlignment="1">
      <alignment vertical="center"/>
    </xf>
    <xf numFmtId="0" fontId="36" fillId="0" borderId="0" xfId="0" applyFont="1" applyAlignment="1">
      <alignment horizontal="left"/>
    </xf>
    <xf numFmtId="0" fontId="29" fillId="0" borderId="0" xfId="0" applyFont="1" applyAlignment="1">
      <alignment vertical="center"/>
    </xf>
    <xf numFmtId="9" fontId="25" fillId="0" borderId="37" xfId="7" applyFont="1" applyFill="1" applyBorder="1" applyAlignment="1">
      <alignment vertical="center"/>
    </xf>
    <xf numFmtId="3" fontId="80" fillId="0" borderId="29" xfId="0" applyNumberFormat="1" applyFont="1" applyBorder="1" applyAlignment="1">
      <alignment horizontal="right"/>
    </xf>
    <xf numFmtId="3" fontId="80" fillId="0" borderId="29" xfId="0" applyNumberFormat="1" applyFont="1" applyBorder="1" applyAlignment="1">
      <alignment horizontal="center"/>
    </xf>
    <xf numFmtId="165" fontId="80" fillId="0" borderId="29" xfId="0" applyNumberFormat="1" applyFont="1" applyBorder="1" applyAlignment="1">
      <alignment horizontal="right"/>
    </xf>
    <xf numFmtId="0" fontId="16" fillId="0" borderId="0" xfId="0" applyFont="1" applyAlignment="1">
      <alignment horizontal="center"/>
    </xf>
    <xf numFmtId="0" fontId="16" fillId="0" borderId="0" xfId="0" applyFont="1"/>
    <xf numFmtId="166" fontId="16" fillId="0" borderId="0" xfId="0" applyNumberFormat="1" applyFont="1"/>
    <xf numFmtId="10" fontId="8" fillId="2" borderId="42" xfId="0" applyNumberFormat="1" applyFont="1" applyFill="1" applyBorder="1" applyAlignment="1">
      <alignment horizontal="center" vertical="center"/>
    </xf>
    <xf numFmtId="10" fontId="8" fillId="2" borderId="35" xfId="0" applyNumberFormat="1" applyFont="1" applyFill="1" applyBorder="1" applyAlignment="1">
      <alignment horizontal="center" vertical="center"/>
    </xf>
    <xf numFmtId="10" fontId="21" fillId="2" borderId="14" xfId="0" applyNumberFormat="1" applyFont="1" applyFill="1" applyBorder="1" applyAlignment="1">
      <alignment horizontal="center" vertical="center"/>
    </xf>
    <xf numFmtId="3" fontId="17" fillId="0" borderId="43" xfId="0" applyNumberFormat="1" applyFont="1" applyBorder="1" applyAlignment="1">
      <alignment horizontal="center" vertical="center" wrapText="1"/>
    </xf>
    <xf numFmtId="3" fontId="17" fillId="0" borderId="44" xfId="0" applyNumberFormat="1" applyFont="1" applyBorder="1" applyAlignment="1">
      <alignment horizontal="center" vertical="center" wrapText="1"/>
    </xf>
    <xf numFmtId="3" fontId="17" fillId="0" borderId="45" xfId="0" applyNumberFormat="1" applyFont="1" applyBorder="1" applyAlignment="1">
      <alignment horizontal="center" vertical="center" wrapText="1"/>
    </xf>
    <xf numFmtId="16" fontId="21" fillId="0" borderId="8" xfId="0" applyNumberFormat="1" applyFont="1" applyBorder="1" applyAlignment="1">
      <alignment horizontal="center" vertical="center"/>
    </xf>
    <xf numFmtId="169" fontId="21" fillId="0" borderId="3" xfId="0" applyNumberFormat="1" applyFont="1" applyBorder="1" applyAlignment="1">
      <alignment horizontal="center" vertical="center"/>
    </xf>
    <xf numFmtId="1" fontId="21" fillId="0" borderId="23" xfId="0" applyNumberFormat="1" applyFont="1" applyBorder="1" applyAlignment="1">
      <alignment horizontal="center" vertical="center"/>
    </xf>
    <xf numFmtId="10" fontId="21" fillId="0" borderId="15" xfId="0" applyNumberFormat="1" applyFont="1" applyBorder="1" applyAlignment="1">
      <alignment horizontal="center" vertical="center"/>
    </xf>
    <xf numFmtId="1" fontId="21" fillId="0" borderId="16" xfId="0" applyNumberFormat="1" applyFont="1" applyBorder="1" applyAlignment="1">
      <alignment horizontal="center" vertical="center"/>
    </xf>
    <xf numFmtId="10" fontId="21" fillId="2" borderId="35" xfId="0" applyNumberFormat="1" applyFont="1" applyFill="1" applyBorder="1" applyAlignment="1">
      <alignment horizontal="center" vertical="center"/>
    </xf>
    <xf numFmtId="10" fontId="21" fillId="0" borderId="18" xfId="0" applyNumberFormat="1" applyFont="1" applyBorder="1" applyAlignment="1">
      <alignment horizontal="center" vertical="center"/>
    </xf>
    <xf numFmtId="10" fontId="21" fillId="2" borderId="20" xfId="0" applyNumberFormat="1" applyFont="1" applyFill="1" applyBorder="1" applyAlignment="1">
      <alignment horizontal="center" vertical="center"/>
    </xf>
    <xf numFmtId="0" fontId="36" fillId="0" borderId="46" xfId="0" applyFont="1" applyBorder="1" applyAlignment="1">
      <alignment horizontal="center"/>
    </xf>
    <xf numFmtId="0" fontId="36" fillId="0" borderId="47" xfId="0" applyFont="1" applyBorder="1" applyAlignment="1">
      <alignment horizontal="center"/>
    </xf>
    <xf numFmtId="164" fontId="35" fillId="0" borderId="48" xfId="7" applyNumberFormat="1" applyFont="1" applyFill="1" applyBorder="1" applyAlignment="1">
      <alignment horizontal="center"/>
    </xf>
    <xf numFmtId="164" fontId="35" fillId="0" borderId="49" xfId="7" applyNumberFormat="1" applyFont="1" applyFill="1" applyBorder="1" applyAlignment="1">
      <alignment horizontal="center"/>
    </xf>
    <xf numFmtId="164" fontId="35" fillId="0" borderId="50" xfId="7" applyNumberFormat="1" applyFont="1" applyFill="1" applyBorder="1" applyAlignment="1">
      <alignment horizontal="center"/>
    </xf>
    <xf numFmtId="164" fontId="35" fillId="0" borderId="51" xfId="7" applyNumberFormat="1" applyFont="1" applyFill="1" applyBorder="1" applyAlignment="1">
      <alignment horizontal="center"/>
    </xf>
    <xf numFmtId="3" fontId="35" fillId="0" borderId="29" xfId="0" applyNumberFormat="1" applyFont="1" applyBorder="1" applyAlignment="1">
      <alignment horizontal="right"/>
    </xf>
    <xf numFmtId="3" fontId="35" fillId="0" borderId="29" xfId="0" applyNumberFormat="1" applyFont="1" applyBorder="1" applyAlignment="1">
      <alignment horizontal="center"/>
    </xf>
    <xf numFmtId="165" fontId="35" fillId="0" borderId="29" xfId="0" applyNumberFormat="1" applyFont="1" applyBorder="1" applyAlignment="1">
      <alignment horizontal="right"/>
    </xf>
    <xf numFmtId="10" fontId="35" fillId="0" borderId="26" xfId="0" applyNumberFormat="1" applyFont="1" applyBorder="1" applyAlignment="1">
      <alignment horizontal="right"/>
    </xf>
    <xf numFmtId="10" fontId="35" fillId="0" borderId="27" xfId="0" applyNumberFormat="1" applyFont="1" applyBorder="1" applyAlignment="1">
      <alignment horizontal="right"/>
    </xf>
    <xf numFmtId="3" fontId="82" fillId="0" borderId="29" xfId="0" applyNumberFormat="1" applyFont="1" applyBorder="1" applyAlignment="1">
      <alignment horizontal="right"/>
    </xf>
    <xf numFmtId="3" fontId="82" fillId="0" borderId="29" xfId="0" applyNumberFormat="1" applyFont="1" applyBorder="1" applyAlignment="1">
      <alignment horizontal="center"/>
    </xf>
    <xf numFmtId="165" fontId="82" fillId="0" borderId="29" xfId="0" applyNumberFormat="1" applyFont="1" applyBorder="1" applyAlignment="1">
      <alignment horizontal="right"/>
    </xf>
    <xf numFmtId="10" fontId="82" fillId="0" borderId="26" xfId="0" applyNumberFormat="1" applyFont="1" applyBorder="1" applyAlignment="1">
      <alignment horizontal="right"/>
    </xf>
    <xf numFmtId="10" fontId="82" fillId="0" borderId="27" xfId="0" applyNumberFormat="1" applyFont="1" applyBorder="1" applyAlignment="1">
      <alignment horizontal="right"/>
    </xf>
    <xf numFmtId="3" fontId="35" fillId="0" borderId="31" xfId="0" applyNumberFormat="1" applyFont="1" applyBorder="1" applyAlignment="1">
      <alignment horizontal="right"/>
    </xf>
    <xf numFmtId="3" fontId="35" fillId="0" borderId="31" xfId="0" applyNumberFormat="1" applyFont="1" applyBorder="1" applyAlignment="1">
      <alignment horizontal="center"/>
    </xf>
    <xf numFmtId="165" fontId="35" fillId="0" borderId="31" xfId="0" applyNumberFormat="1" applyFont="1" applyBorder="1" applyAlignment="1">
      <alignment horizontal="right"/>
    </xf>
    <xf numFmtId="0" fontId="36" fillId="0" borderId="33" xfId="0" applyFont="1" applyBorder="1" applyAlignment="1">
      <alignment horizontal="left"/>
    </xf>
    <xf numFmtId="3" fontId="36" fillId="0" borderId="33" xfId="0" applyNumberFormat="1" applyFont="1" applyBorder="1" applyAlignment="1">
      <alignment horizontal="right"/>
    </xf>
    <xf numFmtId="3" fontId="36" fillId="0" borderId="33" xfId="0" applyNumberFormat="1" applyFont="1" applyBorder="1" applyAlignment="1">
      <alignment horizontal="center"/>
    </xf>
    <xf numFmtId="168" fontId="36" fillId="0" borderId="33" xfId="0" applyNumberFormat="1" applyFont="1" applyBorder="1" applyAlignment="1">
      <alignment horizontal="right"/>
    </xf>
    <xf numFmtId="10" fontId="36" fillId="0" borderId="33" xfId="0" applyNumberFormat="1" applyFont="1" applyBorder="1" applyAlignment="1">
      <alignment horizontal="right"/>
    </xf>
    <xf numFmtId="10" fontId="36" fillId="0" borderId="34" xfId="0" applyNumberFormat="1" applyFont="1" applyBorder="1" applyAlignment="1">
      <alignment horizontal="right"/>
    </xf>
    <xf numFmtId="0" fontId="36" fillId="0" borderId="25" xfId="0" applyFont="1" applyBorder="1" applyAlignment="1">
      <alignment horizontal="center" vertical="center"/>
    </xf>
    <xf numFmtId="0" fontId="36" fillId="0" borderId="26" xfId="0" applyFont="1" applyBorder="1" applyAlignment="1">
      <alignment horizontal="left"/>
    </xf>
    <xf numFmtId="0" fontId="36" fillId="0" borderId="28" xfId="0" applyFont="1" applyBorder="1" applyAlignment="1">
      <alignment horizontal="center" vertical="center"/>
    </xf>
    <xf numFmtId="0" fontId="36" fillId="0" borderId="29" xfId="0" applyFont="1" applyBorder="1" applyAlignment="1">
      <alignment horizontal="left"/>
    </xf>
    <xf numFmtId="0" fontId="36" fillId="0" borderId="31" xfId="0" applyFont="1" applyBorder="1" applyAlignment="1">
      <alignment horizontal="left"/>
    </xf>
    <xf numFmtId="0" fontId="37" fillId="0" borderId="22" xfId="0" applyFont="1" applyBorder="1" applyAlignment="1">
      <alignment horizontal="center" vertical="center" wrapText="1"/>
    </xf>
    <xf numFmtId="0" fontId="37" fillId="0" borderId="23" xfId="0" applyFont="1" applyBorder="1" applyAlignment="1">
      <alignment horizontal="center" vertical="center" wrapText="1"/>
    </xf>
    <xf numFmtId="3" fontId="37" fillId="0" borderId="23" xfId="0" applyNumberFormat="1" applyFont="1" applyBorder="1" applyAlignment="1">
      <alignment horizontal="center" vertical="center" wrapText="1"/>
    </xf>
    <xf numFmtId="0" fontId="37" fillId="0" borderId="24" xfId="0" applyFont="1" applyBorder="1" applyAlignment="1">
      <alignment horizontal="center" vertical="center" wrapText="1"/>
    </xf>
    <xf numFmtId="3" fontId="35" fillId="0" borderId="0" xfId="0" applyNumberFormat="1" applyFont="1" applyAlignment="1">
      <alignment horizontal="left" vertical="center"/>
    </xf>
    <xf numFmtId="9" fontId="35" fillId="0" borderId="37" xfId="7" applyFont="1" applyFill="1" applyBorder="1" applyAlignment="1">
      <alignment vertical="center"/>
    </xf>
    <xf numFmtId="0" fontId="29" fillId="3" borderId="0" xfId="0" applyFont="1" applyFill="1" applyAlignment="1">
      <alignment vertical="center"/>
    </xf>
    <xf numFmtId="0" fontId="36" fillId="3" borderId="47" xfId="0" applyFont="1" applyFill="1" applyBorder="1" applyAlignment="1">
      <alignment horizontal="center"/>
    </xf>
    <xf numFmtId="164" fontId="35" fillId="3" borderId="51" xfId="7" applyNumberFormat="1" applyFont="1" applyFill="1" applyBorder="1" applyAlignment="1">
      <alignment horizontal="center"/>
    </xf>
    <xf numFmtId="164" fontId="35" fillId="3" borderId="50" xfId="7" applyNumberFormat="1" applyFont="1" applyFill="1" applyBorder="1" applyAlignment="1">
      <alignment horizontal="center"/>
    </xf>
    <xf numFmtId="164" fontId="35" fillId="3" borderId="52" xfId="7" applyNumberFormat="1" applyFont="1" applyFill="1" applyBorder="1" applyAlignment="1">
      <alignment horizontal="center"/>
    </xf>
    <xf numFmtId="164" fontId="35" fillId="0" borderId="52" xfId="7" applyNumberFormat="1" applyFont="1" applyFill="1" applyBorder="1" applyAlignment="1">
      <alignment horizontal="center"/>
    </xf>
    <xf numFmtId="0" fontId="36" fillId="3" borderId="53" xfId="0" applyFont="1" applyFill="1" applyBorder="1" applyAlignment="1">
      <alignment horizontal="center"/>
    </xf>
    <xf numFmtId="164" fontId="35" fillId="3" borderId="54" xfId="7" applyNumberFormat="1" applyFont="1" applyFill="1" applyBorder="1" applyAlignment="1">
      <alignment horizontal="center"/>
    </xf>
    <xf numFmtId="164" fontId="35" fillId="3" borderId="55" xfId="7" applyNumberFormat="1" applyFont="1" applyFill="1" applyBorder="1" applyAlignment="1">
      <alignment horizontal="center"/>
    </xf>
    <xf numFmtId="0" fontId="36" fillId="0" borderId="56" xfId="0" applyFont="1" applyBorder="1" applyAlignment="1">
      <alignment horizontal="center"/>
    </xf>
    <xf numFmtId="164" fontId="36" fillId="0" borderId="57" xfId="7" applyNumberFormat="1" applyFont="1" applyFill="1" applyBorder="1" applyAlignment="1">
      <alignment horizontal="center"/>
    </xf>
    <xf numFmtId="164" fontId="36" fillId="0" borderId="58" xfId="7" applyNumberFormat="1" applyFont="1" applyFill="1" applyBorder="1" applyAlignment="1">
      <alignment horizontal="center"/>
    </xf>
    <xf numFmtId="10" fontId="8" fillId="0" borderId="15" xfId="0" applyNumberFormat="1" applyFont="1" applyBorder="1" applyAlignment="1">
      <alignment vertical="center"/>
    </xf>
    <xf numFmtId="10" fontId="8" fillId="2" borderId="59" xfId="0" applyNumberFormat="1" applyFont="1" applyFill="1" applyBorder="1" applyAlignment="1">
      <alignment vertical="center"/>
    </xf>
    <xf numFmtId="10" fontId="8" fillId="3" borderId="15" xfId="0" applyNumberFormat="1" applyFont="1" applyFill="1" applyBorder="1" applyAlignment="1">
      <alignment vertical="center"/>
    </xf>
    <xf numFmtId="10" fontId="8" fillId="2" borderId="59" xfId="0" applyNumberFormat="1" applyFont="1" applyFill="1" applyBorder="1" applyAlignment="1">
      <alignment horizontal="center" vertical="center"/>
    </xf>
    <xf numFmtId="3" fontId="17" fillId="0" borderId="0" xfId="0" applyNumberFormat="1" applyFont="1" applyAlignment="1">
      <alignment horizontal="center" vertical="center" wrapText="1"/>
    </xf>
    <xf numFmtId="10" fontId="35" fillId="0" borderId="0" xfId="7" applyNumberFormat="1" applyFont="1" applyFill="1" applyBorder="1" applyAlignment="1">
      <alignment horizontal="center"/>
    </xf>
    <xf numFmtId="10" fontId="21" fillId="2" borderId="0" xfId="0" applyNumberFormat="1" applyFont="1" applyFill="1" applyAlignment="1">
      <alignment horizontal="center" vertical="center"/>
    </xf>
    <xf numFmtId="0" fontId="20" fillId="2" borderId="2" xfId="0" applyFont="1" applyFill="1" applyBorder="1" applyAlignment="1">
      <alignment horizontal="center" vertical="center" wrapText="1"/>
    </xf>
    <xf numFmtId="0" fontId="20" fillId="4" borderId="60" xfId="0" applyFont="1" applyFill="1" applyBorder="1" applyAlignment="1">
      <alignment horizontal="center" vertical="center" wrapText="1"/>
    </xf>
    <xf numFmtId="10" fontId="8" fillId="4" borderId="61" xfId="7" applyNumberFormat="1" applyFont="1" applyFill="1" applyBorder="1" applyAlignment="1">
      <alignment horizontal="center" vertical="center"/>
    </xf>
    <xf numFmtId="166" fontId="16" fillId="0" borderId="0" xfId="0" applyNumberFormat="1" applyFont="1" applyAlignment="1">
      <alignment horizontal="center"/>
    </xf>
    <xf numFmtId="3" fontId="35" fillId="5" borderId="0" xfId="0" applyNumberFormat="1" applyFont="1" applyFill="1" applyAlignment="1">
      <alignment horizontal="left" vertical="center"/>
    </xf>
    <xf numFmtId="9" fontId="21" fillId="0" borderId="3" xfId="7" applyFont="1" applyFill="1" applyBorder="1" applyAlignment="1">
      <alignment horizontal="center" vertical="center"/>
    </xf>
    <xf numFmtId="9" fontId="21" fillId="0" borderId="16" xfId="7" applyFont="1" applyFill="1" applyBorder="1" applyAlignment="1">
      <alignment horizontal="center" vertical="center"/>
    </xf>
    <xf numFmtId="9" fontId="8" fillId="0" borderId="4" xfId="7" applyFont="1" applyFill="1" applyBorder="1" applyAlignment="1">
      <alignment horizontal="center" vertical="center"/>
    </xf>
    <xf numFmtId="164" fontId="82" fillId="0" borderId="50" xfId="7" applyNumberFormat="1" applyFont="1" applyFill="1" applyBorder="1" applyAlignment="1">
      <alignment horizontal="center"/>
    </xf>
    <xf numFmtId="0" fontId="40" fillId="0" borderId="9" xfId="0" applyFont="1" applyBorder="1" applyAlignment="1">
      <alignment horizontal="center" vertical="center"/>
    </xf>
    <xf numFmtId="0" fontId="40" fillId="0" borderId="4" xfId="0" applyFont="1" applyBorder="1" applyAlignment="1">
      <alignment horizontal="center" vertical="center"/>
    </xf>
    <xf numFmtId="3" fontId="40" fillId="0" borderId="4" xfId="0" applyNumberFormat="1" applyFont="1" applyBorder="1" applyAlignment="1">
      <alignment horizontal="center" vertical="center"/>
    </xf>
    <xf numFmtId="20" fontId="40" fillId="0" borderId="4" xfId="0" applyNumberFormat="1" applyFont="1" applyBorder="1" applyAlignment="1">
      <alignment horizontal="center" vertical="center"/>
    </xf>
    <xf numFmtId="165" fontId="40" fillId="0" borderId="4" xfId="0" applyNumberFormat="1" applyFont="1" applyBorder="1" applyAlignment="1">
      <alignment horizontal="center" vertical="center"/>
    </xf>
    <xf numFmtId="1" fontId="40" fillId="0" borderId="4" xfId="0" applyNumberFormat="1" applyFont="1" applyBorder="1" applyAlignment="1">
      <alignment horizontal="center" vertical="center"/>
    </xf>
    <xf numFmtId="169" fontId="40" fillId="0" borderId="4" xfId="0" applyNumberFormat="1" applyFont="1" applyBorder="1" applyAlignment="1">
      <alignment horizontal="center" vertical="center"/>
    </xf>
    <xf numFmtId="9" fontId="40" fillId="0" borderId="4" xfId="7" applyFont="1" applyFill="1" applyBorder="1" applyAlignment="1">
      <alignment horizontal="center" vertical="center"/>
    </xf>
    <xf numFmtId="10" fontId="41" fillId="0" borderId="4" xfId="0" applyNumberFormat="1" applyFont="1" applyBorder="1" applyAlignment="1">
      <alignment horizontal="right"/>
    </xf>
    <xf numFmtId="3" fontId="40" fillId="0" borderId="13" xfId="0" applyNumberFormat="1" applyFont="1" applyBorder="1" applyAlignment="1">
      <alignment horizontal="center" vertical="center"/>
    </xf>
    <xf numFmtId="10" fontId="40" fillId="0" borderId="4" xfId="0" applyNumberFormat="1" applyFont="1" applyBorder="1" applyAlignment="1">
      <alignment horizontal="center" vertical="center"/>
    </xf>
    <xf numFmtId="10" fontId="40" fillId="2" borderId="5" xfId="0" applyNumberFormat="1" applyFont="1" applyFill="1" applyBorder="1" applyAlignment="1">
      <alignment horizontal="center" vertical="center"/>
    </xf>
    <xf numFmtId="10" fontId="40" fillId="4" borderId="13" xfId="7" applyNumberFormat="1" applyFont="1" applyFill="1" applyBorder="1" applyAlignment="1">
      <alignment horizontal="center" vertical="center"/>
    </xf>
    <xf numFmtId="10" fontId="29" fillId="0" borderId="39" xfId="7" applyNumberFormat="1" applyFont="1" applyFill="1" applyBorder="1" applyAlignment="1">
      <alignment horizontal="right"/>
    </xf>
    <xf numFmtId="10" fontId="29" fillId="0" borderId="40" xfId="7" applyNumberFormat="1" applyFont="1" applyFill="1" applyBorder="1" applyAlignment="1">
      <alignment horizontal="right"/>
    </xf>
    <xf numFmtId="10" fontId="29" fillId="0" borderId="40" xfId="7" applyNumberFormat="1" applyFont="1" applyFill="1" applyBorder="1" applyAlignment="1">
      <alignment horizontal="center"/>
    </xf>
    <xf numFmtId="0" fontId="29" fillId="0" borderId="6" xfId="0" applyFont="1" applyBorder="1"/>
    <xf numFmtId="10" fontId="29" fillId="0" borderId="41" xfId="7" applyNumberFormat="1" applyFont="1" applyFill="1" applyBorder="1" applyAlignment="1">
      <alignment horizontal="center"/>
    </xf>
    <xf numFmtId="20" fontId="21" fillId="0" borderId="15" xfId="0" applyNumberFormat="1" applyFont="1" applyBorder="1" applyAlignment="1">
      <alignment vertical="center" wrapText="1"/>
    </xf>
    <xf numFmtId="20" fontId="21" fillId="0" borderId="16" xfId="0" applyNumberFormat="1" applyFont="1" applyBorder="1" applyAlignment="1">
      <alignment vertical="center" wrapText="1"/>
    </xf>
    <xf numFmtId="0" fontId="8" fillId="2" borderId="0" xfId="0" applyFont="1" applyFill="1" applyAlignment="1">
      <alignment horizontal="center" vertical="center"/>
    </xf>
    <xf numFmtId="3" fontId="8" fillId="2" borderId="0" xfId="0" applyNumberFormat="1" applyFont="1" applyFill="1" applyAlignment="1">
      <alignment horizontal="center" vertical="center"/>
    </xf>
    <xf numFmtId="20" fontId="8" fillId="2" borderId="0" xfId="0" applyNumberFormat="1" applyFont="1" applyFill="1" applyAlignment="1">
      <alignment horizontal="center" vertical="center"/>
    </xf>
    <xf numFmtId="165" fontId="8" fillId="2" borderId="0" xfId="0" applyNumberFormat="1" applyFont="1" applyFill="1" applyAlignment="1">
      <alignment horizontal="center" vertical="center"/>
    </xf>
    <xf numFmtId="1" fontId="8" fillId="2" borderId="0" xfId="0" applyNumberFormat="1" applyFont="1" applyFill="1" applyAlignment="1">
      <alignment horizontal="center" vertical="center"/>
    </xf>
    <xf numFmtId="169" fontId="8" fillId="2" borderId="0" xfId="0" applyNumberFormat="1" applyFont="1" applyFill="1" applyAlignment="1">
      <alignment horizontal="center" vertical="center"/>
    </xf>
    <xf numFmtId="9" fontId="8" fillId="2" borderId="0" xfId="7" applyFont="1" applyFill="1" applyBorder="1" applyAlignment="1">
      <alignment horizontal="center" vertical="center"/>
    </xf>
    <xf numFmtId="164" fontId="29" fillId="2" borderId="0" xfId="0" applyNumberFormat="1" applyFont="1" applyFill="1" applyAlignment="1">
      <alignment horizontal="right"/>
    </xf>
    <xf numFmtId="164" fontId="8" fillId="2" borderId="0" xfId="0" applyNumberFormat="1" applyFont="1" applyFill="1" applyAlignment="1">
      <alignment horizontal="center" vertical="center"/>
    </xf>
    <xf numFmtId="164" fontId="8" fillId="2" borderId="0" xfId="7" applyNumberFormat="1" applyFont="1" applyFill="1" applyBorder="1" applyAlignment="1">
      <alignment horizontal="center" vertical="center"/>
    </xf>
    <xf numFmtId="0" fontId="8" fillId="0" borderId="0" xfId="0" applyFont="1" applyAlignment="1">
      <alignment horizontal="left" vertical="center"/>
    </xf>
    <xf numFmtId="0" fontId="42" fillId="0" borderId="0" xfId="0" applyFont="1"/>
    <xf numFmtId="9" fontId="35" fillId="0" borderId="0" xfId="7" applyFont="1" applyFill="1" applyBorder="1" applyAlignment="1">
      <alignment vertical="center"/>
    </xf>
    <xf numFmtId="1" fontId="8" fillId="2" borderId="37" xfId="0" applyNumberFormat="1" applyFont="1" applyFill="1" applyBorder="1" applyAlignment="1">
      <alignment horizontal="center" vertical="center"/>
    </xf>
    <xf numFmtId="0" fontId="42" fillId="2" borderId="0" xfId="0" applyFont="1" applyFill="1"/>
    <xf numFmtId="10" fontId="8" fillId="2" borderId="5" xfId="0" applyNumberFormat="1" applyFont="1" applyFill="1" applyBorder="1" applyAlignment="1">
      <alignment horizontal="center" vertical="center"/>
    </xf>
    <xf numFmtId="10" fontId="8" fillId="0" borderId="4" xfId="0" applyNumberFormat="1" applyFont="1" applyBorder="1" applyAlignment="1">
      <alignment horizontal="center" vertical="center"/>
    </xf>
    <xf numFmtId="10" fontId="8" fillId="4" borderId="13" xfId="7" applyNumberFormat="1" applyFont="1" applyFill="1" applyBorder="1" applyAlignment="1">
      <alignment horizontal="center" vertical="center"/>
    </xf>
    <xf numFmtId="10" fontId="36" fillId="0" borderId="39" xfId="7" applyNumberFormat="1" applyFont="1" applyFill="1" applyBorder="1" applyAlignment="1">
      <alignment horizontal="right"/>
    </xf>
    <xf numFmtId="10" fontId="36" fillId="0" borderId="40" xfId="7" applyNumberFormat="1" applyFont="1" applyFill="1" applyBorder="1" applyAlignment="1">
      <alignment horizontal="center"/>
    </xf>
    <xf numFmtId="10" fontId="36" fillId="0" borderId="40" xfId="7" applyNumberFormat="1" applyFont="1" applyFill="1" applyBorder="1" applyAlignment="1">
      <alignment horizontal="right"/>
    </xf>
    <xf numFmtId="10" fontId="36" fillId="0" borderId="41" xfId="7" applyNumberFormat="1" applyFont="1" applyFill="1" applyBorder="1" applyAlignment="1">
      <alignment horizontal="center"/>
    </xf>
    <xf numFmtId="0" fontId="20" fillId="0" borderId="2" xfId="0" applyFont="1" applyBorder="1" applyAlignment="1">
      <alignment horizontal="center" vertical="center" wrapText="1"/>
    </xf>
    <xf numFmtId="0" fontId="20" fillId="0" borderId="60" xfId="0" applyFont="1" applyBorder="1" applyAlignment="1">
      <alignment horizontal="center" vertical="center" wrapText="1"/>
    </xf>
    <xf numFmtId="164" fontId="0" fillId="0" borderId="0" xfId="7" applyNumberFormat="1" applyFont="1" applyFill="1"/>
    <xf numFmtId="1" fontId="21" fillId="0" borderId="15" xfId="0" applyNumberFormat="1" applyFont="1" applyBorder="1" applyAlignment="1">
      <alignment horizontal="center" vertical="center"/>
    </xf>
    <xf numFmtId="16" fontId="21" fillId="0" borderId="62" xfId="0" applyNumberFormat="1" applyFont="1" applyBorder="1" applyAlignment="1">
      <alignment vertical="center"/>
    </xf>
    <xf numFmtId="16" fontId="21" fillId="0" borderId="8" xfId="0" applyNumberFormat="1" applyFont="1" applyBorder="1" applyAlignment="1">
      <alignment vertical="center"/>
    </xf>
    <xf numFmtId="10" fontId="8" fillId="4" borderId="63" xfId="7" applyNumberFormat="1" applyFont="1" applyFill="1" applyBorder="1" applyAlignment="1">
      <alignment horizontal="center" vertical="center"/>
    </xf>
    <xf numFmtId="164" fontId="83" fillId="3" borderId="50" xfId="7" applyNumberFormat="1" applyFont="1" applyFill="1" applyBorder="1" applyAlignment="1">
      <alignment horizontal="center"/>
    </xf>
    <xf numFmtId="169" fontId="21" fillId="0" borderId="16" xfId="0" applyNumberFormat="1" applyFont="1" applyBorder="1" applyAlignment="1">
      <alignment vertical="center"/>
    </xf>
    <xf numFmtId="16" fontId="21" fillId="0" borderId="64" xfId="0" applyNumberFormat="1" applyFont="1" applyBorder="1" applyAlignment="1">
      <alignment vertical="center"/>
    </xf>
    <xf numFmtId="10" fontId="41" fillId="0" borderId="4" xfId="0" applyNumberFormat="1" applyFont="1" applyBorder="1" applyAlignment="1">
      <alignment horizontal="center" vertical="center"/>
    </xf>
    <xf numFmtId="169" fontId="21" fillId="0" borderId="16" xfId="0" applyNumberFormat="1" applyFont="1" applyBorder="1" applyAlignment="1">
      <alignment horizontal="center" vertical="center"/>
    </xf>
    <xf numFmtId="0" fontId="22" fillId="0" borderId="11" xfId="0" applyFont="1" applyBorder="1" applyAlignment="1">
      <alignment horizontal="center" vertical="center" wrapText="1"/>
    </xf>
    <xf numFmtId="10" fontId="84" fillId="0" borderId="26" xfId="0" applyNumberFormat="1" applyFont="1" applyBorder="1" applyAlignment="1">
      <alignment horizontal="right"/>
    </xf>
    <xf numFmtId="16" fontId="21" fillId="0" borderId="64" xfId="0" applyNumberFormat="1" applyFont="1" applyBorder="1" applyAlignment="1">
      <alignment horizontal="center" vertical="center"/>
    </xf>
    <xf numFmtId="3" fontId="21" fillId="0" borderId="15" xfId="0" applyNumberFormat="1" applyFont="1" applyBorder="1" applyAlignment="1">
      <alignment horizontal="center" vertical="center"/>
    </xf>
    <xf numFmtId="3" fontId="21" fillId="0" borderId="16" xfId="0" applyNumberFormat="1" applyFont="1" applyBorder="1" applyAlignment="1">
      <alignment horizontal="center" vertical="center"/>
    </xf>
    <xf numFmtId="3" fontId="17" fillId="0" borderId="65" xfId="0" applyNumberFormat="1" applyFont="1" applyBorder="1" applyAlignment="1">
      <alignment horizontal="center" vertical="center" wrapText="1"/>
    </xf>
    <xf numFmtId="0" fontId="20" fillId="4" borderId="66" xfId="0" applyFont="1" applyFill="1" applyBorder="1" applyAlignment="1">
      <alignment horizontal="center" vertical="center" wrapText="1"/>
    </xf>
    <xf numFmtId="10" fontId="8" fillId="4" borderId="67" xfId="7" applyNumberFormat="1" applyFont="1" applyFill="1" applyBorder="1" applyAlignment="1">
      <alignment horizontal="center" vertical="center"/>
    </xf>
    <xf numFmtId="164" fontId="82" fillId="3" borderId="50" xfId="7" applyNumberFormat="1" applyFont="1" applyFill="1" applyBorder="1" applyAlignment="1">
      <alignment horizontal="center"/>
    </xf>
    <xf numFmtId="3" fontId="21" fillId="0" borderId="15" xfId="0" applyNumberFormat="1" applyFont="1" applyBorder="1" applyAlignment="1">
      <alignment vertical="center"/>
    </xf>
    <xf numFmtId="10" fontId="85" fillId="0" borderId="27" xfId="0" applyNumberFormat="1" applyFont="1" applyBorder="1" applyAlignment="1">
      <alignment horizontal="right"/>
    </xf>
    <xf numFmtId="0" fontId="37" fillId="3" borderId="24" xfId="0" applyFont="1" applyFill="1" applyBorder="1" applyAlignment="1">
      <alignment horizontal="center" vertical="center" wrapText="1"/>
    </xf>
    <xf numFmtId="10" fontId="82" fillId="3" borderId="27" xfId="0" applyNumberFormat="1" applyFont="1" applyFill="1" applyBorder="1" applyAlignment="1">
      <alignment horizontal="right"/>
    </xf>
    <xf numFmtId="10" fontId="35" fillId="3" borderId="27" xfId="0" applyNumberFormat="1" applyFont="1" applyFill="1" applyBorder="1" applyAlignment="1">
      <alignment horizontal="right"/>
    </xf>
    <xf numFmtId="10" fontId="36" fillId="3" borderId="34" xfId="0" applyNumberFormat="1" applyFont="1" applyFill="1" applyBorder="1" applyAlignment="1">
      <alignment horizontal="right"/>
    </xf>
    <xf numFmtId="164" fontId="85" fillId="3" borderId="50" xfId="7" applyNumberFormat="1" applyFont="1" applyFill="1" applyBorder="1" applyAlignment="1">
      <alignment horizontal="center"/>
    </xf>
    <xf numFmtId="10" fontId="83" fillId="3" borderId="27" xfId="0" applyNumberFormat="1" applyFont="1" applyFill="1" applyBorder="1" applyAlignment="1">
      <alignment horizontal="right"/>
    </xf>
    <xf numFmtId="0" fontId="18" fillId="0" borderId="0" xfId="0" applyFont="1"/>
    <xf numFmtId="3" fontId="36" fillId="0" borderId="0" xfId="0" applyNumberFormat="1" applyFont="1" applyAlignment="1">
      <alignment horizontal="right"/>
    </xf>
    <xf numFmtId="3" fontId="36" fillId="0" borderId="0" xfId="0" applyNumberFormat="1" applyFont="1" applyAlignment="1">
      <alignment horizontal="center"/>
    </xf>
    <xf numFmtId="168" fontId="36" fillId="0" borderId="0" xfId="0" applyNumberFormat="1" applyFont="1" applyAlignment="1">
      <alignment horizontal="right"/>
    </xf>
    <xf numFmtId="10" fontId="36" fillId="0" borderId="0" xfId="0" applyNumberFormat="1" applyFont="1" applyAlignment="1">
      <alignment horizontal="right"/>
    </xf>
    <xf numFmtId="0" fontId="36" fillId="0" borderId="0" xfId="0" applyFont="1" applyAlignment="1">
      <alignment horizontal="center"/>
    </xf>
    <xf numFmtId="164" fontId="36" fillId="0" borderId="0" xfId="7" applyNumberFormat="1" applyFont="1" applyFill="1" applyBorder="1" applyAlignment="1">
      <alignment horizontal="center"/>
    </xf>
    <xf numFmtId="0" fontId="42" fillId="0" borderId="68" xfId="0" applyFont="1" applyBorder="1" applyAlignment="1">
      <alignment horizontal="center"/>
    </xf>
    <xf numFmtId="0" fontId="42" fillId="0" borderId="68" xfId="0" applyFont="1" applyBorder="1"/>
    <xf numFmtId="0" fontId="42" fillId="0" borderId="69" xfId="0" applyFont="1" applyBorder="1"/>
    <xf numFmtId="0" fontId="42" fillId="0" borderId="70" xfId="0" applyFont="1" applyBorder="1" applyAlignment="1">
      <alignment horizontal="center"/>
    </xf>
    <xf numFmtId="0" fontId="29" fillId="0" borderId="71" xfId="0" applyFont="1" applyBorder="1" applyAlignment="1">
      <alignment horizontal="center"/>
    </xf>
    <xf numFmtId="0" fontId="48" fillId="6" borderId="69" xfId="0" applyFont="1" applyFill="1" applyBorder="1" applyAlignment="1">
      <alignment horizontal="right"/>
    </xf>
    <xf numFmtId="0" fontId="42" fillId="0" borderId="72" xfId="0" applyFont="1" applyBorder="1" applyAlignment="1">
      <alignment horizontal="center"/>
    </xf>
    <xf numFmtId="3" fontId="42" fillId="0" borderId="16" xfId="0" applyNumberFormat="1" applyFont="1" applyBorder="1" applyAlignment="1">
      <alignment horizontal="center"/>
    </xf>
    <xf numFmtId="1" fontId="42" fillId="0" borderId="16" xfId="0" applyNumberFormat="1" applyFont="1" applyBorder="1" applyAlignment="1">
      <alignment horizontal="center"/>
    </xf>
    <xf numFmtId="3" fontId="42" fillId="0" borderId="73" xfId="0" applyNumberFormat="1" applyFont="1" applyBorder="1" applyAlignment="1">
      <alignment horizontal="center"/>
    </xf>
    <xf numFmtId="3" fontId="48" fillId="6" borderId="73" xfId="0" applyNumberFormat="1" applyFont="1" applyFill="1" applyBorder="1" applyAlignment="1">
      <alignment horizontal="right"/>
    </xf>
    <xf numFmtId="1" fontId="48" fillId="6" borderId="74" xfId="0" applyNumberFormat="1" applyFont="1" applyFill="1" applyBorder="1" applyAlignment="1">
      <alignment horizontal="right"/>
    </xf>
    <xf numFmtId="0" fontId="29" fillId="2" borderId="48" xfId="0" applyFont="1" applyFill="1" applyBorder="1" applyAlignment="1">
      <alignment horizontal="center"/>
    </xf>
    <xf numFmtId="0" fontId="29" fillId="2" borderId="75" xfId="0" applyFont="1" applyFill="1" applyBorder="1" applyAlignment="1">
      <alignment horizontal="center"/>
    </xf>
    <xf numFmtId="3" fontId="29" fillId="2" borderId="76" xfId="0" applyNumberFormat="1" applyFont="1" applyFill="1" applyBorder="1" applyAlignment="1">
      <alignment horizontal="center"/>
    </xf>
    <xf numFmtId="1" fontId="29" fillId="2" borderId="77" xfId="0" applyNumberFormat="1" applyFont="1" applyFill="1" applyBorder="1" applyAlignment="1">
      <alignment horizontal="center"/>
    </xf>
    <xf numFmtId="3" fontId="29" fillId="2" borderId="77" xfId="0" applyNumberFormat="1" applyFont="1" applyFill="1" applyBorder="1" applyAlignment="1">
      <alignment horizontal="center"/>
    </xf>
    <xf numFmtId="1" fontId="29" fillId="2" borderId="74" xfId="0" applyNumberFormat="1" applyFont="1" applyFill="1" applyBorder="1" applyAlignment="1">
      <alignment horizontal="center"/>
    </xf>
    <xf numFmtId="0" fontId="77" fillId="0" borderId="0" xfId="0" applyFont="1" applyAlignment="1">
      <alignment horizontal="center"/>
    </xf>
    <xf numFmtId="0" fontId="86" fillId="7" borderId="0" xfId="0" applyFont="1" applyFill="1" applyAlignment="1">
      <alignment horizontal="center"/>
    </xf>
    <xf numFmtId="0" fontId="87" fillId="0" borderId="0" xfId="0" applyFont="1" applyAlignment="1">
      <alignment horizontal="center"/>
    </xf>
    <xf numFmtId="0" fontId="49" fillId="0" borderId="78" xfId="0" applyFont="1" applyBorder="1" applyAlignment="1">
      <alignment horizontal="center"/>
    </xf>
    <xf numFmtId="0" fontId="49" fillId="0" borderId="3" xfId="0" applyFont="1" applyBorder="1" applyAlignment="1">
      <alignment horizontal="center"/>
    </xf>
    <xf numFmtId="0" fontId="49" fillId="0" borderId="16" xfId="0" applyFont="1" applyBorder="1" applyAlignment="1">
      <alignment horizontal="center"/>
    </xf>
    <xf numFmtId="0" fontId="49" fillId="0" borderId="79" xfId="0" applyFont="1" applyBorder="1" applyAlignment="1">
      <alignment horizontal="center"/>
    </xf>
    <xf numFmtId="0" fontId="49" fillId="0" borderId="80" xfId="0" applyFont="1" applyBorder="1" applyAlignment="1">
      <alignment horizontal="center"/>
    </xf>
    <xf numFmtId="0" fontId="49" fillId="0" borderId="72" xfId="0" applyFont="1" applyBorder="1" applyAlignment="1">
      <alignment horizontal="center"/>
    </xf>
    <xf numFmtId="0" fontId="49" fillId="0" borderId="81" xfId="0" applyFont="1" applyBorder="1" applyAlignment="1">
      <alignment horizontal="center"/>
    </xf>
    <xf numFmtId="0" fontId="49" fillId="0" borderId="68" xfId="0" applyFont="1" applyBorder="1" applyAlignment="1">
      <alignment horizontal="center"/>
    </xf>
    <xf numFmtId="10" fontId="8" fillId="2" borderId="7" xfId="0" applyNumberFormat="1" applyFont="1" applyFill="1" applyBorder="1" applyAlignment="1">
      <alignment horizontal="center" vertical="center"/>
    </xf>
    <xf numFmtId="10" fontId="8" fillId="4" borderId="82" xfId="7" applyNumberFormat="1" applyFont="1" applyFill="1" applyBorder="1" applyAlignment="1">
      <alignment horizontal="center" vertical="center"/>
    </xf>
    <xf numFmtId="2" fontId="21" fillId="0" borderId="15" xfId="0" applyNumberFormat="1" applyFont="1" applyBorder="1" applyAlignment="1">
      <alignment horizontal="center" vertical="center"/>
    </xf>
    <xf numFmtId="1" fontId="88" fillId="0" borderId="3" xfId="0" applyNumberFormat="1" applyFont="1" applyBorder="1" applyAlignment="1">
      <alignment horizontal="center" vertical="center"/>
    </xf>
    <xf numFmtId="0" fontId="89" fillId="0" borderId="71" xfId="0" applyFont="1" applyBorder="1"/>
    <xf numFmtId="0" fontId="90" fillId="0" borderId="76" xfId="0" applyFont="1" applyBorder="1"/>
    <xf numFmtId="0" fontId="90" fillId="0" borderId="77" xfId="0" applyFont="1" applyBorder="1"/>
    <xf numFmtId="0" fontId="90" fillId="0" borderId="83" xfId="0" applyFont="1" applyBorder="1"/>
    <xf numFmtId="0" fontId="90" fillId="6" borderId="84" xfId="0" applyFont="1" applyFill="1" applyBorder="1" applyAlignment="1">
      <alignment horizontal="center"/>
    </xf>
    <xf numFmtId="0" fontId="90" fillId="0" borderId="84" xfId="0" applyFont="1" applyBorder="1"/>
    <xf numFmtId="0" fontId="89" fillId="0" borderId="85" xfId="0" applyFont="1" applyBorder="1"/>
    <xf numFmtId="0" fontId="89" fillId="0" borderId="86" xfId="0" applyFont="1" applyBorder="1"/>
    <xf numFmtId="3" fontId="89" fillId="0" borderId="86" xfId="0" applyNumberFormat="1" applyFont="1" applyBorder="1"/>
    <xf numFmtId="0" fontId="89" fillId="0" borderId="87" xfId="0" applyFont="1" applyBorder="1"/>
    <xf numFmtId="0" fontId="90" fillId="6" borderId="50" xfId="0" applyFont="1" applyFill="1" applyBorder="1" applyAlignment="1">
      <alignment horizontal="center"/>
    </xf>
    <xf numFmtId="0" fontId="90" fillId="0" borderId="75" xfId="0" applyFont="1" applyBorder="1"/>
    <xf numFmtId="0" fontId="89" fillId="0" borderId="88" xfId="0" applyFont="1" applyBorder="1"/>
    <xf numFmtId="0" fontId="89" fillId="0" borderId="68" xfId="0" applyFont="1" applyBorder="1"/>
    <xf numFmtId="3" fontId="89" fillId="0" borderId="68" xfId="0" applyNumberFormat="1" applyFont="1" applyBorder="1"/>
    <xf numFmtId="0" fontId="89" fillId="0" borderId="89" xfId="0" applyFont="1" applyBorder="1"/>
    <xf numFmtId="0" fontId="90" fillId="6" borderId="75" xfId="0" applyFont="1" applyFill="1" applyBorder="1" applyAlignment="1">
      <alignment horizontal="center"/>
    </xf>
    <xf numFmtId="16" fontId="21" fillId="0" borderId="62" xfId="0" applyNumberFormat="1" applyFont="1" applyBorder="1" applyAlignment="1">
      <alignment horizontal="center" vertical="center"/>
    </xf>
    <xf numFmtId="165" fontId="21" fillId="0" borderId="15" xfId="0" applyNumberFormat="1" applyFont="1" applyBorder="1" applyAlignment="1">
      <alignment horizontal="center" vertical="center" wrapText="1"/>
    </xf>
    <xf numFmtId="1" fontId="21" fillId="0" borderId="15" xfId="0" applyNumberFormat="1" applyFont="1" applyBorder="1" applyAlignment="1">
      <alignment horizontal="center" vertical="center" wrapText="1"/>
    </xf>
    <xf numFmtId="0" fontId="91" fillId="4" borderId="0" xfId="0" applyFont="1" applyFill="1"/>
    <xf numFmtId="164" fontId="91" fillId="4" borderId="0" xfId="7" applyNumberFormat="1" applyFont="1" applyFill="1" applyBorder="1"/>
    <xf numFmtId="164" fontId="91" fillId="6" borderId="0" xfId="7" applyNumberFormat="1" applyFont="1" applyFill="1" applyBorder="1"/>
    <xf numFmtId="0" fontId="49" fillId="0" borderId="15" xfId="0" applyFont="1" applyBorder="1" applyAlignment="1">
      <alignment horizontal="center"/>
    </xf>
    <xf numFmtId="0" fontId="49" fillId="0" borderId="88" xfId="0" applyFont="1" applyBorder="1" applyAlignment="1">
      <alignment horizontal="center"/>
    </xf>
    <xf numFmtId="1" fontId="8" fillId="0" borderId="3" xfId="0" applyNumberFormat="1" applyFont="1" applyBorder="1" applyAlignment="1">
      <alignment horizontal="center" vertical="center"/>
    </xf>
    <xf numFmtId="0" fontId="36" fillId="0" borderId="77" xfId="0" applyFont="1" applyBorder="1" applyAlignment="1">
      <alignment horizontal="center" wrapText="1"/>
    </xf>
    <xf numFmtId="0" fontId="36" fillId="0" borderId="74" xfId="0" applyFont="1" applyBorder="1" applyAlignment="1">
      <alignment horizontal="center" vertical="top" wrapText="1"/>
    </xf>
    <xf numFmtId="0" fontId="35" fillId="0" borderId="76" xfId="0" applyFont="1" applyBorder="1" applyAlignment="1">
      <alignment horizontal="center"/>
    </xf>
    <xf numFmtId="0" fontId="35" fillId="0" borderId="77" xfId="0" applyFont="1" applyBorder="1" applyAlignment="1">
      <alignment horizontal="center"/>
    </xf>
    <xf numFmtId="0" fontId="35" fillId="0" borderId="74" xfId="0" applyFont="1" applyBorder="1" applyAlignment="1">
      <alignment horizontal="center"/>
    </xf>
    <xf numFmtId="0" fontId="36" fillId="0" borderId="76" xfId="0" applyFont="1" applyBorder="1" applyAlignment="1">
      <alignment horizontal="center" vertical="center"/>
    </xf>
    <xf numFmtId="10" fontId="8" fillId="4" borderId="90" xfId="7" applyNumberFormat="1" applyFont="1" applyFill="1" applyBorder="1" applyAlignment="1">
      <alignment horizontal="center" vertical="center"/>
    </xf>
    <xf numFmtId="164" fontId="85" fillId="3" borderId="52" xfId="7" applyNumberFormat="1" applyFont="1" applyFill="1" applyBorder="1" applyAlignment="1">
      <alignment horizontal="center"/>
    </xf>
    <xf numFmtId="1" fontId="88" fillId="8" borderId="3" xfId="0" applyNumberFormat="1" applyFont="1" applyFill="1" applyBorder="1" applyAlignment="1">
      <alignment horizontal="center" vertical="center"/>
    </xf>
    <xf numFmtId="1" fontId="8" fillId="0" borderId="15" xfId="0" applyNumberFormat="1" applyFont="1" applyBorder="1" applyAlignment="1">
      <alignment horizontal="center" vertical="center"/>
    </xf>
    <xf numFmtId="164" fontId="85" fillId="0" borderId="50" xfId="7" applyNumberFormat="1" applyFont="1" applyFill="1" applyBorder="1" applyAlignment="1">
      <alignment horizontal="center"/>
    </xf>
    <xf numFmtId="20" fontId="21" fillId="0" borderId="15" xfId="0" applyNumberFormat="1" applyFont="1" applyBorder="1" applyAlignment="1">
      <alignment horizontal="center" vertical="center" wrapText="1"/>
    </xf>
    <xf numFmtId="169" fontId="21" fillId="0" borderId="15" xfId="0" applyNumberFormat="1" applyFont="1" applyBorder="1" applyAlignment="1">
      <alignment horizontal="center" vertical="center"/>
    </xf>
    <xf numFmtId="1" fontId="35" fillId="0" borderId="77" xfId="0" applyNumberFormat="1" applyFont="1" applyBorder="1" applyAlignment="1">
      <alignment horizontal="center"/>
    </xf>
    <xf numFmtId="1" fontId="35" fillId="0" borderId="74" xfId="0" applyNumberFormat="1" applyFont="1" applyBorder="1" applyAlignment="1">
      <alignment horizontal="center"/>
    </xf>
    <xf numFmtId="0" fontId="4" fillId="0" borderId="0" xfId="0" applyFont="1"/>
    <xf numFmtId="164" fontId="54" fillId="4" borderId="0" xfId="7" applyNumberFormat="1" applyFont="1" applyFill="1" applyBorder="1"/>
    <xf numFmtId="0" fontId="29" fillId="0" borderId="77" xfId="0" applyFont="1" applyBorder="1"/>
    <xf numFmtId="0" fontId="42" fillId="0" borderId="86" xfId="0" applyFont="1" applyBorder="1"/>
    <xf numFmtId="10" fontId="92" fillId="0" borderId="26" xfId="0" applyNumberFormat="1" applyFont="1" applyBorder="1" applyAlignment="1">
      <alignment horizontal="right"/>
    </xf>
    <xf numFmtId="10" fontId="83" fillId="0" borderId="27" xfId="0" applyNumberFormat="1" applyFont="1" applyBorder="1" applyAlignment="1">
      <alignment horizontal="right"/>
    </xf>
    <xf numFmtId="0" fontId="42" fillId="0" borderId="69" xfId="0" applyFont="1" applyBorder="1" applyAlignment="1">
      <alignment horizontal="center"/>
    </xf>
    <xf numFmtId="3" fontId="21" fillId="9" borderId="3" xfId="0" applyNumberFormat="1" applyFont="1" applyFill="1" applyBorder="1" applyAlignment="1">
      <alignment horizontal="center" vertical="center" wrapText="1"/>
    </xf>
    <xf numFmtId="3" fontId="85" fillId="0" borderId="29" xfId="0" applyNumberFormat="1" applyFont="1" applyBorder="1" applyAlignment="1">
      <alignment horizontal="right"/>
    </xf>
    <xf numFmtId="3" fontId="85" fillId="0" borderId="29" xfId="0" applyNumberFormat="1" applyFont="1" applyBorder="1" applyAlignment="1">
      <alignment horizontal="center"/>
    </xf>
    <xf numFmtId="1" fontId="21" fillId="0" borderId="16" xfId="0" applyNumberFormat="1" applyFont="1" applyBorder="1" applyAlignment="1">
      <alignment vertical="center"/>
    </xf>
    <xf numFmtId="0" fontId="85" fillId="0" borderId="91" xfId="0" applyFont="1" applyBorder="1" applyAlignment="1">
      <alignment vertical="top" wrapText="1"/>
    </xf>
    <xf numFmtId="0" fontId="85" fillId="0" borderId="92" xfId="0" applyFont="1" applyBorder="1" applyAlignment="1">
      <alignment vertical="top" wrapText="1"/>
    </xf>
    <xf numFmtId="0" fontId="85" fillId="0" borderId="93" xfId="0" applyFont="1" applyBorder="1" applyAlignment="1">
      <alignment vertical="top" wrapText="1"/>
    </xf>
    <xf numFmtId="1" fontId="21" fillId="0" borderId="3" xfId="7" applyNumberFormat="1" applyFont="1" applyFill="1" applyBorder="1" applyAlignment="1">
      <alignment horizontal="center" vertical="center"/>
    </xf>
    <xf numFmtId="0" fontId="16" fillId="6" borderId="94" xfId="0" applyFont="1" applyFill="1" applyBorder="1" applyAlignment="1">
      <alignment horizontal="center"/>
    </xf>
    <xf numFmtId="0" fontId="93" fillId="6" borderId="94" xfId="0" applyFont="1" applyFill="1" applyBorder="1" applyAlignment="1">
      <alignment horizontal="center"/>
    </xf>
    <xf numFmtId="0" fontId="16" fillId="6" borderId="73" xfId="0" applyFont="1" applyFill="1" applyBorder="1" applyAlignment="1">
      <alignment horizontal="center"/>
    </xf>
    <xf numFmtId="0" fontId="16" fillId="6" borderId="69" xfId="0" applyFont="1" applyFill="1" applyBorder="1" applyAlignment="1">
      <alignment horizontal="center"/>
    </xf>
    <xf numFmtId="0" fontId="55" fillId="6" borderId="94" xfId="0" applyFont="1" applyFill="1" applyBorder="1" applyAlignment="1">
      <alignment horizontal="center"/>
    </xf>
    <xf numFmtId="0" fontId="16" fillId="6" borderId="95" xfId="0" applyFont="1" applyFill="1" applyBorder="1" applyAlignment="1">
      <alignment horizontal="center"/>
    </xf>
    <xf numFmtId="1" fontId="88" fillId="0" borderId="3" xfId="7" applyNumberFormat="1" applyFont="1" applyFill="1" applyBorder="1" applyAlignment="1">
      <alignment horizontal="center" vertical="center"/>
    </xf>
    <xf numFmtId="0" fontId="49" fillId="0" borderId="96" xfId="0" applyFont="1" applyBorder="1" applyAlignment="1">
      <alignment horizontal="center"/>
    </xf>
    <xf numFmtId="0" fontId="49" fillId="0" borderId="97" xfId="0" applyFont="1" applyBorder="1" applyAlignment="1">
      <alignment horizontal="center"/>
    </xf>
    <xf numFmtId="0" fontId="16" fillId="6" borderId="98" xfId="0" applyFont="1" applyFill="1" applyBorder="1" applyAlignment="1">
      <alignment horizontal="center"/>
    </xf>
    <xf numFmtId="0" fontId="36" fillId="0" borderId="99" xfId="0" applyFont="1" applyBorder="1" applyAlignment="1">
      <alignment horizontal="center" vertical="center"/>
    </xf>
    <xf numFmtId="0" fontId="36" fillId="0" borderId="100" xfId="0" applyFont="1" applyBorder="1" applyAlignment="1">
      <alignment horizontal="center" wrapText="1"/>
    </xf>
    <xf numFmtId="0" fontId="36" fillId="0" borderId="101" xfId="0" applyFont="1" applyBorder="1" applyAlignment="1">
      <alignment horizontal="center" vertical="top" wrapText="1"/>
    </xf>
    <xf numFmtId="1" fontId="35" fillId="0" borderId="102" xfId="0" applyNumberFormat="1" applyFont="1" applyBorder="1" applyAlignment="1">
      <alignment horizontal="center"/>
    </xf>
    <xf numFmtId="1" fontId="35" fillId="0" borderId="94" xfId="0" applyNumberFormat="1" applyFont="1" applyBorder="1" applyAlignment="1">
      <alignment horizontal="center"/>
    </xf>
    <xf numFmtId="165" fontId="51" fillId="2" borderId="94" xfId="0" applyNumberFormat="1" applyFont="1" applyFill="1" applyBorder="1" applyAlignment="1">
      <alignment horizontal="center"/>
    </xf>
    <xf numFmtId="165" fontId="51" fillId="2" borderId="69" xfId="0" applyNumberFormat="1" applyFont="1" applyFill="1" applyBorder="1" applyAlignment="1">
      <alignment horizontal="center"/>
    </xf>
    <xf numFmtId="1" fontId="35" fillId="0" borderId="103" xfId="0" applyNumberFormat="1" applyFont="1" applyBorder="1" applyAlignment="1">
      <alignment horizontal="center"/>
    </xf>
    <xf numFmtId="1" fontId="35" fillId="0" borderId="80" xfId="0" applyNumberFormat="1" applyFont="1" applyBorder="1" applyAlignment="1">
      <alignment horizontal="center"/>
    </xf>
    <xf numFmtId="165" fontId="51" fillId="2" borderId="80" xfId="0" applyNumberFormat="1" applyFont="1" applyFill="1" applyBorder="1" applyAlignment="1">
      <alignment horizontal="center"/>
    </xf>
    <xf numFmtId="165" fontId="51" fillId="2" borderId="70" xfId="0" applyNumberFormat="1" applyFont="1" applyFill="1" applyBorder="1" applyAlignment="1">
      <alignment horizontal="center"/>
    </xf>
    <xf numFmtId="1" fontId="35" fillId="0" borderId="48" xfId="0" applyNumberFormat="1" applyFont="1" applyBorder="1" applyAlignment="1">
      <alignment horizontal="center"/>
    </xf>
    <xf numFmtId="1" fontId="35" fillId="0" borderId="52" xfId="0" applyNumberFormat="1" applyFont="1" applyBorder="1" applyAlignment="1">
      <alignment horizontal="center"/>
    </xf>
    <xf numFmtId="16" fontId="36" fillId="2" borderId="52" xfId="0" applyNumberFormat="1" applyFont="1" applyFill="1" applyBorder="1" applyAlignment="1">
      <alignment vertical="center"/>
    </xf>
    <xf numFmtId="16" fontId="36" fillId="2" borderId="75" xfId="0" applyNumberFormat="1" applyFont="1" applyFill="1" applyBorder="1" applyAlignment="1">
      <alignment vertical="center"/>
    </xf>
    <xf numFmtId="1" fontId="35" fillId="0" borderId="75" xfId="0" applyNumberFormat="1" applyFont="1" applyBorder="1" applyAlignment="1">
      <alignment horizontal="center"/>
    </xf>
    <xf numFmtId="0" fontId="55" fillId="6" borderId="69" xfId="0" applyFont="1" applyFill="1" applyBorder="1" applyAlignment="1">
      <alignment horizontal="center"/>
    </xf>
    <xf numFmtId="0" fontId="56" fillId="0" borderId="0" xfId="0" applyFont="1"/>
    <xf numFmtId="167" fontId="49" fillId="0" borderId="78" xfId="0" applyNumberFormat="1" applyFont="1" applyBorder="1"/>
    <xf numFmtId="0" fontId="49" fillId="0" borderId="3" xfId="0" applyFont="1" applyBorder="1"/>
    <xf numFmtId="0" fontId="49" fillId="0" borderId="94" xfId="0" applyFont="1" applyBorder="1"/>
    <xf numFmtId="167" fontId="49" fillId="0" borderId="79" xfId="0" applyNumberFormat="1" applyFont="1" applyBorder="1"/>
    <xf numFmtId="0" fontId="49" fillId="0" borderId="104" xfId="0" applyFont="1" applyBorder="1"/>
    <xf numFmtId="0" fontId="57" fillId="0" borderId="105" xfId="0" applyFont="1" applyBorder="1"/>
    <xf numFmtId="0" fontId="57" fillId="0" borderId="106" xfId="0" applyFont="1" applyBorder="1"/>
    <xf numFmtId="0" fontId="49" fillId="0" borderId="107" xfId="0" applyFont="1" applyBorder="1"/>
    <xf numFmtId="0" fontId="12" fillId="10" borderId="108" xfId="0" applyFont="1" applyFill="1" applyBorder="1"/>
    <xf numFmtId="0" fontId="12" fillId="10" borderId="52" xfId="0" applyFont="1" applyFill="1" applyBorder="1"/>
    <xf numFmtId="0" fontId="94" fillId="0" borderId="109" xfId="0" applyFont="1" applyBorder="1"/>
    <xf numFmtId="0" fontId="94" fillId="0" borderId="110" xfId="0" applyFont="1" applyBorder="1"/>
    <xf numFmtId="0" fontId="94" fillId="0" borderId="111" xfId="0" applyFont="1" applyBorder="1"/>
    <xf numFmtId="0" fontId="94" fillId="10" borderId="111" xfId="0" applyFont="1" applyFill="1" applyBorder="1"/>
    <xf numFmtId="0" fontId="94" fillId="0" borderId="77" xfId="0" applyFont="1" applyBorder="1"/>
    <xf numFmtId="0" fontId="94" fillId="0" borderId="74" xfId="0" applyFont="1" applyBorder="1"/>
    <xf numFmtId="0" fontId="94" fillId="0" borderId="110" xfId="0" applyFont="1" applyBorder="1" applyAlignment="1">
      <alignment wrapText="1"/>
    </xf>
    <xf numFmtId="0" fontId="94" fillId="0" borderId="111" xfId="0" applyFont="1" applyBorder="1" applyAlignment="1">
      <alignment wrapText="1"/>
    </xf>
    <xf numFmtId="0" fontId="95" fillId="0" borderId="16" xfId="0" applyFont="1" applyBorder="1"/>
    <xf numFmtId="0" fontId="95" fillId="0" borderId="3" xfId="0" applyFont="1" applyBorder="1"/>
    <xf numFmtId="0" fontId="94" fillId="0" borderId="84" xfId="0" applyFont="1" applyBorder="1"/>
    <xf numFmtId="9" fontId="94" fillId="10" borderId="84" xfId="7" applyFont="1" applyFill="1" applyBorder="1"/>
    <xf numFmtId="0" fontId="95" fillId="0" borderId="16" xfId="0" applyFont="1" applyBorder="1" applyAlignment="1">
      <alignment horizontal="right"/>
    </xf>
    <xf numFmtId="0" fontId="57" fillId="0" borderId="112" xfId="0" applyFont="1" applyBorder="1"/>
    <xf numFmtId="20" fontId="0" fillId="0" borderId="0" xfId="0" applyNumberFormat="1"/>
    <xf numFmtId="0" fontId="95" fillId="0" borderId="16" xfId="0" applyFont="1" applyBorder="1" applyAlignment="1">
      <alignment horizontal="right" vertical="center"/>
    </xf>
    <xf numFmtId="0" fontId="96" fillId="0" borderId="0" xfId="0" applyFont="1"/>
    <xf numFmtId="164" fontId="8" fillId="0" borderId="3" xfId="0" applyNumberFormat="1" applyFont="1" applyBorder="1" applyAlignment="1">
      <alignment horizontal="center" vertical="center"/>
    </xf>
    <xf numFmtId="0" fontId="29" fillId="0" borderId="0" xfId="0" applyFont="1" applyAlignment="1">
      <alignment horizontal="center"/>
    </xf>
    <xf numFmtId="1" fontId="21" fillId="11" borderId="3" xfId="0" applyNumberFormat="1" applyFont="1" applyFill="1" applyBorder="1" applyAlignment="1">
      <alignment horizontal="center" vertical="center"/>
    </xf>
    <xf numFmtId="164" fontId="0" fillId="0" borderId="0" xfId="0" applyNumberFormat="1"/>
    <xf numFmtId="3" fontId="40" fillId="11" borderId="4" xfId="0" applyNumberFormat="1" applyFont="1" applyFill="1" applyBorder="1" applyAlignment="1">
      <alignment horizontal="center" vertical="center"/>
    </xf>
    <xf numFmtId="0" fontId="42" fillId="0" borderId="0" xfId="0" applyFont="1" applyAlignment="1">
      <alignment horizontal="center"/>
    </xf>
    <xf numFmtId="2" fontId="42" fillId="0" borderId="0" xfId="0" applyNumberFormat="1" applyFont="1"/>
    <xf numFmtId="0" fontId="48" fillId="0" borderId="0" xfId="0" applyFont="1" applyAlignment="1">
      <alignment horizontal="left"/>
    </xf>
    <xf numFmtId="3" fontId="58" fillId="0" borderId="0" xfId="0" applyNumberFormat="1" applyFont="1" applyAlignment="1">
      <alignment horizontal="left" vertical="center"/>
    </xf>
    <xf numFmtId="9" fontId="58" fillId="0" borderId="0" xfId="7" applyFont="1" applyFill="1" applyBorder="1" applyAlignment="1">
      <alignment vertical="center"/>
    </xf>
    <xf numFmtId="3" fontId="59" fillId="0" borderId="0" xfId="0" applyNumberFormat="1" applyFont="1" applyAlignment="1">
      <alignment vertical="center"/>
    </xf>
    <xf numFmtId="3" fontId="60" fillId="0" borderId="0" xfId="0" applyNumberFormat="1" applyFont="1" applyAlignment="1">
      <alignment horizontal="center" vertical="center"/>
    </xf>
    <xf numFmtId="0" fontId="48" fillId="3" borderId="0" xfId="0" applyFont="1" applyFill="1" applyAlignment="1">
      <alignment vertical="center"/>
    </xf>
    <xf numFmtId="0" fontId="48" fillId="0" borderId="6" xfId="0" applyFont="1" applyBorder="1"/>
    <xf numFmtId="0" fontId="58" fillId="0" borderId="0" xfId="0" applyFont="1" applyAlignment="1">
      <alignment horizontal="left"/>
    </xf>
    <xf numFmtId="3" fontId="59" fillId="0" borderId="6" xfId="0" applyNumberFormat="1" applyFont="1" applyBorder="1" applyAlignment="1">
      <alignment vertical="center"/>
    </xf>
    <xf numFmtId="0" fontId="58" fillId="0" borderId="0" xfId="0" applyFont="1"/>
    <xf numFmtId="0" fontId="48" fillId="0" borderId="0" xfId="0" applyFont="1"/>
    <xf numFmtId="3" fontId="48" fillId="0" borderId="0" xfId="0" applyNumberFormat="1" applyFont="1" applyAlignment="1">
      <alignment horizontal="right"/>
    </xf>
    <xf numFmtId="3" fontId="48" fillId="0" borderId="0" xfId="0" applyNumberFormat="1" applyFont="1" applyAlignment="1">
      <alignment horizontal="center"/>
    </xf>
    <xf numFmtId="168" fontId="48" fillId="0" borderId="0" xfId="0" applyNumberFormat="1" applyFont="1" applyAlignment="1">
      <alignment horizontal="right"/>
    </xf>
    <xf numFmtId="10" fontId="48" fillId="0" borderId="0" xfId="0" applyNumberFormat="1" applyFont="1" applyAlignment="1">
      <alignment horizontal="right"/>
    </xf>
    <xf numFmtId="0" fontId="42" fillId="12" borderId="0" xfId="0" applyFont="1" applyFill="1"/>
    <xf numFmtId="0" fontId="8" fillId="12" borderId="0" xfId="0" applyFont="1" applyFill="1" applyAlignment="1">
      <alignment horizontal="center" vertical="center"/>
    </xf>
    <xf numFmtId="3" fontId="8" fillId="12" borderId="0" xfId="0" applyNumberFormat="1" applyFont="1" applyFill="1" applyAlignment="1">
      <alignment horizontal="center" vertical="center"/>
    </xf>
    <xf numFmtId="20" fontId="8" fillId="12" borderId="0" xfId="0" applyNumberFormat="1" applyFont="1" applyFill="1" applyAlignment="1">
      <alignment horizontal="center" vertical="center"/>
    </xf>
    <xf numFmtId="165" fontId="8" fillId="12" borderId="0" xfId="0" applyNumberFormat="1" applyFont="1" applyFill="1" applyAlignment="1">
      <alignment horizontal="center" vertical="center"/>
    </xf>
    <xf numFmtId="0" fontId="60" fillId="0" borderId="0" xfId="0" applyFont="1" applyAlignment="1">
      <alignment horizontal="center" vertical="center"/>
    </xf>
    <xf numFmtId="165" fontId="60" fillId="0" borderId="0" xfId="0" applyNumberFormat="1" applyFont="1" applyAlignment="1">
      <alignment horizontal="center" vertical="center"/>
    </xf>
    <xf numFmtId="10" fontId="60" fillId="0" borderId="0" xfId="0" applyNumberFormat="1" applyFont="1" applyAlignment="1">
      <alignment horizontal="center" vertical="center"/>
    </xf>
    <xf numFmtId="166" fontId="60" fillId="0" borderId="0" xfId="0" applyNumberFormat="1" applyFont="1" applyAlignment="1">
      <alignment horizontal="center" vertical="center"/>
    </xf>
    <xf numFmtId="10" fontId="69" fillId="0" borderId="0" xfId="0" applyNumberFormat="1" applyFont="1" applyAlignment="1">
      <alignment horizontal="center" vertical="center"/>
    </xf>
    <xf numFmtId="0" fontId="60" fillId="0" borderId="0" xfId="0" applyFont="1" applyAlignment="1">
      <alignment vertical="center"/>
    </xf>
    <xf numFmtId="0" fontId="61" fillId="0" borderId="22" xfId="0" applyFont="1" applyBorder="1" applyAlignment="1">
      <alignment horizontal="center" vertical="center" wrapText="1"/>
    </xf>
    <xf numFmtId="0" fontId="61" fillId="0" borderId="23" xfId="0" applyFont="1" applyBorder="1" applyAlignment="1">
      <alignment horizontal="center" vertical="center" wrapText="1"/>
    </xf>
    <xf numFmtId="3" fontId="61" fillId="0" borderId="23" xfId="0" applyNumberFormat="1" applyFont="1" applyBorder="1" applyAlignment="1">
      <alignment horizontal="center" vertical="center" wrapText="1"/>
    </xf>
    <xf numFmtId="0" fontId="61" fillId="0" borderId="24" xfId="0" applyFont="1" applyBorder="1" applyAlignment="1">
      <alignment horizontal="center" vertical="center" wrapText="1"/>
    </xf>
    <xf numFmtId="0" fontId="61" fillId="3" borderId="24" xfId="0" applyFont="1" applyFill="1" applyBorder="1" applyAlignment="1">
      <alignment horizontal="center" vertical="center" wrapText="1"/>
    </xf>
    <xf numFmtId="0" fontId="62" fillId="0" borderId="25" xfId="0" applyFont="1" applyBorder="1" applyAlignment="1">
      <alignment horizontal="center" vertical="center"/>
    </xf>
    <xf numFmtId="0" fontId="62" fillId="0" borderId="26" xfId="0" applyFont="1" applyBorder="1" applyAlignment="1">
      <alignment horizontal="left"/>
    </xf>
    <xf numFmtId="3" fontId="63" fillId="0" borderId="29" xfId="0" applyNumberFormat="1" applyFont="1" applyBorder="1" applyAlignment="1">
      <alignment horizontal="center"/>
    </xf>
    <xf numFmtId="10" fontId="97" fillId="0" borderId="26" xfId="0" applyNumberFormat="1" applyFont="1" applyBorder="1" applyAlignment="1">
      <alignment horizontal="right"/>
    </xf>
    <xf numFmtId="10" fontId="97" fillId="3" borderId="27" xfId="0" applyNumberFormat="1" applyFont="1" applyFill="1" applyBorder="1" applyAlignment="1">
      <alignment horizontal="right"/>
    </xf>
    <xf numFmtId="0" fontId="62" fillId="0" borderId="28" xfId="0" applyFont="1" applyBorder="1" applyAlignment="1">
      <alignment horizontal="center" vertical="center"/>
    </xf>
    <xf numFmtId="0" fontId="62" fillId="0" borderId="29" xfId="0" applyFont="1" applyBorder="1" applyAlignment="1">
      <alignment horizontal="left"/>
    </xf>
    <xf numFmtId="10" fontId="97" fillId="0" borderId="27" xfId="0" applyNumberFormat="1" applyFont="1" applyBorder="1" applyAlignment="1">
      <alignment horizontal="right"/>
    </xf>
    <xf numFmtId="10" fontId="98" fillId="0" borderId="27" xfId="0" applyNumberFormat="1" applyFont="1" applyBorder="1" applyAlignment="1">
      <alignment horizontal="right"/>
    </xf>
    <xf numFmtId="0" fontId="62" fillId="0" borderId="31" xfId="0" applyFont="1" applyBorder="1" applyAlignment="1">
      <alignment horizontal="left"/>
    </xf>
    <xf numFmtId="3" fontId="63" fillId="0" borderId="31" xfId="0" applyNumberFormat="1" applyFont="1" applyBorder="1" applyAlignment="1">
      <alignment horizontal="center"/>
    </xf>
    <xf numFmtId="0" fontId="62" fillId="0" borderId="32" xfId="0" applyFont="1" applyBorder="1"/>
    <xf numFmtId="0" fontId="62" fillId="0" borderId="33" xfId="0" applyFont="1" applyBorder="1" applyAlignment="1">
      <alignment horizontal="left"/>
    </xf>
    <xf numFmtId="3" fontId="62" fillId="0" borderId="33" xfId="0" applyNumberFormat="1" applyFont="1" applyBorder="1" applyAlignment="1">
      <alignment horizontal="right"/>
    </xf>
    <xf numFmtId="10" fontId="62" fillId="0" borderId="34" xfId="0" applyNumberFormat="1" applyFont="1" applyBorder="1" applyAlignment="1">
      <alignment horizontal="right"/>
    </xf>
    <xf numFmtId="10" fontId="62" fillId="3" borderId="34" xfId="0" applyNumberFormat="1" applyFont="1" applyFill="1" applyBorder="1" applyAlignment="1">
      <alignment horizontal="right"/>
    </xf>
    <xf numFmtId="0" fontId="65" fillId="0" borderId="46" xfId="0" applyFont="1" applyBorder="1" applyAlignment="1">
      <alignment horizontal="center"/>
    </xf>
    <xf numFmtId="0" fontId="65" fillId="3" borderId="47" xfId="0" applyFont="1" applyFill="1" applyBorder="1" applyAlignment="1">
      <alignment horizontal="center"/>
    </xf>
    <xf numFmtId="0" fontId="65" fillId="0" borderId="47" xfId="0" applyFont="1" applyBorder="1" applyAlignment="1">
      <alignment horizontal="center"/>
    </xf>
    <xf numFmtId="164" fontId="66" fillId="0" borderId="52" xfId="7" applyNumberFormat="1" applyFont="1" applyFill="1" applyBorder="1" applyAlignment="1">
      <alignment horizontal="center"/>
    </xf>
    <xf numFmtId="164" fontId="99" fillId="3" borderId="52" xfId="7" applyNumberFormat="1" applyFont="1" applyFill="1" applyBorder="1" applyAlignment="1">
      <alignment horizontal="center"/>
    </xf>
    <xf numFmtId="0" fontId="65" fillId="3" borderId="53" xfId="0" applyFont="1" applyFill="1" applyBorder="1" applyAlignment="1">
      <alignment horizontal="center"/>
    </xf>
    <xf numFmtId="0" fontId="65" fillId="0" borderId="56" xfId="0" applyFont="1" applyBorder="1" applyAlignment="1">
      <alignment horizontal="center"/>
    </xf>
    <xf numFmtId="164" fontId="65" fillId="0" borderId="57" xfId="7" applyNumberFormat="1" applyFont="1" applyFill="1" applyBorder="1" applyAlignment="1">
      <alignment horizontal="center"/>
    </xf>
    <xf numFmtId="0" fontId="67" fillId="4" borderId="66" xfId="0" applyFont="1" applyFill="1" applyBorder="1" applyAlignment="1">
      <alignment horizontal="center" vertical="center" wrapText="1"/>
    </xf>
    <xf numFmtId="10" fontId="98" fillId="3" borderId="27" xfId="0" applyNumberFormat="1" applyFont="1" applyFill="1" applyBorder="1" applyAlignment="1">
      <alignment horizontal="right"/>
    </xf>
    <xf numFmtId="0" fontId="62" fillId="0" borderId="113" xfId="0" applyFont="1" applyBorder="1" applyAlignment="1">
      <alignment horizontal="center" vertical="center"/>
    </xf>
    <xf numFmtId="164" fontId="8" fillId="0" borderId="114" xfId="0" applyNumberFormat="1" applyFont="1" applyBorder="1" applyAlignment="1">
      <alignment horizontal="center" vertical="center"/>
    </xf>
    <xf numFmtId="0" fontId="35" fillId="0" borderId="0" xfId="0" applyFont="1" applyAlignment="1">
      <alignment horizontal="center"/>
    </xf>
    <xf numFmtId="0" fontId="35" fillId="0" borderId="0" xfId="0" applyFont="1"/>
    <xf numFmtId="2" fontId="35" fillId="0" borderId="0" xfId="0" applyNumberFormat="1" applyFont="1"/>
    <xf numFmtId="3" fontId="35" fillId="0" borderId="0" xfId="0" applyNumberFormat="1" applyFont="1" applyAlignment="1">
      <alignment horizontal="center"/>
    </xf>
    <xf numFmtId="165" fontId="35" fillId="0" borderId="0" xfId="0" applyNumberFormat="1" applyFont="1" applyAlignment="1">
      <alignment horizontal="center"/>
    </xf>
    <xf numFmtId="0" fontId="49" fillId="8" borderId="3" xfId="0" applyFont="1" applyFill="1" applyBorder="1" applyAlignment="1">
      <alignment horizontal="center"/>
    </xf>
    <xf numFmtId="165" fontId="63" fillId="0" borderId="29" xfId="0" applyNumberFormat="1" applyFont="1" applyBorder="1" applyAlignment="1">
      <alignment horizontal="center"/>
    </xf>
    <xf numFmtId="3" fontId="0" fillId="0" borderId="0" xfId="0" applyNumberFormat="1"/>
    <xf numFmtId="10" fontId="62" fillId="0" borderId="73" xfId="0" applyNumberFormat="1" applyFont="1" applyBorder="1" applyAlignment="1">
      <alignment horizontal="right"/>
    </xf>
    <xf numFmtId="0" fontId="67" fillId="0" borderId="115" xfId="0" applyFont="1" applyBorder="1" applyAlignment="1">
      <alignment horizontal="center" vertical="center" wrapText="1"/>
    </xf>
    <xf numFmtId="3" fontId="67" fillId="0" borderId="17" xfId="0" applyNumberFormat="1" applyFont="1" applyBorder="1" applyAlignment="1">
      <alignment horizontal="center" vertical="center" wrapText="1"/>
    </xf>
    <xf numFmtId="3" fontId="67" fillId="0" borderId="116" xfId="0" applyNumberFormat="1" applyFont="1" applyBorder="1" applyAlignment="1">
      <alignment horizontal="center" vertical="center" wrapText="1"/>
    </xf>
    <xf numFmtId="10" fontId="41" fillId="0" borderId="76" xfId="0" applyNumberFormat="1" applyFont="1" applyBorder="1" applyAlignment="1">
      <alignment horizontal="center" vertical="center"/>
    </xf>
    <xf numFmtId="164" fontId="67" fillId="2" borderId="83" xfId="0" applyNumberFormat="1" applyFont="1" applyFill="1" applyBorder="1" applyAlignment="1">
      <alignment horizontal="center" vertical="center"/>
    </xf>
    <xf numFmtId="164" fontId="67" fillId="4" borderId="117" xfId="7" applyNumberFormat="1" applyFont="1" applyFill="1" applyBorder="1" applyAlignment="1">
      <alignment horizontal="center" vertical="center"/>
    </xf>
    <xf numFmtId="10" fontId="63" fillId="0" borderId="27" xfId="0" applyNumberFormat="1" applyFont="1" applyBorder="1" applyAlignment="1">
      <alignment horizontal="right"/>
    </xf>
    <xf numFmtId="10" fontId="63" fillId="3" borderId="27" xfId="0" applyNumberFormat="1" applyFont="1" applyFill="1" applyBorder="1" applyAlignment="1">
      <alignment horizontal="right"/>
    </xf>
    <xf numFmtId="0" fontId="20" fillId="8" borderId="1" xfId="0" applyFont="1" applyFill="1" applyBorder="1" applyAlignment="1">
      <alignment horizontal="center" vertical="center" wrapText="1"/>
    </xf>
    <xf numFmtId="164" fontId="8" fillId="8" borderId="114" xfId="0" applyNumberFormat="1" applyFont="1" applyFill="1" applyBorder="1" applyAlignment="1">
      <alignment horizontal="center" vertical="center"/>
    </xf>
    <xf numFmtId="0" fontId="20" fillId="8" borderId="2" xfId="0" applyFont="1" applyFill="1" applyBorder="1" applyAlignment="1">
      <alignment horizontal="center" vertical="center" wrapText="1"/>
    </xf>
    <xf numFmtId="164" fontId="8" fillId="0" borderId="114" xfId="8" applyNumberFormat="1" applyFont="1" applyFill="1" applyBorder="1" applyAlignment="1">
      <alignment horizontal="center" vertical="center"/>
    </xf>
    <xf numFmtId="164" fontId="8" fillId="0" borderId="84" xfId="7" applyNumberFormat="1" applyFont="1" applyFill="1" applyBorder="1" applyAlignment="1">
      <alignment horizontal="center" vertical="center"/>
    </xf>
    <xf numFmtId="164" fontId="40" fillId="0" borderId="14" xfId="0" applyNumberFormat="1" applyFont="1" applyBorder="1" applyAlignment="1">
      <alignment horizontal="center" vertical="center"/>
    </xf>
    <xf numFmtId="10" fontId="62" fillId="0" borderId="4" xfId="0" applyNumberFormat="1" applyFont="1" applyBorder="1" applyAlignment="1">
      <alignment horizontal="right" vertical="center"/>
    </xf>
    <xf numFmtId="10" fontId="63" fillId="0" borderId="26" xfId="0" applyNumberFormat="1" applyFont="1" applyBorder="1" applyAlignment="1">
      <alignment horizontal="right"/>
    </xf>
    <xf numFmtId="10" fontId="100" fillId="0" borderId="26" xfId="0" applyNumberFormat="1" applyFont="1" applyBorder="1" applyAlignment="1">
      <alignment horizontal="right"/>
    </xf>
    <xf numFmtId="10" fontId="100" fillId="0" borderId="27" xfId="0" applyNumberFormat="1" applyFont="1" applyBorder="1" applyAlignment="1">
      <alignment horizontal="right"/>
    </xf>
    <xf numFmtId="10" fontId="100" fillId="3" borderId="27" xfId="0" applyNumberFormat="1" applyFont="1" applyFill="1" applyBorder="1" applyAlignment="1">
      <alignment horizontal="right"/>
    </xf>
    <xf numFmtId="10" fontId="40" fillId="0" borderId="14" xfId="0" applyNumberFormat="1" applyFont="1" applyBorder="1" applyAlignment="1">
      <alignment horizontal="center" vertical="center"/>
    </xf>
    <xf numFmtId="10" fontId="62" fillId="0" borderId="57" xfId="0" applyNumberFormat="1" applyFont="1" applyBorder="1" applyAlignment="1">
      <alignment horizontal="right"/>
    </xf>
    <xf numFmtId="10" fontId="67" fillId="2" borderId="83" xfId="0" applyNumberFormat="1" applyFont="1" applyFill="1" applyBorder="1" applyAlignment="1">
      <alignment horizontal="center" vertical="center"/>
    </xf>
    <xf numFmtId="10" fontId="8" fillId="0" borderId="84" xfId="7" applyNumberFormat="1" applyFont="1" applyFill="1" applyBorder="1" applyAlignment="1">
      <alignment horizontal="center" vertical="center"/>
    </xf>
    <xf numFmtId="10" fontId="101" fillId="0" borderId="26" xfId="0" applyNumberFormat="1" applyFont="1" applyBorder="1" applyAlignment="1">
      <alignment horizontal="right"/>
    </xf>
    <xf numFmtId="10" fontId="101" fillId="0" borderId="27" xfId="0" applyNumberFormat="1" applyFont="1" applyBorder="1" applyAlignment="1">
      <alignment horizontal="right"/>
    </xf>
    <xf numFmtId="10" fontId="101" fillId="3" borderId="27" xfId="0" applyNumberFormat="1" applyFont="1" applyFill="1" applyBorder="1" applyAlignment="1">
      <alignment horizontal="right"/>
    </xf>
    <xf numFmtId="2" fontId="89" fillId="0" borderId="0" xfId="0" applyNumberFormat="1" applyFont="1"/>
    <xf numFmtId="0" fontId="20" fillId="8" borderId="10" xfId="0" applyFont="1" applyFill="1" applyBorder="1" applyAlignment="1">
      <alignment horizontal="center" vertical="center" wrapText="1"/>
    </xf>
    <xf numFmtId="0" fontId="20" fillId="8" borderId="11" xfId="0" applyFont="1" applyFill="1" applyBorder="1" applyAlignment="1">
      <alignment horizontal="center" vertical="center" wrapText="1"/>
    </xf>
    <xf numFmtId="0" fontId="23" fillId="8" borderId="1" xfId="0" applyFont="1" applyFill="1" applyBorder="1" applyAlignment="1">
      <alignment horizontal="center" vertical="center" wrapText="1"/>
    </xf>
    <xf numFmtId="3" fontId="42" fillId="0" borderId="0" xfId="0" applyNumberFormat="1" applyFont="1"/>
    <xf numFmtId="10" fontId="67" fillId="4" borderId="117" xfId="7" applyNumberFormat="1" applyFont="1" applyFill="1" applyBorder="1" applyAlignment="1">
      <alignment horizontal="center" vertical="center"/>
    </xf>
    <xf numFmtId="164" fontId="8" fillId="0" borderId="63" xfId="0" applyNumberFormat="1" applyFont="1" applyBorder="1" applyAlignment="1">
      <alignment horizontal="center" vertical="center"/>
    </xf>
    <xf numFmtId="0" fontId="35" fillId="8" borderId="0" xfId="0" applyFont="1" applyFill="1"/>
    <xf numFmtId="2" fontId="35" fillId="8" borderId="0" xfId="0" applyNumberFormat="1" applyFont="1" applyFill="1"/>
    <xf numFmtId="0" fontId="35" fillId="8" borderId="0" xfId="0" applyFont="1" applyFill="1" applyAlignment="1">
      <alignment horizontal="center"/>
    </xf>
    <xf numFmtId="0" fontId="0" fillId="8" borderId="0" xfId="0" applyFill="1"/>
    <xf numFmtId="10" fontId="21" fillId="8" borderId="4" xfId="0" applyNumberFormat="1" applyFont="1" applyFill="1" applyBorder="1" applyAlignment="1">
      <alignment horizontal="center" vertical="center"/>
    </xf>
    <xf numFmtId="0" fontId="0" fillId="8" borderId="0" xfId="0" applyFill="1" applyAlignment="1">
      <alignment horizontal="center"/>
    </xf>
    <xf numFmtId="3" fontId="35" fillId="8" borderId="0" xfId="0" applyNumberFormat="1" applyFont="1" applyFill="1" applyAlignment="1">
      <alignment horizontal="center"/>
    </xf>
    <xf numFmtId="165" fontId="35" fillId="8" borderId="0" xfId="0" applyNumberFormat="1" applyFont="1" applyFill="1" applyAlignment="1">
      <alignment horizontal="center"/>
    </xf>
    <xf numFmtId="10" fontId="29" fillId="8" borderId="4" xfId="0" applyNumberFormat="1" applyFont="1" applyFill="1" applyBorder="1" applyAlignment="1">
      <alignment horizontal="right"/>
    </xf>
    <xf numFmtId="0" fontId="29" fillId="8" borderId="0" xfId="0" applyFont="1" applyFill="1" applyAlignment="1">
      <alignment horizontal="center"/>
    </xf>
    <xf numFmtId="16" fontId="21" fillId="0" borderId="3" xfId="0" applyNumberFormat="1" applyFont="1" applyBorder="1" applyAlignment="1">
      <alignment horizontal="center" vertical="center"/>
    </xf>
    <xf numFmtId="10" fontId="58" fillId="0" borderId="0" xfId="7" applyNumberFormat="1" applyFont="1" applyFill="1"/>
    <xf numFmtId="2" fontId="40" fillId="0" borderId="4" xfId="0" applyNumberFormat="1" applyFont="1" applyBorder="1" applyAlignment="1">
      <alignment horizontal="center" vertical="center"/>
    </xf>
    <xf numFmtId="0" fontId="20" fillId="8" borderId="115" xfId="0" applyFont="1" applyFill="1" applyBorder="1" applyAlignment="1">
      <alignment horizontal="center" vertical="center" wrapText="1"/>
    </xf>
    <xf numFmtId="0" fontId="20" fillId="8" borderId="12" xfId="0" applyFont="1" applyFill="1" applyBorder="1" applyAlignment="1">
      <alignment horizontal="center" vertical="center" wrapText="1"/>
    </xf>
    <xf numFmtId="164" fontId="66" fillId="3" borderId="118" xfId="7" applyNumberFormat="1" applyFont="1" applyFill="1" applyBorder="1" applyAlignment="1">
      <alignment horizontal="center"/>
    </xf>
    <xf numFmtId="164" fontId="8" fillId="8" borderId="84" xfId="0" applyNumberFormat="1" applyFont="1" applyFill="1" applyBorder="1" applyAlignment="1">
      <alignment horizontal="center" vertical="center"/>
    </xf>
    <xf numFmtId="3" fontId="64" fillId="0" borderId="119" xfId="0" applyNumberFormat="1" applyFont="1" applyBorder="1" applyAlignment="1">
      <alignment horizontal="center" vertical="center" wrapText="1"/>
    </xf>
    <xf numFmtId="3" fontId="64" fillId="0" borderId="75" xfId="0" applyNumberFormat="1" applyFont="1" applyBorder="1" applyAlignment="1">
      <alignment horizontal="center" vertical="center" wrapText="1"/>
    </xf>
    <xf numFmtId="3" fontId="64" fillId="0" borderId="120" xfId="0" applyNumberFormat="1" applyFont="1" applyBorder="1" applyAlignment="1">
      <alignment horizontal="center" vertical="center" wrapText="1"/>
    </xf>
    <xf numFmtId="0" fontId="65" fillId="0" borderId="53" xfId="0" applyFont="1" applyBorder="1" applyAlignment="1">
      <alignment horizontal="center"/>
    </xf>
    <xf numFmtId="164" fontId="66" fillId="0" borderId="121" xfId="7" applyNumberFormat="1" applyFont="1" applyFill="1" applyBorder="1" applyAlignment="1">
      <alignment horizontal="center"/>
    </xf>
    <xf numFmtId="10" fontId="62" fillId="0" borderId="48" xfId="0" applyNumberFormat="1" applyFont="1" applyBorder="1" applyAlignment="1">
      <alignment horizontal="right"/>
    </xf>
    <xf numFmtId="10" fontId="62" fillId="0" borderId="50" xfId="0" applyNumberFormat="1" applyFont="1" applyBorder="1" applyAlignment="1">
      <alignment horizontal="right"/>
    </xf>
    <xf numFmtId="10" fontId="62" fillId="0" borderId="121" xfId="0" applyNumberFormat="1" applyFont="1" applyBorder="1" applyAlignment="1">
      <alignment horizontal="right"/>
    </xf>
    <xf numFmtId="10" fontId="62" fillId="0" borderId="44" xfId="0" applyNumberFormat="1" applyFont="1" applyBorder="1" applyAlignment="1">
      <alignment horizontal="right"/>
    </xf>
    <xf numFmtId="0" fontId="61" fillId="0" borderId="0" xfId="0" applyFont="1" applyAlignment="1">
      <alignment vertical="center" wrapText="1"/>
    </xf>
    <xf numFmtId="3" fontId="60" fillId="0" borderId="0" xfId="0" applyNumberFormat="1" applyFont="1" applyAlignment="1">
      <alignment vertical="center"/>
    </xf>
    <xf numFmtId="0" fontId="62" fillId="0" borderId="18" xfId="0" applyFont="1" applyBorder="1" applyAlignment="1">
      <alignment horizontal="left"/>
    </xf>
    <xf numFmtId="3" fontId="63" fillId="0" borderId="18" xfId="0" applyNumberFormat="1" applyFont="1" applyBorder="1" applyAlignment="1">
      <alignment horizontal="center"/>
    </xf>
    <xf numFmtId="0" fontId="36" fillId="0" borderId="0" xfId="0" applyFont="1"/>
    <xf numFmtId="0" fontId="102" fillId="0" borderId="0" xfId="0" applyFont="1"/>
    <xf numFmtId="0" fontId="21" fillId="0" borderId="80" xfId="0" applyFont="1" applyBorder="1" applyAlignment="1">
      <alignment horizontal="center" vertical="center"/>
    </xf>
    <xf numFmtId="10" fontId="99" fillId="3" borderId="52" xfId="7" applyNumberFormat="1" applyFont="1" applyFill="1" applyBorder="1" applyAlignment="1">
      <alignment horizontal="center"/>
    </xf>
    <xf numFmtId="0" fontId="65" fillId="0" borderId="0" xfId="0" applyFont="1" applyAlignment="1">
      <alignment horizontal="center"/>
    </xf>
    <xf numFmtId="164" fontId="65" fillId="0" borderId="0" xfId="7" applyNumberFormat="1" applyFont="1" applyFill="1" applyBorder="1" applyAlignment="1">
      <alignment horizontal="center"/>
    </xf>
    <xf numFmtId="10" fontId="62" fillId="0" borderId="0" xfId="0" applyNumberFormat="1" applyFont="1" applyAlignment="1">
      <alignment horizontal="right"/>
    </xf>
    <xf numFmtId="164" fontId="8" fillId="0" borderId="0" xfId="0" applyNumberFormat="1" applyFont="1" applyAlignment="1">
      <alignment horizontal="center" vertical="center"/>
    </xf>
    <xf numFmtId="2" fontId="21" fillId="0" borderId="35" xfId="0" applyNumberFormat="1" applyFont="1" applyBorder="1" applyAlignment="1">
      <alignment horizontal="center" vertical="center"/>
    </xf>
    <xf numFmtId="0" fontId="8" fillId="0" borderId="0" xfId="0" applyFont="1" applyAlignment="1">
      <alignment horizontal="center" vertical="center"/>
    </xf>
    <xf numFmtId="3" fontId="8" fillId="0" borderId="0" xfId="0" applyNumberFormat="1" applyFont="1" applyAlignment="1">
      <alignment horizontal="center" vertical="center"/>
    </xf>
    <xf numFmtId="20" fontId="8" fillId="0" borderId="0" xfId="0" applyNumberFormat="1" applyFont="1" applyAlignment="1">
      <alignment horizontal="center" vertical="center"/>
    </xf>
    <xf numFmtId="165" fontId="8" fillId="0" borderId="0" xfId="0" applyNumberFormat="1" applyFont="1" applyAlignment="1">
      <alignment horizontal="center" vertical="center"/>
    </xf>
    <xf numFmtId="1" fontId="8" fillId="0" borderId="0" xfId="0" applyNumberFormat="1" applyFont="1" applyAlignment="1">
      <alignment horizontal="center" vertical="center"/>
    </xf>
    <xf numFmtId="169" fontId="8" fillId="0" borderId="0" xfId="0" applyNumberFormat="1" applyFont="1" applyAlignment="1">
      <alignment horizontal="center" vertical="center"/>
    </xf>
    <xf numFmtId="9" fontId="8" fillId="0" borderId="0" xfId="7" applyFont="1" applyFill="1" applyBorder="1" applyAlignment="1">
      <alignment horizontal="center" vertical="center"/>
    </xf>
    <xf numFmtId="164" fontId="29" fillId="0" borderId="0" xfId="0" applyNumberFormat="1" applyFont="1" applyAlignment="1">
      <alignment horizontal="right"/>
    </xf>
    <xf numFmtId="164" fontId="8" fillId="0" borderId="0" xfId="7" applyNumberFormat="1" applyFont="1" applyFill="1" applyBorder="1" applyAlignment="1">
      <alignment horizontal="center" vertical="center"/>
    </xf>
    <xf numFmtId="9" fontId="42" fillId="0" borderId="0" xfId="7" applyFont="1" applyFill="1"/>
    <xf numFmtId="0" fontId="42" fillId="8" borderId="0" xfId="0" applyFont="1" applyFill="1"/>
    <xf numFmtId="2" fontId="42" fillId="8" borderId="0" xfId="0" applyNumberFormat="1" applyFont="1" applyFill="1"/>
    <xf numFmtId="0" fontId="42" fillId="8" borderId="0" xfId="0" applyFont="1" applyFill="1" applyAlignment="1">
      <alignment horizontal="center"/>
    </xf>
    <xf numFmtId="0" fontId="89" fillId="0" borderId="0" xfId="0" applyFont="1" applyAlignment="1">
      <alignment vertical="center" wrapText="1"/>
    </xf>
    <xf numFmtId="3" fontId="42" fillId="8" borderId="0" xfId="0" applyNumberFormat="1" applyFont="1" applyFill="1" applyAlignment="1">
      <alignment horizontal="center"/>
    </xf>
    <xf numFmtId="165" fontId="42" fillId="8" borderId="0" xfId="0" applyNumberFormat="1" applyFont="1" applyFill="1" applyAlignment="1">
      <alignment horizontal="center"/>
    </xf>
    <xf numFmtId="0" fontId="103" fillId="0" borderId="0" xfId="0" applyFont="1"/>
    <xf numFmtId="3" fontId="62" fillId="0" borderId="33" xfId="0" applyNumberFormat="1" applyFont="1" applyBorder="1" applyAlignment="1">
      <alignment horizontal="center"/>
    </xf>
    <xf numFmtId="0" fontId="0" fillId="0" borderId="0" xfId="0" applyAlignment="1">
      <alignment horizontal="right"/>
    </xf>
    <xf numFmtId="0" fontId="62" fillId="0" borderId="32" xfId="0" applyFont="1" applyBorder="1" applyAlignment="1">
      <alignment horizontal="right"/>
    </xf>
    <xf numFmtId="0" fontId="62" fillId="0" borderId="33" xfId="0" applyFont="1" applyBorder="1" applyAlignment="1">
      <alignment horizontal="right"/>
    </xf>
    <xf numFmtId="3" fontId="60" fillId="0" borderId="0" xfId="0" applyNumberFormat="1" applyFont="1" applyAlignment="1">
      <alignment horizontal="right" vertical="center"/>
    </xf>
    <xf numFmtId="0" fontId="42" fillId="0" borderId="0" xfId="0" applyFont="1" applyAlignment="1">
      <alignment horizontal="right"/>
    </xf>
    <xf numFmtId="9" fontId="42" fillId="0" borderId="0" xfId="7" applyFont="1" applyFill="1" applyAlignment="1">
      <alignment horizontal="right"/>
    </xf>
    <xf numFmtId="0" fontId="29" fillId="0" borderId="0" xfId="0" applyFont="1" applyAlignment="1">
      <alignment horizontal="right"/>
    </xf>
    <xf numFmtId="164" fontId="42" fillId="0" borderId="0" xfId="0" applyNumberFormat="1" applyFont="1" applyAlignment="1">
      <alignment horizontal="right"/>
    </xf>
    <xf numFmtId="1" fontId="21" fillId="11" borderId="16" xfId="0" applyNumberFormat="1" applyFont="1" applyFill="1" applyBorder="1" applyAlignment="1">
      <alignment vertical="center"/>
    </xf>
    <xf numFmtId="164" fontId="62" fillId="0" borderId="34" xfId="0" applyNumberFormat="1" applyFont="1" applyBorder="1" applyAlignment="1">
      <alignment horizontal="right"/>
    </xf>
    <xf numFmtId="164" fontId="62" fillId="3" borderId="34" xfId="0" applyNumberFormat="1" applyFont="1" applyFill="1" applyBorder="1" applyAlignment="1">
      <alignment horizontal="right"/>
    </xf>
    <xf numFmtId="0" fontId="21" fillId="0" borderId="15" xfId="0" applyFont="1" applyBorder="1" applyAlignment="1">
      <alignment horizontal="center" vertical="center"/>
    </xf>
    <xf numFmtId="0" fontId="20" fillId="8" borderId="116" xfId="0" applyFont="1" applyFill="1" applyBorder="1" applyAlignment="1">
      <alignment horizontal="center" vertical="center" wrapText="1"/>
    </xf>
    <xf numFmtId="164" fontId="8" fillId="0" borderId="90" xfId="7" applyNumberFormat="1" applyFont="1" applyFill="1" applyBorder="1" applyAlignment="1">
      <alignment horizontal="center" vertical="center"/>
    </xf>
    <xf numFmtId="3" fontId="8" fillId="14" borderId="0" xfId="0" applyNumberFormat="1" applyFont="1" applyFill="1" applyAlignment="1">
      <alignment horizontal="center" vertical="center"/>
    </xf>
    <xf numFmtId="169" fontId="8" fillId="14" borderId="0" xfId="0" applyNumberFormat="1" applyFont="1" applyFill="1" applyAlignment="1">
      <alignment horizontal="center" vertical="center"/>
    </xf>
    <xf numFmtId="9" fontId="8" fillId="14" borderId="0" xfId="7" applyFont="1" applyFill="1" applyBorder="1" applyAlignment="1">
      <alignment horizontal="center" vertical="center"/>
    </xf>
    <xf numFmtId="1" fontId="8" fillId="14" borderId="0" xfId="0" applyNumberFormat="1" applyFont="1" applyFill="1" applyAlignment="1">
      <alignment horizontal="center" vertical="center"/>
    </xf>
    <xf numFmtId="164" fontId="68" fillId="14" borderId="0" xfId="0" applyNumberFormat="1" applyFont="1" applyFill="1" applyAlignment="1">
      <alignment horizontal="right" vertical="center"/>
    </xf>
    <xf numFmtId="164" fontId="67" fillId="14" borderId="0" xfId="0" applyNumberFormat="1" applyFont="1" applyFill="1" applyAlignment="1">
      <alignment horizontal="center" vertical="center"/>
    </xf>
    <xf numFmtId="164" fontId="67" fillId="14" borderId="0" xfId="7" applyNumberFormat="1" applyFont="1" applyFill="1" applyBorder="1" applyAlignment="1">
      <alignment horizontal="center" vertical="center"/>
    </xf>
    <xf numFmtId="3" fontId="68" fillId="15" borderId="0" xfId="0" applyNumberFormat="1" applyFont="1" applyFill="1" applyAlignment="1">
      <alignment horizontal="center"/>
    </xf>
    <xf numFmtId="3" fontId="68" fillId="0" borderId="0" xfId="0" applyNumberFormat="1" applyFont="1" applyAlignment="1">
      <alignment horizontal="center"/>
    </xf>
    <xf numFmtId="1" fontId="21" fillId="0" borderId="35" xfId="0" applyNumberFormat="1" applyFont="1" applyBorder="1" applyAlignment="1">
      <alignment horizontal="center" vertical="center"/>
    </xf>
    <xf numFmtId="164" fontId="8" fillId="8" borderId="123" xfId="0" applyNumberFormat="1" applyFont="1" applyFill="1" applyBorder="1" applyAlignment="1">
      <alignment horizontal="center" vertical="center"/>
    </xf>
    <xf numFmtId="164" fontId="8" fillId="8" borderId="124" xfId="0" applyNumberFormat="1" applyFont="1" applyFill="1" applyBorder="1" applyAlignment="1">
      <alignment horizontal="center" vertical="center"/>
    </xf>
    <xf numFmtId="164" fontId="8" fillId="0" borderId="84" xfId="0" applyNumberFormat="1" applyFont="1" applyBorder="1" applyAlignment="1">
      <alignment horizontal="center" vertical="center"/>
    </xf>
    <xf numFmtId="1" fontId="21" fillId="11" borderId="15" xfId="0" applyNumberFormat="1" applyFont="1" applyFill="1" applyBorder="1" applyAlignment="1">
      <alignment horizontal="center" vertical="center"/>
    </xf>
    <xf numFmtId="0" fontId="12" fillId="8" borderId="0" xfId="0" applyFont="1" applyFill="1"/>
    <xf numFmtId="0" fontId="42" fillId="14" borderId="0" xfId="0" applyFont="1" applyFill="1" applyAlignment="1">
      <alignment vertical="center"/>
    </xf>
    <xf numFmtId="0" fontId="8" fillId="14" borderId="0" xfId="0" applyFont="1" applyFill="1" applyAlignment="1">
      <alignment horizontal="center" vertical="center" wrapText="1"/>
    </xf>
    <xf numFmtId="0" fontId="8" fillId="14" borderId="0" xfId="0" applyFont="1" applyFill="1" applyAlignment="1">
      <alignment horizontal="center" vertical="center"/>
    </xf>
    <xf numFmtId="20" fontId="8" fillId="14" borderId="0" xfId="0" applyNumberFormat="1" applyFont="1" applyFill="1" applyAlignment="1">
      <alignment horizontal="center" vertical="center"/>
    </xf>
    <xf numFmtId="165" fontId="8" fillId="14" borderId="0" xfId="0" applyNumberFormat="1" applyFont="1" applyFill="1" applyAlignment="1">
      <alignment horizontal="center" vertical="center"/>
    </xf>
    <xf numFmtId="1" fontId="8" fillId="14" borderId="37" xfId="0" applyNumberFormat="1" applyFont="1" applyFill="1" applyBorder="1" applyAlignment="1">
      <alignment horizontal="center" vertical="center"/>
    </xf>
    <xf numFmtId="0" fontId="8" fillId="14" borderId="0" xfId="0" applyFont="1" applyFill="1" applyAlignment="1">
      <alignment horizontal="left" vertical="center"/>
    </xf>
    <xf numFmtId="0" fontId="20" fillId="11" borderId="125" xfId="0" applyFont="1" applyFill="1" applyBorder="1" applyAlignment="1">
      <alignment horizontal="center" vertical="center" wrapText="1"/>
    </xf>
    <xf numFmtId="0" fontId="20" fillId="0" borderId="125" xfId="0" applyFont="1" applyBorder="1" applyAlignment="1">
      <alignment horizontal="center" vertical="center" wrapText="1"/>
    </xf>
    <xf numFmtId="164" fontId="8" fillId="0" borderId="84" xfId="8" applyNumberFormat="1" applyFont="1" applyBorder="1" applyAlignment="1">
      <alignment horizontal="center" vertical="center"/>
    </xf>
    <xf numFmtId="164" fontId="104" fillId="14" borderId="0" xfId="0" applyNumberFormat="1" applyFont="1" applyFill="1" applyAlignment="1">
      <alignment horizontal="center" vertical="center"/>
    </xf>
    <xf numFmtId="164" fontId="104" fillId="14" borderId="0" xfId="7" applyNumberFormat="1" applyFont="1" applyFill="1" applyBorder="1" applyAlignment="1">
      <alignment horizontal="center" vertical="center"/>
    </xf>
    <xf numFmtId="164" fontId="68" fillId="14" borderId="0" xfId="0" applyNumberFormat="1" applyFont="1" applyFill="1" applyAlignment="1">
      <alignment horizontal="center" vertical="center"/>
    </xf>
    <xf numFmtId="0" fontId="20" fillId="8" borderId="17" xfId="0" applyFont="1" applyFill="1" applyBorder="1" applyAlignment="1">
      <alignment horizontal="center" vertical="center" wrapText="1"/>
    </xf>
    <xf numFmtId="0" fontId="20" fillId="11" borderId="17" xfId="0" applyFont="1" applyFill="1" applyBorder="1" applyAlignment="1">
      <alignment horizontal="center" vertical="center" wrapText="1"/>
    </xf>
    <xf numFmtId="0" fontId="20" fillId="0" borderId="17" xfId="0" applyFont="1" applyBorder="1" applyAlignment="1">
      <alignment horizontal="center" vertical="center" wrapText="1"/>
    </xf>
    <xf numFmtId="3" fontId="63" fillId="0" borderId="3" xfId="0" applyNumberFormat="1" applyFont="1" applyBorder="1" applyAlignment="1">
      <alignment horizontal="center"/>
    </xf>
    <xf numFmtId="0" fontId="22" fillId="0" borderId="17" xfId="0" applyFont="1" applyBorder="1" applyAlignment="1">
      <alignment horizontal="center" vertical="center" wrapText="1"/>
    </xf>
    <xf numFmtId="0" fontId="23" fillId="8" borderId="12" xfId="0" applyFont="1" applyFill="1" applyBorder="1" applyAlignment="1">
      <alignment horizontal="center" vertical="center" wrapText="1"/>
    </xf>
    <xf numFmtId="164" fontId="8" fillId="0" borderId="3" xfId="0" applyNumberFormat="1" applyFont="1" applyBorder="1" applyAlignment="1">
      <alignment vertical="center"/>
    </xf>
    <xf numFmtId="164" fontId="8" fillId="0" borderId="126" xfId="0" applyNumberFormat="1" applyFont="1" applyBorder="1" applyAlignment="1">
      <alignment horizontal="center" vertical="center"/>
    </xf>
    <xf numFmtId="164" fontId="8" fillId="8" borderId="126" xfId="0" applyNumberFormat="1" applyFont="1" applyFill="1" applyBorder="1" applyAlignment="1">
      <alignment horizontal="center" vertical="center"/>
    </xf>
    <xf numFmtId="164" fontId="8" fillId="0" borderId="126" xfId="8" applyNumberFormat="1" applyFont="1" applyFill="1" applyBorder="1" applyAlignment="1">
      <alignment horizontal="center" vertical="center"/>
    </xf>
    <xf numFmtId="9" fontId="58" fillId="0" borderId="0" xfId="7" applyFont="1" applyFill="1" applyBorder="1" applyAlignment="1">
      <alignment horizontal="center" vertical="center"/>
    </xf>
    <xf numFmtId="0" fontId="58" fillId="0" borderId="0" xfId="0" applyFont="1" applyAlignment="1">
      <alignment horizontal="center"/>
    </xf>
    <xf numFmtId="10" fontId="63" fillId="0" borderId="26" xfId="0" applyNumberFormat="1" applyFont="1" applyBorder="1" applyAlignment="1">
      <alignment horizontal="center"/>
    </xf>
    <xf numFmtId="10" fontId="62" fillId="0" borderId="4" xfId="0" applyNumberFormat="1" applyFont="1" applyBorder="1" applyAlignment="1">
      <alignment horizontal="center" vertical="center"/>
    </xf>
    <xf numFmtId="10" fontId="48" fillId="0" borderId="0" xfId="0" applyNumberFormat="1" applyFont="1" applyAlignment="1">
      <alignment horizontal="center"/>
    </xf>
    <xf numFmtId="10" fontId="36" fillId="0" borderId="0" xfId="0" applyNumberFormat="1" applyFont="1" applyAlignment="1">
      <alignment horizontal="center"/>
    </xf>
    <xf numFmtId="0" fontId="42" fillId="0" borderId="0" xfId="0" applyFont="1" applyAlignment="1">
      <alignment horizontal="center" vertical="center"/>
    </xf>
    <xf numFmtId="0" fontId="0" fillId="0" borderId="0" xfId="0" applyAlignment="1">
      <alignment horizontal="center" vertical="center"/>
    </xf>
    <xf numFmtId="0" fontId="16" fillId="0" borderId="0" xfId="0" applyFont="1" applyAlignment="1">
      <alignment horizontal="center" vertical="center"/>
    </xf>
    <xf numFmtId="0" fontId="35" fillId="8" borderId="0" xfId="0" applyFont="1" applyFill="1" applyAlignment="1">
      <alignment horizontal="center" vertical="center"/>
    </xf>
    <xf numFmtId="3" fontId="35" fillId="8" borderId="0" xfId="0" applyNumberFormat="1" applyFont="1" applyFill="1" applyAlignment="1">
      <alignment horizontal="center" vertical="center"/>
    </xf>
    <xf numFmtId="165" fontId="35" fillId="8" borderId="0" xfId="0" applyNumberFormat="1" applyFont="1" applyFill="1" applyAlignment="1">
      <alignment horizontal="center" vertical="center"/>
    </xf>
    <xf numFmtId="166" fontId="16" fillId="0" borderId="0" xfId="0" applyNumberFormat="1" applyFont="1" applyAlignment="1">
      <alignment horizontal="center" vertical="center"/>
    </xf>
    <xf numFmtId="166" fontId="0" fillId="0" borderId="0" xfId="0" applyNumberFormat="1" applyAlignment="1">
      <alignment horizontal="center" vertical="center"/>
    </xf>
    <xf numFmtId="0" fontId="0" fillId="8" borderId="0" xfId="0" applyFill="1" applyAlignment="1">
      <alignment horizontal="center" vertical="center"/>
    </xf>
    <xf numFmtId="0" fontId="29" fillId="8" borderId="0" xfId="0" applyFont="1" applyFill="1" applyAlignment="1">
      <alignment horizontal="center" vertical="center"/>
    </xf>
    <xf numFmtId="164" fontId="8" fillId="0" borderId="75" xfId="8" applyNumberFormat="1" applyFont="1" applyBorder="1" applyAlignment="1">
      <alignment vertical="center"/>
    </xf>
    <xf numFmtId="2" fontId="4" fillId="0" borderId="0" xfId="0" applyNumberFormat="1" applyFont="1"/>
    <xf numFmtId="164" fontId="8" fillId="0" borderId="127" xfId="8" applyNumberFormat="1" applyFont="1" applyFill="1" applyBorder="1" applyAlignment="1">
      <alignment horizontal="center" vertical="center"/>
    </xf>
    <xf numFmtId="0" fontId="105" fillId="14" borderId="0" xfId="0" applyFont="1" applyFill="1" applyAlignment="1">
      <alignment horizontal="center" vertical="center" wrapText="1"/>
    </xf>
    <xf numFmtId="0" fontId="105" fillId="14" borderId="0" xfId="0" applyFont="1" applyFill="1" applyAlignment="1">
      <alignment horizontal="center" vertical="center"/>
    </xf>
    <xf numFmtId="3" fontId="105" fillId="14" borderId="0" xfId="0" applyNumberFormat="1" applyFont="1" applyFill="1" applyAlignment="1">
      <alignment horizontal="center" vertical="center"/>
    </xf>
    <xf numFmtId="20" fontId="105" fillId="14" borderId="0" xfId="0" applyNumberFormat="1" applyFont="1" applyFill="1" applyAlignment="1">
      <alignment horizontal="center" vertical="center"/>
    </xf>
    <xf numFmtId="165" fontId="105" fillId="14" borderId="0" xfId="0" applyNumberFormat="1" applyFont="1" applyFill="1" applyAlignment="1">
      <alignment horizontal="center" vertical="center"/>
    </xf>
    <xf numFmtId="1" fontId="105" fillId="14" borderId="37" xfId="0" applyNumberFormat="1" applyFont="1" applyFill="1" applyBorder="1" applyAlignment="1">
      <alignment horizontal="center" vertical="center"/>
    </xf>
    <xf numFmtId="169" fontId="105" fillId="14" borderId="0" xfId="0" applyNumberFormat="1" applyFont="1" applyFill="1" applyAlignment="1">
      <alignment horizontal="center" vertical="center"/>
    </xf>
    <xf numFmtId="9" fontId="105" fillId="14" borderId="0" xfId="7" applyFont="1" applyFill="1" applyBorder="1" applyAlignment="1">
      <alignment horizontal="center" vertical="center"/>
    </xf>
    <xf numFmtId="1" fontId="105" fillId="14" borderId="0" xfId="0" applyNumberFormat="1" applyFont="1" applyFill="1" applyAlignment="1">
      <alignment horizontal="center" vertical="center"/>
    </xf>
    <xf numFmtId="164" fontId="106" fillId="14" borderId="0" xfId="0" applyNumberFormat="1" applyFont="1" applyFill="1" applyAlignment="1">
      <alignment horizontal="right" vertical="center"/>
    </xf>
    <xf numFmtId="0" fontId="105" fillId="14" borderId="0" xfId="0" applyFont="1" applyFill="1" applyAlignment="1">
      <alignment horizontal="left" vertical="center"/>
    </xf>
    <xf numFmtId="0" fontId="89" fillId="14" borderId="0" xfId="0" applyFont="1" applyFill="1" applyAlignment="1">
      <alignment vertical="center"/>
    </xf>
    <xf numFmtId="0" fontId="4" fillId="0" borderId="0" xfId="0" applyFont="1" applyAlignment="1">
      <alignment horizontal="center" vertical="center"/>
    </xf>
    <xf numFmtId="164" fontId="0" fillId="0" borderId="0" xfId="0" applyNumberFormat="1" applyAlignment="1">
      <alignment horizontal="center" vertical="center"/>
    </xf>
    <xf numFmtId="9" fontId="0" fillId="0" borderId="0" xfId="7" applyFont="1" applyFill="1" applyAlignment="1">
      <alignment horizontal="center" vertical="center"/>
    </xf>
    <xf numFmtId="10" fontId="29" fillId="8" borderId="4" xfId="0" applyNumberFormat="1" applyFont="1" applyFill="1" applyBorder="1" applyAlignment="1">
      <alignment horizontal="center" vertical="center"/>
    </xf>
    <xf numFmtId="0" fontId="8" fillId="16" borderId="0" xfId="0" applyFont="1" applyFill="1" applyAlignment="1">
      <alignment horizontal="center" vertical="center" wrapText="1"/>
    </xf>
    <xf numFmtId="0" fontId="8" fillId="16" borderId="0" xfId="0" applyFont="1" applyFill="1" applyAlignment="1">
      <alignment horizontal="center" vertical="center"/>
    </xf>
    <xf numFmtId="3" fontId="8" fillId="16" borderId="0" xfId="0" applyNumberFormat="1" applyFont="1" applyFill="1" applyAlignment="1">
      <alignment horizontal="center" vertical="center"/>
    </xf>
    <xf numFmtId="20" fontId="8" fillId="16" borderId="0" xfId="0" applyNumberFormat="1" applyFont="1" applyFill="1" applyAlignment="1">
      <alignment horizontal="center" vertical="center"/>
    </xf>
    <xf numFmtId="165" fontId="8" fillId="16" borderId="0" xfId="0" applyNumberFormat="1" applyFont="1" applyFill="1" applyAlignment="1">
      <alignment horizontal="center" vertical="center"/>
    </xf>
    <xf numFmtId="1" fontId="8" fillId="16" borderId="37" xfId="0" applyNumberFormat="1" applyFont="1" applyFill="1" applyBorder="1" applyAlignment="1">
      <alignment horizontal="center" vertical="center"/>
    </xf>
    <xf numFmtId="169" fontId="8" fillId="16" borderId="0" xfId="0" applyNumberFormat="1" applyFont="1" applyFill="1" applyAlignment="1">
      <alignment horizontal="center" vertical="center"/>
    </xf>
    <xf numFmtId="9" fontId="8" fillId="16" borderId="0" xfId="7" applyFont="1" applyFill="1" applyBorder="1" applyAlignment="1">
      <alignment horizontal="center" vertical="center"/>
    </xf>
    <xf numFmtId="1" fontId="8" fillId="16" borderId="0" xfId="0" applyNumberFormat="1" applyFont="1" applyFill="1" applyAlignment="1">
      <alignment horizontal="center" vertical="center"/>
    </xf>
    <xf numFmtId="0" fontId="8" fillId="16" borderId="0" xfId="0" applyFont="1" applyFill="1" applyAlignment="1">
      <alignment horizontal="left" vertical="center"/>
    </xf>
    <xf numFmtId="0" fontId="42" fillId="16" borderId="0" xfId="0" applyFont="1" applyFill="1" applyAlignment="1">
      <alignment vertical="center"/>
    </xf>
    <xf numFmtId="0" fontId="0" fillId="0" borderId="3" xfId="0" applyBorder="1" applyAlignment="1">
      <alignment horizontal="center"/>
    </xf>
    <xf numFmtId="0" fontId="0" fillId="0" borderId="16" xfId="0" applyBorder="1" applyAlignment="1">
      <alignment horizontal="center"/>
    </xf>
    <xf numFmtId="164" fontId="8" fillId="0" borderId="128" xfId="0" applyNumberFormat="1" applyFont="1" applyBorder="1" applyAlignment="1">
      <alignment horizontal="center" vertical="center"/>
    </xf>
    <xf numFmtId="164" fontId="67" fillId="16" borderId="0" xfId="7" applyNumberFormat="1" applyFont="1" applyFill="1" applyBorder="1" applyAlignment="1">
      <alignment horizontal="center" vertical="center"/>
    </xf>
    <xf numFmtId="0" fontId="40" fillId="0" borderId="76" xfId="0" applyFont="1" applyBorder="1" applyAlignment="1">
      <alignment horizontal="center" vertical="center"/>
    </xf>
    <xf numFmtId="0" fontId="40" fillId="0" borderId="77" xfId="0" applyFont="1" applyBorder="1" applyAlignment="1">
      <alignment horizontal="center" vertical="center"/>
    </xf>
    <xf numFmtId="3" fontId="40" fillId="0" borderId="77" xfId="0" applyNumberFormat="1" applyFont="1" applyBorder="1" applyAlignment="1">
      <alignment horizontal="center" vertical="center"/>
    </xf>
    <xf numFmtId="20" fontId="40" fillId="0" borderId="77" xfId="0" applyNumberFormat="1" applyFont="1" applyBorder="1" applyAlignment="1">
      <alignment horizontal="center" vertical="center"/>
    </xf>
    <xf numFmtId="165" fontId="40" fillId="0" borderId="77" xfId="0" applyNumberFormat="1" applyFont="1" applyBorder="1" applyAlignment="1">
      <alignment horizontal="center" vertical="center"/>
    </xf>
    <xf numFmtId="1" fontId="40" fillId="0" borderId="77" xfId="0" applyNumberFormat="1" applyFont="1" applyBorder="1" applyAlignment="1">
      <alignment horizontal="center" vertical="center"/>
    </xf>
    <xf numFmtId="3" fontId="40" fillId="0" borderId="83" xfId="0" applyNumberFormat="1" applyFont="1" applyBorder="1" applyAlignment="1">
      <alignment horizontal="center" vertical="center"/>
    </xf>
    <xf numFmtId="3" fontId="40" fillId="11" borderId="77" xfId="0" applyNumberFormat="1" applyFont="1" applyFill="1" applyBorder="1" applyAlignment="1">
      <alignment horizontal="center" vertical="center"/>
    </xf>
    <xf numFmtId="169" fontId="40" fillId="0" borderId="129" xfId="0" applyNumberFormat="1" applyFont="1" applyBorder="1" applyAlignment="1">
      <alignment horizontal="center" vertical="center"/>
    </xf>
    <xf numFmtId="10" fontId="41" fillId="0" borderId="77" xfId="0" applyNumberFormat="1" applyFont="1" applyBorder="1" applyAlignment="1">
      <alignment horizontal="center" vertical="center"/>
    </xf>
    <xf numFmtId="10" fontId="40" fillId="0" borderId="83" xfId="0" applyNumberFormat="1" applyFont="1" applyBorder="1" applyAlignment="1">
      <alignment horizontal="center" vertical="center"/>
    </xf>
    <xf numFmtId="0" fontId="71" fillId="17" borderId="92" xfId="0" applyFont="1" applyFill="1" applyBorder="1"/>
    <xf numFmtId="0" fontId="0" fillId="18" borderId="0" xfId="0" applyFill="1"/>
    <xf numFmtId="0" fontId="107" fillId="19" borderId="3" xfId="0" applyFont="1" applyFill="1" applyBorder="1" applyAlignment="1">
      <alignment horizontal="center"/>
    </xf>
    <xf numFmtId="0" fontId="107" fillId="8" borderId="3" xfId="0" applyFont="1" applyFill="1" applyBorder="1" applyAlignment="1">
      <alignment horizontal="center"/>
    </xf>
    <xf numFmtId="0" fontId="107" fillId="20" borderId="3" xfId="0" applyFont="1" applyFill="1" applyBorder="1" applyAlignment="1">
      <alignment horizontal="center"/>
    </xf>
    <xf numFmtId="0" fontId="107" fillId="21" borderId="3" xfId="0" applyFont="1" applyFill="1" applyBorder="1" applyAlignment="1">
      <alignment horizontal="center"/>
    </xf>
    <xf numFmtId="0" fontId="107" fillId="13" borderId="3" xfId="0" applyFont="1" applyFill="1" applyBorder="1" applyAlignment="1">
      <alignment horizontal="center"/>
    </xf>
    <xf numFmtId="0" fontId="107" fillId="22" borderId="3" xfId="0" applyFont="1" applyFill="1" applyBorder="1" applyAlignment="1">
      <alignment horizontal="center"/>
    </xf>
    <xf numFmtId="0" fontId="107" fillId="23" borderId="3" xfId="0" applyFont="1" applyFill="1" applyBorder="1" applyAlignment="1">
      <alignment horizontal="center"/>
    </xf>
    <xf numFmtId="9" fontId="77" fillId="8" borderId="3" xfId="9" applyFont="1" applyFill="1" applyBorder="1" applyAlignment="1">
      <alignment horizontal="center" vertical="center" wrapText="1"/>
    </xf>
    <xf numFmtId="3" fontId="0" fillId="0" borderId="3" xfId="0" applyNumberFormat="1" applyBorder="1"/>
    <xf numFmtId="3" fontId="108" fillId="0" borderId="3" xfId="0" applyNumberFormat="1" applyFont="1" applyBorder="1"/>
    <xf numFmtId="3" fontId="0" fillId="0" borderId="0" xfId="3" applyNumberFormat="1" applyFont="1"/>
    <xf numFmtId="3" fontId="96" fillId="0" borderId="3" xfId="0" applyNumberFormat="1" applyFont="1" applyBorder="1"/>
    <xf numFmtId="9" fontId="76" fillId="0" borderId="0" xfId="9" applyFont="1" applyFill="1" applyBorder="1" applyAlignment="1">
      <alignment horizontal="center" vertical="center" wrapText="1"/>
    </xf>
    <xf numFmtId="3" fontId="0" fillId="19" borderId="0" xfId="0" applyNumberFormat="1" applyFill="1" applyAlignment="1">
      <alignment horizontal="center" vertical="center"/>
    </xf>
    <xf numFmtId="3" fontId="73" fillId="19" borderId="0" xfId="0" applyNumberFormat="1" applyFont="1" applyFill="1" applyAlignment="1">
      <alignment horizontal="center" vertical="center"/>
    </xf>
    <xf numFmtId="3" fontId="0" fillId="8" borderId="0" xfId="0" applyNumberFormat="1" applyFill="1" applyAlignment="1">
      <alignment horizontal="center" vertical="center"/>
    </xf>
    <xf numFmtId="3" fontId="73" fillId="24" borderId="0" xfId="0" applyNumberFormat="1" applyFont="1" applyFill="1" applyAlignment="1">
      <alignment horizontal="center" vertical="center"/>
    </xf>
    <xf numFmtId="0" fontId="0" fillId="20" borderId="0" xfId="0" applyFill="1"/>
    <xf numFmtId="3" fontId="73" fillId="20" borderId="0" xfId="0" applyNumberFormat="1" applyFont="1" applyFill="1" applyAlignment="1">
      <alignment horizontal="center" vertical="center"/>
    </xf>
    <xf numFmtId="0" fontId="0" fillId="5" borderId="0" xfId="0" applyFill="1"/>
    <xf numFmtId="3" fontId="73" fillId="5" borderId="0" xfId="0" applyNumberFormat="1" applyFont="1" applyFill="1" applyAlignment="1">
      <alignment horizontal="center" vertical="center"/>
    </xf>
    <xf numFmtId="0" fontId="0" fillId="13" borderId="0" xfId="0" applyFill="1"/>
    <xf numFmtId="3" fontId="73" fillId="13" borderId="0" xfId="0" applyNumberFormat="1" applyFont="1" applyFill="1" applyAlignment="1">
      <alignment horizontal="center" vertical="center"/>
    </xf>
    <xf numFmtId="0" fontId="0" fillId="22" borderId="0" xfId="0" applyFill="1"/>
    <xf numFmtId="3" fontId="73" fillId="22" borderId="0" xfId="0" applyNumberFormat="1" applyFont="1" applyFill="1" applyAlignment="1">
      <alignment horizontal="center" vertical="center"/>
    </xf>
    <xf numFmtId="0" fontId="0" fillId="25" borderId="0" xfId="0" applyFill="1"/>
    <xf numFmtId="3" fontId="73" fillId="25" borderId="0" xfId="0" applyNumberFormat="1" applyFont="1" applyFill="1" applyAlignment="1">
      <alignment horizontal="center" vertical="center"/>
    </xf>
    <xf numFmtId="0" fontId="0" fillId="24" borderId="0" xfId="0" applyFill="1"/>
    <xf numFmtId="0" fontId="74" fillId="26" borderId="3" xfId="0" applyFont="1" applyFill="1" applyBorder="1"/>
    <xf numFmtId="0" fontId="74" fillId="0" borderId="3" xfId="0" applyFont="1" applyBorder="1"/>
    <xf numFmtId="2" fontId="69" fillId="0" borderId="0" xfId="0" applyNumberFormat="1" applyFont="1" applyAlignment="1">
      <alignment horizontal="center" vertical="center"/>
    </xf>
    <xf numFmtId="165" fontId="21" fillId="0" borderId="16" xfId="0" applyNumberFormat="1" applyFont="1" applyBorder="1" applyAlignment="1">
      <alignment horizontal="center" vertical="center" wrapText="1"/>
    </xf>
    <xf numFmtId="1" fontId="21" fillId="0" borderId="16" xfId="0" applyNumberFormat="1" applyFont="1" applyBorder="1" applyAlignment="1">
      <alignment horizontal="center" vertical="center" wrapText="1"/>
    </xf>
    <xf numFmtId="20" fontId="21" fillId="0" borderId="16" xfId="0" applyNumberFormat="1" applyFont="1" applyBorder="1" applyAlignment="1">
      <alignment horizontal="center" vertical="center" wrapText="1"/>
    </xf>
    <xf numFmtId="16" fontId="21" fillId="0" borderId="19" xfId="0" applyNumberFormat="1" applyFont="1" applyBorder="1" applyAlignment="1">
      <alignment horizontal="center" vertical="center"/>
    </xf>
    <xf numFmtId="0" fontId="21" fillId="0" borderId="16" xfId="0" applyFont="1" applyBorder="1" applyAlignment="1">
      <alignment horizontal="center" vertical="center"/>
    </xf>
    <xf numFmtId="3" fontId="21" fillId="0" borderId="16" xfId="0" applyNumberFormat="1" applyFont="1" applyBorder="1" applyAlignment="1">
      <alignment horizontal="center" vertical="center" wrapText="1"/>
    </xf>
    <xf numFmtId="0" fontId="20" fillId="8" borderId="130" xfId="0" applyFont="1" applyFill="1" applyBorder="1" applyAlignment="1">
      <alignment horizontal="center" vertical="center" wrapText="1"/>
    </xf>
    <xf numFmtId="0" fontId="20" fillId="8" borderId="125" xfId="0" applyFont="1" applyFill="1" applyBorder="1" applyAlignment="1">
      <alignment horizontal="center" vertical="center" wrapText="1"/>
    </xf>
    <xf numFmtId="0" fontId="22" fillId="0" borderId="125" xfId="0" applyFont="1" applyBorder="1" applyAlignment="1">
      <alignment horizontal="center" vertical="center" wrapText="1"/>
    </xf>
    <xf numFmtId="0" fontId="23" fillId="8" borderId="131" xfId="0" applyFont="1" applyFill="1" applyBorder="1" applyAlignment="1">
      <alignment horizontal="center" vertical="center" wrapText="1"/>
    </xf>
    <xf numFmtId="2" fontId="21" fillId="0" borderId="132" xfId="0" applyNumberFormat="1" applyFont="1" applyBorder="1" applyAlignment="1">
      <alignment horizontal="center" vertical="center"/>
    </xf>
    <xf numFmtId="0" fontId="63" fillId="5" borderId="0" xfId="0" applyFont="1" applyFill="1" applyAlignment="1">
      <alignment vertical="center"/>
    </xf>
    <xf numFmtId="0" fontId="61" fillId="5" borderId="0" xfId="0" applyFont="1" applyFill="1" applyAlignment="1">
      <alignment horizontal="center" vertical="center" wrapText="1"/>
    </xf>
    <xf numFmtId="0" fontId="61" fillId="5" borderId="0" xfId="0" applyFont="1" applyFill="1" applyAlignment="1">
      <alignment horizontal="center" vertical="center"/>
    </xf>
    <xf numFmtId="3" fontId="61" fillId="5" borderId="0" xfId="0" applyNumberFormat="1" applyFont="1" applyFill="1" applyAlignment="1">
      <alignment horizontal="center" vertical="center"/>
    </xf>
    <xf numFmtId="20" fontId="61" fillId="5" borderId="0" xfId="0" applyNumberFormat="1" applyFont="1" applyFill="1" applyAlignment="1">
      <alignment horizontal="center" vertical="center"/>
    </xf>
    <xf numFmtId="165" fontId="61" fillId="5" borderId="0" xfId="0" applyNumberFormat="1" applyFont="1" applyFill="1" applyAlignment="1">
      <alignment horizontal="center" vertical="center"/>
    </xf>
    <xf numFmtId="1" fontId="61" fillId="5" borderId="37" xfId="0" applyNumberFormat="1" applyFont="1" applyFill="1" applyBorder="1" applyAlignment="1">
      <alignment horizontal="center" vertical="center"/>
    </xf>
    <xf numFmtId="169" fontId="61" fillId="5" borderId="0" xfId="0" applyNumberFormat="1" applyFont="1" applyFill="1" applyAlignment="1">
      <alignment horizontal="center" vertical="center"/>
    </xf>
    <xf numFmtId="9" fontId="61" fillId="5" borderId="0" xfId="7" applyFont="1" applyFill="1" applyBorder="1" applyAlignment="1">
      <alignment horizontal="center" vertical="center"/>
    </xf>
    <xf numFmtId="1" fontId="61" fillId="5" borderId="0" xfId="0" applyNumberFormat="1" applyFont="1" applyFill="1" applyAlignment="1">
      <alignment horizontal="center" vertical="center"/>
    </xf>
    <xf numFmtId="164" fontId="62" fillId="5" borderId="0" xfId="0" applyNumberFormat="1" applyFont="1" applyFill="1" applyAlignment="1">
      <alignment horizontal="right" vertical="center"/>
    </xf>
    <xf numFmtId="164" fontId="61" fillId="5" borderId="0" xfId="0" applyNumberFormat="1" applyFont="1" applyFill="1" applyAlignment="1">
      <alignment horizontal="center" vertical="center"/>
    </xf>
    <xf numFmtId="164" fontId="61" fillId="5" borderId="0" xfId="7" applyNumberFormat="1" applyFont="1" applyFill="1" applyBorder="1" applyAlignment="1">
      <alignment horizontal="center" vertical="center"/>
    </xf>
    <xf numFmtId="0" fontId="61" fillId="5" borderId="0" xfId="0" applyFont="1" applyFill="1" applyAlignment="1">
      <alignment horizontal="left" vertical="center"/>
    </xf>
    <xf numFmtId="164" fontId="8" fillId="0" borderId="134" xfId="0" applyNumberFormat="1" applyFont="1" applyBorder="1" applyAlignment="1">
      <alignment horizontal="center" vertical="center"/>
    </xf>
    <xf numFmtId="1" fontId="21" fillId="11" borderId="16" xfId="0" applyNumberFormat="1" applyFont="1" applyFill="1" applyBorder="1" applyAlignment="1">
      <alignment horizontal="center" vertical="center"/>
    </xf>
    <xf numFmtId="164" fontId="8" fillId="8" borderId="0" xfId="0" applyNumberFormat="1" applyFont="1" applyFill="1" applyAlignment="1">
      <alignment horizontal="center" vertical="center"/>
    </xf>
    <xf numFmtId="0" fontId="58" fillId="2" borderId="0" xfId="0" applyFont="1" applyFill="1" applyAlignment="1">
      <alignment horizontal="center" vertical="center"/>
    </xf>
    <xf numFmtId="0" fontId="60" fillId="2" borderId="0" xfId="0" applyFont="1" applyFill="1" applyAlignment="1">
      <alignment horizontal="center" vertical="center" wrapText="1"/>
    </xf>
    <xf numFmtId="0" fontId="60" fillId="2" borderId="0" xfId="0" applyFont="1" applyFill="1" applyAlignment="1">
      <alignment horizontal="center" vertical="center"/>
    </xf>
    <xf numFmtId="3" fontId="60" fillId="2" borderId="0" xfId="0" applyNumberFormat="1" applyFont="1" applyFill="1" applyAlignment="1">
      <alignment horizontal="center" vertical="center"/>
    </xf>
    <xf numFmtId="20" fontId="60" fillId="2" borderId="0" xfId="0" applyNumberFormat="1" applyFont="1" applyFill="1" applyAlignment="1">
      <alignment horizontal="center" vertical="center"/>
    </xf>
    <xf numFmtId="165" fontId="60" fillId="2" borderId="0" xfId="0" applyNumberFormat="1" applyFont="1" applyFill="1" applyAlignment="1">
      <alignment horizontal="center" vertical="center"/>
    </xf>
    <xf numFmtId="1" fontId="60" fillId="2" borderId="37" xfId="0" applyNumberFormat="1" applyFont="1" applyFill="1" applyBorder="1" applyAlignment="1">
      <alignment horizontal="center" vertical="center"/>
    </xf>
    <xf numFmtId="169" fontId="60" fillId="2" borderId="0" xfId="0" applyNumberFormat="1" applyFont="1" applyFill="1" applyAlignment="1">
      <alignment horizontal="center" vertical="center"/>
    </xf>
    <xf numFmtId="9" fontId="60" fillId="2" borderId="0" xfId="7" applyFont="1" applyFill="1" applyBorder="1" applyAlignment="1">
      <alignment horizontal="center" vertical="center"/>
    </xf>
    <xf numFmtId="1" fontId="60" fillId="2" borderId="0" xfId="0" applyNumberFormat="1" applyFont="1" applyFill="1" applyAlignment="1">
      <alignment horizontal="center" vertical="center"/>
    </xf>
    <xf numFmtId="164" fontId="48" fillId="2" borderId="0" xfId="0" applyNumberFormat="1" applyFont="1" applyFill="1" applyAlignment="1">
      <alignment horizontal="center" vertical="center"/>
    </xf>
    <xf numFmtId="164" fontId="60" fillId="2" borderId="0" xfId="0" applyNumberFormat="1" applyFont="1" applyFill="1" applyAlignment="1">
      <alignment horizontal="center" vertical="center"/>
    </xf>
    <xf numFmtId="164" fontId="60" fillId="2" borderId="0" xfId="7" applyNumberFormat="1" applyFont="1" applyFill="1" applyBorder="1" applyAlignment="1">
      <alignment horizontal="center" vertical="center"/>
    </xf>
    <xf numFmtId="164" fontId="29" fillId="0" borderId="0" xfId="0" applyNumberFormat="1" applyFont="1" applyAlignment="1">
      <alignment horizontal="center" vertical="center"/>
    </xf>
    <xf numFmtId="0" fontId="48" fillId="8" borderId="0" xfId="0" applyFont="1" applyFill="1" applyAlignment="1">
      <alignment horizontal="left"/>
    </xf>
    <xf numFmtId="0" fontId="48" fillId="8" borderId="0" xfId="0" applyFont="1" applyFill="1" applyAlignment="1">
      <alignment horizontal="center" vertical="center"/>
    </xf>
    <xf numFmtId="0" fontId="48" fillId="8" borderId="0" xfId="0" applyFont="1" applyFill="1" applyAlignment="1">
      <alignment vertical="center"/>
    </xf>
    <xf numFmtId="3" fontId="58" fillId="8" borderId="0" xfId="0" applyNumberFormat="1" applyFont="1" applyFill="1" applyAlignment="1">
      <alignment horizontal="left" vertical="center"/>
    </xf>
    <xf numFmtId="3" fontId="48" fillId="8" borderId="0" xfId="0" applyNumberFormat="1" applyFont="1" applyFill="1" applyAlignment="1">
      <alignment horizontal="left" vertical="center"/>
    </xf>
    <xf numFmtId="3" fontId="68" fillId="8" borderId="0" xfId="0" applyNumberFormat="1" applyFont="1" applyFill="1" applyAlignment="1">
      <alignment horizontal="center"/>
    </xf>
    <xf numFmtId="10" fontId="66" fillId="10" borderId="0" xfId="0" applyNumberFormat="1" applyFont="1" applyFill="1"/>
    <xf numFmtId="164" fontId="8" fillId="12" borderId="114" xfId="0" applyNumberFormat="1" applyFont="1" applyFill="1" applyBorder="1" applyAlignment="1">
      <alignment horizontal="center" vertical="center"/>
    </xf>
    <xf numFmtId="0" fontId="21" fillId="11" borderId="3" xfId="0" applyFont="1" applyFill="1" applyBorder="1" applyAlignment="1">
      <alignment horizontal="center" vertical="center"/>
    </xf>
    <xf numFmtId="1" fontId="21" fillId="11" borderId="18" xfId="0" applyNumberFormat="1" applyFont="1" applyFill="1" applyBorder="1" applyAlignment="1">
      <alignment horizontal="center" vertical="center"/>
    </xf>
    <xf numFmtId="0" fontId="21" fillId="11" borderId="3" xfId="0" applyFont="1" applyFill="1" applyBorder="1" applyAlignment="1">
      <alignment vertical="center"/>
    </xf>
    <xf numFmtId="0" fontId="20" fillId="0" borderId="12" xfId="0" applyFont="1" applyBorder="1" applyAlignment="1">
      <alignment horizontal="center" vertical="center" wrapText="1"/>
    </xf>
    <xf numFmtId="0" fontId="20" fillId="0" borderId="137" xfId="0" applyFont="1" applyBorder="1" applyAlignment="1">
      <alignment horizontal="center" vertical="center" wrapText="1"/>
    </xf>
    <xf numFmtId="169" fontId="21" fillId="0" borderId="81" xfId="0" applyNumberFormat="1" applyFont="1" applyBorder="1" applyAlignment="1">
      <alignment horizontal="center" vertical="center"/>
    </xf>
    <xf numFmtId="1" fontId="21" fillId="0" borderId="18" xfId="7" applyNumberFormat="1" applyFont="1" applyFill="1" applyBorder="1" applyAlignment="1">
      <alignment horizontal="center" vertical="center"/>
    </xf>
    <xf numFmtId="164" fontId="8" fillId="8" borderId="3" xfId="0" applyNumberFormat="1" applyFont="1" applyFill="1" applyBorder="1" applyAlignment="1">
      <alignment horizontal="center" vertical="center"/>
    </xf>
    <xf numFmtId="3" fontId="48" fillId="7" borderId="0" xfId="0" applyNumberFormat="1" applyFont="1" applyFill="1" applyAlignment="1">
      <alignment horizontal="center" vertical="center"/>
    </xf>
    <xf numFmtId="0" fontId="62" fillId="0" borderId="0" xfId="0" applyFont="1"/>
    <xf numFmtId="0" fontId="62" fillId="0" borderId="0" xfId="0" applyFont="1" applyAlignment="1">
      <alignment horizontal="left"/>
    </xf>
    <xf numFmtId="3" fontId="62" fillId="0" borderId="0" xfId="0" applyNumberFormat="1" applyFont="1" applyAlignment="1">
      <alignment horizontal="right"/>
    </xf>
    <xf numFmtId="10" fontId="62" fillId="0" borderId="0" xfId="0" applyNumberFormat="1" applyFont="1" applyAlignment="1">
      <alignment horizontal="right" vertical="center"/>
    </xf>
    <xf numFmtId="169" fontId="21" fillId="0" borderId="80" xfId="0" applyNumberFormat="1" applyFont="1" applyBorder="1" applyAlignment="1">
      <alignment horizontal="center" vertical="center"/>
    </xf>
    <xf numFmtId="2" fontId="8" fillId="0" borderId="3" xfId="0" applyNumberFormat="1" applyFont="1" applyBorder="1" applyAlignment="1">
      <alignment horizontal="center" vertical="center"/>
    </xf>
    <xf numFmtId="0" fontId="48" fillId="0" borderId="0" xfId="0" applyFont="1" applyAlignment="1">
      <alignment vertical="center"/>
    </xf>
    <xf numFmtId="2" fontId="21" fillId="0" borderId="7" xfId="0" applyNumberFormat="1" applyFont="1" applyBorder="1" applyAlignment="1">
      <alignment horizontal="center" vertical="center"/>
    </xf>
    <xf numFmtId="2" fontId="21" fillId="0" borderId="95" xfId="0" applyNumberFormat="1" applyFont="1" applyBorder="1" applyAlignment="1">
      <alignment horizontal="center" vertical="center"/>
    </xf>
    <xf numFmtId="164" fontId="8" fillId="0" borderId="150" xfId="0" applyNumberFormat="1" applyFont="1" applyBorder="1" applyAlignment="1">
      <alignment vertical="center"/>
    </xf>
    <xf numFmtId="2" fontId="21" fillId="0" borderId="95" xfId="0" applyNumberFormat="1" applyFont="1" applyBorder="1" applyAlignment="1">
      <alignment vertical="center"/>
    </xf>
    <xf numFmtId="1" fontId="21" fillId="11" borderId="3" xfId="0" applyNumberFormat="1" applyFont="1" applyFill="1" applyBorder="1" applyAlignment="1">
      <alignment vertical="center"/>
    </xf>
    <xf numFmtId="16" fontId="21" fillId="27" borderId="8" xfId="0" applyNumberFormat="1" applyFont="1" applyFill="1" applyBorder="1" applyAlignment="1">
      <alignment horizontal="center" vertical="center"/>
    </xf>
    <xf numFmtId="3" fontId="21" fillId="27" borderId="3" xfId="0" applyNumberFormat="1" applyFont="1" applyFill="1" applyBorder="1" applyAlignment="1">
      <alignment horizontal="center" vertical="center"/>
    </xf>
    <xf numFmtId="20" fontId="21" fillId="27" borderId="3" xfId="0" applyNumberFormat="1" applyFont="1" applyFill="1" applyBorder="1" applyAlignment="1">
      <alignment horizontal="center" vertical="center" wrapText="1"/>
    </xf>
    <xf numFmtId="165" fontId="21" fillId="27" borderId="3" xfId="0" applyNumberFormat="1" applyFont="1" applyFill="1" applyBorder="1" applyAlignment="1">
      <alignment horizontal="center" vertical="center" wrapText="1"/>
    </xf>
    <xf numFmtId="3" fontId="21" fillId="27" borderId="3" xfId="0" applyNumberFormat="1" applyFont="1" applyFill="1" applyBorder="1" applyAlignment="1">
      <alignment horizontal="center" vertical="center" wrapText="1"/>
    </xf>
    <xf numFmtId="1" fontId="21" fillId="27" borderId="3" xfId="0" applyNumberFormat="1" applyFont="1" applyFill="1" applyBorder="1" applyAlignment="1">
      <alignment horizontal="center" vertical="center" wrapText="1"/>
    </xf>
    <xf numFmtId="1" fontId="21" fillId="27" borderId="3" xfId="0" applyNumberFormat="1" applyFont="1" applyFill="1" applyBorder="1" applyAlignment="1">
      <alignment horizontal="center" vertical="center"/>
    </xf>
    <xf numFmtId="169" fontId="21" fillId="27" borderId="3" xfId="0" applyNumberFormat="1" applyFont="1" applyFill="1" applyBorder="1" applyAlignment="1">
      <alignment horizontal="center" vertical="center"/>
    </xf>
    <xf numFmtId="1" fontId="21" fillId="27" borderId="3" xfId="7" applyNumberFormat="1" applyFont="1" applyFill="1" applyBorder="1" applyAlignment="1">
      <alignment horizontal="center" vertical="center"/>
    </xf>
    <xf numFmtId="164" fontId="8" fillId="27" borderId="84" xfId="0" applyNumberFormat="1" applyFont="1" applyFill="1" applyBorder="1" applyAlignment="1">
      <alignment horizontal="center" vertical="center"/>
    </xf>
    <xf numFmtId="0" fontId="12" fillId="27" borderId="0" xfId="0" applyFont="1" applyFill="1"/>
    <xf numFmtId="0" fontId="21" fillId="27" borderId="3" xfId="0" applyFont="1" applyFill="1" applyBorder="1" applyAlignment="1">
      <alignment horizontal="center" vertical="center"/>
    </xf>
    <xf numFmtId="16" fontId="21" fillId="27" borderId="3" xfId="0" applyNumberFormat="1" applyFont="1" applyFill="1" applyBorder="1" applyAlignment="1">
      <alignment horizontal="center" vertical="center"/>
    </xf>
    <xf numFmtId="2" fontId="21" fillId="27" borderId="3" xfId="0" applyNumberFormat="1" applyFont="1" applyFill="1" applyBorder="1" applyAlignment="1">
      <alignment horizontal="center" vertical="center"/>
    </xf>
    <xf numFmtId="164" fontId="8" fillId="0" borderId="121" xfId="0" applyNumberFormat="1" applyFont="1" applyBorder="1" applyAlignment="1">
      <alignment horizontal="center" vertical="center"/>
    </xf>
    <xf numFmtId="164" fontId="8" fillId="0" borderId="121" xfId="8" applyNumberFormat="1" applyFont="1" applyBorder="1" applyAlignment="1">
      <alignment horizontal="center" vertical="center"/>
    </xf>
    <xf numFmtId="164" fontId="8" fillId="0" borderId="50" xfId="0" applyNumberFormat="1" applyFont="1" applyBorder="1" applyAlignment="1">
      <alignment horizontal="center" vertical="center"/>
    </xf>
    <xf numFmtId="10" fontId="8" fillId="0" borderId="150" xfId="7" applyNumberFormat="1" applyFont="1" applyBorder="1" applyAlignment="1">
      <alignment horizontal="center" vertical="center"/>
    </xf>
    <xf numFmtId="164" fontId="8" fillId="0" borderId="48" xfId="0" applyNumberFormat="1" applyFont="1" applyBorder="1" applyAlignment="1">
      <alignment horizontal="center" vertical="center"/>
    </xf>
    <xf numFmtId="164" fontId="8" fillId="0" borderId="52" xfId="0" applyNumberFormat="1" applyFont="1" applyBorder="1" applyAlignment="1">
      <alignment horizontal="center" vertical="center"/>
    </xf>
    <xf numFmtId="164" fontId="8" fillId="0" borderId="75" xfId="0" applyNumberFormat="1" applyFont="1" applyBorder="1" applyAlignment="1">
      <alignment horizontal="center" vertical="center"/>
    </xf>
    <xf numFmtId="164" fontId="8" fillId="8" borderId="135" xfId="0" applyNumberFormat="1" applyFont="1" applyFill="1" applyBorder="1" applyAlignment="1">
      <alignment horizontal="center" vertical="center"/>
    </xf>
    <xf numFmtId="164" fontId="8" fillId="0" borderId="48" xfId="8" applyNumberFormat="1" applyFont="1" applyFill="1" applyBorder="1" applyAlignment="1">
      <alignment horizontal="center" vertical="center"/>
    </xf>
    <xf numFmtId="164" fontId="8" fillId="0" borderId="50" xfId="8" applyNumberFormat="1" applyFont="1" applyFill="1" applyBorder="1" applyAlignment="1">
      <alignment horizontal="center" vertical="center"/>
    </xf>
    <xf numFmtId="164" fontId="8" fillId="0" borderId="52" xfId="8" applyNumberFormat="1" applyFont="1" applyFill="1" applyBorder="1" applyAlignment="1">
      <alignment horizontal="center" vertical="center"/>
    </xf>
    <xf numFmtId="164" fontId="8" fillId="0" borderId="75" xfId="8" applyNumberFormat="1" applyFont="1" applyFill="1" applyBorder="1" applyAlignment="1">
      <alignment horizontal="center" vertical="center"/>
    </xf>
    <xf numFmtId="10" fontId="58" fillId="0" borderId="26" xfId="0" applyNumberFormat="1" applyFont="1" applyBorder="1" applyAlignment="1">
      <alignment horizontal="right"/>
    </xf>
    <xf numFmtId="165" fontId="21" fillId="0" borderId="16" xfId="0" applyNumberFormat="1" applyFont="1" applyBorder="1" applyAlignment="1">
      <alignment vertical="center" wrapText="1"/>
    </xf>
    <xf numFmtId="164" fontId="8" fillId="0" borderId="121" xfId="0" applyNumberFormat="1" applyFont="1" applyBorder="1" applyAlignment="1">
      <alignment vertical="center"/>
    </xf>
    <xf numFmtId="164" fontId="8" fillId="0" borderId="49" xfId="0" applyNumberFormat="1" applyFont="1" applyBorder="1" applyAlignment="1">
      <alignment horizontal="center" vertical="center"/>
    </xf>
    <xf numFmtId="164" fontId="8" fillId="27" borderId="48" xfId="0" applyNumberFormat="1" applyFont="1" applyFill="1" applyBorder="1" applyAlignment="1">
      <alignment horizontal="center" vertical="center"/>
    </xf>
    <xf numFmtId="10" fontId="8" fillId="0" borderId="84" xfId="7" applyNumberFormat="1" applyFont="1" applyBorder="1" applyAlignment="1">
      <alignment horizontal="center" vertical="center"/>
    </xf>
    <xf numFmtId="10" fontId="8" fillId="0" borderId="20" xfId="0" applyNumberFormat="1" applyFont="1" applyBorder="1" applyAlignment="1">
      <alignment horizontal="center" vertical="center"/>
    </xf>
    <xf numFmtId="16" fontId="21" fillId="13" borderId="3" xfId="0" applyNumberFormat="1" applyFont="1" applyFill="1" applyBorder="1" applyAlignment="1">
      <alignment horizontal="center" vertical="center"/>
    </xf>
    <xf numFmtId="0" fontId="21" fillId="13" borderId="3" xfId="0" applyFont="1" applyFill="1" applyBorder="1" applyAlignment="1">
      <alignment horizontal="center" vertical="center"/>
    </xf>
    <xf numFmtId="3" fontId="21" fillId="13" borderId="3" xfId="0" applyNumberFormat="1" applyFont="1" applyFill="1" applyBorder="1" applyAlignment="1">
      <alignment horizontal="center" vertical="center"/>
    </xf>
    <xf numFmtId="20" fontId="21" fillId="13" borderId="3" xfId="0" applyNumberFormat="1" applyFont="1" applyFill="1" applyBorder="1" applyAlignment="1">
      <alignment horizontal="center" vertical="center" wrapText="1"/>
    </xf>
    <xf numFmtId="165" fontId="21" fillId="13" borderId="3" xfId="0" applyNumberFormat="1" applyFont="1" applyFill="1" applyBorder="1" applyAlignment="1">
      <alignment horizontal="center" vertical="center" wrapText="1"/>
    </xf>
    <xf numFmtId="3" fontId="21" fillId="13" borderId="3" xfId="0" applyNumberFormat="1" applyFont="1" applyFill="1" applyBorder="1" applyAlignment="1">
      <alignment horizontal="center" vertical="center" wrapText="1"/>
    </xf>
    <xf numFmtId="1" fontId="21" fillId="13" borderId="3" xfId="0" applyNumberFormat="1" applyFont="1" applyFill="1" applyBorder="1" applyAlignment="1">
      <alignment horizontal="center" vertical="center" wrapText="1"/>
    </xf>
    <xf numFmtId="1" fontId="21" fillId="13" borderId="3" xfId="0" applyNumberFormat="1" applyFont="1" applyFill="1" applyBorder="1" applyAlignment="1">
      <alignment horizontal="center" vertical="center"/>
    </xf>
    <xf numFmtId="0" fontId="21" fillId="13" borderId="16" xfId="0" applyFont="1" applyFill="1" applyBorder="1" applyAlignment="1">
      <alignment vertical="center"/>
    </xf>
    <xf numFmtId="1" fontId="21" fillId="13" borderId="3" xfId="7" applyNumberFormat="1" applyFont="1" applyFill="1" applyBorder="1" applyAlignment="1">
      <alignment horizontal="center" vertical="center"/>
    </xf>
    <xf numFmtId="164" fontId="8" fillId="13" borderId="150" xfId="0" applyNumberFormat="1" applyFont="1" applyFill="1" applyBorder="1" applyAlignment="1">
      <alignment vertical="center"/>
    </xf>
    <xf numFmtId="0" fontId="12" fillId="13" borderId="0" xfId="0" applyFont="1" applyFill="1"/>
    <xf numFmtId="2" fontId="21" fillId="13" borderId="35" xfId="0" applyNumberFormat="1" applyFont="1" applyFill="1" applyBorder="1" applyAlignment="1">
      <alignment horizontal="center" vertical="center"/>
    </xf>
    <xf numFmtId="164" fontId="8" fillId="13" borderId="124" xfId="0" applyNumberFormat="1" applyFont="1" applyFill="1" applyBorder="1" applyAlignment="1">
      <alignment horizontal="center" vertical="center"/>
    </xf>
    <xf numFmtId="164" fontId="8" fillId="0" borderId="128" xfId="0" applyNumberFormat="1" applyFont="1" applyBorder="1" applyAlignment="1">
      <alignment vertical="center"/>
    </xf>
    <xf numFmtId="164" fontId="8" fillId="0" borderId="138" xfId="0" applyNumberFormat="1" applyFont="1" applyBorder="1" applyAlignment="1">
      <alignment vertical="center"/>
    </xf>
    <xf numFmtId="164" fontId="8" fillId="0" borderId="151" xfId="0" applyNumberFormat="1" applyFont="1" applyBorder="1" applyAlignment="1">
      <alignment vertical="center"/>
    </xf>
    <xf numFmtId="164" fontId="8" fillId="0" borderId="154" xfId="0" applyNumberFormat="1" applyFont="1" applyBorder="1" applyAlignment="1">
      <alignment vertical="center"/>
    </xf>
    <xf numFmtId="164" fontId="8" fillId="0" borderId="152" xfId="0" applyNumberFormat="1" applyFont="1" applyBorder="1" applyAlignment="1">
      <alignment vertical="center"/>
    </xf>
    <xf numFmtId="164" fontId="8" fillId="0" borderId="153" xfId="0" applyNumberFormat="1" applyFont="1" applyBorder="1" applyAlignment="1">
      <alignment vertical="center"/>
    </xf>
    <xf numFmtId="164" fontId="8" fillId="0" borderId="157" xfId="0" applyNumberFormat="1" applyFont="1" applyBorder="1" applyAlignment="1">
      <alignment vertical="center"/>
    </xf>
    <xf numFmtId="164" fontId="8" fillId="0" borderId="0" xfId="0" applyNumberFormat="1" applyFont="1" applyAlignment="1">
      <alignment vertical="center"/>
    </xf>
    <xf numFmtId="164" fontId="8" fillId="0" borderId="92" xfId="0" applyNumberFormat="1" applyFont="1" applyBorder="1" applyAlignment="1">
      <alignment vertical="center"/>
    </xf>
    <xf numFmtId="164" fontId="8" fillId="0" borderId="61" xfId="7" applyNumberFormat="1" applyFont="1" applyFill="1" applyBorder="1" applyAlignment="1">
      <alignment horizontal="center" vertical="center"/>
    </xf>
    <xf numFmtId="0" fontId="67" fillId="4" borderId="0" xfId="0" applyFont="1" applyFill="1" applyAlignment="1">
      <alignment horizontal="center" vertical="center" wrapText="1"/>
    </xf>
    <xf numFmtId="164" fontId="67" fillId="4" borderId="0" xfId="7" applyNumberFormat="1" applyFont="1" applyFill="1" applyBorder="1" applyAlignment="1">
      <alignment horizontal="center" vertical="center"/>
    </xf>
    <xf numFmtId="2" fontId="21" fillId="0" borderId="80" xfId="0" applyNumberFormat="1" applyFont="1" applyBorder="1" applyAlignment="1">
      <alignment horizontal="center" vertical="center"/>
    </xf>
    <xf numFmtId="10" fontId="8" fillId="0" borderId="122" xfId="7" applyNumberFormat="1" applyFont="1" applyFill="1" applyBorder="1" applyAlignment="1">
      <alignment horizontal="center" vertical="center"/>
    </xf>
    <xf numFmtId="2" fontId="8" fillId="0" borderId="84" xfId="7" applyNumberFormat="1" applyFont="1" applyFill="1" applyBorder="1" applyAlignment="1">
      <alignment horizontal="center" vertical="center"/>
    </xf>
    <xf numFmtId="2" fontId="21" fillId="8" borderId="80" xfId="0" applyNumberFormat="1" applyFont="1" applyFill="1" applyBorder="1" applyAlignment="1">
      <alignment horizontal="center" vertical="center"/>
    </xf>
    <xf numFmtId="169" fontId="21" fillId="13" borderId="3" xfId="0" applyNumberFormat="1" applyFont="1" applyFill="1" applyBorder="1" applyAlignment="1">
      <alignment horizontal="center" vertical="center"/>
    </xf>
    <xf numFmtId="2" fontId="21" fillId="13" borderId="3" xfId="0" applyNumberFormat="1" applyFont="1" applyFill="1" applyBorder="1" applyAlignment="1">
      <alignment horizontal="center" vertical="center"/>
    </xf>
    <xf numFmtId="164" fontId="8" fillId="13" borderId="128" xfId="0" applyNumberFormat="1" applyFont="1" applyFill="1" applyBorder="1" applyAlignment="1">
      <alignment vertical="center"/>
    </xf>
    <xf numFmtId="164" fontId="8" fillId="13" borderId="84" xfId="0" applyNumberFormat="1" applyFont="1" applyFill="1" applyBorder="1" applyAlignment="1">
      <alignment horizontal="center" vertical="center"/>
    </xf>
    <xf numFmtId="164" fontId="8" fillId="13" borderId="138" xfId="0" applyNumberFormat="1" applyFont="1" applyFill="1" applyBorder="1" applyAlignment="1">
      <alignment vertical="center"/>
    </xf>
    <xf numFmtId="164" fontId="8" fillId="13" borderId="0" xfId="0" applyNumberFormat="1" applyFont="1" applyFill="1" applyAlignment="1">
      <alignment vertical="center"/>
    </xf>
    <xf numFmtId="164" fontId="8" fillId="8" borderId="150" xfId="0" applyNumberFormat="1" applyFont="1" applyFill="1" applyBorder="1" applyAlignment="1">
      <alignment horizontal="center" vertical="center"/>
    </xf>
    <xf numFmtId="0" fontId="21" fillId="27" borderId="80" xfId="0" applyFont="1" applyFill="1" applyBorder="1" applyAlignment="1">
      <alignment horizontal="center" vertical="center"/>
    </xf>
    <xf numFmtId="2" fontId="8" fillId="27" borderId="35" xfId="0" applyNumberFormat="1" applyFont="1" applyFill="1" applyBorder="1" applyAlignment="1">
      <alignment horizontal="center" vertical="center"/>
    </xf>
    <xf numFmtId="2" fontId="21" fillId="27" borderId="80" xfId="0" applyNumberFormat="1" applyFont="1" applyFill="1" applyBorder="1" applyAlignment="1">
      <alignment horizontal="center" vertical="center"/>
    </xf>
    <xf numFmtId="164" fontId="8" fillId="27" borderId="128" xfId="0" applyNumberFormat="1" applyFont="1" applyFill="1" applyBorder="1" applyAlignment="1">
      <alignment vertical="center"/>
    </xf>
    <xf numFmtId="164" fontId="8" fillId="27" borderId="138" xfId="0" applyNumberFormat="1" applyFont="1" applyFill="1" applyBorder="1" applyAlignment="1">
      <alignment vertical="center"/>
    </xf>
    <xf numFmtId="2" fontId="21" fillId="0" borderId="55" xfId="0" applyNumberFormat="1" applyFont="1" applyBorder="1" applyAlignment="1">
      <alignment horizontal="center" vertical="center"/>
    </xf>
    <xf numFmtId="2" fontId="21" fillId="0" borderId="51" xfId="0" applyNumberFormat="1" applyFont="1" applyBorder="1" applyAlignment="1">
      <alignment horizontal="center" vertical="center"/>
    </xf>
    <xf numFmtId="2" fontId="21" fillId="8" borderId="51" xfId="0" applyNumberFormat="1" applyFont="1" applyFill="1" applyBorder="1" applyAlignment="1">
      <alignment horizontal="center" vertical="center"/>
    </xf>
    <xf numFmtId="2" fontId="21" fillId="0" borderId="154" xfId="0" applyNumberFormat="1" applyFont="1" applyBorder="1" applyAlignment="1">
      <alignment horizontal="center" vertical="center"/>
    </xf>
    <xf numFmtId="2" fontId="21" fillId="0" borderId="151" xfId="0" applyNumberFormat="1" applyFont="1" applyBorder="1" applyAlignment="1">
      <alignment horizontal="center" vertical="center"/>
    </xf>
    <xf numFmtId="164" fontId="8" fillId="0" borderId="150" xfId="0" applyNumberFormat="1" applyFont="1" applyBorder="1" applyAlignment="1">
      <alignment horizontal="center" vertical="center"/>
    </xf>
    <xf numFmtId="164" fontId="8" fillId="8" borderId="128" xfId="0" applyNumberFormat="1" applyFont="1" applyFill="1" applyBorder="1" applyAlignment="1">
      <alignment horizontal="center" vertical="center"/>
    </xf>
    <xf numFmtId="0" fontId="109" fillId="0" borderId="127" xfId="0" applyFont="1" applyBorder="1" applyAlignment="1">
      <alignment horizontal="left" vertical="top" wrapText="1"/>
    </xf>
    <xf numFmtId="2" fontId="8" fillId="0" borderId="95" xfId="0" applyNumberFormat="1" applyFont="1" applyBorder="1" applyAlignment="1">
      <alignment horizontal="center" vertical="center"/>
    </xf>
    <xf numFmtId="2" fontId="8" fillId="0" borderId="73" xfId="0" applyNumberFormat="1" applyFont="1" applyBorder="1" applyAlignment="1">
      <alignment horizontal="center" vertical="center"/>
    </xf>
    <xf numFmtId="2" fontId="21" fillId="0" borderId="90" xfId="0" applyNumberFormat="1" applyFont="1" applyBorder="1" applyAlignment="1">
      <alignment horizontal="center" vertical="center"/>
    </xf>
    <xf numFmtId="2" fontId="21" fillId="0" borderId="93" xfId="0" applyNumberFormat="1" applyFont="1" applyBorder="1" applyAlignment="1">
      <alignment horizontal="center" vertical="center"/>
    </xf>
    <xf numFmtId="2" fontId="8" fillId="0" borderId="162" xfId="0" applyNumberFormat="1" applyFont="1" applyBorder="1" applyAlignment="1">
      <alignment horizontal="center" vertical="center"/>
    </xf>
    <xf numFmtId="0" fontId="109" fillId="27" borderId="127" xfId="0" applyFont="1" applyFill="1" applyBorder="1" applyAlignment="1">
      <alignment horizontal="left" vertical="top" wrapText="1"/>
    </xf>
    <xf numFmtId="0" fontId="109" fillId="0" borderId="140" xfId="0" applyFont="1" applyBorder="1" applyAlignment="1">
      <alignment horizontal="left" vertical="top" wrapText="1"/>
    </xf>
    <xf numFmtId="0" fontId="109" fillId="0" borderId="91" xfId="0" applyFont="1" applyBorder="1" applyAlignment="1">
      <alignment horizontal="left" vertical="top" wrapText="1"/>
    </xf>
    <xf numFmtId="10" fontId="30" fillId="0" borderId="6" xfId="0" applyNumberFormat="1" applyFont="1" applyBorder="1" applyAlignment="1">
      <alignment horizontal="center"/>
    </xf>
    <xf numFmtId="10" fontId="30" fillId="0" borderId="0" xfId="0" applyNumberFormat="1" applyFont="1" applyAlignment="1">
      <alignment horizontal="center"/>
    </xf>
    <xf numFmtId="0" fontId="8" fillId="8" borderId="141" xfId="0" applyFont="1" applyFill="1" applyBorder="1" applyAlignment="1">
      <alignment horizontal="center" vertical="center" wrapText="1"/>
    </xf>
    <xf numFmtId="1" fontId="21" fillId="11" borderId="156" xfId="0" applyNumberFormat="1" applyFont="1" applyFill="1" applyBorder="1" applyAlignment="1">
      <alignment horizontal="center" vertical="center"/>
    </xf>
    <xf numFmtId="10" fontId="30" fillId="0" borderId="0" xfId="0" applyNumberFormat="1" applyFont="1" applyAlignment="1">
      <alignment horizontal="center" wrapText="1"/>
    </xf>
    <xf numFmtId="0" fontId="8" fillId="16" borderId="155" xfId="0" applyFont="1" applyFill="1" applyBorder="1" applyAlignment="1">
      <alignment horizontal="center" vertical="center" wrapText="1"/>
    </xf>
    <xf numFmtId="0" fontId="0" fillId="0" borderId="0" xfId="0" applyAlignment="1">
      <alignment wrapText="1"/>
    </xf>
    <xf numFmtId="0" fontId="60" fillId="0" borderId="0" xfId="0" applyFont="1" applyAlignment="1">
      <alignment vertical="center" wrapText="1"/>
    </xf>
    <xf numFmtId="0" fontId="6" fillId="0" borderId="0" xfId="0" applyFont="1" applyAlignment="1">
      <alignment vertical="center" wrapText="1"/>
    </xf>
    <xf numFmtId="2" fontId="8" fillId="8" borderId="3" xfId="0" applyNumberFormat="1" applyFont="1" applyFill="1" applyBorder="1" applyAlignment="1">
      <alignment horizontal="center" vertical="center"/>
    </xf>
    <xf numFmtId="2" fontId="21" fillId="0" borderId="135" xfId="0" applyNumberFormat="1" applyFont="1" applyBorder="1" applyAlignment="1">
      <alignment horizontal="center" vertical="center"/>
    </xf>
    <xf numFmtId="2" fontId="21" fillId="8" borderId="135" xfId="0" applyNumberFormat="1" applyFont="1" applyFill="1" applyBorder="1" applyAlignment="1">
      <alignment horizontal="center" vertical="center"/>
    </xf>
    <xf numFmtId="2" fontId="21" fillId="0" borderId="118" xfId="0" applyNumberFormat="1" applyFont="1" applyBorder="1" applyAlignment="1">
      <alignment horizontal="center" vertical="center"/>
    </xf>
    <xf numFmtId="2" fontId="21" fillId="8" borderId="118" xfId="0" applyNumberFormat="1" applyFont="1" applyFill="1" applyBorder="1" applyAlignment="1">
      <alignment horizontal="center" vertical="center"/>
    </xf>
    <xf numFmtId="2" fontId="8" fillId="0" borderId="122" xfId="7" applyNumberFormat="1" applyFont="1" applyFill="1" applyBorder="1" applyAlignment="1">
      <alignment horizontal="center" vertical="center"/>
    </xf>
    <xf numFmtId="0" fontId="8" fillId="8" borderId="165" xfId="0" applyFont="1" applyFill="1" applyBorder="1" applyAlignment="1">
      <alignment horizontal="center" vertical="center" wrapText="1"/>
    </xf>
    <xf numFmtId="0" fontId="109" fillId="0" borderId="50" xfId="0" applyFont="1" applyBorder="1" applyAlignment="1">
      <alignment vertical="top" wrapText="1"/>
    </xf>
    <xf numFmtId="0" fontId="109" fillId="0" borderId="52" xfId="0" applyFont="1" applyBorder="1" applyAlignment="1">
      <alignment vertical="top" wrapText="1"/>
    </xf>
    <xf numFmtId="0" fontId="109" fillId="0" borderId="52" xfId="0" applyFont="1" applyBorder="1" applyAlignment="1">
      <alignment horizontal="left" vertical="top" wrapText="1"/>
    </xf>
    <xf numFmtId="0" fontId="85" fillId="0" borderId="52" xfId="0" applyFont="1" applyBorder="1" applyAlignment="1">
      <alignment horizontal="left" vertical="top" wrapText="1"/>
    </xf>
    <xf numFmtId="0" fontId="85" fillId="0" borderId="52" xfId="0" applyFont="1" applyBorder="1" applyAlignment="1">
      <alignment horizontal="center" vertical="top" wrapText="1"/>
    </xf>
    <xf numFmtId="0" fontId="85" fillId="0" borderId="121" xfId="0" applyFont="1" applyBorder="1" applyAlignment="1">
      <alignment horizontal="left" vertical="top" wrapText="1"/>
    </xf>
    <xf numFmtId="0" fontId="85" fillId="0" borderId="84" xfId="0" applyFont="1" applyBorder="1" applyAlignment="1">
      <alignment horizontal="left" vertical="top" wrapText="1"/>
    </xf>
    <xf numFmtId="2" fontId="21" fillId="0" borderId="159" xfId="0" applyNumberFormat="1" applyFont="1" applyBorder="1" applyAlignment="1">
      <alignment horizontal="center" vertical="center"/>
    </xf>
    <xf numFmtId="2" fontId="8" fillId="0" borderId="3" xfId="7" applyNumberFormat="1" applyFont="1" applyFill="1" applyBorder="1" applyAlignment="1">
      <alignment horizontal="center" vertical="center"/>
    </xf>
    <xf numFmtId="2" fontId="21" fillId="0" borderId="139" xfId="0" applyNumberFormat="1" applyFont="1" applyBorder="1" applyAlignment="1">
      <alignment vertical="center"/>
    </xf>
    <xf numFmtId="164" fontId="8" fillId="0" borderId="91" xfId="0" applyNumberFormat="1" applyFont="1" applyBorder="1" applyAlignment="1">
      <alignment vertical="center"/>
    </xf>
    <xf numFmtId="164" fontId="8" fillId="0" borderId="150" xfId="8" applyNumberFormat="1" applyFont="1" applyBorder="1" applyAlignment="1">
      <alignment horizontal="center" vertical="center"/>
    </xf>
    <xf numFmtId="2" fontId="21" fillId="0" borderId="73" xfId="0" applyNumberFormat="1" applyFont="1" applyBorder="1" applyAlignment="1">
      <alignment horizontal="center" vertical="center"/>
    </xf>
    <xf numFmtId="165" fontId="21" fillId="0" borderId="15" xfId="0" applyNumberFormat="1" applyFont="1" applyBorder="1" applyAlignment="1">
      <alignment vertical="center" wrapText="1"/>
    </xf>
    <xf numFmtId="1" fontId="21" fillId="11" borderId="15" xfId="0" applyNumberFormat="1" applyFont="1" applyFill="1" applyBorder="1" applyAlignment="1">
      <alignment vertical="center"/>
    </xf>
    <xf numFmtId="1" fontId="21" fillId="11" borderId="18" xfId="0" applyNumberFormat="1" applyFont="1" applyFill="1" applyBorder="1" applyAlignment="1">
      <alignment vertical="center"/>
    </xf>
    <xf numFmtId="2" fontId="21" fillId="0" borderId="162" xfId="0" applyNumberFormat="1" applyFont="1" applyBorder="1" applyAlignment="1">
      <alignment vertical="center"/>
    </xf>
    <xf numFmtId="2" fontId="21" fillId="0" borderId="73" xfId="0" applyNumberFormat="1" applyFont="1" applyBorder="1" applyAlignment="1">
      <alignment vertical="center"/>
    </xf>
    <xf numFmtId="165" fontId="21" fillId="0" borderId="18" xfId="0" applyNumberFormat="1" applyFont="1" applyBorder="1" applyAlignment="1">
      <alignment vertical="center" wrapText="1"/>
    </xf>
    <xf numFmtId="1" fontId="21" fillId="11" borderId="107" xfId="0" applyNumberFormat="1" applyFont="1" applyFill="1" applyBorder="1" applyAlignment="1">
      <alignment horizontal="center" vertical="center"/>
    </xf>
    <xf numFmtId="164" fontId="8" fillId="8" borderId="167" xfId="0" applyNumberFormat="1" applyFont="1" applyFill="1" applyBorder="1" applyAlignment="1">
      <alignment horizontal="center" vertical="center"/>
    </xf>
    <xf numFmtId="20" fontId="21" fillId="0" borderId="23" xfId="0" applyNumberFormat="1" applyFont="1" applyBorder="1" applyAlignment="1">
      <alignment horizontal="center" vertical="center" wrapText="1"/>
    </xf>
    <xf numFmtId="165" fontId="21" fillId="0" borderId="23" xfId="0" applyNumberFormat="1" applyFont="1" applyBorder="1" applyAlignment="1">
      <alignment horizontal="center" vertical="center" wrapText="1"/>
    </xf>
    <xf numFmtId="3" fontId="21" fillId="0" borderId="23" xfId="0" applyNumberFormat="1" applyFont="1" applyBorder="1" applyAlignment="1">
      <alignment horizontal="center" vertical="center" wrapText="1"/>
    </xf>
    <xf numFmtId="1" fontId="21" fillId="0" borderId="23" xfId="0" applyNumberFormat="1" applyFont="1" applyBorder="1" applyAlignment="1">
      <alignment horizontal="center" vertical="center" wrapText="1"/>
    </xf>
    <xf numFmtId="2" fontId="21" fillId="0" borderId="168" xfId="0" applyNumberFormat="1" applyFont="1" applyBorder="1" applyAlignment="1">
      <alignment horizontal="center" vertical="center"/>
    </xf>
    <xf numFmtId="164" fontId="8" fillId="8" borderId="150" xfId="0" applyNumberFormat="1" applyFont="1" applyFill="1" applyBorder="1" applyAlignment="1">
      <alignment vertical="center"/>
    </xf>
    <xf numFmtId="164" fontId="8" fillId="8" borderId="44" xfId="0" applyNumberFormat="1" applyFont="1" applyFill="1" applyBorder="1" applyAlignment="1">
      <alignment vertical="center"/>
    </xf>
    <xf numFmtId="164" fontId="8" fillId="8" borderId="149" xfId="0" applyNumberFormat="1" applyFont="1" applyFill="1" applyBorder="1" applyAlignment="1">
      <alignment horizontal="center" vertical="center"/>
    </xf>
    <xf numFmtId="165" fontId="21" fillId="27" borderId="15" xfId="0" applyNumberFormat="1" applyFont="1" applyFill="1" applyBorder="1" applyAlignment="1">
      <alignment horizontal="center" vertical="center" wrapText="1"/>
    </xf>
    <xf numFmtId="2" fontId="21" fillId="27" borderId="35" xfId="0" applyNumberFormat="1" applyFont="1" applyFill="1" applyBorder="1" applyAlignment="1">
      <alignment horizontal="center" vertical="center"/>
    </xf>
    <xf numFmtId="2" fontId="21" fillId="8" borderId="35" xfId="0" applyNumberFormat="1" applyFont="1" applyFill="1" applyBorder="1" applyAlignment="1">
      <alignment horizontal="center" vertical="center"/>
    </xf>
    <xf numFmtId="2" fontId="21" fillId="0" borderId="61" xfId="0" applyNumberFormat="1" applyFont="1" applyBorder="1" applyAlignment="1">
      <alignment horizontal="center" vertical="center"/>
    </xf>
    <xf numFmtId="2" fontId="21" fillId="0" borderId="92" xfId="0" applyNumberFormat="1" applyFont="1" applyBorder="1" applyAlignment="1">
      <alignment horizontal="center" vertical="center"/>
    </xf>
    <xf numFmtId="2" fontId="21" fillId="0" borderId="84" xfId="0" applyNumberFormat="1" applyFont="1" applyBorder="1" applyAlignment="1">
      <alignment horizontal="center" vertical="center"/>
    </xf>
    <xf numFmtId="164" fontId="8" fillId="0" borderId="128" xfId="8" applyNumberFormat="1" applyFont="1" applyFill="1" applyBorder="1" applyAlignment="1">
      <alignment vertical="center"/>
    </xf>
    <xf numFmtId="164" fontId="8" fillId="0" borderId="134" xfId="8" applyNumberFormat="1" applyFont="1" applyFill="1" applyBorder="1" applyAlignment="1">
      <alignment horizontal="center" vertical="center"/>
    </xf>
    <xf numFmtId="2" fontId="21" fillId="0" borderId="94" xfId="0" applyNumberFormat="1" applyFont="1" applyBorder="1" applyAlignment="1">
      <alignment horizontal="center" vertical="center"/>
    </xf>
    <xf numFmtId="165" fontId="21" fillId="0" borderId="15" xfId="0" applyNumberFormat="1" applyFont="1" applyBorder="1" applyAlignment="1">
      <alignment horizontal="center" vertical="center" wrapText="1"/>
    </xf>
    <xf numFmtId="165" fontId="21" fillId="0" borderId="16" xfId="0" applyNumberFormat="1" applyFont="1" applyBorder="1" applyAlignment="1">
      <alignment horizontal="center" vertical="center" wrapText="1"/>
    </xf>
    <xf numFmtId="1" fontId="21" fillId="0" borderId="15" xfId="0" applyNumberFormat="1" applyFont="1" applyBorder="1" applyAlignment="1">
      <alignment horizontal="center" vertical="center"/>
    </xf>
    <xf numFmtId="1" fontId="21" fillId="0" borderId="16" xfId="0" applyNumberFormat="1" applyFont="1" applyBorder="1" applyAlignment="1">
      <alignment horizontal="center" vertical="center"/>
    </xf>
    <xf numFmtId="1" fontId="21" fillId="11" borderId="156" xfId="0" applyNumberFormat="1" applyFont="1" applyFill="1" applyBorder="1" applyAlignment="1">
      <alignment horizontal="center" vertical="center"/>
    </xf>
    <xf numFmtId="1" fontId="21" fillId="11" borderId="170" xfId="0" applyNumberFormat="1" applyFont="1" applyFill="1" applyBorder="1" applyAlignment="1">
      <alignment horizontal="center" vertical="center"/>
    </xf>
    <xf numFmtId="164" fontId="8" fillId="0" borderId="128" xfId="0" applyNumberFormat="1" applyFont="1" applyBorder="1" applyAlignment="1">
      <alignment horizontal="center" vertical="center"/>
    </xf>
    <xf numFmtId="164" fontId="8" fillId="0" borderId="121" xfId="0" applyNumberFormat="1" applyFont="1" applyBorder="1" applyAlignment="1">
      <alignment horizontal="center" vertical="center"/>
    </xf>
    <xf numFmtId="164" fontId="8" fillId="0" borderId="128" xfId="8" applyNumberFormat="1" applyFont="1" applyFill="1" applyBorder="1" applyAlignment="1">
      <alignment horizontal="center" vertical="center"/>
    </xf>
    <xf numFmtId="164" fontId="8" fillId="0" borderId="121" xfId="8" applyNumberFormat="1" applyFont="1" applyFill="1" applyBorder="1" applyAlignment="1">
      <alignment horizontal="center" vertical="center"/>
    </xf>
    <xf numFmtId="1" fontId="21" fillId="11" borderId="16" xfId="0" applyNumberFormat="1" applyFont="1" applyFill="1" applyBorder="1" applyAlignment="1">
      <alignment horizontal="center" vertical="center"/>
    </xf>
    <xf numFmtId="2" fontId="21" fillId="0" borderId="95" xfId="0" applyNumberFormat="1" applyFont="1" applyBorder="1" applyAlignment="1">
      <alignment horizontal="center" vertical="center"/>
    </xf>
    <xf numFmtId="2" fontId="21" fillId="0" borderId="73" xfId="0" applyNumberFormat="1" applyFont="1" applyBorder="1" applyAlignment="1">
      <alignment horizontal="center" vertical="center"/>
    </xf>
    <xf numFmtId="0" fontId="109" fillId="0" borderId="135" xfId="0" applyFont="1" applyBorder="1" applyAlignment="1">
      <alignment horizontal="left" vertical="top" wrapText="1"/>
    </xf>
    <xf numFmtId="0" fontId="109" fillId="0" borderId="82" xfId="0" applyFont="1" applyBorder="1" applyAlignment="1">
      <alignment horizontal="left" vertical="top" wrapText="1"/>
    </xf>
    <xf numFmtId="1" fontId="21" fillId="0" borderId="15" xfId="0" applyNumberFormat="1" applyFont="1" applyBorder="1" applyAlignment="1">
      <alignment horizontal="center" vertical="center" wrapText="1"/>
    </xf>
    <xf numFmtId="1" fontId="21" fillId="0" borderId="16" xfId="0" applyNumberFormat="1" applyFont="1" applyBorder="1" applyAlignment="1">
      <alignment horizontal="center" vertical="center" wrapText="1"/>
    </xf>
    <xf numFmtId="164" fontId="8" fillId="8" borderId="128" xfId="0" applyNumberFormat="1" applyFont="1" applyFill="1" applyBorder="1" applyAlignment="1">
      <alignment horizontal="center" vertical="center"/>
    </xf>
    <xf numFmtId="164" fontId="8" fillId="8" borderId="150" xfId="0" applyNumberFormat="1" applyFont="1" applyFill="1" applyBorder="1" applyAlignment="1">
      <alignment horizontal="center" vertical="center"/>
    </xf>
    <xf numFmtId="1" fontId="21" fillId="0" borderId="15" xfId="7" applyNumberFormat="1" applyFont="1" applyFill="1" applyBorder="1" applyAlignment="1">
      <alignment horizontal="center" vertical="center"/>
    </xf>
    <xf numFmtId="1" fontId="21" fillId="0" borderId="16" xfId="7" applyNumberFormat="1" applyFont="1" applyFill="1" applyBorder="1" applyAlignment="1">
      <alignment horizontal="center" vertical="center"/>
    </xf>
    <xf numFmtId="0" fontId="48" fillId="0" borderId="0" xfId="0" applyFont="1" applyAlignment="1">
      <alignment horizontal="left"/>
    </xf>
    <xf numFmtId="0" fontId="85" fillId="0" borderId="123" xfId="0" applyFont="1" applyBorder="1" applyAlignment="1">
      <alignment horizontal="left" vertical="top" wrapText="1"/>
    </xf>
    <xf numFmtId="0" fontId="85" fillId="0" borderId="124" xfId="0" applyFont="1" applyBorder="1" applyAlignment="1">
      <alignment horizontal="left" vertical="top" wrapText="1"/>
    </xf>
    <xf numFmtId="0" fontId="85" fillId="0" borderId="127" xfId="0" applyFont="1" applyBorder="1" applyAlignment="1">
      <alignment horizontal="left" vertical="top" wrapText="1"/>
    </xf>
    <xf numFmtId="0" fontId="85" fillId="0" borderId="135" xfId="0" applyFont="1" applyBorder="1" applyAlignment="1">
      <alignment horizontal="left" vertical="top" wrapText="1"/>
    </xf>
    <xf numFmtId="0" fontId="85" fillId="0" borderId="82" xfId="0" applyFont="1" applyBorder="1" applyAlignment="1">
      <alignment horizontal="left" vertical="top" wrapText="1"/>
    </xf>
    <xf numFmtId="1" fontId="21" fillId="11" borderId="18" xfId="0" applyNumberFormat="1" applyFont="1" applyFill="1" applyBorder="1" applyAlignment="1">
      <alignment horizontal="center" vertical="center"/>
    </xf>
    <xf numFmtId="169" fontId="21" fillId="0" borderId="15" xfId="0" applyNumberFormat="1" applyFont="1" applyBorder="1" applyAlignment="1">
      <alignment horizontal="center" vertical="center"/>
    </xf>
    <xf numFmtId="169" fontId="21" fillId="0" borderId="16" xfId="0" applyNumberFormat="1" applyFont="1" applyBorder="1" applyAlignment="1">
      <alignment horizontal="center" vertical="center"/>
    </xf>
    <xf numFmtId="164" fontId="8" fillId="0" borderId="158" xfId="0" applyNumberFormat="1" applyFont="1" applyBorder="1" applyAlignment="1">
      <alignment horizontal="center" vertical="center"/>
    </xf>
    <xf numFmtId="164" fontId="8" fillId="0" borderId="150" xfId="0" applyNumberFormat="1" applyFont="1" applyBorder="1" applyAlignment="1">
      <alignment horizontal="center" vertical="center"/>
    </xf>
    <xf numFmtId="164" fontId="8" fillId="0" borderId="150" xfId="8" applyNumberFormat="1" applyFont="1" applyFill="1" applyBorder="1" applyAlignment="1">
      <alignment horizontal="center" vertical="center"/>
    </xf>
    <xf numFmtId="10" fontId="30" fillId="0" borderId="6" xfId="0" applyNumberFormat="1" applyFont="1" applyBorder="1" applyAlignment="1">
      <alignment horizontal="center"/>
    </xf>
    <xf numFmtId="0" fontId="8" fillId="8" borderId="141" xfId="0" applyFont="1" applyFill="1" applyBorder="1" applyAlignment="1">
      <alignment horizontal="center" vertical="center" wrapText="1"/>
    </xf>
    <xf numFmtId="0" fontId="8" fillId="8" borderId="60" xfId="0" applyFont="1" applyFill="1" applyBorder="1" applyAlignment="1">
      <alignment horizontal="center" vertical="center" wrapText="1"/>
    </xf>
    <xf numFmtId="0" fontId="8" fillId="8" borderId="142" xfId="0" applyFont="1" applyFill="1" applyBorder="1" applyAlignment="1">
      <alignment horizontal="center" vertical="center" wrapText="1"/>
    </xf>
    <xf numFmtId="164" fontId="8" fillId="0" borderId="169" xfId="0" applyNumberFormat="1" applyFont="1" applyBorder="1" applyAlignment="1">
      <alignment horizontal="center" vertical="center"/>
    </xf>
    <xf numFmtId="165" fontId="21" fillId="0" borderId="18" xfId="0" applyNumberFormat="1" applyFont="1" applyBorder="1" applyAlignment="1">
      <alignment horizontal="center" vertical="center" wrapText="1"/>
    </xf>
    <xf numFmtId="2" fontId="21" fillId="0" borderId="162" xfId="0" applyNumberFormat="1" applyFont="1" applyBorder="1" applyAlignment="1">
      <alignment horizontal="center" vertical="center"/>
    </xf>
    <xf numFmtId="0" fontId="109" fillId="0" borderId="159" xfId="0" applyFont="1" applyBorder="1" applyAlignment="1">
      <alignment horizontal="left" vertical="top" wrapText="1"/>
    </xf>
    <xf numFmtId="0" fontId="109" fillId="0" borderId="61" xfId="0" applyFont="1" applyBorder="1" applyAlignment="1">
      <alignment horizontal="left" vertical="top" wrapText="1"/>
    </xf>
    <xf numFmtId="0" fontId="109" fillId="0" borderId="90" xfId="0" applyFont="1" applyBorder="1" applyAlignment="1">
      <alignment horizontal="left" vertical="top" wrapText="1"/>
    </xf>
    <xf numFmtId="0" fontId="109" fillId="0" borderId="160" xfId="0" applyFont="1" applyBorder="1" applyAlignment="1">
      <alignment horizontal="left" vertical="top" wrapText="1"/>
    </xf>
    <xf numFmtId="0" fontId="109" fillId="0" borderId="92" xfId="0" applyFont="1" applyBorder="1" applyAlignment="1">
      <alignment horizontal="left" vertical="top" wrapText="1"/>
    </xf>
    <xf numFmtId="0" fontId="109" fillId="0" borderId="93" xfId="0" applyFont="1" applyBorder="1" applyAlignment="1">
      <alignment horizontal="left" vertical="top" wrapText="1"/>
    </xf>
    <xf numFmtId="10" fontId="8" fillId="4" borderId="63" xfId="7" applyNumberFormat="1" applyFont="1" applyFill="1" applyBorder="1" applyAlignment="1">
      <alignment horizontal="center" vertical="center"/>
    </xf>
    <xf numFmtId="10" fontId="8" fillId="4" borderId="134" xfId="7" applyNumberFormat="1" applyFont="1" applyFill="1" applyBorder="1" applyAlignment="1">
      <alignment horizontal="center" vertical="center"/>
    </xf>
    <xf numFmtId="16" fontId="21" fillId="0" borderId="62" xfId="0" applyNumberFormat="1" applyFont="1" applyBorder="1" applyAlignment="1">
      <alignment horizontal="center" vertical="center"/>
    </xf>
    <xf numFmtId="16" fontId="21" fillId="0" borderId="64" xfId="0" applyNumberFormat="1" applyFont="1" applyBorder="1" applyAlignment="1">
      <alignment horizontal="center" vertical="center"/>
    </xf>
    <xf numFmtId="10" fontId="8" fillId="0" borderId="15" xfId="0" applyNumberFormat="1" applyFont="1" applyBorder="1" applyAlignment="1">
      <alignment horizontal="center" vertical="center"/>
    </xf>
    <xf numFmtId="10" fontId="8" fillId="0" borderId="16" xfId="0" applyNumberFormat="1" applyFont="1" applyBorder="1" applyAlignment="1">
      <alignment horizontal="center" vertical="center"/>
    </xf>
    <xf numFmtId="10" fontId="8" fillId="0" borderId="18" xfId="0" applyNumberFormat="1" applyFont="1" applyBorder="1" applyAlignment="1">
      <alignment horizontal="center" vertical="center"/>
    </xf>
    <xf numFmtId="1" fontId="21" fillId="0" borderId="18" xfId="0" applyNumberFormat="1" applyFont="1" applyBorder="1" applyAlignment="1">
      <alignment horizontal="center" vertical="center"/>
    </xf>
    <xf numFmtId="9" fontId="21" fillId="0" borderId="15" xfId="7" applyFont="1" applyFill="1" applyBorder="1" applyAlignment="1">
      <alignment horizontal="center" vertical="center"/>
    </xf>
    <xf numFmtId="9" fontId="21" fillId="0" borderId="16" xfId="7" applyFont="1" applyFill="1" applyBorder="1" applyAlignment="1">
      <alignment horizontal="center" vertical="center"/>
    </xf>
    <xf numFmtId="2" fontId="21" fillId="0" borderId="15" xfId="0" applyNumberFormat="1" applyFont="1" applyBorder="1" applyAlignment="1">
      <alignment horizontal="center" vertical="center"/>
    </xf>
    <xf numFmtId="2" fontId="21" fillId="0" borderId="16" xfId="0" applyNumberFormat="1" applyFont="1" applyBorder="1" applyAlignment="1">
      <alignment horizontal="center" vertical="center"/>
    </xf>
    <xf numFmtId="10" fontId="8" fillId="2" borderId="59" xfId="0" applyNumberFormat="1" applyFont="1" applyFill="1" applyBorder="1" applyAlignment="1">
      <alignment horizontal="center" vertical="center"/>
    </xf>
    <xf numFmtId="10" fontId="8" fillId="2" borderId="139" xfId="0" applyNumberFormat="1" applyFont="1" applyFill="1" applyBorder="1" applyAlignment="1">
      <alignment horizontal="center" vertical="center"/>
    </xf>
    <xf numFmtId="10" fontId="8" fillId="2" borderId="21" xfId="0" applyNumberFormat="1" applyFont="1" applyFill="1" applyBorder="1" applyAlignment="1">
      <alignment horizontal="center" vertical="center"/>
    </xf>
    <xf numFmtId="16" fontId="21" fillId="0" borderId="19" xfId="0" applyNumberFormat="1" applyFont="1" applyBorder="1" applyAlignment="1">
      <alignment horizontal="center" vertical="center"/>
    </xf>
    <xf numFmtId="20" fontId="21" fillId="0" borderId="15" xfId="0" applyNumberFormat="1" applyFont="1" applyBorder="1" applyAlignment="1">
      <alignment horizontal="center" vertical="center" wrapText="1"/>
    </xf>
    <xf numFmtId="20" fontId="21" fillId="0" borderId="18" xfId="0" applyNumberFormat="1" applyFont="1" applyBorder="1" applyAlignment="1">
      <alignment horizontal="center" vertical="center" wrapText="1"/>
    </xf>
    <xf numFmtId="20" fontId="21" fillId="0" borderId="16" xfId="0" applyNumberFormat="1" applyFont="1" applyBorder="1" applyAlignment="1">
      <alignment horizontal="center" vertical="center" wrapText="1"/>
    </xf>
    <xf numFmtId="10" fontId="8" fillId="4" borderId="136" xfId="7" applyNumberFormat="1" applyFont="1" applyFill="1" applyBorder="1" applyAlignment="1">
      <alignment horizontal="center" vertical="center"/>
    </xf>
    <xf numFmtId="169" fontId="21" fillId="0" borderId="18" xfId="0" applyNumberFormat="1" applyFont="1" applyBorder="1" applyAlignment="1">
      <alignment horizontal="center" vertical="center"/>
    </xf>
    <xf numFmtId="0" fontId="85" fillId="0" borderId="140" xfId="0" applyFont="1" applyBorder="1" applyAlignment="1">
      <alignment horizontal="left" vertical="top" wrapText="1"/>
    </xf>
    <xf numFmtId="0" fontId="85" fillId="0" borderId="61" xfId="0" applyFont="1" applyBorder="1" applyAlignment="1">
      <alignment horizontal="left" vertical="top" wrapText="1"/>
    </xf>
    <xf numFmtId="0" fontId="85" fillId="0" borderId="90" xfId="0" applyFont="1" applyBorder="1" applyAlignment="1">
      <alignment horizontal="left" vertical="top" wrapText="1"/>
    </xf>
    <xf numFmtId="0" fontId="85" fillId="0" borderId="91" xfId="0" applyFont="1" applyBorder="1" applyAlignment="1">
      <alignment horizontal="left" vertical="top" wrapText="1"/>
    </xf>
    <xf numFmtId="0" fontId="85" fillId="0" borderId="92" xfId="0" applyFont="1" applyBorder="1" applyAlignment="1">
      <alignment horizontal="left" vertical="top" wrapText="1"/>
    </xf>
    <xf numFmtId="0" fontId="85" fillId="0" borderId="93" xfId="0" applyFont="1" applyBorder="1" applyAlignment="1">
      <alignment horizontal="left" vertical="top" wrapText="1"/>
    </xf>
    <xf numFmtId="10" fontId="8" fillId="2" borderId="116" xfId="0" applyNumberFormat="1" applyFont="1" applyFill="1" applyBorder="1" applyAlignment="1">
      <alignment horizontal="center" vertical="center"/>
    </xf>
    <xf numFmtId="169" fontId="21" fillId="0" borderId="17" xfId="0" applyNumberFormat="1" applyFont="1" applyBorder="1" applyAlignment="1">
      <alignment horizontal="center" vertical="center"/>
    </xf>
    <xf numFmtId="10" fontId="8" fillId="4" borderId="66" xfId="7" applyNumberFormat="1" applyFont="1" applyFill="1" applyBorder="1" applyAlignment="1">
      <alignment horizontal="center" vertical="center"/>
    </xf>
    <xf numFmtId="10" fontId="30" fillId="0" borderId="0" xfId="0" applyNumberFormat="1" applyFont="1" applyAlignment="1">
      <alignment horizontal="center"/>
    </xf>
    <xf numFmtId="0" fontId="8" fillId="0" borderId="141"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142" xfId="0" applyFont="1" applyBorder="1" applyAlignment="1">
      <alignment horizontal="center" vertical="center" wrapText="1"/>
    </xf>
    <xf numFmtId="0" fontId="85" fillId="0" borderId="36" xfId="0" applyFont="1" applyBorder="1" applyAlignment="1">
      <alignment horizontal="left" vertical="top" wrapText="1"/>
    </xf>
    <xf numFmtId="0" fontId="85" fillId="0" borderId="23" xfId="0" applyFont="1" applyBorder="1" applyAlignment="1">
      <alignment horizontal="left" vertical="top" wrapText="1"/>
    </xf>
    <xf numFmtId="0" fontId="85" fillId="0" borderId="38" xfId="0" applyFont="1" applyBorder="1" applyAlignment="1">
      <alignment horizontal="left" vertical="top" wrapText="1"/>
    </xf>
    <xf numFmtId="16" fontId="21" fillId="0" borderId="115" xfId="0" applyNumberFormat="1" applyFont="1" applyBorder="1" applyAlignment="1">
      <alignment horizontal="center" vertical="center"/>
    </xf>
    <xf numFmtId="20" fontId="21" fillId="0" borderId="17" xfId="0" applyNumberFormat="1" applyFont="1" applyBorder="1" applyAlignment="1">
      <alignment horizontal="center" vertical="center" wrapText="1"/>
    </xf>
    <xf numFmtId="10" fontId="8" fillId="0" borderId="17" xfId="0" applyNumberFormat="1" applyFont="1" applyBorder="1" applyAlignment="1">
      <alignment horizontal="center" vertical="center"/>
    </xf>
    <xf numFmtId="0" fontId="85" fillId="0" borderId="143" xfId="0" applyFont="1" applyBorder="1" applyAlignment="1">
      <alignment horizontal="left" vertical="top" wrapText="1"/>
    </xf>
    <xf numFmtId="0" fontId="85" fillId="0" borderId="144" xfId="0" applyFont="1" applyBorder="1" applyAlignment="1">
      <alignment horizontal="left" vertical="top" wrapText="1"/>
    </xf>
    <xf numFmtId="0" fontId="85" fillId="0" borderId="145" xfId="0" applyFont="1" applyBorder="1" applyAlignment="1">
      <alignment horizontal="left" vertical="top" wrapText="1"/>
    </xf>
    <xf numFmtId="0" fontId="15" fillId="0" borderId="9" xfId="0" applyFont="1" applyBorder="1" applyAlignment="1">
      <alignment horizontal="left" vertical="center"/>
    </xf>
    <xf numFmtId="0" fontId="15" fillId="0" borderId="4" xfId="0" applyFont="1" applyBorder="1" applyAlignment="1">
      <alignment horizontal="left" vertical="center"/>
    </xf>
    <xf numFmtId="0" fontId="15" fillId="0" borderId="5" xfId="0" applyFont="1" applyBorder="1" applyAlignment="1">
      <alignment horizontal="left" vertical="center"/>
    </xf>
    <xf numFmtId="0" fontId="18" fillId="0" borderId="0" xfId="0" applyFont="1" applyAlignment="1">
      <alignment horizontal="left"/>
    </xf>
    <xf numFmtId="0" fontId="26" fillId="0" borderId="0" xfId="0" applyFont="1" applyAlignment="1">
      <alignment horizontal="left"/>
    </xf>
    <xf numFmtId="1" fontId="21" fillId="0" borderId="17" xfId="0" applyNumberFormat="1" applyFont="1" applyBorder="1" applyAlignment="1">
      <alignment horizontal="center" vertical="center"/>
    </xf>
    <xf numFmtId="0" fontId="40" fillId="0" borderId="9" xfId="0" applyFont="1" applyBorder="1" applyAlignment="1">
      <alignment horizontal="left" vertical="center"/>
    </xf>
    <xf numFmtId="0" fontId="40" fillId="0" borderId="4" xfId="0" applyFont="1" applyBorder="1" applyAlignment="1">
      <alignment horizontal="left" vertical="center"/>
    </xf>
    <xf numFmtId="0" fontId="40" fillId="0" borderId="5" xfId="0" applyFont="1" applyBorder="1" applyAlignment="1">
      <alignment horizontal="left" vertical="center"/>
    </xf>
    <xf numFmtId="16" fontId="21" fillId="0" borderId="62" xfId="0" applyNumberFormat="1" applyFont="1" applyBorder="1" applyAlignment="1">
      <alignment horizontal="right" vertical="center"/>
    </xf>
    <xf numFmtId="16" fontId="21" fillId="0" borderId="64" xfId="0" applyNumberFormat="1" applyFont="1" applyBorder="1" applyAlignment="1">
      <alignment horizontal="right" vertical="center"/>
    </xf>
    <xf numFmtId="0" fontId="40" fillId="0" borderId="146" xfId="0" applyFont="1" applyBorder="1" applyAlignment="1">
      <alignment horizontal="left" vertical="center"/>
    </xf>
    <xf numFmtId="0" fontId="40" fillId="0" borderId="13" xfId="0" applyFont="1" applyBorder="1" applyAlignment="1">
      <alignment horizontal="left" vertical="center"/>
    </xf>
    <xf numFmtId="0" fontId="40" fillId="0" borderId="147" xfId="0" applyFont="1" applyBorder="1" applyAlignment="1">
      <alignment horizontal="left" vertical="center"/>
    </xf>
    <xf numFmtId="0" fontId="85" fillId="0" borderId="140" xfId="0" applyFont="1" applyBorder="1" applyAlignment="1">
      <alignment horizontal="center" vertical="top" wrapText="1"/>
    </xf>
    <xf numFmtId="0" fontId="85" fillId="0" borderId="61" xfId="0" applyFont="1" applyBorder="1" applyAlignment="1">
      <alignment horizontal="center" vertical="top" wrapText="1"/>
    </xf>
    <xf numFmtId="0" fontId="85" fillId="0" borderId="90" xfId="0" applyFont="1" applyBorder="1" applyAlignment="1">
      <alignment horizontal="center" vertical="top" wrapText="1"/>
    </xf>
    <xf numFmtId="0" fontId="85" fillId="0" borderId="22" xfId="0" applyFont="1" applyBorder="1" applyAlignment="1">
      <alignment horizontal="left" vertical="top" wrapText="1"/>
    </xf>
    <xf numFmtId="0" fontId="85" fillId="0" borderId="148" xfId="0" applyFont="1" applyBorder="1" applyAlignment="1">
      <alignment horizontal="left" vertical="top" wrapText="1"/>
    </xf>
    <xf numFmtId="0" fontId="85" fillId="0" borderId="24" xfId="0" applyFont="1" applyBorder="1" applyAlignment="1">
      <alignment horizontal="left" vertical="top" wrapText="1"/>
    </xf>
    <xf numFmtId="3" fontId="21" fillId="0" borderId="15" xfId="0" applyNumberFormat="1" applyFont="1" applyBorder="1" applyAlignment="1">
      <alignment horizontal="center" vertical="center"/>
    </xf>
    <xf numFmtId="3" fontId="21" fillId="0" borderId="16" xfId="0" applyNumberFormat="1" applyFont="1" applyBorder="1" applyAlignment="1">
      <alignment horizontal="center" vertical="center"/>
    </xf>
    <xf numFmtId="0" fontId="85" fillId="8" borderId="91" xfId="0" applyFont="1" applyFill="1" applyBorder="1" applyAlignment="1">
      <alignment horizontal="left" vertical="top" wrapText="1"/>
    </xf>
    <xf numFmtId="0" fontId="85" fillId="8" borderId="92" xfId="0" applyFont="1" applyFill="1" applyBorder="1" applyAlignment="1">
      <alignment horizontal="left" vertical="top" wrapText="1"/>
    </xf>
    <xf numFmtId="0" fontId="85" fillId="8" borderId="93" xfId="0" applyFont="1" applyFill="1" applyBorder="1" applyAlignment="1">
      <alignment horizontal="left" vertical="top" wrapText="1"/>
    </xf>
    <xf numFmtId="0" fontId="85" fillId="0" borderId="91" xfId="0" applyFont="1" applyBorder="1" applyAlignment="1">
      <alignment horizontal="left" wrapText="1"/>
    </xf>
    <xf numFmtId="0" fontId="85" fillId="0" borderId="92" xfId="0" applyFont="1" applyBorder="1" applyAlignment="1">
      <alignment horizontal="left" wrapText="1"/>
    </xf>
    <xf numFmtId="0" fontId="85" fillId="0" borderId="93" xfId="0" applyFont="1" applyBorder="1" applyAlignment="1">
      <alignment horizontal="left" wrapText="1"/>
    </xf>
    <xf numFmtId="0" fontId="35" fillId="0" borderId="91" xfId="0" applyFont="1" applyBorder="1" applyAlignment="1">
      <alignment horizontal="left" vertical="top" wrapText="1"/>
    </xf>
    <xf numFmtId="0" fontId="35" fillId="0" borderId="92" xfId="0" applyFont="1" applyBorder="1" applyAlignment="1">
      <alignment horizontal="left" vertical="top" wrapText="1"/>
    </xf>
    <xf numFmtId="0" fontId="35" fillId="0" borderId="93" xfId="0" applyFont="1" applyBorder="1" applyAlignment="1">
      <alignment horizontal="left" vertical="top" wrapText="1"/>
    </xf>
    <xf numFmtId="0" fontId="103" fillId="0" borderId="0" xfId="0" applyFont="1" applyAlignment="1">
      <alignment horizontal="center"/>
    </xf>
    <xf numFmtId="0" fontId="48" fillId="2" borderId="149" xfId="0" applyFont="1" applyFill="1" applyBorder="1" applyAlignment="1">
      <alignment horizontal="center"/>
    </xf>
    <xf numFmtId="0" fontId="35" fillId="0" borderId="127" xfId="0" applyFont="1" applyBorder="1" applyAlignment="1">
      <alignment horizontal="left" vertical="top" wrapText="1"/>
    </xf>
    <xf numFmtId="0" fontId="35" fillId="0" borderId="135" xfId="0" applyFont="1" applyBorder="1" applyAlignment="1">
      <alignment horizontal="left" vertical="top" wrapText="1"/>
    </xf>
    <xf numFmtId="0" fontId="35" fillId="0" borderId="82" xfId="0" applyFont="1" applyBorder="1" applyAlignment="1">
      <alignment horizontal="left" vertical="top" wrapText="1"/>
    </xf>
    <xf numFmtId="16" fontId="36" fillId="2" borderId="79" xfId="0" applyNumberFormat="1" applyFont="1" applyFill="1" applyBorder="1" applyAlignment="1">
      <alignment horizontal="center" vertical="center"/>
    </xf>
    <xf numFmtId="16" fontId="36" fillId="2" borderId="88" xfId="0" applyNumberFormat="1" applyFont="1" applyFill="1" applyBorder="1" applyAlignment="1">
      <alignment horizontal="center" vertical="center"/>
    </xf>
    <xf numFmtId="165" fontId="51" fillId="2" borderId="100" xfId="0" applyNumberFormat="1" applyFont="1" applyFill="1" applyBorder="1" applyAlignment="1">
      <alignment horizontal="center"/>
    </xf>
    <xf numFmtId="165" fontId="51" fillId="2" borderId="97" xfId="0" applyNumberFormat="1" applyFont="1" applyFill="1" applyBorder="1" applyAlignment="1">
      <alignment horizontal="center"/>
    </xf>
    <xf numFmtId="165" fontId="51" fillId="2" borderId="101" xfId="0" applyNumberFormat="1" applyFont="1" applyFill="1" applyBorder="1" applyAlignment="1">
      <alignment horizontal="center"/>
    </xf>
    <xf numFmtId="165" fontId="51" fillId="2" borderId="98" xfId="0" applyNumberFormat="1" applyFont="1" applyFill="1" applyBorder="1" applyAlignment="1">
      <alignment horizontal="center"/>
    </xf>
    <xf numFmtId="1" fontId="8" fillId="0" borderId="15" xfId="0" applyNumberFormat="1" applyFont="1" applyBorder="1" applyAlignment="1">
      <alignment horizontal="center" vertical="center"/>
    </xf>
    <xf numFmtId="1" fontId="8" fillId="0" borderId="16" xfId="0" applyNumberFormat="1" applyFont="1" applyBorder="1" applyAlignment="1">
      <alignment horizontal="center" vertical="center"/>
    </xf>
    <xf numFmtId="0" fontId="85" fillId="0" borderId="91" xfId="0" applyFont="1" applyBorder="1" applyAlignment="1">
      <alignment horizontal="left" vertical="center" wrapText="1"/>
    </xf>
    <xf numFmtId="0" fontId="85" fillId="0" borderId="92" xfId="0" applyFont="1" applyBorder="1" applyAlignment="1">
      <alignment horizontal="left" vertical="center" wrapText="1"/>
    </xf>
    <xf numFmtId="0" fontId="85" fillId="0" borderId="93" xfId="0" applyFont="1" applyBorder="1" applyAlignment="1">
      <alignment horizontal="left" vertical="center" wrapText="1"/>
    </xf>
    <xf numFmtId="0" fontId="48" fillId="2" borderId="0" xfId="0" applyFont="1" applyFill="1" applyAlignment="1">
      <alignment horizontal="center"/>
    </xf>
    <xf numFmtId="0" fontId="85" fillId="0" borderId="113" xfId="0" applyFont="1" applyBorder="1" applyAlignment="1">
      <alignment horizontal="left" vertical="top" wrapText="1"/>
    </xf>
    <xf numFmtId="0" fontId="85" fillId="0" borderId="0" xfId="0" applyFont="1" applyAlignment="1">
      <alignment horizontal="left" vertical="top" wrapText="1"/>
    </xf>
    <xf numFmtId="0" fontId="85" fillId="0" borderId="133" xfId="0" applyFont="1" applyBorder="1" applyAlignment="1">
      <alignment horizontal="left" vertical="top" wrapText="1"/>
    </xf>
    <xf numFmtId="0" fontId="85" fillId="0" borderId="122" xfId="0" applyFont="1" applyBorder="1" applyAlignment="1">
      <alignment horizontal="left" vertical="top" wrapText="1"/>
    </xf>
    <xf numFmtId="20" fontId="21" fillId="0" borderId="15" xfId="0" applyNumberFormat="1" applyFont="1" applyBorder="1" applyAlignment="1">
      <alignment horizontal="center" vertical="center"/>
    </xf>
    <xf numFmtId="0" fontId="21" fillId="0" borderId="18" xfId="0" applyFont="1" applyBorder="1" applyAlignment="1">
      <alignment horizontal="center" vertical="center"/>
    </xf>
    <xf numFmtId="0" fontId="21" fillId="0" borderId="16" xfId="0" applyFont="1" applyBorder="1" applyAlignment="1">
      <alignment horizontal="center" vertical="center"/>
    </xf>
    <xf numFmtId="17" fontId="48" fillId="0" borderId="149" xfId="0" applyNumberFormat="1" applyFont="1" applyBorder="1" applyAlignment="1">
      <alignment horizontal="center"/>
    </xf>
    <xf numFmtId="0" fontId="21" fillId="11" borderId="15" xfId="0" applyFont="1" applyFill="1" applyBorder="1" applyAlignment="1">
      <alignment horizontal="center" vertical="center"/>
    </xf>
    <xf numFmtId="0" fontId="21" fillId="11" borderId="16" xfId="0" applyFont="1" applyFill="1" applyBorder="1" applyAlignment="1">
      <alignment horizontal="center" vertical="center"/>
    </xf>
    <xf numFmtId="0" fontId="21" fillId="11" borderId="18" xfId="0" applyFont="1" applyFill="1" applyBorder="1" applyAlignment="1">
      <alignment horizontal="center" vertical="center"/>
    </xf>
    <xf numFmtId="0" fontId="109" fillId="13" borderId="135" xfId="0" applyFont="1" applyFill="1" applyBorder="1" applyAlignment="1">
      <alignment horizontal="left" vertical="top" wrapText="1"/>
    </xf>
    <xf numFmtId="0" fontId="109" fillId="13" borderId="82" xfId="0" applyFont="1" applyFill="1" applyBorder="1" applyAlignment="1">
      <alignment horizontal="left" vertical="top" wrapText="1"/>
    </xf>
    <xf numFmtId="10" fontId="70" fillId="0" borderId="6" xfId="0" applyNumberFormat="1" applyFont="1" applyBorder="1" applyAlignment="1">
      <alignment horizontal="center"/>
    </xf>
    <xf numFmtId="10" fontId="70" fillId="0" borderId="0" xfId="0" applyNumberFormat="1" applyFont="1" applyAlignment="1">
      <alignment horizontal="center"/>
    </xf>
    <xf numFmtId="0" fontId="109" fillId="27" borderId="135" xfId="0" applyFont="1" applyFill="1" applyBorder="1" applyAlignment="1">
      <alignment horizontal="left" vertical="top" wrapText="1"/>
    </xf>
    <xf numFmtId="0" fontId="109" fillId="27" borderId="82" xfId="0" applyFont="1" applyFill="1" applyBorder="1" applyAlignment="1">
      <alignment horizontal="left" vertical="top" wrapText="1"/>
    </xf>
    <xf numFmtId="164" fontId="8" fillId="0" borderId="138" xfId="0" applyNumberFormat="1" applyFont="1" applyBorder="1" applyAlignment="1">
      <alignment horizontal="center" vertical="center"/>
    </xf>
    <xf numFmtId="164" fontId="8" fillId="0" borderId="154" xfId="0" applyNumberFormat="1" applyFont="1" applyBorder="1" applyAlignment="1">
      <alignment horizontal="center" vertical="center"/>
    </xf>
    <xf numFmtId="164" fontId="8" fillId="0" borderId="151" xfId="0" applyNumberFormat="1" applyFont="1" applyBorder="1" applyAlignment="1">
      <alignment horizontal="center" vertical="center"/>
    </xf>
    <xf numFmtId="164" fontId="8" fillId="0" borderId="50" xfId="0" applyNumberFormat="1" applyFont="1" applyBorder="1" applyAlignment="1">
      <alignment horizontal="center" vertical="center"/>
    </xf>
    <xf numFmtId="0" fontId="109" fillId="0" borderId="127" xfId="0" applyFont="1" applyBorder="1" applyAlignment="1">
      <alignment horizontal="left" vertical="top" wrapText="1"/>
    </xf>
    <xf numFmtId="1" fontId="21" fillId="11" borderId="15" xfId="0" applyNumberFormat="1" applyFont="1" applyFill="1" applyBorder="1" applyAlignment="1">
      <alignment horizontal="center" vertical="center"/>
    </xf>
    <xf numFmtId="0" fontId="109" fillId="13" borderId="127" xfId="0" applyFont="1" applyFill="1" applyBorder="1" applyAlignment="1">
      <alignment horizontal="left" vertical="top" wrapText="1"/>
    </xf>
    <xf numFmtId="0" fontId="8" fillId="16" borderId="155" xfId="0" applyFont="1" applyFill="1" applyBorder="1" applyAlignment="1">
      <alignment horizontal="center" vertical="center"/>
    </xf>
    <xf numFmtId="0" fontId="109" fillId="0" borderId="0" xfId="0" applyFont="1" applyAlignment="1">
      <alignment horizontal="left" vertical="top" wrapText="1"/>
    </xf>
    <xf numFmtId="0" fontId="109" fillId="0" borderId="133" xfId="0" applyFont="1" applyBorder="1" applyAlignment="1">
      <alignment horizontal="left" vertical="top" wrapText="1"/>
    </xf>
    <xf numFmtId="0" fontId="21" fillId="11" borderId="156" xfId="0" applyFont="1" applyFill="1" applyBorder="1" applyAlignment="1">
      <alignment horizontal="center" vertical="center"/>
    </xf>
    <xf numFmtId="2" fontId="21" fillId="0" borderId="55" xfId="0" applyNumberFormat="1" applyFont="1" applyBorder="1" applyAlignment="1">
      <alignment horizontal="center" vertical="center"/>
    </xf>
    <xf numFmtId="2" fontId="21" fillId="0" borderId="151" xfId="0" applyNumberFormat="1" applyFont="1" applyBorder="1" applyAlignment="1">
      <alignment horizontal="center" vertical="center"/>
    </xf>
    <xf numFmtId="2" fontId="8" fillId="0" borderId="95" xfId="0" applyNumberFormat="1" applyFont="1" applyBorder="1" applyAlignment="1">
      <alignment horizontal="center" vertical="center"/>
    </xf>
    <xf numFmtId="2" fontId="8" fillId="0" borderId="162" xfId="0" applyNumberFormat="1" applyFont="1" applyBorder="1" applyAlignment="1">
      <alignment horizontal="center" vertical="center"/>
    </xf>
    <xf numFmtId="2" fontId="8" fillId="0" borderId="73" xfId="0" applyNumberFormat="1" applyFont="1" applyBorder="1" applyAlignment="1">
      <alignment horizontal="center" vertical="center"/>
    </xf>
    <xf numFmtId="3" fontId="21" fillId="0" borderId="15" xfId="0" applyNumberFormat="1" applyFont="1" applyBorder="1" applyAlignment="1">
      <alignment horizontal="center" vertical="center" wrapText="1"/>
    </xf>
    <xf numFmtId="3" fontId="21" fillId="0" borderId="16" xfId="0" applyNumberFormat="1" applyFont="1" applyBorder="1" applyAlignment="1">
      <alignment horizontal="center" vertical="center" wrapText="1"/>
    </xf>
    <xf numFmtId="164" fontId="8" fillId="0" borderId="128" xfId="8" applyNumberFormat="1" applyFont="1" applyBorder="1" applyAlignment="1">
      <alignment horizontal="center" vertical="center"/>
    </xf>
    <xf numFmtId="164" fontId="8" fillId="0" borderId="150" xfId="8" applyNumberFormat="1" applyFont="1" applyBorder="1" applyAlignment="1">
      <alignment horizontal="center" vertical="center"/>
    </xf>
    <xf numFmtId="164" fontId="8" fillId="0" borderId="121" xfId="8" applyNumberFormat="1" applyFont="1" applyBorder="1" applyAlignment="1">
      <alignment horizontal="center" vertical="center"/>
    </xf>
    <xf numFmtId="0" fontId="110" fillId="0" borderId="3" xfId="0" applyFont="1" applyBorder="1" applyAlignment="1">
      <alignment horizontal="left" vertical="top" wrapText="1"/>
    </xf>
    <xf numFmtId="0" fontId="110" fillId="0" borderId="80" xfId="0" applyFont="1" applyBorder="1" applyAlignment="1">
      <alignment horizontal="left" vertical="top" wrapText="1"/>
    </xf>
    <xf numFmtId="0" fontId="85" fillId="0" borderId="3" xfId="0" applyFont="1" applyBorder="1" applyAlignment="1">
      <alignment horizontal="left" vertical="top" wrapText="1"/>
    </xf>
    <xf numFmtId="1" fontId="21" fillId="11" borderId="3" xfId="0" applyNumberFormat="1" applyFont="1" applyFill="1" applyBorder="1" applyAlignment="1">
      <alignment horizontal="center" vertical="center"/>
    </xf>
    <xf numFmtId="2" fontId="21" fillId="0" borderId="35" xfId="0" applyNumberFormat="1" applyFont="1" applyBorder="1" applyAlignment="1">
      <alignment horizontal="center" vertical="center"/>
    </xf>
    <xf numFmtId="2" fontId="21" fillId="0" borderId="166" xfId="0" applyNumberFormat="1" applyFont="1" applyBorder="1" applyAlignment="1">
      <alignment horizontal="center" vertical="center"/>
    </xf>
    <xf numFmtId="2" fontId="21" fillId="0" borderId="79" xfId="0" applyNumberFormat="1" applyFont="1" applyBorder="1" applyAlignment="1">
      <alignment horizontal="center" vertical="center"/>
    </xf>
    <xf numFmtId="0" fontId="85" fillId="0" borderId="15" xfId="0" applyFont="1" applyBorder="1" applyAlignment="1">
      <alignment horizontal="left" vertical="top" wrapText="1"/>
    </xf>
    <xf numFmtId="164" fontId="8" fillId="0" borderId="161" xfId="0" applyNumberFormat="1" applyFont="1" applyBorder="1" applyAlignment="1">
      <alignment horizontal="center" vertical="center"/>
    </xf>
    <xf numFmtId="164" fontId="8" fillId="0" borderId="136" xfId="0" applyNumberFormat="1" applyFont="1" applyBorder="1" applyAlignment="1">
      <alignment horizontal="center" vertical="center"/>
    </xf>
    <xf numFmtId="0" fontId="102" fillId="0" borderId="0" xfId="0" applyFont="1" applyAlignment="1">
      <alignment horizontal="center"/>
    </xf>
    <xf numFmtId="0" fontId="94" fillId="0" borderId="122" xfId="0" applyFont="1" applyBorder="1" applyAlignment="1">
      <alignment horizontal="center"/>
    </xf>
    <xf numFmtId="0" fontId="94" fillId="0" borderId="123" xfId="0" applyFont="1" applyBorder="1" applyAlignment="1">
      <alignment horizontal="center"/>
    </xf>
    <xf numFmtId="0" fontId="49" fillId="0" borderId="95" xfId="0" applyFont="1" applyBorder="1" applyAlignment="1">
      <alignment horizontal="right"/>
    </xf>
    <xf numFmtId="0" fontId="49" fillId="0" borderId="73" xfId="0" applyFont="1" applyBorder="1" applyAlignment="1">
      <alignment horizontal="right"/>
    </xf>
    <xf numFmtId="0" fontId="12" fillId="10" borderId="54" xfId="0" applyFont="1" applyFill="1" applyBorder="1" applyAlignment="1">
      <alignment horizontal="right"/>
    </xf>
    <xf numFmtId="0" fontId="12" fillId="10" borderId="50" xfId="0" applyFont="1" applyFill="1" applyBorder="1" applyAlignment="1">
      <alignment horizontal="right"/>
    </xf>
    <xf numFmtId="0" fontId="49" fillId="0" borderId="15" xfId="0" applyFont="1" applyBorder="1" applyAlignment="1">
      <alignment horizontal="right" vertical="center"/>
    </xf>
    <xf numFmtId="0" fontId="49" fillId="0" borderId="16" xfId="0" applyFont="1" applyBorder="1" applyAlignment="1">
      <alignment horizontal="right" vertical="center"/>
    </xf>
    <xf numFmtId="2" fontId="21" fillId="0" borderId="90" xfId="0" applyNumberFormat="1" applyFont="1" applyBorder="1" applyAlignment="1">
      <alignment horizontal="center" vertical="center"/>
    </xf>
    <xf numFmtId="2" fontId="21" fillId="0" borderId="93" xfId="0" applyNumberFormat="1" applyFont="1" applyBorder="1" applyAlignment="1">
      <alignment horizontal="center" vertical="center"/>
    </xf>
    <xf numFmtId="0" fontId="110" fillId="0" borderId="78" xfId="0" applyFont="1" applyBorder="1" applyAlignment="1">
      <alignment horizontal="left" vertical="top" wrapText="1"/>
    </xf>
    <xf numFmtId="0" fontId="110" fillId="0" borderId="94" xfId="0" applyFont="1" applyBorder="1" applyAlignment="1">
      <alignment horizontal="left" vertical="top" wrapText="1"/>
    </xf>
    <xf numFmtId="0" fontId="8" fillId="8" borderId="163" xfId="0" applyFont="1" applyFill="1" applyBorder="1" applyAlignment="1">
      <alignment horizontal="center" vertical="center" wrapText="1"/>
    </xf>
    <xf numFmtId="0" fontId="8" fillId="8" borderId="13" xfId="0" applyFont="1" applyFill="1" applyBorder="1" applyAlignment="1">
      <alignment horizontal="center" vertical="center" wrapText="1"/>
    </xf>
    <xf numFmtId="0" fontId="8" fillId="8" borderId="164" xfId="0" applyFont="1" applyFill="1" applyBorder="1" applyAlignment="1">
      <alignment horizontal="center" vertical="center" wrapText="1"/>
    </xf>
    <xf numFmtId="0" fontId="109" fillId="0" borderId="123" xfId="0" applyFont="1" applyBorder="1" applyAlignment="1">
      <alignment horizontal="left" vertical="top" wrapText="1"/>
    </xf>
    <xf numFmtId="0" fontId="109" fillId="0" borderId="124" xfId="0" applyFont="1" applyBorder="1" applyAlignment="1">
      <alignment horizontal="left" vertical="top" wrapText="1"/>
    </xf>
    <xf numFmtId="2" fontId="21" fillId="0" borderId="42" xfId="0" applyNumberFormat="1" applyFont="1" applyBorder="1" applyAlignment="1">
      <alignment horizontal="center" vertical="center"/>
    </xf>
    <xf numFmtId="2" fontId="21" fillId="0" borderId="132" xfId="0" applyNumberFormat="1" applyFont="1" applyBorder="1" applyAlignment="1">
      <alignment horizontal="center" vertical="center"/>
    </xf>
    <xf numFmtId="2" fontId="21" fillId="0" borderId="20" xfId="0" applyNumberFormat="1" applyFont="1" applyBorder="1" applyAlignment="1">
      <alignment horizontal="center" vertical="center"/>
    </xf>
    <xf numFmtId="164" fontId="8" fillId="0" borderId="48" xfId="0" applyNumberFormat="1" applyFont="1" applyBorder="1" applyAlignment="1">
      <alignment horizontal="center" vertical="center"/>
    </xf>
    <xf numFmtId="164" fontId="8" fillId="0" borderId="75" xfId="0" applyNumberFormat="1" applyFont="1" applyBorder="1" applyAlignment="1">
      <alignment horizontal="center" vertical="center"/>
    </xf>
    <xf numFmtId="0" fontId="48" fillId="0" borderId="0" xfId="0" applyFont="1" applyAlignment="1">
      <alignment horizontal="center" vertical="center" wrapText="1"/>
    </xf>
    <xf numFmtId="0" fontId="89" fillId="0" borderId="135" xfId="0" applyFont="1" applyBorder="1" applyAlignment="1">
      <alignment horizontal="left" vertical="top" wrapText="1"/>
    </xf>
    <xf numFmtId="0" fontId="89" fillId="0" borderId="82" xfId="0" applyFont="1" applyBorder="1" applyAlignment="1">
      <alignment horizontal="left" vertical="top" wrapText="1"/>
    </xf>
    <xf numFmtId="9" fontId="76" fillId="2" borderId="0" xfId="9" applyFont="1" applyFill="1" applyAlignment="1">
      <alignment horizontal="center" vertical="center" wrapText="1"/>
    </xf>
    <xf numFmtId="9" fontId="77" fillId="14" borderId="3" xfId="9" applyFont="1" applyFill="1" applyBorder="1" applyAlignment="1">
      <alignment horizontal="center" vertical="center" wrapText="1"/>
    </xf>
    <xf numFmtId="3" fontId="0" fillId="14" borderId="3" xfId="0" applyNumberFormat="1" applyFill="1" applyBorder="1" applyAlignment="1">
      <alignment horizontal="center" vertical="center"/>
    </xf>
    <xf numFmtId="3" fontId="0" fillId="14" borderId="15" xfId="0" applyNumberFormat="1" applyFill="1" applyBorder="1" applyAlignment="1">
      <alignment horizontal="center" vertical="center"/>
    </xf>
    <xf numFmtId="3" fontId="0" fillId="14" borderId="16" xfId="0" applyNumberFormat="1" applyFill="1" applyBorder="1" applyAlignment="1">
      <alignment horizontal="center" vertical="center"/>
    </xf>
    <xf numFmtId="3" fontId="74" fillId="0" borderId="3" xfId="0" applyNumberFormat="1" applyFont="1" applyBorder="1" applyAlignment="1">
      <alignment horizontal="center"/>
    </xf>
    <xf numFmtId="0" fontId="75" fillId="26" borderId="3" xfId="0" applyFont="1" applyFill="1" applyBorder="1" applyAlignment="1">
      <alignment horizontal="center" vertical="center"/>
    </xf>
    <xf numFmtId="3" fontId="74" fillId="8" borderId="3" xfId="0" applyNumberFormat="1" applyFont="1" applyFill="1" applyBorder="1" applyAlignment="1">
      <alignment horizontal="center"/>
    </xf>
    <xf numFmtId="0" fontId="79" fillId="0" borderId="59" xfId="0" applyFont="1" applyBorder="1" applyAlignment="1">
      <alignment horizontal="left" vertical="top" wrapText="1"/>
    </xf>
    <xf numFmtId="0" fontId="79" fillId="0" borderId="139" xfId="0" applyFont="1" applyBorder="1" applyAlignment="1">
      <alignment horizontal="left" vertical="top" wrapText="1"/>
    </xf>
    <xf numFmtId="3" fontId="13" fillId="0" borderId="37" xfId="0" applyNumberFormat="1" applyFont="1" applyBorder="1" applyAlignment="1">
      <alignment horizontal="center" vertical="center"/>
    </xf>
    <xf numFmtId="3" fontId="13" fillId="0" borderId="0" xfId="0" applyNumberFormat="1" applyFont="1" applyAlignment="1">
      <alignment horizontal="center" vertical="center"/>
    </xf>
    <xf numFmtId="3" fontId="13" fillId="0" borderId="6" xfId="0" applyNumberFormat="1" applyFont="1" applyBorder="1" applyAlignment="1">
      <alignment horizontal="center" vertical="center"/>
    </xf>
    <xf numFmtId="16" fontId="27" fillId="0" borderId="62" xfId="0" applyNumberFormat="1" applyFont="1" applyBorder="1" applyAlignment="1">
      <alignment horizontal="center" vertical="center"/>
    </xf>
    <xf numFmtId="16" fontId="27" fillId="0" borderId="64" xfId="0" applyNumberFormat="1" applyFont="1" applyBorder="1" applyAlignment="1">
      <alignment horizontal="center" vertical="center"/>
    </xf>
    <xf numFmtId="3" fontId="27" fillId="0" borderId="15" xfId="0" applyNumberFormat="1" applyFont="1" applyBorder="1" applyAlignment="1">
      <alignment horizontal="center" vertical="center"/>
    </xf>
    <xf numFmtId="3" fontId="27" fillId="0" borderId="16" xfId="0" applyNumberFormat="1" applyFont="1" applyBorder="1" applyAlignment="1">
      <alignment horizontal="center" vertical="center"/>
    </xf>
    <xf numFmtId="20" fontId="27" fillId="0" borderId="15" xfId="0" applyNumberFormat="1" applyFont="1" applyBorder="1" applyAlignment="1">
      <alignment horizontal="center" vertical="center" wrapText="1"/>
    </xf>
    <xf numFmtId="20" fontId="27" fillId="0" borderId="16" xfId="0" applyNumberFormat="1" applyFont="1" applyBorder="1" applyAlignment="1">
      <alignment horizontal="center" vertical="center" wrapText="1"/>
    </xf>
    <xf numFmtId="165" fontId="27" fillId="0" borderId="15" xfId="0" applyNumberFormat="1" applyFont="1" applyBorder="1" applyAlignment="1">
      <alignment horizontal="center" vertical="center" wrapText="1"/>
    </xf>
    <xf numFmtId="165" fontId="27" fillId="0" borderId="16" xfId="0" applyNumberFormat="1" applyFont="1" applyBorder="1" applyAlignment="1">
      <alignment horizontal="center" vertical="center" wrapText="1"/>
    </xf>
    <xf numFmtId="1" fontId="27" fillId="0" borderId="15" xfId="0" applyNumberFormat="1" applyFont="1" applyBorder="1" applyAlignment="1">
      <alignment horizontal="center" vertical="center" wrapText="1"/>
    </xf>
    <xf numFmtId="1" fontId="27" fillId="0" borderId="16" xfId="0" applyNumberFormat="1" applyFont="1" applyBorder="1" applyAlignment="1">
      <alignment horizontal="center" vertical="center" wrapText="1"/>
    </xf>
    <xf numFmtId="1" fontId="27" fillId="0" borderId="15" xfId="0" applyNumberFormat="1" applyFont="1" applyBorder="1" applyAlignment="1">
      <alignment horizontal="center" vertical="center"/>
    </xf>
    <xf numFmtId="1" fontId="27" fillId="0" borderId="16" xfId="0" applyNumberFormat="1" applyFont="1" applyBorder="1" applyAlignment="1">
      <alignment horizontal="center" vertical="center"/>
    </xf>
    <xf numFmtId="2" fontId="27" fillId="0" borderId="15" xfId="0" applyNumberFormat="1" applyFont="1" applyBorder="1" applyAlignment="1">
      <alignment horizontal="center" vertical="center"/>
    </xf>
    <xf numFmtId="2" fontId="27" fillId="0" borderId="16" xfId="0" applyNumberFormat="1" applyFont="1" applyBorder="1" applyAlignment="1">
      <alignment horizontal="center" vertical="center"/>
    </xf>
    <xf numFmtId="10" fontId="28" fillId="0" borderId="15" xfId="0" applyNumberFormat="1" applyFont="1" applyBorder="1" applyAlignment="1">
      <alignment horizontal="center" vertical="center"/>
    </xf>
    <xf numFmtId="10" fontId="28" fillId="0" borderId="16" xfId="0" applyNumberFormat="1" applyFont="1" applyBorder="1" applyAlignment="1">
      <alignment horizontal="center" vertical="center"/>
    </xf>
    <xf numFmtId="16" fontId="27" fillId="0" borderId="62" xfId="0" applyNumberFormat="1" applyFont="1" applyBorder="1" applyAlignment="1">
      <alignment horizontal="right" vertical="center"/>
    </xf>
    <xf numFmtId="16" fontId="27" fillId="0" borderId="64" xfId="0" applyNumberFormat="1" applyFont="1" applyBorder="1" applyAlignment="1">
      <alignment horizontal="right" vertical="center"/>
    </xf>
    <xf numFmtId="1" fontId="31" fillId="0" borderId="15" xfId="0" applyNumberFormat="1" applyFont="1" applyBorder="1" applyAlignment="1">
      <alignment horizontal="center" vertical="center"/>
    </xf>
    <xf numFmtId="1" fontId="31" fillId="0" borderId="16" xfId="0" applyNumberFormat="1" applyFont="1" applyBorder="1" applyAlignment="1">
      <alignment horizontal="center" vertical="center"/>
    </xf>
    <xf numFmtId="16" fontId="27" fillId="0" borderId="19" xfId="0" applyNumberFormat="1" applyFont="1" applyBorder="1" applyAlignment="1">
      <alignment horizontal="center" vertical="center"/>
    </xf>
    <xf numFmtId="20" fontId="27" fillId="0" borderId="18" xfId="0" applyNumberFormat="1" applyFont="1" applyBorder="1" applyAlignment="1">
      <alignment horizontal="center" vertical="center" wrapText="1"/>
    </xf>
    <xf numFmtId="1" fontId="27" fillId="0" borderId="18" xfId="0" applyNumberFormat="1" applyFont="1" applyBorder="1" applyAlignment="1">
      <alignment horizontal="center" vertical="center"/>
    </xf>
    <xf numFmtId="10" fontId="28" fillId="0" borderId="18" xfId="0" applyNumberFormat="1" applyFont="1" applyBorder="1" applyAlignment="1">
      <alignment horizontal="center" vertical="center"/>
    </xf>
    <xf numFmtId="10" fontId="8" fillId="2" borderId="15" xfId="0" applyNumberFormat="1" applyFont="1" applyFill="1" applyBorder="1" applyAlignment="1">
      <alignment horizontal="center" vertical="center"/>
    </xf>
    <xf numFmtId="10" fontId="8" fillId="2" borderId="18" xfId="0" applyNumberFormat="1" applyFont="1" applyFill="1" applyBorder="1" applyAlignment="1">
      <alignment horizontal="center" vertical="center"/>
    </xf>
    <xf numFmtId="10" fontId="8" fillId="2" borderId="16" xfId="0" applyNumberFormat="1" applyFont="1" applyFill="1" applyBorder="1" applyAlignment="1">
      <alignment horizontal="center" vertical="center"/>
    </xf>
    <xf numFmtId="16" fontId="27" fillId="0" borderId="19" xfId="0" applyNumberFormat="1" applyFont="1" applyBorder="1" applyAlignment="1">
      <alignment horizontal="right" vertical="center"/>
    </xf>
    <xf numFmtId="10" fontId="8" fillId="2" borderId="17" xfId="0" applyNumberFormat="1" applyFont="1" applyFill="1" applyBorder="1" applyAlignment="1">
      <alignment horizontal="center" vertical="center"/>
    </xf>
    <xf numFmtId="3" fontId="27" fillId="0" borderId="18" xfId="0" applyNumberFormat="1" applyFont="1" applyBorder="1" applyAlignment="1">
      <alignment horizontal="center" vertical="center"/>
    </xf>
    <xf numFmtId="0" fontId="79" fillId="0" borderId="21" xfId="0" applyFont="1" applyBorder="1" applyAlignment="1">
      <alignment horizontal="left" vertical="top" wrapText="1"/>
    </xf>
    <xf numFmtId="16" fontId="27" fillId="0" borderId="62" xfId="0" applyNumberFormat="1" applyFont="1" applyBorder="1" applyAlignment="1">
      <alignment vertical="center"/>
    </xf>
    <xf numFmtId="16" fontId="27" fillId="0" borderId="64" xfId="0" applyNumberFormat="1" applyFont="1" applyBorder="1" applyAlignment="1">
      <alignment vertical="center"/>
    </xf>
    <xf numFmtId="16" fontId="27" fillId="0" borderId="115" xfId="0" applyNumberFormat="1" applyFont="1" applyBorder="1" applyAlignment="1">
      <alignment horizontal="right" vertical="center"/>
    </xf>
    <xf numFmtId="169" fontId="27" fillId="0" borderId="15" xfId="0" applyNumberFormat="1" applyFont="1" applyBorder="1" applyAlignment="1">
      <alignment horizontal="center" vertical="center"/>
    </xf>
    <xf numFmtId="169" fontId="27" fillId="0" borderId="16" xfId="0" applyNumberFormat="1" applyFont="1" applyBorder="1" applyAlignment="1">
      <alignment horizontal="center" vertical="center"/>
    </xf>
    <xf numFmtId="0" fontId="79" fillId="0" borderId="59" xfId="0" applyFont="1" applyBorder="1" applyAlignment="1">
      <alignment horizontal="left" vertical="center" wrapText="1"/>
    </xf>
    <xf numFmtId="0" fontId="79" fillId="0" borderId="139" xfId="0" applyFont="1" applyBorder="1" applyAlignment="1">
      <alignment horizontal="left" vertical="center" wrapText="1"/>
    </xf>
    <xf numFmtId="1" fontId="27" fillId="0" borderId="17" xfId="0" applyNumberFormat="1" applyFont="1" applyBorder="1" applyAlignment="1">
      <alignment horizontal="center" vertical="center"/>
    </xf>
    <xf numFmtId="16" fontId="27" fillId="0" borderId="115" xfId="0" applyNumberFormat="1" applyFont="1" applyBorder="1" applyAlignment="1">
      <alignment horizontal="center" vertical="center"/>
    </xf>
    <xf numFmtId="20" fontId="27" fillId="0" borderId="17" xfId="0" applyNumberFormat="1" applyFont="1" applyBorder="1" applyAlignment="1">
      <alignment horizontal="center" vertical="center" wrapText="1"/>
    </xf>
    <xf numFmtId="10" fontId="28" fillId="0" borderId="17" xfId="0" applyNumberFormat="1" applyFont="1" applyBorder="1" applyAlignment="1">
      <alignment horizontal="center" vertical="center"/>
    </xf>
    <xf numFmtId="169" fontId="27" fillId="0" borderId="18" xfId="0" applyNumberFormat="1" applyFont="1" applyBorder="1" applyAlignment="1">
      <alignment horizontal="center" vertical="center"/>
    </xf>
    <xf numFmtId="1" fontId="27" fillId="0" borderId="18" xfId="0" applyNumberFormat="1" applyFont="1" applyBorder="1" applyAlignment="1">
      <alignment horizontal="center" vertical="center" wrapText="1"/>
    </xf>
    <xf numFmtId="169" fontId="27" fillId="0" borderId="17" xfId="0" applyNumberFormat="1" applyFont="1" applyBorder="1" applyAlignment="1">
      <alignment horizontal="center" vertical="center"/>
    </xf>
    <xf numFmtId="0" fontId="85" fillId="0" borderId="8" xfId="0" applyFont="1" applyBorder="1" applyAlignment="1">
      <alignment horizontal="left" vertical="top" wrapText="1"/>
    </xf>
    <xf numFmtId="0" fontId="85" fillId="0" borderId="7" xfId="0" applyFont="1" applyBorder="1" applyAlignment="1">
      <alignment horizontal="left" vertical="top" wrapText="1"/>
    </xf>
    <xf numFmtId="3" fontId="21" fillId="0" borderId="18" xfId="0" applyNumberFormat="1" applyFont="1" applyBorder="1" applyAlignment="1">
      <alignment horizontal="center" vertical="center"/>
    </xf>
    <xf numFmtId="10" fontId="8" fillId="2" borderId="42" xfId="0" applyNumberFormat="1" applyFont="1" applyFill="1" applyBorder="1" applyAlignment="1">
      <alignment horizontal="center" vertical="center"/>
    </xf>
    <xf numFmtId="10" fontId="8" fillId="2" borderId="132" xfId="0" applyNumberFormat="1" applyFont="1" applyFill="1" applyBorder="1" applyAlignment="1">
      <alignment horizontal="center" vertical="center"/>
    </xf>
    <xf numFmtId="10" fontId="8" fillId="2" borderId="20" xfId="0" applyNumberFormat="1" applyFont="1" applyFill="1" applyBorder="1" applyAlignment="1">
      <alignment horizontal="center" vertical="center"/>
    </xf>
    <xf numFmtId="0" fontId="15" fillId="0" borderId="9" xfId="0" applyFont="1" applyBorder="1" applyAlignment="1">
      <alignment horizontal="center" vertical="center"/>
    </xf>
    <xf numFmtId="0" fontId="15" fillId="0" borderId="4" xfId="0" applyFont="1" applyBorder="1" applyAlignment="1">
      <alignment horizontal="center" vertical="center"/>
    </xf>
    <xf numFmtId="0" fontId="15" fillId="0" borderId="5" xfId="0" applyFont="1" applyBorder="1" applyAlignment="1">
      <alignment horizontal="center" vertical="center"/>
    </xf>
  </cellXfs>
  <cellStyles count="11">
    <cellStyle name="Comma 2" xfId="1" xr:uid="{74B768DF-F84C-496A-A692-CF7C3E42B958}"/>
    <cellStyle name="Comma 2 2" xfId="2" xr:uid="{10145301-BF64-44B1-ADDB-1A0AC3C53388}"/>
    <cellStyle name="Comma 3" xfId="3" xr:uid="{DE887A2D-B51D-4EC9-B8E5-4BBE69B895D3}"/>
    <cellStyle name="Currency 2" xfId="4" xr:uid="{D8B440E4-1ED3-4B87-BE8B-23A2008534D7}"/>
    <cellStyle name="Normal" xfId="0" builtinId="0"/>
    <cellStyle name="Normal 2" xfId="5" xr:uid="{6D3BB454-B0E8-4208-A4E7-E7AFDDD2DCBC}"/>
    <cellStyle name="Normal 3" xfId="6" xr:uid="{D17C2BCE-DE74-4EC4-AC61-42E4AD562123}"/>
    <cellStyle name="Percent" xfId="7" builtinId="5"/>
    <cellStyle name="Percent 2" xfId="8" xr:uid="{3E3CA419-65A0-4AA8-B359-E989A11A59DE}"/>
    <cellStyle name="Percent 3" xfId="9" xr:uid="{24EECF9F-6B24-4895-A4DF-7970A0F0C184}"/>
    <cellStyle name="Percent 3 2" xfId="10" xr:uid="{BDFD478F-AD08-4601-93A4-E9AD543829E2}"/>
  </cellStyles>
  <dxfs count="1991">
    <dxf>
      <font>
        <color rgb="FFFF000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ndense val="0"/>
        <extend val="0"/>
        <color indexed="10"/>
      </font>
    </dxf>
    <dxf>
      <font>
        <condense val="0"/>
        <extend val="0"/>
        <color indexed="10"/>
      </font>
    </dxf>
    <dxf>
      <font>
        <color rgb="FFFF0000"/>
      </font>
    </dxf>
    <dxf>
      <font>
        <color rgb="FFFF000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ndense val="0"/>
        <extend val="0"/>
        <color indexed="10"/>
      </font>
    </dxf>
    <dxf>
      <font>
        <condense val="0"/>
        <extend val="0"/>
        <color indexed="10"/>
      </font>
    </dxf>
    <dxf>
      <font>
        <condense val="0"/>
        <extend val="0"/>
        <color indexed="10"/>
      </font>
    </dxf>
    <dxf>
      <font>
        <b/>
        <i val="0"/>
        <condense val="0"/>
        <extend val="0"/>
        <color indexed="10"/>
      </font>
    </dxf>
    <dxf>
      <font>
        <color rgb="FFFF000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b/>
        <i val="0"/>
        <condense val="0"/>
        <extend val="0"/>
        <color indexed="10"/>
      </font>
    </dxf>
    <dxf>
      <font>
        <color rgb="FFFF000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ndense val="0"/>
        <extend val="0"/>
        <color indexed="10"/>
      </font>
    </dxf>
    <dxf>
      <font>
        <condense val="0"/>
        <extend val="0"/>
        <color indexed="10"/>
      </font>
    </dxf>
    <dxf>
      <font>
        <condense val="0"/>
        <extend val="0"/>
        <color indexed="10"/>
      </font>
    </dxf>
    <dxf>
      <font>
        <b/>
        <i val="0"/>
        <condense val="0"/>
        <extend val="0"/>
        <color indexed="10"/>
      </font>
    </dxf>
    <dxf>
      <font>
        <color rgb="FFFF000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b/>
        <i val="0"/>
        <condense val="0"/>
        <extend val="0"/>
        <color indexed="10"/>
      </font>
    </dxf>
    <dxf>
      <font>
        <color rgb="FFFF0000"/>
      </font>
    </dxf>
    <dxf>
      <font>
        <color rgb="FFFF000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ndense val="0"/>
        <extend val="0"/>
        <color indexed="10"/>
      </font>
    </dxf>
    <dxf>
      <font>
        <condense val="0"/>
        <extend val="0"/>
        <color indexed="10"/>
      </font>
    </dxf>
    <dxf>
      <font>
        <condense val="0"/>
        <extend val="0"/>
        <color indexed="10"/>
      </font>
    </dxf>
    <dxf>
      <font>
        <b/>
        <i val="0"/>
        <condense val="0"/>
        <extend val="0"/>
        <color indexed="1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b/>
        <i val="0"/>
        <condense val="0"/>
        <extend val="0"/>
        <color indexed="10"/>
      </font>
    </dxf>
    <dxf>
      <font>
        <color rgb="FFFF0000"/>
      </font>
    </dxf>
    <dxf>
      <font>
        <color rgb="FFFF000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ndense val="0"/>
        <extend val="0"/>
        <color indexed="10"/>
      </font>
    </dxf>
    <dxf>
      <font>
        <condense val="0"/>
        <extend val="0"/>
        <color indexed="10"/>
      </font>
    </dxf>
    <dxf>
      <font>
        <b/>
        <i val="0"/>
        <condense val="0"/>
        <extend val="0"/>
        <color indexed="10"/>
      </font>
    </dxf>
    <dxf>
      <font>
        <condense val="0"/>
        <extend val="0"/>
        <color indexed="1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ndense val="0"/>
        <extend val="0"/>
        <color indexed="10"/>
      </font>
    </dxf>
    <dxf>
      <font>
        <condense val="0"/>
        <extend val="0"/>
        <color indexed="10"/>
      </font>
    </dxf>
    <dxf>
      <font>
        <color rgb="FFFF0000"/>
      </font>
    </dxf>
    <dxf>
      <font>
        <color rgb="FFFF0000"/>
      </font>
    </dxf>
    <dxf>
      <font>
        <color rgb="FFFF000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ndense val="0"/>
        <extend val="0"/>
        <color indexed="10"/>
      </font>
    </dxf>
    <dxf>
      <font>
        <condense val="0"/>
        <extend val="0"/>
        <color indexed="10"/>
      </font>
    </dxf>
    <dxf>
      <font>
        <condense val="0"/>
        <extend val="0"/>
        <color indexed="10"/>
      </font>
    </dxf>
    <dxf>
      <font>
        <b/>
        <i val="0"/>
        <condense val="0"/>
        <extend val="0"/>
        <color indexed="1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b/>
        <i val="0"/>
        <condense val="0"/>
        <extend val="0"/>
        <color indexed="10"/>
      </font>
    </dxf>
    <dxf>
      <font>
        <color rgb="FFFF0000"/>
      </font>
    </dxf>
    <dxf>
      <font>
        <color rgb="FFFF000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ndense val="0"/>
        <extend val="0"/>
        <color indexed="10"/>
      </font>
    </dxf>
    <dxf>
      <font>
        <condense val="0"/>
        <extend val="0"/>
        <color indexed="10"/>
      </font>
    </dxf>
    <dxf>
      <font>
        <condense val="0"/>
        <extend val="0"/>
        <color indexed="10"/>
      </font>
    </dxf>
    <dxf>
      <font>
        <b/>
        <i val="0"/>
        <condense val="0"/>
        <extend val="0"/>
        <color indexed="1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b/>
        <i val="0"/>
        <condense val="0"/>
        <extend val="0"/>
        <color indexed="10"/>
      </font>
    </dxf>
    <dxf>
      <font>
        <color rgb="FFFF0000"/>
      </font>
    </dxf>
    <dxf>
      <font>
        <color rgb="FFFF000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ndense val="0"/>
        <extend val="0"/>
        <color indexed="10"/>
      </font>
    </dxf>
    <dxf>
      <font>
        <condense val="0"/>
        <extend val="0"/>
        <color indexed="10"/>
      </font>
    </dxf>
    <dxf>
      <font>
        <condense val="0"/>
        <extend val="0"/>
        <color indexed="10"/>
      </font>
    </dxf>
    <dxf>
      <font>
        <b/>
        <i val="0"/>
        <condense val="0"/>
        <extend val="0"/>
        <color indexed="10"/>
      </font>
    </dxf>
    <dxf>
      <font>
        <condense val="0"/>
        <extend val="0"/>
        <color indexed="10"/>
      </font>
    </dxf>
    <dxf>
      <font>
        <condense val="0"/>
        <extend val="0"/>
        <color indexed="10"/>
      </font>
    </dxf>
    <dxf>
      <font>
        <color rgb="FFFF0000"/>
      </font>
    </dxf>
    <dxf>
      <font>
        <condense val="0"/>
        <extend val="0"/>
        <color indexed="1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b/>
        <i val="0"/>
        <condense val="0"/>
        <extend val="0"/>
        <color indexed="10"/>
      </font>
    </dxf>
    <dxf>
      <font>
        <color rgb="FFFF0000"/>
      </font>
    </dxf>
    <dxf>
      <font>
        <color rgb="FFFF000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ndense val="0"/>
        <extend val="0"/>
        <color indexed="10"/>
      </font>
    </dxf>
    <dxf>
      <font>
        <condense val="0"/>
        <extend val="0"/>
        <color indexed="10"/>
      </font>
    </dxf>
    <dxf>
      <font>
        <b/>
        <i val="0"/>
        <condense val="0"/>
        <extend val="0"/>
        <color indexed="10"/>
      </font>
    </dxf>
    <dxf>
      <font>
        <condense val="0"/>
        <extend val="0"/>
        <color indexed="10"/>
      </font>
    </dxf>
    <dxf>
      <font>
        <condense val="0"/>
        <extend val="0"/>
        <color indexed="10"/>
      </font>
    </dxf>
    <dxf>
      <font>
        <condense val="0"/>
        <extend val="0"/>
        <color indexed="1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b/>
        <i val="0"/>
        <condense val="0"/>
        <extend val="0"/>
        <color indexed="10"/>
      </font>
    </dxf>
    <dxf>
      <font>
        <color rgb="FFFF0000"/>
      </font>
    </dxf>
    <dxf>
      <font>
        <color rgb="FFFF0000"/>
      </font>
    </dxf>
    <dxf>
      <font>
        <color rgb="FFFF0000"/>
      </font>
    </dxf>
    <dxf>
      <font>
        <color rgb="FFFF000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ndense val="0"/>
        <extend val="0"/>
        <color indexed="10"/>
      </font>
    </dxf>
    <dxf>
      <font>
        <condense val="0"/>
        <extend val="0"/>
        <color indexed="10"/>
      </font>
    </dxf>
    <dxf>
      <font>
        <condense val="0"/>
        <extend val="0"/>
        <color indexed="10"/>
      </font>
    </dxf>
    <dxf>
      <font>
        <b/>
        <i val="0"/>
        <condense val="0"/>
        <extend val="0"/>
        <color indexed="1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b/>
        <i val="0"/>
        <condense val="0"/>
        <extend val="0"/>
        <color indexed="10"/>
      </font>
    </dxf>
    <dxf>
      <font>
        <condense val="0"/>
        <extend val="0"/>
        <color indexed="10"/>
      </font>
    </dxf>
    <dxf>
      <font>
        <color rgb="FFFF0000"/>
      </font>
    </dxf>
    <dxf>
      <font>
        <color rgb="FFFF0000"/>
      </font>
    </dxf>
    <dxf>
      <font>
        <condense val="0"/>
        <extend val="0"/>
        <color indexed="10"/>
      </font>
    </dxf>
    <dxf>
      <font>
        <condense val="0"/>
        <extend val="0"/>
        <color indexed="1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condense val="0"/>
        <extend val="0"/>
        <color indexed="10"/>
      </font>
    </dxf>
    <dxf>
      <font>
        <condense val="0"/>
        <extend val="0"/>
        <color indexed="10"/>
      </font>
    </dxf>
    <dxf>
      <font>
        <condense val="0"/>
        <extend val="0"/>
        <color indexed="10"/>
      </font>
    </dxf>
    <dxf>
      <font>
        <condense val="0"/>
        <extend val="0"/>
        <color indexed="10"/>
      </font>
    </dxf>
    <dxf>
      <font>
        <b/>
        <i val="0"/>
        <condense val="0"/>
        <extend val="0"/>
        <color indexed="1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ndense val="0"/>
        <extend val="0"/>
        <color indexed="10"/>
      </font>
    </dxf>
    <dxf>
      <font>
        <condense val="0"/>
        <extend val="0"/>
        <color indexed="10"/>
      </font>
    </dxf>
    <dxf>
      <font>
        <color rgb="FFFF0000"/>
      </font>
    </dxf>
    <dxf>
      <font>
        <color rgb="FFFF000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color rgb="FFFF0000"/>
      </font>
    </dxf>
    <dxf>
      <font>
        <condense val="0"/>
        <extend val="0"/>
        <color indexed="10"/>
      </font>
    </dxf>
    <dxf>
      <font>
        <condense val="0"/>
        <extend val="0"/>
        <color indexed="10"/>
      </font>
    </dxf>
    <dxf>
      <font>
        <condense val="0"/>
        <extend val="0"/>
        <color indexed="10"/>
      </font>
    </dxf>
    <dxf>
      <font>
        <condense val="0"/>
        <extend val="0"/>
        <color indexed="10"/>
      </font>
    </dxf>
    <dxf>
      <font>
        <b/>
        <i val="0"/>
        <condense val="0"/>
        <extend val="0"/>
        <color indexed="10"/>
      </font>
    </dxf>
    <dxf>
      <font>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ndense val="0"/>
        <extend val="0"/>
        <color indexed="10"/>
      </font>
    </dxf>
    <dxf>
      <font>
        <condense val="0"/>
        <extend val="0"/>
        <color indexed="10"/>
      </font>
    </dxf>
    <dxf>
      <font>
        <color rgb="FFFF0000"/>
      </font>
    </dxf>
    <dxf>
      <font>
        <condense val="0"/>
        <extend val="0"/>
        <color indexed="10"/>
      </font>
    </dxf>
    <dxf>
      <font>
        <condense val="0"/>
        <extend val="0"/>
        <color indexed="10"/>
      </font>
    </dxf>
    <dxf>
      <font>
        <color rgb="FFFF0000"/>
      </font>
    </dxf>
    <dxf>
      <font>
        <color rgb="FFFF0000"/>
      </font>
    </dxf>
    <dxf>
      <font>
        <condense val="0"/>
        <extend val="0"/>
        <color indexed="10"/>
      </font>
    </dxf>
    <dxf>
      <font>
        <color rgb="FFFF0000"/>
      </font>
    </dxf>
    <dxf>
      <font>
        <color rgb="FFFF0000"/>
      </font>
    </dxf>
    <dxf>
      <font>
        <condense val="0"/>
        <extend val="0"/>
        <color indexed="10"/>
      </font>
    </dxf>
    <dxf>
      <font>
        <condense val="0"/>
        <extend val="0"/>
        <color indexed="10"/>
      </font>
    </dxf>
    <dxf>
      <font>
        <condense val="0"/>
        <extend val="0"/>
        <color indexed="10"/>
      </font>
    </dxf>
    <dxf>
      <font>
        <b/>
        <i val="0"/>
        <condense val="0"/>
        <extend val="0"/>
        <color indexed="10"/>
      </font>
    </dxf>
    <dxf>
      <font>
        <condense val="0"/>
        <extend val="0"/>
        <color indexed="10"/>
      </font>
    </dxf>
    <dxf>
      <font>
        <color rgb="FFFF0000"/>
      </font>
    </dxf>
    <dxf>
      <font>
        <condense val="0"/>
        <extend val="0"/>
        <color indexed="10"/>
      </font>
    </dxf>
    <dxf>
      <font>
        <color rgb="FFFF0000"/>
      </font>
    </dxf>
    <dxf>
      <font>
        <color rgb="FFFF0000"/>
      </font>
    </dxf>
    <dxf>
      <font>
        <b/>
        <i val="0"/>
        <color rgb="FFFF0000"/>
      </font>
    </dxf>
    <dxf>
      <font>
        <b/>
        <i val="0"/>
        <color rgb="FFFF0000"/>
      </font>
    </dxf>
    <dxf>
      <font>
        <b/>
        <i val="0"/>
        <color rgb="FFFF0000"/>
      </font>
    </dxf>
    <dxf>
      <font>
        <condense val="0"/>
        <extend val="0"/>
        <color indexed="1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ndense val="0"/>
        <extend val="0"/>
        <color indexed="10"/>
      </font>
    </dxf>
    <dxf>
      <font>
        <b/>
        <i val="0"/>
        <condense val="0"/>
        <extend val="0"/>
        <color indexed="10"/>
      </font>
    </dxf>
    <dxf>
      <font>
        <color rgb="FFFF0000"/>
      </font>
    </dxf>
    <dxf>
      <font>
        <b/>
        <i val="0"/>
        <color rgb="FFFF0000"/>
      </font>
    </dxf>
    <dxf>
      <font>
        <color rgb="FFFF0000"/>
      </font>
    </dxf>
    <dxf>
      <font>
        <color rgb="FFFF0000"/>
      </font>
    </dxf>
    <dxf>
      <font>
        <color rgb="FFFF0000"/>
      </font>
    </dxf>
    <dxf>
      <font>
        <color rgb="FFFF0000"/>
      </font>
    </dxf>
    <dxf>
      <font>
        <condense val="0"/>
        <extend val="0"/>
        <color indexed="10"/>
      </font>
    </dxf>
    <dxf>
      <font>
        <condense val="0"/>
        <extend val="0"/>
        <color indexed="10"/>
      </font>
    </dxf>
    <dxf>
      <font>
        <color rgb="FFFF0000"/>
      </font>
    </dxf>
    <dxf>
      <font>
        <b/>
        <i val="0"/>
        <color rgb="FFFF0000"/>
      </font>
    </dxf>
    <dxf>
      <font>
        <condense val="0"/>
        <extend val="0"/>
        <color indexed="10"/>
      </font>
    </dxf>
    <dxf>
      <font>
        <condense val="0"/>
        <extend val="0"/>
        <color indexed="10"/>
      </font>
    </dxf>
    <dxf>
      <font>
        <b/>
        <i val="0"/>
        <color rgb="FFFF0000"/>
      </font>
    </dxf>
    <dxf>
      <font>
        <color rgb="FFFF0000"/>
      </font>
    </dxf>
    <dxf>
      <font>
        <condense val="0"/>
        <extend val="0"/>
        <color indexed="10"/>
      </font>
    </dxf>
    <dxf>
      <font>
        <b/>
        <i val="0"/>
        <condense val="0"/>
        <extend val="0"/>
        <color indexed="10"/>
      </font>
    </dxf>
    <dxf>
      <font>
        <color rgb="FFFF0000"/>
      </font>
    </dxf>
    <dxf>
      <font>
        <condense val="0"/>
        <extend val="0"/>
        <color indexed="10"/>
      </font>
    </dxf>
    <dxf>
      <font>
        <b/>
        <i val="0"/>
        <color rgb="FFFF0000"/>
      </font>
    </dxf>
    <dxf>
      <font>
        <color rgb="FFFF0000"/>
      </font>
    </dxf>
    <dxf>
      <font>
        <color rgb="FFFF0000"/>
      </font>
    </dxf>
    <dxf>
      <font>
        <condense val="0"/>
        <extend val="0"/>
        <color indexed="10"/>
      </font>
    </dxf>
    <dxf>
      <font>
        <color rgb="FFFF0000"/>
      </font>
    </dxf>
    <dxf>
      <font>
        <color rgb="FFFF0000"/>
      </font>
    </dxf>
    <dxf>
      <font>
        <b/>
        <i val="0"/>
        <color rgb="FFFF0000"/>
      </font>
    </dxf>
    <dxf>
      <font>
        <b/>
        <i val="0"/>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ndense val="0"/>
        <extend val="0"/>
        <color indexed="10"/>
      </font>
    </dxf>
    <dxf>
      <font>
        <b/>
        <i val="0"/>
        <color rgb="FFFF0000"/>
      </font>
    </dxf>
    <dxf>
      <font>
        <b/>
        <i val="0"/>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b/>
        <i val="0"/>
        <condense val="0"/>
        <extend val="0"/>
        <color indexed="10"/>
      </font>
    </dxf>
    <dxf>
      <font>
        <condense val="0"/>
        <extend val="0"/>
        <color indexed="10"/>
      </font>
    </dxf>
    <dxf>
      <font>
        <color rgb="FFFF0000"/>
      </font>
    </dxf>
    <dxf>
      <font>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ndense val="0"/>
        <extend val="0"/>
        <color indexed="10"/>
      </font>
    </dxf>
    <dxf>
      <font>
        <color rgb="FFFF0000"/>
      </font>
    </dxf>
    <dxf>
      <font>
        <condense val="0"/>
        <extend val="0"/>
        <color indexed="10"/>
      </font>
    </dxf>
    <dxf>
      <font>
        <condense val="0"/>
        <extend val="0"/>
        <color indexed="10"/>
      </font>
    </dxf>
    <dxf>
      <font>
        <color rgb="FFFF0000"/>
      </font>
    </dxf>
    <dxf>
      <font>
        <b/>
        <i val="0"/>
        <color rgb="FFFF0000"/>
      </font>
    </dxf>
    <dxf>
      <font>
        <condense val="0"/>
        <extend val="0"/>
        <color indexed="10"/>
      </font>
    </dxf>
    <dxf>
      <font>
        <condense val="0"/>
        <extend val="0"/>
        <color indexed="10"/>
      </font>
    </dxf>
    <dxf>
      <font>
        <b/>
        <i val="0"/>
        <color rgb="FFFF0000"/>
      </font>
    </dxf>
    <dxf>
      <font>
        <color rgb="FFFF0000"/>
      </font>
    </dxf>
    <dxf>
      <font>
        <condense val="0"/>
        <extend val="0"/>
        <color indexed="10"/>
      </font>
    </dxf>
    <dxf>
      <font>
        <b/>
        <i val="0"/>
        <condense val="0"/>
        <extend val="0"/>
        <color indexed="10"/>
      </font>
    </dxf>
    <dxf>
      <font>
        <color rgb="FFFF0000"/>
      </font>
    </dxf>
    <dxf>
      <font>
        <condense val="0"/>
        <extend val="0"/>
        <color indexed="10"/>
      </font>
    </dxf>
    <dxf>
      <font>
        <b/>
        <i val="0"/>
        <color rgb="FFFF0000"/>
      </font>
    </dxf>
    <dxf>
      <font>
        <color rgb="FFFF0000"/>
      </font>
    </dxf>
    <dxf>
      <font>
        <color rgb="FFFF0000"/>
      </font>
    </dxf>
    <dxf>
      <font>
        <condense val="0"/>
        <extend val="0"/>
        <color indexed="1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b/>
        <i val="0"/>
        <color rgb="FFFF0000"/>
      </font>
    </dxf>
    <dxf>
      <font>
        <b/>
        <i val="0"/>
        <condense val="0"/>
        <extend val="0"/>
        <color indexed="10"/>
      </font>
    </dxf>
    <dxf>
      <font>
        <condense val="0"/>
        <extend val="0"/>
        <color indexed="10"/>
      </font>
    </dxf>
    <dxf>
      <font>
        <color rgb="FFFF0000"/>
      </font>
    </dxf>
    <dxf>
      <font>
        <b/>
        <i val="0"/>
        <color rgb="FFFF0000"/>
      </font>
    </dxf>
    <dxf>
      <font>
        <color rgb="FFFF0000"/>
      </font>
    </dxf>
    <dxf>
      <font>
        <color rgb="FFFF0000"/>
      </font>
    </dxf>
    <dxf>
      <font>
        <color rgb="FFFF0000"/>
      </font>
    </dxf>
    <dxf>
      <font>
        <color rgb="FFFF0000"/>
      </font>
    </dxf>
    <dxf>
      <font>
        <color rgb="FFFF0000"/>
      </font>
    </dxf>
    <dxf>
      <font>
        <condense val="0"/>
        <extend val="0"/>
        <color indexed="10"/>
      </font>
    </dxf>
    <dxf>
      <font>
        <condense val="0"/>
        <extend val="0"/>
        <color indexed="10"/>
      </font>
    </dxf>
    <dxf>
      <font>
        <color rgb="FFFF0000"/>
      </font>
    </dxf>
    <dxf>
      <font>
        <b/>
        <i val="0"/>
        <color rgb="FFFF0000"/>
      </font>
    </dxf>
    <dxf>
      <font>
        <condense val="0"/>
        <extend val="0"/>
        <color indexed="10"/>
      </font>
    </dxf>
    <dxf>
      <font>
        <condense val="0"/>
        <extend val="0"/>
        <color indexed="10"/>
      </font>
    </dxf>
    <dxf>
      <font>
        <b/>
        <i val="0"/>
        <condense val="0"/>
        <extend val="0"/>
        <color indexed="10"/>
      </font>
    </dxf>
    <dxf>
      <font>
        <condense val="0"/>
        <extend val="0"/>
        <color indexed="10"/>
      </font>
    </dxf>
    <dxf>
      <font>
        <b/>
        <i val="0"/>
        <color rgb="FFFF0000"/>
      </font>
    </dxf>
    <dxf>
      <font>
        <color rgb="FFFF0000"/>
      </font>
    </dxf>
    <dxf>
      <font>
        <condense val="0"/>
        <extend val="0"/>
        <color indexed="10"/>
      </font>
    </dxf>
    <dxf>
      <font>
        <b/>
        <i val="0"/>
        <condense val="0"/>
        <extend val="0"/>
        <color indexed="10"/>
      </font>
    </dxf>
    <dxf>
      <font>
        <color rgb="FFFF0000"/>
      </font>
    </dxf>
    <dxf>
      <font>
        <condense val="0"/>
        <extend val="0"/>
        <color indexed="10"/>
      </font>
    </dxf>
    <dxf>
      <font>
        <b/>
        <i val="0"/>
        <color rgb="FFFF0000"/>
      </font>
    </dxf>
    <dxf>
      <font>
        <color rgb="FFFF0000"/>
      </font>
    </dxf>
    <dxf>
      <font>
        <condense val="0"/>
        <extend val="0"/>
        <color indexed="1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condense val="0"/>
        <extend val="0"/>
        <color indexed="10"/>
      </font>
    </dxf>
    <dxf>
      <font>
        <color rgb="FFFF0000"/>
      </font>
    </dxf>
    <dxf>
      <font>
        <color rgb="FFFF0000"/>
      </font>
    </dxf>
    <dxf>
      <font>
        <color rgb="FFFF0000"/>
      </font>
    </dxf>
    <dxf>
      <font>
        <b/>
        <i val="0"/>
        <color rgb="FFFF0000"/>
      </font>
    </dxf>
    <dxf>
      <font>
        <b/>
        <i val="0"/>
        <color rgb="FFFF0000"/>
      </font>
    </dxf>
    <dxf>
      <font>
        <color rgb="FFFF0000"/>
      </font>
    </dxf>
    <dxf>
      <font>
        <condense val="0"/>
        <extend val="0"/>
        <color indexed="1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b/>
        <i val="0"/>
        <color rgb="FFFF0000"/>
      </font>
    </dxf>
    <dxf>
      <font>
        <b/>
        <i val="0"/>
        <condense val="0"/>
        <extend val="0"/>
        <color indexed="10"/>
      </font>
    </dxf>
    <dxf>
      <font>
        <condense val="0"/>
        <extend val="0"/>
        <color indexed="10"/>
      </font>
    </dxf>
    <dxf>
      <font>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ndense val="0"/>
        <extend val="0"/>
        <color indexed="10"/>
      </font>
    </dxf>
    <dxf>
      <font>
        <color rgb="FFFF0000"/>
      </font>
    </dxf>
    <dxf>
      <font>
        <b/>
        <i val="0"/>
        <color rgb="FFFF0000"/>
      </font>
    </dxf>
    <dxf>
      <font>
        <condense val="0"/>
        <extend val="0"/>
        <color indexed="10"/>
      </font>
    </dxf>
    <dxf>
      <font>
        <condense val="0"/>
        <extend val="0"/>
        <color indexed="10"/>
      </font>
    </dxf>
    <dxf>
      <font>
        <b/>
        <i val="0"/>
        <color rgb="FFFF0000"/>
      </font>
    </dxf>
    <dxf>
      <font>
        <color rgb="FFFF0000"/>
      </font>
    </dxf>
    <dxf>
      <font>
        <b/>
        <i val="0"/>
        <condense val="0"/>
        <extend val="0"/>
        <color indexed="10"/>
      </font>
    </dxf>
    <dxf>
      <font>
        <condense val="0"/>
        <extend val="0"/>
        <color indexed="10"/>
      </font>
    </dxf>
    <dxf>
      <font>
        <condense val="0"/>
        <extend val="0"/>
        <color indexed="10"/>
      </font>
    </dxf>
    <dxf>
      <font>
        <color rgb="FFFF0000"/>
      </font>
    </dxf>
    <dxf>
      <font>
        <b/>
        <i val="0"/>
        <color rgb="FFFF0000"/>
      </font>
    </dxf>
    <dxf>
      <font>
        <color rgb="FFFF0000"/>
      </font>
    </dxf>
    <dxf>
      <font>
        <condense val="0"/>
        <extend val="0"/>
        <color indexed="10"/>
      </font>
    </dxf>
    <dxf>
      <font>
        <color rgb="FFFF0000"/>
      </font>
    </dxf>
    <dxf>
      <font>
        <condense val="0"/>
        <extend val="0"/>
        <color indexed="10"/>
      </font>
    </dxf>
    <dxf>
      <font>
        <condense val="0"/>
        <extend val="0"/>
        <color indexed="10"/>
      </font>
    </dxf>
    <dxf>
      <font>
        <color rgb="FFFF0000"/>
      </font>
    </dxf>
    <dxf>
      <font>
        <color rgb="FFFF0000"/>
      </font>
    </dxf>
    <dxf>
      <font>
        <condense val="0"/>
        <extend val="0"/>
        <color indexed="10"/>
      </font>
    </dxf>
    <dxf>
      <font>
        <color rgb="FFFF0000"/>
      </font>
    </dxf>
    <dxf>
      <font>
        <b/>
        <i val="0"/>
        <color rgb="FFFF0000"/>
      </font>
    </dxf>
    <dxf>
      <font>
        <color rgb="FFFF0000"/>
      </font>
    </dxf>
    <dxf>
      <font>
        <b/>
        <i val="0"/>
        <color rgb="FFFF0000"/>
      </font>
    </dxf>
    <dxf>
      <font>
        <b/>
        <i val="0"/>
        <color rgb="FFFF0000"/>
      </font>
    </dxf>
    <dxf>
      <font>
        <color rgb="FFFF0000"/>
      </font>
    </dxf>
    <dxf>
      <font>
        <b/>
        <i val="0"/>
        <color rgb="FFFF0000"/>
      </font>
    </dxf>
    <dxf>
      <font>
        <b/>
        <i val="0"/>
        <color rgb="FFFF0000"/>
      </font>
    </dxf>
    <dxf>
      <font>
        <color rgb="FFFF0000"/>
      </font>
    </dxf>
    <dxf>
      <font>
        <condense val="0"/>
        <extend val="0"/>
        <color indexed="10"/>
      </font>
    </dxf>
    <dxf>
      <font>
        <color rgb="FFFF0000"/>
      </font>
    </dxf>
    <dxf>
      <font>
        <color rgb="FFFF0000"/>
      </font>
    </dxf>
    <dxf>
      <font>
        <color rgb="FFFF0000"/>
      </font>
    </dxf>
    <dxf>
      <font>
        <b/>
        <i val="0"/>
        <color rgb="FFFF0000"/>
      </font>
    </dxf>
    <dxf>
      <font>
        <condense val="0"/>
        <extend val="0"/>
        <color indexed="1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ndense val="0"/>
        <extend val="0"/>
        <color indexed="10"/>
      </font>
    </dxf>
    <dxf>
      <font>
        <b/>
        <i val="0"/>
        <condense val="0"/>
        <extend val="0"/>
        <color indexed="10"/>
      </font>
    </dxf>
    <dxf>
      <font>
        <color rgb="FFFF0000"/>
      </font>
    </dxf>
    <dxf>
      <font>
        <color rgb="FFFF0000"/>
      </font>
    </dxf>
    <dxf>
      <font>
        <b/>
        <i val="0"/>
        <color rgb="FFFF0000"/>
      </font>
    </dxf>
    <dxf>
      <font>
        <color rgb="FFFF0000"/>
      </font>
    </dxf>
    <dxf>
      <font>
        <color rgb="FFFF0000"/>
      </font>
    </dxf>
    <dxf>
      <font>
        <condense val="0"/>
        <extend val="0"/>
        <color indexed="10"/>
      </font>
    </dxf>
    <dxf>
      <font>
        <color rgb="FFFF0000"/>
      </font>
    </dxf>
    <dxf>
      <font>
        <condense val="0"/>
        <extend val="0"/>
        <color indexed="10"/>
      </font>
    </dxf>
    <dxf>
      <font>
        <condense val="0"/>
        <extend val="0"/>
        <color indexed="10"/>
      </font>
    </dxf>
    <dxf>
      <font>
        <condense val="0"/>
        <extend val="0"/>
        <color indexed="10"/>
      </font>
    </dxf>
    <dxf>
      <font>
        <color rgb="FFFF0000"/>
      </font>
    </dxf>
    <dxf>
      <font>
        <b/>
        <i val="0"/>
        <color rgb="FFFF0000"/>
      </font>
    </dxf>
    <dxf>
      <font>
        <condense val="0"/>
        <extend val="0"/>
        <color indexed="10"/>
      </font>
    </dxf>
    <dxf>
      <font>
        <condense val="0"/>
        <extend val="0"/>
        <color indexed="10"/>
      </font>
    </dxf>
    <dxf>
      <font>
        <b/>
        <i val="0"/>
        <color rgb="FFFF0000"/>
      </font>
    </dxf>
    <dxf>
      <font>
        <color rgb="FFFF0000"/>
      </font>
    </dxf>
    <dxf>
      <font>
        <condense val="0"/>
        <extend val="0"/>
        <color indexed="10"/>
      </font>
    </dxf>
    <dxf>
      <font>
        <b/>
        <i val="0"/>
        <condense val="0"/>
        <extend val="0"/>
        <color indexed="10"/>
      </font>
    </dxf>
    <dxf>
      <font>
        <color rgb="FFFF0000"/>
      </font>
    </dxf>
    <dxf>
      <font>
        <condense val="0"/>
        <extend val="0"/>
        <color indexed="10"/>
      </font>
    </dxf>
    <dxf>
      <font>
        <b/>
        <i val="0"/>
        <color rgb="FFFF0000"/>
      </font>
    </dxf>
    <dxf>
      <font>
        <color rgb="FFFF0000"/>
      </font>
    </dxf>
    <dxf>
      <font>
        <condense val="0"/>
        <extend val="0"/>
        <color indexed="10"/>
      </font>
    </dxf>
    <dxf>
      <font>
        <color rgb="FFFF0000"/>
      </font>
    </dxf>
    <dxf>
      <font>
        <condense val="0"/>
        <extend val="0"/>
        <color indexed="10"/>
      </font>
    </dxf>
    <dxf>
      <font>
        <condense val="0"/>
        <extend val="0"/>
        <color indexed="10"/>
      </font>
    </dxf>
    <dxf>
      <font>
        <color rgb="FFFF0000"/>
      </font>
    </dxf>
    <dxf>
      <font>
        <color rgb="FFFF0000"/>
      </font>
    </dxf>
    <dxf>
      <font>
        <condense val="0"/>
        <extend val="0"/>
        <color indexed="1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ndense val="0"/>
        <extend val="0"/>
        <color indexed="10"/>
      </font>
    </dxf>
    <dxf>
      <font>
        <color rgb="FFFF0000"/>
      </font>
    </dxf>
    <dxf>
      <font>
        <color rgb="FFFF0000"/>
      </font>
    </dxf>
    <dxf>
      <font>
        <b/>
        <i val="0"/>
        <color rgb="FFFF0000"/>
      </font>
    </dxf>
    <dxf>
      <font>
        <condense val="0"/>
        <extend val="0"/>
        <color indexed="1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b/>
        <i val="0"/>
        <color rgb="FFFF0000"/>
      </font>
    </dxf>
    <dxf>
      <font>
        <b/>
        <i val="0"/>
        <condense val="0"/>
        <extend val="0"/>
        <color indexed="10"/>
      </font>
    </dxf>
    <dxf>
      <font>
        <condense val="0"/>
        <extend val="0"/>
        <color indexed="10"/>
      </font>
    </dxf>
    <dxf>
      <font>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ndense val="0"/>
        <extend val="0"/>
        <color indexed="10"/>
      </font>
    </dxf>
    <dxf>
      <font>
        <condense val="0"/>
        <extend val="0"/>
        <color indexed="10"/>
      </font>
    </dxf>
    <dxf>
      <font>
        <condense val="0"/>
        <extend val="0"/>
        <color indexed="10"/>
      </font>
    </dxf>
    <dxf>
      <font>
        <color rgb="FFFF0000"/>
      </font>
    </dxf>
    <dxf>
      <font>
        <b/>
        <i val="0"/>
        <color rgb="FFFF0000"/>
      </font>
    </dxf>
    <dxf>
      <font>
        <condense val="0"/>
        <extend val="0"/>
        <color indexed="10"/>
      </font>
    </dxf>
    <dxf>
      <font>
        <condense val="0"/>
        <extend val="0"/>
        <color indexed="10"/>
      </font>
    </dxf>
    <dxf>
      <font>
        <b/>
        <i val="0"/>
        <color rgb="FFFF0000"/>
      </font>
    </dxf>
    <dxf>
      <font>
        <color rgb="FFFF0000"/>
      </font>
    </dxf>
    <dxf>
      <font>
        <b/>
        <i val="0"/>
        <condense val="0"/>
        <extend val="0"/>
        <color indexed="10"/>
      </font>
    </dxf>
    <dxf>
      <font>
        <condense val="0"/>
        <extend val="0"/>
        <color indexed="10"/>
      </font>
    </dxf>
    <dxf>
      <font>
        <b/>
        <i val="0"/>
        <color rgb="FFFF0000"/>
      </font>
    </dxf>
    <dxf>
      <font>
        <color rgb="FFFF0000"/>
      </font>
    </dxf>
    <dxf>
      <font>
        <condense val="0"/>
        <extend val="0"/>
        <color indexed="10"/>
      </font>
    </dxf>
    <dxf>
      <font>
        <b/>
        <i val="0"/>
        <color rgb="FFC00000"/>
      </font>
    </dxf>
    <dxf>
      <font>
        <b/>
        <i val="0"/>
        <color rgb="FFC00000"/>
      </font>
    </dxf>
    <dxf>
      <font>
        <b/>
        <i val="0"/>
        <color rgb="FFC00000"/>
      </font>
    </dxf>
    <dxf>
      <font>
        <b/>
        <i val="0"/>
        <color rgb="FF00B050"/>
      </font>
    </dxf>
    <dxf>
      <font>
        <b/>
        <i val="0"/>
        <color rgb="FFC00000"/>
      </font>
    </dxf>
    <dxf>
      <font>
        <b/>
        <i val="0"/>
        <color rgb="FF00B050"/>
      </font>
    </dxf>
    <dxf>
      <font>
        <b/>
        <i val="0"/>
        <color rgb="FFC00000"/>
      </font>
    </dxf>
    <dxf>
      <font>
        <b/>
        <i val="0"/>
        <color rgb="FF00B050"/>
      </font>
    </dxf>
    <dxf>
      <font>
        <color rgb="FFFF0000"/>
      </font>
    </dxf>
    <dxf>
      <font>
        <condense val="0"/>
        <extend val="0"/>
        <color indexed="1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ndense val="0"/>
        <extend val="0"/>
        <color indexed="10"/>
      </font>
    </dxf>
    <dxf>
      <font>
        <color rgb="FFFF0000"/>
      </font>
    </dxf>
    <dxf>
      <font>
        <color rgb="FFFF0000"/>
      </font>
    </dxf>
    <dxf>
      <font>
        <color rgb="FFFF0000"/>
      </font>
    </dxf>
    <dxf>
      <font>
        <b/>
        <i val="0"/>
        <color rgb="FFFF0000"/>
      </font>
    </dxf>
    <dxf>
      <font>
        <condense val="0"/>
        <extend val="0"/>
        <color indexed="1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b/>
        <i val="0"/>
        <color rgb="FFFF0000"/>
      </font>
    </dxf>
    <dxf>
      <font>
        <b/>
        <i val="0"/>
        <condense val="0"/>
        <extend val="0"/>
        <color indexed="10"/>
      </font>
    </dxf>
    <dxf>
      <font>
        <condense val="0"/>
        <extend val="0"/>
        <color indexed="10"/>
      </font>
    </dxf>
    <dxf>
      <font>
        <color rgb="FFFF0000"/>
      </font>
    </dxf>
    <dxf>
      <font>
        <color rgb="FFFF0000"/>
      </font>
    </dxf>
    <dxf>
      <font>
        <b/>
        <i val="0"/>
        <color rgb="FFFF0000"/>
      </font>
    </dxf>
    <dxf>
      <font>
        <color rgb="FFFF0000"/>
      </font>
    </dxf>
    <dxf>
      <font>
        <color rgb="FFFF0000"/>
      </font>
    </dxf>
    <dxf>
      <font>
        <color rgb="FFFF0000"/>
      </font>
    </dxf>
    <dxf>
      <font>
        <condense val="0"/>
        <extend val="0"/>
        <color indexed="10"/>
      </font>
    </dxf>
    <dxf>
      <font>
        <color rgb="FFFF0000"/>
      </font>
    </dxf>
    <dxf>
      <font>
        <condense val="0"/>
        <extend val="0"/>
        <color indexed="10"/>
      </font>
    </dxf>
    <dxf>
      <font>
        <condense val="0"/>
        <extend val="0"/>
        <color indexed="10"/>
      </font>
    </dxf>
    <dxf>
      <font>
        <condense val="0"/>
        <extend val="0"/>
        <color indexed="10"/>
      </font>
    </dxf>
    <dxf>
      <font>
        <color rgb="FFFF0000"/>
      </font>
    </dxf>
    <dxf>
      <font>
        <b/>
        <i val="0"/>
        <color rgb="FFFF0000"/>
      </font>
    </dxf>
    <dxf>
      <font>
        <condense val="0"/>
        <extend val="0"/>
        <color indexed="10"/>
      </font>
    </dxf>
    <dxf>
      <font>
        <condense val="0"/>
        <extend val="0"/>
        <color indexed="10"/>
      </font>
    </dxf>
    <dxf>
      <font>
        <b/>
        <i val="0"/>
        <color rgb="FFFF0000"/>
      </font>
    </dxf>
    <dxf>
      <font>
        <color rgb="FFFF0000"/>
      </font>
    </dxf>
    <dxf>
      <font>
        <condense val="0"/>
        <extend val="0"/>
        <color indexed="10"/>
      </font>
    </dxf>
    <dxf>
      <font>
        <b/>
        <i val="0"/>
        <condense val="0"/>
        <extend val="0"/>
        <color indexed="10"/>
      </font>
    </dxf>
    <dxf>
      <font>
        <color rgb="FFFF0000"/>
      </font>
    </dxf>
    <dxf>
      <font>
        <condense val="0"/>
        <extend val="0"/>
        <color indexed="10"/>
      </font>
    </dxf>
    <dxf>
      <font>
        <condense val="0"/>
        <extend val="0"/>
        <color indexed="10"/>
      </font>
    </dxf>
    <dxf>
      <font>
        <color rgb="FFFF0000"/>
      </font>
    </dxf>
    <dxf>
      <font>
        <color rgb="FFFF0000"/>
      </font>
    </dxf>
    <dxf>
      <font>
        <condense val="0"/>
        <extend val="0"/>
        <color indexed="10"/>
      </font>
    </dxf>
    <dxf>
      <font>
        <color rgb="FFFF0000"/>
      </font>
    </dxf>
    <dxf>
      <font>
        <color rgb="FFFF0000"/>
      </font>
    </dxf>
    <dxf>
      <font>
        <color rgb="FFFF0000"/>
      </font>
    </dxf>
    <dxf>
      <font>
        <b/>
        <i val="0"/>
        <color rgb="FFFF0000"/>
      </font>
    </dxf>
    <dxf>
      <font>
        <color rgb="FFFF0000"/>
      </font>
    </dxf>
    <dxf>
      <font>
        <color rgb="FFFF0000"/>
      </font>
    </dxf>
    <dxf>
      <font>
        <color rgb="FFFF0000"/>
      </font>
    </dxf>
    <dxf>
      <font>
        <b/>
        <i val="0"/>
        <color rgb="FFFF0000"/>
      </font>
    </dxf>
    <dxf>
      <font>
        <b/>
        <i val="0"/>
        <color rgb="FFFF0000"/>
      </font>
    </dxf>
    <dxf>
      <font>
        <color rgb="FFFF0000"/>
      </font>
    </dxf>
    <dxf>
      <font>
        <b/>
        <i val="0"/>
        <color rgb="FFFF0000"/>
      </font>
    </dxf>
    <dxf>
      <font>
        <color rgb="FFFF0000"/>
      </font>
    </dxf>
    <dxf>
      <font>
        <b/>
        <i val="0"/>
        <color rgb="FFFF0000"/>
      </font>
    </dxf>
    <dxf>
      <font>
        <color rgb="FFFF0000"/>
      </font>
    </dxf>
    <dxf>
      <font>
        <b/>
        <i val="0"/>
        <color rgb="FFFF000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b/>
        <i val="0"/>
        <color rgb="FFFF0000"/>
      </font>
    </dxf>
    <dxf>
      <font>
        <condense val="0"/>
        <extend val="0"/>
        <color indexed="1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b/>
        <i val="0"/>
        <condense val="0"/>
        <extend val="0"/>
        <color indexed="10"/>
      </font>
    </dxf>
    <dxf>
      <font>
        <condense val="0"/>
        <extend val="0"/>
        <color indexed="10"/>
      </font>
    </dxf>
    <dxf>
      <font>
        <color rgb="FFFF0000"/>
      </font>
    </dxf>
    <dxf>
      <font>
        <color rgb="FFFF0000"/>
      </font>
    </dxf>
    <dxf>
      <font>
        <color rgb="FFFF0000"/>
      </font>
    </dxf>
    <dxf>
      <font>
        <b/>
        <i val="0"/>
        <color rgb="FFFF0000"/>
      </font>
    </dxf>
    <dxf>
      <font>
        <b/>
        <i val="0"/>
        <color rgb="FFFF0000"/>
      </font>
    </dxf>
    <dxf>
      <font>
        <color rgb="FFFF0000"/>
      </font>
    </dxf>
    <dxf>
      <font>
        <color rgb="FFFF0000"/>
      </font>
    </dxf>
    <dxf>
      <font>
        <color rgb="FFFF0000"/>
      </font>
    </dxf>
    <dxf>
      <font>
        <condense val="0"/>
        <extend val="0"/>
        <color indexed="10"/>
      </font>
    </dxf>
    <dxf>
      <font>
        <color rgb="FFFF0000"/>
      </font>
    </dxf>
    <dxf>
      <font>
        <condense val="0"/>
        <extend val="0"/>
        <color indexed="10"/>
      </font>
    </dxf>
    <dxf>
      <font>
        <color rgb="FFFF0000"/>
      </font>
    </dxf>
    <dxf>
      <font>
        <b/>
        <i val="0"/>
        <color rgb="FFFF0000"/>
      </font>
    </dxf>
    <dxf>
      <font>
        <condense val="0"/>
        <extend val="0"/>
        <color indexed="10"/>
      </font>
    </dxf>
    <dxf>
      <font>
        <condense val="0"/>
        <extend val="0"/>
        <color indexed="10"/>
      </font>
    </dxf>
    <dxf>
      <font>
        <b/>
        <i val="0"/>
        <color rgb="FFFF0000"/>
      </font>
    </dxf>
    <dxf>
      <font>
        <color rgb="FFFF0000"/>
      </font>
    </dxf>
    <dxf>
      <font>
        <condense val="0"/>
        <extend val="0"/>
        <color indexed="10"/>
      </font>
    </dxf>
    <dxf>
      <font>
        <b/>
        <i val="0"/>
        <condense val="0"/>
        <extend val="0"/>
        <color indexed="10"/>
      </font>
    </dxf>
    <dxf>
      <font>
        <color rgb="FFFF0000"/>
      </font>
    </dxf>
    <dxf>
      <font>
        <condense val="0"/>
        <extend val="0"/>
        <color indexed="10"/>
      </font>
    </dxf>
    <dxf>
      <font>
        <condense val="0"/>
        <extend val="0"/>
        <color indexed="10"/>
      </font>
    </dxf>
    <dxf>
      <font>
        <color rgb="FFFF0000"/>
      </font>
    </dxf>
    <dxf>
      <font>
        <color rgb="FFFF0000"/>
      </font>
    </dxf>
    <dxf>
      <font>
        <condense val="0"/>
        <extend val="0"/>
        <color indexed="10"/>
      </font>
    </dxf>
    <dxf>
      <font>
        <color rgb="FFFF0000"/>
      </font>
    </dxf>
    <dxf>
      <font>
        <color rgb="FFFF0000"/>
      </font>
    </dxf>
    <dxf>
      <font>
        <b/>
        <i val="0"/>
        <color rgb="FFFF0000"/>
      </font>
    </dxf>
    <dxf>
      <font>
        <b/>
        <i val="0"/>
        <color rgb="FFFF0000"/>
      </font>
    </dxf>
    <dxf>
      <font>
        <condense val="0"/>
        <extend val="0"/>
        <color indexed="10"/>
      </font>
    </dxf>
    <dxf>
      <font>
        <color rgb="FFFF0000"/>
      </font>
    </dxf>
    <dxf>
      <font>
        <color rgb="FFFF0000"/>
      </font>
    </dxf>
    <dxf>
      <font>
        <color rgb="FFFF0000"/>
      </font>
    </dxf>
    <dxf>
      <font>
        <color rgb="FFFF0000"/>
      </font>
    </dxf>
    <dxf>
      <font>
        <b/>
        <i val="0"/>
        <color rgb="FFFF0000"/>
      </font>
    </dxf>
    <dxf>
      <font>
        <condense val="0"/>
        <extend val="0"/>
        <color indexed="1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b/>
        <i val="0"/>
        <color rgb="FFFF0000"/>
      </font>
    </dxf>
    <dxf>
      <font>
        <condense val="0"/>
        <extend val="0"/>
        <color indexed="10"/>
      </font>
    </dxf>
    <dxf>
      <font>
        <b/>
        <i val="0"/>
        <condense val="0"/>
        <extend val="0"/>
        <color indexed="10"/>
      </font>
    </dxf>
    <dxf>
      <font>
        <color rgb="FFFF0000"/>
      </font>
    </dxf>
    <dxf>
      <font>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ndense val="0"/>
        <extend val="0"/>
        <color indexed="10"/>
      </font>
    </dxf>
    <dxf>
      <font>
        <condense val="0"/>
        <extend val="0"/>
        <color indexed="10"/>
      </font>
    </dxf>
    <dxf>
      <font>
        <color rgb="FFFF0000"/>
      </font>
    </dxf>
    <dxf>
      <font>
        <b/>
        <i val="0"/>
        <color rgb="FFFF0000"/>
      </font>
    </dxf>
    <dxf>
      <font>
        <b/>
        <i val="0"/>
        <color rgb="FFFF0000"/>
      </font>
    </dxf>
    <dxf>
      <font>
        <condense val="0"/>
        <extend val="0"/>
        <color indexed="10"/>
      </font>
    </dxf>
    <dxf>
      <font>
        <condense val="0"/>
        <extend val="0"/>
        <color indexed="10"/>
      </font>
    </dxf>
    <dxf>
      <font>
        <b/>
        <i val="0"/>
        <color rgb="FFFF0000"/>
      </font>
    </dxf>
    <dxf>
      <font>
        <color rgb="FFFF0000"/>
      </font>
    </dxf>
    <dxf>
      <font>
        <condense val="0"/>
        <extend val="0"/>
        <color indexed="10"/>
      </font>
    </dxf>
    <dxf>
      <font>
        <b/>
        <i val="0"/>
        <condense val="0"/>
        <extend val="0"/>
        <color indexed="10"/>
      </font>
    </dxf>
    <dxf>
      <font>
        <b/>
        <i val="0"/>
        <color rgb="FFFF0000"/>
      </font>
    </dxf>
    <dxf>
      <font>
        <condense val="0"/>
        <extend val="0"/>
        <color indexed="1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ndense val="0"/>
        <extend val="0"/>
        <color indexed="10"/>
      </font>
    </dxf>
    <dxf>
      <font>
        <color rgb="FFFF0000"/>
      </font>
    </dxf>
    <dxf>
      <font>
        <color rgb="FFFF0000"/>
      </font>
    </dxf>
    <dxf>
      <font>
        <color rgb="FFFF0000"/>
      </font>
    </dxf>
    <dxf>
      <font>
        <condense val="0"/>
        <extend val="0"/>
        <color indexed="1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b/>
        <i val="0"/>
        <condense val="0"/>
        <extend val="0"/>
        <color indexed="10"/>
      </font>
    </dxf>
    <dxf>
      <font>
        <condense val="0"/>
        <extend val="0"/>
        <color indexed="10"/>
      </font>
    </dxf>
    <dxf>
      <font>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ndense val="0"/>
        <extend val="0"/>
        <color indexed="10"/>
      </font>
    </dxf>
    <dxf>
      <font>
        <color rgb="FFFF0000"/>
      </font>
    </dxf>
    <dxf>
      <font>
        <b/>
        <i val="0"/>
        <color rgb="FFFF0000"/>
      </font>
    </dxf>
    <dxf>
      <font>
        <condense val="0"/>
        <extend val="0"/>
        <color indexed="10"/>
      </font>
    </dxf>
    <dxf>
      <font>
        <condense val="0"/>
        <extend val="0"/>
        <color indexed="10"/>
      </font>
    </dxf>
    <dxf>
      <font>
        <b/>
        <i val="0"/>
        <color rgb="FFFF0000"/>
      </font>
    </dxf>
    <dxf>
      <font>
        <color rgb="FFFF0000"/>
      </font>
    </dxf>
    <dxf>
      <font>
        <condense val="0"/>
        <extend val="0"/>
        <color indexed="10"/>
      </font>
    </dxf>
    <dxf>
      <font>
        <b/>
        <i val="0"/>
        <condense val="0"/>
        <extend val="0"/>
        <color indexed="10"/>
      </font>
    </dxf>
    <dxf>
      <font>
        <condense val="0"/>
        <extend val="0"/>
        <color indexed="10"/>
      </font>
    </dxf>
    <dxf>
      <font>
        <color rgb="FFFF0000"/>
      </font>
    </dxf>
    <dxf>
      <font>
        <color rgb="FFFF0000"/>
      </font>
    </dxf>
    <dxf>
      <font>
        <condense val="0"/>
        <extend val="0"/>
        <color indexed="1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strike val="0"/>
        <color rgb="FFFF0000"/>
      </font>
      <border>
        <vertical/>
        <horizontal/>
      </border>
    </dxf>
    <dxf>
      <font>
        <condense val="0"/>
        <extend val="0"/>
        <color indexed="10"/>
      </font>
    </dxf>
    <dxf>
      <font>
        <color rgb="FFFF0000"/>
      </font>
    </dxf>
    <dxf>
      <font>
        <color rgb="FFFF0000"/>
      </font>
    </dxf>
    <dxf>
      <font>
        <color rgb="FFFF0000"/>
      </font>
    </dxf>
    <dxf>
      <font>
        <condense val="0"/>
        <extend val="0"/>
        <color indexed="1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ndense val="0"/>
        <extend val="0"/>
        <color indexed="10"/>
      </font>
    </dxf>
    <dxf>
      <font>
        <b/>
        <i val="0"/>
        <condense val="0"/>
        <extend val="0"/>
        <color indexed="10"/>
      </font>
    </dxf>
    <dxf>
      <font>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ndense val="0"/>
        <extend val="0"/>
        <color indexed="10"/>
      </font>
    </dxf>
    <dxf>
      <font>
        <color rgb="FFFF0000"/>
      </font>
    </dxf>
    <dxf>
      <font>
        <b/>
        <i val="0"/>
        <color rgb="FFFF0000"/>
      </font>
    </dxf>
    <dxf>
      <font>
        <condense val="0"/>
        <extend val="0"/>
        <color indexed="10"/>
      </font>
    </dxf>
    <dxf>
      <font>
        <condense val="0"/>
        <extend val="0"/>
        <color indexed="10"/>
      </font>
    </dxf>
    <dxf>
      <font>
        <b/>
        <i val="0"/>
        <color rgb="FFFF0000"/>
      </font>
    </dxf>
    <dxf>
      <font>
        <color rgb="FFFF0000"/>
      </font>
    </dxf>
    <dxf>
      <font>
        <condense val="0"/>
        <extend val="0"/>
        <color indexed="10"/>
      </font>
    </dxf>
    <dxf>
      <font>
        <b/>
        <i val="0"/>
        <condense val="0"/>
        <extend val="0"/>
        <color indexed="10"/>
      </font>
    </dxf>
    <dxf>
      <font>
        <color rgb="FFFF0000"/>
      </font>
    </dxf>
    <dxf>
      <font>
        <condense val="0"/>
        <extend val="0"/>
        <color indexed="1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ndense val="0"/>
        <extend val="0"/>
        <color indexed="1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ndense val="0"/>
        <extend val="0"/>
        <color indexed="10"/>
      </font>
    </dxf>
    <dxf>
      <font>
        <b/>
        <i val="0"/>
        <condense val="0"/>
        <extend val="0"/>
        <color indexed="10"/>
      </font>
    </dxf>
    <dxf>
      <font>
        <color rgb="FFFF0000"/>
      </font>
    </dxf>
    <dxf>
      <font>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ndense val="0"/>
        <extend val="0"/>
        <color indexed="10"/>
      </font>
    </dxf>
    <dxf>
      <font>
        <color rgb="FFFF0000"/>
      </font>
    </dxf>
    <dxf>
      <font>
        <b/>
        <i val="0"/>
        <color rgb="FFFF0000"/>
      </font>
    </dxf>
    <dxf>
      <font>
        <condense val="0"/>
        <extend val="0"/>
        <color indexed="10"/>
      </font>
    </dxf>
    <dxf>
      <font>
        <condense val="0"/>
        <extend val="0"/>
        <color indexed="1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b/>
        <i val="0"/>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condense val="0"/>
        <extend val="0"/>
        <color indexed="10"/>
      </font>
    </dxf>
    <dxf>
      <font>
        <condense val="0"/>
        <extend val="0"/>
        <color indexed="10"/>
      </font>
    </dxf>
    <dxf>
      <font>
        <b/>
        <i val="0"/>
        <condense val="0"/>
        <extend val="0"/>
        <color indexed="10"/>
      </font>
    </dxf>
    <dxf>
      <font>
        <condense val="0"/>
        <extend val="0"/>
        <color indexed="10"/>
      </font>
    </dxf>
    <dxf>
      <font>
        <condense val="0"/>
        <extend val="0"/>
        <color indexed="1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b/>
        <i val="0"/>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ndense val="0"/>
        <extend val="0"/>
        <color indexed="10"/>
      </font>
    </dxf>
    <dxf>
      <font>
        <condense val="0"/>
        <extend val="0"/>
        <color indexed="10"/>
      </font>
    </dxf>
    <dxf>
      <font>
        <condense val="0"/>
        <extend val="0"/>
        <color indexed="10"/>
      </font>
    </dxf>
    <dxf>
      <font>
        <b/>
        <i val="0"/>
        <condense val="0"/>
        <extend val="0"/>
        <color indexed="10"/>
      </font>
    </dxf>
    <dxf>
      <font>
        <condense val="0"/>
        <extend val="0"/>
        <color indexed="1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b/>
        <i val="0"/>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ndense val="0"/>
        <extend val="0"/>
        <color indexed="10"/>
      </font>
    </dxf>
    <dxf>
      <font>
        <condense val="0"/>
        <extend val="0"/>
        <color indexed="10"/>
      </font>
    </dxf>
    <dxf>
      <font>
        <b/>
        <i val="0"/>
        <condense val="0"/>
        <extend val="0"/>
        <color indexed="10"/>
      </font>
    </dxf>
    <dxf>
      <font>
        <condense val="0"/>
        <extend val="0"/>
        <color indexed="10"/>
      </font>
    </dxf>
    <dxf>
      <font>
        <condense val="0"/>
        <extend val="0"/>
        <color indexed="1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b/>
        <i val="0"/>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ndense val="0"/>
        <extend val="0"/>
        <color indexed="10"/>
      </font>
    </dxf>
    <dxf>
      <font>
        <condense val="0"/>
        <extend val="0"/>
        <color indexed="10"/>
      </font>
    </dxf>
    <dxf>
      <font>
        <b/>
        <i val="0"/>
        <condense val="0"/>
        <extend val="0"/>
        <color indexed="10"/>
      </font>
    </dxf>
    <dxf>
      <font>
        <condense val="0"/>
        <extend val="0"/>
        <color indexed="10"/>
      </font>
    </dxf>
    <dxf>
      <font>
        <condense val="0"/>
        <extend val="0"/>
        <color indexed="1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ndense val="0"/>
        <extend val="0"/>
        <color indexed="10"/>
      </font>
    </dxf>
    <dxf>
      <font>
        <b/>
        <i val="0"/>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ndense val="0"/>
        <extend val="0"/>
        <color indexed="10"/>
      </font>
    </dxf>
    <dxf>
      <font>
        <condense val="0"/>
        <extend val="0"/>
        <color indexed="10"/>
      </font>
    </dxf>
    <dxf>
      <font>
        <condense val="0"/>
        <extend val="0"/>
        <color indexed="10"/>
      </font>
    </dxf>
    <dxf>
      <font>
        <b/>
        <i val="0"/>
        <condense val="0"/>
        <extend val="0"/>
        <color indexed="10"/>
      </font>
    </dxf>
    <dxf>
      <font>
        <condense val="0"/>
        <extend val="0"/>
        <color indexed="1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ndense val="0"/>
        <extend val="0"/>
        <color indexed="10"/>
      </font>
    </dxf>
    <dxf>
      <font>
        <b/>
        <i val="0"/>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condense val="0"/>
        <extend val="0"/>
        <color indexed="10"/>
      </font>
    </dxf>
    <dxf>
      <font>
        <condense val="0"/>
        <extend val="0"/>
        <color indexed="10"/>
      </font>
    </dxf>
    <dxf>
      <font>
        <condense val="0"/>
        <extend val="0"/>
        <color indexed="10"/>
      </font>
    </dxf>
    <dxf>
      <font>
        <b/>
        <i val="0"/>
        <condense val="0"/>
        <extend val="0"/>
        <color indexed="10"/>
      </font>
    </dxf>
    <dxf>
      <font>
        <condense val="0"/>
        <extend val="0"/>
        <color indexed="1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b/>
        <i val="0"/>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ndense val="0"/>
        <extend val="0"/>
        <color indexed="10"/>
      </font>
    </dxf>
    <dxf>
      <font>
        <condense val="0"/>
        <extend val="0"/>
        <color indexed="10"/>
      </font>
    </dxf>
    <dxf>
      <font>
        <condense val="0"/>
        <extend val="0"/>
        <color indexed="10"/>
      </font>
    </dxf>
    <dxf>
      <font>
        <condense val="0"/>
        <extend val="0"/>
        <color indexed="10"/>
      </font>
    </dxf>
    <dxf>
      <font>
        <b/>
        <i val="0"/>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color rgb="FFFF0000"/>
      </font>
    </dxf>
    <dxf>
      <font>
        <b/>
        <i val="0"/>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b/>
        <i val="0"/>
        <color rgb="FFFF0000"/>
      </font>
    </dxf>
    <dxf>
      <font>
        <b/>
        <i val="0"/>
        <color rgb="FFFF0000"/>
      </font>
    </dxf>
    <dxf>
      <font>
        <b/>
        <i val="0"/>
        <color rgb="FFFF0000"/>
      </font>
    </dxf>
    <dxf>
      <font>
        <b/>
        <i val="0"/>
        <color rgb="FFFF0000"/>
      </font>
    </dxf>
    <dxf>
      <font>
        <condense val="0"/>
        <extend val="0"/>
        <color indexed="10"/>
      </font>
    </dxf>
    <dxf>
      <font>
        <condense val="0"/>
        <extend val="0"/>
        <color indexed="10"/>
      </font>
    </dxf>
    <dxf>
      <font>
        <condense val="0"/>
        <extend val="0"/>
        <color indexed="10"/>
      </font>
    </dxf>
    <dxf>
      <font>
        <condense val="0"/>
        <extend val="0"/>
        <color indexed="10"/>
      </font>
    </dxf>
    <dxf>
      <font>
        <b/>
        <i val="0"/>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b/>
        <i val="0"/>
        <color rgb="FFFF0000"/>
      </font>
    </dxf>
    <dxf>
      <font>
        <color rgb="FFFF0000"/>
      </font>
    </dxf>
    <dxf>
      <font>
        <color rgb="FFFF0000"/>
      </font>
    </dxf>
    <dxf>
      <font>
        <color rgb="FFFF0000"/>
      </font>
    </dxf>
    <dxf>
      <font>
        <color rgb="FFFF0000"/>
      </font>
    </dxf>
    <dxf>
      <font>
        <b/>
        <i val="0"/>
        <color rgb="FFFF0000"/>
      </font>
    </dxf>
    <dxf>
      <font>
        <color rgb="FFFF0000"/>
      </font>
    </dxf>
    <dxf>
      <font>
        <color rgb="FFFF0000"/>
      </font>
    </dxf>
    <dxf>
      <font>
        <b/>
        <i val="0"/>
        <color rgb="FFFF0000"/>
      </font>
    </dxf>
    <dxf>
      <font>
        <color rgb="FFFF0000"/>
      </font>
    </dxf>
    <dxf>
      <font>
        <b/>
        <i val="0"/>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b/>
        <i val="0"/>
        <color rgb="FFFF0000"/>
      </font>
    </dxf>
    <dxf>
      <font>
        <b/>
        <i val="0"/>
        <color rgb="FFFF0000"/>
      </font>
    </dxf>
    <dxf>
      <font>
        <condense val="0"/>
        <extend val="0"/>
        <color indexed="10"/>
      </font>
    </dxf>
    <dxf>
      <font>
        <condense val="0"/>
        <extend val="0"/>
        <color indexed="10"/>
      </font>
    </dxf>
    <dxf>
      <font>
        <condense val="0"/>
        <extend val="0"/>
        <color indexed="10"/>
      </font>
    </dxf>
    <dxf>
      <font>
        <condense val="0"/>
        <extend val="0"/>
        <color indexed="10"/>
      </font>
    </dxf>
    <dxf>
      <font>
        <b/>
        <i val="0"/>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color rgb="FFFF0000"/>
      </font>
    </dxf>
    <dxf>
      <font>
        <b/>
        <i val="0"/>
        <condense val="0"/>
        <extend val="0"/>
        <color indexed="1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b/>
        <i val="0"/>
        <color rgb="FFFF0000"/>
      </font>
    </dxf>
    <dxf>
      <font>
        <b/>
        <i val="0"/>
        <color rgb="FFFF0000"/>
      </font>
    </dxf>
    <dxf>
      <font>
        <condense val="0"/>
        <extend val="0"/>
        <color indexed="10"/>
      </font>
    </dxf>
    <dxf>
      <font>
        <condense val="0"/>
        <extend val="0"/>
        <color indexed="10"/>
      </font>
    </dxf>
    <dxf>
      <font>
        <condense val="0"/>
        <extend val="0"/>
        <color indexed="10"/>
      </font>
    </dxf>
    <dxf>
      <font>
        <condense val="0"/>
        <extend val="0"/>
        <color indexed="10"/>
      </font>
    </dxf>
    <dxf>
      <font>
        <b/>
        <i val="0"/>
        <condense val="0"/>
        <extend val="0"/>
        <color indexed="1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b/>
        <i val="0"/>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color rgb="FFFF0000"/>
      </font>
    </dxf>
    <dxf>
      <font>
        <condense val="0"/>
        <extend val="0"/>
        <color indexed="10"/>
      </font>
    </dxf>
    <dxf>
      <font>
        <condense val="0"/>
        <extend val="0"/>
        <color indexed="10"/>
      </font>
    </dxf>
    <dxf>
      <font>
        <condense val="0"/>
        <extend val="0"/>
        <color indexed="10"/>
      </font>
    </dxf>
    <dxf>
      <font>
        <b/>
        <i val="0"/>
        <condense val="0"/>
        <extend val="0"/>
        <color indexed="10"/>
      </font>
    </dxf>
    <dxf>
      <font>
        <condense val="0"/>
        <extend val="0"/>
        <color indexed="10"/>
      </font>
    </dxf>
    <dxf>
      <font>
        <color rgb="FFFF0000"/>
      </font>
    </dxf>
    <dxf>
      <font>
        <condense val="0"/>
        <extend val="0"/>
        <color indexed="10"/>
      </font>
    </dxf>
    <dxf>
      <font>
        <color rgb="FFFF0000"/>
      </font>
    </dxf>
    <dxf>
      <font>
        <color rgb="FFFF0000"/>
      </font>
    </dxf>
    <dxf>
      <font>
        <color rgb="FFFF0000"/>
      </font>
    </dxf>
    <dxf>
      <font>
        <condense val="0"/>
        <extend val="0"/>
        <color indexed="10"/>
      </font>
    </dxf>
    <dxf>
      <font>
        <color rgb="FFFF0000"/>
      </font>
    </dxf>
    <dxf>
      <font>
        <condense val="0"/>
        <extend val="0"/>
        <color indexed="10"/>
      </font>
    </dxf>
    <dxf>
      <font>
        <color rgb="FFFF0000"/>
      </font>
    </dxf>
    <dxf>
      <font>
        <color rgb="FFFF0000"/>
      </font>
    </dxf>
    <dxf>
      <font>
        <color rgb="FFFF0000"/>
      </font>
    </dxf>
    <dxf>
      <font>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b/>
        <i val="0"/>
        <condense val="0"/>
        <extend val="0"/>
        <color indexed="1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10"/>
      </font>
    </dxf>
    <dxf>
      <font>
        <b/>
        <i val="0"/>
        <color rgb="FFFF0000"/>
      </font>
    </dxf>
    <dxf>
      <font>
        <condense val="0"/>
        <extend val="0"/>
        <color indexed="10"/>
      </font>
    </dxf>
    <dxf>
      <font>
        <condense val="0"/>
        <extend val="0"/>
        <color indexed="10"/>
      </font>
    </dxf>
    <dxf>
      <font>
        <condense val="0"/>
        <extend val="0"/>
        <color indexed="10"/>
      </font>
    </dxf>
    <dxf>
      <font>
        <b/>
        <i val="0"/>
        <condense val="0"/>
        <extend val="0"/>
        <color indexed="10"/>
      </font>
    </dxf>
    <dxf>
      <font>
        <condense val="0"/>
        <extend val="0"/>
        <color indexed="1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8" Type="http://schemas.openxmlformats.org/officeDocument/2006/relationships/worksheet" Target="worksheets/sheet8.xml"/><Relationship Id="rId51" Type="http://schemas.openxmlformats.org/officeDocument/2006/relationships/externalLink" Target="externalLinks/externalLink1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333333"/>
                </a:solidFill>
                <a:latin typeface="Calibri"/>
                <a:ea typeface="Calibri"/>
                <a:cs typeface="Calibri"/>
              </a:defRPr>
            </a:pPr>
            <a:r>
              <a:rPr lang="en-US"/>
              <a:t>GBL Production Tracking 2017-2021</a:t>
            </a:r>
          </a:p>
        </c:rich>
      </c:tx>
      <c:overlay val="0"/>
      <c:spPr>
        <a:noFill/>
        <a:ln w="25400">
          <a:noFill/>
        </a:ln>
      </c:sp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w="25400">
                <a:noFill/>
              </a:ln>
            </c:spPr>
            <c:txPr>
              <a:bodyPr wrap="square" lIns="38100" tIns="19050" rIns="38100" bIns="19050" anchor="ctr">
                <a:spAutoFit/>
              </a:bodyPr>
              <a:lstStyle/>
              <a:p>
                <a:pPr>
                  <a:defRPr sz="1000" b="1" i="0" u="none" strike="noStrike" baseline="0">
                    <a:solidFill>
                      <a:srgbClr val="000000"/>
                    </a:solidFill>
                    <a:latin typeface="Calibri"/>
                    <a:ea typeface="Calibri"/>
                    <a:cs typeface="Calibri"/>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'Production Tracking 2017-2023'!$C$3:$BJ$3</c:f>
              <c:strCache>
                <c:ptCount val="60"/>
                <c:pt idx="0">
                  <c:v>Jan.17</c:v>
                </c:pt>
                <c:pt idx="1">
                  <c:v>Feb.17</c:v>
                </c:pt>
                <c:pt idx="2">
                  <c:v>Mar.17</c:v>
                </c:pt>
                <c:pt idx="3">
                  <c:v>Apr.17</c:v>
                </c:pt>
                <c:pt idx="4">
                  <c:v>May.17</c:v>
                </c:pt>
                <c:pt idx="5">
                  <c:v>Jun.17</c:v>
                </c:pt>
                <c:pt idx="6">
                  <c:v>Jul.17</c:v>
                </c:pt>
                <c:pt idx="7">
                  <c:v>Aug.17</c:v>
                </c:pt>
                <c:pt idx="8">
                  <c:v>Sep.17</c:v>
                </c:pt>
                <c:pt idx="9">
                  <c:v>Oct.17</c:v>
                </c:pt>
                <c:pt idx="10">
                  <c:v>Nov.17</c:v>
                </c:pt>
                <c:pt idx="11">
                  <c:v>Dec.17</c:v>
                </c:pt>
                <c:pt idx="12">
                  <c:v>Jan.18</c:v>
                </c:pt>
                <c:pt idx="13">
                  <c:v>Feb.18</c:v>
                </c:pt>
                <c:pt idx="14">
                  <c:v>Mar.18</c:v>
                </c:pt>
                <c:pt idx="15">
                  <c:v>Apr.18</c:v>
                </c:pt>
                <c:pt idx="16">
                  <c:v>May.18</c:v>
                </c:pt>
                <c:pt idx="17">
                  <c:v>Jun.18</c:v>
                </c:pt>
                <c:pt idx="18">
                  <c:v>Jul.18</c:v>
                </c:pt>
                <c:pt idx="19">
                  <c:v>Aug.18</c:v>
                </c:pt>
                <c:pt idx="20">
                  <c:v>Sept.18</c:v>
                </c:pt>
                <c:pt idx="21">
                  <c:v>Oct.18</c:v>
                </c:pt>
                <c:pt idx="22">
                  <c:v>Nov.18</c:v>
                </c:pt>
                <c:pt idx="23">
                  <c:v>Dec.18</c:v>
                </c:pt>
                <c:pt idx="24">
                  <c:v>Jan.19</c:v>
                </c:pt>
                <c:pt idx="25">
                  <c:v>Feb.19</c:v>
                </c:pt>
                <c:pt idx="26">
                  <c:v>Mar.19</c:v>
                </c:pt>
                <c:pt idx="27">
                  <c:v>Apr.19</c:v>
                </c:pt>
                <c:pt idx="28">
                  <c:v>May.19</c:v>
                </c:pt>
                <c:pt idx="29">
                  <c:v>Jun.19</c:v>
                </c:pt>
                <c:pt idx="30">
                  <c:v>Jul.19</c:v>
                </c:pt>
                <c:pt idx="31">
                  <c:v>Aug.19</c:v>
                </c:pt>
                <c:pt idx="32">
                  <c:v>Sept.19</c:v>
                </c:pt>
                <c:pt idx="33">
                  <c:v>Oct.19</c:v>
                </c:pt>
                <c:pt idx="34">
                  <c:v>Nov.19</c:v>
                </c:pt>
                <c:pt idx="35">
                  <c:v>Dec.19</c:v>
                </c:pt>
                <c:pt idx="36">
                  <c:v>Jan.20</c:v>
                </c:pt>
                <c:pt idx="37">
                  <c:v>Feb.20</c:v>
                </c:pt>
                <c:pt idx="38">
                  <c:v>Mar.20</c:v>
                </c:pt>
                <c:pt idx="39">
                  <c:v>Apr.20</c:v>
                </c:pt>
                <c:pt idx="40">
                  <c:v>May.20</c:v>
                </c:pt>
                <c:pt idx="41">
                  <c:v>Jun.20</c:v>
                </c:pt>
                <c:pt idx="42">
                  <c:v>Jul.20</c:v>
                </c:pt>
                <c:pt idx="43">
                  <c:v>Aug.20</c:v>
                </c:pt>
                <c:pt idx="44">
                  <c:v>Sept.20</c:v>
                </c:pt>
                <c:pt idx="45">
                  <c:v>Oct.20</c:v>
                </c:pt>
                <c:pt idx="46">
                  <c:v>Nov.20</c:v>
                </c:pt>
                <c:pt idx="47">
                  <c:v>Dec.20</c:v>
                </c:pt>
                <c:pt idx="48">
                  <c:v>Jan.21</c:v>
                </c:pt>
                <c:pt idx="49">
                  <c:v>Feb.21</c:v>
                </c:pt>
                <c:pt idx="50">
                  <c:v>Mar.21</c:v>
                </c:pt>
                <c:pt idx="51">
                  <c:v>Apr.21</c:v>
                </c:pt>
                <c:pt idx="52">
                  <c:v>May.21</c:v>
                </c:pt>
                <c:pt idx="53">
                  <c:v>Jun.21</c:v>
                </c:pt>
                <c:pt idx="54">
                  <c:v>Jul.21</c:v>
                </c:pt>
                <c:pt idx="55">
                  <c:v>Aug.21</c:v>
                </c:pt>
                <c:pt idx="56">
                  <c:v>Sept.21</c:v>
                </c:pt>
                <c:pt idx="57">
                  <c:v>Oct.21</c:v>
                </c:pt>
                <c:pt idx="58">
                  <c:v>Nov.21</c:v>
                </c:pt>
                <c:pt idx="59">
                  <c:v>Dec.21</c:v>
                </c:pt>
              </c:strCache>
            </c:strRef>
          </c:cat>
          <c:val>
            <c:numRef>
              <c:f>'Production Tracking 2017-2023'!$C$4:$BJ$4</c:f>
              <c:numCache>
                <c:formatCode>#,##0</c:formatCode>
                <c:ptCount val="60"/>
                <c:pt idx="0">
                  <c:v>89516</c:v>
                </c:pt>
                <c:pt idx="1">
                  <c:v>72339</c:v>
                </c:pt>
                <c:pt idx="2">
                  <c:v>99667</c:v>
                </c:pt>
                <c:pt idx="3">
                  <c:v>73730</c:v>
                </c:pt>
                <c:pt idx="4">
                  <c:v>79730</c:v>
                </c:pt>
                <c:pt idx="5">
                  <c:v>94040</c:v>
                </c:pt>
                <c:pt idx="6">
                  <c:v>111800</c:v>
                </c:pt>
                <c:pt idx="7">
                  <c:v>91995</c:v>
                </c:pt>
                <c:pt idx="8">
                  <c:v>63627</c:v>
                </c:pt>
                <c:pt idx="9">
                  <c:v>91544</c:v>
                </c:pt>
                <c:pt idx="10">
                  <c:v>111521</c:v>
                </c:pt>
                <c:pt idx="11">
                  <c:v>108506</c:v>
                </c:pt>
                <c:pt idx="12">
                  <c:v>109795.5</c:v>
                </c:pt>
                <c:pt idx="13">
                  <c:v>101288</c:v>
                </c:pt>
                <c:pt idx="14">
                  <c:v>99442.25</c:v>
                </c:pt>
                <c:pt idx="15">
                  <c:v>96663</c:v>
                </c:pt>
                <c:pt idx="16">
                  <c:v>83629.5</c:v>
                </c:pt>
                <c:pt idx="17">
                  <c:v>99606</c:v>
                </c:pt>
                <c:pt idx="18">
                  <c:v>129521.75</c:v>
                </c:pt>
                <c:pt idx="19">
                  <c:v>82933.5</c:v>
                </c:pt>
                <c:pt idx="20">
                  <c:v>117359.25</c:v>
                </c:pt>
                <c:pt idx="21">
                  <c:v>117359.25</c:v>
                </c:pt>
                <c:pt idx="22">
                  <c:v>126011.25</c:v>
                </c:pt>
                <c:pt idx="23">
                  <c:v>123183.5</c:v>
                </c:pt>
                <c:pt idx="24">
                  <c:v>109795.5</c:v>
                </c:pt>
                <c:pt idx="25">
                  <c:v>102642.25</c:v>
                </c:pt>
                <c:pt idx="26">
                  <c:v>100422</c:v>
                </c:pt>
                <c:pt idx="27">
                  <c:v>107426</c:v>
                </c:pt>
                <c:pt idx="28">
                  <c:v>130608.25</c:v>
                </c:pt>
                <c:pt idx="29">
                  <c:v>108026</c:v>
                </c:pt>
                <c:pt idx="30">
                  <c:v>122557.75</c:v>
                </c:pt>
                <c:pt idx="31">
                  <c:v>110083.5</c:v>
                </c:pt>
                <c:pt idx="32">
                  <c:v>114636.5</c:v>
                </c:pt>
                <c:pt idx="33">
                  <c:v>86736.5</c:v>
                </c:pt>
                <c:pt idx="34">
                  <c:v>132825.25</c:v>
                </c:pt>
                <c:pt idx="35">
                  <c:v>112110.5</c:v>
                </c:pt>
                <c:pt idx="36">
                  <c:v>103570.5</c:v>
                </c:pt>
                <c:pt idx="37">
                  <c:v>117954.75</c:v>
                </c:pt>
                <c:pt idx="38">
                  <c:v>107875</c:v>
                </c:pt>
                <c:pt idx="39">
                  <c:v>23477</c:v>
                </c:pt>
                <c:pt idx="40">
                  <c:v>73810</c:v>
                </c:pt>
                <c:pt idx="41">
                  <c:v>79649.75</c:v>
                </c:pt>
                <c:pt idx="42">
                  <c:v>143268</c:v>
                </c:pt>
                <c:pt idx="43">
                  <c:v>114702</c:v>
                </c:pt>
                <c:pt idx="44">
                  <c:v>92384.25</c:v>
                </c:pt>
                <c:pt idx="45">
                  <c:v>130410.75</c:v>
                </c:pt>
                <c:pt idx="46">
                  <c:v>118118.25</c:v>
                </c:pt>
                <c:pt idx="47">
                  <c:v>132500.25</c:v>
                </c:pt>
                <c:pt idx="48">
                  <c:v>130851</c:v>
                </c:pt>
                <c:pt idx="49">
                  <c:v>115400</c:v>
                </c:pt>
                <c:pt idx="50">
                  <c:v>106167.25</c:v>
                </c:pt>
                <c:pt idx="51">
                  <c:v>96215</c:v>
                </c:pt>
                <c:pt idx="52">
                  <c:v>98220</c:v>
                </c:pt>
                <c:pt idx="53">
                  <c:v>95771.25</c:v>
                </c:pt>
                <c:pt idx="54">
                  <c:v>114160.5</c:v>
                </c:pt>
                <c:pt idx="55">
                  <c:v>92841.5</c:v>
                </c:pt>
                <c:pt idx="56">
                  <c:v>75387</c:v>
                </c:pt>
                <c:pt idx="57">
                  <c:v>79036</c:v>
                </c:pt>
                <c:pt idx="58">
                  <c:v>125333.5</c:v>
                </c:pt>
                <c:pt idx="59">
                  <c:v>126255</c:v>
                </c:pt>
              </c:numCache>
            </c:numRef>
          </c:val>
          <c:smooth val="0"/>
          <c:extLst>
            <c:ext xmlns:c16="http://schemas.microsoft.com/office/drawing/2014/chart" uri="{C3380CC4-5D6E-409C-BE32-E72D297353CC}">
              <c16:uniqueId val="{00000000-90B8-4E81-A7BA-871E5BA60C4E}"/>
            </c:ext>
          </c:extLst>
        </c:ser>
        <c:dLbls>
          <c:showLegendKey val="0"/>
          <c:showVal val="0"/>
          <c:showCatName val="0"/>
          <c:showSerName val="0"/>
          <c:showPercent val="0"/>
          <c:showBubbleSize val="0"/>
        </c:dLbls>
        <c:marker val="1"/>
        <c:smooth val="0"/>
        <c:axId val="53979456"/>
        <c:axId val="1"/>
      </c:lineChart>
      <c:catAx>
        <c:axId val="5397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1600" b="1"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800" b="1" i="0" u="none" strike="noStrike" baseline="0">
                    <a:solidFill>
                      <a:srgbClr val="000000"/>
                    </a:solidFill>
                    <a:latin typeface="Calibri"/>
                    <a:ea typeface="Calibri"/>
                    <a:cs typeface="Calibri"/>
                  </a:defRPr>
                </a:pPr>
                <a:r>
                  <a:rPr lang="en-US"/>
                  <a:t>Cases</a:t>
                </a:r>
              </a:p>
            </c:rich>
          </c:tx>
          <c:overlay val="0"/>
        </c:title>
        <c:numFmt formatCode="#,##0" sourceLinked="1"/>
        <c:majorTickMark val="none"/>
        <c:minorTickMark val="none"/>
        <c:tickLblPos val="nextTo"/>
        <c:txPr>
          <a:bodyPr rot="0" vert="horz"/>
          <a:lstStyle/>
          <a:p>
            <a:pPr>
              <a:defRPr sz="1200" b="1" i="0" u="none" strike="noStrike" baseline="0">
                <a:solidFill>
                  <a:srgbClr val="333333"/>
                </a:solidFill>
                <a:latin typeface="Calibri"/>
                <a:ea typeface="Calibri"/>
                <a:cs typeface="Calibri"/>
              </a:defRPr>
            </a:pPr>
            <a:endParaRPr lang="en-US"/>
          </a:p>
        </c:txPr>
        <c:crossAx val="53979456"/>
        <c:crosses val="autoZero"/>
        <c:crossBetween val="between"/>
      </c:valAx>
      <c:dTable>
        <c:showHorzBorder val="1"/>
        <c:showVertBorder val="1"/>
        <c:showOutline val="1"/>
        <c:showKeys val="1"/>
        <c:txPr>
          <a:bodyPr/>
          <a:lstStyle/>
          <a:p>
            <a:pPr>
              <a:defRPr sz="1000" b="0" i="0" u="none" strike="noStrike" baseline="0">
                <a:solidFill>
                  <a:srgbClr val="000000"/>
                </a:solidFill>
                <a:latin typeface="Calibri"/>
                <a:ea typeface="Calibri"/>
                <a:cs typeface="Calibri"/>
              </a:defRPr>
            </a:pPr>
            <a:endParaRPr lang="en-US"/>
          </a:p>
        </c:txPr>
      </c:dTable>
      <c:spPr>
        <a:noFill/>
        <a:ln w="25400">
          <a:noFill/>
        </a:ln>
      </c:spPr>
    </c:plotArea>
    <c:plotVisOnly val="1"/>
    <c:dispBlanksAs val="gap"/>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6877050</xdr:colOff>
      <xdr:row>8</xdr:row>
      <xdr:rowOff>5362575</xdr:rowOff>
    </xdr:from>
    <xdr:to>
      <xdr:col>61</xdr:col>
      <xdr:colOff>6896100</xdr:colOff>
      <xdr:row>36</xdr:row>
      <xdr:rowOff>-6600825</xdr:rowOff>
    </xdr:to>
    <xdr:graphicFrame macro="">
      <xdr:nvGraphicFramePr>
        <xdr:cNvPr id="24197208" name="Chart 1">
          <a:extLst>
            <a:ext uri="{FF2B5EF4-FFF2-40B4-BE49-F238E27FC236}">
              <a16:creationId xmlns:a16="http://schemas.microsoft.com/office/drawing/2014/main" id="{BC1EAD92-D163-47F0-7C2B-5FB3969AA7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O:\Forsyth\Bottling%20Reports%20'26\Gross_Efficiency_2026.xlsx" TargetMode="External"/><Relationship Id="rId1" Type="http://schemas.openxmlformats.org/officeDocument/2006/relationships/externalLinkPath" Target="Gross_Efficiency_202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O:\Forsyth\Bottling%20Reports%20'26\GBL_Line_Downtime_2026.xlsx" TargetMode="External"/><Relationship Id="rId1" Type="http://schemas.openxmlformats.org/officeDocument/2006/relationships/externalLinkPath" Target="GBL_Line_Downtime_202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nsamcal-my.sharepoint.com/personal/royd_gilbert_caribbrewery_com/Documents/Microsoft%20Teams%20Chat%20Files/Gross_Efficiency_2017%20-%20ADJUSTED.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ansamcal-my.sharepoint.com/personal/royd_gilbert_caribbrewery_com/Documents/Microsoft%20Teams%20Chat%20Files/GBL_Line_Downtime_201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ansamcal-my.sharepoint.com/personal/royd_gilbert_caribbrewery_com/Documents/Microsoft%20Teams%20Chat%20Files/EBI_Rejection_Tracking_2017.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gren-dc\operations\Forsyth\Bottling%20Reports%20'16\GBL_Line_Downtime_2016.xls"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Bottling%20Reports%20'25/Gross_Efficiency_2025.xlsx" TargetMode="External"/><Relationship Id="rId2" Type="http://schemas.openxmlformats.org/officeDocument/2006/relationships/externalLinkPath" Target="file:///O:\Forsyth\Bottling%20Reports%20'25\Gross_Efficiency_2025.xlsx" TargetMode="External"/><Relationship Id="rId1" Type="http://schemas.openxmlformats.org/officeDocument/2006/relationships/externalLinkPath" Target="/Forsyth/Bottling%20Reports%20'25/Gross_Efficiency_2025.xlsx" TargetMode="External"/></Relationships>
</file>

<file path=xl/externalLinks/_rels/externalLink8.xml.rels><?xml version="1.0" encoding="UTF-8" standalone="yes"?>
<Relationships xmlns="http://schemas.openxmlformats.org/package/2006/relationships"><Relationship Id="rId3" Type="http://schemas.openxmlformats.org/officeDocument/2006/relationships/externalLinkPath" Target="../Bottling%20Reports%20'25/GBL_Line_Downtime_2025.xlsx" TargetMode="External"/><Relationship Id="rId2" Type="http://schemas.openxmlformats.org/officeDocument/2006/relationships/externalLinkPath" Target="file:///O:\Forsyth\Bottling%20Reports%20'25\GBL_Line_Downtime_2025.xlsx" TargetMode="External"/><Relationship Id="rId1" Type="http://schemas.openxmlformats.org/officeDocument/2006/relationships/externalLinkPath" Target="/Forsyth/Bottling%20Reports%20'25/GBL_Line_Downtime_2025.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ansamcal-my.sharepoint.com/personal/royd_gilbert_caribbrewery_com/Documents/Microsoft%20Teams%20Chat%20Files/EBI_Rejection_Tracking_202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ansamcal-my.sharepoint.com/personal/royd_gilbert_caribbrewery_com/Documents/Microsoft%20Teams%20Chat%20Files/Copy%20of%20GBL_Line_Downtime_2024%20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F:\Operations\Delano%20KPI's\Operations_KPI_202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Operations\Delano%20KPI's\Operations_KPI_2021.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Delano/CBG%20SCTCM%20Reporting/2021%20SCTCM%20Reporting/CBG%20Quarterly%202021%20Production%20Figures.xlsx" TargetMode="External"/><Relationship Id="rId1" Type="http://schemas.openxmlformats.org/officeDocument/2006/relationships/externalLinkPath" Target="/Delano/CBG%20SCTCM%20Reporting/2021%20SCTCM%20Reporting/CBG%20Quarterly%202021%20Production%20Figures.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Delano/CBG%20SCTCM%20Reporting/2023%20SCTCM%20Reporting/CBG%20Quarterly%202023%20Production%20Figures.xlsx" TargetMode="External"/><Relationship Id="rId1" Type="http://schemas.openxmlformats.org/officeDocument/2006/relationships/externalLinkPath" Target="/Delano/CBG%20SCTCM%20Reporting/2023%20SCTCM%20Reporting/CBG%20Quarterly%202023%20Production%20Figures.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Delano/CBG%20SCTCM%20Reporting/2024%20SCTCM%20Reporting/CBG%20Quarterly%202024%20Production%20Figures.xlsx" TargetMode="External"/><Relationship Id="rId1" Type="http://schemas.openxmlformats.org/officeDocument/2006/relationships/externalLinkPath" Target="/Delano/CBG%20SCTCM%20Reporting/2024%20SCTCM%20Reporting/CBG%20Quarterly%202024%20Production%20Figures.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ansamcal-my.sharepoint.com/personal/royd_gilbert_caribbrewery_com/Documents/Microsoft%20Teams%20Chat%20Files/Gross_Efficiency_2016%20-%20ADJUSTED.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ansamcal-my.sharepoint.com/personal/royd_gilbert_caribbrewery_com/Documents/Microsoft%20Teams%20Chat%20Files/Gross_Efficiency_2016%20-%20ADJUSTED.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ansamcal-my.sharepoint.com/personal/royd_gilbert_caribbrewery_com/Documents/Microsoft%20Teams%20Chat%20Files/EBI_Rejection_Tracking_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January_2026"/>
      <sheetName val="February_2026"/>
      <sheetName val="March_2026"/>
      <sheetName val="April_2026 "/>
      <sheetName val="May_2026"/>
      <sheetName val="June_2026"/>
      <sheetName val="July_2026"/>
      <sheetName val="August_2026"/>
      <sheetName val="September_206"/>
      <sheetName val="October_2026"/>
      <sheetName val="November_2026"/>
      <sheetName val="December_2026"/>
    </sheetNames>
    <sheetDataSet>
      <sheetData sheetId="0">
        <row r="8">
          <cell r="B8">
            <v>46024</v>
          </cell>
          <cell r="D8" t="str">
            <v>CARIB AMBER</v>
          </cell>
          <cell r="E8">
            <v>790</v>
          </cell>
          <cell r="F8">
            <v>559</v>
          </cell>
          <cell r="G8">
            <v>3360</v>
          </cell>
          <cell r="I8">
            <v>139</v>
          </cell>
          <cell r="J8">
            <v>227.20000000000002</v>
          </cell>
          <cell r="K8">
            <v>221.76000000000002</v>
          </cell>
          <cell r="M8">
            <v>276</v>
          </cell>
          <cell r="N8">
            <v>4</v>
          </cell>
          <cell r="P8">
            <v>2.3943661971830976</v>
          </cell>
          <cell r="Q8">
            <v>255.18987341772154</v>
          </cell>
        </row>
        <row r="9">
          <cell r="B9">
            <v>46027</v>
          </cell>
          <cell r="D9" t="str">
            <v>CARIB AMBER</v>
          </cell>
          <cell r="E9">
            <v>1330</v>
          </cell>
          <cell r="F9">
            <v>160</v>
          </cell>
          <cell r="G9">
            <v>20</v>
          </cell>
          <cell r="J9">
            <v>1.3999999999999915</v>
          </cell>
          <cell r="K9">
            <v>1.32</v>
          </cell>
          <cell r="M9">
            <v>1358</v>
          </cell>
          <cell r="P9">
            <v>5.7142857142851353</v>
          </cell>
          <cell r="Q9">
            <v>0.90225563909774431</v>
          </cell>
        </row>
        <row r="10">
          <cell r="B10">
            <v>46028</v>
          </cell>
          <cell r="D10" t="str">
            <v>EBI/FILLER COMMUNICATION BREAKDOWN</v>
          </cell>
          <cell r="F10">
            <v>0</v>
          </cell>
          <cell r="K10">
            <v>0</v>
          </cell>
          <cell r="M10">
            <v>1440</v>
          </cell>
        </row>
        <row r="11">
          <cell r="B11">
            <v>46029</v>
          </cell>
          <cell r="D11" t="str">
            <v>EBI/FILLER COMMUNICATION BREAKDOWN</v>
          </cell>
          <cell r="F11">
            <v>0</v>
          </cell>
          <cell r="K11">
            <v>0</v>
          </cell>
          <cell r="M11">
            <v>1440</v>
          </cell>
        </row>
        <row r="12">
          <cell r="B12">
            <v>46030</v>
          </cell>
          <cell r="D12" t="str">
            <v>CARIB AMBER</v>
          </cell>
          <cell r="E12">
            <v>1440</v>
          </cell>
          <cell r="F12">
            <v>271</v>
          </cell>
          <cell r="G12">
            <v>1563</v>
          </cell>
          <cell r="J12">
            <v>103.94999999999999</v>
          </cell>
          <cell r="K12">
            <v>103.158</v>
          </cell>
          <cell r="M12">
            <v>1264</v>
          </cell>
          <cell r="N12">
            <v>4</v>
          </cell>
          <cell r="P12">
            <v>0.76190476190474987</v>
          </cell>
          <cell r="Q12">
            <v>65.125</v>
          </cell>
        </row>
        <row r="13">
          <cell r="B13">
            <v>46031</v>
          </cell>
          <cell r="D13" t="str">
            <v>CARIB AMBER</v>
          </cell>
          <cell r="E13">
            <v>1185</v>
          </cell>
          <cell r="F13">
            <v>633</v>
          </cell>
          <cell r="G13">
            <v>3640</v>
          </cell>
          <cell r="J13">
            <v>249.60000000000002</v>
          </cell>
          <cell r="K13">
            <v>240.24</v>
          </cell>
          <cell r="M13">
            <v>304</v>
          </cell>
          <cell r="N13">
            <v>22</v>
          </cell>
          <cell r="P13">
            <v>3.7500000000000053</v>
          </cell>
          <cell r="Q13">
            <v>184.30379746835442</v>
          </cell>
        </row>
        <row r="14">
          <cell r="B14">
            <v>46031</v>
          </cell>
          <cell r="D14" t="str">
            <v>STAR MALT</v>
          </cell>
          <cell r="F14">
            <v>341</v>
          </cell>
          <cell r="G14">
            <v>2559</v>
          </cell>
          <cell r="J14">
            <v>175.3</v>
          </cell>
          <cell r="K14">
            <v>168.89400000000001</v>
          </cell>
          <cell r="M14">
            <v>136</v>
          </cell>
          <cell r="N14">
            <v>7</v>
          </cell>
          <cell r="P14">
            <v>3.6543069024529409</v>
          </cell>
          <cell r="Q14">
            <v>129.56962025316454</v>
          </cell>
        </row>
        <row r="15">
          <cell r="B15">
            <v>46032</v>
          </cell>
          <cell r="D15" t="str">
            <v>STAR MALT</v>
          </cell>
          <cell r="E15">
            <v>400</v>
          </cell>
          <cell r="F15">
            <v>331</v>
          </cell>
          <cell r="G15">
            <v>2577</v>
          </cell>
          <cell r="J15">
            <v>175.89999999999998</v>
          </cell>
          <cell r="K15">
            <v>170.08200000000002</v>
          </cell>
          <cell r="M15">
            <v>107</v>
          </cell>
          <cell r="N15">
            <v>32</v>
          </cell>
          <cell r="P15">
            <v>3.3075611142694465</v>
          </cell>
          <cell r="Q15">
            <v>386.54999999999995</v>
          </cell>
        </row>
        <row r="16">
          <cell r="B16">
            <v>46034</v>
          </cell>
          <cell r="D16" t="str">
            <v>VITA MALT ( CLASSIC)</v>
          </cell>
          <cell r="E16">
            <v>1380</v>
          </cell>
          <cell r="F16">
            <v>375</v>
          </cell>
          <cell r="G16">
            <v>2656</v>
          </cell>
          <cell r="J16">
            <v>188.3</v>
          </cell>
          <cell r="K16">
            <v>188.04480000000001</v>
          </cell>
          <cell r="M16">
            <v>191</v>
          </cell>
          <cell r="N16">
            <v>5</v>
          </cell>
          <cell r="P16">
            <v>0.13552841210833885</v>
          </cell>
          <cell r="Q16">
            <v>115.47826086956522</v>
          </cell>
        </row>
        <row r="17">
          <cell r="B17">
            <v>46034</v>
          </cell>
          <cell r="D17" t="str">
            <v>STAR MALT</v>
          </cell>
          <cell r="F17">
            <v>369</v>
          </cell>
          <cell r="G17">
            <v>2263</v>
          </cell>
          <cell r="I17">
            <v>1517</v>
          </cell>
          <cell r="J17">
            <v>153</v>
          </cell>
          <cell r="K17">
            <v>149.358</v>
          </cell>
          <cell r="M17">
            <v>273</v>
          </cell>
          <cell r="N17">
            <v>14</v>
          </cell>
          <cell r="P17">
            <v>2.3803921568627424</v>
          </cell>
          <cell r="Q17">
            <v>98.391304347826093</v>
          </cell>
        </row>
        <row r="18">
          <cell r="B18">
            <v>46034</v>
          </cell>
          <cell r="D18" t="str">
            <v>STAG</v>
          </cell>
          <cell r="F18">
            <v>78</v>
          </cell>
          <cell r="G18">
            <v>750</v>
          </cell>
          <cell r="J18">
            <v>52</v>
          </cell>
          <cell r="K18">
            <v>49.5</v>
          </cell>
          <cell r="M18">
            <v>114</v>
          </cell>
          <cell r="N18">
            <v>2</v>
          </cell>
          <cell r="P18">
            <v>4.8076923076923084</v>
          </cell>
          <cell r="Q18">
            <v>32.608695652173914</v>
          </cell>
        </row>
        <row r="19">
          <cell r="B19">
            <v>46035</v>
          </cell>
          <cell r="D19" t="str">
            <v>STAG</v>
          </cell>
          <cell r="E19">
            <v>1440</v>
          </cell>
          <cell r="F19">
            <v>861</v>
          </cell>
          <cell r="G19">
            <v>4764</v>
          </cell>
          <cell r="J19">
            <v>319.89999999999998</v>
          </cell>
          <cell r="K19">
            <v>314.42400000000004</v>
          </cell>
          <cell r="M19">
            <v>273</v>
          </cell>
          <cell r="N19">
            <v>11</v>
          </cell>
          <cell r="P19">
            <v>1.7117849327914794</v>
          </cell>
          <cell r="Q19">
            <v>198.5</v>
          </cell>
        </row>
        <row r="20">
          <cell r="B20">
            <v>46035</v>
          </cell>
          <cell r="D20" t="str">
            <v>CARIB AMBER</v>
          </cell>
          <cell r="F20">
            <v>496</v>
          </cell>
          <cell r="G20">
            <v>2780</v>
          </cell>
          <cell r="J20">
            <v>189</v>
          </cell>
          <cell r="K20">
            <v>183.48000000000002</v>
          </cell>
          <cell r="M20">
            <v>181</v>
          </cell>
          <cell r="N20">
            <v>7</v>
          </cell>
          <cell r="P20">
            <v>2.9206349206349111</v>
          </cell>
          <cell r="Q20">
            <v>115.83333333333333</v>
          </cell>
        </row>
        <row r="21">
          <cell r="B21">
            <v>46036</v>
          </cell>
          <cell r="D21" t="str">
            <v>CARIB AMBER</v>
          </cell>
          <cell r="E21">
            <v>1428</v>
          </cell>
          <cell r="F21">
            <v>278</v>
          </cell>
          <cell r="G21">
            <v>2070</v>
          </cell>
          <cell r="J21">
            <v>139.4</v>
          </cell>
          <cell r="K21">
            <v>136.62</v>
          </cell>
          <cell r="M21">
            <v>55</v>
          </cell>
          <cell r="N21">
            <v>10</v>
          </cell>
          <cell r="P21">
            <v>1.9942611190817798</v>
          </cell>
          <cell r="Q21">
            <v>86.25</v>
          </cell>
        </row>
        <row r="22">
          <cell r="B22">
            <v>46036</v>
          </cell>
          <cell r="D22" t="str">
            <v>STAG</v>
          </cell>
          <cell r="F22">
            <v>949</v>
          </cell>
          <cell r="G22">
            <v>5326</v>
          </cell>
          <cell r="J22">
            <v>358.40000000000003</v>
          </cell>
          <cell r="K22">
            <v>353.416</v>
          </cell>
          <cell r="M22">
            <v>381</v>
          </cell>
          <cell r="N22">
            <v>20</v>
          </cell>
          <cell r="P22">
            <v>1.3906250000000102</v>
          </cell>
          <cell r="Q22">
            <v>223.781512605042</v>
          </cell>
        </row>
        <row r="23">
          <cell r="B23">
            <v>46037</v>
          </cell>
          <cell r="D23" t="str">
            <v>MACKESON</v>
          </cell>
          <cell r="E23">
            <v>1408</v>
          </cell>
          <cell r="F23">
            <v>965</v>
          </cell>
          <cell r="G23">
            <v>5765</v>
          </cell>
          <cell r="J23">
            <v>386.2</v>
          </cell>
          <cell r="K23">
            <v>380.49</v>
          </cell>
          <cell r="M23">
            <v>268</v>
          </cell>
          <cell r="N23">
            <v>20</v>
          </cell>
          <cell r="P23">
            <v>1.4785085447954376</v>
          </cell>
          <cell r="Q23">
            <v>245.66761363636365</v>
          </cell>
        </row>
        <row r="24">
          <cell r="B24">
            <v>46037</v>
          </cell>
          <cell r="D24" t="str">
            <v>SHANDY SORREL (LOC)</v>
          </cell>
          <cell r="F24">
            <v>252</v>
          </cell>
          <cell r="G24">
            <v>1323</v>
          </cell>
          <cell r="J24">
            <v>90.6</v>
          </cell>
          <cell r="K24">
            <v>87.317999999999998</v>
          </cell>
          <cell r="M24">
            <v>168</v>
          </cell>
          <cell r="N24">
            <v>10</v>
          </cell>
          <cell r="P24">
            <v>3.6225165562913872</v>
          </cell>
          <cell r="Q24">
            <v>56.377840909090914</v>
          </cell>
        </row>
        <row r="25">
          <cell r="B25">
            <v>46038</v>
          </cell>
          <cell r="D25" t="str">
            <v>TING( GREEN)</v>
          </cell>
          <cell r="E25">
            <v>1230</v>
          </cell>
          <cell r="F25">
            <v>311</v>
          </cell>
          <cell r="G25">
            <v>1792</v>
          </cell>
          <cell r="J25">
            <v>120.63744000000001</v>
          </cell>
          <cell r="K25">
            <v>118.27200000000001</v>
          </cell>
          <cell r="M25">
            <v>188</v>
          </cell>
          <cell r="N25">
            <v>7</v>
          </cell>
          <cell r="P25">
            <v>1.9607843137254954</v>
          </cell>
          <cell r="Q25">
            <v>87.41463414634147</v>
          </cell>
        </row>
        <row r="26">
          <cell r="B26">
            <v>46038</v>
          </cell>
          <cell r="D26" t="str">
            <v>CARIB AMBER</v>
          </cell>
          <cell r="F26">
            <v>731</v>
          </cell>
          <cell r="G26">
            <v>4642</v>
          </cell>
          <cell r="J26">
            <v>312.39999999999998</v>
          </cell>
          <cell r="K26">
            <v>306.37200000000001</v>
          </cell>
          <cell r="M26">
            <v>242</v>
          </cell>
          <cell r="N26">
            <v>10</v>
          </cell>
          <cell r="P26">
            <v>1.9295774647887207</v>
          </cell>
          <cell r="Q26">
            <v>197.8125</v>
          </cell>
        </row>
        <row r="27">
          <cell r="B27">
            <v>46041</v>
          </cell>
          <cell r="D27" t="str">
            <v>CARIB AMBER</v>
          </cell>
          <cell r="E27">
            <v>1380</v>
          </cell>
          <cell r="F27">
            <v>736</v>
          </cell>
          <cell r="G27">
            <v>5919</v>
          </cell>
          <cell r="J27">
            <v>404.1</v>
          </cell>
          <cell r="K27">
            <v>397.30399999999997</v>
          </cell>
          <cell r="M27">
            <v>279</v>
          </cell>
          <cell r="N27">
            <v>12</v>
          </cell>
          <cell r="P27">
            <v>1.6817619401138451</v>
          </cell>
          <cell r="Q27">
            <v>257.3478260869565</v>
          </cell>
        </row>
        <row r="28">
          <cell r="B28">
            <v>46041</v>
          </cell>
          <cell r="D28" t="str">
            <v>STAG</v>
          </cell>
          <cell r="F28">
            <v>295</v>
          </cell>
          <cell r="G28">
            <v>2049</v>
          </cell>
          <cell r="J28">
            <v>137.30000000000001</v>
          </cell>
          <cell r="K28">
            <v>135.23400000000001</v>
          </cell>
          <cell r="M28">
            <v>86</v>
          </cell>
          <cell r="P28">
            <v>1.5047341587764038</v>
          </cell>
          <cell r="Q28">
            <v>89.086956521739125</v>
          </cell>
        </row>
        <row r="29">
          <cell r="B29">
            <v>46042</v>
          </cell>
          <cell r="D29" t="str">
            <v>STAG</v>
          </cell>
          <cell r="E29">
            <v>1435</v>
          </cell>
          <cell r="F29">
            <v>588</v>
          </cell>
          <cell r="G29">
            <v>3528</v>
          </cell>
          <cell r="J29">
            <v>235.6</v>
          </cell>
          <cell r="K29">
            <v>232.84800000000001</v>
          </cell>
          <cell r="M29">
            <v>147</v>
          </cell>
          <cell r="N29">
            <v>10</v>
          </cell>
          <cell r="P29">
            <v>1.1680814940577169</v>
          </cell>
          <cell r="Q29">
            <v>147.51219512195121</v>
          </cell>
        </row>
        <row r="30">
          <cell r="B30">
            <v>46042</v>
          </cell>
          <cell r="D30" t="str">
            <v>GINSENG UP (ORG)</v>
          </cell>
          <cell r="F30">
            <v>572</v>
          </cell>
          <cell r="G30">
            <v>3008</v>
          </cell>
          <cell r="I30">
            <v>3</v>
          </cell>
          <cell r="J30">
            <v>202.3</v>
          </cell>
          <cell r="K30">
            <v>198.52800000000002</v>
          </cell>
          <cell r="M30">
            <v>184</v>
          </cell>
          <cell r="N30">
            <v>11</v>
          </cell>
          <cell r="P30">
            <v>1.8645575877409744</v>
          </cell>
          <cell r="Q30">
            <v>125.77003484320556</v>
          </cell>
        </row>
        <row r="31">
          <cell r="B31">
            <v>46043</v>
          </cell>
          <cell r="D31" t="str">
            <v>SODA WATER</v>
          </cell>
          <cell r="E31">
            <v>1440</v>
          </cell>
          <cell r="F31">
            <v>62</v>
          </cell>
          <cell r="G31">
            <v>417</v>
          </cell>
          <cell r="J31">
            <v>27.522000000000002</v>
          </cell>
          <cell r="K31">
            <v>27.522000000000002</v>
          </cell>
          <cell r="M31">
            <v>199</v>
          </cell>
          <cell r="N31">
            <v>6</v>
          </cell>
          <cell r="P31">
            <v>0</v>
          </cell>
          <cell r="Q31">
            <v>17.375</v>
          </cell>
        </row>
        <row r="32">
          <cell r="B32">
            <v>46043</v>
          </cell>
          <cell r="D32" t="str">
            <v>KOLA CHAMP J.COOL</v>
          </cell>
          <cell r="F32">
            <v>665</v>
          </cell>
          <cell r="G32">
            <v>1335</v>
          </cell>
          <cell r="J32">
            <v>92.4</v>
          </cell>
          <cell r="K32">
            <v>88.11</v>
          </cell>
          <cell r="M32">
            <v>293</v>
          </cell>
          <cell r="N32">
            <v>14</v>
          </cell>
          <cell r="P32">
            <v>4.6428571428571495</v>
          </cell>
          <cell r="Q32">
            <v>55.625</v>
          </cell>
        </row>
        <row r="33">
          <cell r="B33">
            <v>46043</v>
          </cell>
          <cell r="D33" t="str">
            <v xml:space="preserve">CREAM SODA </v>
          </cell>
          <cell r="F33">
            <v>311</v>
          </cell>
          <cell r="G33">
            <v>1328</v>
          </cell>
          <cell r="J33">
            <v>92.4</v>
          </cell>
          <cell r="K33">
            <v>87.64800000000001</v>
          </cell>
          <cell r="M33">
            <v>224</v>
          </cell>
          <cell r="N33">
            <v>10</v>
          </cell>
          <cell r="P33">
            <v>5.142857142857137</v>
          </cell>
          <cell r="Q33">
            <v>55.333333333333336</v>
          </cell>
        </row>
        <row r="34">
          <cell r="B34">
            <v>46043</v>
          </cell>
          <cell r="D34" t="str">
            <v>BANANA</v>
          </cell>
          <cell r="F34">
            <v>175</v>
          </cell>
          <cell r="G34">
            <v>455</v>
          </cell>
          <cell r="J34">
            <v>33</v>
          </cell>
          <cell r="K34">
            <v>30.03</v>
          </cell>
          <cell r="M34">
            <v>147</v>
          </cell>
          <cell r="N34">
            <v>16</v>
          </cell>
          <cell r="P34">
            <v>8.9999999999999964</v>
          </cell>
          <cell r="Q34">
            <v>18.958333333333332</v>
          </cell>
        </row>
        <row r="35">
          <cell r="B35">
            <v>46044</v>
          </cell>
          <cell r="D35" t="str">
            <v>NO PRODUCTION- LOW WATER PRESSURE</v>
          </cell>
          <cell r="K35">
            <v>0</v>
          </cell>
          <cell r="M35">
            <v>1440</v>
          </cell>
        </row>
        <row r="36">
          <cell r="B36">
            <v>46045</v>
          </cell>
          <cell r="D36" t="str">
            <v>BANANA J.COOL</v>
          </cell>
          <cell r="E36">
            <v>1221</v>
          </cell>
          <cell r="F36">
            <v>6</v>
          </cell>
          <cell r="G36">
            <v>13</v>
          </cell>
          <cell r="J36">
            <v>13.200000000000001</v>
          </cell>
          <cell r="K36">
            <v>0.8580000000000001</v>
          </cell>
          <cell r="M36">
            <v>398</v>
          </cell>
          <cell r="N36">
            <v>12</v>
          </cell>
          <cell r="P36">
            <v>93.5</v>
          </cell>
          <cell r="Q36">
            <v>0.63882063882063878</v>
          </cell>
        </row>
        <row r="37">
          <cell r="B37">
            <v>46045</v>
          </cell>
          <cell r="D37" t="str">
            <v>j COOL GINGER</v>
          </cell>
          <cell r="F37">
            <v>303</v>
          </cell>
          <cell r="G37">
            <v>1389</v>
          </cell>
          <cell r="J37">
            <v>92.4</v>
          </cell>
          <cell r="K37">
            <v>91.674000000000007</v>
          </cell>
          <cell r="M37">
            <v>234</v>
          </cell>
          <cell r="N37">
            <v>1</v>
          </cell>
          <cell r="P37">
            <v>0.7857142857142847</v>
          </cell>
          <cell r="Q37">
            <v>68.255528255528247</v>
          </cell>
        </row>
        <row r="38">
          <cell r="B38">
            <v>46045</v>
          </cell>
          <cell r="D38" t="str">
            <v xml:space="preserve">J COOL GRAPE </v>
          </cell>
          <cell r="F38">
            <v>170</v>
          </cell>
          <cell r="G38">
            <v>798</v>
          </cell>
          <cell r="J38">
            <v>52.800000000000004</v>
          </cell>
          <cell r="K38">
            <v>52.667999999999999</v>
          </cell>
          <cell r="M38">
            <v>73</v>
          </cell>
          <cell r="N38">
            <v>6</v>
          </cell>
          <cell r="P38">
            <v>0.25000000000000944</v>
          </cell>
          <cell r="Q38">
            <v>39.213759213759211</v>
          </cell>
        </row>
        <row r="39">
          <cell r="B39">
            <v>46045</v>
          </cell>
          <cell r="D39" t="str">
            <v>J COOL SORREL</v>
          </cell>
          <cell r="F39">
            <v>94</v>
          </cell>
          <cell r="G39">
            <v>637</v>
          </cell>
          <cell r="J39">
            <v>46.2</v>
          </cell>
          <cell r="K39">
            <v>42.042000000000002</v>
          </cell>
          <cell r="M39">
            <v>29</v>
          </cell>
          <cell r="N39">
            <v>2</v>
          </cell>
          <cell r="P39">
            <v>9.0000000000000018</v>
          </cell>
          <cell r="Q39">
            <v>31.302211302211301</v>
          </cell>
        </row>
        <row r="40">
          <cell r="B40">
            <v>46048</v>
          </cell>
          <cell r="D40" t="str">
            <v>J COOL SORREL</v>
          </cell>
          <cell r="E40">
            <v>1380</v>
          </cell>
          <cell r="F40">
            <v>91</v>
          </cell>
          <cell r="G40">
            <v>586</v>
          </cell>
          <cell r="J40">
            <v>46.2</v>
          </cell>
          <cell r="K40">
            <v>38.676000000000002</v>
          </cell>
          <cell r="M40">
            <v>49</v>
          </cell>
          <cell r="N40">
            <v>14</v>
          </cell>
          <cell r="P40">
            <v>16.285714285714288</v>
          </cell>
          <cell r="Q40">
            <v>28.796068796068795</v>
          </cell>
        </row>
        <row r="41">
          <cell r="B41">
            <v>46048</v>
          </cell>
          <cell r="D41" t="str">
            <v>CARIB AMBER</v>
          </cell>
          <cell r="F41">
            <v>1115</v>
          </cell>
          <cell r="G41">
            <v>1840</v>
          </cell>
          <cell r="J41">
            <v>129.19999999999999</v>
          </cell>
          <cell r="K41">
            <v>121.44000000000001</v>
          </cell>
          <cell r="M41">
            <v>955</v>
          </cell>
          <cell r="N41">
            <v>1</v>
          </cell>
          <cell r="P41">
            <v>6.0061919504643786</v>
          </cell>
          <cell r="Q41">
            <v>80</v>
          </cell>
        </row>
        <row r="42">
          <cell r="B42">
            <v>46049</v>
          </cell>
          <cell r="D42" t="str">
            <v>CARIB AMBER</v>
          </cell>
          <cell r="E42">
            <v>1435</v>
          </cell>
          <cell r="F42">
            <v>967</v>
          </cell>
          <cell r="G42">
            <v>6773</v>
          </cell>
          <cell r="J42">
            <v>449.90000000000003</v>
          </cell>
          <cell r="K42">
            <v>447.01800000000003</v>
          </cell>
          <cell r="M42">
            <v>189</v>
          </cell>
          <cell r="N42">
            <v>6</v>
          </cell>
          <cell r="P42">
            <v>0.64058679706601573</v>
          </cell>
          <cell r="Q42">
            <v>294.47826086956519</v>
          </cell>
        </row>
        <row r="43">
          <cell r="B43">
            <v>46049</v>
          </cell>
          <cell r="D43" t="str">
            <v>CIDER PEARSECCO (EXPORT)</v>
          </cell>
          <cell r="F43">
            <v>207</v>
          </cell>
          <cell r="G43">
            <v>933</v>
          </cell>
          <cell r="J43">
            <v>68.599999999999994</v>
          </cell>
          <cell r="K43">
            <v>61.578000000000003</v>
          </cell>
          <cell r="M43">
            <v>268</v>
          </cell>
          <cell r="N43">
            <v>4</v>
          </cell>
          <cell r="P43">
            <v>10.236151603498531</v>
          </cell>
          <cell r="Q43">
            <v>40.565217391304351</v>
          </cell>
        </row>
        <row r="44">
          <cell r="B44">
            <v>46050</v>
          </cell>
          <cell r="D44" t="str">
            <v>CIDER PEARSECCO</v>
          </cell>
          <cell r="E44">
            <v>1482</v>
          </cell>
          <cell r="F44">
            <v>400</v>
          </cell>
          <cell r="G44">
            <v>1782</v>
          </cell>
          <cell r="J44">
            <v>119.4</v>
          </cell>
          <cell r="K44">
            <v>117.61200000000001</v>
          </cell>
          <cell r="M44">
            <v>121</v>
          </cell>
          <cell r="N44">
            <v>4</v>
          </cell>
          <cell r="P44">
            <v>1.4974874371859268</v>
          </cell>
          <cell r="Q44">
            <v>72.145748987854248</v>
          </cell>
        </row>
        <row r="45">
          <cell r="B45">
            <v>46050</v>
          </cell>
          <cell r="D45" t="str">
            <v>CIDER ROSE (EXPORT)</v>
          </cell>
          <cell r="F45">
            <v>530</v>
          </cell>
          <cell r="G45">
            <v>2284</v>
          </cell>
          <cell r="J45">
            <v>197.10000000000002</v>
          </cell>
          <cell r="K45">
            <v>190.34400000000002</v>
          </cell>
          <cell r="M45">
            <v>216</v>
          </cell>
          <cell r="N45">
            <v>3</v>
          </cell>
          <cell r="P45">
            <v>3.4277016742770163</v>
          </cell>
          <cell r="Q45">
            <v>92.469635627530366</v>
          </cell>
        </row>
        <row r="46">
          <cell r="B46">
            <v>46050</v>
          </cell>
          <cell r="D46" t="str">
            <v>CIDER ROSE</v>
          </cell>
          <cell r="G46">
            <v>600</v>
          </cell>
        </row>
        <row r="47">
          <cell r="B47">
            <v>46050</v>
          </cell>
          <cell r="D47" t="str">
            <v>VITA MALT ( CLASSIC)</v>
          </cell>
          <cell r="F47">
            <v>296</v>
          </cell>
          <cell r="G47">
            <v>1533</v>
          </cell>
          <cell r="J47">
            <v>109.2</v>
          </cell>
          <cell r="K47">
            <v>108.5364</v>
          </cell>
          <cell r="M47">
            <v>173</v>
          </cell>
          <cell r="N47">
            <v>3</v>
          </cell>
          <cell r="P47">
            <v>0.60769230769230986</v>
          </cell>
          <cell r="Q47">
            <v>62.064777327935225</v>
          </cell>
        </row>
        <row r="48">
          <cell r="B48">
            <v>46051</v>
          </cell>
          <cell r="D48" t="str">
            <v>VITA MALT ( CLASSIC)</v>
          </cell>
          <cell r="E48">
            <v>1432</v>
          </cell>
          <cell r="F48">
            <v>495</v>
          </cell>
          <cell r="G48">
            <v>3171</v>
          </cell>
          <cell r="J48">
            <v>226.10000000000002</v>
          </cell>
          <cell r="K48">
            <v>224.5068</v>
          </cell>
          <cell r="M48">
            <v>78</v>
          </cell>
          <cell r="N48">
            <v>4</v>
          </cell>
          <cell r="P48">
            <v>0.70464396284830799</v>
          </cell>
          <cell r="Q48">
            <v>132.8631284916201</v>
          </cell>
        </row>
        <row r="49">
          <cell r="B49">
            <v>46051</v>
          </cell>
          <cell r="D49" t="str">
            <v>VITA MALT (GINGER)</v>
          </cell>
          <cell r="F49">
            <v>114</v>
          </cell>
          <cell r="G49">
            <v>701</v>
          </cell>
          <cell r="J49">
            <v>50</v>
          </cell>
          <cell r="K49">
            <v>49.630800000000001</v>
          </cell>
          <cell r="M49">
            <v>24</v>
          </cell>
          <cell r="N49">
            <v>5</v>
          </cell>
          <cell r="P49">
            <v>0.73839999999999861</v>
          </cell>
          <cell r="Q49">
            <v>29.371508379888269</v>
          </cell>
        </row>
        <row r="50">
          <cell r="B50">
            <v>46051</v>
          </cell>
          <cell r="D50" t="str">
            <v>GUINNESS</v>
          </cell>
          <cell r="F50">
            <v>525</v>
          </cell>
          <cell r="G50">
            <v>2956</v>
          </cell>
          <cell r="J50">
            <v>195.5</v>
          </cell>
          <cell r="K50">
            <v>195.096</v>
          </cell>
          <cell r="M50">
            <v>204</v>
          </cell>
          <cell r="N50">
            <v>12</v>
          </cell>
          <cell r="P50">
            <v>0.20664961636828461</v>
          </cell>
          <cell r="Q50">
            <v>123.85474860335195</v>
          </cell>
        </row>
        <row r="51">
          <cell r="B51">
            <v>46051</v>
          </cell>
          <cell r="D51" t="str">
            <v>CARIB AMBER</v>
          </cell>
          <cell r="F51">
            <v>60</v>
          </cell>
          <cell r="G51">
            <v>389</v>
          </cell>
          <cell r="J51">
            <v>26.500000000000014</v>
          </cell>
          <cell r="K51">
            <v>25.673999999999999</v>
          </cell>
          <cell r="M51">
            <v>72</v>
          </cell>
          <cell r="N51">
            <v>0</v>
          </cell>
          <cell r="P51">
            <v>3.1169811320755256</v>
          </cell>
          <cell r="Q51">
            <v>16.298882681564244</v>
          </cell>
        </row>
        <row r="52">
          <cell r="B52">
            <v>46052</v>
          </cell>
          <cell r="D52" t="str">
            <v>CARIB AMBER</v>
          </cell>
          <cell r="E52">
            <v>1250</v>
          </cell>
          <cell r="F52">
            <v>348</v>
          </cell>
          <cell r="G52">
            <v>2367</v>
          </cell>
          <cell r="J52">
            <v>159.80000000000001</v>
          </cell>
          <cell r="K52">
            <v>156.22200000000001</v>
          </cell>
          <cell r="M52">
            <v>57</v>
          </cell>
          <cell r="N52">
            <v>6</v>
          </cell>
          <cell r="P52">
            <v>2.239048811013769</v>
          </cell>
          <cell r="Q52">
            <v>113.616</v>
          </cell>
        </row>
        <row r="53">
          <cell r="B53">
            <v>46052</v>
          </cell>
          <cell r="D53" t="str">
            <v>STAG</v>
          </cell>
          <cell r="F53">
            <v>746</v>
          </cell>
          <cell r="G53">
            <v>4470</v>
          </cell>
          <cell r="J53">
            <v>300.09999999999997</v>
          </cell>
          <cell r="K53">
            <v>295.02000000000004</v>
          </cell>
          <cell r="M53">
            <v>224</v>
          </cell>
          <cell r="N53">
            <v>10</v>
          </cell>
          <cell r="P53">
            <v>1.6927690769743178</v>
          </cell>
          <cell r="Q53">
            <v>113.616</v>
          </cell>
        </row>
      </sheetData>
      <sheetData sheetId="1">
        <row r="8">
          <cell r="B8">
            <v>46055</v>
          </cell>
          <cell r="D8" t="str">
            <v>STAG</v>
          </cell>
          <cell r="E8">
            <v>1380</v>
          </cell>
          <cell r="F8">
            <v>354</v>
          </cell>
          <cell r="G8">
            <v>2653</v>
          </cell>
          <cell r="J8">
            <v>177.39999999999998</v>
          </cell>
          <cell r="K8">
            <v>175.09800000000001</v>
          </cell>
          <cell r="M8">
            <v>221</v>
          </cell>
          <cell r="N8">
            <v>5</v>
          </cell>
          <cell r="P8">
            <v>1.2976324689965977</v>
          </cell>
          <cell r="Q8">
            <v>115.34782608695652</v>
          </cell>
          <cell r="S8">
            <v>1.1221556886227543E-2</v>
          </cell>
        </row>
        <row r="9">
          <cell r="B9">
            <v>46055</v>
          </cell>
          <cell r="D9" t="str">
            <v>CARIB AMBER</v>
          </cell>
          <cell r="F9">
            <v>724</v>
          </cell>
          <cell r="G9">
            <v>5267</v>
          </cell>
          <cell r="J9">
            <v>354.59999999999997</v>
          </cell>
          <cell r="K9">
            <v>347.62200000000001</v>
          </cell>
          <cell r="M9">
            <v>166</v>
          </cell>
          <cell r="N9">
            <v>1</v>
          </cell>
          <cell r="P9">
            <v>1.9678510998307819</v>
          </cell>
          <cell r="Q9">
            <v>114.3646408839779</v>
          </cell>
          <cell r="S9">
            <v>1.5132428940568474E-2</v>
          </cell>
        </row>
        <row r="10">
          <cell r="B10">
            <v>46056</v>
          </cell>
          <cell r="D10" t="str">
            <v>CARIB AMBER</v>
          </cell>
          <cell r="E10">
            <v>1440</v>
          </cell>
          <cell r="F10">
            <v>1147</v>
          </cell>
          <cell r="G10">
            <v>8556</v>
          </cell>
          <cell r="J10">
            <v>574.30000000000007</v>
          </cell>
          <cell r="K10">
            <v>564.69600000000003</v>
          </cell>
          <cell r="M10">
            <v>433</v>
          </cell>
          <cell r="N10">
            <v>7</v>
          </cell>
          <cell r="P10">
            <v>1.6722967090370955</v>
          </cell>
          <cell r="Q10">
            <v>356.5</v>
          </cell>
          <cell r="S10">
            <v>4.5202835199968226E-2</v>
          </cell>
        </row>
        <row r="11">
          <cell r="B11">
            <v>46057</v>
          </cell>
          <cell r="D11" t="str">
            <v>CARIB FLINT ( EXP)</v>
          </cell>
          <cell r="E11">
            <v>1422</v>
          </cell>
          <cell r="F11">
            <v>711</v>
          </cell>
          <cell r="G11">
            <v>2804</v>
          </cell>
          <cell r="J11">
            <v>186.8</v>
          </cell>
          <cell r="K11">
            <v>185.06400000000002</v>
          </cell>
          <cell r="M11">
            <v>342</v>
          </cell>
          <cell r="N11">
            <v>12</v>
          </cell>
          <cell r="P11">
            <v>0.92933618843682542</v>
          </cell>
          <cell r="Q11">
            <v>118.31223628691984</v>
          </cell>
          <cell r="S11">
            <v>4.6256743333987591E-2</v>
          </cell>
        </row>
        <row r="12">
          <cell r="B12">
            <v>46057</v>
          </cell>
          <cell r="D12" t="str">
            <v>CARIBE ROSE</v>
          </cell>
          <cell r="F12">
            <v>489</v>
          </cell>
          <cell r="G12">
            <v>1568</v>
          </cell>
          <cell r="J12">
            <v>112.89999999999999</v>
          </cell>
          <cell r="K12">
            <v>103.488</v>
          </cell>
          <cell r="M12">
            <v>406</v>
          </cell>
          <cell r="N12">
            <v>0</v>
          </cell>
          <cell r="P12">
            <v>8.3365810451727125</v>
          </cell>
          <cell r="Q12">
            <v>66.160337552742618</v>
          </cell>
          <cell r="S12">
            <v>2.1540229885057469E-2</v>
          </cell>
        </row>
        <row r="13">
          <cell r="B13">
            <v>46058</v>
          </cell>
          <cell r="D13" t="str">
            <v>CARIBE ROSE</v>
          </cell>
          <cell r="E13">
            <v>1430</v>
          </cell>
          <cell r="F13">
            <v>144</v>
          </cell>
          <cell r="G13">
            <v>745</v>
          </cell>
          <cell r="J13">
            <v>49.3</v>
          </cell>
          <cell r="K13">
            <v>49.17</v>
          </cell>
          <cell r="M13">
            <v>68</v>
          </cell>
          <cell r="N13">
            <v>8</v>
          </cell>
          <cell r="P13">
            <v>0.26369168356997053</v>
          </cell>
          <cell r="Q13">
            <v>31.25874125874126</v>
          </cell>
          <cell r="S13">
            <v>1.6954161640530759E-2</v>
          </cell>
        </row>
        <row r="14">
          <cell r="B14">
            <v>46058</v>
          </cell>
          <cell r="D14" t="str">
            <v>GUINNESS</v>
          </cell>
          <cell r="F14">
            <v>718</v>
          </cell>
          <cell r="G14">
            <v>2789</v>
          </cell>
          <cell r="J14">
            <v>186</v>
          </cell>
          <cell r="K14">
            <v>184.07400000000001</v>
          </cell>
          <cell r="M14">
            <v>312</v>
          </cell>
          <cell r="N14">
            <v>12</v>
          </cell>
          <cell r="P14">
            <v>1.0354838709677354</v>
          </cell>
          <cell r="Q14">
            <v>117.02097902097903</v>
          </cell>
          <cell r="S14">
            <v>2.3555865921787707E-2</v>
          </cell>
        </row>
        <row r="15">
          <cell r="B15">
            <v>46058</v>
          </cell>
          <cell r="D15" t="str">
            <v>CARIB AMBER</v>
          </cell>
          <cell r="F15">
            <v>276</v>
          </cell>
          <cell r="G15">
            <v>1967</v>
          </cell>
          <cell r="J15">
            <v>133.60000000000002</v>
          </cell>
          <cell r="K15">
            <v>129.822</v>
          </cell>
          <cell r="M15">
            <v>181</v>
          </cell>
          <cell r="N15">
            <v>2</v>
          </cell>
          <cell r="P15">
            <v>2.8278443113772598</v>
          </cell>
          <cell r="Q15">
            <v>82.531468531468533</v>
          </cell>
          <cell r="S15">
            <v>1.2453482190324295E-2</v>
          </cell>
        </row>
        <row r="16">
          <cell r="B16">
            <v>46059</v>
          </cell>
          <cell r="D16" t="str">
            <v>CARIB AMBER</v>
          </cell>
          <cell r="E16">
            <v>1250</v>
          </cell>
          <cell r="F16">
            <v>940</v>
          </cell>
          <cell r="G16">
            <v>4736</v>
          </cell>
          <cell r="J16">
            <v>315.7</v>
          </cell>
          <cell r="K16">
            <v>312.57600000000002</v>
          </cell>
          <cell r="M16">
            <v>283</v>
          </cell>
          <cell r="N16">
            <v>4</v>
          </cell>
          <cell r="P16">
            <v>0.98954703832751567</v>
          </cell>
          <cell r="Q16">
            <v>227.328</v>
          </cell>
          <cell r="S16">
            <v>3.4392808018522257E-2</v>
          </cell>
        </row>
        <row r="17">
          <cell r="B17">
            <v>46059</v>
          </cell>
          <cell r="D17" t="str">
            <v>SHANDY GINGER</v>
          </cell>
          <cell r="F17">
            <v>200</v>
          </cell>
          <cell r="G17">
            <v>1262</v>
          </cell>
          <cell r="I17">
            <v>8</v>
          </cell>
          <cell r="J17">
            <v>87.5</v>
          </cell>
          <cell r="K17">
            <v>83.292000000000002</v>
          </cell>
          <cell r="M17">
            <v>76</v>
          </cell>
          <cell r="N17">
            <v>5</v>
          </cell>
          <cell r="P17">
            <v>4.8091428571428558</v>
          </cell>
          <cell r="Q17">
            <v>60.576000000000001</v>
          </cell>
          <cell r="S17">
            <v>1.7362569487337862E-2</v>
          </cell>
        </row>
        <row r="18">
          <cell r="B18">
            <v>46062</v>
          </cell>
          <cell r="D18" t="str">
            <v>SHANDY GINGER ( LOCAL)</v>
          </cell>
          <cell r="E18">
            <v>1380</v>
          </cell>
          <cell r="F18">
            <v>165</v>
          </cell>
          <cell r="G18">
            <v>960</v>
          </cell>
          <cell r="J18">
            <v>109.4</v>
          </cell>
          <cell r="K18">
            <v>106.65600000000001</v>
          </cell>
          <cell r="M18">
            <v>176</v>
          </cell>
          <cell r="N18">
            <v>7</v>
          </cell>
          <cell r="P18">
            <v>2.5082266910420472</v>
          </cell>
          <cell r="Q18">
            <v>41.739130434782609</v>
          </cell>
          <cell r="S18">
            <v>3.7372016365054127E-2</v>
          </cell>
        </row>
        <row r="19">
          <cell r="B19">
            <v>46062</v>
          </cell>
          <cell r="D19" t="str">
            <v>SHANDY GINGER (EXPORT)</v>
          </cell>
          <cell r="F19">
            <v>139</v>
          </cell>
          <cell r="G19">
            <v>656</v>
          </cell>
          <cell r="M19">
            <v>36</v>
          </cell>
          <cell r="Q19">
            <v>28.521739130434781</v>
          </cell>
        </row>
        <row r="20">
          <cell r="B20">
            <v>46062</v>
          </cell>
          <cell r="D20" t="str">
            <v>STAG</v>
          </cell>
          <cell r="F20">
            <v>384</v>
          </cell>
          <cell r="G20">
            <v>2822</v>
          </cell>
          <cell r="J20">
            <v>188.10000000000002</v>
          </cell>
          <cell r="K20">
            <v>186.25200000000001</v>
          </cell>
          <cell r="M20">
            <v>363</v>
          </cell>
          <cell r="N20">
            <v>1</v>
          </cell>
          <cell r="P20">
            <v>0.98245614035088413</v>
          </cell>
          <cell r="Q20">
            <v>122.69565217391305</v>
          </cell>
          <cell r="S20">
            <v>2.3003273322422257E-2</v>
          </cell>
        </row>
        <row r="21">
          <cell r="B21">
            <v>46063</v>
          </cell>
          <cell r="D21" t="str">
            <v>PINK TING</v>
          </cell>
          <cell r="E21">
            <v>1430</v>
          </cell>
          <cell r="F21">
            <v>429</v>
          </cell>
          <cell r="G21">
            <v>3371</v>
          </cell>
          <cell r="J21">
            <v>224.4</v>
          </cell>
          <cell r="K21">
            <v>222.48600000000002</v>
          </cell>
          <cell r="M21">
            <v>294</v>
          </cell>
          <cell r="N21">
            <v>4</v>
          </cell>
          <cell r="P21">
            <v>0.85294117647058254</v>
          </cell>
          <cell r="Q21">
            <v>141.44055944055944</v>
          </cell>
          <cell r="S21">
            <v>1.9419689119170983E-2</v>
          </cell>
        </row>
        <row r="22">
          <cell r="B22">
            <v>46063</v>
          </cell>
          <cell r="D22" t="str">
            <v xml:space="preserve">GREEN TING </v>
          </cell>
          <cell r="F22">
            <v>272</v>
          </cell>
          <cell r="G22">
            <v>1790</v>
          </cell>
          <cell r="J22">
            <v>118.80000000000001</v>
          </cell>
          <cell r="K22">
            <v>118.14</v>
          </cell>
          <cell r="M22">
            <v>190</v>
          </cell>
          <cell r="N22">
            <v>5</v>
          </cell>
          <cell r="P22">
            <v>0.55555555555556457</v>
          </cell>
          <cell r="Q22">
            <v>75.104895104895107</v>
          </cell>
          <cell r="S22">
            <v>2.2426998563906172E-2</v>
          </cell>
        </row>
        <row r="23">
          <cell r="B23">
            <v>46063</v>
          </cell>
          <cell r="D23" t="str">
            <v>CARIB AMBER</v>
          </cell>
          <cell r="F23">
            <v>332</v>
          </cell>
          <cell r="G23">
            <v>1854</v>
          </cell>
          <cell r="J23">
            <v>127.19999999999999</v>
          </cell>
          <cell r="K23">
            <v>122.364</v>
          </cell>
          <cell r="M23">
            <v>117</v>
          </cell>
          <cell r="N23">
            <v>3</v>
          </cell>
          <cell r="P23">
            <v>3.8018867924528181</v>
          </cell>
          <cell r="Q23">
            <v>77.790209790209801</v>
          </cell>
          <cell r="S23">
            <v>2.8641921397379907E-2</v>
          </cell>
        </row>
        <row r="24">
          <cell r="B24">
            <v>46064</v>
          </cell>
          <cell r="D24" t="str">
            <v>CARIB AMBER</v>
          </cell>
          <cell r="E24">
            <v>1435</v>
          </cell>
          <cell r="F24">
            <v>557</v>
          </cell>
          <cell r="G24">
            <v>3521</v>
          </cell>
          <cell r="J24">
            <v>248.6</v>
          </cell>
          <cell r="K24">
            <v>240.36600000000001</v>
          </cell>
          <cell r="M24">
            <v>119</v>
          </cell>
          <cell r="N24">
            <v>4</v>
          </cell>
          <cell r="P24">
            <v>3.3121480289621807</v>
          </cell>
          <cell r="Q24">
            <v>147.21951219512195</v>
          </cell>
          <cell r="S24">
            <v>1.5627084723148763E-2</v>
          </cell>
        </row>
        <row r="25">
          <cell r="B25">
            <v>46064</v>
          </cell>
          <cell r="D25" t="str">
            <v>STAG</v>
          </cell>
          <cell r="F25">
            <v>659</v>
          </cell>
          <cell r="G25">
            <v>3377</v>
          </cell>
          <cell r="I25">
            <v>25</v>
          </cell>
          <cell r="J25">
            <v>235.9</v>
          </cell>
          <cell r="K25">
            <v>229.15200000000002</v>
          </cell>
          <cell r="M25">
            <v>401</v>
          </cell>
          <cell r="P25">
            <v>2.8605341246290763</v>
          </cell>
          <cell r="Q25">
            <v>141.19860627177701</v>
          </cell>
          <cell r="S25">
            <v>3.4268547544409611E-2</v>
          </cell>
        </row>
        <row r="26">
          <cell r="B26">
            <v>46065</v>
          </cell>
          <cell r="D26" t="str">
            <v>STAG</v>
          </cell>
          <cell r="E26">
            <v>1430</v>
          </cell>
          <cell r="F26">
            <v>1320</v>
          </cell>
          <cell r="G26">
            <v>6114</v>
          </cell>
          <cell r="J26">
            <v>408.09999999999997</v>
          </cell>
          <cell r="K26">
            <v>403.524</v>
          </cell>
          <cell r="M26">
            <v>580</v>
          </cell>
          <cell r="N26">
            <v>32</v>
          </cell>
          <cell r="P26">
            <v>1.1212938005390751</v>
          </cell>
          <cell r="Q26">
            <v>256.53146853146853</v>
          </cell>
          <cell r="S26">
            <v>6.8275709011965988E-2</v>
          </cell>
        </row>
        <row r="27">
          <cell r="B27">
            <v>46066</v>
          </cell>
          <cell r="D27" t="str">
            <v>STAG</v>
          </cell>
          <cell r="E27">
            <v>1260</v>
          </cell>
          <cell r="F27">
            <v>236</v>
          </cell>
          <cell r="G27">
            <v>1392</v>
          </cell>
          <cell r="J27">
            <v>92.7</v>
          </cell>
          <cell r="K27">
            <v>91.872</v>
          </cell>
          <cell r="M27">
            <v>49</v>
          </cell>
          <cell r="N27">
            <v>2</v>
          </cell>
          <cell r="P27">
            <v>0.89320388349514879</v>
          </cell>
          <cell r="Q27">
            <v>66.285714285714292</v>
          </cell>
          <cell r="S27">
            <v>2.4451983298538617E-2</v>
          </cell>
        </row>
        <row r="28">
          <cell r="B28">
            <v>46066</v>
          </cell>
          <cell r="D28" t="str">
            <v>SHANDY SORREL</v>
          </cell>
          <cell r="F28">
            <v>229</v>
          </cell>
          <cell r="G28">
            <v>1464</v>
          </cell>
          <cell r="J28">
            <v>98.300000000000011</v>
          </cell>
          <cell r="K28">
            <v>96.624000000000009</v>
          </cell>
          <cell r="M28">
            <v>794</v>
          </cell>
          <cell r="N28">
            <v>6</v>
          </cell>
          <cell r="P28">
            <v>1.7049847405900325</v>
          </cell>
          <cell r="Q28">
            <v>69.714285714285708</v>
          </cell>
        </row>
        <row r="29">
          <cell r="B29">
            <v>46069</v>
          </cell>
          <cell r="D29" t="str">
            <v>CARIB AMBER</v>
          </cell>
          <cell r="E29">
            <v>1380</v>
          </cell>
          <cell r="F29">
            <v>711</v>
          </cell>
          <cell r="G29">
            <v>4596</v>
          </cell>
          <cell r="J29">
            <v>313</v>
          </cell>
          <cell r="K29">
            <v>308.08600000000001</v>
          </cell>
          <cell r="M29">
            <v>736</v>
          </cell>
          <cell r="N29">
            <v>10</v>
          </cell>
          <cell r="P29">
            <v>1.569968051118207</v>
          </cell>
          <cell r="Q29">
            <v>199.82608695652175</v>
          </cell>
          <cell r="S29">
            <v>3.6233572945482989E-2</v>
          </cell>
        </row>
        <row r="30">
          <cell r="B30">
            <v>46070</v>
          </cell>
          <cell r="D30" t="str">
            <v>CARIB AMBER</v>
          </cell>
          <cell r="E30">
            <v>1440</v>
          </cell>
          <cell r="F30">
            <v>528</v>
          </cell>
          <cell r="G30">
            <v>2895</v>
          </cell>
          <cell r="J30">
            <v>196.6</v>
          </cell>
          <cell r="K30">
            <v>191.07000000000002</v>
          </cell>
          <cell r="M30">
            <v>1019</v>
          </cell>
          <cell r="N30">
            <v>13</v>
          </cell>
          <cell r="P30">
            <v>2.8128179043743504</v>
          </cell>
          <cell r="Q30">
            <v>120.625</v>
          </cell>
          <cell r="S30">
            <v>3.7881578147828179E-2</v>
          </cell>
        </row>
        <row r="31">
          <cell r="B31">
            <v>46071</v>
          </cell>
          <cell r="D31" t="str">
            <v>WASHER BREAKDOWN</v>
          </cell>
          <cell r="M31">
            <v>1440</v>
          </cell>
        </row>
        <row r="32">
          <cell r="B32">
            <v>46072</v>
          </cell>
          <cell r="D32" t="str">
            <v>CARIB AMBER</v>
          </cell>
          <cell r="E32">
            <v>1440</v>
          </cell>
          <cell r="F32">
            <v>749</v>
          </cell>
          <cell r="G32">
            <v>3122</v>
          </cell>
          <cell r="J32">
            <v>211.7</v>
          </cell>
          <cell r="K32">
            <v>209.47200000000001</v>
          </cell>
          <cell r="M32">
            <v>461</v>
          </cell>
          <cell r="N32">
            <v>3</v>
          </cell>
          <cell r="P32">
            <v>1.0524326877656969</v>
          </cell>
          <cell r="Q32">
            <v>130.08333333333334</v>
          </cell>
          <cell r="S32">
            <v>3.8471951071550686E-2</v>
          </cell>
        </row>
        <row r="33">
          <cell r="B33">
            <v>46072</v>
          </cell>
          <cell r="D33" t="str">
            <v>SHANDY SORREL ( LOCAL )</v>
          </cell>
          <cell r="F33">
            <v>243</v>
          </cell>
          <cell r="G33">
            <v>1121</v>
          </cell>
          <cell r="J33">
            <v>75.5</v>
          </cell>
          <cell r="K33">
            <v>73.986000000000004</v>
          </cell>
          <cell r="M33">
            <v>116</v>
          </cell>
          <cell r="N33">
            <v>4</v>
          </cell>
          <cell r="P33">
            <v>2.0052980132450275</v>
          </cell>
          <cell r="Q33">
            <v>46.708333333333336</v>
          </cell>
          <cell r="S33">
            <v>8.9579349904397709E-3</v>
          </cell>
        </row>
        <row r="34">
          <cell r="B34">
            <v>46072</v>
          </cell>
          <cell r="D34" t="str">
            <v>TING ORIGINAL</v>
          </cell>
          <cell r="F34">
            <v>154</v>
          </cell>
          <cell r="G34">
            <v>437</v>
          </cell>
          <cell r="J34">
            <v>29.700000000000003</v>
          </cell>
          <cell r="K34">
            <v>28.842000000000002</v>
          </cell>
          <cell r="M34">
            <v>180</v>
          </cell>
          <cell r="N34">
            <v>3</v>
          </cell>
          <cell r="P34">
            <v>2.8888888888888906</v>
          </cell>
          <cell r="Q34">
            <v>18.208333333333332</v>
          </cell>
          <cell r="S34">
            <v>8.9579349904397709E-3</v>
          </cell>
        </row>
        <row r="35">
          <cell r="B35">
            <v>46073</v>
          </cell>
          <cell r="D35" t="str">
            <v>TING ORIGINAL</v>
          </cell>
          <cell r="E35">
            <v>1260</v>
          </cell>
          <cell r="F35">
            <v>439</v>
          </cell>
          <cell r="G35">
            <v>1334</v>
          </cell>
          <cell r="J35">
            <v>89.100000000000009</v>
          </cell>
          <cell r="K35">
            <v>88.044000000000011</v>
          </cell>
          <cell r="M35">
            <v>178</v>
          </cell>
          <cell r="N35">
            <v>1</v>
          </cell>
          <cell r="P35">
            <v>1.1851851851851822</v>
          </cell>
          <cell r="Q35">
            <v>63.523809523809526</v>
          </cell>
          <cell r="S35">
            <v>1.7384044526901669E-2</v>
          </cell>
        </row>
        <row r="36">
          <cell r="B36">
            <v>46073</v>
          </cell>
          <cell r="D36" t="str">
            <v>CARIB AMBER</v>
          </cell>
          <cell r="F36">
            <v>557</v>
          </cell>
          <cell r="G36">
            <v>2454</v>
          </cell>
          <cell r="J36">
            <v>168</v>
          </cell>
          <cell r="K36">
            <v>161.964</v>
          </cell>
          <cell r="M36">
            <v>394</v>
          </cell>
          <cell r="N36">
            <v>5</v>
          </cell>
          <cell r="P36">
            <v>3.5928571428571434</v>
          </cell>
          <cell r="Q36">
            <v>116.85714285714286</v>
          </cell>
          <cell r="S36">
            <v>1.6099656357388317E-2</v>
          </cell>
        </row>
        <row r="37">
          <cell r="B37">
            <v>46076</v>
          </cell>
          <cell r="D37" t="str">
            <v>CARIB AMBER</v>
          </cell>
          <cell r="E37">
            <v>1380</v>
          </cell>
          <cell r="F37">
            <v>703</v>
          </cell>
          <cell r="G37">
            <v>3491</v>
          </cell>
          <cell r="J37">
            <v>235.60000000000002</v>
          </cell>
          <cell r="K37">
            <v>230.40600000000001</v>
          </cell>
          <cell r="M37">
            <v>876</v>
          </cell>
          <cell r="N37">
            <v>4</v>
          </cell>
          <cell r="P37">
            <v>2.2045840407470356</v>
          </cell>
          <cell r="Q37">
            <v>151.78260869565219</v>
          </cell>
          <cell r="S37">
            <v>4.2270613317021387E-2</v>
          </cell>
        </row>
        <row r="38">
          <cell r="B38">
            <v>46077</v>
          </cell>
          <cell r="D38" t="str">
            <v>CARIB AMBER</v>
          </cell>
          <cell r="E38">
            <v>1428</v>
          </cell>
          <cell r="F38">
            <v>335</v>
          </cell>
          <cell r="G38">
            <v>2250</v>
          </cell>
          <cell r="J38">
            <v>149.5</v>
          </cell>
          <cell r="K38">
            <v>148.5</v>
          </cell>
          <cell r="M38">
            <v>88</v>
          </cell>
          <cell r="N38">
            <v>11</v>
          </cell>
          <cell r="P38">
            <v>0.66889632107023411</v>
          </cell>
          <cell r="Q38">
            <v>94.537815126050418</v>
          </cell>
          <cell r="S38">
            <v>1.2021627565982403E-2</v>
          </cell>
        </row>
        <row r="39">
          <cell r="B39">
            <v>46077</v>
          </cell>
          <cell r="D39" t="str">
            <v>GUINNESS</v>
          </cell>
          <cell r="F39">
            <v>962</v>
          </cell>
          <cell r="G39">
            <v>2892</v>
          </cell>
          <cell r="J39">
            <v>191.10000000000002</v>
          </cell>
          <cell r="K39">
            <v>190.87200000000001</v>
          </cell>
          <cell r="M39">
            <v>550</v>
          </cell>
          <cell r="N39">
            <v>4</v>
          </cell>
          <cell r="P39">
            <v>0.11930926216640954</v>
          </cell>
          <cell r="Q39">
            <v>121.5126050420168</v>
          </cell>
          <cell r="S39">
            <v>1.6887229660144179E-2</v>
          </cell>
        </row>
        <row r="40">
          <cell r="B40">
            <v>46078</v>
          </cell>
          <cell r="D40" t="str">
            <v>STAG</v>
          </cell>
          <cell r="E40">
            <v>1440</v>
          </cell>
          <cell r="F40">
            <v>1415</v>
          </cell>
          <cell r="G40">
            <v>4008</v>
          </cell>
          <cell r="I40">
            <v>140</v>
          </cell>
          <cell r="J40">
            <v>267.10000000000002</v>
          </cell>
          <cell r="K40">
            <v>264.52800000000002</v>
          </cell>
          <cell r="M40">
            <v>810</v>
          </cell>
          <cell r="N40">
            <v>12</v>
          </cell>
          <cell r="P40">
            <v>0.96293523025084338</v>
          </cell>
          <cell r="Q40">
            <v>167</v>
          </cell>
          <cell r="S40">
            <v>4.8644260248232207E-2</v>
          </cell>
        </row>
        <row r="41">
          <cell r="B41">
            <v>46079</v>
          </cell>
          <cell r="D41" t="str">
            <v>STAG</v>
          </cell>
          <cell r="E41">
            <v>1440</v>
          </cell>
          <cell r="F41">
            <v>1027</v>
          </cell>
          <cell r="G41">
            <v>1613</v>
          </cell>
          <cell r="J41">
            <v>107</v>
          </cell>
          <cell r="K41">
            <v>106.458</v>
          </cell>
          <cell r="M41">
            <v>815</v>
          </cell>
          <cell r="N41">
            <v>6</v>
          </cell>
          <cell r="P41">
            <v>0.50654205607476788</v>
          </cell>
          <cell r="Q41">
            <v>67.208333333333329</v>
          </cell>
          <cell r="S41">
            <v>6.1097818943563614E-2</v>
          </cell>
        </row>
        <row r="42">
          <cell r="B42">
            <v>46079</v>
          </cell>
          <cell r="D42" t="str">
            <v>CARIB AMBER</v>
          </cell>
          <cell r="F42">
            <v>385</v>
          </cell>
          <cell r="G42">
            <v>1651</v>
          </cell>
          <cell r="J42">
            <v>111.5</v>
          </cell>
          <cell r="K42">
            <v>108.96600000000001</v>
          </cell>
          <cell r="M42">
            <v>137</v>
          </cell>
          <cell r="N42">
            <v>1</v>
          </cell>
          <cell r="P42">
            <v>2.2726457399103066</v>
          </cell>
          <cell r="Q42">
            <v>68.791666666666671</v>
          </cell>
          <cell r="S42">
            <v>2.04982984929509E-2</v>
          </cell>
        </row>
        <row r="43">
          <cell r="B43">
            <v>46080</v>
          </cell>
          <cell r="D43" t="str">
            <v>CARIB AMBER</v>
          </cell>
          <cell r="E43">
            <v>1250</v>
          </cell>
          <cell r="F43">
            <v>211</v>
          </cell>
          <cell r="G43">
            <v>1327</v>
          </cell>
          <cell r="J43">
            <v>90.1</v>
          </cell>
          <cell r="K43">
            <v>87.582000000000008</v>
          </cell>
          <cell r="M43">
            <v>54</v>
          </cell>
          <cell r="N43">
            <v>6</v>
          </cell>
          <cell r="P43">
            <v>2.7946725860155235</v>
          </cell>
          <cell r="Q43">
            <v>63.696000000000005</v>
          </cell>
          <cell r="S43">
            <v>1.7005444646098003E-2</v>
          </cell>
        </row>
        <row r="44">
          <cell r="B44">
            <v>46080</v>
          </cell>
          <cell r="D44" t="str">
            <v>STAR MALT</v>
          </cell>
          <cell r="F44">
            <v>530</v>
          </cell>
          <cell r="G44">
            <v>2952</v>
          </cell>
          <cell r="I44">
            <v>7</v>
          </cell>
          <cell r="J44">
            <v>200.1</v>
          </cell>
          <cell r="K44">
            <v>194.83200000000002</v>
          </cell>
          <cell r="M44">
            <v>205</v>
          </cell>
          <cell r="N44">
            <v>1</v>
          </cell>
          <cell r="P44">
            <v>2.6326836581709006</v>
          </cell>
          <cell r="Q44">
            <v>141.696</v>
          </cell>
          <cell r="S44">
            <v>7.4331368993653659E-3</v>
          </cell>
        </row>
        <row r="45">
          <cell r="B45">
            <v>46080</v>
          </cell>
          <cell r="D45" t="str">
            <v>CARIB AMBER</v>
          </cell>
          <cell r="F45">
            <v>285</v>
          </cell>
          <cell r="G45">
            <v>1792</v>
          </cell>
          <cell r="J45">
            <v>121.20000000000002</v>
          </cell>
          <cell r="K45">
            <v>118.27200000000001</v>
          </cell>
          <cell r="M45">
            <v>114</v>
          </cell>
          <cell r="N45">
            <v>0</v>
          </cell>
          <cell r="P45">
            <v>2.4158415841584251</v>
          </cell>
          <cell r="Q45">
            <v>86.016000000000005</v>
          </cell>
          <cell r="S45">
            <v>7.4331368993653659E-3</v>
          </cell>
        </row>
        <row r="46">
          <cell r="B46">
            <v>46081</v>
          </cell>
          <cell r="D46" t="str">
            <v>STAR MALT</v>
          </cell>
          <cell r="E46">
            <v>910</v>
          </cell>
          <cell r="F46">
            <v>255</v>
          </cell>
          <cell r="G46">
            <v>1476</v>
          </cell>
          <cell r="J46">
            <v>100</v>
          </cell>
          <cell r="K46">
            <v>97.416000000000011</v>
          </cell>
          <cell r="M46">
            <v>97</v>
          </cell>
          <cell r="N46">
            <v>0</v>
          </cell>
          <cell r="P46">
            <v>2.583999999999989</v>
          </cell>
          <cell r="Q46">
            <v>97.318681318681328</v>
          </cell>
        </row>
        <row r="47">
          <cell r="B47">
            <v>46081</v>
          </cell>
          <cell r="D47" t="str">
            <v>CARIB AMBER</v>
          </cell>
          <cell r="F47">
            <v>531</v>
          </cell>
          <cell r="G47">
            <v>2513</v>
          </cell>
          <cell r="J47">
            <v>167.99999999999997</v>
          </cell>
          <cell r="K47">
            <v>165.858</v>
          </cell>
          <cell r="M47">
            <v>209</v>
          </cell>
          <cell r="N47">
            <v>2</v>
          </cell>
          <cell r="P47">
            <v>1.2749999999999808</v>
          </cell>
          <cell r="Q47">
            <v>165.69230769230771</v>
          </cell>
          <cell r="S47">
            <v>1.6872749099639855E-2</v>
          </cell>
        </row>
      </sheetData>
      <sheetData sheetId="2">
        <row r="8">
          <cell r="B8">
            <v>46083</v>
          </cell>
          <cell r="D8" t="str">
            <v>CARIB AMBER</v>
          </cell>
          <cell r="E8">
            <v>1380</v>
          </cell>
          <cell r="F8">
            <v>297</v>
          </cell>
          <cell r="G8">
            <v>1308</v>
          </cell>
          <cell r="J8">
            <v>88</v>
          </cell>
          <cell r="K8">
            <v>86.328000000000003</v>
          </cell>
          <cell r="M8">
            <v>154</v>
          </cell>
          <cell r="N8">
            <v>8</v>
          </cell>
          <cell r="P8">
            <v>1.8999999999999966</v>
          </cell>
          <cell r="Q8">
            <v>56.869565217391305</v>
          </cell>
          <cell r="S8">
            <v>1.4283536585365852E-2</v>
          </cell>
        </row>
        <row r="9">
          <cell r="B9">
            <v>46083</v>
          </cell>
          <cell r="D9" t="str">
            <v>STAG</v>
          </cell>
          <cell r="F9">
            <v>976</v>
          </cell>
          <cell r="G9">
            <v>5279</v>
          </cell>
          <cell r="J9">
            <v>354.1</v>
          </cell>
          <cell r="K9">
            <v>348.41400000000004</v>
          </cell>
          <cell r="M9">
            <v>327</v>
          </cell>
          <cell r="N9">
            <v>1</v>
          </cell>
          <cell r="P9">
            <v>1.6057610844394177</v>
          </cell>
          <cell r="Q9">
            <v>229.52173913043478</v>
          </cell>
          <cell r="S9">
            <v>4.0099105166051661E-2</v>
          </cell>
        </row>
        <row r="10">
          <cell r="B10">
            <v>46084</v>
          </cell>
          <cell r="D10" t="str">
            <v>STAG</v>
          </cell>
          <cell r="E10">
            <v>1440</v>
          </cell>
          <cell r="F10">
            <v>1338</v>
          </cell>
          <cell r="G10">
            <v>6137</v>
          </cell>
          <cell r="J10">
            <v>415</v>
          </cell>
          <cell r="K10">
            <v>409.03200000000004</v>
          </cell>
          <cell r="M10">
            <v>513</v>
          </cell>
          <cell r="N10">
            <v>14.5</v>
          </cell>
          <cell r="P10">
            <v>1.4380722891566171</v>
          </cell>
          <cell r="Q10">
            <v>255.70833333333334</v>
          </cell>
          <cell r="S10">
            <v>3.2425381437417578E-2</v>
          </cell>
        </row>
        <row r="11">
          <cell r="B11">
            <v>46085</v>
          </cell>
          <cell r="D11" t="str">
            <v>STAG</v>
          </cell>
          <cell r="E11">
            <v>1440</v>
          </cell>
          <cell r="F11">
            <v>509</v>
          </cell>
          <cell r="G11">
            <v>2653</v>
          </cell>
          <cell r="J11">
            <v>176.3</v>
          </cell>
          <cell r="K11">
            <v>175.09800000000001</v>
          </cell>
          <cell r="M11">
            <v>187</v>
          </cell>
          <cell r="N11">
            <v>4</v>
          </cell>
          <cell r="P11">
            <v>0.68179239931934099</v>
          </cell>
          <cell r="Q11">
            <v>110.54166666666667</v>
          </cell>
          <cell r="S11">
            <v>1.301991662806855E-2</v>
          </cell>
        </row>
        <row r="12">
          <cell r="B12">
            <v>46085</v>
          </cell>
          <cell r="D12" t="str">
            <v>CARIB AMBER</v>
          </cell>
          <cell r="F12">
            <v>751</v>
          </cell>
          <cell r="G12">
            <v>3701</v>
          </cell>
          <cell r="I12">
            <v>140</v>
          </cell>
          <cell r="J12">
            <v>254.70000000000002</v>
          </cell>
          <cell r="K12">
            <v>249.39600000000002</v>
          </cell>
          <cell r="M12">
            <v>332</v>
          </cell>
          <cell r="P12">
            <v>2.0824499411071855</v>
          </cell>
          <cell r="Q12">
            <v>154.20833333333334</v>
          </cell>
          <cell r="S12">
            <v>9.0400385914134098E-3</v>
          </cell>
        </row>
        <row r="13">
          <cell r="B13">
            <v>46086</v>
          </cell>
          <cell r="D13" t="str">
            <v>CARIB AMBER</v>
          </cell>
          <cell r="E13">
            <v>1435</v>
          </cell>
          <cell r="F13">
            <v>96</v>
          </cell>
          <cell r="G13">
            <v>481</v>
          </cell>
          <cell r="J13">
            <v>32.1</v>
          </cell>
          <cell r="K13">
            <v>31.746000000000002</v>
          </cell>
          <cell r="M13">
            <v>19</v>
          </cell>
          <cell r="N13">
            <v>4</v>
          </cell>
          <cell r="P13">
            <v>1.1028037383177545</v>
          </cell>
          <cell r="Q13">
            <v>20.11149825783972</v>
          </cell>
          <cell r="S13">
            <v>1.3752446183953033E-2</v>
          </cell>
        </row>
        <row r="14">
          <cell r="B14">
            <v>46086</v>
          </cell>
          <cell r="D14" t="str">
            <v>VITA MALT CLASSIC</v>
          </cell>
          <cell r="F14">
            <v>825</v>
          </cell>
          <cell r="G14">
            <v>3488</v>
          </cell>
          <cell r="J14">
            <v>249.1</v>
          </cell>
          <cell r="K14">
            <v>246.9504</v>
          </cell>
          <cell r="M14">
            <v>710</v>
          </cell>
          <cell r="N14">
            <v>13</v>
          </cell>
          <cell r="P14">
            <v>0.862946607788034</v>
          </cell>
          <cell r="Q14">
            <v>145.8397212543554</v>
          </cell>
          <cell r="S14">
            <v>3.1214123228048698E-2</v>
          </cell>
        </row>
        <row r="15">
          <cell r="B15">
            <v>46087</v>
          </cell>
          <cell r="D15" t="str">
            <v>VITA MALT CLASSIC</v>
          </cell>
          <cell r="E15">
            <v>1260</v>
          </cell>
          <cell r="F15">
            <v>366</v>
          </cell>
          <cell r="G15">
            <v>1015</v>
          </cell>
          <cell r="J15">
            <v>72.900000000000006</v>
          </cell>
          <cell r="K15">
            <v>71.861999999999995</v>
          </cell>
          <cell r="M15">
            <v>194</v>
          </cell>
          <cell r="N15">
            <v>3</v>
          </cell>
          <cell r="P15">
            <v>1.4238683127572165</v>
          </cell>
          <cell r="Q15">
            <v>48.333333333333336</v>
          </cell>
          <cell r="S15">
            <v>2.9232529118136435E-2</v>
          </cell>
        </row>
        <row r="16">
          <cell r="B16">
            <v>46087</v>
          </cell>
          <cell r="D16" t="str">
            <v>VITA MALT GINGER</v>
          </cell>
          <cell r="F16">
            <v>163</v>
          </cell>
          <cell r="G16">
            <v>704</v>
          </cell>
          <cell r="J16">
            <v>50</v>
          </cell>
          <cell r="K16">
            <v>49.843200000000003</v>
          </cell>
          <cell r="M16">
            <v>80</v>
          </cell>
          <cell r="N16">
            <v>1</v>
          </cell>
          <cell r="P16">
            <v>0.31359999999999388</v>
          </cell>
          <cell r="Q16">
            <v>33.523809523809526</v>
          </cell>
          <cell r="S16">
            <v>2.1649722735674674E-2</v>
          </cell>
        </row>
        <row r="17">
          <cell r="B17">
            <v>46087</v>
          </cell>
          <cell r="D17" t="str">
            <v>GUINNESS</v>
          </cell>
          <cell r="F17">
            <v>512</v>
          </cell>
          <cell r="G17">
            <v>2795</v>
          </cell>
          <cell r="J17">
            <v>184.6</v>
          </cell>
          <cell r="K17">
            <v>184.47</v>
          </cell>
          <cell r="M17">
            <v>229</v>
          </cell>
          <cell r="N17">
            <v>2</v>
          </cell>
          <cell r="P17">
            <v>7.0422535211265153E-2</v>
          </cell>
          <cell r="Q17">
            <v>133.0952380952381</v>
          </cell>
          <cell r="S17">
            <v>9.7118573797678256E-3</v>
          </cell>
        </row>
        <row r="18">
          <cell r="B18">
            <v>46089</v>
          </cell>
          <cell r="D18" t="str">
            <v>CARIB AMBER</v>
          </cell>
          <cell r="E18">
            <v>970</v>
          </cell>
          <cell r="F18">
            <v>621</v>
          </cell>
          <cell r="G18">
            <v>3630</v>
          </cell>
          <cell r="J18">
            <v>248.2</v>
          </cell>
          <cell r="K18">
            <v>239.58</v>
          </cell>
          <cell r="M18">
            <v>417</v>
          </cell>
          <cell r="N18">
            <v>8</v>
          </cell>
          <cell r="P18">
            <v>3.4730056406123997</v>
          </cell>
          <cell r="Q18">
            <v>224.53608247422679</v>
          </cell>
          <cell r="S18">
            <v>4.6600172252661672E-2</v>
          </cell>
        </row>
        <row r="19">
          <cell r="B19">
            <v>46090</v>
          </cell>
          <cell r="D19" t="str">
            <v>CARIB AMBER</v>
          </cell>
          <cell r="E19">
            <v>1440</v>
          </cell>
          <cell r="F19">
            <v>936</v>
          </cell>
          <cell r="G19">
            <v>5423</v>
          </cell>
          <cell r="J19">
            <v>365.4</v>
          </cell>
          <cell r="K19">
            <v>357.91800000000001</v>
          </cell>
          <cell r="M19">
            <v>682</v>
          </cell>
          <cell r="N19">
            <v>5</v>
          </cell>
          <cell r="P19">
            <v>2.0476190476190399</v>
          </cell>
          <cell r="Q19">
            <v>225.95833333333334</v>
          </cell>
          <cell r="S19">
            <v>6.8556181629116517E-2</v>
          </cell>
        </row>
        <row r="20">
          <cell r="B20">
            <v>46091</v>
          </cell>
          <cell r="D20" t="str">
            <v>CARIB AMBER</v>
          </cell>
          <cell r="E20">
            <v>1429</v>
          </cell>
          <cell r="F20">
            <v>974</v>
          </cell>
          <cell r="G20">
            <v>5844</v>
          </cell>
          <cell r="J20">
            <v>387.7</v>
          </cell>
          <cell r="K20">
            <v>385.70400000000001</v>
          </cell>
          <cell r="M20">
            <v>235</v>
          </cell>
          <cell r="N20">
            <v>21</v>
          </cell>
          <cell r="P20">
            <v>0.51483105493938119</v>
          </cell>
          <cell r="Q20">
            <v>245.37438768369489</v>
          </cell>
          <cell r="S20">
            <v>3.3044630981786595E-2</v>
          </cell>
        </row>
        <row r="21">
          <cell r="B21">
            <v>46091</v>
          </cell>
          <cell r="D21" t="str">
            <v>CARIBE PERSSECO (LOCAL )</v>
          </cell>
          <cell r="F21">
            <v>248</v>
          </cell>
          <cell r="G21">
            <v>1112</v>
          </cell>
          <cell r="J21">
            <v>79</v>
          </cell>
          <cell r="K21">
            <v>73.39200000000001</v>
          </cell>
          <cell r="M21">
            <v>226</v>
          </cell>
          <cell r="N21">
            <v>1</v>
          </cell>
          <cell r="P21">
            <v>7.0987341772151771</v>
          </cell>
          <cell r="Q21">
            <v>46.689993002099371</v>
          </cell>
          <cell r="S21">
            <v>1.4531637717121586E-2</v>
          </cell>
        </row>
        <row r="22">
          <cell r="B22">
            <v>46092</v>
          </cell>
          <cell r="D22" t="str">
            <v>CARIBE PERSSECO (LOCAL )</v>
          </cell>
          <cell r="E22">
            <v>1440</v>
          </cell>
          <cell r="F22">
            <v>261</v>
          </cell>
          <cell r="G22">
            <v>1118</v>
          </cell>
          <cell r="J22">
            <v>76</v>
          </cell>
          <cell r="K22">
            <v>73.787999999999997</v>
          </cell>
          <cell r="M22">
            <v>74</v>
          </cell>
          <cell r="P22">
            <v>2.9105263157894781</v>
          </cell>
          <cell r="Q22">
            <v>46.583333333333336</v>
          </cell>
          <cell r="S22">
            <v>2.4503138075313805E-2</v>
          </cell>
        </row>
        <row r="23">
          <cell r="B23">
            <v>46092</v>
          </cell>
          <cell r="D23" t="str">
            <v>CARIBE ROSE (LOCAL)</v>
          </cell>
          <cell r="F23">
            <v>462</v>
          </cell>
          <cell r="G23">
            <v>2182</v>
          </cell>
          <cell r="J23">
            <v>150</v>
          </cell>
          <cell r="K23">
            <v>144.012</v>
          </cell>
          <cell r="M23">
            <v>178</v>
          </cell>
          <cell r="N23">
            <v>11</v>
          </cell>
          <cell r="P23">
            <v>3.9919999999999995</v>
          </cell>
          <cell r="Q23">
            <v>90.916666666666671</v>
          </cell>
          <cell r="S23">
            <v>3.794546436285097E-2</v>
          </cell>
        </row>
        <row r="24">
          <cell r="B24">
            <v>46092</v>
          </cell>
          <cell r="D24" t="str">
            <v>STAG</v>
          </cell>
          <cell r="F24">
            <v>493</v>
          </cell>
          <cell r="G24">
            <v>3015</v>
          </cell>
          <cell r="J24">
            <v>205.90000000000003</v>
          </cell>
          <cell r="K24">
            <v>202.60000000000002</v>
          </cell>
          <cell r="M24">
            <v>272</v>
          </cell>
          <cell r="P24">
            <v>1.6027197668771302</v>
          </cell>
          <cell r="Q24">
            <v>125.625</v>
          </cell>
          <cell r="S24">
            <v>1.4991999999999998E-2</v>
          </cell>
        </row>
        <row r="25">
          <cell r="B25">
            <v>46093</v>
          </cell>
          <cell r="D25" t="str">
            <v>STAG</v>
          </cell>
          <cell r="E25">
            <v>1428</v>
          </cell>
          <cell r="F25">
            <v>811</v>
          </cell>
          <cell r="G25">
            <v>5260</v>
          </cell>
          <cell r="J25">
            <v>351.1</v>
          </cell>
          <cell r="K25">
            <v>347.16</v>
          </cell>
          <cell r="M25">
            <v>152</v>
          </cell>
          <cell r="N25">
            <v>9</v>
          </cell>
          <cell r="P25">
            <v>1.122187410994018</v>
          </cell>
          <cell r="Q25">
            <v>221.00840336134453</v>
          </cell>
          <cell r="S25">
            <v>4.5389626415505847E-2</v>
          </cell>
        </row>
        <row r="26">
          <cell r="B26">
            <v>46093</v>
          </cell>
          <cell r="D26" t="str">
            <v>STAR MALT</v>
          </cell>
          <cell r="F26">
            <v>480</v>
          </cell>
          <cell r="G26">
            <v>2548</v>
          </cell>
          <cell r="J26">
            <v>170.40000000000003</v>
          </cell>
          <cell r="K26">
            <v>168.16800000000001</v>
          </cell>
          <cell r="M26">
            <v>218</v>
          </cell>
          <cell r="N26">
            <v>3</v>
          </cell>
          <cell r="P26">
            <v>1.3098591549295935</v>
          </cell>
          <cell r="Q26">
            <v>107.05882352941177</v>
          </cell>
          <cell r="S26">
            <v>1.2930082796688133E-2</v>
          </cell>
        </row>
        <row r="27">
          <cell r="B27">
            <v>46094</v>
          </cell>
          <cell r="D27" t="str">
            <v>STAR MALT</v>
          </cell>
          <cell r="E27">
            <v>1250</v>
          </cell>
          <cell r="F27">
            <v>665</v>
          </cell>
          <cell r="G27">
            <v>3232</v>
          </cell>
          <cell r="J27">
            <v>219.8</v>
          </cell>
          <cell r="K27">
            <v>213.31200000000001</v>
          </cell>
          <cell r="M27">
            <v>244</v>
          </cell>
          <cell r="N27">
            <v>7</v>
          </cell>
          <cell r="P27">
            <v>2.9517743403093717</v>
          </cell>
          <cell r="Q27">
            <v>155.136</v>
          </cell>
          <cell r="S27">
            <v>1.1791107382550335E-2</v>
          </cell>
        </row>
        <row r="28">
          <cell r="B28">
            <v>46094</v>
          </cell>
          <cell r="D28" t="str">
            <v>GUINNESS</v>
          </cell>
          <cell r="F28">
            <v>250</v>
          </cell>
          <cell r="G28">
            <v>1462</v>
          </cell>
          <cell r="J28">
            <v>96.5</v>
          </cell>
          <cell r="K28">
            <v>96.492000000000004</v>
          </cell>
          <cell r="M28">
            <v>350</v>
          </cell>
          <cell r="N28">
            <v>5</v>
          </cell>
          <cell r="P28">
            <v>8.2901554404099138E-3</v>
          </cell>
          <cell r="Q28">
            <v>70.176000000000002</v>
          </cell>
          <cell r="S28">
            <v>1.9227086183310534E-2</v>
          </cell>
        </row>
        <row r="29">
          <cell r="B29">
            <v>46097</v>
          </cell>
          <cell r="D29" t="str">
            <v>GUINNESS</v>
          </cell>
          <cell r="E29">
            <v>1380</v>
          </cell>
          <cell r="F29">
            <v>286</v>
          </cell>
          <cell r="G29">
            <v>1735</v>
          </cell>
          <cell r="J29">
            <v>114.6</v>
          </cell>
          <cell r="K29">
            <v>114.51</v>
          </cell>
          <cell r="M29">
            <v>1109</v>
          </cell>
          <cell r="N29">
            <v>6</v>
          </cell>
          <cell r="P29">
            <v>7.8534031413603142E-2</v>
          </cell>
          <cell r="Q29">
            <v>75.434782608695656</v>
          </cell>
          <cell r="S29">
            <v>2.2578313253012048E-2</v>
          </cell>
        </row>
        <row r="30">
          <cell r="B30">
            <v>46098</v>
          </cell>
          <cell r="D30" t="str">
            <v>WASHER BREAKDOWN</v>
          </cell>
          <cell r="F30">
            <v>0</v>
          </cell>
          <cell r="K30">
            <v>0</v>
          </cell>
          <cell r="M30">
            <v>1440</v>
          </cell>
          <cell r="Q30" t="e">
            <v>#DIV/0!</v>
          </cell>
        </row>
        <row r="31">
          <cell r="B31">
            <v>46099</v>
          </cell>
          <cell r="D31" t="str">
            <v>GUINNESS</v>
          </cell>
          <cell r="E31">
            <v>1440</v>
          </cell>
          <cell r="F31">
            <v>427</v>
          </cell>
          <cell r="G31">
            <v>2353</v>
          </cell>
          <cell r="J31">
            <v>155.6</v>
          </cell>
          <cell r="K31">
            <v>155.298</v>
          </cell>
          <cell r="M31">
            <v>605</v>
          </cell>
          <cell r="N31">
            <v>4</v>
          </cell>
          <cell r="P31">
            <v>0.19408740359896692</v>
          </cell>
          <cell r="Q31">
            <v>98.041666666666671</v>
          </cell>
        </row>
        <row r="32">
          <cell r="B32">
            <v>46099</v>
          </cell>
          <cell r="D32" t="str">
            <v>CARIB AMBER</v>
          </cell>
          <cell r="F32">
            <v>435</v>
          </cell>
          <cell r="G32">
            <v>3171</v>
          </cell>
          <cell r="J32">
            <v>214</v>
          </cell>
          <cell r="K32">
            <v>209.286</v>
          </cell>
          <cell r="M32">
            <v>133</v>
          </cell>
          <cell r="N32">
            <v>6</v>
          </cell>
          <cell r="P32">
            <v>2.2028037383177561</v>
          </cell>
          <cell r="Q32">
            <v>132.125</v>
          </cell>
          <cell r="S32">
            <v>1.5865221808330509E-2</v>
          </cell>
        </row>
        <row r="33">
          <cell r="B33">
            <v>46100</v>
          </cell>
          <cell r="D33" t="str">
            <v>CARIB AMBER</v>
          </cell>
          <cell r="E33">
            <v>1430</v>
          </cell>
          <cell r="F33">
            <v>938</v>
          </cell>
          <cell r="G33">
            <v>7581</v>
          </cell>
          <cell r="J33">
            <v>738.2</v>
          </cell>
          <cell r="K33">
            <v>726.52800000000002</v>
          </cell>
          <cell r="M33">
            <v>129</v>
          </cell>
          <cell r="N33">
            <v>12</v>
          </cell>
          <cell r="P33">
            <v>1.5811433215930677</v>
          </cell>
          <cell r="Q33">
            <v>318.08391608391611</v>
          </cell>
          <cell r="S33">
            <v>1.1107744994731297E-2</v>
          </cell>
        </row>
        <row r="34">
          <cell r="B34">
            <v>46100</v>
          </cell>
          <cell r="D34" t="str">
            <v>CARIB FLINT (LOC)</v>
          </cell>
          <cell r="F34">
            <v>190</v>
          </cell>
          <cell r="G34">
            <v>1529</v>
          </cell>
          <cell r="M34">
            <v>58</v>
          </cell>
          <cell r="Q34">
            <v>64.15384615384616</v>
          </cell>
          <cell r="S34">
            <v>2.1760928961748634E-2</v>
          </cell>
        </row>
        <row r="35">
          <cell r="B35">
            <v>46100</v>
          </cell>
          <cell r="D35" t="str">
            <v>CARIB AMBER</v>
          </cell>
          <cell r="F35">
            <v>221</v>
          </cell>
          <cell r="G35">
            <v>1898</v>
          </cell>
          <cell r="M35">
            <v>53</v>
          </cell>
          <cell r="Q35">
            <v>79.63636363636364</v>
          </cell>
        </row>
        <row r="36">
          <cell r="B36">
            <v>46101</v>
          </cell>
          <cell r="D36" t="str">
            <v>CARIB AMBER</v>
          </cell>
          <cell r="E36">
            <v>1250</v>
          </cell>
          <cell r="F36">
            <v>696</v>
          </cell>
          <cell r="G36">
            <v>5065</v>
          </cell>
          <cell r="J36">
            <v>337.7</v>
          </cell>
          <cell r="K36">
            <v>334.29</v>
          </cell>
          <cell r="M36">
            <v>160</v>
          </cell>
          <cell r="N36">
            <v>7</v>
          </cell>
          <cell r="P36">
            <v>1.0097719869706745</v>
          </cell>
          <cell r="Q36">
            <v>243.12</v>
          </cell>
          <cell r="S36">
            <v>4.6303005631982183E-2</v>
          </cell>
        </row>
        <row r="37">
          <cell r="B37">
            <v>46101</v>
          </cell>
          <cell r="D37" t="str">
            <v>STAG</v>
          </cell>
          <cell r="F37">
            <v>322</v>
          </cell>
          <cell r="G37">
            <v>2325</v>
          </cell>
          <cell r="I37">
            <v>398</v>
          </cell>
          <cell r="J37">
            <v>155.79999999999998</v>
          </cell>
          <cell r="K37">
            <v>153.45000000000002</v>
          </cell>
          <cell r="M37">
            <v>163</v>
          </cell>
          <cell r="N37">
            <v>11</v>
          </cell>
          <cell r="P37">
            <v>1.5083440308087075</v>
          </cell>
          <cell r="Q37">
            <v>111.60000000000001</v>
          </cell>
          <cell r="S37">
            <v>2.6426269137792099E-2</v>
          </cell>
        </row>
        <row r="38">
          <cell r="B38">
            <v>46104</v>
          </cell>
          <cell r="D38" t="str">
            <v>STAG</v>
          </cell>
          <cell r="E38">
            <v>1380</v>
          </cell>
          <cell r="F38">
            <v>533</v>
          </cell>
          <cell r="G38">
            <v>4172</v>
          </cell>
          <cell r="J38">
            <v>285.60000000000002</v>
          </cell>
          <cell r="K38">
            <v>279.15200000000004</v>
          </cell>
          <cell r="M38">
            <v>127</v>
          </cell>
          <cell r="N38">
            <v>10</v>
          </cell>
          <cell r="P38">
            <v>2.2577030812324854</v>
          </cell>
          <cell r="Q38">
            <v>181.39130434782609</v>
          </cell>
          <cell r="S38">
            <v>2.4631966351209251E-2</v>
          </cell>
        </row>
        <row r="39">
          <cell r="B39">
            <v>46104</v>
          </cell>
          <cell r="D39" t="str">
            <v>CARIB AMBER</v>
          </cell>
          <cell r="F39">
            <v>378</v>
          </cell>
          <cell r="G39">
            <v>2915</v>
          </cell>
          <cell r="J39">
            <v>361.6</v>
          </cell>
          <cell r="K39">
            <v>352.73200000000003</v>
          </cell>
          <cell r="M39">
            <v>72</v>
          </cell>
          <cell r="N39">
            <v>15</v>
          </cell>
          <cell r="P39">
            <v>2.4524336283185826</v>
          </cell>
          <cell r="Q39">
            <v>126.73913043478261</v>
          </cell>
        </row>
        <row r="40">
          <cell r="B40">
            <v>46104</v>
          </cell>
          <cell r="D40" t="str">
            <v>CARIB FLINT (LOC)</v>
          </cell>
          <cell r="F40">
            <v>312</v>
          </cell>
          <cell r="G40">
            <v>2202</v>
          </cell>
          <cell r="M40">
            <v>74</v>
          </cell>
          <cell r="N40">
            <v>5</v>
          </cell>
          <cell r="Q40">
            <v>95.739130434782609</v>
          </cell>
        </row>
        <row r="41">
          <cell r="B41">
            <v>46105</v>
          </cell>
          <cell r="D41" t="str">
            <v>SHANDY CARIB GINGER (EXPORT)</v>
          </cell>
          <cell r="E41">
            <v>1440</v>
          </cell>
          <cell r="F41">
            <v>243</v>
          </cell>
          <cell r="G41">
            <v>230</v>
          </cell>
          <cell r="J41">
            <v>96.5</v>
          </cell>
          <cell r="K41">
            <v>92.796000000000006</v>
          </cell>
          <cell r="M41">
            <v>356</v>
          </cell>
          <cell r="N41">
            <v>10</v>
          </cell>
          <cell r="P41">
            <v>3.8383419689119105</v>
          </cell>
          <cell r="Q41">
            <v>9.5833333333333339</v>
          </cell>
          <cell r="S41">
            <v>4.9230064520170369E-2</v>
          </cell>
        </row>
        <row r="42">
          <cell r="B42">
            <v>46105</v>
          </cell>
          <cell r="D42" t="str">
            <v>SHANDY CARIB GINGER LOCAL</v>
          </cell>
          <cell r="G42">
            <v>1176</v>
          </cell>
          <cell r="Q42">
            <v>49</v>
          </cell>
        </row>
        <row r="43">
          <cell r="B43">
            <v>46105</v>
          </cell>
          <cell r="D43" t="str">
            <v>STAR MALT</v>
          </cell>
          <cell r="F43">
            <v>617</v>
          </cell>
          <cell r="G43">
            <v>4537</v>
          </cell>
          <cell r="J43">
            <v>308.70000000000005</v>
          </cell>
          <cell r="K43">
            <v>299.44200000000001</v>
          </cell>
          <cell r="M43">
            <v>370</v>
          </cell>
          <cell r="N43">
            <v>6</v>
          </cell>
          <cell r="P43">
            <v>2.999028182701664</v>
          </cell>
          <cell r="Q43">
            <v>189.04166666666666</v>
          </cell>
          <cell r="S43">
            <v>2.2309523809523807E-2</v>
          </cell>
        </row>
        <row r="44">
          <cell r="B44">
            <v>46106</v>
          </cell>
          <cell r="D44" t="str">
            <v>STAR MALT</v>
          </cell>
          <cell r="E44">
            <v>1440</v>
          </cell>
          <cell r="F44">
            <v>382</v>
          </cell>
          <cell r="G44">
            <v>2779</v>
          </cell>
          <cell r="J44">
            <v>186.4</v>
          </cell>
          <cell r="K44">
            <v>183.41400000000002</v>
          </cell>
          <cell r="M44">
            <v>142</v>
          </cell>
          <cell r="N44">
            <v>9</v>
          </cell>
          <cell r="P44">
            <v>1.6019313304720975</v>
          </cell>
          <cell r="Q44">
            <v>115.79166666666667</v>
          </cell>
          <cell r="S44">
            <v>1.3623586429725363E-2</v>
          </cell>
        </row>
        <row r="45">
          <cell r="B45">
            <v>46106</v>
          </cell>
          <cell r="D45" t="str">
            <v>CLUB SODA</v>
          </cell>
          <cell r="F45">
            <v>30</v>
          </cell>
          <cell r="G45">
            <v>146</v>
          </cell>
          <cell r="J45">
            <v>9.636000000000001</v>
          </cell>
          <cell r="K45">
            <v>9.636000000000001</v>
          </cell>
          <cell r="M45">
            <v>200</v>
          </cell>
          <cell r="P45">
            <v>0</v>
          </cell>
          <cell r="Q45">
            <v>6.083333333333333</v>
          </cell>
          <cell r="S45">
            <v>1.5774410774410774E-2</v>
          </cell>
        </row>
        <row r="46">
          <cell r="B46">
            <v>46106</v>
          </cell>
          <cell r="D46" t="str">
            <v>KOLA CHAMPAGNE (EXPORT)</v>
          </cell>
          <cell r="F46">
            <v>191</v>
          </cell>
          <cell r="G46">
            <v>642</v>
          </cell>
          <cell r="J46">
            <v>46.2</v>
          </cell>
          <cell r="K46">
            <v>42.372</v>
          </cell>
          <cell r="M46">
            <v>73</v>
          </cell>
          <cell r="N46">
            <v>12</v>
          </cell>
          <cell r="P46">
            <v>8.2857142857142918</v>
          </cell>
          <cell r="Q46">
            <v>26.75</v>
          </cell>
        </row>
        <row r="47">
          <cell r="B47">
            <v>46106</v>
          </cell>
          <cell r="D47" t="str">
            <v>CREAM SODA (EXPORT)</v>
          </cell>
          <cell r="F47">
            <v>466</v>
          </cell>
          <cell r="G47">
            <v>1369</v>
          </cell>
          <cell r="J47">
            <v>92.4</v>
          </cell>
          <cell r="K47">
            <v>90.353999999999999</v>
          </cell>
          <cell r="M47">
            <v>359</v>
          </cell>
          <cell r="N47">
            <v>2</v>
          </cell>
          <cell r="P47">
            <v>2.2142857142857211</v>
          </cell>
          <cell r="Q47">
            <v>57.041666666666664</v>
          </cell>
        </row>
        <row r="48">
          <cell r="B48">
            <v>46107</v>
          </cell>
          <cell r="D48" t="str">
            <v>BANANA (EXPORT)</v>
          </cell>
          <cell r="E48">
            <v>1440</v>
          </cell>
          <cell r="F48">
            <v>314</v>
          </cell>
          <cell r="G48">
            <v>1337</v>
          </cell>
          <cell r="J48">
            <v>92.4</v>
          </cell>
          <cell r="K48">
            <v>88.242000000000004</v>
          </cell>
          <cell r="M48">
            <v>360</v>
          </cell>
          <cell r="N48">
            <v>3</v>
          </cell>
          <cell r="P48">
            <v>4.5000000000000009</v>
          </cell>
          <cell r="Q48">
            <v>55.708333333333336</v>
          </cell>
          <cell r="S48">
            <v>2.3523012552301256E-2</v>
          </cell>
        </row>
        <row r="49">
          <cell r="B49">
            <v>46107</v>
          </cell>
          <cell r="D49" t="str">
            <v>GINGER (EXPORT)</v>
          </cell>
          <cell r="F49">
            <v>264</v>
          </cell>
          <cell r="G49">
            <v>1453</v>
          </cell>
          <cell r="J49">
            <v>92.4</v>
          </cell>
          <cell r="K49">
            <v>95.89800000000001</v>
          </cell>
          <cell r="M49">
            <v>107</v>
          </cell>
          <cell r="P49">
            <v>-3.7857142857142909</v>
          </cell>
          <cell r="Q49">
            <v>60.541666666666664</v>
          </cell>
        </row>
        <row r="50">
          <cell r="B50">
            <v>46107</v>
          </cell>
          <cell r="D50" t="str">
            <v>GRAPE (EXPORT)</v>
          </cell>
          <cell r="F50">
            <v>266</v>
          </cell>
          <cell r="G50">
            <v>1369</v>
          </cell>
          <cell r="J50">
            <v>92.4</v>
          </cell>
          <cell r="K50">
            <v>90.353999999999999</v>
          </cell>
          <cell r="M50">
            <v>97</v>
          </cell>
          <cell r="P50">
            <v>2.2142857142857211</v>
          </cell>
          <cell r="Q50">
            <v>57.041666666666664</v>
          </cell>
        </row>
        <row r="51">
          <cell r="B51">
            <v>46107</v>
          </cell>
          <cell r="D51" t="str">
            <v>JUICY COOL SORREL (EXPORT)</v>
          </cell>
          <cell r="F51">
            <v>178</v>
          </cell>
          <cell r="G51">
            <v>959</v>
          </cell>
          <cell r="J51">
            <v>63.36</v>
          </cell>
          <cell r="K51">
            <v>63.294000000000004</v>
          </cell>
          <cell r="M51">
            <v>109</v>
          </cell>
          <cell r="P51">
            <v>0.1041666666666594</v>
          </cell>
          <cell r="Q51">
            <v>39.958333333333336</v>
          </cell>
        </row>
        <row r="52">
          <cell r="B52">
            <v>46108</v>
          </cell>
          <cell r="D52" t="str">
            <v>JUICY COOL SORREL (EXPORT)</v>
          </cell>
          <cell r="E52">
            <v>1255</v>
          </cell>
          <cell r="F52">
            <v>78</v>
          </cell>
          <cell r="G52">
            <v>331</v>
          </cell>
          <cell r="J52">
            <v>22.44</v>
          </cell>
          <cell r="K52">
            <v>21.846</v>
          </cell>
          <cell r="M52">
            <v>79</v>
          </cell>
          <cell r="N52">
            <v>13</v>
          </cell>
          <cell r="P52">
            <v>2.647058823529417</v>
          </cell>
          <cell r="Q52">
            <v>15.824701195219122</v>
          </cell>
          <cell r="S52">
            <v>1.4814229249011856E-2</v>
          </cell>
        </row>
        <row r="53">
          <cell r="B53">
            <v>46108</v>
          </cell>
          <cell r="D53" t="str">
            <v>STAG</v>
          </cell>
          <cell r="F53">
            <v>830</v>
          </cell>
          <cell r="G53">
            <v>5696</v>
          </cell>
          <cell r="I53">
            <v>10</v>
          </cell>
          <cell r="J53">
            <v>380.41999999999996</v>
          </cell>
          <cell r="K53">
            <v>375.93600000000004</v>
          </cell>
          <cell r="M53">
            <v>311</v>
          </cell>
          <cell r="N53">
            <v>21</v>
          </cell>
          <cell r="P53">
            <v>1.178697229378036</v>
          </cell>
          <cell r="Q53">
            <v>272.31872509960158</v>
          </cell>
          <cell r="S53">
            <v>3.8919924842088428E-2</v>
          </cell>
        </row>
        <row r="54">
          <cell r="B54">
            <v>46111</v>
          </cell>
          <cell r="D54" t="str">
            <v>CARIB AMBER</v>
          </cell>
          <cell r="E54">
            <v>1380</v>
          </cell>
          <cell r="F54">
            <v>919</v>
          </cell>
          <cell r="G54">
            <v>6785</v>
          </cell>
          <cell r="J54">
            <v>454.19999999999993</v>
          </cell>
          <cell r="K54">
            <v>447.81</v>
          </cell>
          <cell r="M54">
            <v>571</v>
          </cell>
          <cell r="N54">
            <v>19</v>
          </cell>
          <cell r="P54">
            <v>1.4068692206076465</v>
          </cell>
          <cell r="Q54">
            <v>295</v>
          </cell>
          <cell r="S54">
            <v>1.8620826709062E-2</v>
          </cell>
        </row>
        <row r="55">
          <cell r="B55">
            <v>46112</v>
          </cell>
          <cell r="D55" t="str">
            <v>CARIB AMBER</v>
          </cell>
          <cell r="E55">
            <v>1440</v>
          </cell>
          <cell r="F55">
            <v>232</v>
          </cell>
          <cell r="G55">
            <v>1596</v>
          </cell>
          <cell r="J55">
            <v>293.60000000000002</v>
          </cell>
          <cell r="K55">
            <v>288.61799999999999</v>
          </cell>
          <cell r="M55">
            <v>73</v>
          </cell>
          <cell r="N55">
            <v>2</v>
          </cell>
          <cell r="P55">
            <v>1.6968664850136335</v>
          </cell>
          <cell r="Q55">
            <v>66.5</v>
          </cell>
          <cell r="S55">
            <v>2.0007117437722419E-2</v>
          </cell>
        </row>
        <row r="56">
          <cell r="B56">
            <v>46112</v>
          </cell>
          <cell r="D56" t="str">
            <v>CARIB FLINT (LOC)</v>
          </cell>
          <cell r="F56">
            <v>145</v>
          </cell>
          <cell r="G56">
            <v>816</v>
          </cell>
          <cell r="M56">
            <v>48</v>
          </cell>
          <cell r="N56">
            <v>1</v>
          </cell>
          <cell r="Q56">
            <v>34</v>
          </cell>
          <cell r="S56">
            <v>2.0007117437722419E-2</v>
          </cell>
        </row>
        <row r="57">
          <cell r="B57">
            <v>46112</v>
          </cell>
          <cell r="D57" t="str">
            <v>CARIB AMBER</v>
          </cell>
          <cell r="F57">
            <v>338</v>
          </cell>
          <cell r="G57">
            <v>1961</v>
          </cell>
          <cell r="M57">
            <v>185</v>
          </cell>
          <cell r="N57">
            <v>10</v>
          </cell>
          <cell r="Q57">
            <v>81.708333333333329</v>
          </cell>
        </row>
        <row r="58">
          <cell r="B58">
            <v>46112</v>
          </cell>
          <cell r="D58" t="str">
            <v>VITA MALT (CLASSIC</v>
          </cell>
          <cell r="F58">
            <v>346</v>
          </cell>
          <cell r="G58">
            <v>2239</v>
          </cell>
          <cell r="J58">
            <v>158.90000000000003</v>
          </cell>
          <cell r="K58">
            <v>158.52119999999999</v>
          </cell>
          <cell r="M58">
            <v>276</v>
          </cell>
          <cell r="N58">
            <v>0</v>
          </cell>
          <cell r="P58">
            <v>0.23838892385150459</v>
          </cell>
          <cell r="Q58">
            <v>93.291666666666671</v>
          </cell>
          <cell r="S58">
            <v>1.2248366013071894E-2</v>
          </cell>
        </row>
      </sheetData>
      <sheetData sheetId="3">
        <row r="8">
          <cell r="B8">
            <v>46113</v>
          </cell>
          <cell r="D8" t="str">
            <v>VITAMALT CLASSIC</v>
          </cell>
          <cell r="E8">
            <v>1440</v>
          </cell>
          <cell r="F8">
            <v>324</v>
          </cell>
          <cell r="G8">
            <v>2482</v>
          </cell>
          <cell r="J8">
            <v>175.9</v>
          </cell>
          <cell r="K8">
            <v>175.72560000000001</v>
          </cell>
          <cell r="M8">
            <v>50</v>
          </cell>
          <cell r="P8">
            <v>9.914724275155852E-2</v>
          </cell>
          <cell r="Q8">
            <v>103.41666666666667</v>
          </cell>
          <cell r="S8">
            <v>1.3222013170272813E-2</v>
          </cell>
        </row>
        <row r="9">
          <cell r="B9">
            <v>46113</v>
          </cell>
          <cell r="D9" t="str">
            <v>VITAMALT GINGER</v>
          </cell>
          <cell r="F9">
            <v>116</v>
          </cell>
          <cell r="G9">
            <v>693</v>
          </cell>
          <cell r="J9">
            <v>50</v>
          </cell>
          <cell r="K9">
            <v>49.064399999999999</v>
          </cell>
          <cell r="M9">
            <v>27</v>
          </cell>
          <cell r="P9">
            <v>1.8712000000000018</v>
          </cell>
          <cell r="Q9">
            <v>28.875</v>
          </cell>
        </row>
        <row r="10">
          <cell r="B10">
            <v>46113</v>
          </cell>
          <cell r="D10" t="str">
            <v>PEARSECCO</v>
          </cell>
          <cell r="F10">
            <v>0</v>
          </cell>
          <cell r="G10">
            <v>0</v>
          </cell>
          <cell r="K10">
            <v>0</v>
          </cell>
          <cell r="M10">
            <v>974</v>
          </cell>
        </row>
        <row r="11">
          <cell r="B11">
            <v>46114</v>
          </cell>
          <cell r="D11" t="str">
            <v>PEARSECCO</v>
          </cell>
          <cell r="E11">
            <v>1440</v>
          </cell>
          <cell r="F11">
            <v>180</v>
          </cell>
          <cell r="G11">
            <v>166</v>
          </cell>
          <cell r="J11">
            <v>11.5</v>
          </cell>
          <cell r="K11">
            <v>10.956000000000001</v>
          </cell>
          <cell r="M11">
            <v>690</v>
          </cell>
          <cell r="N11">
            <v>14</v>
          </cell>
          <cell r="P11">
            <v>4.7304347826086843</v>
          </cell>
          <cell r="Q11">
            <v>6.916666666666667</v>
          </cell>
          <cell r="S11">
            <v>4.6849999999999996E-2</v>
          </cell>
        </row>
        <row r="12">
          <cell r="B12">
            <v>46114</v>
          </cell>
          <cell r="D12" t="str">
            <v>CARIB AMBER</v>
          </cell>
          <cell r="F12">
            <v>550</v>
          </cell>
          <cell r="G12">
            <v>2702</v>
          </cell>
          <cell r="I12">
            <v>3</v>
          </cell>
          <cell r="J12">
            <v>195</v>
          </cell>
          <cell r="K12">
            <v>192.58200000000002</v>
          </cell>
          <cell r="M12">
            <v>339</v>
          </cell>
          <cell r="N12">
            <v>14</v>
          </cell>
          <cell r="P12">
            <v>1.2399999999999887</v>
          </cell>
          <cell r="Q12">
            <v>112.58333333333333</v>
          </cell>
          <cell r="S12">
            <v>1.7084683954619123E-2</v>
          </cell>
        </row>
        <row r="13">
          <cell r="B13">
            <v>46119</v>
          </cell>
          <cell r="D13" t="str">
            <v>PEARSECCO</v>
          </cell>
          <cell r="E13">
            <v>1380</v>
          </cell>
          <cell r="F13">
            <v>517</v>
          </cell>
          <cell r="G13">
            <v>1078</v>
          </cell>
          <cell r="I13">
            <v>1078</v>
          </cell>
          <cell r="J13">
            <v>76</v>
          </cell>
          <cell r="K13">
            <v>71.14800000000001</v>
          </cell>
          <cell r="M13">
            <v>1047</v>
          </cell>
          <cell r="N13">
            <v>37</v>
          </cell>
          <cell r="P13">
            <v>6.3842105263157753</v>
          </cell>
          <cell r="Q13">
            <v>46.869565217391305</v>
          </cell>
          <cell r="S13">
            <v>1.7384044526901669E-2</v>
          </cell>
        </row>
        <row r="14">
          <cell r="B14">
            <v>46119</v>
          </cell>
          <cell r="D14" t="str">
            <v>CARIB AMBER</v>
          </cell>
          <cell r="F14">
            <v>10</v>
          </cell>
          <cell r="G14">
            <v>0</v>
          </cell>
          <cell r="K14">
            <v>0</v>
          </cell>
          <cell r="M14">
            <v>223</v>
          </cell>
          <cell r="Q14" t="e">
            <v>#DIV/0!</v>
          </cell>
        </row>
        <row r="15">
          <cell r="B15">
            <v>46120</v>
          </cell>
          <cell r="D15" t="str">
            <v>CARIB AMBER</v>
          </cell>
          <cell r="E15">
            <v>1440</v>
          </cell>
          <cell r="F15">
            <v>1158</v>
          </cell>
          <cell r="G15">
            <v>8044</v>
          </cell>
          <cell r="J15">
            <v>538.13</v>
          </cell>
          <cell r="K15">
            <v>530.904</v>
          </cell>
          <cell r="M15">
            <v>281</v>
          </cell>
          <cell r="N15">
            <v>59</v>
          </cell>
          <cell r="P15">
            <v>1.3427982086113019</v>
          </cell>
          <cell r="Q15">
            <v>335.16666666666669</v>
          </cell>
          <cell r="S15">
            <v>4.5436647857687654E-2</v>
          </cell>
        </row>
        <row r="16">
          <cell r="B16">
            <v>46120</v>
          </cell>
          <cell r="D16" t="str">
            <v>STAG</v>
          </cell>
          <cell r="F16">
            <v>177</v>
          </cell>
          <cell r="G16">
            <v>1089</v>
          </cell>
          <cell r="J16">
            <v>73.100000000000023</v>
          </cell>
          <cell r="K16">
            <v>71.874000000000009</v>
          </cell>
          <cell r="M16">
            <v>110</v>
          </cell>
          <cell r="N16">
            <v>0</v>
          </cell>
          <cell r="P16">
            <v>1.6771545827633554</v>
          </cell>
          <cell r="Q16">
            <v>45.375</v>
          </cell>
          <cell r="S16">
            <v>2.2325879765395892E-2</v>
          </cell>
        </row>
        <row r="17">
          <cell r="B17">
            <v>38451</v>
          </cell>
          <cell r="D17" t="str">
            <v>STAG</v>
          </cell>
          <cell r="E17">
            <v>1440</v>
          </cell>
          <cell r="F17">
            <v>1399</v>
          </cell>
          <cell r="G17">
            <v>9870</v>
          </cell>
          <cell r="J17">
            <v>661.30000000000007</v>
          </cell>
          <cell r="K17">
            <v>651.42000000000007</v>
          </cell>
          <cell r="M17">
            <v>264</v>
          </cell>
          <cell r="N17">
            <v>17</v>
          </cell>
          <cell r="P17">
            <v>1.4940269166792672</v>
          </cell>
          <cell r="Q17">
            <v>411.25</v>
          </cell>
          <cell r="S17">
            <v>4.2004424587757924E-2</v>
          </cell>
        </row>
        <row r="18">
          <cell r="B18">
            <v>46122</v>
          </cell>
          <cell r="D18" t="str">
            <v>CARIB AMBER</v>
          </cell>
          <cell r="E18">
            <v>1260</v>
          </cell>
          <cell r="F18">
            <v>1009</v>
          </cell>
          <cell r="G18">
            <v>6477</v>
          </cell>
          <cell r="J18">
            <v>434.6</v>
          </cell>
          <cell r="K18">
            <v>427.48200000000003</v>
          </cell>
          <cell r="M18">
            <v>367</v>
          </cell>
          <cell r="N18">
            <v>34</v>
          </cell>
          <cell r="P18">
            <v>1.637827887712838</v>
          </cell>
          <cell r="Q18">
            <v>308.42857142857144</v>
          </cell>
          <cell r="S18">
            <v>4.7319579041949528E-2</v>
          </cell>
        </row>
        <row r="19">
          <cell r="B19">
            <v>46125</v>
          </cell>
          <cell r="D19" t="str">
            <v>CARIBE ROSE'</v>
          </cell>
          <cell r="E19">
            <v>1380</v>
          </cell>
          <cell r="F19">
            <v>555</v>
          </cell>
          <cell r="G19">
            <v>2504</v>
          </cell>
          <cell r="J19">
            <v>174</v>
          </cell>
          <cell r="K19">
            <v>165.26400000000001</v>
          </cell>
          <cell r="M19">
            <v>324</v>
          </cell>
          <cell r="N19">
            <v>5</v>
          </cell>
          <cell r="P19">
            <v>5.0206896551724078</v>
          </cell>
          <cell r="Q19">
            <v>108.8695652173913</v>
          </cell>
          <cell r="S19">
            <v>7.2694995200118129E-2</v>
          </cell>
        </row>
        <row r="20">
          <cell r="B20">
            <v>46125</v>
          </cell>
          <cell r="D20" t="str">
            <v>CARIB AMBER</v>
          </cell>
          <cell r="F20">
            <v>600</v>
          </cell>
          <cell r="G20">
            <v>3830</v>
          </cell>
          <cell r="J20">
            <v>258.60000000000002</v>
          </cell>
          <cell r="K20">
            <v>252.78</v>
          </cell>
          <cell r="M20">
            <v>245</v>
          </cell>
          <cell r="N20">
            <v>5</v>
          </cell>
          <cell r="P20">
            <v>2.2505800464037202</v>
          </cell>
          <cell r="Q20">
            <v>166.52173913043478</v>
          </cell>
        </row>
        <row r="21">
          <cell r="B21">
            <v>46126</v>
          </cell>
          <cell r="D21" t="str">
            <v>CARIB AMBER</v>
          </cell>
          <cell r="E21">
            <v>1440</v>
          </cell>
          <cell r="F21">
            <v>477</v>
          </cell>
          <cell r="G21">
            <v>2898</v>
          </cell>
          <cell r="J21">
            <v>194.9</v>
          </cell>
          <cell r="K21">
            <v>191.268</v>
          </cell>
          <cell r="M21">
            <v>141</v>
          </cell>
          <cell r="N21">
            <v>7</v>
          </cell>
          <cell r="P21">
            <v>1.8635197537198587</v>
          </cell>
          <cell r="Q21">
            <v>120.75</v>
          </cell>
          <cell r="S21">
            <v>2.2402869097429765E-2</v>
          </cell>
        </row>
        <row r="22">
          <cell r="B22">
            <v>46126</v>
          </cell>
          <cell r="D22" t="str">
            <v xml:space="preserve">SHANDY LIME ( LOC ) </v>
          </cell>
          <cell r="F22">
            <v>367</v>
          </cell>
          <cell r="G22">
            <v>1761</v>
          </cell>
          <cell r="J22">
            <v>198</v>
          </cell>
          <cell r="K22">
            <v>190.93800000000002</v>
          </cell>
          <cell r="M22">
            <v>170</v>
          </cell>
          <cell r="P22">
            <v>3.5666666666666584</v>
          </cell>
          <cell r="Q22">
            <v>73.375</v>
          </cell>
          <cell r="S22">
            <v>2.1436197254702593E-2</v>
          </cell>
        </row>
        <row r="23">
          <cell r="B23">
            <v>46126</v>
          </cell>
          <cell r="D23" t="str">
            <v>SHANDY LIME( EXP)</v>
          </cell>
          <cell r="F23">
            <v>455</v>
          </cell>
          <cell r="G23">
            <v>1132</v>
          </cell>
          <cell r="M23">
            <v>312</v>
          </cell>
          <cell r="Q23">
            <v>47.166666666666664</v>
          </cell>
          <cell r="S23">
            <v>3.9666039510818436E-2</v>
          </cell>
        </row>
        <row r="24">
          <cell r="B24">
            <v>46126</v>
          </cell>
          <cell r="D24" t="str">
            <v>SHANDY SORREL(EXP</v>
          </cell>
          <cell r="F24">
            <v>30</v>
          </cell>
          <cell r="G24">
            <v>242</v>
          </cell>
          <cell r="J24">
            <v>16</v>
          </cell>
          <cell r="K24">
            <v>15.972000000000001</v>
          </cell>
          <cell r="M24">
            <v>30</v>
          </cell>
          <cell r="N24">
            <v>2</v>
          </cell>
          <cell r="P24">
            <v>0.17499999999999183</v>
          </cell>
          <cell r="Q24">
            <v>10.083333333333334</v>
          </cell>
          <cell r="S24">
            <v>3.9896593673965933E-2</v>
          </cell>
        </row>
        <row r="25">
          <cell r="B25">
            <v>46127</v>
          </cell>
          <cell r="D25" t="str">
            <v>SHANDY SORREL(EXP</v>
          </cell>
          <cell r="E25">
            <v>1435</v>
          </cell>
          <cell r="F25">
            <v>114</v>
          </cell>
          <cell r="G25">
            <v>700</v>
          </cell>
          <cell r="J25">
            <v>166.5</v>
          </cell>
          <cell r="K25">
            <v>164.01000000000002</v>
          </cell>
          <cell r="M25">
            <v>38</v>
          </cell>
          <cell r="N25">
            <v>2</v>
          </cell>
          <cell r="P25">
            <v>1.4954954954954838</v>
          </cell>
          <cell r="Q25">
            <v>29.268292682926827</v>
          </cell>
          <cell r="S25">
            <v>2.6112401300510915E-2</v>
          </cell>
        </row>
        <row r="26">
          <cell r="B26">
            <v>46127</v>
          </cell>
          <cell r="D26" t="str">
            <v>SHANDY SOREL (LOC)</v>
          </cell>
          <cell r="F26">
            <v>323</v>
          </cell>
          <cell r="G26">
            <v>1785</v>
          </cell>
          <cell r="M26">
            <v>104</v>
          </cell>
          <cell r="Q26">
            <v>74.634146341463406</v>
          </cell>
          <cell r="S26">
            <v>3.9896593673965933E-2</v>
          </cell>
        </row>
        <row r="27">
          <cell r="B27">
            <v>46127</v>
          </cell>
          <cell r="D27" t="str">
            <v>STAG</v>
          </cell>
          <cell r="F27">
            <v>845</v>
          </cell>
          <cell r="G27">
            <v>4936</v>
          </cell>
          <cell r="J27">
            <v>340</v>
          </cell>
          <cell r="K27">
            <v>332.42599999999999</v>
          </cell>
          <cell r="M27">
            <v>314</v>
          </cell>
          <cell r="N27">
            <v>2</v>
          </cell>
          <cell r="P27">
            <v>2.2276470588235333</v>
          </cell>
          <cell r="Q27">
            <v>206.38327526132403</v>
          </cell>
          <cell r="S27">
            <v>2.9212782540919718E-2</v>
          </cell>
        </row>
        <row r="28">
          <cell r="B28">
            <v>46128</v>
          </cell>
          <cell r="D28" t="str">
            <v>STAG</v>
          </cell>
          <cell r="E28">
            <v>1432</v>
          </cell>
          <cell r="F28">
            <v>509</v>
          </cell>
          <cell r="G28">
            <v>3351</v>
          </cell>
          <cell r="J28">
            <v>224.2</v>
          </cell>
          <cell r="K28">
            <v>221.166</v>
          </cell>
          <cell r="M28">
            <v>173</v>
          </cell>
          <cell r="N28">
            <v>23</v>
          </cell>
          <cell r="P28">
            <v>1.3532560214094522</v>
          </cell>
          <cell r="Q28">
            <v>140.40502793296088</v>
          </cell>
          <cell r="S28">
            <v>2.2424521354933724E-2</v>
          </cell>
        </row>
        <row r="29">
          <cell r="B29">
            <v>46128</v>
          </cell>
          <cell r="D29" t="str">
            <v>CARIB AMBER</v>
          </cell>
          <cell r="F29">
            <v>840</v>
          </cell>
          <cell r="G29">
            <v>6081</v>
          </cell>
          <cell r="I29">
            <v>21</v>
          </cell>
          <cell r="J29">
            <v>408</v>
          </cell>
          <cell r="K29">
            <v>401.346</v>
          </cell>
          <cell r="M29">
            <v>137</v>
          </cell>
          <cell r="N29">
            <v>3</v>
          </cell>
          <cell r="P29">
            <v>1.6308823529411753</v>
          </cell>
          <cell r="Q29">
            <v>254.79050279329607</v>
          </cell>
          <cell r="S29">
            <v>2.3917417417417416E-2</v>
          </cell>
        </row>
        <row r="30">
          <cell r="B30">
            <v>46129</v>
          </cell>
          <cell r="D30" t="str">
            <v>CARIB AMBER</v>
          </cell>
          <cell r="E30">
            <v>1198</v>
          </cell>
          <cell r="F30">
            <v>355</v>
          </cell>
          <cell r="G30">
            <v>2420</v>
          </cell>
          <cell r="J30">
            <v>162.5</v>
          </cell>
          <cell r="K30">
            <v>159.72</v>
          </cell>
          <cell r="M30">
            <v>142</v>
          </cell>
          <cell r="N30">
            <v>11</v>
          </cell>
          <cell r="P30">
            <v>1.7107692307692313</v>
          </cell>
          <cell r="Q30">
            <v>121.20200333889818</v>
          </cell>
          <cell r="S30">
            <v>2.1775116195924201E-2</v>
          </cell>
        </row>
        <row r="31">
          <cell r="B31">
            <v>46129</v>
          </cell>
          <cell r="D31" t="str">
            <v>GINSENG APPLE</v>
          </cell>
          <cell r="F31">
            <v>517</v>
          </cell>
          <cell r="G31">
            <v>2589</v>
          </cell>
          <cell r="J31">
            <v>174.6</v>
          </cell>
          <cell r="K31">
            <v>170.874</v>
          </cell>
          <cell r="M31">
            <v>414</v>
          </cell>
          <cell r="N31">
            <v>1</v>
          </cell>
          <cell r="P31">
            <v>2.1340206185567006</v>
          </cell>
          <cell r="Q31">
            <v>129.6661101836394</v>
          </cell>
          <cell r="S31">
            <v>3.1851050679851667E-2</v>
          </cell>
        </row>
        <row r="32">
          <cell r="B32">
            <v>46132</v>
          </cell>
          <cell r="D32" t="str">
            <v>GINSENG APPLE (medium)</v>
          </cell>
          <cell r="E32">
            <v>1380</v>
          </cell>
          <cell r="F32">
            <v>495</v>
          </cell>
          <cell r="G32">
            <v>2693</v>
          </cell>
          <cell r="I32">
            <v>239</v>
          </cell>
          <cell r="J32">
            <v>180.1</v>
          </cell>
          <cell r="K32">
            <v>177.738</v>
          </cell>
          <cell r="M32">
            <v>522</v>
          </cell>
          <cell r="N32">
            <v>5</v>
          </cell>
          <cell r="P32">
            <v>1.3114936146585201</v>
          </cell>
          <cell r="Q32">
            <v>117.08695652173913</v>
          </cell>
          <cell r="S32">
            <v>5.4057692307692307E-2</v>
          </cell>
        </row>
        <row r="33">
          <cell r="B33">
            <v>46132</v>
          </cell>
          <cell r="D33" t="str">
            <v>GINSENG APPLE (SHORT)</v>
          </cell>
          <cell r="F33">
            <v>241</v>
          </cell>
          <cell r="M33">
            <v>58</v>
          </cell>
          <cell r="S33">
            <v>2.2352099236641217E-2</v>
          </cell>
        </row>
        <row r="34">
          <cell r="B34">
            <v>46132</v>
          </cell>
          <cell r="D34" t="str">
            <v>CARIB AMBER</v>
          </cell>
          <cell r="F34">
            <v>213</v>
          </cell>
          <cell r="G34">
            <v>1192</v>
          </cell>
          <cell r="J34">
            <v>78.8</v>
          </cell>
          <cell r="K34">
            <v>78.671999999999997</v>
          </cell>
          <cell r="M34">
            <v>216</v>
          </cell>
          <cell r="N34">
            <v>4</v>
          </cell>
          <cell r="P34">
            <v>0.16243654822335041</v>
          </cell>
          <cell r="Q34">
            <v>51.826086956521742</v>
          </cell>
          <cell r="S34">
            <v>8.5130224106602058E-3</v>
          </cell>
        </row>
        <row r="35">
          <cell r="B35">
            <v>46133</v>
          </cell>
          <cell r="D35" t="str">
            <v>CARIB AMBER</v>
          </cell>
          <cell r="E35">
            <v>1435</v>
          </cell>
          <cell r="F35">
            <v>726</v>
          </cell>
          <cell r="G35">
            <v>4590</v>
          </cell>
          <cell r="I35">
            <v>5.2</v>
          </cell>
          <cell r="J35">
            <v>305.8</v>
          </cell>
          <cell r="K35">
            <v>302.94</v>
          </cell>
          <cell r="M35">
            <v>207</v>
          </cell>
          <cell r="N35">
            <v>13</v>
          </cell>
          <cell r="P35">
            <v>0.93525179856115548</v>
          </cell>
          <cell r="Q35">
            <v>191.91637630662021</v>
          </cell>
          <cell r="S35">
            <v>3.4119253527537551E-2</v>
          </cell>
        </row>
        <row r="36">
          <cell r="B36">
            <v>46133</v>
          </cell>
          <cell r="D36" t="str">
            <v>STAG</v>
          </cell>
          <cell r="F36">
            <v>667</v>
          </cell>
          <cell r="G36">
            <v>3311</v>
          </cell>
          <cell r="J36">
            <v>221.5</v>
          </cell>
          <cell r="K36">
            <v>218.52600000000001</v>
          </cell>
          <cell r="M36">
            <v>309</v>
          </cell>
          <cell r="N36">
            <v>11</v>
          </cell>
          <cell r="P36">
            <v>1.3426636568848711</v>
          </cell>
          <cell r="Q36">
            <v>138.4390243902439</v>
          </cell>
          <cell r="S36">
            <v>2.2406521739130433E-2</v>
          </cell>
        </row>
        <row r="37">
          <cell r="B37">
            <v>46134</v>
          </cell>
          <cell r="D37" t="str">
            <v>STAG</v>
          </cell>
          <cell r="E37">
            <v>1436</v>
          </cell>
          <cell r="F37">
            <v>290</v>
          </cell>
          <cell r="G37">
            <v>2258</v>
          </cell>
          <cell r="I37">
            <v>368</v>
          </cell>
          <cell r="J37">
            <v>151.5</v>
          </cell>
          <cell r="K37">
            <v>149.02800000000002</v>
          </cell>
          <cell r="M37">
            <v>84</v>
          </cell>
          <cell r="N37">
            <v>10</v>
          </cell>
          <cell r="P37">
            <v>1.6316831683168185</v>
          </cell>
          <cell r="Q37">
            <v>94.345403899721447</v>
          </cell>
          <cell r="S37">
            <v>2.4266752994496599E-2</v>
          </cell>
        </row>
        <row r="38">
          <cell r="B38">
            <v>46134</v>
          </cell>
          <cell r="D38" t="str">
            <v>GUINNESS</v>
          </cell>
          <cell r="F38">
            <v>1046</v>
          </cell>
          <cell r="G38">
            <v>5582</v>
          </cell>
          <cell r="J38">
            <v>373.7</v>
          </cell>
          <cell r="K38">
            <v>368.41200000000003</v>
          </cell>
          <cell r="M38">
            <v>398</v>
          </cell>
          <cell r="N38">
            <v>5</v>
          </cell>
          <cell r="P38">
            <v>1.4150388011774029</v>
          </cell>
          <cell r="Q38">
            <v>233.23119777158774</v>
          </cell>
          <cell r="S38">
            <v>2.4174406604747158E-2</v>
          </cell>
        </row>
        <row r="39">
          <cell r="B39">
            <v>46135</v>
          </cell>
          <cell r="D39" t="str">
            <v>CARIB EXPORT (explorer)</v>
          </cell>
          <cell r="E39">
            <v>1440</v>
          </cell>
          <cell r="F39">
            <v>727</v>
          </cell>
          <cell r="G39">
            <v>2102</v>
          </cell>
          <cell r="J39">
            <v>245.2</v>
          </cell>
          <cell r="K39">
            <v>241.69200000000001</v>
          </cell>
          <cell r="M39">
            <v>524</v>
          </cell>
          <cell r="N39">
            <v>15</v>
          </cell>
          <cell r="P39">
            <v>1.4306688417618194</v>
          </cell>
          <cell r="Q39">
            <v>87.583333333333329</v>
          </cell>
          <cell r="S39">
            <v>3.1513452914798207E-2</v>
          </cell>
        </row>
        <row r="40">
          <cell r="B40">
            <v>46135</v>
          </cell>
          <cell r="D40" t="str">
            <v>CARIB AMBER (SHORT)</v>
          </cell>
          <cell r="F40">
            <v>560</v>
          </cell>
          <cell r="G40">
            <v>1560</v>
          </cell>
          <cell r="M40">
            <v>363</v>
          </cell>
          <cell r="Q40">
            <v>65</v>
          </cell>
          <cell r="S40">
            <v>2.3994878361075542E-2</v>
          </cell>
        </row>
        <row r="41">
          <cell r="B41">
            <v>46136</v>
          </cell>
          <cell r="D41" t="str">
            <v>CARIB AMBER (SHORT)</v>
          </cell>
          <cell r="E41">
            <v>1260</v>
          </cell>
          <cell r="F41">
            <v>58</v>
          </cell>
          <cell r="G41">
            <v>2620</v>
          </cell>
          <cell r="J41">
            <v>225.8</v>
          </cell>
          <cell r="K41">
            <v>224.334</v>
          </cell>
          <cell r="M41">
            <v>84</v>
          </cell>
          <cell r="N41">
            <v>15</v>
          </cell>
          <cell r="P41">
            <v>0.64924712134632778</v>
          </cell>
          <cell r="Q41">
            <v>124.76190476190476</v>
          </cell>
          <cell r="S41">
            <v>3.4630411826821535E-2</v>
          </cell>
        </row>
        <row r="42">
          <cell r="B42">
            <v>46136</v>
          </cell>
          <cell r="D42" t="str">
            <v>CARIB AMBER</v>
          </cell>
          <cell r="F42">
            <v>582</v>
          </cell>
          <cell r="G42">
            <v>779</v>
          </cell>
          <cell r="M42">
            <v>807</v>
          </cell>
          <cell r="Q42">
            <v>37.095238095238095</v>
          </cell>
          <cell r="S42">
            <v>2.8147530040053406E-2</v>
          </cell>
        </row>
        <row r="43">
          <cell r="B43">
            <v>46139</v>
          </cell>
          <cell r="D43" t="str">
            <v xml:space="preserve">STAR MALT </v>
          </cell>
          <cell r="E43">
            <v>1380</v>
          </cell>
          <cell r="F43">
            <v>1078</v>
          </cell>
          <cell r="G43">
            <v>5916</v>
          </cell>
          <cell r="J43">
            <v>400.5</v>
          </cell>
          <cell r="K43">
            <v>390.45600000000002</v>
          </cell>
          <cell r="M43">
            <v>549</v>
          </cell>
          <cell r="N43">
            <v>17</v>
          </cell>
          <cell r="P43">
            <v>2.5078651685393214</v>
          </cell>
          <cell r="Q43">
            <v>257.21739130434781</v>
          </cell>
          <cell r="S43">
            <v>1.704324979789814E-2</v>
          </cell>
        </row>
        <row r="44">
          <cell r="B44">
            <v>46140</v>
          </cell>
          <cell r="D44" t="str">
            <v>CARIB</v>
          </cell>
          <cell r="E44">
            <v>1436</v>
          </cell>
          <cell r="F44">
            <v>1412</v>
          </cell>
          <cell r="G44">
            <v>6856</v>
          </cell>
          <cell r="J44">
            <v>473.6</v>
          </cell>
          <cell r="K44">
            <v>460.09600000000006</v>
          </cell>
          <cell r="M44">
            <v>659</v>
          </cell>
          <cell r="N44">
            <v>13</v>
          </cell>
          <cell r="P44">
            <v>2.8513513513513433</v>
          </cell>
          <cell r="Q44">
            <v>286.46239554317549</v>
          </cell>
          <cell r="S44">
            <v>8.3160606388846134E-2</v>
          </cell>
        </row>
        <row r="45">
          <cell r="B45">
            <v>46141</v>
          </cell>
          <cell r="D45" t="str">
            <v>CARIB AMBER</v>
          </cell>
          <cell r="E45">
            <v>1427</v>
          </cell>
          <cell r="F45">
            <v>909</v>
          </cell>
          <cell r="G45">
            <v>5627</v>
          </cell>
          <cell r="J45">
            <v>379.1</v>
          </cell>
          <cell r="K45">
            <v>371.38200000000001</v>
          </cell>
          <cell r="M45">
            <v>174</v>
          </cell>
          <cell r="N45">
            <v>20</v>
          </cell>
          <cell r="P45">
            <v>2.035874439461888</v>
          </cell>
          <cell r="Q45">
            <v>236.59425367904694</v>
          </cell>
          <cell r="S45">
            <v>1.6473277074542894E-2</v>
          </cell>
        </row>
        <row r="46">
          <cell r="B46">
            <v>46141</v>
          </cell>
          <cell r="D46" t="str">
            <v>STAG</v>
          </cell>
          <cell r="F46">
            <v>430</v>
          </cell>
          <cell r="G46">
            <v>3012</v>
          </cell>
          <cell r="J46">
            <v>204.00000000000003</v>
          </cell>
          <cell r="K46">
            <v>201.072</v>
          </cell>
          <cell r="M46">
            <v>166</v>
          </cell>
          <cell r="N46">
            <v>4</v>
          </cell>
          <cell r="P46">
            <v>1.4352941176470713</v>
          </cell>
          <cell r="Q46">
            <v>126.64330763840223</v>
          </cell>
          <cell r="S46">
            <v>2.2609445018958976E-2</v>
          </cell>
        </row>
        <row r="47">
          <cell r="B47">
            <v>46142</v>
          </cell>
          <cell r="D47" t="str">
            <v>STAG</v>
          </cell>
          <cell r="E47">
            <v>1320</v>
          </cell>
          <cell r="F47">
            <v>362</v>
          </cell>
          <cell r="G47">
            <v>2445</v>
          </cell>
          <cell r="I47">
            <v>3</v>
          </cell>
          <cell r="J47">
            <v>164.10000000000002</v>
          </cell>
          <cell r="K47">
            <v>161.37</v>
          </cell>
          <cell r="M47">
            <v>109</v>
          </cell>
          <cell r="N47">
            <v>17</v>
          </cell>
          <cell r="P47">
            <v>1.6636197440585119</v>
          </cell>
          <cell r="Q47">
            <v>111.13636363636364</v>
          </cell>
          <cell r="S47">
            <v>2.0369565217391306E-2</v>
          </cell>
        </row>
        <row r="48">
          <cell r="B48">
            <v>46142</v>
          </cell>
          <cell r="D48" t="str">
            <v>GINSENG ORIGINAL</v>
          </cell>
          <cell r="F48">
            <v>814</v>
          </cell>
          <cell r="G48">
            <v>3733</v>
          </cell>
          <cell r="I48">
            <v>1703</v>
          </cell>
          <cell r="J48">
            <v>252.38</v>
          </cell>
          <cell r="K48">
            <v>246.37800000000001</v>
          </cell>
          <cell r="M48">
            <v>346</v>
          </cell>
          <cell r="N48">
            <v>41</v>
          </cell>
          <cell r="P48">
            <v>2.3781599175845871</v>
          </cell>
          <cell r="Q48">
            <v>169.68181818181819</v>
          </cell>
          <cell r="S48">
            <v>2.6394366197183095E-2</v>
          </cell>
        </row>
        <row r="49">
          <cell r="M49">
            <v>0</v>
          </cell>
        </row>
        <row r="50">
          <cell r="M50">
            <v>0</v>
          </cell>
        </row>
      </sheetData>
      <sheetData sheetId="4">
        <row r="8">
          <cell r="B8">
            <v>46146</v>
          </cell>
          <cell r="D8" t="str">
            <v>GINSENG ORIGINAL</v>
          </cell>
          <cell r="E8">
            <v>1382</v>
          </cell>
          <cell r="F8">
            <v>222</v>
          </cell>
          <cell r="G8">
            <v>733</v>
          </cell>
          <cell r="K8">
            <v>49.5</v>
          </cell>
          <cell r="L8">
            <v>48.378</v>
          </cell>
          <cell r="O8">
            <v>15</v>
          </cell>
          <cell r="Q8">
            <v>2.2666666666666666</v>
          </cell>
          <cell r="R8">
            <v>31.823444283646886</v>
          </cell>
          <cell r="T8">
            <v>3.0422077922077923E-2</v>
          </cell>
        </row>
        <row r="9">
          <cell r="B9">
            <v>46146</v>
          </cell>
          <cell r="D9" t="str">
            <v xml:space="preserve">VITA MALT ( CLASSIC ) </v>
          </cell>
          <cell r="F9">
            <v>737</v>
          </cell>
          <cell r="G9">
            <v>4662</v>
          </cell>
          <cell r="I9">
            <v>276</v>
          </cell>
          <cell r="K9">
            <v>332.3</v>
          </cell>
          <cell r="L9">
            <v>330.06960000000004</v>
          </cell>
          <cell r="O9">
            <v>17</v>
          </cell>
          <cell r="Q9">
            <v>0.67120072223893312</v>
          </cell>
          <cell r="R9">
            <v>202.4023154848046</v>
          </cell>
          <cell r="T9">
            <v>6.0046593268740574E-2</v>
          </cell>
        </row>
        <row r="10">
          <cell r="B10">
            <v>46147</v>
          </cell>
          <cell r="D10" t="str">
            <v>CARIB FLINT (LOCAL)</v>
          </cell>
          <cell r="E10">
            <v>1440</v>
          </cell>
          <cell r="F10">
            <v>1063</v>
          </cell>
          <cell r="G10">
            <v>2128</v>
          </cell>
          <cell r="K10">
            <v>183</v>
          </cell>
          <cell r="L10">
            <v>182.02800000000002</v>
          </cell>
          <cell r="O10">
            <v>48</v>
          </cell>
          <cell r="Q10">
            <v>0.53114754098359562</v>
          </cell>
          <cell r="R10">
            <v>88.666666666666671</v>
          </cell>
          <cell r="T10">
            <v>2.4228960977903148E-2</v>
          </cell>
        </row>
        <row r="11">
          <cell r="B11">
            <v>46147</v>
          </cell>
          <cell r="D11" t="str">
            <v>CARIB AMBER</v>
          </cell>
          <cell r="F11">
            <v>107</v>
          </cell>
          <cell r="G11">
            <v>630</v>
          </cell>
          <cell r="R11">
            <v>26.25</v>
          </cell>
        </row>
        <row r="12">
          <cell r="B12">
            <v>46148</v>
          </cell>
          <cell r="D12" t="str">
            <v>CARIB AMBER</v>
          </cell>
          <cell r="E12">
            <v>1432</v>
          </cell>
          <cell r="F12">
            <v>1426</v>
          </cell>
          <cell r="G12">
            <v>10035</v>
          </cell>
          <cell r="I12">
            <v>3</v>
          </cell>
          <cell r="K12">
            <v>686.2</v>
          </cell>
          <cell r="L12">
            <v>671.24</v>
          </cell>
          <cell r="O12">
            <v>29.2</v>
          </cell>
          <cell r="Q12">
            <v>2.180122413290591</v>
          </cell>
          <cell r="R12">
            <v>420.46089385474858</v>
          </cell>
          <cell r="T12">
            <v>3.9938396705912628E-2</v>
          </cell>
        </row>
        <row r="13">
          <cell r="B13">
            <v>46149</v>
          </cell>
          <cell r="D13" t="str">
            <v>CARIB AMBER</v>
          </cell>
          <cell r="E13">
            <v>1434</v>
          </cell>
          <cell r="F13">
            <v>234</v>
          </cell>
          <cell r="G13">
            <v>2745</v>
          </cell>
          <cell r="K13">
            <v>184.1</v>
          </cell>
          <cell r="L13">
            <v>181.17000000000002</v>
          </cell>
          <cell r="O13">
            <v>14</v>
          </cell>
          <cell r="Q13">
            <v>1.5915263443780439</v>
          </cell>
          <cell r="R13">
            <v>114.85355648535565</v>
          </cell>
          <cell r="T13">
            <v>2.1056179775280896E-2</v>
          </cell>
        </row>
        <row r="14">
          <cell r="B14">
            <v>46149</v>
          </cell>
          <cell r="D14" t="str">
            <v>TING ORIGINAL</v>
          </cell>
          <cell r="F14">
            <v>293</v>
          </cell>
          <cell r="G14">
            <v>1777</v>
          </cell>
          <cell r="I14">
            <v>170</v>
          </cell>
          <cell r="K14">
            <v>118.80000000000001</v>
          </cell>
          <cell r="L14">
            <v>117.28200000000001</v>
          </cell>
          <cell r="O14">
            <v>5</v>
          </cell>
          <cell r="Q14">
            <v>1.2777777777777781</v>
          </cell>
          <cell r="R14">
            <v>74.351464435146454</v>
          </cell>
          <cell r="T14">
            <v>2.0298960138648178E-2</v>
          </cell>
        </row>
        <row r="15">
          <cell r="B15">
            <v>46149</v>
          </cell>
          <cell r="D15" t="str">
            <v>STAG</v>
          </cell>
          <cell r="F15">
            <v>385</v>
          </cell>
          <cell r="G15">
            <v>3071</v>
          </cell>
          <cell r="I15">
            <v>6</v>
          </cell>
          <cell r="K15">
            <v>210.20000000000002</v>
          </cell>
          <cell r="L15">
            <v>208.386</v>
          </cell>
          <cell r="O15">
            <v>2</v>
          </cell>
          <cell r="Q15">
            <v>0.86298763082779306</v>
          </cell>
          <cell r="R15">
            <v>128.4937238493724</v>
          </cell>
          <cell r="T15">
            <v>1.9246833276275247E-2</v>
          </cell>
        </row>
        <row r="16">
          <cell r="B16">
            <v>46150</v>
          </cell>
          <cell r="D16" t="str">
            <v>STAG</v>
          </cell>
          <cell r="E16">
            <v>1280</v>
          </cell>
          <cell r="F16">
            <v>696</v>
          </cell>
          <cell r="G16">
            <v>5141</v>
          </cell>
          <cell r="K16">
            <v>344.4</v>
          </cell>
          <cell r="L16">
            <v>339.30600000000004</v>
          </cell>
          <cell r="O16">
            <v>8</v>
          </cell>
          <cell r="Q16">
            <v>1.4790940766550342</v>
          </cell>
          <cell r="R16">
            <v>240.984375</v>
          </cell>
          <cell r="T16">
            <v>1.8284299009306514E-2</v>
          </cell>
        </row>
        <row r="17">
          <cell r="B17">
            <v>46150</v>
          </cell>
          <cell r="D17" t="str">
            <v>GUINNESS</v>
          </cell>
          <cell r="F17">
            <v>190</v>
          </cell>
          <cell r="G17">
            <v>1427</v>
          </cell>
          <cell r="K17">
            <v>94.2</v>
          </cell>
          <cell r="L17">
            <v>94.182000000000002</v>
          </cell>
          <cell r="Q17">
            <v>1.9108280254777794E-2</v>
          </cell>
          <cell r="R17">
            <v>66.890625</v>
          </cell>
          <cell r="T17">
            <v>4.5878366861952485E-2</v>
          </cell>
        </row>
        <row r="18">
          <cell r="B18">
            <v>46151</v>
          </cell>
          <cell r="D18" t="str">
            <v>GUINNESS</v>
          </cell>
          <cell r="E18">
            <v>911</v>
          </cell>
          <cell r="F18">
            <v>845</v>
          </cell>
          <cell r="G18">
            <v>5853</v>
          </cell>
          <cell r="K18">
            <v>386.9</v>
          </cell>
          <cell r="L18">
            <v>386.298</v>
          </cell>
          <cell r="O18">
            <v>12</v>
          </cell>
          <cell r="Q18">
            <v>0.15559576117859278</v>
          </cell>
          <cell r="R18">
            <v>385.48847420417121</v>
          </cell>
          <cell r="T18">
            <v>1.6267361111111111E-2</v>
          </cell>
        </row>
        <row r="19">
          <cell r="B19">
            <v>46153</v>
          </cell>
          <cell r="D19" t="str">
            <v>CARIB AMBER</v>
          </cell>
          <cell r="E19">
            <v>1350</v>
          </cell>
          <cell r="F19">
            <v>844</v>
          </cell>
          <cell r="G19">
            <v>6901</v>
          </cell>
          <cell r="K19">
            <v>464.5</v>
          </cell>
          <cell r="L19">
            <v>455.46600000000001</v>
          </cell>
          <cell r="O19">
            <v>12</v>
          </cell>
          <cell r="Q19">
            <v>1.9448869752421942</v>
          </cell>
          <cell r="R19">
            <v>306.71111111111111</v>
          </cell>
          <cell r="T19">
            <v>3.7093139040680019E-2</v>
          </cell>
        </row>
        <row r="20">
          <cell r="B20">
            <v>46154</v>
          </cell>
          <cell r="D20" t="str">
            <v>CARIB AMBER</v>
          </cell>
          <cell r="E20">
            <v>1435</v>
          </cell>
          <cell r="F20">
            <v>385</v>
          </cell>
          <cell r="G20">
            <v>2933</v>
          </cell>
          <cell r="K20">
            <v>197</v>
          </cell>
          <cell r="L20">
            <v>193.578</v>
          </cell>
          <cell r="Q20">
            <v>1.7370558375634504</v>
          </cell>
          <cell r="R20">
            <v>122.63414634146341</v>
          </cell>
          <cell r="T20">
            <v>3.4459086730003065E-2</v>
          </cell>
        </row>
        <row r="21">
          <cell r="B21">
            <v>46154</v>
          </cell>
          <cell r="D21" t="str">
            <v>STAG</v>
          </cell>
          <cell r="F21">
            <v>908</v>
          </cell>
          <cell r="G21">
            <v>6141</v>
          </cell>
          <cell r="K21">
            <v>412.70000000000005</v>
          </cell>
          <cell r="L21">
            <v>405.30600000000004</v>
          </cell>
          <cell r="O21">
            <v>5</v>
          </cell>
          <cell r="Q21">
            <v>1.7916161860915931</v>
          </cell>
          <cell r="R21">
            <v>256.76655052264806</v>
          </cell>
          <cell r="T21">
            <v>2.0688478522681651E-2</v>
          </cell>
        </row>
        <row r="22">
          <cell r="B22">
            <v>46155</v>
          </cell>
          <cell r="D22" t="str">
            <v>STAG</v>
          </cell>
          <cell r="E22">
            <v>1429</v>
          </cell>
          <cell r="F22">
            <v>141</v>
          </cell>
          <cell r="G22">
            <v>924</v>
          </cell>
          <cell r="K22">
            <v>61.9</v>
          </cell>
          <cell r="L22">
            <v>60.984000000000002</v>
          </cell>
          <cell r="O22">
            <v>2</v>
          </cell>
          <cell r="Q22">
            <v>1.4798061389337589</v>
          </cell>
          <cell r="R22">
            <v>38.796361091672502</v>
          </cell>
          <cell r="T22">
            <v>4.4170333123821494E-2</v>
          </cell>
        </row>
        <row r="23">
          <cell r="B23">
            <v>46155</v>
          </cell>
          <cell r="D23" t="str">
            <v>CARIB AMBER</v>
          </cell>
          <cell r="F23">
            <v>1159</v>
          </cell>
          <cell r="G23">
            <v>7532</v>
          </cell>
          <cell r="K23">
            <v>507.20000000000005</v>
          </cell>
          <cell r="L23">
            <v>497.11200000000002</v>
          </cell>
          <cell r="O23">
            <v>8</v>
          </cell>
          <cell r="Q23">
            <v>1.9889589905362819</v>
          </cell>
          <cell r="R23">
            <v>316.24912526242127</v>
          </cell>
          <cell r="T23">
            <v>3.8980637686943598E-2</v>
          </cell>
        </row>
        <row r="24">
          <cell r="B24">
            <v>46156</v>
          </cell>
          <cell r="D24" t="str">
            <v>CARIB AMBER</v>
          </cell>
          <cell r="E24">
            <v>1471</v>
          </cell>
          <cell r="F24">
            <v>52</v>
          </cell>
          <cell r="G24">
            <v>422</v>
          </cell>
          <cell r="K24">
            <v>28.3</v>
          </cell>
          <cell r="L24">
            <v>27.852</v>
          </cell>
          <cell r="Q24">
            <v>1.5830388692579518</v>
          </cell>
          <cell r="R24">
            <v>17.212780421481984</v>
          </cell>
          <cell r="T24">
            <v>2.5120643431635385E-2</v>
          </cell>
        </row>
        <row r="25">
          <cell r="B25">
            <v>46156</v>
          </cell>
          <cell r="D25" t="str">
            <v>STAG</v>
          </cell>
          <cell r="F25">
            <v>256</v>
          </cell>
          <cell r="G25">
            <v>2773</v>
          </cell>
          <cell r="K25">
            <v>189.1</v>
          </cell>
          <cell r="L25">
            <v>183.018</v>
          </cell>
          <cell r="O25">
            <v>7</v>
          </cell>
          <cell r="Q25">
            <v>3.2162876784769932</v>
          </cell>
          <cell r="R25">
            <v>113.10673011556764</v>
          </cell>
          <cell r="T25">
            <v>1.0967616074912211E-2</v>
          </cell>
        </row>
        <row r="26">
          <cell r="B26">
            <v>46156</v>
          </cell>
          <cell r="D26" t="str">
            <v>SHANDY SORREL (LOC)</v>
          </cell>
          <cell r="F26">
            <v>342</v>
          </cell>
          <cell r="G26">
            <v>2581</v>
          </cell>
          <cell r="K26">
            <v>175.5</v>
          </cell>
          <cell r="L26">
            <v>170.346</v>
          </cell>
          <cell r="O26">
            <v>4</v>
          </cell>
          <cell r="Q26">
            <v>2.9367521367521348</v>
          </cell>
          <cell r="R26">
            <v>105.27532290958533</v>
          </cell>
          <cell r="T26">
            <v>1.0967616074912211E-2</v>
          </cell>
        </row>
        <row r="27">
          <cell r="B27">
            <v>46156</v>
          </cell>
          <cell r="D27" t="str">
            <v>MACKESON</v>
          </cell>
          <cell r="F27">
            <v>350</v>
          </cell>
          <cell r="G27">
            <v>2896</v>
          </cell>
          <cell r="K27">
            <v>195.3</v>
          </cell>
          <cell r="L27">
            <v>191.136</v>
          </cell>
          <cell r="O27">
            <v>4</v>
          </cell>
          <cell r="Q27">
            <v>2.1321044546851078</v>
          </cell>
          <cell r="R27">
            <v>118.12372535690007</v>
          </cell>
          <cell r="T27">
            <v>1.6901154401154399E-2</v>
          </cell>
        </row>
        <row r="28">
          <cell r="B28">
            <v>46157</v>
          </cell>
          <cell r="D28" t="str">
            <v xml:space="preserve">VITA MALT ( CLASSIC ) </v>
          </cell>
          <cell r="E28">
            <v>1190</v>
          </cell>
          <cell r="F28">
            <v>491</v>
          </cell>
          <cell r="G28">
            <v>3955</v>
          </cell>
          <cell r="K28">
            <v>281.5</v>
          </cell>
          <cell r="L28">
            <v>280.01400000000001</v>
          </cell>
          <cell r="O28">
            <v>10</v>
          </cell>
          <cell r="Q28">
            <v>0.52788632326820251</v>
          </cell>
          <cell r="R28">
            <v>199.41176470588238</v>
          </cell>
          <cell r="T28">
            <v>4.1818400588482553E-2</v>
          </cell>
        </row>
        <row r="29">
          <cell r="B29">
            <v>46157</v>
          </cell>
          <cell r="D29" t="str">
            <v xml:space="preserve">VITA MALT ( GINGER ) </v>
          </cell>
          <cell r="F29">
            <v>189</v>
          </cell>
          <cell r="G29">
            <v>1360</v>
          </cell>
          <cell r="K29">
            <v>100</v>
          </cell>
          <cell r="L29">
            <v>96.287999999999997</v>
          </cell>
          <cell r="O29">
            <v>1</v>
          </cell>
          <cell r="Q29">
            <v>3.7120000000000033</v>
          </cell>
          <cell r="R29">
            <v>68.571428571428569</v>
          </cell>
          <cell r="T29">
            <v>1.5501838235294118E-2</v>
          </cell>
        </row>
        <row r="30">
          <cell r="B30">
            <v>46158</v>
          </cell>
          <cell r="D30" t="str">
            <v>CARIB AMBER</v>
          </cell>
          <cell r="E30">
            <v>799</v>
          </cell>
          <cell r="F30">
            <v>719</v>
          </cell>
          <cell r="G30">
            <v>5683</v>
          </cell>
          <cell r="K30">
            <v>384.20000000000005</v>
          </cell>
          <cell r="L30">
            <v>375.07800000000003</v>
          </cell>
          <cell r="O30">
            <v>17</v>
          </cell>
          <cell r="Q30">
            <v>2.3742842269651256</v>
          </cell>
          <cell r="R30">
            <v>426.75844806007512</v>
          </cell>
          <cell r="T30">
            <v>5.1967512398440427E-2</v>
          </cell>
        </row>
        <row r="31">
          <cell r="B31">
            <v>46160</v>
          </cell>
          <cell r="D31" t="str">
            <v>STAR MALT</v>
          </cell>
          <cell r="E31">
            <v>1380</v>
          </cell>
          <cell r="F31">
            <v>699</v>
          </cell>
          <cell r="G31">
            <v>5814</v>
          </cell>
          <cell r="K31">
            <v>394.29999999999995</v>
          </cell>
          <cell r="L31">
            <v>383.72400000000005</v>
          </cell>
          <cell r="O31">
            <v>3</v>
          </cell>
          <cell r="Q31">
            <v>2.6822216586355334</v>
          </cell>
          <cell r="R31">
            <v>252.78260869565219</v>
          </cell>
          <cell r="T31">
            <v>3.7085195390367295E-2</v>
          </cell>
        </row>
        <row r="32">
          <cell r="B32">
            <v>46160</v>
          </cell>
          <cell r="D32" t="str">
            <v>CARIB AMBER</v>
          </cell>
          <cell r="F32">
            <v>348</v>
          </cell>
          <cell r="G32">
            <v>2762</v>
          </cell>
          <cell r="K32">
            <v>191.1</v>
          </cell>
          <cell r="L32">
            <v>187.99199999999999</v>
          </cell>
          <cell r="O32">
            <v>10</v>
          </cell>
          <cell r="Q32">
            <v>1.6263736263736288</v>
          </cell>
          <cell r="R32">
            <v>120.08695652173913</v>
          </cell>
          <cell r="T32">
            <v>2.1221254355400693E-2</v>
          </cell>
        </row>
        <row r="33">
          <cell r="B33">
            <v>46161</v>
          </cell>
          <cell r="D33" t="str">
            <v>CARIB AMBER</v>
          </cell>
          <cell r="E33">
            <v>1435</v>
          </cell>
          <cell r="F33">
            <v>750</v>
          </cell>
          <cell r="G33">
            <v>3992</v>
          </cell>
          <cell r="K33">
            <v>374.2</v>
          </cell>
          <cell r="L33">
            <v>366.63</v>
          </cell>
          <cell r="O33">
            <v>10</v>
          </cell>
          <cell r="Q33">
            <v>2.0229823623730607</v>
          </cell>
          <cell r="R33">
            <v>166.9128919860627</v>
          </cell>
          <cell r="T33">
            <v>1.8488555643251775E-2</v>
          </cell>
        </row>
        <row r="34">
          <cell r="B34">
            <v>46161</v>
          </cell>
          <cell r="D34" t="str">
            <v>CARIB FLINT (LOCAL)</v>
          </cell>
          <cell r="F34">
            <v>332</v>
          </cell>
          <cell r="G34">
            <v>1563</v>
          </cell>
          <cell r="O34">
            <v>4</v>
          </cell>
          <cell r="R34">
            <v>65.351916376306619</v>
          </cell>
          <cell r="T34">
            <v>1.3759177679882526E-2</v>
          </cell>
        </row>
        <row r="35">
          <cell r="B35">
            <v>46161</v>
          </cell>
          <cell r="D35" t="str">
            <v>STAG</v>
          </cell>
          <cell r="F35">
            <v>267</v>
          </cell>
          <cell r="G35">
            <v>1197</v>
          </cell>
          <cell r="K35">
            <v>80</v>
          </cell>
          <cell r="L35">
            <v>79.00200000000001</v>
          </cell>
          <cell r="O35">
            <v>11</v>
          </cell>
          <cell r="Q35">
            <v>1.2474999999999881</v>
          </cell>
          <cell r="R35">
            <v>50.048780487804876</v>
          </cell>
          <cell r="T35">
            <v>1.3759177679882526E-2</v>
          </cell>
        </row>
        <row r="36">
          <cell r="B36">
            <v>46162</v>
          </cell>
          <cell r="D36" t="str">
            <v>STAG</v>
          </cell>
          <cell r="E36">
            <v>1440</v>
          </cell>
          <cell r="F36">
            <v>647</v>
          </cell>
          <cell r="G36">
            <v>4440</v>
          </cell>
          <cell r="K36">
            <v>298</v>
          </cell>
          <cell r="L36">
            <v>293.04000000000002</v>
          </cell>
          <cell r="O36">
            <v>5</v>
          </cell>
          <cell r="Q36">
            <v>1.6644295302013354</v>
          </cell>
          <cell r="R36">
            <v>185</v>
          </cell>
          <cell r="T36">
            <v>1.5674138507862159E-2</v>
          </cell>
        </row>
        <row r="37">
          <cell r="B37">
            <v>46162</v>
          </cell>
          <cell r="D37" t="str">
            <v>CARIB AMBER</v>
          </cell>
          <cell r="F37">
            <v>505</v>
          </cell>
          <cell r="G37">
            <v>4642</v>
          </cell>
          <cell r="I37">
            <v>13</v>
          </cell>
          <cell r="K37">
            <v>313.10000000000002</v>
          </cell>
          <cell r="L37">
            <v>306.37200000000001</v>
          </cell>
          <cell r="O37">
            <v>13</v>
          </cell>
          <cell r="Q37">
            <v>2.1488342382625385</v>
          </cell>
          <cell r="R37">
            <v>193.41666666666666</v>
          </cell>
          <cell r="T37">
            <v>4.7881104105827063E-2</v>
          </cell>
        </row>
        <row r="38">
          <cell r="B38">
            <v>46163</v>
          </cell>
          <cell r="D38" t="str">
            <v>CARIB AMBER</v>
          </cell>
          <cell r="E38">
            <v>1420</v>
          </cell>
          <cell r="F38">
            <v>38</v>
          </cell>
          <cell r="G38">
            <v>824</v>
          </cell>
          <cell r="K38">
            <v>56.9</v>
          </cell>
          <cell r="L38">
            <v>54.384</v>
          </cell>
          <cell r="O38">
            <v>1</v>
          </cell>
          <cell r="Q38">
            <v>4.4217926186291709</v>
          </cell>
          <cell r="R38">
            <v>34.816901408450704</v>
          </cell>
          <cell r="T38">
            <v>9.9398868458274395E-3</v>
          </cell>
        </row>
        <row r="39">
          <cell r="B39">
            <v>46163</v>
          </cell>
          <cell r="D39" t="str">
            <v>STAG</v>
          </cell>
          <cell r="F39">
            <v>761</v>
          </cell>
          <cell r="G39">
            <v>5605</v>
          </cell>
          <cell r="I39">
            <v>185.18</v>
          </cell>
          <cell r="K39">
            <v>376.90000000000003</v>
          </cell>
          <cell r="L39">
            <v>369.93</v>
          </cell>
          <cell r="O39">
            <v>10</v>
          </cell>
          <cell r="Q39">
            <v>1.8492968957283171</v>
          </cell>
          <cell r="R39">
            <v>236.83098591549296</v>
          </cell>
          <cell r="T39">
            <v>9.9398868458274395E-3</v>
          </cell>
        </row>
        <row r="40">
          <cell r="B40">
            <v>46163</v>
          </cell>
          <cell r="D40" t="str">
            <v>CARIBE PEARSECO</v>
          </cell>
          <cell r="F40">
            <v>199</v>
          </cell>
          <cell r="G40">
            <v>1301</v>
          </cell>
          <cell r="K40">
            <v>92</v>
          </cell>
          <cell r="L40">
            <v>85.866</v>
          </cell>
          <cell r="O40">
            <v>4</v>
          </cell>
          <cell r="Q40">
            <v>6.6673913043478263</v>
          </cell>
          <cell r="R40">
            <v>54.971830985915489</v>
          </cell>
        </row>
        <row r="41">
          <cell r="B41">
            <v>46164</v>
          </cell>
          <cell r="D41" t="str">
            <v>CARIBE ROSE'</v>
          </cell>
          <cell r="E41">
            <v>1170</v>
          </cell>
          <cell r="F41">
            <v>482</v>
          </cell>
          <cell r="G41">
            <v>2402</v>
          </cell>
          <cell r="K41">
            <v>165.2</v>
          </cell>
          <cell r="L41">
            <v>158.53200000000001</v>
          </cell>
          <cell r="O41">
            <v>3</v>
          </cell>
          <cell r="Q41">
            <v>4.0363196125907859</v>
          </cell>
          <cell r="R41">
            <v>123.17948717948718</v>
          </cell>
          <cell r="T41">
            <v>2.2578313253012045E-2</v>
          </cell>
        </row>
        <row r="42">
          <cell r="B42">
            <v>46164</v>
          </cell>
          <cell r="D42" t="str">
            <v>ORIGINAL TING</v>
          </cell>
          <cell r="F42">
            <v>322</v>
          </cell>
          <cell r="G42">
            <v>1771</v>
          </cell>
          <cell r="K42">
            <v>118.80000000000001</v>
          </cell>
          <cell r="L42">
            <v>116.88600000000001</v>
          </cell>
          <cell r="O42">
            <v>3</v>
          </cell>
          <cell r="Q42">
            <v>1.611111111111112</v>
          </cell>
          <cell r="R42">
            <v>90.820512820512818</v>
          </cell>
        </row>
        <row r="43">
          <cell r="B43">
            <v>46164</v>
          </cell>
          <cell r="D43" t="str">
            <v>CARIB AMBER</v>
          </cell>
          <cell r="F43">
            <v>131</v>
          </cell>
          <cell r="G43">
            <v>1062</v>
          </cell>
          <cell r="K43">
            <v>72.199999999999989</v>
          </cell>
          <cell r="L43">
            <v>70.091999999999999</v>
          </cell>
          <cell r="O43">
            <v>3</v>
          </cell>
          <cell r="Q43">
            <v>2.9196675900276872</v>
          </cell>
          <cell r="R43">
            <v>54.46153846153846</v>
          </cell>
        </row>
        <row r="44">
          <cell r="B44">
            <v>46168</v>
          </cell>
          <cell r="D44" t="str">
            <v>CARIB AMBER</v>
          </cell>
          <cell r="E44">
            <v>970</v>
          </cell>
          <cell r="F44">
            <v>485</v>
          </cell>
          <cell r="G44">
            <v>4705</v>
          </cell>
          <cell r="K44">
            <v>319</v>
          </cell>
          <cell r="L44">
            <v>310.53000000000003</v>
          </cell>
          <cell r="O44">
            <v>8</v>
          </cell>
          <cell r="Q44">
            <v>2.6551724137930943</v>
          </cell>
          <cell r="R44">
            <v>291.0309278350515</v>
          </cell>
          <cell r="T44">
            <v>3.6549228185549371E-2</v>
          </cell>
        </row>
        <row r="45">
          <cell r="B45">
            <v>46169</v>
          </cell>
          <cell r="D45" t="str">
            <v>CARIB AMBER</v>
          </cell>
          <cell r="E45">
            <v>1432</v>
          </cell>
          <cell r="F45">
            <v>1106</v>
          </cell>
          <cell r="G45">
            <v>5142</v>
          </cell>
          <cell r="K45">
            <v>370.1</v>
          </cell>
          <cell r="L45">
            <v>362.17200000000003</v>
          </cell>
          <cell r="O45">
            <v>19</v>
          </cell>
          <cell r="Q45">
            <v>2.1421237503377455</v>
          </cell>
          <cell r="R45">
            <v>215.44692737430168</v>
          </cell>
          <cell r="T45">
            <v>2.4913480998900471E-2</v>
          </cell>
        </row>
        <row r="46">
          <cell r="B46">
            <v>46169</v>
          </cell>
          <cell r="D46" t="str">
            <v>STARMALT</v>
          </cell>
          <cell r="F46">
            <v>210</v>
          </cell>
          <cell r="G46">
            <v>1415</v>
          </cell>
          <cell r="K46">
            <v>98</v>
          </cell>
          <cell r="L46">
            <v>93.39</v>
          </cell>
          <cell r="O46">
            <v>4</v>
          </cell>
          <cell r="Q46">
            <v>4.704081632653061</v>
          </cell>
          <cell r="R46">
            <v>59.287709497206706</v>
          </cell>
          <cell r="T46">
            <v>2.4798452768729638E-2</v>
          </cell>
        </row>
        <row r="47">
          <cell r="B47">
            <v>46170</v>
          </cell>
          <cell r="D47" t="str">
            <v>STARMALT</v>
          </cell>
          <cell r="E47">
            <v>237</v>
          </cell>
          <cell r="F47">
            <v>237</v>
          </cell>
          <cell r="G47">
            <v>1489</v>
          </cell>
          <cell r="K47">
            <v>101</v>
          </cell>
          <cell r="L47">
            <v>98.274000000000001</v>
          </cell>
          <cell r="O47">
            <v>6</v>
          </cell>
          <cell r="Q47">
            <v>2.6990099009900979</v>
          </cell>
          <cell r="R47">
            <v>376.96202531645565</v>
          </cell>
          <cell r="T47">
            <v>1.5865989356555393E-2</v>
          </cell>
        </row>
      </sheetData>
      <sheetData sheetId="5">
        <row r="8">
          <cell r="B8">
            <v>46192</v>
          </cell>
          <cell r="D8" t="str">
            <v>STAG</v>
          </cell>
          <cell r="E8">
            <v>153</v>
          </cell>
          <cell r="F8">
            <v>93</v>
          </cell>
          <cell r="G8">
            <v>464</v>
          </cell>
          <cell r="J8">
            <v>31.5</v>
          </cell>
          <cell r="K8">
            <v>30.624000000000002</v>
          </cell>
          <cell r="M8">
            <v>34</v>
          </cell>
          <cell r="N8">
            <v>4.5</v>
          </cell>
          <cell r="P8">
            <v>2.7809523809523737</v>
          </cell>
          <cell r="Q8">
            <v>181.9607843137255</v>
          </cell>
        </row>
        <row r="9">
          <cell r="B9">
            <v>46193</v>
          </cell>
          <cell r="D9" t="str">
            <v>STAG</v>
          </cell>
          <cell r="E9">
            <v>878</v>
          </cell>
          <cell r="F9">
            <v>685</v>
          </cell>
          <cell r="G9">
            <v>3602</v>
          </cell>
          <cell r="J9">
            <v>246.2</v>
          </cell>
          <cell r="K9">
            <v>237.732</v>
          </cell>
          <cell r="M9">
            <v>484</v>
          </cell>
          <cell r="N9">
            <v>7</v>
          </cell>
          <cell r="P9">
            <v>3.4394800974817183</v>
          </cell>
          <cell r="Q9">
            <v>246.15034168564921</v>
          </cell>
        </row>
        <row r="10">
          <cell r="B10">
            <v>46194</v>
          </cell>
          <cell r="D10" t="str">
            <v>STAR MALT</v>
          </cell>
          <cell r="E10">
            <v>540</v>
          </cell>
          <cell r="F10">
            <v>233</v>
          </cell>
          <cell r="G10">
            <v>1505</v>
          </cell>
          <cell r="J10">
            <v>102.30000000000001</v>
          </cell>
          <cell r="K10">
            <v>99.33</v>
          </cell>
          <cell r="M10">
            <v>349</v>
          </cell>
          <cell r="N10">
            <v>3</v>
          </cell>
          <cell r="P10">
            <v>2.9032258064516254</v>
          </cell>
          <cell r="Q10">
            <v>167.22222222222223</v>
          </cell>
        </row>
        <row r="11">
          <cell r="B11">
            <v>46195</v>
          </cell>
          <cell r="D11" t="str">
            <v>STAR MALT</v>
          </cell>
          <cell r="E11">
            <v>1430</v>
          </cell>
          <cell r="F11">
            <v>818</v>
          </cell>
          <cell r="G11">
            <v>4380</v>
          </cell>
          <cell r="J11">
            <v>293.7</v>
          </cell>
          <cell r="K11">
            <v>289.08000000000004</v>
          </cell>
          <cell r="M11">
            <v>397</v>
          </cell>
          <cell r="N11">
            <v>4</v>
          </cell>
          <cell r="P11">
            <v>1.5730337078651508</v>
          </cell>
          <cell r="Q11">
            <v>183.77622377622379</v>
          </cell>
        </row>
        <row r="12">
          <cell r="B12">
            <v>46195</v>
          </cell>
          <cell r="D12" t="str">
            <v>CARIB AMBER</v>
          </cell>
          <cell r="F12">
            <v>353</v>
          </cell>
          <cell r="G12">
            <v>2839</v>
          </cell>
          <cell r="J12">
            <v>206.1</v>
          </cell>
          <cell r="K12">
            <v>200.67400000000001</v>
          </cell>
          <cell r="M12">
            <v>152</v>
          </cell>
          <cell r="P12">
            <v>2.6327025715671946</v>
          </cell>
          <cell r="Q12">
            <v>119.11888111888112</v>
          </cell>
        </row>
        <row r="13">
          <cell r="B13">
            <v>46196</v>
          </cell>
          <cell r="D13" t="str">
            <v>CARIB AMBER</v>
          </cell>
          <cell r="E13">
            <v>1430</v>
          </cell>
          <cell r="F13">
            <v>379</v>
          </cell>
          <cell r="G13">
            <v>2565</v>
          </cell>
          <cell r="J13">
            <v>173.7</v>
          </cell>
          <cell r="K13">
            <v>169.29000000000002</v>
          </cell>
          <cell r="M13">
            <v>107</v>
          </cell>
          <cell r="N13">
            <v>2</v>
          </cell>
          <cell r="P13">
            <v>2.5388601036269249</v>
          </cell>
          <cell r="Q13">
            <v>107.62237762237763</v>
          </cell>
        </row>
        <row r="14">
          <cell r="B14">
            <v>46196</v>
          </cell>
          <cell r="D14" t="str">
            <v>STAG</v>
          </cell>
          <cell r="F14">
            <v>148</v>
          </cell>
          <cell r="G14">
            <v>1308</v>
          </cell>
          <cell r="J14">
            <v>88</v>
          </cell>
          <cell r="K14">
            <v>86.328000000000003</v>
          </cell>
          <cell r="M14">
            <v>78</v>
          </cell>
          <cell r="N14">
            <v>3</v>
          </cell>
          <cell r="P14">
            <v>1.8999999999999966</v>
          </cell>
          <cell r="Q14">
            <v>54.881118881118887</v>
          </cell>
        </row>
        <row r="15">
          <cell r="B15">
            <v>46196</v>
          </cell>
          <cell r="D15" t="str">
            <v>GUINNESS</v>
          </cell>
          <cell r="F15">
            <v>622</v>
          </cell>
          <cell r="G15">
            <v>1591</v>
          </cell>
          <cell r="J15">
            <v>105.1</v>
          </cell>
          <cell r="K15">
            <v>105.006</v>
          </cell>
          <cell r="M15">
            <v>499</v>
          </cell>
          <cell r="N15">
            <v>16</v>
          </cell>
          <cell r="P15">
            <v>8.9438629876302661E-2</v>
          </cell>
          <cell r="Q15">
            <v>66.75524475524476</v>
          </cell>
        </row>
        <row r="16">
          <cell r="B16">
            <v>46197</v>
          </cell>
          <cell r="D16" t="str">
            <v>GUINNESS</v>
          </cell>
          <cell r="E16">
            <v>1422</v>
          </cell>
          <cell r="F16">
            <v>559</v>
          </cell>
          <cell r="G16">
            <v>3871</v>
          </cell>
          <cell r="I16">
            <v>52</v>
          </cell>
          <cell r="J16">
            <v>255.9</v>
          </cell>
          <cell r="K16">
            <v>255.48600000000002</v>
          </cell>
          <cell r="M16">
            <v>133</v>
          </cell>
          <cell r="N16">
            <v>8</v>
          </cell>
          <cell r="P16">
            <v>0.16178194607267968</v>
          </cell>
          <cell r="Q16">
            <v>163.33333333333334</v>
          </cell>
        </row>
        <row r="17">
          <cell r="B17">
            <v>46197</v>
          </cell>
          <cell r="D17" t="str">
            <v>CARIB AMBER</v>
          </cell>
          <cell r="F17">
            <v>601</v>
          </cell>
          <cell r="G17">
            <v>4314</v>
          </cell>
          <cell r="J17">
            <v>305.5</v>
          </cell>
          <cell r="K17">
            <v>299.35399999999998</v>
          </cell>
          <cell r="M17">
            <v>382</v>
          </cell>
          <cell r="N17">
            <v>3</v>
          </cell>
          <cell r="P17">
            <v>2.0117839607201358</v>
          </cell>
          <cell r="Q17">
            <v>182.02531645569621</v>
          </cell>
        </row>
        <row r="18">
          <cell r="B18">
            <v>46198</v>
          </cell>
          <cell r="D18" t="str">
            <v>CARIB AMBER</v>
          </cell>
          <cell r="E18">
            <v>1428</v>
          </cell>
          <cell r="F18">
            <v>113</v>
          </cell>
          <cell r="G18">
            <v>1145</v>
          </cell>
          <cell r="J18">
            <v>77.2</v>
          </cell>
          <cell r="K18">
            <v>75.570000000000007</v>
          </cell>
          <cell r="M18">
            <v>30</v>
          </cell>
          <cell r="N18">
            <v>1</v>
          </cell>
          <cell r="P18">
            <v>2.1113989637305637</v>
          </cell>
          <cell r="Q18">
            <v>48.109243697478988</v>
          </cell>
        </row>
        <row r="19">
          <cell r="B19">
            <v>46198</v>
          </cell>
          <cell r="D19" t="str">
            <v>STAG</v>
          </cell>
          <cell r="F19">
            <v>695</v>
          </cell>
          <cell r="G19">
            <v>5162</v>
          </cell>
          <cell r="J19">
            <v>347.5</v>
          </cell>
          <cell r="K19">
            <v>340.69200000000001</v>
          </cell>
          <cell r="M19">
            <v>168</v>
          </cell>
          <cell r="N19">
            <v>48</v>
          </cell>
          <cell r="P19">
            <v>1.9591366906474801</v>
          </cell>
          <cell r="Q19">
            <v>216.890756302521</v>
          </cell>
        </row>
        <row r="20">
          <cell r="B20">
            <v>46198</v>
          </cell>
          <cell r="D20" t="str">
            <v>CARIB FLINT</v>
          </cell>
          <cell r="F20">
            <v>234</v>
          </cell>
          <cell r="G20">
            <v>1783</v>
          </cell>
          <cell r="J20">
            <v>191.3</v>
          </cell>
          <cell r="K20">
            <v>185.988</v>
          </cell>
          <cell r="M20">
            <v>93</v>
          </cell>
          <cell r="P20">
            <v>2.776790381599588</v>
          </cell>
          <cell r="Q20">
            <v>48.109243697478988</v>
          </cell>
        </row>
        <row r="21">
          <cell r="B21">
            <v>46198</v>
          </cell>
          <cell r="D21" t="str">
            <v>CARIB AMBER</v>
          </cell>
          <cell r="F21">
            <v>222</v>
          </cell>
          <cell r="G21">
            <v>1035</v>
          </cell>
          <cell r="M21">
            <v>121</v>
          </cell>
          <cell r="Q21">
            <v>43.487394957983192</v>
          </cell>
        </row>
        <row r="22">
          <cell r="B22">
            <v>46199</v>
          </cell>
          <cell r="D22" t="str">
            <v>CARIB AMBER</v>
          </cell>
          <cell r="E22">
            <v>1235</v>
          </cell>
          <cell r="F22">
            <v>393</v>
          </cell>
          <cell r="G22">
            <v>2766</v>
          </cell>
          <cell r="J22">
            <v>185.3</v>
          </cell>
          <cell r="K22">
            <v>182.55600000000001</v>
          </cell>
          <cell r="M22">
            <v>125</v>
          </cell>
          <cell r="N22">
            <v>6</v>
          </cell>
          <cell r="P22">
            <v>1.4808418780356178</v>
          </cell>
          <cell r="Q22">
            <v>134.38056680161944</v>
          </cell>
        </row>
        <row r="23">
          <cell r="B23">
            <v>46199</v>
          </cell>
          <cell r="D23" t="str">
            <v>TING</v>
          </cell>
          <cell r="K23">
            <v>0</v>
          </cell>
          <cell r="M23">
            <v>810</v>
          </cell>
        </row>
        <row r="24">
          <cell r="B24">
            <v>46200</v>
          </cell>
          <cell r="D24" t="str">
            <v>CARIB AMBER</v>
          </cell>
          <cell r="E24">
            <v>842</v>
          </cell>
          <cell r="F24">
            <v>145</v>
          </cell>
          <cell r="G24">
            <v>1581</v>
          </cell>
          <cell r="J24">
            <v>109</v>
          </cell>
          <cell r="K24">
            <v>104.346</v>
          </cell>
          <cell r="M24">
            <v>474</v>
          </cell>
          <cell r="N24">
            <v>33</v>
          </cell>
          <cell r="P24">
            <v>4.2697247706421981</v>
          </cell>
          <cell r="Q24">
            <v>112.6603325415677</v>
          </cell>
        </row>
        <row r="25">
          <cell r="B25">
            <v>46200</v>
          </cell>
          <cell r="D25" t="str">
            <v>STAG</v>
          </cell>
          <cell r="F25">
            <v>262</v>
          </cell>
          <cell r="G25">
            <v>2082</v>
          </cell>
          <cell r="J25">
            <v>140</v>
          </cell>
          <cell r="K25">
            <v>137.41200000000001</v>
          </cell>
          <cell r="M25">
            <v>54</v>
          </cell>
          <cell r="N25">
            <v>2</v>
          </cell>
          <cell r="P25">
            <v>1.8485714285714241</v>
          </cell>
          <cell r="Q25">
            <v>148.36104513064134</v>
          </cell>
        </row>
        <row r="26">
          <cell r="B26">
            <v>46202</v>
          </cell>
          <cell r="D26" t="str">
            <v>STAG</v>
          </cell>
          <cell r="E26">
            <v>1346</v>
          </cell>
          <cell r="F26">
            <v>310</v>
          </cell>
          <cell r="G26">
            <v>2286</v>
          </cell>
          <cell r="J26">
            <v>152.19999999999999</v>
          </cell>
          <cell r="K26">
            <v>150.876</v>
          </cell>
          <cell r="M26">
            <v>141</v>
          </cell>
          <cell r="N26">
            <v>2</v>
          </cell>
          <cell r="P26">
            <v>0.86990801576871479</v>
          </cell>
          <cell r="Q26">
            <v>101.90193164933135</v>
          </cell>
        </row>
        <row r="27">
          <cell r="B27">
            <v>46202</v>
          </cell>
          <cell r="D27" t="str">
            <v>TING</v>
          </cell>
          <cell r="F27">
            <v>211</v>
          </cell>
          <cell r="G27">
            <v>1756</v>
          </cell>
          <cell r="J27">
            <v>118.80000000000001</v>
          </cell>
          <cell r="K27">
            <v>115.896</v>
          </cell>
          <cell r="M27">
            <v>254</v>
          </cell>
          <cell r="N27">
            <v>1</v>
          </cell>
          <cell r="P27">
            <v>2.4444444444444531</v>
          </cell>
          <cell r="Q27">
            <v>78.276374442793468</v>
          </cell>
        </row>
        <row r="28">
          <cell r="B28">
            <v>46202</v>
          </cell>
          <cell r="D28" t="str">
            <v>GINSENG UP ORIGINAL</v>
          </cell>
          <cell r="F28">
            <v>211</v>
          </cell>
          <cell r="G28">
            <v>1479</v>
          </cell>
          <cell r="J28">
            <v>100.7</v>
          </cell>
          <cell r="K28">
            <v>97.614000000000004</v>
          </cell>
          <cell r="M28">
            <v>257</v>
          </cell>
          <cell r="N28">
            <v>11</v>
          </cell>
          <cell r="P28">
            <v>3.0645481628599787</v>
          </cell>
          <cell r="Q28">
            <v>65.928677563150075</v>
          </cell>
        </row>
        <row r="29">
          <cell r="B29">
            <v>46203</v>
          </cell>
          <cell r="D29" t="str">
            <v>STAG</v>
          </cell>
          <cell r="E29">
            <v>1385</v>
          </cell>
          <cell r="F29">
            <v>194</v>
          </cell>
          <cell r="G29">
            <v>1436</v>
          </cell>
          <cell r="J29">
            <v>96.5</v>
          </cell>
          <cell r="K29">
            <v>94.77600000000001</v>
          </cell>
          <cell r="M29">
            <v>400</v>
          </cell>
          <cell r="N29">
            <v>5</v>
          </cell>
          <cell r="P29">
            <v>1.7865284974093156</v>
          </cell>
          <cell r="Q29">
            <v>62.209386281588451</v>
          </cell>
        </row>
        <row r="30">
          <cell r="B30">
            <v>46203</v>
          </cell>
          <cell r="D30" t="str">
            <v>CARIB AMBER</v>
          </cell>
          <cell r="F30">
            <v>750</v>
          </cell>
          <cell r="G30">
            <v>5438</v>
          </cell>
          <cell r="J30">
            <v>367.9</v>
          </cell>
          <cell r="K30">
            <v>358.90800000000002</v>
          </cell>
          <cell r="M30">
            <v>207</v>
          </cell>
          <cell r="N30">
            <v>3</v>
          </cell>
          <cell r="P30">
            <v>2.444142430008144</v>
          </cell>
          <cell r="Q30">
            <v>235.58122743682313</v>
          </cell>
        </row>
      </sheetData>
      <sheetData sheetId="6">
        <row r="8">
          <cell r="B8">
            <v>46204</v>
          </cell>
          <cell r="D8" t="str">
            <v>CARIB AMBER</v>
          </cell>
          <cell r="E8">
            <v>1400</v>
          </cell>
          <cell r="F8">
            <v>633</v>
          </cell>
          <cell r="G8">
            <v>5638</v>
          </cell>
          <cell r="J8">
            <v>378.6</v>
          </cell>
          <cell r="K8">
            <v>372.108</v>
          </cell>
          <cell r="M8">
            <v>194</v>
          </cell>
          <cell r="N8">
            <v>3</v>
          </cell>
          <cell r="P8">
            <v>1.7147385103011143</v>
          </cell>
          <cell r="Q8">
            <v>241.62857142857143</v>
          </cell>
          <cell r="S8">
            <v>1.68626274745051E-2</v>
          </cell>
        </row>
        <row r="9">
          <cell r="B9">
            <v>46204</v>
          </cell>
          <cell r="D9" t="str">
            <v>VITA MALT CLASSIC</v>
          </cell>
          <cell r="F9">
            <v>217</v>
          </cell>
          <cell r="G9">
            <v>1409</v>
          </cell>
          <cell r="J9">
            <v>100.7</v>
          </cell>
          <cell r="K9">
            <v>99.757199999999997</v>
          </cell>
          <cell r="M9">
            <v>487</v>
          </cell>
          <cell r="N9">
            <v>31</v>
          </cell>
          <cell r="P9">
            <v>0.93624627606753263</v>
          </cell>
          <cell r="Q9">
            <v>60.385714285714286</v>
          </cell>
          <cell r="S9">
            <v>2.459317585301837E-2</v>
          </cell>
        </row>
        <row r="10">
          <cell r="B10">
            <v>46205</v>
          </cell>
          <cell r="D10" t="str">
            <v>VITA MALT CLASSIC</v>
          </cell>
          <cell r="E10">
            <v>1431</v>
          </cell>
          <cell r="F10">
            <v>360</v>
          </cell>
          <cell r="G10">
            <v>2378</v>
          </cell>
          <cell r="J10">
            <v>170.8</v>
          </cell>
          <cell r="K10">
            <v>168.36240000000001</v>
          </cell>
          <cell r="M10">
            <v>128</v>
          </cell>
          <cell r="N10">
            <v>14</v>
          </cell>
          <cell r="P10">
            <v>1.427166276346606</v>
          </cell>
          <cell r="Q10">
            <v>99.706498951781967</v>
          </cell>
          <cell r="S10">
            <v>1.9366779406238255E-2</v>
          </cell>
        </row>
        <row r="11">
          <cell r="B11">
            <v>46205</v>
          </cell>
          <cell r="D11" t="str">
            <v>VITA MALT GINGER</v>
          </cell>
          <cell r="F11">
            <v>158</v>
          </cell>
          <cell r="G11">
            <v>1396</v>
          </cell>
          <cell r="I11">
            <v>3</v>
          </cell>
          <cell r="J11">
            <v>100</v>
          </cell>
          <cell r="K11">
            <v>98.836799999999997</v>
          </cell>
          <cell r="M11">
            <v>78</v>
          </cell>
          <cell r="N11">
            <v>9</v>
          </cell>
          <cell r="P11">
            <v>1.1632000000000033</v>
          </cell>
          <cell r="Q11">
            <v>58.532494758909849</v>
          </cell>
        </row>
        <row r="12">
          <cell r="B12">
            <v>46205</v>
          </cell>
          <cell r="D12" t="str">
            <v>CARIB AMBER</v>
          </cell>
          <cell r="F12">
            <v>502</v>
          </cell>
          <cell r="G12">
            <v>3640</v>
          </cell>
          <cell r="J12">
            <v>246.2</v>
          </cell>
          <cell r="K12">
            <v>240.24</v>
          </cell>
          <cell r="M12">
            <v>448</v>
          </cell>
          <cell r="N12">
            <v>3</v>
          </cell>
          <cell r="P12">
            <v>2.420796100731105</v>
          </cell>
          <cell r="Q12">
            <v>152.62054507337524</v>
          </cell>
          <cell r="S12">
            <v>2.9396078431372548E-2</v>
          </cell>
        </row>
        <row r="13">
          <cell r="B13">
            <v>46206</v>
          </cell>
          <cell r="D13" t="str">
            <v>CARIB AMBER</v>
          </cell>
          <cell r="E13">
            <v>1180</v>
          </cell>
          <cell r="F13">
            <v>392</v>
          </cell>
          <cell r="G13">
            <v>3445</v>
          </cell>
          <cell r="J13">
            <v>231.39999999999998</v>
          </cell>
          <cell r="K13">
            <v>227.37</v>
          </cell>
          <cell r="M13">
            <v>64</v>
          </cell>
          <cell r="N13">
            <v>10</v>
          </cell>
          <cell r="P13">
            <v>1.7415730337078537</v>
          </cell>
          <cell r="Q13">
            <v>175.16949152542372</v>
          </cell>
          <cell r="S13">
            <v>2.2765984654731453E-2</v>
          </cell>
        </row>
        <row r="14">
          <cell r="B14">
            <v>46206</v>
          </cell>
          <cell r="D14" t="str">
            <v>STAG</v>
          </cell>
          <cell r="F14">
            <v>485</v>
          </cell>
          <cell r="G14">
            <v>4011</v>
          </cell>
          <cell r="I14">
            <v>49</v>
          </cell>
          <cell r="J14">
            <v>267</v>
          </cell>
          <cell r="K14">
            <v>264.726</v>
          </cell>
          <cell r="M14">
            <v>367</v>
          </cell>
          <cell r="N14">
            <v>1</v>
          </cell>
          <cell r="P14">
            <v>0.85168539325842729</v>
          </cell>
          <cell r="Q14">
            <v>203.94915254237287</v>
          </cell>
          <cell r="S14">
            <v>5.2596875161674161E-2</v>
          </cell>
        </row>
        <row r="15">
          <cell r="B15">
            <v>46209</v>
          </cell>
          <cell r="D15" t="str">
            <v>STAG</v>
          </cell>
          <cell r="E15">
            <v>1380</v>
          </cell>
          <cell r="F15">
            <v>1278</v>
          </cell>
          <cell r="G15">
            <v>6224</v>
          </cell>
          <cell r="J15">
            <v>418.00000000000006</v>
          </cell>
          <cell r="K15">
            <v>410.78399999999999</v>
          </cell>
          <cell r="M15">
            <v>665</v>
          </cell>
          <cell r="N15">
            <v>18</v>
          </cell>
          <cell r="P15">
            <v>1.7263157894736993</v>
          </cell>
          <cell r="Q15">
            <v>270.60869565217394</v>
          </cell>
          <cell r="S15">
            <v>3.676134639008475E-2</v>
          </cell>
        </row>
        <row r="16">
          <cell r="B16">
            <v>46210</v>
          </cell>
          <cell r="D16" t="str">
            <v>STAG</v>
          </cell>
          <cell r="E16">
            <v>1440</v>
          </cell>
          <cell r="F16">
            <v>370</v>
          </cell>
          <cell r="G16">
            <v>2168</v>
          </cell>
          <cell r="J16">
            <v>145.69999999999999</v>
          </cell>
          <cell r="K16">
            <v>143.08799999999999</v>
          </cell>
          <cell r="M16">
            <v>268</v>
          </cell>
          <cell r="N16">
            <v>12</v>
          </cell>
          <cell r="P16">
            <v>1.7927247769389123</v>
          </cell>
          <cell r="Q16">
            <v>90.333333333333329</v>
          </cell>
          <cell r="S16">
            <v>4.7199062706085385E-2</v>
          </cell>
        </row>
        <row r="17">
          <cell r="B17">
            <v>46210</v>
          </cell>
          <cell r="D17" t="str">
            <v>CARIB AMBER</v>
          </cell>
          <cell r="F17">
            <v>153</v>
          </cell>
          <cell r="G17">
            <v>1012</v>
          </cell>
          <cell r="J17">
            <v>70.899999999999977</v>
          </cell>
          <cell r="K17">
            <v>66.792000000000002</v>
          </cell>
          <cell r="M17">
            <v>760</v>
          </cell>
          <cell r="P17">
            <v>5.7940761636106872</v>
          </cell>
          <cell r="Q17">
            <v>42.166666666666664</v>
          </cell>
          <cell r="S17">
            <v>2.5741758241758238E-2</v>
          </cell>
        </row>
        <row r="18">
          <cell r="B18">
            <v>46211</v>
          </cell>
          <cell r="D18" t="str">
            <v>CARIB AMBER</v>
          </cell>
          <cell r="E18">
            <v>1426</v>
          </cell>
          <cell r="F18">
            <v>729</v>
          </cell>
          <cell r="G18">
            <v>3469</v>
          </cell>
          <cell r="J18">
            <v>233.29999999999995</v>
          </cell>
          <cell r="K18">
            <v>228.95400000000001</v>
          </cell>
          <cell r="M18">
            <v>395</v>
          </cell>
          <cell r="N18">
            <v>7</v>
          </cell>
          <cell r="P18">
            <v>1.8628375482211519</v>
          </cell>
          <cell r="Q18">
            <v>145.96072931276299</v>
          </cell>
          <cell r="S18">
            <v>6.519016697588126E-3</v>
          </cell>
        </row>
        <row r="19">
          <cell r="B19">
            <v>46211</v>
          </cell>
          <cell r="D19" t="str">
            <v>SHANDY LIME LOCAL</v>
          </cell>
          <cell r="F19">
            <v>164</v>
          </cell>
          <cell r="G19">
            <v>666</v>
          </cell>
          <cell r="J19">
            <v>97.6</v>
          </cell>
          <cell r="K19">
            <v>94.710000000000008</v>
          </cell>
          <cell r="M19">
            <v>85</v>
          </cell>
          <cell r="P19">
            <v>2.9610655737704779</v>
          </cell>
          <cell r="Q19">
            <v>28.022440392706873</v>
          </cell>
          <cell r="S19">
            <v>9.0618955512572538E-3</v>
          </cell>
        </row>
        <row r="20">
          <cell r="B20">
            <v>46211</v>
          </cell>
          <cell r="D20" t="str">
            <v>SHANDY LIME EXPORT</v>
          </cell>
          <cell r="F20">
            <v>60</v>
          </cell>
          <cell r="G20">
            <v>769</v>
          </cell>
          <cell r="M20">
            <v>48</v>
          </cell>
          <cell r="Q20">
            <v>32.356241234221599</v>
          </cell>
        </row>
        <row r="21">
          <cell r="B21">
            <v>46211</v>
          </cell>
          <cell r="D21" t="str">
            <v>SHANDY GINGER EXPORT</v>
          </cell>
          <cell r="F21">
            <v>280</v>
          </cell>
          <cell r="G21">
            <v>702</v>
          </cell>
          <cell r="J21">
            <v>57.599999999999994</v>
          </cell>
          <cell r="K21">
            <v>53.064</v>
          </cell>
          <cell r="M21">
            <v>68</v>
          </cell>
          <cell r="P21">
            <v>7.8749999999999902</v>
          </cell>
          <cell r="Q21">
            <v>29.537166900420758</v>
          </cell>
          <cell r="S21">
            <v>9.0618955512572538E-3</v>
          </cell>
        </row>
        <row r="22">
          <cell r="B22">
            <v>46211</v>
          </cell>
          <cell r="D22" t="str">
            <v>SHANDY GINGER LOCAL</v>
          </cell>
          <cell r="G22">
            <v>102</v>
          </cell>
          <cell r="M22">
            <v>157</v>
          </cell>
          <cell r="Q22">
            <v>4.2917251051893412</v>
          </cell>
        </row>
        <row r="23">
          <cell r="B23">
            <v>46212</v>
          </cell>
          <cell r="D23" t="str">
            <v>SHANDY GINGER LOCAL</v>
          </cell>
          <cell r="E23">
            <v>1430</v>
          </cell>
          <cell r="F23">
            <v>650</v>
          </cell>
          <cell r="G23">
            <v>2192</v>
          </cell>
          <cell r="J23">
            <v>148</v>
          </cell>
          <cell r="K23">
            <v>144.672</v>
          </cell>
          <cell r="M23">
            <v>388</v>
          </cell>
          <cell r="N23">
            <v>5</v>
          </cell>
          <cell r="P23">
            <v>2.2486486486486505</v>
          </cell>
          <cell r="Q23">
            <v>91.972027972027973</v>
          </cell>
          <cell r="S23">
            <v>6.2411190053285968E-3</v>
          </cell>
        </row>
        <row r="24">
          <cell r="B24">
            <v>46212</v>
          </cell>
          <cell r="D24" t="str">
            <v>SHANDY SORREL EXPORT</v>
          </cell>
          <cell r="F24">
            <v>279</v>
          </cell>
          <cell r="G24">
            <v>808</v>
          </cell>
          <cell r="J24">
            <v>181</v>
          </cell>
          <cell r="K24">
            <v>178.13400000000001</v>
          </cell>
          <cell r="M24">
            <v>147</v>
          </cell>
          <cell r="N24">
            <v>9</v>
          </cell>
          <cell r="P24">
            <v>1.5834254143646329</v>
          </cell>
          <cell r="Q24">
            <v>33.902097902097907</v>
          </cell>
          <cell r="S24">
            <v>2.3290448673400802E-2</v>
          </cell>
        </row>
        <row r="25">
          <cell r="B25">
            <v>46212</v>
          </cell>
          <cell r="D25" t="str">
            <v>SHANDY SORREL LOCAL</v>
          </cell>
          <cell r="F25">
            <v>214</v>
          </cell>
          <cell r="G25">
            <v>1891</v>
          </cell>
          <cell r="M25">
            <v>90</v>
          </cell>
          <cell r="Q25">
            <v>79.342657342657347</v>
          </cell>
        </row>
        <row r="26">
          <cell r="B26">
            <v>46213</v>
          </cell>
          <cell r="D26" t="str">
            <v>MACKESON</v>
          </cell>
          <cell r="E26">
            <v>1182</v>
          </cell>
          <cell r="F26">
            <v>537</v>
          </cell>
          <cell r="G26">
            <v>2687</v>
          </cell>
          <cell r="J26">
            <v>179.2</v>
          </cell>
          <cell r="K26">
            <v>177.34200000000001</v>
          </cell>
          <cell r="M26">
            <v>441</v>
          </cell>
          <cell r="N26">
            <v>8</v>
          </cell>
          <cell r="P26">
            <v>1.0368303571428437</v>
          </cell>
          <cell r="Q26">
            <v>136.39593908629442</v>
          </cell>
          <cell r="S26">
            <v>7.6677577741407522E-3</v>
          </cell>
        </row>
        <row r="27">
          <cell r="B27">
            <v>46213</v>
          </cell>
          <cell r="D27" t="str">
            <v>GUINNESS</v>
          </cell>
          <cell r="F27">
            <v>471</v>
          </cell>
          <cell r="G27">
            <v>2615</v>
          </cell>
          <cell r="J27">
            <v>175.39999999999998</v>
          </cell>
          <cell r="K27">
            <v>172.59</v>
          </cell>
          <cell r="M27">
            <v>278</v>
          </cell>
          <cell r="N27">
            <v>3</v>
          </cell>
          <cell r="P27">
            <v>1.602052451539324</v>
          </cell>
          <cell r="Q27">
            <v>132.74111675126903</v>
          </cell>
          <cell r="S27">
            <v>7.1663479923518162E-3</v>
          </cell>
        </row>
        <row r="28">
          <cell r="B28">
            <v>46216</v>
          </cell>
          <cell r="D28" t="str">
            <v>GUINNESS</v>
          </cell>
          <cell r="E28">
            <v>1335</v>
          </cell>
          <cell r="F28">
            <v>929</v>
          </cell>
          <cell r="G28">
            <v>4221</v>
          </cell>
          <cell r="J28">
            <v>282.2</v>
          </cell>
          <cell r="K28">
            <v>278.58600000000001</v>
          </cell>
          <cell r="M28">
            <v>487</v>
          </cell>
          <cell r="N28">
            <v>44</v>
          </cell>
          <cell r="P28">
            <v>1.2806520198440738</v>
          </cell>
          <cell r="Q28">
            <v>189.70786516853931</v>
          </cell>
          <cell r="S28">
            <v>5.0196428571428571E-3</v>
          </cell>
        </row>
        <row r="29">
          <cell r="B29">
            <v>46216</v>
          </cell>
          <cell r="D29" t="str">
            <v>STAG</v>
          </cell>
          <cell r="F29">
            <v>176</v>
          </cell>
          <cell r="G29">
            <v>1949</v>
          </cell>
          <cell r="J29">
            <v>130.5</v>
          </cell>
          <cell r="K29">
            <v>128.63400000000001</v>
          </cell>
          <cell r="M29">
            <v>186</v>
          </cell>
          <cell r="N29">
            <v>3</v>
          </cell>
          <cell r="P29">
            <v>1.4298850574712534</v>
          </cell>
          <cell r="Q29">
            <v>87.595505617977523</v>
          </cell>
        </row>
        <row r="30">
          <cell r="B30">
            <v>46217</v>
          </cell>
          <cell r="D30" t="str">
            <v>STAG</v>
          </cell>
          <cell r="E30">
            <v>1472</v>
          </cell>
          <cell r="F30">
            <v>1302</v>
          </cell>
          <cell r="G30">
            <v>9145</v>
          </cell>
          <cell r="J30">
            <v>609.9</v>
          </cell>
          <cell r="K30">
            <v>603.57000000000005</v>
          </cell>
          <cell r="M30">
            <v>434</v>
          </cell>
          <cell r="N30">
            <v>13</v>
          </cell>
          <cell r="P30">
            <v>1.0378750614854775</v>
          </cell>
          <cell r="Q30">
            <v>372.758152173913</v>
          </cell>
          <cell r="S30">
            <v>1.0523658873377974E-2</v>
          </cell>
        </row>
        <row r="31">
          <cell r="B31">
            <v>46218</v>
          </cell>
          <cell r="D31" t="str">
            <v xml:space="preserve">CARIB FLINT EXPORT </v>
          </cell>
          <cell r="E31">
            <v>1440</v>
          </cell>
          <cell r="F31">
            <v>566</v>
          </cell>
          <cell r="G31">
            <v>2896</v>
          </cell>
          <cell r="J31">
            <v>191.7</v>
          </cell>
          <cell r="K31">
            <v>191.136</v>
          </cell>
          <cell r="M31">
            <v>285</v>
          </cell>
          <cell r="N31">
            <v>19</v>
          </cell>
          <cell r="P31">
            <v>0.29420970266040319</v>
          </cell>
          <cell r="Q31">
            <v>120.66666666666667</v>
          </cell>
          <cell r="S31">
            <v>7.0134730538922154E-3</v>
          </cell>
        </row>
        <row r="32">
          <cell r="B32">
            <v>46218</v>
          </cell>
          <cell r="D32" t="str">
            <v>STAG</v>
          </cell>
          <cell r="F32">
            <v>660</v>
          </cell>
          <cell r="G32">
            <v>2978</v>
          </cell>
          <cell r="J32">
            <v>202</v>
          </cell>
          <cell r="K32">
            <v>196.548</v>
          </cell>
          <cell r="M32">
            <v>322</v>
          </cell>
          <cell r="N32">
            <v>5</v>
          </cell>
          <cell r="P32">
            <v>2.6990099009900979</v>
          </cell>
          <cell r="Q32">
            <v>124.08333333333333</v>
          </cell>
          <cell r="S32">
            <v>2.5595670358192293E-2</v>
          </cell>
        </row>
        <row r="33">
          <cell r="B33">
            <v>46219</v>
          </cell>
          <cell r="D33" t="str">
            <v>STAG</v>
          </cell>
          <cell r="E33">
            <v>1425</v>
          </cell>
          <cell r="F33">
            <v>176</v>
          </cell>
          <cell r="G33">
            <v>1316</v>
          </cell>
          <cell r="J33">
            <v>90</v>
          </cell>
          <cell r="K33">
            <v>86.856000000000009</v>
          </cell>
          <cell r="M33">
            <v>58</v>
          </cell>
          <cell r="P33">
            <v>3.4933333333333234</v>
          </cell>
          <cell r="Q33">
            <v>55.410526315789475</v>
          </cell>
          <cell r="S33">
            <v>6.686489058039962E-3</v>
          </cell>
        </row>
        <row r="34">
          <cell r="B34">
            <v>46219</v>
          </cell>
          <cell r="D34" t="str">
            <v xml:space="preserve">CARIB FLINT EXPORT </v>
          </cell>
          <cell r="F34">
            <v>606</v>
          </cell>
          <cell r="G34">
            <v>1858</v>
          </cell>
          <cell r="J34">
            <v>342.80000000000007</v>
          </cell>
          <cell r="K34">
            <v>338.25</v>
          </cell>
          <cell r="M34">
            <v>393</v>
          </cell>
          <cell r="N34">
            <v>4</v>
          </cell>
          <cell r="P34">
            <v>1.3273045507584795</v>
          </cell>
          <cell r="Q34">
            <v>78.231578947368419</v>
          </cell>
          <cell r="S34">
            <v>5.7768187422934641E-3</v>
          </cell>
        </row>
        <row r="35">
          <cell r="B35">
            <v>46219</v>
          </cell>
          <cell r="D35" t="str">
            <v>CARIB FLINT LOCAL</v>
          </cell>
          <cell r="F35">
            <v>244</v>
          </cell>
          <cell r="G35">
            <v>1176</v>
          </cell>
          <cell r="M35">
            <v>107</v>
          </cell>
          <cell r="N35">
            <v>1</v>
          </cell>
          <cell r="Q35">
            <v>49.515789473684208</v>
          </cell>
        </row>
        <row r="36">
          <cell r="B36">
            <v>46219</v>
          </cell>
          <cell r="D36" t="str">
            <v>CARIB AMBER</v>
          </cell>
          <cell r="F36">
            <v>257</v>
          </cell>
          <cell r="G36">
            <v>2091</v>
          </cell>
          <cell r="M36">
            <v>92</v>
          </cell>
          <cell r="N36">
            <v>1</v>
          </cell>
          <cell r="Q36">
            <v>88.042105263157893</v>
          </cell>
        </row>
        <row r="37">
          <cell r="B37">
            <v>46220</v>
          </cell>
          <cell r="D37" t="str">
            <v xml:space="preserve">CARIB AMBER </v>
          </cell>
          <cell r="E37">
            <v>1238</v>
          </cell>
          <cell r="F37">
            <v>203</v>
          </cell>
          <cell r="G37">
            <v>1090</v>
          </cell>
          <cell r="J37">
            <v>72.900000000000006</v>
          </cell>
          <cell r="K37">
            <v>71.94</v>
          </cell>
          <cell r="N37">
            <v>3</v>
          </cell>
          <cell r="P37">
            <v>1.3168724279835498</v>
          </cell>
          <cell r="Q37">
            <v>52.827140549273025</v>
          </cell>
          <cell r="S37">
            <v>1.2463307800333426E-2</v>
          </cell>
        </row>
        <row r="38">
          <cell r="B38">
            <v>46220</v>
          </cell>
          <cell r="D38" t="str">
            <v>PINK TING</v>
          </cell>
          <cell r="F38">
            <v>0</v>
          </cell>
          <cell r="G38">
            <v>0</v>
          </cell>
          <cell r="K38">
            <v>0</v>
          </cell>
          <cell r="M38">
            <v>1092</v>
          </cell>
        </row>
        <row r="39">
          <cell r="B39">
            <v>46223</v>
          </cell>
          <cell r="D39" t="str">
            <v>STAR MALT</v>
          </cell>
          <cell r="E39">
            <v>1380</v>
          </cell>
          <cell r="F39">
            <v>1022</v>
          </cell>
          <cell r="G39">
            <v>6165</v>
          </cell>
          <cell r="J39">
            <v>410.10000000000008</v>
          </cell>
          <cell r="K39">
            <v>406.89000000000004</v>
          </cell>
          <cell r="M39">
            <v>530</v>
          </cell>
          <cell r="N39">
            <v>23</v>
          </cell>
          <cell r="P39">
            <v>0.78273591806877241</v>
          </cell>
          <cell r="Q39">
            <v>268.04347826086956</v>
          </cell>
          <cell r="S39">
            <v>1.2759360076529145E-2</v>
          </cell>
        </row>
        <row r="40">
          <cell r="B40">
            <v>46223</v>
          </cell>
          <cell r="D40" t="str">
            <v>PINK TING</v>
          </cell>
          <cell r="F40">
            <v>0</v>
          </cell>
          <cell r="G40">
            <v>40</v>
          </cell>
          <cell r="J40">
            <v>2.7720000000000002</v>
          </cell>
          <cell r="K40">
            <v>2.64</v>
          </cell>
          <cell r="M40">
            <v>145</v>
          </cell>
        </row>
        <row r="41">
          <cell r="B41">
            <v>46224</v>
          </cell>
          <cell r="D41" t="str">
            <v>PINK TING</v>
          </cell>
          <cell r="E41">
            <v>1440</v>
          </cell>
          <cell r="F41">
            <v>0</v>
          </cell>
          <cell r="K41">
            <v>0</v>
          </cell>
          <cell r="M41">
            <v>141</v>
          </cell>
        </row>
        <row r="42">
          <cell r="B42">
            <v>46224</v>
          </cell>
          <cell r="D42" t="str">
            <v>CARIB AMBER</v>
          </cell>
          <cell r="F42">
            <v>754</v>
          </cell>
          <cell r="G42">
            <v>6077</v>
          </cell>
          <cell r="J42">
            <v>411.20000000000005</v>
          </cell>
          <cell r="K42">
            <v>401.08199999999999</v>
          </cell>
          <cell r="M42">
            <v>152</v>
          </cell>
          <cell r="N42">
            <v>6</v>
          </cell>
          <cell r="P42">
            <v>2.4606031128404795</v>
          </cell>
          <cell r="Q42">
            <v>253.20833333333334</v>
          </cell>
          <cell r="S42">
            <v>4.6386138613861384E-3</v>
          </cell>
        </row>
        <row r="43">
          <cell r="B43">
            <v>46224</v>
          </cell>
          <cell r="D43" t="str">
            <v>PINK TING</v>
          </cell>
          <cell r="F43">
            <v>238</v>
          </cell>
          <cell r="G43">
            <v>1461</v>
          </cell>
          <cell r="J43">
            <v>99</v>
          </cell>
          <cell r="K43">
            <v>96.426000000000002</v>
          </cell>
          <cell r="M43">
            <v>258</v>
          </cell>
          <cell r="N43">
            <v>11</v>
          </cell>
          <cell r="P43">
            <v>2.5999999999999983</v>
          </cell>
          <cell r="Q43">
            <v>60.875</v>
          </cell>
          <cell r="S43">
            <v>5.8452900810979412E-3</v>
          </cell>
        </row>
        <row r="44">
          <cell r="B44">
            <v>46225</v>
          </cell>
          <cell r="D44" t="str">
            <v>PINK TING</v>
          </cell>
          <cell r="E44">
            <v>1427</v>
          </cell>
          <cell r="F44">
            <v>539</v>
          </cell>
          <cell r="G44">
            <v>3069</v>
          </cell>
          <cell r="J44">
            <v>215.02800000000002</v>
          </cell>
          <cell r="K44">
            <v>202.554</v>
          </cell>
          <cell r="M44">
            <v>215</v>
          </cell>
          <cell r="P44">
            <v>5.8011049723756987</v>
          </cell>
          <cell r="Q44">
            <v>129.03994393833216</v>
          </cell>
          <cell r="S44">
            <v>4.3928738865447719E-3</v>
          </cell>
        </row>
        <row r="45">
          <cell r="B45">
            <v>46225</v>
          </cell>
          <cell r="D45" t="str">
            <v>PORNSTAR MARTINI (TRIAL)</v>
          </cell>
          <cell r="G45">
            <v>0</v>
          </cell>
          <cell r="K45">
            <v>0</v>
          </cell>
          <cell r="M45">
            <v>760</v>
          </cell>
          <cell r="N45">
            <v>12</v>
          </cell>
        </row>
        <row r="46">
          <cell r="B46">
            <v>46226</v>
          </cell>
          <cell r="D46" t="str">
            <v>PORNSTAR MARTINI (TRIAL)</v>
          </cell>
          <cell r="E46">
            <v>1440</v>
          </cell>
          <cell r="F46">
            <v>194</v>
          </cell>
          <cell r="G46">
            <v>2605</v>
          </cell>
          <cell r="J46">
            <v>178.7</v>
          </cell>
          <cell r="K46">
            <v>171.93</v>
          </cell>
          <cell r="M46">
            <v>748</v>
          </cell>
          <cell r="N46">
            <v>3</v>
          </cell>
          <cell r="P46">
            <v>3.7884722999440306</v>
          </cell>
          <cell r="Q46">
            <v>109.53048353188507</v>
          </cell>
          <cell r="S46">
            <v>1.0708571428571428E-2</v>
          </cell>
        </row>
        <row r="47">
          <cell r="B47">
            <v>46226</v>
          </cell>
          <cell r="D47" t="str">
            <v>DARK BERRY ROYALE (TRAIL)</v>
          </cell>
          <cell r="F47">
            <v>297</v>
          </cell>
          <cell r="G47">
            <v>1316</v>
          </cell>
          <cell r="J47">
            <v>90.8</v>
          </cell>
          <cell r="K47">
            <v>86.856000000000009</v>
          </cell>
          <cell r="M47">
            <v>220</v>
          </cell>
          <cell r="P47">
            <v>4.3436123348017492</v>
          </cell>
          <cell r="Q47">
            <v>54.833333333333336</v>
          </cell>
        </row>
        <row r="48">
          <cell r="B48">
            <v>46227</v>
          </cell>
          <cell r="D48" t="str">
            <v>DARK BERRY ROYALE (TRAIL)</v>
          </cell>
          <cell r="E48">
            <v>1260</v>
          </cell>
          <cell r="F48">
            <v>305</v>
          </cell>
          <cell r="G48">
            <v>1392</v>
          </cell>
          <cell r="J48">
            <v>95</v>
          </cell>
          <cell r="K48">
            <v>91.872</v>
          </cell>
          <cell r="M48">
            <v>872</v>
          </cell>
          <cell r="N48">
            <v>45</v>
          </cell>
          <cell r="P48">
            <v>3.2926315789473684</v>
          </cell>
          <cell r="Q48">
            <v>58</v>
          </cell>
          <cell r="S48">
            <v>1.009698275862069E-2</v>
          </cell>
        </row>
        <row r="49">
          <cell r="B49">
            <v>46227</v>
          </cell>
          <cell r="D49" t="str">
            <v>CARIB AMBER</v>
          </cell>
          <cell r="F49">
            <v>0</v>
          </cell>
          <cell r="G49">
            <v>0</v>
          </cell>
          <cell r="J49">
            <v>0</v>
          </cell>
          <cell r="K49">
            <v>0</v>
          </cell>
          <cell r="M49">
            <v>170</v>
          </cell>
          <cell r="Q49">
            <v>0</v>
          </cell>
        </row>
        <row r="50">
          <cell r="B50">
            <v>46230</v>
          </cell>
          <cell r="D50" t="str">
            <v>CARIB AMBER</v>
          </cell>
          <cell r="E50">
            <v>1380</v>
          </cell>
          <cell r="F50">
            <v>1050</v>
          </cell>
          <cell r="G50">
            <v>5545</v>
          </cell>
          <cell r="J50">
            <v>374.6</v>
          </cell>
          <cell r="K50">
            <v>374.33000000000004</v>
          </cell>
          <cell r="M50">
            <v>701</v>
          </cell>
          <cell r="N50">
            <v>46</v>
          </cell>
          <cell r="P50">
            <v>7.2076882007469784E-2</v>
          </cell>
          <cell r="Q50">
            <v>241.08695652173913</v>
          </cell>
          <cell r="S50">
            <v>2.0915178571428571E-2</v>
          </cell>
        </row>
        <row r="51">
          <cell r="B51">
            <v>46231</v>
          </cell>
          <cell r="D51" t="str">
            <v>CARIB AMBER</v>
          </cell>
          <cell r="E51">
            <v>1431</v>
          </cell>
          <cell r="F51">
            <v>732</v>
          </cell>
          <cell r="G51">
            <v>5914</v>
          </cell>
          <cell r="J51">
            <v>649.79999999999995</v>
          </cell>
          <cell r="K51">
            <v>642.048</v>
          </cell>
          <cell r="M51">
            <v>137</v>
          </cell>
          <cell r="N51">
            <v>27</v>
          </cell>
          <cell r="P51">
            <v>1.1929824561403437</v>
          </cell>
          <cell r="Q51">
            <v>247.96645702306077</v>
          </cell>
          <cell r="S51">
            <v>1.0684273676348815E-2</v>
          </cell>
        </row>
        <row r="52">
          <cell r="B52">
            <v>46231</v>
          </cell>
          <cell r="D52" t="str">
            <v>CARIB FLINT (EXPORT)</v>
          </cell>
          <cell r="F52">
            <v>652</v>
          </cell>
          <cell r="G52">
            <v>3814</v>
          </cell>
          <cell r="M52">
            <v>165</v>
          </cell>
          <cell r="Q52">
            <v>159.91614255765199</v>
          </cell>
          <cell r="S52">
            <v>1.0411111111111111E-2</v>
          </cell>
        </row>
        <row r="53">
          <cell r="B53">
            <v>46232</v>
          </cell>
          <cell r="D53" t="str">
            <v>CARIB FLINT (EXPORT)</v>
          </cell>
          <cell r="E53">
            <v>1430</v>
          </cell>
          <cell r="F53">
            <v>110</v>
          </cell>
          <cell r="G53">
            <v>787</v>
          </cell>
          <cell r="J53">
            <v>100.7</v>
          </cell>
          <cell r="K53">
            <v>99.198000000000008</v>
          </cell>
          <cell r="M53">
            <v>32</v>
          </cell>
          <cell r="N53">
            <v>10</v>
          </cell>
          <cell r="P53">
            <v>1.4915590863952288</v>
          </cell>
          <cell r="Q53">
            <v>32.9979035639413</v>
          </cell>
          <cell r="S53">
            <v>6.2341982701264132E-3</v>
          </cell>
        </row>
        <row r="54">
          <cell r="B54">
            <v>46232</v>
          </cell>
          <cell r="D54" t="str">
            <v>CARIB FLINT (LOCAL)</v>
          </cell>
          <cell r="F54">
            <v>135</v>
          </cell>
          <cell r="G54">
            <v>716</v>
          </cell>
          <cell r="M54">
            <v>115</v>
          </cell>
          <cell r="Q54">
            <v>30.041958041958043</v>
          </cell>
        </row>
        <row r="55">
          <cell r="B55">
            <v>46232</v>
          </cell>
          <cell r="D55" t="str">
            <v>VITA MALT CLASSIC</v>
          </cell>
          <cell r="F55">
            <v>411</v>
          </cell>
          <cell r="G55">
            <v>4074</v>
          </cell>
          <cell r="J55">
            <v>289.5</v>
          </cell>
          <cell r="K55">
            <v>288.43920000000003</v>
          </cell>
          <cell r="M55">
            <v>639</v>
          </cell>
          <cell r="N55">
            <v>5</v>
          </cell>
          <cell r="P55">
            <v>0.36642487046631156</v>
          </cell>
          <cell r="Q55">
            <v>170.93706293706293</v>
          </cell>
          <cell r="S55">
            <v>1.1974440894568689E-2</v>
          </cell>
        </row>
        <row r="56">
          <cell r="B56">
            <v>46233</v>
          </cell>
          <cell r="D56" t="str">
            <v>VITA MALT CLASSIC</v>
          </cell>
          <cell r="E56">
            <v>1434</v>
          </cell>
          <cell r="F56">
            <v>151</v>
          </cell>
          <cell r="G56">
            <v>1196</v>
          </cell>
          <cell r="J56">
            <v>85.5</v>
          </cell>
          <cell r="K56">
            <v>84.6768</v>
          </cell>
          <cell r="M56">
            <v>36</v>
          </cell>
          <cell r="N56">
            <v>2</v>
          </cell>
          <cell r="P56">
            <v>0.96280701754385944</v>
          </cell>
          <cell r="Q56">
            <v>50.0418410041841</v>
          </cell>
          <cell r="S56">
            <v>4.3785046728971955E-3</v>
          </cell>
        </row>
        <row r="57">
          <cell r="B57">
            <v>46233</v>
          </cell>
          <cell r="D57" t="str">
            <v>STAG</v>
          </cell>
          <cell r="F57">
            <v>795</v>
          </cell>
          <cell r="G57">
            <v>7317</v>
          </cell>
          <cell r="J57">
            <v>488.7</v>
          </cell>
          <cell r="K57">
            <v>482.92200000000003</v>
          </cell>
          <cell r="M57">
            <v>367</v>
          </cell>
          <cell r="N57">
            <v>10</v>
          </cell>
          <cell r="P57">
            <v>1.1823204419889428</v>
          </cell>
          <cell r="Q57">
            <v>306.15062761506277</v>
          </cell>
          <cell r="S57">
            <v>5.8709273182957385E-3</v>
          </cell>
        </row>
        <row r="58">
          <cell r="B58">
            <v>46233</v>
          </cell>
          <cell r="D58" t="str">
            <v xml:space="preserve">CARIB AMBER </v>
          </cell>
          <cell r="F58">
            <v>81</v>
          </cell>
          <cell r="G58">
            <v>595</v>
          </cell>
          <cell r="J58">
            <v>39.499999999999993</v>
          </cell>
          <cell r="K58">
            <v>39.270000000000003</v>
          </cell>
          <cell r="M58">
            <v>97</v>
          </cell>
          <cell r="P58">
            <v>0.58227848101263247</v>
          </cell>
          <cell r="Q58">
            <v>24.89539748953975</v>
          </cell>
        </row>
        <row r="59">
          <cell r="B59">
            <v>46234</v>
          </cell>
          <cell r="D59" t="str">
            <v>CARIB AMBER</v>
          </cell>
          <cell r="E59">
            <v>1250</v>
          </cell>
          <cell r="F59">
            <v>945</v>
          </cell>
          <cell r="G59">
            <v>7553</v>
          </cell>
          <cell r="J59">
            <v>507.6</v>
          </cell>
          <cell r="K59">
            <v>498.49800000000005</v>
          </cell>
          <cell r="M59">
            <v>265</v>
          </cell>
          <cell r="N59">
            <v>14</v>
          </cell>
          <cell r="P59">
            <v>1.7931442080378204</v>
          </cell>
          <cell r="Q59">
            <v>362.54400000000004</v>
          </cell>
          <cell r="S59">
            <v>8.2120946538124448E-3</v>
          </cell>
        </row>
      </sheetData>
      <sheetData sheetId="7">
        <row r="8">
          <cell r="B8">
            <v>46237</v>
          </cell>
          <cell r="D8" t="str">
            <v>GUINNESS</v>
          </cell>
          <cell r="E8">
            <v>1350</v>
          </cell>
          <cell r="F8">
            <v>1188</v>
          </cell>
          <cell r="G8">
            <v>5831</v>
          </cell>
          <cell r="I8">
            <v>64</v>
          </cell>
          <cell r="J8">
            <v>387</v>
          </cell>
          <cell r="K8">
            <v>384.846</v>
          </cell>
          <cell r="N8">
            <v>36</v>
          </cell>
          <cell r="P8">
            <v>0.55658914728682085</v>
          </cell>
          <cell r="Q8">
            <v>259.15555555555557</v>
          </cell>
          <cell r="S8">
            <v>9.3512974051896194E-3</v>
          </cell>
        </row>
        <row r="9">
          <cell r="B9">
            <v>46238</v>
          </cell>
          <cell r="D9" t="str">
            <v>CARIB AMBER</v>
          </cell>
          <cell r="E9">
            <v>1440</v>
          </cell>
          <cell r="F9">
            <v>1228</v>
          </cell>
          <cell r="G9">
            <v>10243</v>
          </cell>
          <cell r="J9">
            <v>710.3</v>
          </cell>
          <cell r="K9">
            <v>683.25800000000004</v>
          </cell>
          <cell r="N9">
            <v>21</v>
          </cell>
          <cell r="P9">
            <v>3.8071237505279347</v>
          </cell>
          <cell r="Q9">
            <v>426.79166666666669</v>
          </cell>
          <cell r="S9">
            <v>1.7861501139567179E-2</v>
          </cell>
        </row>
        <row r="10">
          <cell r="B10">
            <v>46239</v>
          </cell>
          <cell r="D10" t="str">
            <v>CARIB AMBER</v>
          </cell>
          <cell r="E10">
            <v>1440</v>
          </cell>
          <cell r="F10">
            <v>314</v>
          </cell>
          <cell r="G10">
            <v>2644</v>
          </cell>
          <cell r="J10">
            <v>183.5</v>
          </cell>
          <cell r="K10">
            <v>174.50400000000002</v>
          </cell>
          <cell r="N10">
            <v>2</v>
          </cell>
          <cell r="P10">
            <v>4.9024523160762845</v>
          </cell>
          <cell r="Q10">
            <v>305.5</v>
          </cell>
        </row>
        <row r="11">
          <cell r="B11">
            <v>46239</v>
          </cell>
          <cell r="D11" t="str">
            <v>STAG</v>
          </cell>
          <cell r="F11">
            <v>614</v>
          </cell>
          <cell r="G11">
            <v>4281</v>
          </cell>
          <cell r="J11">
            <v>295.3</v>
          </cell>
          <cell r="K11">
            <v>288.24599999999998</v>
          </cell>
          <cell r="N11">
            <v>60</v>
          </cell>
          <cell r="P11">
            <v>2.3887571960718015</v>
          </cell>
        </row>
        <row r="12">
          <cell r="B12">
            <v>46239</v>
          </cell>
          <cell r="D12" t="str">
            <v xml:space="preserve">CARIB AMBER </v>
          </cell>
          <cell r="F12">
            <v>90</v>
          </cell>
          <cell r="G12">
            <v>407</v>
          </cell>
          <cell r="J12">
            <v>46.599999999999994</v>
          </cell>
          <cell r="K12">
            <v>45.862000000000002</v>
          </cell>
          <cell r="N12">
            <v>1</v>
          </cell>
          <cell r="P12">
            <v>1.5836909871244476</v>
          </cell>
        </row>
        <row r="13">
          <cell r="B13">
            <v>46240</v>
          </cell>
          <cell r="D13" t="str">
            <v xml:space="preserve">CARIB AMBER </v>
          </cell>
          <cell r="E13">
            <v>1440</v>
          </cell>
          <cell r="F13">
            <v>1262</v>
          </cell>
          <cell r="G13">
            <v>6934</v>
          </cell>
          <cell r="J13">
            <v>488</v>
          </cell>
          <cell r="K13">
            <v>473.22399999999999</v>
          </cell>
          <cell r="N13">
            <v>66</v>
          </cell>
          <cell r="P13">
            <v>3.0278688524590187</v>
          </cell>
          <cell r="Q13">
            <v>288.91666666666669</v>
          </cell>
        </row>
        <row r="14">
          <cell r="B14">
            <v>46241</v>
          </cell>
          <cell r="D14" t="str">
            <v xml:space="preserve">STAR MALT </v>
          </cell>
          <cell r="E14">
            <v>1260</v>
          </cell>
          <cell r="F14">
            <v>828</v>
          </cell>
          <cell r="G14">
            <v>5846</v>
          </cell>
          <cell r="J14">
            <v>398</v>
          </cell>
          <cell r="K14">
            <v>385.83600000000001</v>
          </cell>
          <cell r="N14">
            <v>13</v>
          </cell>
          <cell r="P14">
            <v>3.0562814070351725</v>
          </cell>
          <cell r="Q14">
            <v>302.04761904761904</v>
          </cell>
        </row>
        <row r="15">
          <cell r="B15">
            <v>46241</v>
          </cell>
          <cell r="D15" t="str">
            <v>CARIB FLINT LOCAL</v>
          </cell>
          <cell r="F15">
            <v>64</v>
          </cell>
          <cell r="G15">
            <v>497</v>
          </cell>
          <cell r="J15">
            <v>33.700000000000003</v>
          </cell>
          <cell r="K15">
            <v>32.802</v>
          </cell>
          <cell r="N15">
            <v>3</v>
          </cell>
          <cell r="P15">
            <v>2.6646884272997129</v>
          </cell>
        </row>
        <row r="16">
          <cell r="B16">
            <v>46246</v>
          </cell>
          <cell r="D16" t="str">
            <v>CARIB FLINT EXPORT</v>
          </cell>
          <cell r="E16">
            <v>1030</v>
          </cell>
          <cell r="F16">
            <v>628</v>
          </cell>
          <cell r="G16">
            <v>4542</v>
          </cell>
          <cell r="I16">
            <v>8</v>
          </cell>
          <cell r="J16">
            <v>302.90000000000003</v>
          </cell>
          <cell r="K16">
            <v>299.77199999999999</v>
          </cell>
          <cell r="N16">
            <v>15</v>
          </cell>
          <cell r="P16">
            <v>1.0326840541432956</v>
          </cell>
          <cell r="Q16">
            <v>264.58252427184465</v>
          </cell>
        </row>
        <row r="17">
          <cell r="B17">
            <v>46247</v>
          </cell>
          <cell r="D17" t="str">
            <v>CARIB FLINT LOCAL</v>
          </cell>
          <cell r="E17">
            <v>1430</v>
          </cell>
          <cell r="F17">
            <v>88</v>
          </cell>
          <cell r="G17">
            <v>899</v>
          </cell>
          <cell r="J17">
            <v>330.9</v>
          </cell>
          <cell r="K17">
            <v>329.142</v>
          </cell>
          <cell r="P17">
            <v>0.53127833182229722</v>
          </cell>
          <cell r="Q17">
            <v>342.83916083916085</v>
          </cell>
        </row>
        <row r="18">
          <cell r="B18">
            <v>46247</v>
          </cell>
          <cell r="D18" t="str">
            <v>CARIB AMBER</v>
          </cell>
          <cell r="F18">
            <v>702</v>
          </cell>
          <cell r="G18">
            <v>4088</v>
          </cell>
          <cell r="N18">
            <v>2</v>
          </cell>
        </row>
        <row r="19">
          <cell r="B19">
            <v>46247</v>
          </cell>
          <cell r="D19" t="str">
            <v>STAG</v>
          </cell>
          <cell r="F19">
            <v>439</v>
          </cell>
          <cell r="G19">
            <v>3184</v>
          </cell>
          <cell r="J19">
            <v>216.20000000000002</v>
          </cell>
          <cell r="K19">
            <v>210.14400000000001</v>
          </cell>
          <cell r="N19">
            <v>6</v>
          </cell>
          <cell r="P19">
            <v>2.8011100832562494</v>
          </cell>
        </row>
        <row r="20">
          <cell r="B20">
            <v>46248</v>
          </cell>
          <cell r="D20" t="str">
            <v>STAG</v>
          </cell>
          <cell r="E20">
            <v>1260</v>
          </cell>
          <cell r="F20">
            <v>887</v>
          </cell>
          <cell r="G20">
            <v>6323</v>
          </cell>
          <cell r="I20">
            <v>13</v>
          </cell>
          <cell r="J20">
            <v>421.9</v>
          </cell>
          <cell r="K20">
            <v>417.31800000000004</v>
          </cell>
          <cell r="N20">
            <v>13</v>
          </cell>
          <cell r="P20">
            <v>1.0860393458165294</v>
          </cell>
          <cell r="Q20">
            <v>332</v>
          </cell>
        </row>
        <row r="21">
          <cell r="B21">
            <v>46248</v>
          </cell>
          <cell r="D21" t="str">
            <v>CARIB AMBER</v>
          </cell>
          <cell r="F21">
            <v>98</v>
          </cell>
          <cell r="G21">
            <v>649</v>
          </cell>
          <cell r="I21">
            <v>280</v>
          </cell>
          <cell r="J21">
            <v>45.099999999999994</v>
          </cell>
          <cell r="K21">
            <v>42.834000000000003</v>
          </cell>
          <cell r="N21">
            <v>2</v>
          </cell>
          <cell r="P21">
            <v>5.0243902439024195</v>
          </cell>
        </row>
        <row r="22">
          <cell r="B22">
            <v>46251</v>
          </cell>
          <cell r="D22" t="str">
            <v>CARIB EXPORT</v>
          </cell>
          <cell r="E22">
            <v>1380</v>
          </cell>
          <cell r="F22">
            <v>1093</v>
          </cell>
          <cell r="G22">
            <v>5292</v>
          </cell>
          <cell r="J22">
            <v>370.5</v>
          </cell>
          <cell r="K22">
            <v>369.46800000000002</v>
          </cell>
          <cell r="N22">
            <v>17</v>
          </cell>
          <cell r="P22">
            <v>0.2785425101214527</v>
          </cell>
          <cell r="Q22">
            <v>243.39130434782609</v>
          </cell>
        </row>
        <row r="23">
          <cell r="B23">
            <v>46251</v>
          </cell>
          <cell r="D23" t="str">
            <v>CARIB FLINT LOCAL</v>
          </cell>
          <cell r="F23">
            <v>80</v>
          </cell>
          <cell r="G23">
            <v>306</v>
          </cell>
          <cell r="N23">
            <v>0</v>
          </cell>
        </row>
        <row r="24">
          <cell r="B24">
            <v>46252</v>
          </cell>
          <cell r="D24" t="str">
            <v>CARIB FLINT LOCAL</v>
          </cell>
          <cell r="E24">
            <v>1440</v>
          </cell>
          <cell r="F24">
            <v>195</v>
          </cell>
          <cell r="G24">
            <v>825</v>
          </cell>
          <cell r="J24">
            <v>644.5</v>
          </cell>
          <cell r="K24">
            <v>628.18799999999999</v>
          </cell>
          <cell r="N24">
            <v>11</v>
          </cell>
          <cell r="P24">
            <v>2.5309542280837878</v>
          </cell>
          <cell r="Q24">
            <v>396.58333333333331</v>
          </cell>
        </row>
        <row r="25">
          <cell r="B25">
            <v>46252</v>
          </cell>
          <cell r="D25" t="str">
            <v>CARIB AMBER</v>
          </cell>
          <cell r="F25">
            <v>1130</v>
          </cell>
          <cell r="G25">
            <v>8693</v>
          </cell>
          <cell r="N25">
            <v>3</v>
          </cell>
        </row>
        <row r="26">
          <cell r="B26">
            <v>46253</v>
          </cell>
          <cell r="D26" t="str">
            <v>CARIB AMBER</v>
          </cell>
          <cell r="E26">
            <v>1440</v>
          </cell>
          <cell r="F26">
            <v>744</v>
          </cell>
          <cell r="G26">
            <v>6634</v>
          </cell>
          <cell r="J26">
            <v>446.8</v>
          </cell>
          <cell r="K26">
            <v>437.84399999999999</v>
          </cell>
          <cell r="N26">
            <v>6</v>
          </cell>
          <cell r="P26">
            <v>2.0044762757385892</v>
          </cell>
          <cell r="Q26">
            <v>360.45833333333331</v>
          </cell>
        </row>
        <row r="27">
          <cell r="B27">
            <v>46253</v>
          </cell>
          <cell r="D27" t="str">
            <v>TING ORIGINAL</v>
          </cell>
          <cell r="F27">
            <v>255</v>
          </cell>
          <cell r="G27">
            <v>2017</v>
          </cell>
          <cell r="J27">
            <v>237.60000000000002</v>
          </cell>
          <cell r="K27">
            <v>232.65</v>
          </cell>
          <cell r="N27">
            <v>32</v>
          </cell>
          <cell r="P27">
            <v>2.0833333333333401</v>
          </cell>
        </row>
        <row r="28">
          <cell r="B28">
            <v>46254</v>
          </cell>
          <cell r="D28" t="str">
            <v>TING ORIGINAL</v>
          </cell>
          <cell r="E28">
            <v>1240</v>
          </cell>
          <cell r="F28">
            <v>210</v>
          </cell>
          <cell r="G28">
            <v>1508</v>
          </cell>
          <cell r="N28">
            <v>3</v>
          </cell>
          <cell r="Q28">
            <v>421.45161290322579</v>
          </cell>
        </row>
        <row r="29">
          <cell r="B29">
            <v>46254</v>
          </cell>
          <cell r="D29" t="str">
            <v>STAG</v>
          </cell>
          <cell r="F29">
            <v>820</v>
          </cell>
          <cell r="G29">
            <v>7202</v>
          </cell>
          <cell r="J29">
            <v>479.8</v>
          </cell>
          <cell r="K29">
            <v>475.33200000000005</v>
          </cell>
          <cell r="N29">
            <v>4</v>
          </cell>
          <cell r="P29">
            <v>0.93122134222591924</v>
          </cell>
        </row>
        <row r="30">
          <cell r="B30">
            <v>46255</v>
          </cell>
          <cell r="D30" t="str">
            <v>NO BOTTLING</v>
          </cell>
          <cell r="K30">
            <v>0</v>
          </cell>
        </row>
        <row r="31">
          <cell r="B31">
            <v>46258</v>
          </cell>
          <cell r="D31" t="str">
            <v xml:space="preserve">CARIB AMBER </v>
          </cell>
          <cell r="E31">
            <v>1380</v>
          </cell>
          <cell r="F31">
            <v>869</v>
          </cell>
          <cell r="G31">
            <v>5470</v>
          </cell>
          <cell r="J31">
            <v>367.1</v>
          </cell>
          <cell r="K31">
            <v>361.02000000000004</v>
          </cell>
          <cell r="N31">
            <v>49</v>
          </cell>
          <cell r="P31">
            <v>1.6562244619994508</v>
          </cell>
          <cell r="Q31">
            <v>237.82608695652175</v>
          </cell>
        </row>
        <row r="32">
          <cell r="B32">
            <v>46258</v>
          </cell>
          <cell r="D32" t="str">
            <v xml:space="preserve">STAR MALT </v>
          </cell>
          <cell r="F32">
            <v>110</v>
          </cell>
          <cell r="G32">
            <v>274</v>
          </cell>
          <cell r="J32">
            <v>19.09999999999998</v>
          </cell>
          <cell r="K32">
            <v>18.084</v>
          </cell>
          <cell r="N32">
            <v>0</v>
          </cell>
          <cell r="P32">
            <v>5.3193717277485941</v>
          </cell>
          <cell r="Q32">
            <v>11.913043478260869</v>
          </cell>
        </row>
        <row r="33">
          <cell r="B33">
            <v>46259</v>
          </cell>
          <cell r="D33" t="str">
            <v xml:space="preserve">STAR MALT </v>
          </cell>
          <cell r="E33">
            <v>1440</v>
          </cell>
          <cell r="F33">
            <v>1075</v>
          </cell>
          <cell r="G33">
            <v>6773</v>
          </cell>
          <cell r="J33">
            <v>457.40000000000003</v>
          </cell>
          <cell r="K33">
            <v>447.01800000000003</v>
          </cell>
          <cell r="N33">
            <v>6</v>
          </cell>
          <cell r="P33">
            <v>2.2697857455181469</v>
          </cell>
          <cell r="Q33">
            <v>282.20833333333331</v>
          </cell>
        </row>
        <row r="34">
          <cell r="B34">
            <v>46259</v>
          </cell>
          <cell r="D34" t="str">
            <v>GUINNESS</v>
          </cell>
          <cell r="F34">
            <v>48</v>
          </cell>
          <cell r="G34">
            <v>466</v>
          </cell>
          <cell r="J34">
            <v>30.900000000000006</v>
          </cell>
          <cell r="K34">
            <v>30.756</v>
          </cell>
          <cell r="N34">
            <v>0</v>
          </cell>
          <cell r="P34">
            <v>0.46601941747574571</v>
          </cell>
          <cell r="Q34">
            <v>19.416666666666668</v>
          </cell>
        </row>
        <row r="35">
          <cell r="B35">
            <v>46260</v>
          </cell>
          <cell r="D35" t="str">
            <v>GUINNESS</v>
          </cell>
          <cell r="E35">
            <v>1440</v>
          </cell>
          <cell r="F35">
            <v>951</v>
          </cell>
          <cell r="G35">
            <v>5146</v>
          </cell>
          <cell r="J35">
            <v>340.5</v>
          </cell>
          <cell r="K35">
            <v>339.63600000000002</v>
          </cell>
          <cell r="N35">
            <v>52</v>
          </cell>
          <cell r="P35">
            <v>0.2537444933920634</v>
          </cell>
          <cell r="Q35">
            <v>214.41666666666666</v>
          </cell>
        </row>
        <row r="36">
          <cell r="B36">
            <v>46260</v>
          </cell>
          <cell r="D36" t="str">
            <v>CARIB AMBER</v>
          </cell>
          <cell r="F36">
            <v>148</v>
          </cell>
          <cell r="G36">
            <v>1143</v>
          </cell>
          <cell r="J36">
            <v>78.2</v>
          </cell>
          <cell r="K36">
            <v>75.438000000000002</v>
          </cell>
          <cell r="N36">
            <v>2</v>
          </cell>
          <cell r="P36">
            <v>3.5319693094629159</v>
          </cell>
          <cell r="Q36">
            <v>47.625</v>
          </cell>
        </row>
        <row r="37">
          <cell r="B37">
            <v>46261</v>
          </cell>
          <cell r="D37" t="str">
            <v>CARIB AMBER</v>
          </cell>
          <cell r="E37">
            <v>1440</v>
          </cell>
          <cell r="F37">
            <v>651</v>
          </cell>
          <cell r="G37">
            <v>4346</v>
          </cell>
          <cell r="I37">
            <v>22</v>
          </cell>
          <cell r="J37">
            <v>288.8</v>
          </cell>
          <cell r="K37">
            <v>286.83600000000001</v>
          </cell>
          <cell r="N37">
            <v>10</v>
          </cell>
          <cell r="P37">
            <v>0.68005540166204936</v>
          </cell>
          <cell r="Q37">
            <v>181.08333333333334</v>
          </cell>
        </row>
        <row r="38">
          <cell r="B38">
            <v>46261</v>
          </cell>
          <cell r="D38" t="str">
            <v xml:space="preserve">J. COOL SODA WATER </v>
          </cell>
          <cell r="F38">
            <v>100</v>
          </cell>
          <cell r="G38">
            <v>704</v>
          </cell>
          <cell r="J38">
            <v>46.463999999999999</v>
          </cell>
          <cell r="K38">
            <v>46.463999999999999</v>
          </cell>
          <cell r="N38">
            <v>0</v>
          </cell>
          <cell r="P38">
            <v>0</v>
          </cell>
          <cell r="Q38">
            <v>29.333333333333332</v>
          </cell>
        </row>
        <row r="39">
          <cell r="B39">
            <v>46261</v>
          </cell>
          <cell r="D39" t="str">
            <v>J.COOL. KOLA CHMAP</v>
          </cell>
          <cell r="F39">
            <v>208</v>
          </cell>
          <cell r="G39">
            <v>1233</v>
          </cell>
          <cell r="J39">
            <v>83.160000000000011</v>
          </cell>
          <cell r="K39">
            <v>81.378</v>
          </cell>
          <cell r="N39">
            <v>3</v>
          </cell>
          <cell r="P39">
            <v>2.1428571428571552</v>
          </cell>
          <cell r="Q39">
            <v>51.375</v>
          </cell>
        </row>
        <row r="40">
          <cell r="B40">
            <v>46262</v>
          </cell>
          <cell r="D40" t="str">
            <v xml:space="preserve">J.COOL. CREAM SODA </v>
          </cell>
          <cell r="E40">
            <v>1260</v>
          </cell>
          <cell r="F40">
            <v>237</v>
          </cell>
          <cell r="G40">
            <v>1166</v>
          </cell>
          <cell r="J40">
            <v>83.160000000000011</v>
          </cell>
          <cell r="K40">
            <v>76.956000000000003</v>
          </cell>
          <cell r="N40">
            <v>32</v>
          </cell>
          <cell r="P40">
            <v>7.4603174603174685</v>
          </cell>
          <cell r="Q40">
            <v>55.523809523809526</v>
          </cell>
        </row>
        <row r="41">
          <cell r="B41">
            <v>46262</v>
          </cell>
          <cell r="D41" t="str">
            <v>J COOL  BANANA</v>
          </cell>
          <cell r="F41">
            <v>95</v>
          </cell>
          <cell r="G41">
            <v>612</v>
          </cell>
          <cell r="J41">
            <v>41.580000000000005</v>
          </cell>
          <cell r="K41">
            <v>40.392000000000003</v>
          </cell>
          <cell r="N41">
            <v>11</v>
          </cell>
          <cell r="P41">
            <v>2.8571428571428625</v>
          </cell>
          <cell r="Q41">
            <v>29.142857142857142</v>
          </cell>
        </row>
        <row r="42">
          <cell r="B42">
            <v>46262</v>
          </cell>
          <cell r="D42" t="str">
            <v>J.COO GRAPE</v>
          </cell>
          <cell r="F42">
            <v>84</v>
          </cell>
          <cell r="G42">
            <v>665</v>
          </cell>
          <cell r="J42">
            <v>44.22</v>
          </cell>
          <cell r="K42">
            <v>43.89</v>
          </cell>
          <cell r="N42">
            <v>11</v>
          </cell>
          <cell r="P42">
            <v>0.74626865671641407</v>
          </cell>
          <cell r="Q42">
            <v>31.666666666666668</v>
          </cell>
        </row>
        <row r="43">
          <cell r="B43">
            <v>46262</v>
          </cell>
          <cell r="D43" t="str">
            <v>VITA MALT</v>
          </cell>
          <cell r="F43">
            <v>200</v>
          </cell>
          <cell r="G43">
            <v>1177</v>
          </cell>
          <cell r="J43">
            <v>83.5</v>
          </cell>
          <cell r="K43">
            <v>83.331600000000009</v>
          </cell>
          <cell r="N43">
            <v>5</v>
          </cell>
          <cell r="P43">
            <v>0.20167664670657634</v>
          </cell>
          <cell r="Q43">
            <v>56.047619047619051</v>
          </cell>
        </row>
        <row r="44">
          <cell r="B44">
            <v>46265</v>
          </cell>
          <cell r="D44" t="str">
            <v xml:space="preserve">VITA MALT </v>
          </cell>
          <cell r="E44">
            <v>1380</v>
          </cell>
          <cell r="F44">
            <v>599</v>
          </cell>
          <cell r="G44">
            <v>4222</v>
          </cell>
          <cell r="J44">
            <v>303.10000000000002</v>
          </cell>
          <cell r="K44">
            <v>298.91759999999999</v>
          </cell>
          <cell r="N44">
            <v>17</v>
          </cell>
          <cell r="P44">
            <v>1.3798746288353776</v>
          </cell>
          <cell r="Q44">
            <v>183.56521739130434</v>
          </cell>
        </row>
        <row r="45">
          <cell r="K45">
            <v>0</v>
          </cell>
        </row>
        <row r="46">
          <cell r="K46">
            <v>0</v>
          </cell>
        </row>
        <row r="47">
          <cell r="K47">
            <v>0</v>
          </cell>
        </row>
        <row r="48">
          <cell r="K48">
            <v>0</v>
          </cell>
        </row>
        <row r="49">
          <cell r="K49">
            <v>0</v>
          </cell>
        </row>
        <row r="50">
          <cell r="K50">
            <v>0</v>
          </cell>
        </row>
        <row r="51">
          <cell r="K51">
            <v>0</v>
          </cell>
        </row>
        <row r="52">
          <cell r="K52">
            <v>0</v>
          </cell>
        </row>
        <row r="53">
          <cell r="K53">
            <v>0</v>
          </cell>
        </row>
      </sheetData>
      <sheetData sheetId="8">
        <row r="8">
          <cell r="B8">
            <v>46266</v>
          </cell>
          <cell r="D8" t="str">
            <v>STAG</v>
          </cell>
          <cell r="E8">
            <v>1440</v>
          </cell>
          <cell r="F8">
            <v>815</v>
          </cell>
          <cell r="G8">
            <v>5560</v>
          </cell>
          <cell r="J8">
            <v>372.7</v>
          </cell>
          <cell r="K8">
            <v>366.96000000000004</v>
          </cell>
          <cell r="N8">
            <v>18</v>
          </cell>
          <cell r="P8">
            <v>1.540112691172512</v>
          </cell>
          <cell r="Q8">
            <v>231.66666666666666</v>
          </cell>
        </row>
        <row r="9">
          <cell r="B9">
            <v>46266</v>
          </cell>
          <cell r="D9" t="str">
            <v>CARIB EXPORT</v>
          </cell>
          <cell r="F9">
            <v>367</v>
          </cell>
          <cell r="G9">
            <v>1916</v>
          </cell>
          <cell r="J9">
            <v>129.09999999999997</v>
          </cell>
          <cell r="K9">
            <v>126.456</v>
          </cell>
          <cell r="N9">
            <v>6</v>
          </cell>
          <cell r="P9">
            <v>2.0480247869868036</v>
          </cell>
          <cell r="Q9">
            <v>79.833333333333329</v>
          </cell>
        </row>
        <row r="10">
          <cell r="B10">
            <v>46267</v>
          </cell>
          <cell r="D10" t="str">
            <v>CARIB EXPORT</v>
          </cell>
          <cell r="E10">
            <v>1440</v>
          </cell>
          <cell r="F10">
            <v>520</v>
          </cell>
          <cell r="G10">
            <v>2831</v>
          </cell>
          <cell r="J10">
            <v>527.4</v>
          </cell>
          <cell r="K10">
            <v>519.42000000000007</v>
          </cell>
          <cell r="N10">
            <v>10</v>
          </cell>
          <cell r="P10">
            <v>1.5130830489192084</v>
          </cell>
          <cell r="Q10">
            <v>117.95833333333333</v>
          </cell>
        </row>
        <row r="11">
          <cell r="B11">
            <v>46267</v>
          </cell>
          <cell r="D11" t="str">
            <v>CARIB FLINT LOCAL</v>
          </cell>
          <cell r="F11">
            <v>334</v>
          </cell>
          <cell r="G11">
            <v>2342</v>
          </cell>
          <cell r="N11">
            <v>3</v>
          </cell>
          <cell r="Q11">
            <v>97.583333333333329</v>
          </cell>
        </row>
        <row r="12">
          <cell r="B12">
            <v>46267</v>
          </cell>
          <cell r="D12" t="str">
            <v>CARIB AMBER</v>
          </cell>
          <cell r="F12">
            <v>405</v>
          </cell>
          <cell r="G12">
            <v>2697</v>
          </cell>
          <cell r="N12">
            <v>3</v>
          </cell>
          <cell r="Q12">
            <v>112.375</v>
          </cell>
        </row>
        <row r="13">
          <cell r="B13">
            <v>46268</v>
          </cell>
          <cell r="D13" t="str">
            <v>CARIB AMBER</v>
          </cell>
          <cell r="E13">
            <v>1440</v>
          </cell>
          <cell r="F13">
            <v>198</v>
          </cell>
          <cell r="G13">
            <v>1343</v>
          </cell>
          <cell r="J13">
            <v>89.5</v>
          </cell>
          <cell r="K13">
            <v>88.638000000000005</v>
          </cell>
          <cell r="N13">
            <v>0</v>
          </cell>
          <cell r="P13">
            <v>0.96312849162010583</v>
          </cell>
          <cell r="Q13">
            <v>55.958333333333336</v>
          </cell>
        </row>
        <row r="14">
          <cell r="B14">
            <v>46268</v>
          </cell>
          <cell r="D14" t="str">
            <v>STAG</v>
          </cell>
          <cell r="F14">
            <v>700</v>
          </cell>
          <cell r="G14">
            <v>5440</v>
          </cell>
          <cell r="J14">
            <v>361.8</v>
          </cell>
          <cell r="K14">
            <v>359.04</v>
          </cell>
          <cell r="N14">
            <v>3</v>
          </cell>
          <cell r="P14">
            <v>0.76285240464344684</v>
          </cell>
          <cell r="Q14">
            <v>226.66666666666666</v>
          </cell>
        </row>
        <row r="15">
          <cell r="B15">
            <v>46268</v>
          </cell>
          <cell r="D15" t="str">
            <v>GINSENG UP ORIGINAL</v>
          </cell>
          <cell r="F15">
            <v>68</v>
          </cell>
          <cell r="G15">
            <v>0</v>
          </cell>
          <cell r="J15">
            <v>0</v>
          </cell>
          <cell r="K15">
            <v>0</v>
          </cell>
          <cell r="N15">
            <v>0</v>
          </cell>
          <cell r="Q15">
            <v>0</v>
          </cell>
        </row>
        <row r="16">
          <cell r="B16">
            <v>46269</v>
          </cell>
          <cell r="D16" t="str">
            <v>GINSENG UP ORIGINAL</v>
          </cell>
          <cell r="E16">
            <v>247</v>
          </cell>
          <cell r="F16">
            <v>180</v>
          </cell>
          <cell r="G16">
            <v>1459</v>
          </cell>
          <cell r="J16">
            <v>100.9</v>
          </cell>
          <cell r="K16">
            <v>96.294000000000011</v>
          </cell>
          <cell r="N16">
            <v>6</v>
          </cell>
          <cell r="P16">
            <v>4.5649157581764062</v>
          </cell>
          <cell r="Q16">
            <v>354.41295546558706</v>
          </cell>
        </row>
        <row r="17">
          <cell r="B17">
            <v>46273</v>
          </cell>
          <cell r="D17" t="str">
            <v>CARIB AMBER</v>
          </cell>
          <cell r="E17">
            <v>910</v>
          </cell>
          <cell r="F17">
            <v>757</v>
          </cell>
          <cell r="G17">
            <v>3961</v>
          </cell>
          <cell r="J17">
            <v>266</v>
          </cell>
          <cell r="K17">
            <v>261.42599999999999</v>
          </cell>
          <cell r="N17">
            <v>24</v>
          </cell>
          <cell r="P17">
            <v>1.7195488721804559</v>
          </cell>
          <cell r="Q17">
            <v>261.16483516483515</v>
          </cell>
        </row>
        <row r="18">
          <cell r="B18">
            <v>46274</v>
          </cell>
          <cell r="D18" t="str">
            <v>CARIB AMBER</v>
          </cell>
          <cell r="E18">
            <v>910</v>
          </cell>
          <cell r="F18">
            <v>694</v>
          </cell>
          <cell r="G18">
            <v>6085</v>
          </cell>
          <cell r="J18">
            <v>404.9</v>
          </cell>
          <cell r="K18">
            <v>401.61</v>
          </cell>
          <cell r="N18">
            <v>34</v>
          </cell>
          <cell r="P18">
            <v>0.81254630773029479</v>
          </cell>
          <cell r="Q18">
            <v>401.20879120879124</v>
          </cell>
        </row>
        <row r="19">
          <cell r="B19">
            <v>46275</v>
          </cell>
          <cell r="D19" t="str">
            <v>CARIB AMBER</v>
          </cell>
          <cell r="E19">
            <v>910</v>
          </cell>
          <cell r="F19">
            <v>798</v>
          </cell>
          <cell r="G19">
            <v>6104</v>
          </cell>
          <cell r="J19">
            <v>403.5</v>
          </cell>
          <cell r="K19">
            <v>402.86400000000003</v>
          </cell>
          <cell r="N19">
            <v>12</v>
          </cell>
          <cell r="P19">
            <v>0.15762081784385804</v>
          </cell>
          <cell r="Q19">
            <v>402.46153846153845</v>
          </cell>
        </row>
        <row r="20">
          <cell r="B20">
            <v>46276</v>
          </cell>
          <cell r="D20" t="str">
            <v>CARIB AMBER</v>
          </cell>
          <cell r="E20">
            <v>790</v>
          </cell>
          <cell r="F20">
            <v>109</v>
          </cell>
          <cell r="G20">
            <v>854</v>
          </cell>
          <cell r="J20">
            <v>57</v>
          </cell>
          <cell r="K20">
            <v>56.364000000000004</v>
          </cell>
          <cell r="N20">
            <v>7</v>
          </cell>
          <cell r="P20">
            <v>1.1157894736842029</v>
          </cell>
          <cell r="Q20">
            <v>64.860759493670884</v>
          </cell>
        </row>
        <row r="21">
          <cell r="B21">
            <v>46276</v>
          </cell>
          <cell r="D21" t="str">
            <v>MACKESON</v>
          </cell>
          <cell r="F21">
            <v>427</v>
          </cell>
          <cell r="G21">
            <v>3180</v>
          </cell>
          <cell r="J21">
            <v>213</v>
          </cell>
          <cell r="K21">
            <v>209.88000000000002</v>
          </cell>
          <cell r="N21">
            <v>0</v>
          </cell>
          <cell r="P21">
            <v>1.4647887323943549</v>
          </cell>
          <cell r="Q21">
            <v>241.51898734177217</v>
          </cell>
        </row>
        <row r="22">
          <cell r="B22">
            <v>46279</v>
          </cell>
          <cell r="D22" t="str">
            <v>MACKESON</v>
          </cell>
          <cell r="E22">
            <v>1380</v>
          </cell>
          <cell r="F22">
            <v>467</v>
          </cell>
          <cell r="G22">
            <v>2454</v>
          </cell>
          <cell r="J22">
            <v>167</v>
          </cell>
          <cell r="K22">
            <v>161.964</v>
          </cell>
          <cell r="N22">
            <v>19</v>
          </cell>
          <cell r="P22">
            <v>3.0155688622754502</v>
          </cell>
          <cell r="Q22">
            <v>106.69565217391305</v>
          </cell>
        </row>
        <row r="23">
          <cell r="B23">
            <v>46279</v>
          </cell>
          <cell r="D23" t="str">
            <v>STAG</v>
          </cell>
          <cell r="F23">
            <v>691</v>
          </cell>
          <cell r="G23">
            <v>5090</v>
          </cell>
          <cell r="J23">
            <v>337.90000000000003</v>
          </cell>
          <cell r="K23">
            <v>335.94</v>
          </cell>
          <cell r="N23">
            <v>8</v>
          </cell>
          <cell r="P23">
            <v>0.58005327019829422</v>
          </cell>
          <cell r="Q23">
            <v>221.30434782608697</v>
          </cell>
        </row>
        <row r="24">
          <cell r="B24">
            <v>46280</v>
          </cell>
          <cell r="D24" t="str">
            <v>STAG</v>
          </cell>
          <cell r="E24">
            <v>1430</v>
          </cell>
          <cell r="F24">
            <v>221</v>
          </cell>
          <cell r="G24">
            <v>1759</v>
          </cell>
          <cell r="J24">
            <v>117.5</v>
          </cell>
          <cell r="K24">
            <v>116.09400000000001</v>
          </cell>
          <cell r="N24">
            <v>5</v>
          </cell>
          <cell r="P24">
            <v>1.196595744680844</v>
          </cell>
          <cell r="Q24">
            <v>73.804195804195814</v>
          </cell>
        </row>
        <row r="25">
          <cell r="B25">
            <v>46280</v>
          </cell>
          <cell r="D25" t="str">
            <v xml:space="preserve">CARIB AMBER </v>
          </cell>
          <cell r="F25">
            <v>1030</v>
          </cell>
          <cell r="G25">
            <v>7376</v>
          </cell>
          <cell r="J25">
            <v>500.09999999999997</v>
          </cell>
          <cell r="K25">
            <v>486.81600000000003</v>
          </cell>
          <cell r="N25">
            <v>19</v>
          </cell>
          <cell r="P25">
            <v>2.6562687462507371</v>
          </cell>
          <cell r="Q25">
            <v>309.48251748251749</v>
          </cell>
        </row>
        <row r="26">
          <cell r="B26">
            <v>46281</v>
          </cell>
          <cell r="D26" t="str">
            <v>CARIB AMBER</v>
          </cell>
          <cell r="E26">
            <v>1430</v>
          </cell>
          <cell r="F26">
            <v>394</v>
          </cell>
          <cell r="G26">
            <v>3098</v>
          </cell>
          <cell r="I26">
            <v>530</v>
          </cell>
          <cell r="J26">
            <v>207.60000000000002</v>
          </cell>
          <cell r="K26">
            <v>204.46800000000002</v>
          </cell>
          <cell r="N26">
            <v>7</v>
          </cell>
          <cell r="P26">
            <v>1.5086705202312161</v>
          </cell>
          <cell r="Q26">
            <v>129.986013986014</v>
          </cell>
        </row>
        <row r="27">
          <cell r="B27">
            <v>46281</v>
          </cell>
          <cell r="D27" t="str">
            <v>PORNSTAR</v>
          </cell>
          <cell r="F27">
            <v>88</v>
          </cell>
          <cell r="G27">
            <v>589</v>
          </cell>
          <cell r="J27">
            <v>42.3</v>
          </cell>
          <cell r="K27">
            <v>38.874000000000002</v>
          </cell>
          <cell r="N27">
            <v>16</v>
          </cell>
          <cell r="P27">
            <v>8.0992907801418319</v>
          </cell>
          <cell r="Q27">
            <v>24.713286713286713</v>
          </cell>
        </row>
        <row r="28">
          <cell r="B28">
            <v>46282</v>
          </cell>
          <cell r="D28" t="str">
            <v>PORNSTAR</v>
          </cell>
          <cell r="E28">
            <v>1440</v>
          </cell>
          <cell r="F28">
            <v>248</v>
          </cell>
          <cell r="G28">
            <v>623</v>
          </cell>
          <cell r="J28">
            <v>45</v>
          </cell>
          <cell r="K28">
            <v>41.118000000000002</v>
          </cell>
          <cell r="N28">
            <v>6</v>
          </cell>
          <cell r="P28">
            <v>8.6266666666666616</v>
          </cell>
          <cell r="Q28">
            <v>25.958333333333332</v>
          </cell>
        </row>
        <row r="29">
          <cell r="B29">
            <v>46282</v>
          </cell>
          <cell r="D29" t="str">
            <v>BELLINI</v>
          </cell>
          <cell r="F29">
            <v>459</v>
          </cell>
          <cell r="G29">
            <v>1134</v>
          </cell>
          <cell r="J29">
            <v>82</v>
          </cell>
          <cell r="K29">
            <v>74.844000000000008</v>
          </cell>
          <cell r="N29">
            <v>13</v>
          </cell>
          <cell r="P29">
            <v>8.726829268292672</v>
          </cell>
          <cell r="Q29">
            <v>47.25</v>
          </cell>
        </row>
        <row r="30">
          <cell r="B30">
            <v>46282</v>
          </cell>
          <cell r="D30" t="str">
            <v>ROYALE</v>
          </cell>
          <cell r="F30">
            <v>544</v>
          </cell>
          <cell r="G30">
            <v>2640</v>
          </cell>
          <cell r="I30">
            <v>6</v>
          </cell>
          <cell r="J30">
            <v>183.2</v>
          </cell>
          <cell r="K30">
            <v>174.24</v>
          </cell>
          <cell r="N30">
            <v>14</v>
          </cell>
          <cell r="P30">
            <v>4.8908296943231333</v>
          </cell>
          <cell r="Q30">
            <v>110</v>
          </cell>
        </row>
        <row r="31">
          <cell r="B31">
            <v>46283</v>
          </cell>
          <cell r="D31" t="str">
            <v xml:space="preserve">CARIB AMBER </v>
          </cell>
          <cell r="E31">
            <v>1260</v>
          </cell>
          <cell r="F31">
            <v>629</v>
          </cell>
          <cell r="G31">
            <v>5195</v>
          </cell>
          <cell r="J31">
            <v>349.2</v>
          </cell>
          <cell r="K31">
            <v>342.87</v>
          </cell>
          <cell r="N31">
            <v>5</v>
          </cell>
          <cell r="P31">
            <v>1.812714776632298</v>
          </cell>
          <cell r="Q31">
            <v>247.38095238095238</v>
          </cell>
        </row>
        <row r="32">
          <cell r="B32">
            <v>46283</v>
          </cell>
          <cell r="D32" t="str">
            <v>SHANDY LIME EXPORT</v>
          </cell>
          <cell r="F32">
            <v>106</v>
          </cell>
          <cell r="G32">
            <v>368</v>
          </cell>
          <cell r="J32">
            <v>52.6</v>
          </cell>
          <cell r="K32">
            <v>49.764000000000003</v>
          </cell>
          <cell r="N32">
            <v>8</v>
          </cell>
          <cell r="P32">
            <v>5.3916349809885906</v>
          </cell>
          <cell r="Q32">
            <v>17.523809523809526</v>
          </cell>
        </row>
        <row r="33">
          <cell r="B33">
            <v>46283</v>
          </cell>
          <cell r="D33" t="str">
            <v>SHANDY LIME LOCAL</v>
          </cell>
          <cell r="G33">
            <v>386</v>
          </cell>
          <cell r="Q33">
            <v>18.38095238095238</v>
          </cell>
        </row>
        <row r="34">
          <cell r="B34">
            <v>46283</v>
          </cell>
          <cell r="D34" t="str">
            <v>SHANDY GINGER EXPORT</v>
          </cell>
          <cell r="F34">
            <v>101</v>
          </cell>
          <cell r="G34">
            <v>369</v>
          </cell>
          <cell r="J34">
            <v>50</v>
          </cell>
          <cell r="K34">
            <v>48.18</v>
          </cell>
          <cell r="N34">
            <v>10</v>
          </cell>
          <cell r="P34">
            <v>3.640000000000001</v>
          </cell>
          <cell r="Q34">
            <v>17.571428571428573</v>
          </cell>
        </row>
        <row r="35">
          <cell r="B35">
            <v>46283</v>
          </cell>
          <cell r="D35" t="str">
            <v>SHANDY GINGER LOCAL</v>
          </cell>
          <cell r="G35">
            <v>361</v>
          </cell>
          <cell r="Q35">
            <v>17.19047619047619</v>
          </cell>
        </row>
        <row r="36">
          <cell r="B36">
            <v>46286</v>
          </cell>
          <cell r="D36" t="str">
            <v>SHANDY SORREL EXPORT</v>
          </cell>
          <cell r="E36">
            <v>910</v>
          </cell>
          <cell r="F36">
            <v>111</v>
          </cell>
          <cell r="G36">
            <v>381</v>
          </cell>
          <cell r="J36">
            <v>186</v>
          </cell>
          <cell r="K36">
            <v>179.916</v>
          </cell>
          <cell r="N36">
            <v>29</v>
          </cell>
          <cell r="P36">
            <v>3.2709677419354857</v>
          </cell>
          <cell r="Q36">
            <v>25.12087912087912</v>
          </cell>
        </row>
        <row r="37">
          <cell r="B37">
            <v>46286</v>
          </cell>
          <cell r="D37" t="str">
            <v xml:space="preserve">SHANDY SORREL LOCAL </v>
          </cell>
          <cell r="F37">
            <v>331</v>
          </cell>
          <cell r="G37">
            <v>2345</v>
          </cell>
          <cell r="Q37">
            <v>154.61538461538461</v>
          </cell>
        </row>
        <row r="38">
          <cell r="B38">
            <v>46287</v>
          </cell>
          <cell r="D38" t="str">
            <v>STAG</v>
          </cell>
          <cell r="E38">
            <v>910</v>
          </cell>
          <cell r="F38">
            <v>732</v>
          </cell>
          <cell r="G38">
            <v>5538</v>
          </cell>
          <cell r="J38">
            <v>372.90000000000003</v>
          </cell>
          <cell r="K38">
            <v>365.50800000000004</v>
          </cell>
          <cell r="N38">
            <v>3</v>
          </cell>
          <cell r="P38">
            <v>1.9823008849557511</v>
          </cell>
          <cell r="Q38">
            <v>365.14285714285717</v>
          </cell>
        </row>
        <row r="39">
          <cell r="B39">
            <v>46288</v>
          </cell>
          <cell r="D39" t="str">
            <v>STAG</v>
          </cell>
          <cell r="E39">
            <v>910</v>
          </cell>
          <cell r="F39">
            <v>218</v>
          </cell>
          <cell r="G39">
            <v>1605</v>
          </cell>
          <cell r="J39">
            <v>109</v>
          </cell>
          <cell r="K39">
            <v>105.93</v>
          </cell>
          <cell r="N39">
            <v>4</v>
          </cell>
          <cell r="P39">
            <v>2.8165137614678835</v>
          </cell>
          <cell r="Q39">
            <v>105.82417582417582</v>
          </cell>
        </row>
        <row r="40">
          <cell r="B40">
            <v>46288</v>
          </cell>
          <cell r="D40" t="str">
            <v>CARIB FLINT EXPORT</v>
          </cell>
          <cell r="F40">
            <v>487</v>
          </cell>
          <cell r="G40">
            <v>2640</v>
          </cell>
          <cell r="J40">
            <v>174.6</v>
          </cell>
          <cell r="K40">
            <v>174.24</v>
          </cell>
          <cell r="P40">
            <v>0.20618556701030083</v>
          </cell>
          <cell r="Q40">
            <v>174.06593406593407</v>
          </cell>
        </row>
        <row r="41">
          <cell r="B41">
            <v>46289</v>
          </cell>
          <cell r="D41" t="str">
            <v>CARIB FLINT EXPORT</v>
          </cell>
          <cell r="E41">
            <v>910</v>
          </cell>
          <cell r="F41">
            <v>723</v>
          </cell>
          <cell r="G41">
            <v>5378</v>
          </cell>
          <cell r="J41">
            <v>356</v>
          </cell>
          <cell r="K41">
            <v>354.94800000000004</v>
          </cell>
          <cell r="N41">
            <v>19</v>
          </cell>
          <cell r="P41">
            <v>0.29550561797751801</v>
          </cell>
          <cell r="Q41">
            <v>354.5934065934066</v>
          </cell>
        </row>
        <row r="42">
          <cell r="B42">
            <v>46290</v>
          </cell>
          <cell r="D42" t="str">
            <v>CARIB FLINT EXPORT</v>
          </cell>
          <cell r="E42">
            <v>703</v>
          </cell>
          <cell r="F42">
            <v>474</v>
          </cell>
          <cell r="G42">
            <v>3524</v>
          </cell>
          <cell r="J42">
            <v>233.5</v>
          </cell>
          <cell r="K42">
            <v>232.584</v>
          </cell>
          <cell r="N42">
            <v>1</v>
          </cell>
          <cell r="P42">
            <v>0.39229122055674376</v>
          </cell>
          <cell r="Q42">
            <v>300.76813655761026</v>
          </cell>
        </row>
        <row r="43">
          <cell r="B43">
            <v>46290</v>
          </cell>
          <cell r="D43" t="str">
            <v>GUINNESS</v>
          </cell>
          <cell r="F43">
            <v>60</v>
          </cell>
          <cell r="G43">
            <v>461</v>
          </cell>
          <cell r="J43">
            <v>30.5</v>
          </cell>
          <cell r="K43">
            <v>30.426000000000002</v>
          </cell>
          <cell r="N43">
            <v>3</v>
          </cell>
          <cell r="P43">
            <v>0.24262295081966578</v>
          </cell>
          <cell r="Q43">
            <v>39.345661450924609</v>
          </cell>
        </row>
        <row r="44">
          <cell r="B44">
            <v>46293</v>
          </cell>
          <cell r="D44" t="str">
            <v>GUINNESS</v>
          </cell>
          <cell r="E44">
            <v>910</v>
          </cell>
          <cell r="F44">
            <v>739</v>
          </cell>
          <cell r="G44">
            <v>3920</v>
          </cell>
          <cell r="J44">
            <v>258.8</v>
          </cell>
          <cell r="K44">
            <v>258.72000000000003</v>
          </cell>
          <cell r="N44">
            <v>10</v>
          </cell>
          <cell r="P44">
            <v>3.0911901081910387E-2</v>
          </cell>
          <cell r="Q44">
            <v>258.46153846153845</v>
          </cell>
        </row>
        <row r="45">
          <cell r="B45">
            <v>46294</v>
          </cell>
          <cell r="D45" t="str">
            <v>GUINNESS</v>
          </cell>
          <cell r="E45">
            <v>910</v>
          </cell>
          <cell r="F45">
            <v>172</v>
          </cell>
          <cell r="G45">
            <v>1337</v>
          </cell>
          <cell r="J45">
            <v>88.5</v>
          </cell>
          <cell r="K45">
            <v>88.242000000000004</v>
          </cell>
          <cell r="N45">
            <v>3</v>
          </cell>
          <cell r="P45">
            <v>0.29152542372880852</v>
          </cell>
          <cell r="Q45">
            <v>88.15384615384616</v>
          </cell>
        </row>
        <row r="46">
          <cell r="B46">
            <v>46294</v>
          </cell>
          <cell r="D46" t="str">
            <v>CARIB AMBER</v>
          </cell>
          <cell r="F46">
            <v>431</v>
          </cell>
          <cell r="G46">
            <v>3422</v>
          </cell>
          <cell r="J46">
            <v>240.5</v>
          </cell>
          <cell r="K46">
            <v>234.40200000000002</v>
          </cell>
          <cell r="N46">
            <v>4</v>
          </cell>
          <cell r="P46">
            <v>2.5355509355509289</v>
          </cell>
          <cell r="Q46">
            <v>225.62637362637363</v>
          </cell>
        </row>
        <row r="47">
          <cell r="B47">
            <v>46295</v>
          </cell>
          <cell r="D47" t="str">
            <v>CARIB AMBER</v>
          </cell>
          <cell r="E47">
            <v>910</v>
          </cell>
          <cell r="F47">
            <v>427</v>
          </cell>
          <cell r="G47">
            <v>3376</v>
          </cell>
          <cell r="J47">
            <v>227.6</v>
          </cell>
          <cell r="K47">
            <v>222.816</v>
          </cell>
          <cell r="N47">
            <v>4</v>
          </cell>
          <cell r="P47">
            <v>2.1019332161687134</v>
          </cell>
          <cell r="Q47">
            <v>222.5934065934066</v>
          </cell>
        </row>
        <row r="48">
          <cell r="B48">
            <v>46295</v>
          </cell>
          <cell r="D48" t="str">
            <v>STARMALT</v>
          </cell>
          <cell r="F48">
            <v>149</v>
          </cell>
          <cell r="G48">
            <v>1423</v>
          </cell>
          <cell r="J48">
            <v>101</v>
          </cell>
          <cell r="K48">
            <v>93.918000000000006</v>
          </cell>
          <cell r="N48">
            <v>3</v>
          </cell>
          <cell r="P48">
            <v>7.0118811881188057</v>
          </cell>
          <cell r="Q48">
            <v>93.824175824175825</v>
          </cell>
        </row>
      </sheetData>
      <sheetData sheetId="9">
        <row r="8">
          <cell r="F8">
            <v>0</v>
          </cell>
          <cell r="K8">
            <v>0</v>
          </cell>
          <cell r="M8">
            <v>0</v>
          </cell>
          <cell r="P8" t="e">
            <v>#DIV/0!</v>
          </cell>
          <cell r="Q8" t="e">
            <v>#DIV/0!</v>
          </cell>
        </row>
      </sheetData>
      <sheetData sheetId="10">
        <row r="8">
          <cell r="F8">
            <v>0</v>
          </cell>
          <cell r="K8">
            <v>0</v>
          </cell>
          <cell r="M8">
            <v>0</v>
          </cell>
          <cell r="P8" t="e">
            <v>#DIV/0!</v>
          </cell>
          <cell r="Q8" t="e">
            <v>#DIV/0!</v>
          </cell>
        </row>
      </sheetData>
      <sheetData sheetId="11">
        <row r="8">
          <cell r="F8">
            <v>0</v>
          </cell>
          <cell r="K8">
            <v>0</v>
          </cell>
          <cell r="M8">
            <v>0</v>
          </cell>
          <cell r="P8" t="e">
            <v>#DIV/0!</v>
          </cell>
          <cell r="Q8" t="e">
            <v>#DIV/0!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int"/>
      <sheetName val="Monthly summary loss"/>
      <sheetName val="Pareto YTD"/>
      <sheetName val="Pareto Data"/>
      <sheetName val="Pareto analysis month "/>
      <sheetName val="Uncaser Downtime Detail "/>
      <sheetName val="Washer Downtime Detail"/>
      <sheetName val="EBI Downtime Detail"/>
      <sheetName val="Filler Downtime Detail"/>
      <sheetName val="Pasteurizer Downtime Detail"/>
      <sheetName val="Videojet Downtime Detail "/>
      <sheetName val="Labeler Downtime Detail"/>
      <sheetName val="Packer Downtime Detail  "/>
      <sheetName val="Carton Errector-sealer Detail"/>
      <sheetName val="Conveyor Downtime (new)"/>
      <sheetName val="Org &amp; Tech Downtime"/>
      <sheetName val="Sept"/>
      <sheetName val="Data Sheet"/>
      <sheetName val="2 weeks Downtime Trend"/>
      <sheetName val="Jan"/>
      <sheetName val="Feb"/>
      <sheetName val="Mar"/>
      <sheetName val="Apr"/>
      <sheetName val="May"/>
      <sheetName val="Jun"/>
      <sheetName val="Jul"/>
      <sheetName val="Aug"/>
      <sheetName val="Oct"/>
      <sheetName val="Nov"/>
      <sheetName val="D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8">
          <cell r="E8">
            <v>1.0555555555555556</v>
          </cell>
          <cell r="G8">
            <v>0.72361111111111109</v>
          </cell>
          <cell r="H8">
            <v>2</v>
          </cell>
          <cell r="I8">
            <v>106</v>
          </cell>
          <cell r="Z8">
            <v>52</v>
          </cell>
          <cell r="AB8">
            <v>11</v>
          </cell>
          <cell r="AD8">
            <v>342</v>
          </cell>
        </row>
        <row r="9">
          <cell r="E9">
            <v>1.6944444444444444</v>
          </cell>
          <cell r="G9">
            <v>2.1111111111111112</v>
          </cell>
          <cell r="I9">
            <v>65</v>
          </cell>
          <cell r="J9">
            <v>5</v>
          </cell>
          <cell r="L9">
            <v>10</v>
          </cell>
          <cell r="Z9">
            <v>53</v>
          </cell>
          <cell r="AB9">
            <v>5</v>
          </cell>
          <cell r="AD9">
            <v>259</v>
          </cell>
        </row>
        <row r="10">
          <cell r="E10">
            <v>1.0083333333333333</v>
          </cell>
          <cell r="H10">
            <v>4</v>
          </cell>
          <cell r="J10">
            <v>5</v>
          </cell>
          <cell r="Z10">
            <v>65</v>
          </cell>
          <cell r="AA10">
            <v>4</v>
          </cell>
          <cell r="AD10">
            <v>207</v>
          </cell>
        </row>
        <row r="11">
          <cell r="E11">
            <v>1.4340277777777777</v>
          </cell>
          <cell r="G11">
            <v>0.77500000000000002</v>
          </cell>
          <cell r="H11">
            <v>2</v>
          </cell>
          <cell r="I11">
            <v>27</v>
          </cell>
          <cell r="Z11">
            <v>45</v>
          </cell>
          <cell r="AB11">
            <v>17</v>
          </cell>
          <cell r="AD11">
            <v>139</v>
          </cell>
        </row>
        <row r="12">
          <cell r="E12">
            <v>1.7152777777777777</v>
          </cell>
          <cell r="G12">
            <v>2.0479166666666666</v>
          </cell>
          <cell r="H12">
            <v>3</v>
          </cell>
          <cell r="I12">
            <v>16</v>
          </cell>
          <cell r="Z12">
            <v>12</v>
          </cell>
          <cell r="AD12">
            <v>100</v>
          </cell>
        </row>
        <row r="13">
          <cell r="E13">
            <v>1</v>
          </cell>
          <cell r="H13">
            <v>2</v>
          </cell>
          <cell r="AD13">
            <v>23</v>
          </cell>
        </row>
        <row r="14">
          <cell r="E14">
            <v>1.1784722222222221</v>
          </cell>
          <cell r="G14">
            <v>1.8222222222222222</v>
          </cell>
          <cell r="I14">
            <v>12</v>
          </cell>
          <cell r="J14">
            <v>3</v>
          </cell>
          <cell r="Z14">
            <v>105</v>
          </cell>
          <cell r="AA14">
            <v>2</v>
          </cell>
          <cell r="AB14">
            <v>10</v>
          </cell>
          <cell r="AD14">
            <v>243</v>
          </cell>
        </row>
        <row r="15">
          <cell r="E15">
            <v>1.9402777777777778</v>
          </cell>
          <cell r="G15">
            <v>2.03125</v>
          </cell>
          <cell r="I15">
            <v>75</v>
          </cell>
          <cell r="J15">
            <v>195</v>
          </cell>
          <cell r="N15">
            <v>13</v>
          </cell>
          <cell r="AB15">
            <v>5</v>
          </cell>
          <cell r="AD15">
            <v>297</v>
          </cell>
        </row>
        <row r="16">
          <cell r="E16">
            <v>1</v>
          </cell>
          <cell r="G16">
            <v>1.2722222222222221</v>
          </cell>
          <cell r="N16">
            <v>45</v>
          </cell>
          <cell r="AB16">
            <v>22</v>
          </cell>
          <cell r="AD16">
            <v>71</v>
          </cell>
        </row>
        <row r="17">
          <cell r="E17">
            <v>0.3888888888888889</v>
          </cell>
          <cell r="G17">
            <v>0.96388888888888891</v>
          </cell>
          <cell r="J17">
            <v>3</v>
          </cell>
          <cell r="Z17">
            <v>68</v>
          </cell>
          <cell r="AD17">
            <v>426</v>
          </cell>
        </row>
        <row r="18">
          <cell r="E18">
            <v>0.34375</v>
          </cell>
          <cell r="G18">
            <v>0.95763888888888893</v>
          </cell>
          <cell r="H18">
            <v>1</v>
          </cell>
          <cell r="J18">
            <v>5</v>
          </cell>
          <cell r="Z18">
            <v>75</v>
          </cell>
          <cell r="AD18">
            <v>178</v>
          </cell>
        </row>
        <row r="19">
          <cell r="E19">
            <v>1.3472222222222223</v>
          </cell>
          <cell r="G19">
            <v>1.9520833333333334</v>
          </cell>
          <cell r="J19">
            <v>2</v>
          </cell>
          <cell r="Z19">
            <v>24</v>
          </cell>
          <cell r="AD19">
            <v>117</v>
          </cell>
        </row>
        <row r="20">
          <cell r="E20">
            <v>0.34583333333333333</v>
          </cell>
          <cell r="G20">
            <v>1.4715277777777778</v>
          </cell>
          <cell r="Z20">
            <v>21</v>
          </cell>
          <cell r="AD20">
            <v>22</v>
          </cell>
        </row>
        <row r="21">
          <cell r="E21">
            <v>0.51666666666666672</v>
          </cell>
          <cell r="G21">
            <v>0.88402777777777775</v>
          </cell>
          <cell r="I21">
            <v>15</v>
          </cell>
          <cell r="J21">
            <v>8</v>
          </cell>
          <cell r="Z21">
            <v>44</v>
          </cell>
          <cell r="AB21">
            <v>14</v>
          </cell>
          <cell r="AD21">
            <v>198</v>
          </cell>
        </row>
        <row r="22">
          <cell r="E22">
            <v>1.0833333333333333</v>
          </cell>
          <cell r="G22">
            <v>0.46319444444444446</v>
          </cell>
          <cell r="J22">
            <v>3</v>
          </cell>
          <cell r="Z22">
            <v>108</v>
          </cell>
          <cell r="AD22">
            <v>226</v>
          </cell>
        </row>
        <row r="23">
          <cell r="E23">
            <v>1.5</v>
          </cell>
          <cell r="G23">
            <v>2.0486111111111112</v>
          </cell>
          <cell r="I23">
            <v>50</v>
          </cell>
          <cell r="Z23">
            <v>29</v>
          </cell>
          <cell r="AD23">
            <v>242</v>
          </cell>
        </row>
        <row r="24">
          <cell r="E24">
            <v>1.0069444444444444</v>
          </cell>
          <cell r="G24">
            <v>1.2430555555555556</v>
          </cell>
          <cell r="J24">
            <v>4</v>
          </cell>
          <cell r="Z24">
            <v>50</v>
          </cell>
          <cell r="AD24">
            <v>86</v>
          </cell>
        </row>
        <row r="25">
          <cell r="E25">
            <v>1.2152777777777777</v>
          </cell>
          <cell r="G25">
            <v>2.0694444444444446</v>
          </cell>
          <cell r="I25">
            <v>14</v>
          </cell>
          <cell r="J25">
            <v>49</v>
          </cell>
          <cell r="Z25">
            <v>37</v>
          </cell>
          <cell r="AB25">
            <v>14</v>
          </cell>
          <cell r="AD25">
            <v>301</v>
          </cell>
        </row>
        <row r="26">
          <cell r="E26">
            <v>1.0069444444444444</v>
          </cell>
          <cell r="G26">
            <v>0.49166666666666664</v>
          </cell>
          <cell r="Z26">
            <v>45</v>
          </cell>
          <cell r="AB26">
            <v>65</v>
          </cell>
          <cell r="AD26">
            <v>159</v>
          </cell>
        </row>
        <row r="27">
          <cell r="E27">
            <v>1.8993055555555556</v>
          </cell>
          <cell r="G27">
            <v>2.1666666666666665</v>
          </cell>
          <cell r="I27">
            <v>60</v>
          </cell>
          <cell r="J27">
            <v>755</v>
          </cell>
          <cell r="L27">
            <v>14</v>
          </cell>
          <cell r="Z27">
            <v>43</v>
          </cell>
          <cell r="AD27">
            <v>901</v>
          </cell>
        </row>
        <row r="28">
          <cell r="E28">
            <v>1</v>
          </cell>
          <cell r="J28">
            <v>8</v>
          </cell>
          <cell r="AD28">
            <v>185</v>
          </cell>
        </row>
        <row r="29">
          <cell r="E29">
            <v>1.1944444444444444</v>
          </cell>
          <cell r="G29">
            <v>0.60555555555555551</v>
          </cell>
          <cell r="H29">
            <v>5</v>
          </cell>
          <cell r="I29">
            <v>24</v>
          </cell>
          <cell r="AB29">
            <v>2</v>
          </cell>
          <cell r="AD29">
            <v>251</v>
          </cell>
        </row>
        <row r="30">
          <cell r="E30">
            <v>1.5305555555555554</v>
          </cell>
          <cell r="G30">
            <v>2.1055555555555556</v>
          </cell>
          <cell r="I30">
            <v>36</v>
          </cell>
          <cell r="J30">
            <v>3</v>
          </cell>
          <cell r="Z30">
            <v>68</v>
          </cell>
          <cell r="AB30">
            <v>2</v>
          </cell>
          <cell r="AD30">
            <v>339</v>
          </cell>
        </row>
        <row r="31">
          <cell r="E31">
            <v>1.1319444444444444</v>
          </cell>
          <cell r="G31">
            <v>1.7048611111111112</v>
          </cell>
          <cell r="J31">
            <v>5</v>
          </cell>
          <cell r="L31">
            <v>3</v>
          </cell>
          <cell r="Z31">
            <v>110</v>
          </cell>
          <cell r="AB31">
            <v>3</v>
          </cell>
          <cell r="AD31">
            <v>345</v>
          </cell>
        </row>
        <row r="32">
          <cell r="E32">
            <v>1.6666666666666667</v>
          </cell>
          <cell r="G32">
            <v>1.8125</v>
          </cell>
          <cell r="I32">
            <v>20</v>
          </cell>
          <cell r="AD32">
            <v>32</v>
          </cell>
        </row>
        <row r="33">
          <cell r="E33">
            <v>1.7527777777777778</v>
          </cell>
          <cell r="G33">
            <v>1.8888888888888888</v>
          </cell>
          <cell r="I33">
            <v>18</v>
          </cell>
          <cell r="AD33">
            <v>26</v>
          </cell>
        </row>
        <row r="34">
          <cell r="E34">
            <v>0.41666666666666669</v>
          </cell>
          <cell r="H34">
            <v>17</v>
          </cell>
          <cell r="AB34">
            <v>4</v>
          </cell>
          <cell r="AD34">
            <v>196</v>
          </cell>
        </row>
        <row r="35">
          <cell r="E35">
            <v>0.56111111111111112</v>
          </cell>
          <cell r="G35">
            <v>0.79861111111111116</v>
          </cell>
          <cell r="I35">
            <v>16</v>
          </cell>
          <cell r="J35">
            <v>4</v>
          </cell>
          <cell r="AB35">
            <v>6</v>
          </cell>
          <cell r="AD35">
            <v>71</v>
          </cell>
        </row>
        <row r="36">
          <cell r="E36">
            <v>0.34027777777777779</v>
          </cell>
          <cell r="G36">
            <v>0.95208333333333328</v>
          </cell>
          <cell r="H36">
            <v>2</v>
          </cell>
          <cell r="J36">
            <v>4</v>
          </cell>
          <cell r="Z36">
            <v>60</v>
          </cell>
          <cell r="AB36">
            <v>2</v>
          </cell>
          <cell r="AD36">
            <v>158</v>
          </cell>
        </row>
        <row r="37">
          <cell r="E37">
            <v>0.33333333333333331</v>
          </cell>
          <cell r="G37">
            <v>1.5486111111111112</v>
          </cell>
          <cell r="Z37">
            <v>10</v>
          </cell>
          <cell r="AB37">
            <v>2</v>
          </cell>
          <cell r="AD37">
            <v>34</v>
          </cell>
        </row>
        <row r="38">
          <cell r="E38">
            <v>0.51388888888888884</v>
          </cell>
          <cell r="G38">
            <v>0.95486111111111116</v>
          </cell>
          <cell r="I38">
            <v>31</v>
          </cell>
          <cell r="J38">
            <v>18</v>
          </cell>
          <cell r="Z38">
            <v>38</v>
          </cell>
          <cell r="AB38">
            <v>2</v>
          </cell>
          <cell r="AD38">
            <v>232</v>
          </cell>
        </row>
        <row r="39">
          <cell r="E39">
            <v>0.36805555555555558</v>
          </cell>
          <cell r="G39">
            <v>0.95902777777777781</v>
          </cell>
          <cell r="J39">
            <v>1</v>
          </cell>
          <cell r="AB39">
            <v>28</v>
          </cell>
          <cell r="AD39">
            <v>206</v>
          </cell>
        </row>
        <row r="40">
          <cell r="E40">
            <v>0.33680555555555558</v>
          </cell>
          <cell r="Z40">
            <v>17</v>
          </cell>
          <cell r="AB40">
            <v>34</v>
          </cell>
          <cell r="AD40">
            <v>127</v>
          </cell>
        </row>
        <row r="41">
          <cell r="E41">
            <v>0.7729166666666667</v>
          </cell>
          <cell r="G41">
            <v>0.84583333333333333</v>
          </cell>
          <cell r="I41">
            <v>103</v>
          </cell>
          <cell r="AD41">
            <v>103</v>
          </cell>
        </row>
        <row r="42">
          <cell r="E42">
            <v>1.3784722222222223</v>
          </cell>
          <cell r="G42">
            <v>1.9750000000000001</v>
          </cell>
          <cell r="Z42">
            <v>14</v>
          </cell>
          <cell r="AB42">
            <v>4</v>
          </cell>
          <cell r="AD42">
            <v>326</v>
          </cell>
        </row>
        <row r="43">
          <cell r="E43">
            <v>0.34166666666666667</v>
          </cell>
          <cell r="G43">
            <v>1.5486111111111112</v>
          </cell>
          <cell r="Z43">
            <v>10</v>
          </cell>
          <cell r="AB43">
            <v>2</v>
          </cell>
          <cell r="AD43">
            <v>46</v>
          </cell>
        </row>
        <row r="44">
          <cell r="E44">
            <v>0.54861111111111116</v>
          </cell>
          <cell r="G44">
            <v>0.94444444444444442</v>
          </cell>
          <cell r="I44">
            <v>114</v>
          </cell>
          <cell r="J44">
            <v>11</v>
          </cell>
          <cell r="K44">
            <v>51</v>
          </cell>
          <cell r="AA44">
            <v>3</v>
          </cell>
          <cell r="AB44">
            <v>9</v>
          </cell>
          <cell r="AD44">
            <v>230</v>
          </cell>
        </row>
        <row r="45">
          <cell r="E45">
            <v>0.34722222222222221</v>
          </cell>
          <cell r="G45">
            <v>1.726388888888889</v>
          </cell>
          <cell r="J45">
            <v>6</v>
          </cell>
          <cell r="Z45">
            <v>18</v>
          </cell>
          <cell r="AB45">
            <v>4</v>
          </cell>
          <cell r="AD45">
            <v>99</v>
          </cell>
        </row>
        <row r="46">
          <cell r="E46">
            <v>0.78055555555555556</v>
          </cell>
          <cell r="G46">
            <v>0.97222222222222221</v>
          </cell>
          <cell r="I46">
            <v>199</v>
          </cell>
          <cell r="Z46">
            <v>20</v>
          </cell>
          <cell r="AD46">
            <v>235</v>
          </cell>
        </row>
        <row r="55">
          <cell r="H55">
            <v>38</v>
          </cell>
          <cell r="I55">
            <v>1001</v>
          </cell>
          <cell r="J55">
            <v>1099</v>
          </cell>
          <cell r="K55">
            <v>51</v>
          </cell>
          <cell r="L55">
            <v>27</v>
          </cell>
          <cell r="M55">
            <v>0</v>
          </cell>
          <cell r="N55">
            <v>88</v>
          </cell>
          <cell r="Z55">
            <v>1241</v>
          </cell>
          <cell r="AA55">
            <v>9</v>
          </cell>
          <cell r="AB55">
            <v>267</v>
          </cell>
          <cell r="AC55">
            <v>0</v>
          </cell>
        </row>
      </sheetData>
      <sheetData sheetId="17" refreshError="1"/>
      <sheetData sheetId="18" refreshError="1"/>
      <sheetData sheetId="19">
        <row r="8">
          <cell r="J8">
            <v>13</v>
          </cell>
          <cell r="Z8">
            <v>60</v>
          </cell>
          <cell r="AA8">
            <v>7</v>
          </cell>
          <cell r="AB8">
            <v>10</v>
          </cell>
        </row>
        <row r="9">
          <cell r="J9">
            <v>38</v>
          </cell>
        </row>
        <row r="12">
          <cell r="Z12">
            <v>3</v>
          </cell>
        </row>
        <row r="13">
          <cell r="Z13">
            <v>55</v>
          </cell>
          <cell r="AB13">
            <v>67</v>
          </cell>
        </row>
        <row r="14">
          <cell r="H14">
            <v>5</v>
          </cell>
          <cell r="I14">
            <v>18</v>
          </cell>
          <cell r="Z14">
            <v>9</v>
          </cell>
          <cell r="AB14">
            <v>45</v>
          </cell>
        </row>
        <row r="16">
          <cell r="J16">
            <v>4</v>
          </cell>
          <cell r="Z16">
            <v>85</v>
          </cell>
          <cell r="AA16">
            <v>11</v>
          </cell>
        </row>
        <row r="17">
          <cell r="I17">
            <v>188</v>
          </cell>
        </row>
        <row r="18">
          <cell r="H18">
            <v>29</v>
          </cell>
          <cell r="I18">
            <v>50</v>
          </cell>
          <cell r="J18">
            <v>10</v>
          </cell>
          <cell r="Z18">
            <v>3</v>
          </cell>
        </row>
        <row r="19">
          <cell r="H19">
            <v>2</v>
          </cell>
          <cell r="Z19">
            <v>36</v>
          </cell>
          <cell r="AA19">
            <v>6</v>
          </cell>
        </row>
        <row r="20">
          <cell r="H20">
            <v>5</v>
          </cell>
          <cell r="I20">
            <v>30</v>
          </cell>
          <cell r="J20">
            <v>4</v>
          </cell>
        </row>
        <row r="21">
          <cell r="Z21">
            <v>14</v>
          </cell>
          <cell r="AB21">
            <v>15</v>
          </cell>
        </row>
        <row r="22">
          <cell r="I22">
            <v>16</v>
          </cell>
          <cell r="J22">
            <v>131</v>
          </cell>
          <cell r="Z22">
            <v>16</v>
          </cell>
        </row>
        <row r="23">
          <cell r="I23">
            <v>6</v>
          </cell>
          <cell r="J23">
            <v>26</v>
          </cell>
          <cell r="Z23">
            <v>10</v>
          </cell>
        </row>
        <row r="24">
          <cell r="I24">
            <v>67</v>
          </cell>
          <cell r="AB24">
            <v>10</v>
          </cell>
        </row>
        <row r="25">
          <cell r="I25">
            <v>60</v>
          </cell>
          <cell r="M25">
            <v>9</v>
          </cell>
          <cell r="Z25">
            <v>36</v>
          </cell>
        </row>
        <row r="26">
          <cell r="I26">
            <v>60</v>
          </cell>
          <cell r="AA26">
            <v>11</v>
          </cell>
        </row>
        <row r="27">
          <cell r="H27">
            <v>8</v>
          </cell>
          <cell r="J27">
            <v>22</v>
          </cell>
          <cell r="Z27">
            <v>55</v>
          </cell>
          <cell r="AA27">
            <v>13</v>
          </cell>
        </row>
        <row r="28">
          <cell r="I28">
            <v>24</v>
          </cell>
        </row>
        <row r="29">
          <cell r="H29">
            <v>2</v>
          </cell>
        </row>
        <row r="30">
          <cell r="I30">
            <v>76</v>
          </cell>
        </row>
        <row r="31">
          <cell r="I31">
            <v>184</v>
          </cell>
          <cell r="M31">
            <v>11</v>
          </cell>
        </row>
        <row r="32">
          <cell r="I32">
            <v>12</v>
          </cell>
          <cell r="Z32">
            <v>66</v>
          </cell>
          <cell r="AB32">
            <v>3</v>
          </cell>
        </row>
        <row r="33">
          <cell r="I33">
            <v>31</v>
          </cell>
          <cell r="M33">
            <v>61</v>
          </cell>
          <cell r="Z33">
            <v>62</v>
          </cell>
          <cell r="AA33">
            <v>3</v>
          </cell>
          <cell r="AB33">
            <v>4</v>
          </cell>
        </row>
        <row r="34">
          <cell r="I34">
            <v>62</v>
          </cell>
        </row>
        <row r="36">
          <cell r="J36">
            <v>29</v>
          </cell>
          <cell r="Z36">
            <v>369</v>
          </cell>
        </row>
        <row r="37">
          <cell r="I37">
            <v>20</v>
          </cell>
          <cell r="J37">
            <v>129</v>
          </cell>
          <cell r="AB37">
            <v>5</v>
          </cell>
        </row>
        <row r="38">
          <cell r="I38">
            <v>29</v>
          </cell>
          <cell r="L38">
            <v>16</v>
          </cell>
          <cell r="Z38">
            <v>6</v>
          </cell>
          <cell r="AB38">
            <v>6</v>
          </cell>
        </row>
        <row r="39">
          <cell r="I39">
            <v>21</v>
          </cell>
          <cell r="Z39">
            <v>3</v>
          </cell>
        </row>
        <row r="40">
          <cell r="Z40">
            <v>45</v>
          </cell>
        </row>
        <row r="41">
          <cell r="I41">
            <v>32</v>
          </cell>
        </row>
        <row r="42">
          <cell r="Z42">
            <v>13</v>
          </cell>
          <cell r="AB42">
            <v>18</v>
          </cell>
        </row>
        <row r="43">
          <cell r="I43">
            <v>60</v>
          </cell>
          <cell r="J43">
            <v>165</v>
          </cell>
          <cell r="Z43">
            <v>3</v>
          </cell>
          <cell r="AB43">
            <v>18</v>
          </cell>
        </row>
        <row r="45">
          <cell r="H45">
            <v>3</v>
          </cell>
          <cell r="I45">
            <v>35</v>
          </cell>
          <cell r="Z45">
            <v>6</v>
          </cell>
          <cell r="AB45">
            <v>50</v>
          </cell>
        </row>
        <row r="46">
          <cell r="H46">
            <v>2</v>
          </cell>
          <cell r="I46">
            <v>120</v>
          </cell>
          <cell r="AB46">
            <v>2</v>
          </cell>
        </row>
        <row r="47">
          <cell r="J47">
            <v>2</v>
          </cell>
          <cell r="Z47">
            <v>8</v>
          </cell>
          <cell r="AB47">
            <v>25</v>
          </cell>
        </row>
        <row r="48">
          <cell r="I48">
            <v>10</v>
          </cell>
          <cell r="AB48">
            <v>8</v>
          </cell>
        </row>
        <row r="49">
          <cell r="H49">
            <v>75</v>
          </cell>
          <cell r="I49">
            <v>29</v>
          </cell>
          <cell r="Z49">
            <v>15</v>
          </cell>
        </row>
        <row r="50">
          <cell r="I50">
            <v>25</v>
          </cell>
        </row>
        <row r="51">
          <cell r="K51">
            <v>6</v>
          </cell>
          <cell r="Z51">
            <v>10</v>
          </cell>
          <cell r="AB51">
            <v>6</v>
          </cell>
        </row>
        <row r="52">
          <cell r="I52">
            <v>30</v>
          </cell>
          <cell r="Z52">
            <v>71</v>
          </cell>
          <cell r="AB52">
            <v>11</v>
          </cell>
        </row>
        <row r="61">
          <cell r="H61">
            <v>131</v>
          </cell>
          <cell r="I61">
            <v>1295</v>
          </cell>
          <cell r="J61">
            <v>573</v>
          </cell>
          <cell r="K61">
            <v>14</v>
          </cell>
          <cell r="L61">
            <v>16</v>
          </cell>
          <cell r="M61">
            <v>81</v>
          </cell>
          <cell r="N61">
            <v>0</v>
          </cell>
          <cell r="Z61">
            <v>2636</v>
          </cell>
          <cell r="AA61">
            <v>51</v>
          </cell>
          <cell r="AB61">
            <v>323</v>
          </cell>
          <cell r="AC61">
            <v>0</v>
          </cell>
        </row>
        <row r="69">
          <cell r="J69">
            <v>0.38541666666666669</v>
          </cell>
        </row>
        <row r="70">
          <cell r="J70">
            <v>1.0763888888888888</v>
          </cell>
        </row>
        <row r="71">
          <cell r="J71">
            <v>0</v>
          </cell>
        </row>
        <row r="72">
          <cell r="J72">
            <v>0</v>
          </cell>
        </row>
        <row r="73">
          <cell r="J73">
            <v>1.8097222222222222</v>
          </cell>
        </row>
        <row r="74">
          <cell r="J74">
            <v>1.0104166666666667</v>
          </cell>
        </row>
        <row r="75">
          <cell r="J75">
            <v>1.5555555555555556</v>
          </cell>
        </row>
        <row r="76">
          <cell r="J76">
            <v>0.35069444444444442</v>
          </cell>
        </row>
        <row r="77">
          <cell r="J77">
            <v>0.13541666666666666</v>
          </cell>
        </row>
        <row r="78">
          <cell r="J78">
            <v>0.59583333333333333</v>
          </cell>
        </row>
        <row r="79">
          <cell r="J79">
            <v>0.91666666666666663</v>
          </cell>
        </row>
        <row r="80">
          <cell r="J80">
            <v>1.0104166666666667</v>
          </cell>
        </row>
        <row r="81">
          <cell r="J81">
            <v>1.6493055555555556</v>
          </cell>
        </row>
        <row r="82">
          <cell r="J82">
            <v>1.0083333333333333</v>
          </cell>
        </row>
        <row r="83">
          <cell r="J83">
            <v>1.2208333333333334</v>
          </cell>
        </row>
        <row r="84">
          <cell r="J84">
            <v>1.0222222222222221</v>
          </cell>
        </row>
        <row r="85">
          <cell r="J85">
            <v>1.7749999999999999</v>
          </cell>
        </row>
        <row r="86">
          <cell r="J86">
            <v>1.0208333333333333</v>
          </cell>
        </row>
        <row r="87">
          <cell r="J87">
            <v>1.3097222222222222</v>
          </cell>
        </row>
        <row r="88">
          <cell r="J88">
            <v>1.1076388888888888</v>
          </cell>
        </row>
        <row r="89">
          <cell r="J89">
            <v>1.7951388888888888</v>
          </cell>
        </row>
        <row r="90">
          <cell r="J90">
            <v>1.0034722222222223</v>
          </cell>
        </row>
        <row r="91">
          <cell r="J91">
            <v>1.4659722222222222</v>
          </cell>
        </row>
        <row r="92">
          <cell r="J92">
            <v>1.1111111111111112</v>
          </cell>
        </row>
        <row r="93">
          <cell r="J93">
            <v>1.1701388888888888</v>
          </cell>
        </row>
        <row r="94">
          <cell r="J94">
            <v>1.5722222222222222</v>
          </cell>
        </row>
        <row r="95">
          <cell r="J95">
            <v>1.8784722222222223</v>
          </cell>
        </row>
        <row r="96">
          <cell r="J96">
            <v>0</v>
          </cell>
        </row>
        <row r="97">
          <cell r="J97">
            <v>1.2763888888888888</v>
          </cell>
        </row>
        <row r="98">
          <cell r="J98">
            <v>1.3111111111111111</v>
          </cell>
        </row>
        <row r="99">
          <cell r="J99">
            <v>1.6347222222222222</v>
          </cell>
        </row>
        <row r="100">
          <cell r="J100">
            <v>1.7826388888888889</v>
          </cell>
        </row>
        <row r="101">
          <cell r="J101">
            <v>1.0729166666666667</v>
          </cell>
        </row>
        <row r="102">
          <cell r="J102">
            <v>1.2256944444444444</v>
          </cell>
        </row>
        <row r="103">
          <cell r="J103">
            <v>1.0034722222222223</v>
          </cell>
        </row>
        <row r="104">
          <cell r="J104">
            <v>1.84375</v>
          </cell>
        </row>
        <row r="105">
          <cell r="J105">
            <v>1.0034722222222223</v>
          </cell>
        </row>
        <row r="106">
          <cell r="J106">
            <v>1.2965277777777777</v>
          </cell>
        </row>
        <row r="107">
          <cell r="J107">
            <v>1.7916666666666667</v>
          </cell>
        </row>
        <row r="108">
          <cell r="J108">
            <v>1.0055555555555555</v>
          </cell>
        </row>
        <row r="109">
          <cell r="J109">
            <v>1.375</v>
          </cell>
        </row>
        <row r="110">
          <cell r="J110">
            <v>1.5347222222222223</v>
          </cell>
        </row>
        <row r="111">
          <cell r="J111">
            <v>1.9583333333333333</v>
          </cell>
        </row>
        <row r="112">
          <cell r="J112">
            <v>1.0069444444444444</v>
          </cell>
        </row>
        <row r="113">
          <cell r="J113">
            <v>1.2986111111111112</v>
          </cell>
        </row>
      </sheetData>
      <sheetData sheetId="20">
        <row r="8">
          <cell r="E8">
            <v>1.0791666666666666</v>
          </cell>
          <cell r="G8">
            <v>1.4722222222222223</v>
          </cell>
          <cell r="M8">
            <v>90</v>
          </cell>
          <cell r="Z8">
            <v>58</v>
          </cell>
          <cell r="AA8">
            <v>4</v>
          </cell>
        </row>
        <row r="9">
          <cell r="E9">
            <v>1.4513888888888888</v>
          </cell>
          <cell r="G9">
            <v>2.0375000000000001</v>
          </cell>
          <cell r="I9">
            <v>13</v>
          </cell>
          <cell r="J9">
            <v>44</v>
          </cell>
          <cell r="Z9">
            <v>4</v>
          </cell>
          <cell r="AA9">
            <v>5</v>
          </cell>
          <cell r="AB9">
            <v>13</v>
          </cell>
        </row>
        <row r="10">
          <cell r="E10">
            <v>1.0083333333333333</v>
          </cell>
          <cell r="G10">
            <v>2.0631944444444446</v>
          </cell>
          <cell r="J10">
            <v>220</v>
          </cell>
          <cell r="L10">
            <v>11</v>
          </cell>
          <cell r="Z10">
            <v>32</v>
          </cell>
          <cell r="AA10">
            <v>6</v>
          </cell>
          <cell r="AB10">
            <v>12</v>
          </cell>
        </row>
        <row r="11">
          <cell r="E11">
            <v>1.0125</v>
          </cell>
          <cell r="G11">
            <v>1.6034722222222222</v>
          </cell>
          <cell r="I11">
            <v>30</v>
          </cell>
          <cell r="Z11">
            <v>5</v>
          </cell>
          <cell r="AB11">
            <v>45</v>
          </cell>
        </row>
        <row r="12">
          <cell r="E12">
            <v>1.6493055555555556</v>
          </cell>
          <cell r="G12">
            <v>2.0833333333333335</v>
          </cell>
          <cell r="I12">
            <v>135</v>
          </cell>
          <cell r="Z12">
            <v>16</v>
          </cell>
        </row>
        <row r="13">
          <cell r="E13">
            <v>1.0069444444444444</v>
          </cell>
          <cell r="G13">
            <v>1.2</v>
          </cell>
          <cell r="Z13">
            <v>41</v>
          </cell>
        </row>
        <row r="14">
          <cell r="E14">
            <v>1.1875</v>
          </cell>
          <cell r="G14">
            <v>1.7166666666666666</v>
          </cell>
          <cell r="I14">
            <v>75</v>
          </cell>
          <cell r="J14">
            <v>4</v>
          </cell>
        </row>
        <row r="15">
          <cell r="E15">
            <v>1.7638888888888888</v>
          </cell>
          <cell r="G15">
            <v>2</v>
          </cell>
          <cell r="I15">
            <v>57</v>
          </cell>
          <cell r="J15">
            <v>4</v>
          </cell>
          <cell r="Z15">
            <v>60</v>
          </cell>
        </row>
        <row r="16">
          <cell r="E16">
            <v>1.0069444444444444</v>
          </cell>
          <cell r="G16">
            <v>1.7166666666666666</v>
          </cell>
          <cell r="Z16">
            <v>25</v>
          </cell>
        </row>
        <row r="17">
          <cell r="E17">
            <v>1.7048611111111112</v>
          </cell>
          <cell r="G17">
            <v>1.8958333333333333</v>
          </cell>
          <cell r="I17">
            <v>40</v>
          </cell>
        </row>
        <row r="18">
          <cell r="E18">
            <v>0.12152777777777778</v>
          </cell>
          <cell r="G18">
            <v>0.32222222222222224</v>
          </cell>
          <cell r="L18">
            <v>6</v>
          </cell>
          <cell r="Z18">
            <v>74</v>
          </cell>
        </row>
        <row r="19">
          <cell r="E19">
            <v>0.29236111111111113</v>
          </cell>
          <cell r="G19">
            <v>0.4375</v>
          </cell>
        </row>
        <row r="20">
          <cell r="E20">
            <v>0.52916666666666667</v>
          </cell>
          <cell r="G20">
            <v>0.93055555555555558</v>
          </cell>
          <cell r="I20">
            <v>50</v>
          </cell>
          <cell r="J20">
            <v>130</v>
          </cell>
        </row>
        <row r="21">
          <cell r="E21">
            <v>1.0277777777777777</v>
          </cell>
          <cell r="G21">
            <v>1.4527777777777777</v>
          </cell>
          <cell r="I21">
            <v>104</v>
          </cell>
          <cell r="J21">
            <v>13</v>
          </cell>
          <cell r="M21">
            <v>6</v>
          </cell>
          <cell r="Z21">
            <v>76</v>
          </cell>
          <cell r="AB21">
            <v>30</v>
          </cell>
        </row>
        <row r="22">
          <cell r="E22">
            <v>1.5194444444444444</v>
          </cell>
          <cell r="I22">
            <v>19</v>
          </cell>
          <cell r="J22">
            <v>137</v>
          </cell>
          <cell r="Z22">
            <v>5</v>
          </cell>
        </row>
        <row r="23">
          <cell r="E23">
            <v>1.7625</v>
          </cell>
          <cell r="G23">
            <v>2.03125</v>
          </cell>
          <cell r="I23">
            <v>77</v>
          </cell>
          <cell r="Z23">
            <v>6</v>
          </cell>
          <cell r="AB23">
            <v>4</v>
          </cell>
        </row>
        <row r="24">
          <cell r="E24">
            <v>1.0034722222222223</v>
          </cell>
        </row>
        <row r="25">
          <cell r="E25">
            <v>1.4652777777777777</v>
          </cell>
          <cell r="G25">
            <v>2.0215277777777776</v>
          </cell>
          <cell r="I25">
            <v>48</v>
          </cell>
        </row>
        <row r="26">
          <cell r="E26">
            <v>1.0069444444444444</v>
          </cell>
          <cell r="G26">
            <v>2.0305555555555554</v>
          </cell>
        </row>
        <row r="27">
          <cell r="E27">
            <v>1.0069444444444444</v>
          </cell>
          <cell r="G27">
            <v>0.22708333333333333</v>
          </cell>
        </row>
        <row r="28">
          <cell r="E28">
            <v>1.6770833333333333</v>
          </cell>
          <cell r="G28">
            <v>1.8638888888888889</v>
          </cell>
          <cell r="I28">
            <v>60</v>
          </cell>
          <cell r="Z28">
            <v>675</v>
          </cell>
        </row>
        <row r="29">
          <cell r="E29">
            <v>1.4895833333333333</v>
          </cell>
          <cell r="G29">
            <v>2.0347222222222223</v>
          </cell>
          <cell r="J29">
            <v>18</v>
          </cell>
          <cell r="Z29">
            <v>233</v>
          </cell>
        </row>
        <row r="30">
          <cell r="E30">
            <v>1.0118055555555556</v>
          </cell>
          <cell r="G30">
            <v>2</v>
          </cell>
          <cell r="I30">
            <v>17</v>
          </cell>
          <cell r="J30">
            <v>31</v>
          </cell>
        </row>
        <row r="32">
          <cell r="E32">
            <v>1.0833333333333333</v>
          </cell>
          <cell r="G32">
            <v>0.65208333333333335</v>
          </cell>
          <cell r="AB32">
            <v>28</v>
          </cell>
        </row>
        <row r="33">
          <cell r="E33">
            <v>1.648611111111111</v>
          </cell>
          <cell r="I33">
            <v>34</v>
          </cell>
          <cell r="Z33">
            <v>8</v>
          </cell>
        </row>
        <row r="34">
          <cell r="E34">
            <v>1.8819444444444444</v>
          </cell>
          <cell r="G34">
            <v>2.03125</v>
          </cell>
          <cell r="I34">
            <v>69</v>
          </cell>
          <cell r="J34">
            <v>16</v>
          </cell>
        </row>
        <row r="35">
          <cell r="E35">
            <v>1.0062500000000001</v>
          </cell>
          <cell r="G35">
            <v>0.42152777777777778</v>
          </cell>
          <cell r="M35">
            <v>9</v>
          </cell>
          <cell r="Z35">
            <v>12</v>
          </cell>
        </row>
        <row r="36">
          <cell r="E36">
            <v>1.4090277777777778</v>
          </cell>
          <cell r="G36">
            <v>1.8715277777777777</v>
          </cell>
          <cell r="I36">
            <v>79</v>
          </cell>
          <cell r="M36">
            <v>10</v>
          </cell>
          <cell r="AA36">
            <v>2</v>
          </cell>
          <cell r="AB36">
            <v>47</v>
          </cell>
        </row>
        <row r="37">
          <cell r="E37">
            <v>1.4423611111111112</v>
          </cell>
          <cell r="G37">
            <v>2.0298611111111109</v>
          </cell>
          <cell r="J37">
            <v>36</v>
          </cell>
          <cell r="Z37">
            <v>60</v>
          </cell>
          <cell r="AB37">
            <v>4</v>
          </cell>
        </row>
        <row r="38">
          <cell r="E38">
            <v>1.0083333333333333</v>
          </cell>
          <cell r="G38">
            <v>1.3347222222222221</v>
          </cell>
          <cell r="J38">
            <v>7</v>
          </cell>
          <cell r="Z38">
            <v>14</v>
          </cell>
          <cell r="AB38">
            <v>4</v>
          </cell>
        </row>
        <row r="39">
          <cell r="E39">
            <v>1.2826388888888889</v>
          </cell>
          <cell r="G39">
            <v>1.9930555555555556</v>
          </cell>
          <cell r="I39">
            <v>12</v>
          </cell>
          <cell r="AB39">
            <v>16</v>
          </cell>
        </row>
        <row r="40">
          <cell r="E40">
            <v>1.0173611111111112</v>
          </cell>
          <cell r="G40">
            <v>2.0319444444444446</v>
          </cell>
          <cell r="I40">
            <v>31</v>
          </cell>
        </row>
        <row r="41">
          <cell r="E41">
            <v>1.0097222222222222</v>
          </cell>
          <cell r="G41">
            <v>1.7569444444444444</v>
          </cell>
          <cell r="AB41">
            <v>3</v>
          </cell>
        </row>
        <row r="42">
          <cell r="E42">
            <v>1.7326388888888888</v>
          </cell>
          <cell r="G42">
            <v>2.0354166666666669</v>
          </cell>
          <cell r="I42">
            <v>23</v>
          </cell>
        </row>
        <row r="43">
          <cell r="E43">
            <v>1.0069444444444444</v>
          </cell>
          <cell r="H43">
            <v>15</v>
          </cell>
          <cell r="Z43">
            <v>10</v>
          </cell>
        </row>
        <row r="44">
          <cell r="E44">
            <v>1.2166666666666666</v>
          </cell>
          <cell r="G44">
            <v>0.625</v>
          </cell>
          <cell r="I44">
            <v>23</v>
          </cell>
          <cell r="Z44">
            <v>7</v>
          </cell>
          <cell r="AA44">
            <v>15</v>
          </cell>
        </row>
        <row r="45">
          <cell r="E45">
            <v>1.6388888888888888</v>
          </cell>
          <cell r="G45">
            <v>1.8680555555555556</v>
          </cell>
          <cell r="I45">
            <v>50</v>
          </cell>
          <cell r="J45">
            <v>5</v>
          </cell>
        </row>
        <row r="46">
          <cell r="E46">
            <v>0.34375</v>
          </cell>
          <cell r="J46">
            <v>7</v>
          </cell>
          <cell r="Z46">
            <v>18</v>
          </cell>
        </row>
        <row r="47">
          <cell r="E47">
            <v>0.57291666666666663</v>
          </cell>
          <cell r="G47">
            <v>0.97222222222222221</v>
          </cell>
          <cell r="I47">
            <v>50</v>
          </cell>
        </row>
        <row r="60">
          <cell r="H60">
            <v>15</v>
          </cell>
          <cell r="I60">
            <v>1096</v>
          </cell>
          <cell r="J60">
            <v>679</v>
          </cell>
          <cell r="K60">
            <v>46</v>
          </cell>
          <cell r="L60">
            <v>37</v>
          </cell>
          <cell r="M60">
            <v>119</v>
          </cell>
          <cell r="N60">
            <v>360</v>
          </cell>
          <cell r="Z60">
            <v>1580</v>
          </cell>
          <cell r="AA60">
            <v>41</v>
          </cell>
          <cell r="AB60">
            <v>236</v>
          </cell>
          <cell r="AC60">
            <v>0</v>
          </cell>
        </row>
      </sheetData>
      <sheetData sheetId="21">
        <row r="8">
          <cell r="E8">
            <v>1.0527777777777778</v>
          </cell>
          <cell r="G8">
            <v>0.3</v>
          </cell>
          <cell r="Z8">
            <v>16</v>
          </cell>
          <cell r="AB8">
            <v>9</v>
          </cell>
        </row>
        <row r="9">
          <cell r="E9">
            <v>1.2958333333333334</v>
          </cell>
          <cell r="G9">
            <v>2.0319444444444446</v>
          </cell>
          <cell r="I9">
            <v>9</v>
          </cell>
          <cell r="Z9">
            <v>31</v>
          </cell>
          <cell r="AB9">
            <v>7</v>
          </cell>
        </row>
        <row r="10">
          <cell r="E10">
            <v>1.0034722222222223</v>
          </cell>
          <cell r="G10">
            <v>2.026388888888889</v>
          </cell>
          <cell r="J10">
            <v>2</v>
          </cell>
          <cell r="Z10">
            <v>64</v>
          </cell>
          <cell r="AB10">
            <v>13</v>
          </cell>
        </row>
        <row r="11">
          <cell r="E11">
            <v>1.0138888888888888</v>
          </cell>
          <cell r="H11">
            <v>2</v>
          </cell>
          <cell r="J11">
            <v>5</v>
          </cell>
          <cell r="Z11">
            <v>10</v>
          </cell>
          <cell r="AB11">
            <v>14</v>
          </cell>
        </row>
        <row r="12">
          <cell r="E12">
            <v>1.4270833333333333</v>
          </cell>
          <cell r="G12">
            <v>2.0284722222222222</v>
          </cell>
          <cell r="I12">
            <v>9</v>
          </cell>
          <cell r="Z12">
            <v>55</v>
          </cell>
          <cell r="AA12">
            <v>4</v>
          </cell>
          <cell r="AB12">
            <v>15</v>
          </cell>
        </row>
        <row r="13">
          <cell r="E13">
            <v>1.0034722222222223</v>
          </cell>
          <cell r="G13">
            <v>1.0986111111111112</v>
          </cell>
        </row>
        <row r="14">
          <cell r="E14">
            <v>1.3013888888888889</v>
          </cell>
          <cell r="G14">
            <v>2</v>
          </cell>
          <cell r="I14">
            <v>81</v>
          </cell>
          <cell r="J14">
            <v>150</v>
          </cell>
          <cell r="Z14">
            <v>10</v>
          </cell>
          <cell r="AB14">
            <v>21</v>
          </cell>
        </row>
        <row r="15">
          <cell r="E15">
            <v>1</v>
          </cell>
          <cell r="G15">
            <v>1.2875000000000001</v>
          </cell>
        </row>
        <row r="16">
          <cell r="E16">
            <v>1.2673611111111112</v>
          </cell>
          <cell r="G16">
            <v>1.4076388888888889</v>
          </cell>
          <cell r="I16">
            <v>9</v>
          </cell>
        </row>
        <row r="17">
          <cell r="E17">
            <v>1.4638888888888888</v>
          </cell>
          <cell r="G17">
            <v>1.8541666666666667</v>
          </cell>
          <cell r="I17">
            <v>120</v>
          </cell>
          <cell r="Z17">
            <v>7</v>
          </cell>
        </row>
        <row r="18">
          <cell r="E18">
            <v>0.44444444444444442</v>
          </cell>
          <cell r="G18">
            <v>1.0333333333333334</v>
          </cell>
          <cell r="J18">
            <v>2</v>
          </cell>
          <cell r="Z18">
            <v>170</v>
          </cell>
          <cell r="AB18">
            <v>7</v>
          </cell>
        </row>
        <row r="19">
          <cell r="E19">
            <v>1.007638888888889</v>
          </cell>
          <cell r="G19">
            <v>2.0381944444444446</v>
          </cell>
          <cell r="J19">
            <v>161</v>
          </cell>
          <cell r="N19">
            <v>54</v>
          </cell>
          <cell r="Z19">
            <v>278</v>
          </cell>
        </row>
        <row r="20">
          <cell r="E20">
            <v>1.007638888888889</v>
          </cell>
          <cell r="G20">
            <v>1.7604166666666667</v>
          </cell>
          <cell r="J20">
            <v>3</v>
          </cell>
          <cell r="Z20">
            <v>20</v>
          </cell>
          <cell r="AB20">
            <v>32</v>
          </cell>
        </row>
        <row r="21">
          <cell r="E21">
            <v>1.8</v>
          </cell>
          <cell r="G21">
            <v>2.03125</v>
          </cell>
          <cell r="I21">
            <v>80</v>
          </cell>
          <cell r="J21">
            <v>34</v>
          </cell>
          <cell r="AB21">
            <v>6</v>
          </cell>
        </row>
        <row r="22">
          <cell r="E22">
            <v>1.0104166666666667</v>
          </cell>
        </row>
        <row r="23">
          <cell r="E23">
            <v>1.2124999999999999</v>
          </cell>
          <cell r="G23">
            <v>0.61597222222222225</v>
          </cell>
          <cell r="I23">
            <v>28</v>
          </cell>
          <cell r="Z23">
            <v>6</v>
          </cell>
          <cell r="AB23">
            <v>13</v>
          </cell>
        </row>
        <row r="24">
          <cell r="E24">
            <v>1.6375</v>
          </cell>
          <cell r="G24">
            <v>2.0291666666666668</v>
          </cell>
          <cell r="H24">
            <v>10</v>
          </cell>
          <cell r="I24">
            <v>62</v>
          </cell>
          <cell r="Z24">
            <v>18</v>
          </cell>
          <cell r="AA24">
            <v>1</v>
          </cell>
        </row>
        <row r="25">
          <cell r="E25">
            <v>1.0083333333333333</v>
          </cell>
          <cell r="G25">
            <v>1.6381944444444445</v>
          </cell>
          <cell r="Z25">
            <v>12</v>
          </cell>
          <cell r="AA25">
            <v>5</v>
          </cell>
          <cell r="AB25">
            <v>15</v>
          </cell>
        </row>
        <row r="26">
          <cell r="E26">
            <v>1.6666666666666667</v>
          </cell>
          <cell r="G26">
            <v>2.0277777777777777</v>
          </cell>
          <cell r="I26">
            <v>32</v>
          </cell>
        </row>
        <row r="27">
          <cell r="E27">
            <v>1.0069444444444444</v>
          </cell>
          <cell r="G27">
            <v>0.52013888888888893</v>
          </cell>
          <cell r="Z27">
            <v>41</v>
          </cell>
          <cell r="AB27">
            <v>5</v>
          </cell>
        </row>
        <row r="28">
          <cell r="E28">
            <v>1.6527777777777777</v>
          </cell>
          <cell r="G28">
            <v>1.8625</v>
          </cell>
          <cell r="I28">
            <v>43</v>
          </cell>
          <cell r="Z28">
            <v>175</v>
          </cell>
        </row>
        <row r="29">
          <cell r="E29">
            <v>1.0555555555555556</v>
          </cell>
          <cell r="G29">
            <v>2.03125</v>
          </cell>
          <cell r="K29">
            <v>208</v>
          </cell>
          <cell r="Z29">
            <v>15</v>
          </cell>
          <cell r="AB29">
            <v>23</v>
          </cell>
        </row>
        <row r="31">
          <cell r="E31">
            <v>1.3333333333333333</v>
          </cell>
          <cell r="G31">
            <v>0.69861111111111107</v>
          </cell>
          <cell r="K31">
            <v>16</v>
          </cell>
          <cell r="N31">
            <v>15</v>
          </cell>
          <cell r="AB31">
            <v>4</v>
          </cell>
        </row>
        <row r="32">
          <cell r="E32">
            <v>1.6979166666666667</v>
          </cell>
          <cell r="G32">
            <v>2.0319444444444446</v>
          </cell>
          <cell r="I32">
            <v>66</v>
          </cell>
        </row>
        <row r="33">
          <cell r="E33">
            <v>1.0069444444444444</v>
          </cell>
          <cell r="G33">
            <v>0.72013888888888888</v>
          </cell>
          <cell r="J33">
            <v>36</v>
          </cell>
          <cell r="Z33">
            <v>12</v>
          </cell>
        </row>
        <row r="34">
          <cell r="E34">
            <v>1.6916666666666667</v>
          </cell>
          <cell r="G34">
            <v>0.86805555555555558</v>
          </cell>
          <cell r="I34">
            <v>10</v>
          </cell>
          <cell r="Z34">
            <v>8</v>
          </cell>
          <cell r="AB34">
            <v>2</v>
          </cell>
        </row>
        <row r="35">
          <cell r="E35">
            <v>1.8333333333333333</v>
          </cell>
          <cell r="G35">
            <v>2.0479166666666666</v>
          </cell>
          <cell r="I35">
            <v>4</v>
          </cell>
          <cell r="Z35">
            <v>16</v>
          </cell>
        </row>
        <row r="36">
          <cell r="E36">
            <v>1.0069444444444444</v>
          </cell>
          <cell r="G36">
            <v>0.59930555555555554</v>
          </cell>
          <cell r="H36">
            <v>12</v>
          </cell>
          <cell r="L36">
            <v>14</v>
          </cell>
          <cell r="Z36">
            <v>32</v>
          </cell>
          <cell r="AB36">
            <v>44</v>
          </cell>
        </row>
        <row r="37">
          <cell r="E37">
            <v>1.5958333333333334</v>
          </cell>
          <cell r="G37">
            <v>1.8944444444444444</v>
          </cell>
          <cell r="H37">
            <v>18</v>
          </cell>
          <cell r="I37">
            <v>17</v>
          </cell>
          <cell r="J37">
            <v>6</v>
          </cell>
          <cell r="Z37">
            <v>22</v>
          </cell>
        </row>
        <row r="38">
          <cell r="E38">
            <v>1.0729166666666667</v>
          </cell>
          <cell r="J38">
            <v>2</v>
          </cell>
          <cell r="Z38">
            <v>45</v>
          </cell>
          <cell r="AB38">
            <v>2</v>
          </cell>
        </row>
        <row r="39">
          <cell r="E39">
            <v>1.4951388888888888</v>
          </cell>
          <cell r="I39">
            <v>19</v>
          </cell>
          <cell r="J39">
            <v>5</v>
          </cell>
          <cell r="Z39">
            <v>8</v>
          </cell>
          <cell r="AA39">
            <v>3</v>
          </cell>
        </row>
        <row r="40">
          <cell r="E40">
            <v>1.7722222222222221</v>
          </cell>
          <cell r="G40">
            <v>2.1006944444444446</v>
          </cell>
          <cell r="I40">
            <v>9</v>
          </cell>
          <cell r="Z40">
            <v>16</v>
          </cell>
          <cell r="AB40">
            <v>4</v>
          </cell>
        </row>
        <row r="41">
          <cell r="E41">
            <v>1.0874999999999999</v>
          </cell>
          <cell r="I41">
            <v>42</v>
          </cell>
          <cell r="Z41">
            <v>237</v>
          </cell>
        </row>
        <row r="42">
          <cell r="E42">
            <v>1.5569444444444445</v>
          </cell>
          <cell r="G42">
            <v>2.0291666666666668</v>
          </cell>
          <cell r="I42">
            <v>24</v>
          </cell>
          <cell r="Z42">
            <v>4</v>
          </cell>
          <cell r="AA42">
            <v>9</v>
          </cell>
          <cell r="AB42">
            <v>8</v>
          </cell>
        </row>
        <row r="43">
          <cell r="E43">
            <v>1.0020833333333334</v>
          </cell>
          <cell r="G43">
            <v>1.3604166666666666</v>
          </cell>
        </row>
        <row r="44">
          <cell r="E44">
            <v>1.4305555555555556</v>
          </cell>
          <cell r="G44">
            <v>1.4791666666666667</v>
          </cell>
          <cell r="I44">
            <v>120</v>
          </cell>
        </row>
        <row r="45">
          <cell r="E45">
            <v>1.4743055555555555</v>
          </cell>
          <cell r="G45">
            <v>0.8041666666666667</v>
          </cell>
          <cell r="I45">
            <v>10</v>
          </cell>
          <cell r="J45">
            <v>23</v>
          </cell>
        </row>
        <row r="46">
          <cell r="E46">
            <v>1.663888888888889</v>
          </cell>
          <cell r="G46">
            <v>2.1694444444444443</v>
          </cell>
          <cell r="I46">
            <v>59</v>
          </cell>
          <cell r="Z46">
            <v>8</v>
          </cell>
          <cell r="AA46">
            <v>3</v>
          </cell>
          <cell r="AB46">
            <v>7</v>
          </cell>
        </row>
        <row r="47">
          <cell r="E47">
            <v>1.1180555555555556</v>
          </cell>
          <cell r="G47">
            <v>1.4236111111111112</v>
          </cell>
          <cell r="H47">
            <v>2</v>
          </cell>
          <cell r="I47">
            <v>104</v>
          </cell>
          <cell r="M47">
            <v>20</v>
          </cell>
        </row>
        <row r="48">
          <cell r="E48">
            <v>1.3708333333333333</v>
          </cell>
          <cell r="G48">
            <v>1.6166666666666667</v>
          </cell>
          <cell r="I48">
            <v>45</v>
          </cell>
          <cell r="J48">
            <v>12</v>
          </cell>
          <cell r="AB48">
            <v>10</v>
          </cell>
        </row>
        <row r="49">
          <cell r="E49">
            <v>1.5868055555555556</v>
          </cell>
          <cell r="I49">
            <v>25</v>
          </cell>
          <cell r="M49">
            <v>42</v>
          </cell>
        </row>
        <row r="50">
          <cell r="E50">
            <v>1.8486111111111112</v>
          </cell>
          <cell r="G50">
            <v>2.0736111111111111</v>
          </cell>
          <cell r="I50">
            <v>37</v>
          </cell>
          <cell r="Z50">
            <v>18</v>
          </cell>
          <cell r="AB50">
            <v>22</v>
          </cell>
        </row>
        <row r="51">
          <cell r="E51">
            <v>1.0034722222222223</v>
          </cell>
          <cell r="G51">
            <v>1.1284722222222223</v>
          </cell>
          <cell r="M51">
            <v>11</v>
          </cell>
          <cell r="Z51">
            <v>5</v>
          </cell>
        </row>
        <row r="52">
          <cell r="E52">
            <v>1.2083333333333333</v>
          </cell>
          <cell r="G52">
            <v>1.8263888888888888</v>
          </cell>
          <cell r="I52">
            <v>68</v>
          </cell>
          <cell r="Z52">
            <v>7</v>
          </cell>
          <cell r="AB52">
            <v>3</v>
          </cell>
        </row>
        <row r="53">
          <cell r="E53">
            <v>1.34375</v>
          </cell>
          <cell r="G53">
            <v>2.03125</v>
          </cell>
          <cell r="J53">
            <v>7</v>
          </cell>
          <cell r="Z53">
            <v>454</v>
          </cell>
        </row>
        <row r="54">
          <cell r="E54">
            <v>1.0048611111111112</v>
          </cell>
          <cell r="Z54">
            <v>10</v>
          </cell>
          <cell r="AB54">
            <v>6</v>
          </cell>
        </row>
        <row r="55">
          <cell r="E55">
            <v>1.1819444444444445</v>
          </cell>
          <cell r="G55">
            <v>0.33194444444444443</v>
          </cell>
          <cell r="I55">
            <v>7</v>
          </cell>
          <cell r="AB55">
            <v>7</v>
          </cell>
        </row>
        <row r="56">
          <cell r="E56">
            <v>1.2993055555555555</v>
          </cell>
          <cell r="G56">
            <v>0.61458333333333337</v>
          </cell>
          <cell r="I56">
            <v>5</v>
          </cell>
          <cell r="Z56">
            <v>15</v>
          </cell>
          <cell r="AB56">
            <v>5</v>
          </cell>
        </row>
        <row r="57">
          <cell r="E57">
            <v>1.75</v>
          </cell>
          <cell r="G57">
            <v>2.0381944444444446</v>
          </cell>
          <cell r="H57">
            <v>1</v>
          </cell>
          <cell r="I57">
            <v>108</v>
          </cell>
          <cell r="AB57">
            <v>13</v>
          </cell>
        </row>
        <row r="62">
          <cell r="H62">
            <v>45</v>
          </cell>
          <cell r="I62">
            <v>1252</v>
          </cell>
          <cell r="J62">
            <v>451</v>
          </cell>
          <cell r="K62">
            <v>224</v>
          </cell>
          <cell r="L62">
            <v>14</v>
          </cell>
          <cell r="M62">
            <v>73</v>
          </cell>
          <cell r="N62">
            <v>69</v>
          </cell>
          <cell r="Z62">
            <v>1848</v>
          </cell>
          <cell r="AA62">
            <v>25</v>
          </cell>
          <cell r="AB62">
            <v>349</v>
          </cell>
          <cell r="AC62">
            <v>0</v>
          </cell>
        </row>
      </sheetData>
      <sheetData sheetId="22">
        <row r="8">
          <cell r="E8">
            <v>1.0055555555555555</v>
          </cell>
          <cell r="I8">
            <v>3</v>
          </cell>
          <cell r="Z8">
            <v>8</v>
          </cell>
          <cell r="AA8">
            <v>3</v>
          </cell>
        </row>
        <row r="9">
          <cell r="E9">
            <v>1.2486111111111111</v>
          </cell>
          <cell r="G9">
            <v>1.3652777777777778</v>
          </cell>
          <cell r="I9">
            <v>15</v>
          </cell>
        </row>
        <row r="10">
          <cell r="G10">
            <v>2</v>
          </cell>
          <cell r="I10">
            <v>45</v>
          </cell>
        </row>
        <row r="11">
          <cell r="E11">
            <v>1.2916666666666667</v>
          </cell>
          <cell r="G11">
            <v>0.42986111111111114</v>
          </cell>
        </row>
        <row r="12">
          <cell r="E12">
            <v>1.5243055555555556</v>
          </cell>
          <cell r="G12">
            <v>1.9444444444444444</v>
          </cell>
          <cell r="I12">
            <v>125</v>
          </cell>
          <cell r="J12">
            <v>2</v>
          </cell>
          <cell r="Z12">
            <v>13</v>
          </cell>
        </row>
        <row r="13">
          <cell r="E13">
            <v>1.5</v>
          </cell>
          <cell r="G13">
            <v>1.9215277777777777</v>
          </cell>
          <cell r="Z13">
            <v>607</v>
          </cell>
          <cell r="AB13">
            <v>11</v>
          </cell>
        </row>
        <row r="14">
          <cell r="E14">
            <v>1.9930555555555556</v>
          </cell>
          <cell r="G14">
            <v>2</v>
          </cell>
          <cell r="I14">
            <v>121</v>
          </cell>
          <cell r="J14">
            <v>6</v>
          </cell>
        </row>
        <row r="15">
          <cell r="E15">
            <v>1</v>
          </cell>
          <cell r="G15">
            <v>0.85347222222222219</v>
          </cell>
          <cell r="H15">
            <v>3</v>
          </cell>
          <cell r="L15">
            <v>10</v>
          </cell>
          <cell r="Z15">
            <v>11</v>
          </cell>
          <cell r="AB15">
            <v>11</v>
          </cell>
        </row>
        <row r="16">
          <cell r="E16">
            <v>1.8402777777777777</v>
          </cell>
          <cell r="G16">
            <v>2.0277777777777777</v>
          </cell>
          <cell r="I16">
            <v>48</v>
          </cell>
          <cell r="AB16">
            <v>5</v>
          </cell>
        </row>
        <row r="17">
          <cell r="E17">
            <v>1.0069444444444444</v>
          </cell>
          <cell r="G17">
            <v>2.0194444444444444</v>
          </cell>
          <cell r="I17">
            <v>12</v>
          </cell>
          <cell r="J17">
            <v>7</v>
          </cell>
          <cell r="L17">
            <v>7</v>
          </cell>
          <cell r="Z17">
            <v>14</v>
          </cell>
          <cell r="AB17">
            <v>5</v>
          </cell>
        </row>
        <row r="18">
          <cell r="E18">
            <v>1.03125</v>
          </cell>
          <cell r="G18">
            <v>1.8222222222222222</v>
          </cell>
          <cell r="L18">
            <v>23</v>
          </cell>
          <cell r="Z18">
            <v>82</v>
          </cell>
          <cell r="AB18">
            <v>8</v>
          </cell>
        </row>
        <row r="19">
          <cell r="E19">
            <v>1.1111111111111112</v>
          </cell>
          <cell r="J19">
            <v>30</v>
          </cell>
          <cell r="AB19">
            <v>20</v>
          </cell>
        </row>
        <row r="20">
          <cell r="E20">
            <v>1.5833333333333333</v>
          </cell>
          <cell r="G20">
            <v>2.0458333333333334</v>
          </cell>
          <cell r="I20">
            <v>65</v>
          </cell>
        </row>
        <row r="21">
          <cell r="E21">
            <v>1.0041666666666667</v>
          </cell>
          <cell r="G21">
            <v>1.39375</v>
          </cell>
          <cell r="J21">
            <v>4</v>
          </cell>
          <cell r="Z21">
            <v>15</v>
          </cell>
        </row>
        <row r="22">
          <cell r="E22">
            <v>1.3715277777777777</v>
          </cell>
          <cell r="I22">
            <v>134</v>
          </cell>
          <cell r="Z22">
            <v>10</v>
          </cell>
        </row>
        <row r="23">
          <cell r="E23">
            <v>1.6388888888888888</v>
          </cell>
          <cell r="G23">
            <v>0.99791666666666667</v>
          </cell>
          <cell r="I23">
            <v>8</v>
          </cell>
          <cell r="AB23">
            <v>2</v>
          </cell>
        </row>
        <row r="24">
          <cell r="E24">
            <v>1.9791666666666667</v>
          </cell>
          <cell r="G24">
            <v>2.0333333333333332</v>
          </cell>
          <cell r="I24">
            <v>30</v>
          </cell>
        </row>
        <row r="25">
          <cell r="E25">
            <v>1.0034722222222223</v>
          </cell>
          <cell r="G25">
            <v>0.10208333333333333</v>
          </cell>
          <cell r="Z25">
            <v>5</v>
          </cell>
          <cell r="AB25">
            <v>11</v>
          </cell>
        </row>
        <row r="26">
          <cell r="E26">
            <v>1.1076388888888888</v>
          </cell>
          <cell r="H26">
            <v>2</v>
          </cell>
          <cell r="I26">
            <v>20</v>
          </cell>
        </row>
        <row r="27">
          <cell r="E27">
            <v>1.3798611111111112</v>
          </cell>
          <cell r="G27">
            <v>2.0298611111111109</v>
          </cell>
          <cell r="I27">
            <v>67</v>
          </cell>
          <cell r="Z27">
            <v>48</v>
          </cell>
        </row>
        <row r="28">
          <cell r="E28">
            <v>1.0055555555555555</v>
          </cell>
          <cell r="K28">
            <v>7</v>
          </cell>
          <cell r="Z28">
            <v>8</v>
          </cell>
          <cell r="AB28">
            <v>8</v>
          </cell>
        </row>
        <row r="29">
          <cell r="E29">
            <v>1.3923611111111112</v>
          </cell>
          <cell r="G29">
            <v>2.0326388888888891</v>
          </cell>
          <cell r="I29">
            <v>10</v>
          </cell>
          <cell r="Z29">
            <v>20</v>
          </cell>
          <cell r="AB29">
            <v>15</v>
          </cell>
        </row>
        <row r="30">
          <cell r="E30">
            <v>1.0041666666666667</v>
          </cell>
          <cell r="H30">
            <v>15</v>
          </cell>
          <cell r="Z30">
            <v>16</v>
          </cell>
          <cell r="AB30">
            <v>43</v>
          </cell>
        </row>
        <row r="31">
          <cell r="E31">
            <v>1.4583333333333333</v>
          </cell>
          <cell r="G31">
            <v>1.875</v>
          </cell>
          <cell r="I31">
            <v>50</v>
          </cell>
          <cell r="J31">
            <v>175</v>
          </cell>
          <cell r="Z31">
            <v>25</v>
          </cell>
          <cell r="AB31">
            <v>2</v>
          </cell>
        </row>
        <row r="32">
          <cell r="E32">
            <v>1.1152777777777778</v>
          </cell>
          <cell r="G32">
            <v>0.57499999999999996</v>
          </cell>
          <cell r="Z32">
            <v>91</v>
          </cell>
          <cell r="AB32">
            <v>3</v>
          </cell>
        </row>
        <row r="33">
          <cell r="E33">
            <v>1.5513888888888889</v>
          </cell>
          <cell r="I33">
            <v>11</v>
          </cell>
          <cell r="Z33">
            <v>20</v>
          </cell>
        </row>
        <row r="34">
          <cell r="E34">
            <v>1.8458333333333334</v>
          </cell>
          <cell r="G34">
            <v>2.03125</v>
          </cell>
          <cell r="H34">
            <v>9</v>
          </cell>
          <cell r="I34">
            <v>163</v>
          </cell>
        </row>
        <row r="35">
          <cell r="E35">
            <v>1.0034722222222223</v>
          </cell>
          <cell r="G35">
            <v>0.55138888888888893</v>
          </cell>
          <cell r="Z35">
            <v>18</v>
          </cell>
          <cell r="AB35">
            <v>3</v>
          </cell>
        </row>
        <row r="36">
          <cell r="E36">
            <v>1.5368055555555555</v>
          </cell>
          <cell r="G36">
            <v>2.0381944444444446</v>
          </cell>
          <cell r="I36">
            <v>25</v>
          </cell>
          <cell r="J36">
            <v>9</v>
          </cell>
          <cell r="Z36">
            <v>10</v>
          </cell>
        </row>
        <row r="37">
          <cell r="E37">
            <v>1.0027777777777778</v>
          </cell>
          <cell r="G37">
            <v>1.2708333333333333</v>
          </cell>
          <cell r="Z37">
            <v>6</v>
          </cell>
          <cell r="AB37">
            <v>18</v>
          </cell>
        </row>
        <row r="38">
          <cell r="E38">
            <v>1.2895833333333333</v>
          </cell>
          <cell r="G38">
            <v>2.0638888888888891</v>
          </cell>
          <cell r="H38">
            <v>2</v>
          </cell>
          <cell r="I38">
            <v>65</v>
          </cell>
          <cell r="J38">
            <v>82</v>
          </cell>
          <cell r="L38">
            <v>7</v>
          </cell>
          <cell r="Z38">
            <v>13</v>
          </cell>
          <cell r="AB38">
            <v>5</v>
          </cell>
        </row>
        <row r="39">
          <cell r="E39">
            <v>1.0763888888888888</v>
          </cell>
          <cell r="G39">
            <v>0.65069444444444446</v>
          </cell>
          <cell r="I39">
            <v>80</v>
          </cell>
          <cell r="J39">
            <v>35</v>
          </cell>
          <cell r="AB39">
            <v>2</v>
          </cell>
        </row>
        <row r="40">
          <cell r="E40">
            <v>1.6020833333333333</v>
          </cell>
          <cell r="G40">
            <v>2.03125</v>
          </cell>
          <cell r="I40">
            <v>44</v>
          </cell>
          <cell r="J40">
            <v>1</v>
          </cell>
          <cell r="Z40">
            <v>2</v>
          </cell>
        </row>
        <row r="41">
          <cell r="E41">
            <v>1.0784722222222223</v>
          </cell>
          <cell r="J41">
            <v>3</v>
          </cell>
          <cell r="Z41">
            <v>6</v>
          </cell>
        </row>
        <row r="42">
          <cell r="E42">
            <v>1.1312500000000001</v>
          </cell>
          <cell r="G42">
            <v>1.875</v>
          </cell>
          <cell r="I42">
            <v>19</v>
          </cell>
          <cell r="J42">
            <v>10</v>
          </cell>
          <cell r="Z42">
            <v>16</v>
          </cell>
        </row>
        <row r="43">
          <cell r="E43">
            <v>1.1666666666666667</v>
          </cell>
          <cell r="G43">
            <v>1.9993055555555554</v>
          </cell>
          <cell r="H43">
            <v>4</v>
          </cell>
          <cell r="J43">
            <v>2</v>
          </cell>
          <cell r="K43">
            <v>13</v>
          </cell>
          <cell r="L43">
            <v>22</v>
          </cell>
          <cell r="N43">
            <v>175</v>
          </cell>
          <cell r="Z43">
            <v>6</v>
          </cell>
          <cell r="AB43">
            <v>16</v>
          </cell>
        </row>
        <row r="44">
          <cell r="E44">
            <v>1.0027777777777778</v>
          </cell>
          <cell r="G44">
            <v>2.0444444444444443</v>
          </cell>
          <cell r="I44">
            <v>64</v>
          </cell>
          <cell r="J44">
            <v>1</v>
          </cell>
          <cell r="L44">
            <v>12</v>
          </cell>
          <cell r="Z44">
            <v>8</v>
          </cell>
          <cell r="AA44">
            <v>1</v>
          </cell>
          <cell r="AB44">
            <v>2</v>
          </cell>
        </row>
        <row r="45">
          <cell r="E45">
            <v>1.0090277777777779</v>
          </cell>
          <cell r="G45">
            <v>0.69652777777777775</v>
          </cell>
        </row>
        <row r="46">
          <cell r="E46">
            <v>1.6631944444444444</v>
          </cell>
          <cell r="G46">
            <v>2.0763888888888888</v>
          </cell>
          <cell r="I46">
            <v>18</v>
          </cell>
          <cell r="Z46">
            <v>47</v>
          </cell>
          <cell r="AA46">
            <v>3</v>
          </cell>
          <cell r="AB46">
            <v>5</v>
          </cell>
        </row>
        <row r="47">
          <cell r="E47">
            <v>1.0069444444444444</v>
          </cell>
          <cell r="Z47">
            <v>10</v>
          </cell>
        </row>
        <row r="48">
          <cell r="E48">
            <v>1.3472222222222223</v>
          </cell>
          <cell r="G48">
            <v>1.9826388888888888</v>
          </cell>
          <cell r="I48">
            <v>71</v>
          </cell>
          <cell r="J48">
            <v>5</v>
          </cell>
          <cell r="Z48">
            <v>7</v>
          </cell>
          <cell r="AB48">
            <v>9</v>
          </cell>
        </row>
        <row r="54">
          <cell r="H54">
            <v>57</v>
          </cell>
          <cell r="I54">
            <v>1313</v>
          </cell>
          <cell r="J54">
            <v>372</v>
          </cell>
          <cell r="K54">
            <v>20</v>
          </cell>
          <cell r="L54">
            <v>81</v>
          </cell>
          <cell r="M54">
            <v>0</v>
          </cell>
          <cell r="N54">
            <v>175</v>
          </cell>
          <cell r="Z54">
            <v>1142</v>
          </cell>
          <cell r="AA54">
            <v>7</v>
          </cell>
          <cell r="AB54">
            <v>231</v>
          </cell>
          <cell r="AC54">
            <v>0</v>
          </cell>
        </row>
      </sheetData>
      <sheetData sheetId="23">
        <row r="8">
          <cell r="E8">
            <v>1.1354166666666667</v>
          </cell>
          <cell r="G8">
            <v>1.3305555555555555</v>
          </cell>
          <cell r="AD8">
            <v>254</v>
          </cell>
        </row>
        <row r="9">
          <cell r="E9">
            <v>1.4722222222222223</v>
          </cell>
          <cell r="G9">
            <v>2.0513888888888889</v>
          </cell>
          <cell r="I9">
            <v>220</v>
          </cell>
          <cell r="Z9">
            <v>20</v>
          </cell>
          <cell r="AB9">
            <v>23</v>
          </cell>
          <cell r="AD9">
            <v>386</v>
          </cell>
        </row>
        <row r="10">
          <cell r="E10">
            <v>1.1666666666666667</v>
          </cell>
          <cell r="I10">
            <v>118</v>
          </cell>
          <cell r="J10">
            <v>5</v>
          </cell>
          <cell r="L10">
            <v>6</v>
          </cell>
          <cell r="Z10">
            <v>30</v>
          </cell>
          <cell r="AD10">
            <v>939</v>
          </cell>
        </row>
        <row r="11">
          <cell r="E11">
            <v>1.9201388888888888</v>
          </cell>
          <cell r="G11">
            <v>2.0277777777777777</v>
          </cell>
          <cell r="I11">
            <v>6</v>
          </cell>
          <cell r="AD11">
            <v>41</v>
          </cell>
        </row>
        <row r="12">
          <cell r="E12">
            <v>1.0055555555555555</v>
          </cell>
          <cell r="G12">
            <v>2.0305555555555554</v>
          </cell>
          <cell r="J12">
            <v>2</v>
          </cell>
          <cell r="Z12">
            <v>8</v>
          </cell>
          <cell r="AB12">
            <v>2</v>
          </cell>
          <cell r="AD12">
            <v>242</v>
          </cell>
        </row>
        <row r="13">
          <cell r="E13">
            <v>1.0041666666666667</v>
          </cell>
          <cell r="G13">
            <v>0.30208333333333331</v>
          </cell>
          <cell r="Z13">
            <v>6</v>
          </cell>
          <cell r="AD13">
            <v>80</v>
          </cell>
        </row>
        <row r="14">
          <cell r="E14">
            <v>1.3784722222222223</v>
          </cell>
          <cell r="I14">
            <v>60</v>
          </cell>
          <cell r="J14">
            <v>93</v>
          </cell>
          <cell r="L14">
            <v>41</v>
          </cell>
          <cell r="Z14">
            <v>60</v>
          </cell>
          <cell r="AD14">
            <v>290</v>
          </cell>
        </row>
        <row r="15">
          <cell r="E15">
            <v>1.7284722222222222</v>
          </cell>
          <cell r="G15">
            <v>2.0270833333333331</v>
          </cell>
          <cell r="I15">
            <v>75</v>
          </cell>
          <cell r="AA15">
            <v>3</v>
          </cell>
          <cell r="AB15">
            <v>3</v>
          </cell>
          <cell r="AD15">
            <v>124</v>
          </cell>
        </row>
        <row r="16">
          <cell r="E16">
            <v>1.0069444444444444</v>
          </cell>
          <cell r="G16">
            <v>1.1354166666666667</v>
          </cell>
          <cell r="J16">
            <v>10</v>
          </cell>
          <cell r="Z16">
            <v>10</v>
          </cell>
          <cell r="AB16">
            <v>14</v>
          </cell>
          <cell r="AD16">
            <v>159</v>
          </cell>
        </row>
        <row r="17">
          <cell r="E17">
            <v>1.5486111111111112</v>
          </cell>
          <cell r="G17">
            <v>1.7569444444444444</v>
          </cell>
          <cell r="I17">
            <v>11</v>
          </cell>
          <cell r="J17">
            <v>250</v>
          </cell>
          <cell r="AD17">
            <v>284</v>
          </cell>
        </row>
        <row r="18">
          <cell r="E18">
            <v>0.34375</v>
          </cell>
          <cell r="G18">
            <v>1.0006944444444446</v>
          </cell>
          <cell r="J18">
            <v>18</v>
          </cell>
          <cell r="Z18">
            <v>22</v>
          </cell>
          <cell r="AA18">
            <v>1</v>
          </cell>
          <cell r="AD18">
            <v>218</v>
          </cell>
        </row>
        <row r="19">
          <cell r="E19">
            <v>1.3506944444444444</v>
          </cell>
          <cell r="G19">
            <v>2.0208333333333335</v>
          </cell>
          <cell r="J19">
            <v>32</v>
          </cell>
          <cell r="L19">
            <v>8</v>
          </cell>
          <cell r="Z19">
            <v>426</v>
          </cell>
          <cell r="AB19">
            <v>12</v>
          </cell>
          <cell r="AD19">
            <v>615</v>
          </cell>
        </row>
        <row r="20">
          <cell r="E20">
            <v>1.0034722222222223</v>
          </cell>
          <cell r="G20">
            <v>0.32430555555555557</v>
          </cell>
          <cell r="Z20">
            <v>10</v>
          </cell>
          <cell r="AD20">
            <v>48</v>
          </cell>
        </row>
        <row r="21">
          <cell r="E21">
            <v>1.3333333333333333</v>
          </cell>
          <cell r="G21">
            <v>2.0625</v>
          </cell>
          <cell r="I21">
            <v>20</v>
          </cell>
          <cell r="J21">
            <v>8</v>
          </cell>
          <cell r="Z21">
            <v>29</v>
          </cell>
          <cell r="AB21">
            <v>15</v>
          </cell>
          <cell r="AD21">
            <v>340</v>
          </cell>
        </row>
        <row r="22">
          <cell r="E22">
            <v>1.007638888888889</v>
          </cell>
          <cell r="Z22">
            <v>15</v>
          </cell>
          <cell r="AD22">
            <v>48</v>
          </cell>
        </row>
        <row r="23">
          <cell r="E23">
            <v>1.132638888888889</v>
          </cell>
          <cell r="G23">
            <v>2.03125</v>
          </cell>
          <cell r="I23">
            <v>74</v>
          </cell>
          <cell r="J23">
            <v>2</v>
          </cell>
          <cell r="Z23">
            <v>13</v>
          </cell>
          <cell r="AB23">
            <v>75</v>
          </cell>
          <cell r="AD23">
            <v>319</v>
          </cell>
        </row>
        <row r="24">
          <cell r="E24">
            <v>1.0041666666666667</v>
          </cell>
          <cell r="Z24">
            <v>6</v>
          </cell>
          <cell r="AD24">
            <v>12</v>
          </cell>
        </row>
        <row r="25">
          <cell r="E25">
            <v>1.0729166666666667</v>
          </cell>
          <cell r="G25">
            <v>0.43055555555555558</v>
          </cell>
          <cell r="I25">
            <v>17</v>
          </cell>
          <cell r="AB25">
            <v>5</v>
          </cell>
          <cell r="AD25">
            <v>102</v>
          </cell>
        </row>
        <row r="26">
          <cell r="E26">
            <v>1.4513888888888888</v>
          </cell>
          <cell r="I26">
            <v>45</v>
          </cell>
          <cell r="J26">
            <v>7</v>
          </cell>
          <cell r="Z26">
            <v>30</v>
          </cell>
          <cell r="AD26">
            <v>204</v>
          </cell>
        </row>
        <row r="27">
          <cell r="E27">
            <v>1.7749999999999999</v>
          </cell>
          <cell r="G27">
            <v>2.0659722222222223</v>
          </cell>
          <cell r="I27">
            <v>55</v>
          </cell>
          <cell r="J27">
            <v>2</v>
          </cell>
          <cell r="AA27">
            <v>2</v>
          </cell>
          <cell r="AB27">
            <v>7</v>
          </cell>
          <cell r="AD27">
            <v>114</v>
          </cell>
        </row>
        <row r="28">
          <cell r="E28">
            <v>1.2083333333333333</v>
          </cell>
          <cell r="G28">
            <v>1.7236111111111112</v>
          </cell>
          <cell r="I28">
            <v>143</v>
          </cell>
          <cell r="J28">
            <v>127</v>
          </cell>
          <cell r="Z28">
            <v>16</v>
          </cell>
          <cell r="AB28">
            <v>53</v>
          </cell>
          <cell r="AD28">
            <v>420</v>
          </cell>
        </row>
        <row r="29">
          <cell r="E29">
            <v>1.6888888888888889</v>
          </cell>
          <cell r="G29">
            <v>1.8729166666666666</v>
          </cell>
          <cell r="I29">
            <v>5</v>
          </cell>
          <cell r="AB29">
            <v>9</v>
          </cell>
          <cell r="AD29">
            <v>21</v>
          </cell>
        </row>
        <row r="30">
          <cell r="E30">
            <v>0.34583333333333333</v>
          </cell>
          <cell r="G30">
            <v>0.92708333333333337</v>
          </cell>
          <cell r="J30">
            <v>12</v>
          </cell>
          <cell r="Z30">
            <v>27</v>
          </cell>
          <cell r="AA30">
            <v>3</v>
          </cell>
          <cell r="AB30">
            <v>10</v>
          </cell>
          <cell r="AD30">
            <v>123</v>
          </cell>
        </row>
        <row r="31">
          <cell r="E31">
            <v>1.1041666666666667</v>
          </cell>
          <cell r="G31">
            <v>0.68333333333333335</v>
          </cell>
          <cell r="J31">
            <v>20</v>
          </cell>
          <cell r="Z31">
            <v>48</v>
          </cell>
          <cell r="AB31">
            <v>16</v>
          </cell>
          <cell r="AD31">
            <v>183</v>
          </cell>
        </row>
        <row r="32">
          <cell r="E32">
            <v>1.6909722222222223</v>
          </cell>
          <cell r="G32">
            <v>2.0208333333333335</v>
          </cell>
          <cell r="I32">
            <v>58</v>
          </cell>
          <cell r="J32">
            <v>69</v>
          </cell>
          <cell r="K32">
            <v>3</v>
          </cell>
          <cell r="AB32">
            <v>28</v>
          </cell>
          <cell r="AD32">
            <v>205</v>
          </cell>
        </row>
        <row r="33">
          <cell r="E33">
            <v>1.0034722222222223</v>
          </cell>
          <cell r="I33">
            <v>19</v>
          </cell>
          <cell r="Z33">
            <v>3</v>
          </cell>
          <cell r="AB33">
            <v>22</v>
          </cell>
          <cell r="AD33">
            <v>214</v>
          </cell>
        </row>
        <row r="34">
          <cell r="E34">
            <v>1.5451388888888888</v>
          </cell>
          <cell r="G34">
            <v>1.8444444444444446</v>
          </cell>
          <cell r="I34">
            <v>5</v>
          </cell>
          <cell r="M34">
            <v>6</v>
          </cell>
          <cell r="AB34">
            <v>2</v>
          </cell>
          <cell r="AD34">
            <v>141</v>
          </cell>
        </row>
        <row r="35">
          <cell r="E35">
            <v>1.8055555555555556</v>
          </cell>
          <cell r="G35">
            <v>2.0333333333333332</v>
          </cell>
          <cell r="I35">
            <v>43</v>
          </cell>
          <cell r="Z35">
            <v>13</v>
          </cell>
          <cell r="AD35">
            <v>122</v>
          </cell>
        </row>
        <row r="36">
          <cell r="E36">
            <v>1.0243055555555556</v>
          </cell>
          <cell r="G36">
            <v>1.5243055555555556</v>
          </cell>
          <cell r="I36">
            <v>35</v>
          </cell>
          <cell r="J36">
            <v>2</v>
          </cell>
          <cell r="AB36">
            <v>21</v>
          </cell>
          <cell r="AD36">
            <v>140</v>
          </cell>
        </row>
        <row r="37">
          <cell r="E37">
            <v>1.5694444444444444</v>
          </cell>
          <cell r="G37">
            <v>2.0409722222222224</v>
          </cell>
          <cell r="I37">
            <v>23</v>
          </cell>
          <cell r="J37">
            <v>3</v>
          </cell>
          <cell r="Z37">
            <v>101</v>
          </cell>
          <cell r="AB37">
            <v>11</v>
          </cell>
          <cell r="AD37">
            <v>189</v>
          </cell>
        </row>
        <row r="38">
          <cell r="E38">
            <v>1.0069444444444444</v>
          </cell>
          <cell r="G38">
            <v>1.1430555555555555</v>
          </cell>
          <cell r="Z38">
            <v>20</v>
          </cell>
          <cell r="AB38">
            <v>2</v>
          </cell>
          <cell r="AD38">
            <v>27</v>
          </cell>
        </row>
        <row r="39">
          <cell r="E39">
            <v>1.1041666666666667</v>
          </cell>
          <cell r="G39">
            <v>0.71458333333333335</v>
          </cell>
          <cell r="I39">
            <v>26</v>
          </cell>
          <cell r="Z39">
            <v>20</v>
          </cell>
          <cell r="AB39">
            <v>40</v>
          </cell>
          <cell r="AD39">
            <v>165</v>
          </cell>
        </row>
        <row r="40">
          <cell r="E40">
            <v>1.7847222222222223</v>
          </cell>
          <cell r="G40">
            <v>2.0368055555555555</v>
          </cell>
          <cell r="I40">
            <v>64</v>
          </cell>
          <cell r="J40">
            <v>65</v>
          </cell>
          <cell r="Z40">
            <v>30</v>
          </cell>
          <cell r="AB40">
            <v>6</v>
          </cell>
          <cell r="AD40">
            <v>259</v>
          </cell>
        </row>
        <row r="41">
          <cell r="E41">
            <v>1.0152777777777777</v>
          </cell>
          <cell r="G41">
            <v>1.4340277777777777</v>
          </cell>
          <cell r="I41">
            <v>32</v>
          </cell>
          <cell r="AD41">
            <v>171</v>
          </cell>
        </row>
        <row r="42">
          <cell r="E42">
            <v>1.4166666666666667</v>
          </cell>
          <cell r="G42">
            <v>1.6972222222222222</v>
          </cell>
          <cell r="I42">
            <v>70</v>
          </cell>
          <cell r="Z42">
            <v>41</v>
          </cell>
          <cell r="AD42">
            <v>184</v>
          </cell>
        </row>
        <row r="43">
          <cell r="E43">
            <v>1.7277777777777779</v>
          </cell>
          <cell r="G43">
            <v>1.8645833333333333</v>
          </cell>
          <cell r="I43">
            <v>75</v>
          </cell>
          <cell r="J43">
            <v>9</v>
          </cell>
          <cell r="AB43">
            <v>4</v>
          </cell>
          <cell r="AD43">
            <v>110</v>
          </cell>
        </row>
        <row r="44">
          <cell r="E44">
            <v>0.53125</v>
          </cell>
          <cell r="G44">
            <v>1.0333333333333334</v>
          </cell>
          <cell r="J44">
            <v>3</v>
          </cell>
          <cell r="Z44">
            <v>184</v>
          </cell>
          <cell r="AD44">
            <v>384</v>
          </cell>
        </row>
        <row r="45">
          <cell r="E45">
            <v>1.0055555555555555</v>
          </cell>
          <cell r="J45">
            <v>4</v>
          </cell>
          <cell r="AB45">
            <v>31</v>
          </cell>
          <cell r="AD45">
            <v>430</v>
          </cell>
        </row>
        <row r="46">
          <cell r="E46">
            <v>1.8541666666666667</v>
          </cell>
          <cell r="G46">
            <v>2.0236111111111112</v>
          </cell>
          <cell r="I46">
            <v>31</v>
          </cell>
          <cell r="AD46">
            <v>108</v>
          </cell>
        </row>
        <row r="47">
          <cell r="E47">
            <v>1.0034722222222223</v>
          </cell>
          <cell r="G47">
            <v>1.1993055555555556</v>
          </cell>
          <cell r="Z47">
            <v>5</v>
          </cell>
          <cell r="AD47">
            <v>59</v>
          </cell>
        </row>
        <row r="63">
          <cell r="H63">
            <v>0</v>
          </cell>
          <cell r="I63">
            <v>1330</v>
          </cell>
          <cell r="J63">
            <v>749</v>
          </cell>
          <cell r="K63">
            <v>3</v>
          </cell>
          <cell r="L63">
            <v>55</v>
          </cell>
          <cell r="M63">
            <v>6</v>
          </cell>
          <cell r="N63">
            <v>0</v>
          </cell>
          <cell r="Z63">
            <v>1193</v>
          </cell>
          <cell r="AA63">
            <v>9</v>
          </cell>
          <cell r="AB63">
            <v>415</v>
          </cell>
          <cell r="AC63">
            <v>0</v>
          </cell>
        </row>
      </sheetData>
      <sheetData sheetId="24">
        <row r="8">
          <cell r="E8">
            <v>0.79166666666666663</v>
          </cell>
          <cell r="G8">
            <v>0.91666666666666663</v>
          </cell>
        </row>
        <row r="9">
          <cell r="E9">
            <v>0.40972222222222221</v>
          </cell>
          <cell r="G9">
            <v>0.9770833333333333</v>
          </cell>
          <cell r="K9">
            <v>22</v>
          </cell>
          <cell r="Z9">
            <v>51</v>
          </cell>
        </row>
        <row r="10">
          <cell r="E10">
            <v>0.83819444444444446</v>
          </cell>
          <cell r="G10">
            <v>1.0458333333333334</v>
          </cell>
          <cell r="Z10">
            <v>77</v>
          </cell>
        </row>
        <row r="11">
          <cell r="E11">
            <v>1.0069444444444444</v>
          </cell>
          <cell r="G11">
            <v>1.6666666666666667</v>
          </cell>
          <cell r="K11">
            <v>2</v>
          </cell>
          <cell r="Z11">
            <v>10</v>
          </cell>
          <cell r="AB11">
            <v>20</v>
          </cell>
        </row>
        <row r="12">
          <cell r="E12">
            <v>1.7256944444444444</v>
          </cell>
          <cell r="G12">
            <v>2.0479166666666666</v>
          </cell>
          <cell r="I12">
            <v>59</v>
          </cell>
          <cell r="J12">
            <v>8</v>
          </cell>
          <cell r="L12">
            <v>16</v>
          </cell>
          <cell r="Z12">
            <v>18</v>
          </cell>
        </row>
        <row r="13">
          <cell r="E13">
            <v>1.0069444444444444</v>
          </cell>
          <cell r="G13">
            <v>1.3256944444444445</v>
          </cell>
          <cell r="J13">
            <v>4</v>
          </cell>
          <cell r="Z13">
            <v>10</v>
          </cell>
        </row>
        <row r="14">
          <cell r="E14">
            <v>1.3055555555555556</v>
          </cell>
          <cell r="G14">
            <v>1.4916666666666667</v>
          </cell>
          <cell r="I14">
            <v>10</v>
          </cell>
          <cell r="Z14">
            <v>37</v>
          </cell>
          <cell r="AB14">
            <v>3</v>
          </cell>
        </row>
        <row r="15">
          <cell r="E15">
            <v>1.5208333333333333</v>
          </cell>
          <cell r="G15">
            <v>2.0486111111111112</v>
          </cell>
          <cell r="I15">
            <v>18</v>
          </cell>
          <cell r="J15">
            <v>13</v>
          </cell>
          <cell r="Z15">
            <v>55</v>
          </cell>
        </row>
        <row r="16">
          <cell r="E16">
            <v>1.0125</v>
          </cell>
          <cell r="G16">
            <v>0.47638888888888886</v>
          </cell>
        </row>
        <row r="17">
          <cell r="E17">
            <v>1.5625</v>
          </cell>
          <cell r="G17">
            <v>2.0458333333333334</v>
          </cell>
          <cell r="I17">
            <v>55</v>
          </cell>
        </row>
        <row r="18">
          <cell r="E18">
            <v>1.0083333333333333</v>
          </cell>
          <cell r="G18">
            <v>1.1534722222222222</v>
          </cell>
          <cell r="Z18">
            <v>19</v>
          </cell>
        </row>
        <row r="19">
          <cell r="E19">
            <v>1.1145833333333333</v>
          </cell>
          <cell r="H19">
            <v>2</v>
          </cell>
          <cell r="I19">
            <v>29</v>
          </cell>
          <cell r="J19">
            <v>5</v>
          </cell>
          <cell r="K19">
            <v>8</v>
          </cell>
          <cell r="L19">
            <v>18</v>
          </cell>
          <cell r="Z19">
            <v>30</v>
          </cell>
        </row>
        <row r="20">
          <cell r="E20">
            <v>1.6666666666666667</v>
          </cell>
          <cell r="I20">
            <v>37</v>
          </cell>
          <cell r="AB20">
            <v>10</v>
          </cell>
        </row>
        <row r="21">
          <cell r="E21">
            <v>1.8444444444444446</v>
          </cell>
          <cell r="G21">
            <v>2.036111111111111</v>
          </cell>
          <cell r="I21">
            <v>12</v>
          </cell>
          <cell r="Z21">
            <v>2</v>
          </cell>
        </row>
        <row r="22">
          <cell r="E22">
            <v>1.0173611111111112</v>
          </cell>
          <cell r="G22">
            <v>1.3680555555555556</v>
          </cell>
          <cell r="J22">
            <v>2</v>
          </cell>
          <cell r="L22">
            <v>25</v>
          </cell>
          <cell r="AB22">
            <v>5</v>
          </cell>
        </row>
        <row r="23">
          <cell r="G23">
            <v>1.875</v>
          </cell>
          <cell r="I23">
            <v>45</v>
          </cell>
          <cell r="J23">
            <v>105</v>
          </cell>
        </row>
        <row r="24">
          <cell r="E24">
            <v>0.50694444444444442</v>
          </cell>
          <cell r="G24">
            <v>0.34722222222222221</v>
          </cell>
          <cell r="J24">
            <v>14</v>
          </cell>
          <cell r="K24">
            <v>37</v>
          </cell>
          <cell r="Z24">
            <v>104</v>
          </cell>
        </row>
        <row r="25">
          <cell r="E25">
            <v>0.72916666666666663</v>
          </cell>
          <cell r="G25">
            <v>0.95625000000000004</v>
          </cell>
          <cell r="I25">
            <v>20</v>
          </cell>
        </row>
        <row r="26">
          <cell r="E26">
            <v>1.1041666666666667</v>
          </cell>
          <cell r="G26">
            <v>1.4173611111111111</v>
          </cell>
          <cell r="L26">
            <v>3</v>
          </cell>
          <cell r="Z26">
            <v>24</v>
          </cell>
        </row>
        <row r="27">
          <cell r="E27">
            <v>1.4680555555555554</v>
          </cell>
          <cell r="G27">
            <v>0.71527777777777779</v>
          </cell>
          <cell r="I27">
            <v>53</v>
          </cell>
          <cell r="J27">
            <v>9</v>
          </cell>
          <cell r="L27">
            <v>22</v>
          </cell>
          <cell r="M27">
            <v>19</v>
          </cell>
          <cell r="Z27">
            <v>65</v>
          </cell>
          <cell r="AA27">
            <v>3</v>
          </cell>
          <cell r="AB27">
            <v>13</v>
          </cell>
        </row>
        <row r="28">
          <cell r="E28">
            <v>1.7749999999999999</v>
          </cell>
          <cell r="G28">
            <v>2.0277777777777777</v>
          </cell>
          <cell r="H28">
            <v>4</v>
          </cell>
          <cell r="I28">
            <v>60</v>
          </cell>
          <cell r="M28">
            <v>20</v>
          </cell>
          <cell r="Z28">
            <v>55</v>
          </cell>
        </row>
        <row r="29">
          <cell r="E29">
            <v>1.2569444444444444</v>
          </cell>
          <cell r="G29">
            <v>1.4520833333333334</v>
          </cell>
          <cell r="I29">
            <v>160</v>
          </cell>
          <cell r="L29">
            <v>10</v>
          </cell>
        </row>
        <row r="30">
          <cell r="E30">
            <v>1.4097222222222223</v>
          </cell>
          <cell r="G30">
            <v>2.0277777777777777</v>
          </cell>
          <cell r="H30">
            <v>11</v>
          </cell>
          <cell r="I30">
            <v>27</v>
          </cell>
          <cell r="Z30">
            <v>24</v>
          </cell>
          <cell r="AB30">
            <v>10</v>
          </cell>
        </row>
        <row r="57">
          <cell r="H57">
            <v>19</v>
          </cell>
          <cell r="I57">
            <v>585</v>
          </cell>
          <cell r="J57">
            <v>160</v>
          </cell>
          <cell r="K57">
            <v>69</v>
          </cell>
          <cell r="L57">
            <v>94</v>
          </cell>
          <cell r="M57">
            <v>39</v>
          </cell>
          <cell r="N57">
            <v>0</v>
          </cell>
          <cell r="Z57">
            <v>641</v>
          </cell>
          <cell r="AA57">
            <v>3</v>
          </cell>
          <cell r="AB57">
            <v>64</v>
          </cell>
        </row>
      </sheetData>
      <sheetData sheetId="25">
        <row r="8">
          <cell r="E8">
            <v>1.0416666666666667</v>
          </cell>
          <cell r="G8">
            <v>0.64652777777777781</v>
          </cell>
          <cell r="J8">
            <v>60</v>
          </cell>
          <cell r="Z8">
            <v>37</v>
          </cell>
        </row>
        <row r="9">
          <cell r="E9">
            <v>1.7951388888888888</v>
          </cell>
          <cell r="G9">
            <v>2.0833333333333335</v>
          </cell>
          <cell r="I9">
            <v>110</v>
          </cell>
          <cell r="L9">
            <v>33</v>
          </cell>
          <cell r="Z9">
            <v>240</v>
          </cell>
          <cell r="AB9">
            <v>5</v>
          </cell>
        </row>
        <row r="10">
          <cell r="E10">
            <v>1.0062500000000001</v>
          </cell>
          <cell r="Z10">
            <v>21</v>
          </cell>
        </row>
        <row r="11">
          <cell r="E11">
            <v>1.2777777777777777</v>
          </cell>
          <cell r="G11">
            <v>1.5</v>
          </cell>
          <cell r="I11">
            <v>10</v>
          </cell>
          <cell r="Z11">
            <v>45</v>
          </cell>
          <cell r="AB11">
            <v>7</v>
          </cell>
        </row>
        <row r="12">
          <cell r="E12">
            <v>1.6493055555555556</v>
          </cell>
          <cell r="G12">
            <v>2.0590277777777777</v>
          </cell>
          <cell r="H12">
            <v>3</v>
          </cell>
          <cell r="I12">
            <v>140</v>
          </cell>
          <cell r="Z12">
            <v>115</v>
          </cell>
        </row>
        <row r="13">
          <cell r="E13">
            <v>1.0104166666666667</v>
          </cell>
          <cell r="G13">
            <v>1.3625</v>
          </cell>
          <cell r="Z13">
            <v>20</v>
          </cell>
        </row>
        <row r="14">
          <cell r="E14">
            <v>1.4819444444444445</v>
          </cell>
          <cell r="G14">
            <v>1.8881944444444445</v>
          </cell>
          <cell r="I14">
            <v>14</v>
          </cell>
          <cell r="J14">
            <v>3</v>
          </cell>
          <cell r="Z14">
            <v>210</v>
          </cell>
        </row>
        <row r="15">
          <cell r="E15">
            <v>1.0833333333333333</v>
          </cell>
          <cell r="G15">
            <v>2.1534722222222222</v>
          </cell>
          <cell r="L15">
            <v>3</v>
          </cell>
          <cell r="Z15">
            <v>39</v>
          </cell>
        </row>
        <row r="16">
          <cell r="E16">
            <v>1.0819444444444444</v>
          </cell>
          <cell r="AB16">
            <v>5</v>
          </cell>
        </row>
        <row r="17">
          <cell r="E17">
            <v>1.8833333333333333</v>
          </cell>
          <cell r="G17">
            <v>2.1368055555555556</v>
          </cell>
          <cell r="I17">
            <v>15</v>
          </cell>
          <cell r="Z17">
            <v>360</v>
          </cell>
          <cell r="AB17">
            <v>15</v>
          </cell>
        </row>
        <row r="18">
          <cell r="E18">
            <v>1.0097222222222222</v>
          </cell>
          <cell r="J18">
            <v>9</v>
          </cell>
          <cell r="Z18">
            <v>217</v>
          </cell>
        </row>
        <row r="19">
          <cell r="E19">
            <v>1.5729166666666667</v>
          </cell>
          <cell r="H19">
            <v>11</v>
          </cell>
          <cell r="I19">
            <v>28</v>
          </cell>
          <cell r="Z19">
            <v>15</v>
          </cell>
        </row>
        <row r="20">
          <cell r="E20">
            <v>1.7083333333333333</v>
          </cell>
          <cell r="I20">
            <v>47</v>
          </cell>
        </row>
        <row r="21">
          <cell r="E21">
            <v>1.7826388888888889</v>
          </cell>
          <cell r="I21">
            <v>22</v>
          </cell>
          <cell r="Z21">
            <v>33</v>
          </cell>
        </row>
        <row r="22">
          <cell r="G22">
            <v>2.1118055555555557</v>
          </cell>
        </row>
        <row r="23">
          <cell r="E23">
            <v>1.0069444444444444</v>
          </cell>
          <cell r="I23">
            <v>47</v>
          </cell>
          <cell r="Z23">
            <v>246</v>
          </cell>
          <cell r="AB23">
            <v>5</v>
          </cell>
        </row>
        <row r="24">
          <cell r="E24">
            <v>1.4736111111111112</v>
          </cell>
          <cell r="G24">
            <v>1.6875</v>
          </cell>
          <cell r="I24">
            <v>17</v>
          </cell>
          <cell r="Z24">
            <v>9</v>
          </cell>
          <cell r="AA24">
            <v>6</v>
          </cell>
        </row>
        <row r="25">
          <cell r="E25">
            <v>1.7083333333333333</v>
          </cell>
          <cell r="G25">
            <v>1.9270833333333333</v>
          </cell>
          <cell r="H25">
            <v>2</v>
          </cell>
          <cell r="I25">
            <v>53</v>
          </cell>
          <cell r="J25">
            <v>2</v>
          </cell>
          <cell r="Z25">
            <v>5</v>
          </cell>
          <cell r="AB25">
            <v>2</v>
          </cell>
        </row>
        <row r="26">
          <cell r="E26">
            <v>1.0194444444444444</v>
          </cell>
          <cell r="I26">
            <v>50</v>
          </cell>
          <cell r="Z26">
            <v>35</v>
          </cell>
          <cell r="AB26">
            <v>13</v>
          </cell>
        </row>
        <row r="27">
          <cell r="E27">
            <v>1.5069444444444444</v>
          </cell>
          <cell r="G27">
            <v>1.8902777777777777</v>
          </cell>
          <cell r="I27">
            <v>15</v>
          </cell>
          <cell r="J27">
            <v>2</v>
          </cell>
          <cell r="L27">
            <v>7</v>
          </cell>
          <cell r="Z27">
            <v>17</v>
          </cell>
        </row>
        <row r="28">
          <cell r="E28">
            <v>1.0729166666666667</v>
          </cell>
          <cell r="Z28">
            <v>25</v>
          </cell>
          <cell r="AB28">
            <v>14</v>
          </cell>
        </row>
        <row r="29">
          <cell r="E29">
            <v>1.8340277777777778</v>
          </cell>
          <cell r="G29">
            <v>2.067361111111111</v>
          </cell>
          <cell r="I29">
            <v>55</v>
          </cell>
          <cell r="J29">
            <v>60</v>
          </cell>
          <cell r="Z29">
            <v>36</v>
          </cell>
        </row>
        <row r="30">
          <cell r="E30">
            <v>1.0104166666666667</v>
          </cell>
          <cell r="G30">
            <v>2.0687500000000001</v>
          </cell>
          <cell r="J30">
            <v>12</v>
          </cell>
          <cell r="Z30">
            <v>29</v>
          </cell>
          <cell r="AB30">
            <v>158</v>
          </cell>
        </row>
        <row r="31">
          <cell r="E31">
            <v>1.0694444444444444</v>
          </cell>
          <cell r="G31">
            <v>1.5638888888888889</v>
          </cell>
          <cell r="I31">
            <v>72</v>
          </cell>
          <cell r="J31">
            <v>19</v>
          </cell>
          <cell r="Z31">
            <v>15</v>
          </cell>
          <cell r="AB31">
            <v>15</v>
          </cell>
        </row>
        <row r="32">
          <cell r="E32">
            <v>1.5333333333333334</v>
          </cell>
          <cell r="G32">
            <v>2.0625</v>
          </cell>
          <cell r="I32">
            <v>66</v>
          </cell>
          <cell r="J32">
            <v>12</v>
          </cell>
          <cell r="M32">
            <v>5</v>
          </cell>
        </row>
        <row r="33">
          <cell r="E33">
            <v>1.0104166666666667</v>
          </cell>
          <cell r="Z33">
            <v>17</v>
          </cell>
          <cell r="AC33">
            <v>9</v>
          </cell>
        </row>
        <row r="34">
          <cell r="E34">
            <v>1.1666666666666667</v>
          </cell>
          <cell r="G34">
            <v>0.66597222222222219</v>
          </cell>
          <cell r="I34">
            <v>44</v>
          </cell>
          <cell r="Z34">
            <v>34</v>
          </cell>
        </row>
        <row r="35">
          <cell r="E35">
            <v>1.6020833333333333</v>
          </cell>
          <cell r="I35">
            <v>47</v>
          </cell>
          <cell r="Z35">
            <v>8</v>
          </cell>
        </row>
        <row r="36">
          <cell r="E36">
            <v>1.820138888888889</v>
          </cell>
          <cell r="G36">
            <v>2.1124999999999998</v>
          </cell>
          <cell r="I36">
            <v>10</v>
          </cell>
          <cell r="Z36">
            <v>3</v>
          </cell>
          <cell r="AA36">
            <v>2</v>
          </cell>
        </row>
        <row r="37">
          <cell r="E37">
            <v>1.0152777777777777</v>
          </cell>
          <cell r="Z37">
            <v>15</v>
          </cell>
        </row>
        <row r="38">
          <cell r="G38">
            <v>1.875</v>
          </cell>
          <cell r="I38">
            <v>45</v>
          </cell>
          <cell r="J38">
            <v>30</v>
          </cell>
          <cell r="L38">
            <v>161</v>
          </cell>
          <cell r="Z38">
            <v>636</v>
          </cell>
        </row>
        <row r="39">
          <cell r="E39">
            <v>1.1444444444444444</v>
          </cell>
          <cell r="G39">
            <v>0.9194444444444444</v>
          </cell>
          <cell r="H39">
            <v>15</v>
          </cell>
          <cell r="J39">
            <v>2</v>
          </cell>
          <cell r="Z39">
            <v>46</v>
          </cell>
          <cell r="AB39">
            <v>7</v>
          </cell>
        </row>
        <row r="40">
          <cell r="G40">
            <v>2</v>
          </cell>
          <cell r="I40">
            <v>75</v>
          </cell>
          <cell r="Z40">
            <v>70</v>
          </cell>
        </row>
        <row r="41">
          <cell r="E41">
            <v>1</v>
          </cell>
          <cell r="J41">
            <v>60</v>
          </cell>
          <cell r="Z41">
            <v>75</v>
          </cell>
          <cell r="AB41">
            <v>6</v>
          </cell>
        </row>
        <row r="42">
          <cell r="E42">
            <v>1.1354166666666667</v>
          </cell>
          <cell r="G42">
            <v>0.71944444444444444</v>
          </cell>
          <cell r="I42">
            <v>60</v>
          </cell>
          <cell r="Z42">
            <v>11</v>
          </cell>
        </row>
        <row r="43">
          <cell r="E43">
            <v>1.8125</v>
          </cell>
          <cell r="G43">
            <v>2.0499999999999998</v>
          </cell>
          <cell r="I43">
            <v>60</v>
          </cell>
          <cell r="AB43">
            <v>32</v>
          </cell>
        </row>
        <row r="44">
          <cell r="E44">
            <v>1.0090277777777779</v>
          </cell>
          <cell r="G44">
            <v>1.5194444444444444</v>
          </cell>
          <cell r="M44">
            <v>13</v>
          </cell>
          <cell r="Z44">
            <v>13</v>
          </cell>
          <cell r="AB44">
            <v>115</v>
          </cell>
        </row>
        <row r="45">
          <cell r="G45">
            <v>2</v>
          </cell>
          <cell r="J45">
            <v>760</v>
          </cell>
        </row>
        <row r="46">
          <cell r="E46">
            <v>1.2361111111111112</v>
          </cell>
          <cell r="G46">
            <v>0.85277777777777775</v>
          </cell>
          <cell r="J46">
            <v>480</v>
          </cell>
          <cell r="AA46">
            <v>8</v>
          </cell>
          <cell r="AB46">
            <v>32</v>
          </cell>
        </row>
        <row r="47">
          <cell r="E47">
            <v>1.7916666666666667</v>
          </cell>
          <cell r="G47">
            <v>2.1041666666666665</v>
          </cell>
          <cell r="I47">
            <v>86</v>
          </cell>
          <cell r="AB47">
            <v>3</v>
          </cell>
        </row>
        <row r="48">
          <cell r="E48">
            <v>1.5368055555555555</v>
          </cell>
          <cell r="G48">
            <v>1.804861111111111</v>
          </cell>
          <cell r="J48">
            <v>763</v>
          </cell>
          <cell r="Z48">
            <v>6</v>
          </cell>
        </row>
        <row r="49">
          <cell r="G49">
            <v>1.875</v>
          </cell>
          <cell r="I49">
            <v>57</v>
          </cell>
        </row>
        <row r="50">
          <cell r="E50">
            <v>1.2256944444444444</v>
          </cell>
          <cell r="G50">
            <v>2.0534722222222221</v>
          </cell>
          <cell r="Z50">
            <v>240</v>
          </cell>
          <cell r="AA50">
            <v>5</v>
          </cell>
        </row>
        <row r="51">
          <cell r="E51">
            <v>1.0062500000000001</v>
          </cell>
          <cell r="J51">
            <v>10</v>
          </cell>
          <cell r="Z51">
            <v>15</v>
          </cell>
        </row>
        <row r="52">
          <cell r="E52">
            <v>1.5326388888888889</v>
          </cell>
          <cell r="G52">
            <v>2.0763888888888888</v>
          </cell>
          <cell r="I52">
            <v>22</v>
          </cell>
          <cell r="Z52">
            <v>11</v>
          </cell>
          <cell r="AB52">
            <v>10</v>
          </cell>
        </row>
        <row r="53">
          <cell r="E53">
            <v>1.0069444444444444</v>
          </cell>
          <cell r="Z53">
            <v>10</v>
          </cell>
        </row>
        <row r="54">
          <cell r="E54">
            <v>1.0833333333333333</v>
          </cell>
          <cell r="G54">
            <v>0.1875</v>
          </cell>
          <cell r="I54">
            <v>80</v>
          </cell>
          <cell r="Z54">
            <v>17</v>
          </cell>
        </row>
        <row r="55">
          <cell r="E55">
            <v>1.5874999999999999</v>
          </cell>
          <cell r="G55">
            <v>2.0527777777777776</v>
          </cell>
          <cell r="I55">
            <v>70</v>
          </cell>
          <cell r="J55">
            <v>3</v>
          </cell>
          <cell r="Z55">
            <v>447</v>
          </cell>
          <cell r="AB55">
            <v>18</v>
          </cell>
        </row>
        <row r="56">
          <cell r="E56">
            <v>1.0041666666666667</v>
          </cell>
          <cell r="G56">
            <v>0.18888888888888888</v>
          </cell>
          <cell r="Z56">
            <v>6</v>
          </cell>
          <cell r="AB56">
            <v>2</v>
          </cell>
        </row>
        <row r="57">
          <cell r="E57">
            <v>1.2430555555555556</v>
          </cell>
          <cell r="G57">
            <v>1.945138888888889</v>
          </cell>
          <cell r="I57">
            <v>105</v>
          </cell>
          <cell r="J57">
            <v>2</v>
          </cell>
          <cell r="Z57">
            <v>132</v>
          </cell>
          <cell r="AB57">
            <v>11</v>
          </cell>
        </row>
        <row r="58">
          <cell r="E58">
            <v>1.9395833333333334</v>
          </cell>
          <cell r="G58">
            <v>2.0499999999999998</v>
          </cell>
          <cell r="I58">
            <v>7</v>
          </cell>
          <cell r="J58">
            <v>6</v>
          </cell>
          <cell r="Z58">
            <v>50</v>
          </cell>
        </row>
        <row r="59">
          <cell r="E59">
            <v>1.0069444444444444</v>
          </cell>
          <cell r="G59">
            <v>1.7979166666666666</v>
          </cell>
          <cell r="J59">
            <v>66</v>
          </cell>
          <cell r="Z59">
            <v>46</v>
          </cell>
          <cell r="AA59">
            <v>8</v>
          </cell>
          <cell r="AB59">
            <v>7</v>
          </cell>
        </row>
        <row r="61">
          <cell r="H61">
            <v>31</v>
          </cell>
          <cell r="I61">
            <v>1529</v>
          </cell>
          <cell r="J61">
            <v>2361</v>
          </cell>
          <cell r="K61">
            <v>0</v>
          </cell>
          <cell r="L61">
            <v>204</v>
          </cell>
          <cell r="M61">
            <v>58</v>
          </cell>
          <cell r="N61">
            <v>0</v>
          </cell>
          <cell r="Z61">
            <v>3677</v>
          </cell>
          <cell r="AA61">
            <v>29</v>
          </cell>
          <cell r="AB61">
            <v>482</v>
          </cell>
          <cell r="AC61">
            <v>9</v>
          </cell>
        </row>
      </sheetData>
      <sheetData sheetId="26">
        <row r="8">
          <cell r="E8">
            <v>1.1215277777777777</v>
          </cell>
          <cell r="G8">
            <v>2.0833333333333335</v>
          </cell>
          <cell r="Z8">
            <v>15</v>
          </cell>
          <cell r="AB8">
            <v>32</v>
          </cell>
          <cell r="AD8">
            <v>615</v>
          </cell>
        </row>
        <row r="9">
          <cell r="E9">
            <v>1.0625</v>
          </cell>
          <cell r="G9">
            <v>2.0548611111111112</v>
          </cell>
          <cell r="I9">
            <v>25</v>
          </cell>
          <cell r="J9">
            <v>8</v>
          </cell>
          <cell r="Z9">
            <v>57</v>
          </cell>
          <cell r="AB9">
            <v>57</v>
          </cell>
          <cell r="AD9">
            <v>357</v>
          </cell>
        </row>
        <row r="10">
          <cell r="E10">
            <v>1.0069444444444444</v>
          </cell>
          <cell r="G10">
            <v>0.29166666666666669</v>
          </cell>
          <cell r="J10">
            <v>17</v>
          </cell>
          <cell r="AD10">
            <v>73</v>
          </cell>
        </row>
        <row r="11">
          <cell r="E11">
            <v>0.2673611111111111</v>
          </cell>
          <cell r="G11">
            <v>2.0069444444444446</v>
          </cell>
          <cell r="I11">
            <v>14</v>
          </cell>
          <cell r="Z11">
            <v>47</v>
          </cell>
          <cell r="AB11">
            <v>12</v>
          </cell>
          <cell r="AC11">
            <v>271</v>
          </cell>
          <cell r="AD11">
            <v>453</v>
          </cell>
        </row>
        <row r="12">
          <cell r="E12">
            <v>1.9375</v>
          </cell>
          <cell r="G12">
            <v>2.0527777777777776</v>
          </cell>
          <cell r="I12">
            <v>21</v>
          </cell>
          <cell r="AD12">
            <v>52</v>
          </cell>
        </row>
        <row r="13">
          <cell r="E13">
            <v>1.0069444444444444</v>
          </cell>
          <cell r="G13">
            <v>2.0027777777777778</v>
          </cell>
          <cell r="I13">
            <v>80</v>
          </cell>
          <cell r="Z13">
            <v>27</v>
          </cell>
          <cell r="AD13">
            <v>614</v>
          </cell>
        </row>
        <row r="14">
          <cell r="E14">
            <v>1.0555555555555556</v>
          </cell>
          <cell r="G14">
            <v>1.7222222222222223</v>
          </cell>
          <cell r="H14">
            <v>5</v>
          </cell>
          <cell r="AB14">
            <v>47</v>
          </cell>
          <cell r="AD14">
            <v>311</v>
          </cell>
        </row>
        <row r="15">
          <cell r="E15">
            <v>1.7604166666666667</v>
          </cell>
          <cell r="G15">
            <v>1.8576388888888888</v>
          </cell>
          <cell r="I15">
            <v>135</v>
          </cell>
          <cell r="AD15">
            <v>147</v>
          </cell>
        </row>
        <row r="16">
          <cell r="E16">
            <v>0.40277777777777779</v>
          </cell>
          <cell r="G16">
            <v>1.0798611111111112</v>
          </cell>
          <cell r="Z16">
            <v>216</v>
          </cell>
          <cell r="AB16">
            <v>26</v>
          </cell>
          <cell r="AD16">
            <v>471</v>
          </cell>
        </row>
        <row r="17">
          <cell r="E17">
            <v>1.0118055555555556</v>
          </cell>
          <cell r="G17">
            <v>1.2222222222222223</v>
          </cell>
          <cell r="I17">
            <v>7</v>
          </cell>
          <cell r="Z17">
            <v>10</v>
          </cell>
          <cell r="AB17">
            <v>2</v>
          </cell>
          <cell r="AD17">
            <v>53</v>
          </cell>
        </row>
        <row r="18">
          <cell r="E18">
            <v>1.1736111111111112</v>
          </cell>
          <cell r="G18">
            <v>1.6777777777777778</v>
          </cell>
          <cell r="I18">
            <v>80</v>
          </cell>
          <cell r="AB18">
            <v>12</v>
          </cell>
          <cell r="AD18">
            <v>195</v>
          </cell>
        </row>
        <row r="19">
          <cell r="E19">
            <v>1.6583333333333334</v>
          </cell>
          <cell r="G19">
            <v>2.0694444444444446</v>
          </cell>
          <cell r="I19">
            <v>48</v>
          </cell>
          <cell r="Z19">
            <v>43</v>
          </cell>
          <cell r="AB19">
            <v>10</v>
          </cell>
          <cell r="AD19">
            <v>186</v>
          </cell>
        </row>
        <row r="20">
          <cell r="E20">
            <v>1.0118055555555556</v>
          </cell>
          <cell r="G20">
            <v>1.8104166666666666</v>
          </cell>
          <cell r="H20">
            <v>3</v>
          </cell>
          <cell r="I20">
            <v>17</v>
          </cell>
          <cell r="Z20">
            <v>80</v>
          </cell>
          <cell r="AD20">
            <v>310</v>
          </cell>
        </row>
        <row r="21">
          <cell r="E21">
            <v>1.75</v>
          </cell>
          <cell r="G21">
            <v>1.875</v>
          </cell>
          <cell r="I21">
            <v>20</v>
          </cell>
          <cell r="AD21">
            <v>25</v>
          </cell>
        </row>
        <row r="22">
          <cell r="E22">
            <v>1.1041666666666667</v>
          </cell>
          <cell r="H22">
            <v>90</v>
          </cell>
          <cell r="I22">
            <v>75</v>
          </cell>
          <cell r="J22">
            <v>9</v>
          </cell>
          <cell r="AB22">
            <v>36</v>
          </cell>
          <cell r="AD22">
            <v>487</v>
          </cell>
        </row>
        <row r="23">
          <cell r="E23">
            <v>1.9444444444444444</v>
          </cell>
          <cell r="G23">
            <v>2.0291666666666668</v>
          </cell>
          <cell r="I23">
            <v>14</v>
          </cell>
          <cell r="AD23">
            <v>96</v>
          </cell>
        </row>
        <row r="24">
          <cell r="E24">
            <v>1.0520833333333333</v>
          </cell>
          <cell r="G24">
            <v>0.24861111111111112</v>
          </cell>
          <cell r="I24">
            <v>24</v>
          </cell>
          <cell r="AD24">
            <v>171</v>
          </cell>
        </row>
        <row r="25">
          <cell r="E25">
            <v>1.1965277777777779</v>
          </cell>
          <cell r="G25">
            <v>2.0548611111111112</v>
          </cell>
          <cell r="H25">
            <v>13</v>
          </cell>
          <cell r="I25">
            <v>16</v>
          </cell>
          <cell r="J25">
            <v>3</v>
          </cell>
          <cell r="Z25">
            <v>8</v>
          </cell>
          <cell r="AB25">
            <v>3</v>
          </cell>
          <cell r="AD25">
            <v>170</v>
          </cell>
        </row>
        <row r="26">
          <cell r="E26">
            <v>1.0527777777777778</v>
          </cell>
          <cell r="H26">
            <v>2</v>
          </cell>
          <cell r="I26">
            <v>4</v>
          </cell>
          <cell r="Z26">
            <v>35</v>
          </cell>
          <cell r="AB26">
            <v>51</v>
          </cell>
          <cell r="AD26">
            <v>178</v>
          </cell>
        </row>
        <row r="27">
          <cell r="E27">
            <v>1.8020833333333333</v>
          </cell>
          <cell r="G27">
            <v>2.0527777777777776</v>
          </cell>
          <cell r="I27">
            <v>52</v>
          </cell>
          <cell r="Z27">
            <v>77</v>
          </cell>
          <cell r="AD27">
            <v>288</v>
          </cell>
        </row>
        <row r="28">
          <cell r="E28">
            <v>1.0034722222222223</v>
          </cell>
          <cell r="G28">
            <v>1.2243055555555555</v>
          </cell>
          <cell r="H28">
            <v>2</v>
          </cell>
          <cell r="I28">
            <v>5</v>
          </cell>
          <cell r="AD28">
            <v>48</v>
          </cell>
        </row>
        <row r="29">
          <cell r="E29">
            <v>1.2645833333333334</v>
          </cell>
          <cell r="G29">
            <v>1.929861111111111</v>
          </cell>
          <cell r="I29">
            <v>164</v>
          </cell>
          <cell r="Z29">
            <v>8</v>
          </cell>
          <cell r="AB29">
            <v>31</v>
          </cell>
          <cell r="AD29">
            <v>295</v>
          </cell>
        </row>
        <row r="30">
          <cell r="AD30">
            <v>0</v>
          </cell>
        </row>
        <row r="31">
          <cell r="E31">
            <v>1.1423611111111112</v>
          </cell>
          <cell r="G31">
            <v>0.88749999999999996</v>
          </cell>
          <cell r="H31">
            <v>2</v>
          </cell>
          <cell r="J31">
            <v>17</v>
          </cell>
          <cell r="Z31">
            <v>109</v>
          </cell>
          <cell r="AD31">
            <v>482</v>
          </cell>
        </row>
        <row r="32">
          <cell r="E32">
            <v>1.9236111111111112</v>
          </cell>
          <cell r="G32">
            <v>2.067361111111111</v>
          </cell>
          <cell r="I32">
            <v>122</v>
          </cell>
          <cell r="AD32">
            <v>191</v>
          </cell>
        </row>
        <row r="33">
          <cell r="E33">
            <v>1.0173611111111112</v>
          </cell>
          <cell r="G33">
            <v>1.8569444444444445</v>
          </cell>
          <cell r="J33">
            <v>4</v>
          </cell>
          <cell r="Z33">
            <v>22</v>
          </cell>
          <cell r="AB33">
            <v>36</v>
          </cell>
          <cell r="AD33">
            <v>336</v>
          </cell>
        </row>
        <row r="34">
          <cell r="E34">
            <v>1.9583333333333333</v>
          </cell>
          <cell r="G34">
            <v>2.0645833333333332</v>
          </cell>
          <cell r="I34">
            <v>21</v>
          </cell>
          <cell r="J34">
            <v>206</v>
          </cell>
          <cell r="AD34">
            <v>243</v>
          </cell>
        </row>
        <row r="35">
          <cell r="E35">
            <v>1.0069444444444444</v>
          </cell>
          <cell r="G35">
            <v>1.8625</v>
          </cell>
          <cell r="J35">
            <v>91</v>
          </cell>
          <cell r="Z35">
            <v>20</v>
          </cell>
          <cell r="AB35">
            <v>78</v>
          </cell>
          <cell r="AD35">
            <v>452</v>
          </cell>
        </row>
        <row r="36">
          <cell r="E36">
            <v>1.8680555555555556</v>
          </cell>
          <cell r="G36">
            <v>2.057638888888889</v>
          </cell>
          <cell r="I36">
            <v>62</v>
          </cell>
          <cell r="Z36">
            <v>40</v>
          </cell>
          <cell r="AB36">
            <v>2</v>
          </cell>
          <cell r="AD36">
            <v>112</v>
          </cell>
        </row>
        <row r="37">
          <cell r="E37">
            <v>1.0069444444444444</v>
          </cell>
          <cell r="G37">
            <v>0.61458333333333337</v>
          </cell>
          <cell r="I37">
            <v>12</v>
          </cell>
          <cell r="J37">
            <v>6</v>
          </cell>
          <cell r="K37">
            <v>2</v>
          </cell>
          <cell r="Z37">
            <v>13</v>
          </cell>
          <cell r="AB37">
            <v>63</v>
          </cell>
          <cell r="AD37">
            <v>220</v>
          </cell>
        </row>
        <row r="38">
          <cell r="E38">
            <v>1.6909722222222223</v>
          </cell>
          <cell r="I38">
            <v>95</v>
          </cell>
          <cell r="M38">
            <v>49</v>
          </cell>
          <cell r="Z38">
            <v>65</v>
          </cell>
          <cell r="AD38">
            <v>228</v>
          </cell>
        </row>
        <row r="39">
          <cell r="E39">
            <v>1.78125</v>
          </cell>
          <cell r="G39">
            <v>1.9895833333333333</v>
          </cell>
          <cell r="I39">
            <v>10</v>
          </cell>
          <cell r="J39">
            <v>20</v>
          </cell>
          <cell r="Z39">
            <v>27</v>
          </cell>
          <cell r="AD39">
            <v>68</v>
          </cell>
        </row>
        <row r="40">
          <cell r="E40">
            <v>1</v>
          </cell>
          <cell r="G40">
            <v>1.2638888888888888</v>
          </cell>
          <cell r="I40">
            <v>43</v>
          </cell>
          <cell r="K40">
            <v>39</v>
          </cell>
          <cell r="M40">
            <v>3</v>
          </cell>
          <cell r="Z40">
            <v>41</v>
          </cell>
          <cell r="AD40">
            <v>192</v>
          </cell>
        </row>
        <row r="41">
          <cell r="E41">
            <v>1.2395833333333333</v>
          </cell>
          <cell r="G41">
            <v>0.39791666666666664</v>
          </cell>
          <cell r="I41">
            <v>25</v>
          </cell>
          <cell r="AD41">
            <v>42</v>
          </cell>
        </row>
        <row r="42">
          <cell r="E42">
            <v>1.3666666666666667</v>
          </cell>
          <cell r="G42">
            <v>0.49583333333333335</v>
          </cell>
          <cell r="I42">
            <v>35</v>
          </cell>
          <cell r="AA42">
            <v>3</v>
          </cell>
          <cell r="AD42">
            <v>62</v>
          </cell>
        </row>
        <row r="43">
          <cell r="E43">
            <v>1.6777777777777778</v>
          </cell>
          <cell r="G43">
            <v>1.8479166666666667</v>
          </cell>
          <cell r="I43">
            <v>105</v>
          </cell>
          <cell r="AD43">
            <v>421</v>
          </cell>
        </row>
        <row r="44">
          <cell r="E44">
            <v>1.4340277777777777</v>
          </cell>
          <cell r="G44">
            <v>1.9861111111111112</v>
          </cell>
          <cell r="Z44">
            <v>81</v>
          </cell>
          <cell r="AB44">
            <v>29</v>
          </cell>
          <cell r="AD44">
            <v>721</v>
          </cell>
        </row>
        <row r="68">
          <cell r="H68">
            <v>123</v>
          </cell>
          <cell r="I68">
            <v>1331</v>
          </cell>
          <cell r="J68">
            <v>381</v>
          </cell>
          <cell r="K68">
            <v>114</v>
          </cell>
          <cell r="L68">
            <v>73</v>
          </cell>
          <cell r="M68">
            <v>52</v>
          </cell>
          <cell r="N68">
            <v>0</v>
          </cell>
          <cell r="Z68">
            <v>1067</v>
          </cell>
          <cell r="AA68">
            <v>3</v>
          </cell>
          <cell r="AB68">
            <v>527</v>
          </cell>
          <cell r="AC68">
            <v>271</v>
          </cell>
        </row>
      </sheetData>
      <sheetData sheetId="27">
        <row r="8">
          <cell r="AD8">
            <v>0</v>
          </cell>
        </row>
        <row r="71">
          <cell r="H71">
            <v>0</v>
          </cell>
          <cell r="I71">
            <v>0</v>
          </cell>
          <cell r="J71">
            <v>0</v>
          </cell>
          <cell r="K71">
            <v>0</v>
          </cell>
          <cell r="L71">
            <v>0</v>
          </cell>
          <cell r="M71">
            <v>0</v>
          </cell>
          <cell r="N71">
            <v>0</v>
          </cell>
          <cell r="Z71">
            <v>0</v>
          </cell>
          <cell r="AA71">
            <v>0</v>
          </cell>
          <cell r="AB71">
            <v>0</v>
          </cell>
          <cell r="AC71">
            <v>0</v>
          </cell>
        </row>
      </sheetData>
      <sheetData sheetId="28">
        <row r="8">
          <cell r="AD8">
            <v>0</v>
          </cell>
        </row>
      </sheetData>
      <sheetData sheetId="29">
        <row r="8">
          <cell r="AD8">
            <v>0</v>
          </cell>
        </row>
        <row r="58">
          <cell r="H58">
            <v>0</v>
          </cell>
          <cell r="I58">
            <v>0</v>
          </cell>
          <cell r="J58">
            <v>0</v>
          </cell>
          <cell r="K58">
            <v>0</v>
          </cell>
          <cell r="L58">
            <v>0</v>
          </cell>
          <cell r="M58">
            <v>0</v>
          </cell>
          <cell r="N58">
            <v>0</v>
          </cell>
          <cell r="Z58">
            <v>0</v>
          </cell>
          <cell r="AA58">
            <v>0</v>
          </cell>
          <cell r="AB58">
            <v>0</v>
          </cell>
          <cell r="AC58">
            <v>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uary_2017"/>
      <sheetName val="February_2017"/>
      <sheetName val="March_2017"/>
      <sheetName val="April_2017"/>
      <sheetName val="May_2017"/>
      <sheetName val="June_2017"/>
      <sheetName val="July_2017"/>
      <sheetName val="August_2017"/>
      <sheetName val="September_2017"/>
      <sheetName val="October_2017"/>
      <sheetName val="November_2017"/>
      <sheetName val="December_2017"/>
    </sheetNames>
    <sheetDataSet>
      <sheetData sheetId="0">
        <row r="8">
          <cell r="E8">
            <v>525</v>
          </cell>
          <cell r="F8">
            <v>1008</v>
          </cell>
          <cell r="J8">
            <v>78.7</v>
          </cell>
          <cell r="K8">
            <v>74.995199999999997</v>
          </cell>
          <cell r="M8">
            <v>12</v>
          </cell>
          <cell r="N8">
            <v>7.75</v>
          </cell>
          <cell r="P8">
            <v>4.7074968233799304</v>
          </cell>
          <cell r="Q8">
            <v>258.51428571428573</v>
          </cell>
        </row>
        <row r="9">
          <cell r="F9">
            <v>966</v>
          </cell>
          <cell r="J9">
            <v>65.2</v>
          </cell>
          <cell r="K9">
            <v>63.756</v>
          </cell>
          <cell r="M9">
            <v>155</v>
          </cell>
          <cell r="N9">
            <v>12</v>
          </cell>
          <cell r="P9">
            <v>2.2147239263803722</v>
          </cell>
        </row>
        <row r="10">
          <cell r="F10">
            <v>288</v>
          </cell>
          <cell r="J10">
            <v>34.099999999999994</v>
          </cell>
          <cell r="K10">
            <v>32.688000000000002</v>
          </cell>
          <cell r="M10">
            <v>40</v>
          </cell>
          <cell r="N10">
            <v>3</v>
          </cell>
          <cell r="P10">
            <v>4.1407624633430853</v>
          </cell>
        </row>
        <row r="11">
          <cell r="E11">
            <v>598</v>
          </cell>
          <cell r="F11">
            <v>2249</v>
          </cell>
          <cell r="J11">
            <v>308.3</v>
          </cell>
          <cell r="K11">
            <v>307.53399999999999</v>
          </cell>
          <cell r="M11">
            <v>105</v>
          </cell>
          <cell r="N11">
            <v>11</v>
          </cell>
          <cell r="P11">
            <v>0.24845929289653568</v>
          </cell>
          <cell r="Q11">
            <v>459.4314381270903</v>
          </cell>
        </row>
        <row r="12">
          <cell r="F12">
            <v>2330</v>
          </cell>
        </row>
        <row r="13">
          <cell r="E13">
            <v>583</v>
          </cell>
          <cell r="F13">
            <v>905</v>
          </cell>
          <cell r="J13">
            <v>61.3</v>
          </cell>
          <cell r="K13">
            <v>59.730000000000004</v>
          </cell>
          <cell r="M13">
            <v>14</v>
          </cell>
          <cell r="N13">
            <v>10.75</v>
          </cell>
          <cell r="P13">
            <v>2.5611745513866122</v>
          </cell>
          <cell r="Q13">
            <v>534.5454545454545</v>
          </cell>
        </row>
        <row r="14">
          <cell r="F14">
            <v>4289</v>
          </cell>
          <cell r="J14">
            <v>284.3</v>
          </cell>
          <cell r="K14">
            <v>283.07400000000001</v>
          </cell>
          <cell r="M14">
            <v>38</v>
          </cell>
          <cell r="N14">
            <v>2.25</v>
          </cell>
          <cell r="P14">
            <v>0.43123461132606367</v>
          </cell>
        </row>
        <row r="15">
          <cell r="E15">
            <v>503</v>
          </cell>
          <cell r="F15">
            <v>3632</v>
          </cell>
          <cell r="J15">
            <v>245.91599999999997</v>
          </cell>
          <cell r="K15">
            <v>239.71200000000002</v>
          </cell>
          <cell r="M15">
            <v>96</v>
          </cell>
          <cell r="N15">
            <v>7</v>
          </cell>
          <cell r="P15">
            <v>2.5228126677401841</v>
          </cell>
          <cell r="Q15">
            <v>433.24055666003977</v>
          </cell>
        </row>
        <row r="16">
          <cell r="E16">
            <v>443</v>
          </cell>
          <cell r="F16">
            <v>2920</v>
          </cell>
          <cell r="J16">
            <v>193.6</v>
          </cell>
          <cell r="K16">
            <v>192.72</v>
          </cell>
          <cell r="M16">
            <v>91</v>
          </cell>
          <cell r="N16">
            <v>8.25</v>
          </cell>
          <cell r="P16">
            <v>0.4545454545454522</v>
          </cell>
          <cell r="Q16">
            <v>395.48532731376974</v>
          </cell>
        </row>
        <row r="17">
          <cell r="E17">
            <v>550</v>
          </cell>
          <cell r="F17">
            <v>3240</v>
          </cell>
          <cell r="J17">
            <v>229</v>
          </cell>
          <cell r="K17">
            <v>228.47</v>
          </cell>
          <cell r="M17">
            <v>168</v>
          </cell>
          <cell r="N17">
            <v>9.75</v>
          </cell>
          <cell r="P17">
            <v>0.23144104803493498</v>
          </cell>
          <cell r="Q17">
            <v>353.4545454545455</v>
          </cell>
        </row>
        <row r="18">
          <cell r="E18">
            <v>614</v>
          </cell>
          <cell r="F18">
            <v>276</v>
          </cell>
          <cell r="J18">
            <v>311.93</v>
          </cell>
          <cell r="K18">
            <v>311.05799999999999</v>
          </cell>
          <cell r="M18">
            <v>57</v>
          </cell>
          <cell r="N18">
            <v>24.25</v>
          </cell>
          <cell r="P18">
            <v>0.27954989901580934</v>
          </cell>
          <cell r="Q18">
            <v>460.5537459283388</v>
          </cell>
        </row>
        <row r="19">
          <cell r="F19">
            <v>4437</v>
          </cell>
        </row>
        <row r="20">
          <cell r="E20">
            <v>619</v>
          </cell>
          <cell r="F20">
            <v>4854</v>
          </cell>
          <cell r="J20">
            <v>321.79999999999995</v>
          </cell>
          <cell r="K20">
            <v>320.36400000000003</v>
          </cell>
          <cell r="M20">
            <v>128</v>
          </cell>
          <cell r="N20">
            <v>23.5</v>
          </cell>
          <cell r="P20">
            <v>0.44623990055932938</v>
          </cell>
          <cell r="Q20">
            <v>470.50080775444263</v>
          </cell>
        </row>
        <row r="21">
          <cell r="E21">
            <v>413</v>
          </cell>
          <cell r="F21">
            <v>2341</v>
          </cell>
          <cell r="J21">
            <v>155.19999999999999</v>
          </cell>
          <cell r="K21">
            <v>154.506</v>
          </cell>
          <cell r="M21">
            <v>225</v>
          </cell>
          <cell r="N21">
            <v>31</v>
          </cell>
          <cell r="P21">
            <v>0.44716494845360077</v>
          </cell>
          <cell r="Q21">
            <v>340.09685230024212</v>
          </cell>
        </row>
        <row r="22">
          <cell r="E22">
            <v>514</v>
          </cell>
          <cell r="F22">
            <v>4467</v>
          </cell>
          <cell r="J22">
            <v>296.70000000000005</v>
          </cell>
          <cell r="K22">
            <v>294.822</v>
          </cell>
          <cell r="M22">
            <v>79</v>
          </cell>
          <cell r="N22">
            <v>15</v>
          </cell>
          <cell r="P22">
            <v>0.63296258847321951</v>
          </cell>
          <cell r="Q22">
            <v>521.43968871595337</v>
          </cell>
        </row>
        <row r="23">
          <cell r="E23">
            <v>503</v>
          </cell>
          <cell r="F23">
            <v>4480</v>
          </cell>
          <cell r="J23">
            <v>301.10000000000002</v>
          </cell>
          <cell r="K23">
            <v>299.48</v>
          </cell>
          <cell r="M23">
            <v>113</v>
          </cell>
          <cell r="N23">
            <v>32.75</v>
          </cell>
          <cell r="P23">
            <v>0.53802723347725157</v>
          </cell>
          <cell r="Q23">
            <v>534.39363817097421</v>
          </cell>
        </row>
        <row r="24">
          <cell r="E24">
            <v>597</v>
          </cell>
          <cell r="F24">
            <v>5258</v>
          </cell>
          <cell r="J24">
            <v>349.6</v>
          </cell>
          <cell r="K24">
            <v>347.02800000000002</v>
          </cell>
          <cell r="M24">
            <v>105</v>
          </cell>
          <cell r="N24">
            <v>24.75</v>
          </cell>
          <cell r="P24">
            <v>0.73569794050343318</v>
          </cell>
          <cell r="Q24">
            <v>528.4422110552764</v>
          </cell>
        </row>
        <row r="25">
          <cell r="E25">
            <v>600</v>
          </cell>
          <cell r="F25">
            <v>1034</v>
          </cell>
          <cell r="J25">
            <v>69.7</v>
          </cell>
          <cell r="K25">
            <v>68.244</v>
          </cell>
          <cell r="M25">
            <v>18</v>
          </cell>
          <cell r="N25">
            <v>14</v>
          </cell>
          <cell r="P25">
            <v>2.088952654232429</v>
          </cell>
          <cell r="Q25">
            <v>488.4</v>
          </cell>
        </row>
        <row r="26">
          <cell r="F26">
            <v>3850</v>
          </cell>
          <cell r="J26">
            <v>258.3</v>
          </cell>
          <cell r="K26">
            <v>254.10000000000002</v>
          </cell>
          <cell r="M26">
            <v>83</v>
          </cell>
          <cell r="N26">
            <v>11</v>
          </cell>
          <cell r="P26">
            <v>1.6260162601625974</v>
          </cell>
        </row>
        <row r="27">
          <cell r="E27">
            <v>528</v>
          </cell>
          <cell r="F27">
            <v>1312</v>
          </cell>
          <cell r="J27">
            <v>87.7</v>
          </cell>
          <cell r="K27">
            <v>86.591999999999999</v>
          </cell>
          <cell r="M27">
            <v>12</v>
          </cell>
          <cell r="N27">
            <v>11.25</v>
          </cell>
          <cell r="P27">
            <v>1.2633979475484653</v>
          </cell>
          <cell r="Q27">
            <v>525.56818181818176</v>
          </cell>
        </row>
        <row r="28">
          <cell r="F28">
            <v>3313</v>
          </cell>
          <cell r="J28">
            <v>221.1</v>
          </cell>
          <cell r="K28">
            <v>218.65800000000002</v>
          </cell>
          <cell r="M28">
            <v>102</v>
          </cell>
          <cell r="N28">
            <v>13.75</v>
          </cell>
          <cell r="P28">
            <v>1.104477611940289</v>
          </cell>
        </row>
        <row r="29">
          <cell r="E29">
            <v>612</v>
          </cell>
          <cell r="F29">
            <v>5083</v>
          </cell>
          <cell r="J29">
            <v>362.69999999999993</v>
          </cell>
          <cell r="K29">
            <v>359.22800000000001</v>
          </cell>
          <cell r="M29">
            <v>118</v>
          </cell>
          <cell r="N29">
            <v>16.25</v>
          </cell>
          <cell r="P29">
            <v>0.95726495726493632</v>
          </cell>
          <cell r="Q29">
            <v>498.33333333333337</v>
          </cell>
        </row>
        <row r="30">
          <cell r="E30">
            <v>460</v>
          </cell>
          <cell r="F30">
            <v>1069</v>
          </cell>
          <cell r="J30">
            <v>90.4</v>
          </cell>
          <cell r="K30">
            <v>89.364000000000004</v>
          </cell>
          <cell r="M30">
            <v>30</v>
          </cell>
          <cell r="N30">
            <v>9</v>
          </cell>
          <cell r="P30">
            <v>1.1460176991150457</v>
          </cell>
          <cell r="Q30">
            <v>461.3478260869565</v>
          </cell>
        </row>
        <row r="31">
          <cell r="F31">
            <v>285</v>
          </cell>
        </row>
        <row r="32">
          <cell r="F32">
            <v>1468</v>
          </cell>
          <cell r="J32">
            <v>98.5</v>
          </cell>
          <cell r="K32">
            <v>96.888000000000005</v>
          </cell>
          <cell r="M32">
            <v>27</v>
          </cell>
          <cell r="N32">
            <v>3.25</v>
          </cell>
          <cell r="P32">
            <v>1.6365482233502486</v>
          </cell>
        </row>
        <row r="33">
          <cell r="F33">
            <v>715</v>
          </cell>
          <cell r="J33">
            <v>50.2</v>
          </cell>
          <cell r="K33">
            <v>47.190000000000005</v>
          </cell>
          <cell r="M33">
            <v>57</v>
          </cell>
          <cell r="N33">
            <v>5</v>
          </cell>
          <cell r="P33">
            <v>5.9960159362549756</v>
          </cell>
        </row>
        <row r="34">
          <cell r="E34">
            <v>662</v>
          </cell>
          <cell r="F34">
            <v>4202</v>
          </cell>
          <cell r="J34">
            <v>314</v>
          </cell>
          <cell r="K34">
            <v>312.62879999999996</v>
          </cell>
          <cell r="M34">
            <v>127</v>
          </cell>
          <cell r="N34">
            <v>15.5</v>
          </cell>
          <cell r="P34">
            <v>0.43668789808918612</v>
          </cell>
          <cell r="Q34">
            <v>380.84592145015108</v>
          </cell>
        </row>
        <row r="35">
          <cell r="E35">
            <v>461</v>
          </cell>
          <cell r="F35">
            <v>355</v>
          </cell>
          <cell r="J35">
            <v>28.045000000000002</v>
          </cell>
          <cell r="K35">
            <v>28.045000000000002</v>
          </cell>
          <cell r="M35">
            <v>10</v>
          </cell>
          <cell r="N35">
            <v>11</v>
          </cell>
          <cell r="P35">
            <v>0</v>
          </cell>
          <cell r="Q35">
            <v>446.55097613882862</v>
          </cell>
        </row>
        <row r="36">
          <cell r="F36">
            <v>1142</v>
          </cell>
          <cell r="J36">
            <v>90.4</v>
          </cell>
          <cell r="K36">
            <v>90.218000000000004</v>
          </cell>
          <cell r="M36">
            <v>28</v>
          </cell>
          <cell r="N36">
            <v>2.25</v>
          </cell>
          <cell r="P36">
            <v>0.20132743362832095</v>
          </cell>
        </row>
        <row r="37">
          <cell r="F37">
            <v>1120</v>
          </cell>
          <cell r="J37">
            <v>90.4</v>
          </cell>
          <cell r="K37">
            <v>88.48</v>
          </cell>
          <cell r="M37">
            <v>52</v>
          </cell>
          <cell r="N37">
            <v>3.75</v>
          </cell>
          <cell r="P37">
            <v>2.123893805309736</v>
          </cell>
        </row>
        <row r="38">
          <cell r="F38">
            <v>814</v>
          </cell>
          <cell r="J38">
            <v>65.622448979591837</v>
          </cell>
          <cell r="K38">
            <v>64.305999999999997</v>
          </cell>
          <cell r="M38">
            <v>36</v>
          </cell>
          <cell r="N38">
            <v>0</v>
          </cell>
          <cell r="P38">
            <v>2.0060954750427662</v>
          </cell>
        </row>
        <row r="39">
          <cell r="E39">
            <v>486</v>
          </cell>
          <cell r="F39">
            <v>4308</v>
          </cell>
          <cell r="J39">
            <v>289.2</v>
          </cell>
          <cell r="K39">
            <v>288.12800000000004</v>
          </cell>
          <cell r="M39">
            <v>79</v>
          </cell>
          <cell r="N39">
            <v>22.75</v>
          </cell>
          <cell r="P39">
            <v>0.3706777316735636</v>
          </cell>
          <cell r="Q39">
            <v>531.85185185185185</v>
          </cell>
        </row>
        <row r="40">
          <cell r="E40">
            <v>455</v>
          </cell>
          <cell r="F40">
            <v>4456</v>
          </cell>
          <cell r="J40">
            <v>319.40000000000003</v>
          </cell>
          <cell r="K40">
            <v>317.846</v>
          </cell>
          <cell r="M40">
            <v>23</v>
          </cell>
          <cell r="N40">
            <v>8.75</v>
          </cell>
          <cell r="P40">
            <v>0.48653725735755488</v>
          </cell>
          <cell r="Q40">
            <v>587.60439560439568</v>
          </cell>
        </row>
        <row r="41">
          <cell r="E41">
            <v>597</v>
          </cell>
          <cell r="F41">
            <v>2007</v>
          </cell>
          <cell r="J41">
            <v>133.9</v>
          </cell>
          <cell r="K41">
            <v>132.46200000000002</v>
          </cell>
          <cell r="M41">
            <v>15</v>
          </cell>
          <cell r="N41">
            <v>16</v>
          </cell>
          <cell r="P41">
            <v>1.0739357729648904</v>
          </cell>
          <cell r="Q41">
            <v>546.83417085427141</v>
          </cell>
        </row>
        <row r="42">
          <cell r="F42">
            <v>3434</v>
          </cell>
          <cell r="J42">
            <v>227.39999999999995</v>
          </cell>
          <cell r="K42">
            <v>226.64400000000001</v>
          </cell>
          <cell r="M42">
            <v>45</v>
          </cell>
          <cell r="N42">
            <v>10</v>
          </cell>
          <cell r="P42">
            <v>0.332453825857495</v>
          </cell>
        </row>
      </sheetData>
      <sheetData sheetId="1">
        <row r="8">
          <cell r="E8">
            <v>825</v>
          </cell>
          <cell r="F8">
            <v>2121</v>
          </cell>
          <cell r="J8">
            <v>145</v>
          </cell>
          <cell r="K8">
            <v>143.78600000000003</v>
          </cell>
          <cell r="M8">
            <v>57</v>
          </cell>
          <cell r="N8">
            <v>12.5</v>
          </cell>
          <cell r="P8">
            <v>0.83724137931032427</v>
          </cell>
          <cell r="Q8">
            <v>488.87272727272727</v>
          </cell>
        </row>
        <row r="9">
          <cell r="F9">
            <v>4601</v>
          </cell>
          <cell r="H9">
            <v>210</v>
          </cell>
          <cell r="J9">
            <v>307.70000000000005</v>
          </cell>
          <cell r="K9">
            <v>303.666</v>
          </cell>
          <cell r="M9">
            <v>106</v>
          </cell>
          <cell r="N9">
            <v>14.5</v>
          </cell>
          <cell r="P9">
            <v>1.3110172245694014</v>
          </cell>
        </row>
        <row r="10">
          <cell r="D10" t="str">
            <v>CARIB (FLINT)</v>
          </cell>
          <cell r="E10">
            <v>628</v>
          </cell>
          <cell r="F10">
            <v>3069</v>
          </cell>
          <cell r="H10">
            <v>2</v>
          </cell>
          <cell r="J10">
            <v>229.59999999999997</v>
          </cell>
          <cell r="K10">
            <v>228.62400000000002</v>
          </cell>
          <cell r="M10">
            <v>147</v>
          </cell>
          <cell r="N10">
            <v>22</v>
          </cell>
          <cell r="P10">
            <v>0.4250871080139122</v>
          </cell>
          <cell r="Q10">
            <v>330.95541401273886</v>
          </cell>
        </row>
        <row r="11">
          <cell r="D11" t="str">
            <v>CARIB (AMBER)</v>
          </cell>
          <cell r="F11">
            <v>395</v>
          </cell>
        </row>
        <row r="12">
          <cell r="D12" t="str">
            <v>CARIB (AMBER)</v>
          </cell>
          <cell r="E12">
            <v>608</v>
          </cell>
          <cell r="F12">
            <v>4322</v>
          </cell>
          <cell r="J12">
            <v>286.20000000000005</v>
          </cell>
          <cell r="K12">
            <v>285.25200000000001</v>
          </cell>
          <cell r="M12">
            <v>23</v>
          </cell>
          <cell r="N12">
            <v>15.25</v>
          </cell>
          <cell r="P12">
            <v>0.33123689727464561</v>
          </cell>
          <cell r="Q12">
            <v>557.17105263157896</v>
          </cell>
        </row>
        <row r="13">
          <cell r="F13">
            <v>1324</v>
          </cell>
          <cell r="J13">
            <v>95.6</v>
          </cell>
          <cell r="K13">
            <v>93.084000000000003</v>
          </cell>
          <cell r="M13">
            <v>26</v>
          </cell>
          <cell r="N13">
            <v>6.25</v>
          </cell>
          <cell r="P13">
            <v>2.6317991631799069</v>
          </cell>
        </row>
        <row r="14">
          <cell r="E14">
            <v>471</v>
          </cell>
          <cell r="F14">
            <v>4287</v>
          </cell>
          <cell r="J14">
            <v>284</v>
          </cell>
          <cell r="K14">
            <v>282.94200000000001</v>
          </cell>
          <cell r="M14">
            <v>62</v>
          </cell>
          <cell r="N14">
            <v>21.5</v>
          </cell>
          <cell r="P14">
            <v>0.37253521126760308</v>
          </cell>
          <cell r="Q14">
            <v>546.1146496815287</v>
          </cell>
        </row>
        <row r="15">
          <cell r="E15">
            <v>596</v>
          </cell>
          <cell r="F15">
            <v>5115</v>
          </cell>
          <cell r="J15">
            <v>339.90000000000003</v>
          </cell>
          <cell r="K15">
            <v>337.59000000000003</v>
          </cell>
          <cell r="M15">
            <v>49</v>
          </cell>
          <cell r="N15">
            <v>11.25</v>
          </cell>
          <cell r="P15">
            <v>0.67961165048543748</v>
          </cell>
          <cell r="Q15">
            <v>514.93288590604027</v>
          </cell>
        </row>
        <row r="16">
          <cell r="E16">
            <v>595</v>
          </cell>
          <cell r="F16">
            <v>4707</v>
          </cell>
          <cell r="J16">
            <v>320.59999999999997</v>
          </cell>
          <cell r="K16">
            <v>320.16200000000003</v>
          </cell>
          <cell r="M16">
            <v>71</v>
          </cell>
          <cell r="N16">
            <v>38.75</v>
          </cell>
          <cell r="P16">
            <v>0.13661883967558683</v>
          </cell>
          <cell r="Q16">
            <v>531.1260504201681</v>
          </cell>
        </row>
        <row r="17">
          <cell r="F17">
            <v>560</v>
          </cell>
          <cell r="J17">
            <v>37.900000000000006</v>
          </cell>
          <cell r="K17">
            <v>36.96</v>
          </cell>
          <cell r="M17">
            <v>18</v>
          </cell>
          <cell r="N17">
            <v>1.5</v>
          </cell>
          <cell r="P17">
            <v>2.4802110817942076</v>
          </cell>
        </row>
        <row r="18">
          <cell r="E18">
            <v>539</v>
          </cell>
          <cell r="F18">
            <v>5240</v>
          </cell>
          <cell r="J18">
            <v>347</v>
          </cell>
          <cell r="K18">
            <v>345.84000000000003</v>
          </cell>
          <cell r="M18">
            <v>49</v>
          </cell>
          <cell r="N18">
            <v>33.75</v>
          </cell>
          <cell r="P18">
            <v>0.33429394812679197</v>
          </cell>
          <cell r="Q18">
            <v>583.30241187384047</v>
          </cell>
        </row>
        <row r="19">
          <cell r="E19">
            <v>541</v>
          </cell>
          <cell r="F19">
            <v>4372</v>
          </cell>
          <cell r="J19">
            <v>289.5</v>
          </cell>
          <cell r="K19">
            <v>288.55200000000002</v>
          </cell>
          <cell r="M19">
            <v>121</v>
          </cell>
          <cell r="N19">
            <v>16.75</v>
          </cell>
          <cell r="P19">
            <v>0.32746113989636583</v>
          </cell>
          <cell r="Q19">
            <v>484.87985212569311</v>
          </cell>
        </row>
        <row r="20">
          <cell r="D20" t="str">
            <v>GINGER</v>
          </cell>
          <cell r="E20">
            <v>492</v>
          </cell>
          <cell r="F20">
            <v>1126</v>
          </cell>
          <cell r="J20">
            <v>90.4</v>
          </cell>
          <cell r="K20">
            <v>88.954000000000008</v>
          </cell>
          <cell r="M20">
            <v>49</v>
          </cell>
          <cell r="N20">
            <v>1.75</v>
          </cell>
          <cell r="P20">
            <v>1.5995575221238914</v>
          </cell>
          <cell r="Q20">
            <v>401.09756097560978</v>
          </cell>
        </row>
        <row r="21">
          <cell r="D21" t="str">
            <v>BANANA</v>
          </cell>
          <cell r="F21">
            <v>1070</v>
          </cell>
          <cell r="J21">
            <v>90.4</v>
          </cell>
          <cell r="K21">
            <v>84.53</v>
          </cell>
          <cell r="M21">
            <v>43</v>
          </cell>
          <cell r="N21">
            <v>0.5</v>
          </cell>
          <cell r="P21">
            <v>6.4933628318584109</v>
          </cell>
        </row>
        <row r="22">
          <cell r="D22" t="str">
            <v>GRAPE</v>
          </cell>
          <cell r="F22">
            <v>1093</v>
          </cell>
          <cell r="J22">
            <v>90.4</v>
          </cell>
          <cell r="K22">
            <v>86.346999999999994</v>
          </cell>
          <cell r="M22">
            <v>90</v>
          </cell>
          <cell r="N22">
            <v>6.75</v>
          </cell>
          <cell r="P22">
            <v>4.4834070796460308</v>
          </cell>
        </row>
        <row r="23">
          <cell r="E23">
            <v>482</v>
          </cell>
          <cell r="F23">
            <v>3985</v>
          </cell>
          <cell r="J23">
            <v>284.5</v>
          </cell>
          <cell r="K23">
            <v>282.01</v>
          </cell>
          <cell r="M23">
            <v>114</v>
          </cell>
          <cell r="N23">
            <v>27.75</v>
          </cell>
          <cell r="P23">
            <v>0.87521968365553926</v>
          </cell>
          <cell r="Q23">
            <v>496.05809128630705</v>
          </cell>
        </row>
        <row r="24">
          <cell r="D24" t="str">
            <v>CARIB (FLINT)</v>
          </cell>
          <cell r="E24">
            <v>429</v>
          </cell>
          <cell r="F24">
            <v>992</v>
          </cell>
          <cell r="J24">
            <v>263.29999999999995</v>
          </cell>
          <cell r="K24">
            <v>262.03000000000003</v>
          </cell>
          <cell r="M24">
            <v>39</v>
          </cell>
          <cell r="N24">
            <v>17.5</v>
          </cell>
          <cell r="P24">
            <v>0.48233953665018048</v>
          </cell>
          <cell r="Q24">
            <v>539.16083916083915</v>
          </cell>
        </row>
        <row r="25">
          <cell r="D25" t="str">
            <v>CARIB (AMBER)</v>
          </cell>
          <cell r="F25">
            <v>2863</v>
          </cell>
        </row>
        <row r="26">
          <cell r="D26" t="str">
            <v>STAG</v>
          </cell>
          <cell r="E26">
            <v>467</v>
          </cell>
          <cell r="F26">
            <v>4169</v>
          </cell>
          <cell r="J26">
            <v>276.95000000000005</v>
          </cell>
          <cell r="K26">
            <v>275.154</v>
          </cell>
          <cell r="M26">
            <v>43</v>
          </cell>
          <cell r="N26">
            <v>12</v>
          </cell>
          <cell r="P26">
            <v>0.6484925076728828</v>
          </cell>
          <cell r="Q26">
            <v>535.63169164882231</v>
          </cell>
        </row>
        <row r="27">
          <cell r="D27" t="str">
            <v>GUINNESS</v>
          </cell>
          <cell r="E27">
            <v>681</v>
          </cell>
          <cell r="F27">
            <v>4197</v>
          </cell>
          <cell r="J27">
            <v>278.10000000000002</v>
          </cell>
          <cell r="K27">
            <v>277.00200000000001</v>
          </cell>
          <cell r="M27">
            <v>239</v>
          </cell>
          <cell r="N27">
            <v>26</v>
          </cell>
          <cell r="P27">
            <v>0.39482200647249666</v>
          </cell>
          <cell r="Q27">
            <v>369.77973568281942</v>
          </cell>
        </row>
        <row r="28">
          <cell r="D28" t="str">
            <v>CARIB (AMBER)</v>
          </cell>
          <cell r="E28">
            <v>556</v>
          </cell>
          <cell r="F28">
            <v>5036</v>
          </cell>
          <cell r="J28">
            <v>348.1</v>
          </cell>
          <cell r="K28">
            <v>345.67600000000004</v>
          </cell>
          <cell r="M28">
            <v>117</v>
          </cell>
          <cell r="N28">
            <v>31.25</v>
          </cell>
          <cell r="P28">
            <v>0.69635162309680498</v>
          </cell>
          <cell r="Q28">
            <v>543.45323741007189</v>
          </cell>
        </row>
        <row r="29">
          <cell r="E29">
            <v>633</v>
          </cell>
          <cell r="F29">
            <v>6237</v>
          </cell>
          <cell r="J29">
            <v>412.90000000000003</v>
          </cell>
          <cell r="K29">
            <v>411.642</v>
          </cell>
          <cell r="M29">
            <v>65</v>
          </cell>
          <cell r="N29">
            <v>38.25</v>
          </cell>
          <cell r="P29">
            <v>0.30467425526762854</v>
          </cell>
          <cell r="Q29">
            <v>591.18483412322269</v>
          </cell>
        </row>
      </sheetData>
      <sheetData sheetId="2">
        <row r="8">
          <cell r="E8">
            <v>255</v>
          </cell>
          <cell r="F8">
            <v>2582</v>
          </cell>
          <cell r="J8">
            <v>171</v>
          </cell>
          <cell r="K8">
            <v>170.41200000000001</v>
          </cell>
          <cell r="M8">
            <v>25</v>
          </cell>
          <cell r="N8">
            <v>10.25</v>
          </cell>
          <cell r="P8">
            <v>0.34385964912280342</v>
          </cell>
          <cell r="Q8">
            <v>607.52941176470586</v>
          </cell>
        </row>
        <row r="9">
          <cell r="E9">
            <v>617</v>
          </cell>
          <cell r="F9">
            <v>3985</v>
          </cell>
          <cell r="J9">
            <v>298.89999999999998</v>
          </cell>
          <cell r="K9">
            <v>296.48399999999998</v>
          </cell>
          <cell r="M9">
            <v>159</v>
          </cell>
          <cell r="N9">
            <v>22.75</v>
          </cell>
          <cell r="P9">
            <v>0.80829708932753319</v>
          </cell>
          <cell r="Q9">
            <v>387.52025931928688</v>
          </cell>
        </row>
        <row r="10">
          <cell r="E10">
            <v>587</v>
          </cell>
          <cell r="F10">
            <v>1802</v>
          </cell>
          <cell r="J10">
            <v>122.95799999999998</v>
          </cell>
          <cell r="K10">
            <v>118.932</v>
          </cell>
          <cell r="M10">
            <v>179</v>
          </cell>
          <cell r="N10">
            <v>5.5</v>
          </cell>
          <cell r="P10">
            <v>3.2742887815351445</v>
          </cell>
          <cell r="Q10">
            <v>345.89437819420783</v>
          </cell>
        </row>
        <row r="11">
          <cell r="F11">
            <v>1582</v>
          </cell>
          <cell r="J11">
            <v>104.5</v>
          </cell>
          <cell r="K11">
            <v>104.41200000000001</v>
          </cell>
          <cell r="M11">
            <v>47</v>
          </cell>
          <cell r="N11">
            <v>9.5</v>
          </cell>
          <cell r="P11">
            <v>8.4210526315783601E-2</v>
          </cell>
        </row>
        <row r="12">
          <cell r="E12">
            <v>593</v>
          </cell>
          <cell r="F12">
            <v>5068</v>
          </cell>
          <cell r="J12">
            <v>349.8</v>
          </cell>
          <cell r="K12">
            <v>347.78800000000001</v>
          </cell>
          <cell r="M12">
            <v>135</v>
          </cell>
          <cell r="N12">
            <v>20</v>
          </cell>
          <cell r="P12">
            <v>0.57518582046883937</v>
          </cell>
          <cell r="Q12">
            <v>512.78246205733558</v>
          </cell>
        </row>
        <row r="13">
          <cell r="E13">
            <v>618</v>
          </cell>
          <cell r="F13">
            <v>4283</v>
          </cell>
          <cell r="J13">
            <v>285</v>
          </cell>
          <cell r="K13">
            <v>282.678</v>
          </cell>
          <cell r="M13">
            <v>95</v>
          </cell>
          <cell r="N13">
            <v>18</v>
          </cell>
          <cell r="P13">
            <v>0.81473684210526409</v>
          </cell>
          <cell r="Q13">
            <v>520.87378640776694</v>
          </cell>
        </row>
        <row r="14">
          <cell r="F14">
            <v>1082</v>
          </cell>
          <cell r="J14">
            <v>72</v>
          </cell>
          <cell r="K14">
            <v>71.412000000000006</v>
          </cell>
          <cell r="M14">
            <v>22</v>
          </cell>
          <cell r="N14">
            <v>1</v>
          </cell>
          <cell r="P14">
            <v>0.8166666666666581</v>
          </cell>
        </row>
        <row r="15">
          <cell r="E15">
            <v>641</v>
          </cell>
          <cell r="F15">
            <v>4827</v>
          </cell>
          <cell r="J15">
            <v>320.89999999999998</v>
          </cell>
          <cell r="K15">
            <v>318.58199999999999</v>
          </cell>
          <cell r="M15">
            <v>172</v>
          </cell>
          <cell r="N15">
            <v>44</v>
          </cell>
          <cell r="P15">
            <v>0.72234340916172757</v>
          </cell>
          <cell r="Q15">
            <v>451.82527301092045</v>
          </cell>
        </row>
        <row r="16">
          <cell r="E16">
            <v>627</v>
          </cell>
          <cell r="F16">
            <v>5313</v>
          </cell>
          <cell r="J16">
            <v>351.8</v>
          </cell>
          <cell r="K16">
            <v>350.65800000000002</v>
          </cell>
          <cell r="M16">
            <v>115</v>
          </cell>
          <cell r="N16">
            <v>13</v>
          </cell>
          <cell r="P16">
            <v>0.32461625923820236</v>
          </cell>
          <cell r="Q16">
            <v>508.42105263157896</v>
          </cell>
        </row>
        <row r="17">
          <cell r="E17">
            <v>564</v>
          </cell>
          <cell r="F17">
            <v>1467</v>
          </cell>
          <cell r="J17">
            <v>103</v>
          </cell>
          <cell r="K17">
            <v>101.572</v>
          </cell>
          <cell r="M17">
            <v>42</v>
          </cell>
          <cell r="N17">
            <v>7.25</v>
          </cell>
          <cell r="P17">
            <v>1.3864077669902886</v>
          </cell>
          <cell r="Q17">
            <v>522.12765957446811</v>
          </cell>
        </row>
        <row r="18">
          <cell r="F18">
            <v>3441</v>
          </cell>
          <cell r="J18">
            <v>249.3</v>
          </cell>
          <cell r="K18">
            <v>248.38600000000002</v>
          </cell>
          <cell r="M18">
            <v>34</v>
          </cell>
          <cell r="N18">
            <v>11.5</v>
          </cell>
          <cell r="P18">
            <v>0.366626554352181</v>
          </cell>
        </row>
        <row r="19">
          <cell r="E19">
            <v>639</v>
          </cell>
          <cell r="F19">
            <v>1464</v>
          </cell>
          <cell r="J19">
            <v>208.6</v>
          </cell>
          <cell r="K19">
            <v>208.39600000000002</v>
          </cell>
          <cell r="M19">
            <v>36</v>
          </cell>
          <cell r="N19">
            <v>11</v>
          </cell>
          <cell r="P19">
            <v>9.7794822627027489E-2</v>
          </cell>
          <cell r="Q19">
            <v>491.54929577464787</v>
          </cell>
        </row>
        <row r="20">
          <cell r="F20">
            <v>1587</v>
          </cell>
        </row>
        <row r="21">
          <cell r="F21">
            <v>736</v>
          </cell>
          <cell r="J21">
            <v>50.2</v>
          </cell>
          <cell r="K21">
            <v>48.576000000000001</v>
          </cell>
          <cell r="M21">
            <v>22</v>
          </cell>
          <cell r="N21">
            <v>0</v>
          </cell>
          <cell r="P21">
            <v>3.23505976095618</v>
          </cell>
        </row>
        <row r="22">
          <cell r="F22">
            <v>1448</v>
          </cell>
          <cell r="J22">
            <v>99.7</v>
          </cell>
          <cell r="K22">
            <v>95.567999999999998</v>
          </cell>
          <cell r="M22">
            <v>31</v>
          </cell>
          <cell r="N22">
            <v>0</v>
          </cell>
          <cell r="P22">
            <v>4.1444332998997035</v>
          </cell>
        </row>
        <row r="23">
          <cell r="E23">
            <v>566</v>
          </cell>
          <cell r="F23">
            <v>4671</v>
          </cell>
          <cell r="J23">
            <v>310.7</v>
          </cell>
          <cell r="K23">
            <v>308.286</v>
          </cell>
          <cell r="M23">
            <v>94</v>
          </cell>
          <cell r="N23">
            <v>19</v>
          </cell>
          <cell r="P23">
            <v>0.77695526231090672</v>
          </cell>
          <cell r="Q23">
            <v>495.15901060070672</v>
          </cell>
        </row>
        <row r="24">
          <cell r="E24">
            <v>552</v>
          </cell>
          <cell r="F24">
            <v>5197</v>
          </cell>
          <cell r="J24">
            <v>344.7</v>
          </cell>
          <cell r="K24">
            <v>343.00200000000001</v>
          </cell>
          <cell r="M24">
            <v>60</v>
          </cell>
          <cell r="N24">
            <v>10</v>
          </cell>
          <cell r="P24">
            <v>0.49260226283724368</v>
          </cell>
          <cell r="Q24">
            <v>564.89130434782612</v>
          </cell>
        </row>
        <row r="25">
          <cell r="E25">
            <v>666</v>
          </cell>
          <cell r="F25">
            <v>5000</v>
          </cell>
          <cell r="J25">
            <v>344.70000000000005</v>
          </cell>
          <cell r="K25">
            <v>342.92</v>
          </cell>
          <cell r="M25">
            <v>210</v>
          </cell>
          <cell r="N25">
            <v>19</v>
          </cell>
          <cell r="P25">
            <v>0.51639106469394525</v>
          </cell>
          <cell r="Q25">
            <v>450.45045045045049</v>
          </cell>
        </row>
        <row r="26">
          <cell r="E26">
            <v>512</v>
          </cell>
          <cell r="F26">
            <v>1110</v>
          </cell>
          <cell r="J26">
            <v>90.4</v>
          </cell>
          <cell r="K26">
            <v>87.69</v>
          </cell>
          <cell r="M26">
            <v>19</v>
          </cell>
          <cell r="N26">
            <v>3.5</v>
          </cell>
          <cell r="P26">
            <v>2.9977876106194774</v>
          </cell>
          <cell r="Q26">
            <v>393.28125</v>
          </cell>
        </row>
        <row r="27">
          <cell r="F27">
            <v>1107</v>
          </cell>
          <cell r="J27">
            <v>90.4</v>
          </cell>
          <cell r="K27">
            <v>87.453000000000003</v>
          </cell>
          <cell r="M27">
            <v>64</v>
          </cell>
          <cell r="N27">
            <v>1</v>
          </cell>
          <cell r="P27">
            <v>3.2599557522123921</v>
          </cell>
        </row>
        <row r="28">
          <cell r="F28">
            <v>1139</v>
          </cell>
          <cell r="J28">
            <v>90.4</v>
          </cell>
          <cell r="K28">
            <v>89.980999999999995</v>
          </cell>
          <cell r="M28">
            <v>62</v>
          </cell>
          <cell r="N28">
            <v>0.5</v>
          </cell>
          <cell r="P28">
            <v>0.46349557522125123</v>
          </cell>
        </row>
        <row r="29">
          <cell r="E29">
            <v>469</v>
          </cell>
          <cell r="F29">
            <v>1052</v>
          </cell>
          <cell r="J29">
            <v>86.095238095238102</v>
          </cell>
          <cell r="K29">
            <v>83.108000000000004</v>
          </cell>
          <cell r="M29">
            <v>306</v>
          </cell>
          <cell r="N29">
            <v>8</v>
          </cell>
          <cell r="P29">
            <v>3.4696902654867285</v>
          </cell>
          <cell r="Q29">
            <v>282.85714285714289</v>
          </cell>
        </row>
        <row r="30">
          <cell r="F30">
            <v>1159</v>
          </cell>
          <cell r="J30">
            <v>94.920000000000016</v>
          </cell>
          <cell r="K30">
            <v>91.561000000000007</v>
          </cell>
          <cell r="M30">
            <v>123</v>
          </cell>
          <cell r="N30">
            <v>2</v>
          </cell>
          <cell r="P30">
            <v>3.5387694900969322</v>
          </cell>
        </row>
        <row r="31">
          <cell r="E31">
            <v>629</v>
          </cell>
          <cell r="F31">
            <v>2112</v>
          </cell>
          <cell r="J31">
            <v>279.09999999999997</v>
          </cell>
          <cell r="K31">
            <v>278.78399999999999</v>
          </cell>
          <cell r="M31">
            <v>140</v>
          </cell>
          <cell r="N31">
            <v>22.25</v>
          </cell>
          <cell r="P31">
            <v>0.11322106771765464</v>
          </cell>
          <cell r="Q31">
            <v>402.92527821939592</v>
          </cell>
        </row>
        <row r="32">
          <cell r="F32">
            <v>2112</v>
          </cell>
        </row>
        <row r="33">
          <cell r="E33">
            <v>628</v>
          </cell>
          <cell r="F33">
            <v>2002</v>
          </cell>
          <cell r="J33">
            <v>133.30000000000001</v>
          </cell>
          <cell r="K33">
            <v>132.13200000000001</v>
          </cell>
          <cell r="M33">
            <v>83</v>
          </cell>
          <cell r="N33">
            <v>14</v>
          </cell>
          <cell r="P33">
            <v>0.87621905476369566</v>
          </cell>
          <cell r="Q33">
            <v>359.52229299363057</v>
          </cell>
        </row>
        <row r="34">
          <cell r="F34">
            <v>1761</v>
          </cell>
          <cell r="J34">
            <v>116.6</v>
          </cell>
          <cell r="K34">
            <v>116.226</v>
          </cell>
          <cell r="M34">
            <v>158</v>
          </cell>
          <cell r="N34">
            <v>9</v>
          </cell>
          <cell r="P34">
            <v>0.32075471698112801</v>
          </cell>
        </row>
        <row r="35">
          <cell r="E35">
            <v>757</v>
          </cell>
          <cell r="F35">
            <v>2234</v>
          </cell>
          <cell r="J35">
            <v>148.30000000000001</v>
          </cell>
          <cell r="K35">
            <v>147.44400000000002</v>
          </cell>
          <cell r="M35">
            <v>18</v>
          </cell>
          <cell r="N35">
            <v>8</v>
          </cell>
          <cell r="P35">
            <v>0.57720836142953102</v>
          </cell>
          <cell r="Q35">
            <v>550.3038309114927</v>
          </cell>
        </row>
        <row r="36">
          <cell r="F36">
            <v>4709</v>
          </cell>
          <cell r="J36">
            <v>312.39999999999998</v>
          </cell>
          <cell r="K36">
            <v>310.79400000000004</v>
          </cell>
          <cell r="M36">
            <v>77</v>
          </cell>
          <cell r="N36">
            <v>18</v>
          </cell>
          <cell r="P36">
            <v>0.51408450704223363</v>
          </cell>
        </row>
        <row r="37">
          <cell r="E37">
            <v>521</v>
          </cell>
          <cell r="F37">
            <v>4878</v>
          </cell>
          <cell r="J37">
            <v>323.3</v>
          </cell>
          <cell r="K37">
            <v>321.94800000000004</v>
          </cell>
          <cell r="M37">
            <v>76</v>
          </cell>
          <cell r="N37">
            <v>18.25</v>
          </cell>
          <cell r="P37">
            <v>0.41818744200432273</v>
          </cell>
          <cell r="Q37">
            <v>561.76583493282146</v>
          </cell>
        </row>
        <row r="38">
          <cell r="E38">
            <v>555</v>
          </cell>
          <cell r="F38">
            <v>4155</v>
          </cell>
          <cell r="J38">
            <v>295.90000000000003</v>
          </cell>
          <cell r="K38">
            <v>293.23</v>
          </cell>
          <cell r="M38">
            <v>211</v>
          </cell>
          <cell r="N38">
            <v>22.25</v>
          </cell>
          <cell r="P38">
            <v>0.90233186887462502</v>
          </cell>
          <cell r="Q38">
            <v>449.18918918918916</v>
          </cell>
        </row>
        <row r="39">
          <cell r="E39">
            <v>501</v>
          </cell>
          <cell r="F39">
            <v>1398</v>
          </cell>
          <cell r="J39">
            <v>98.7</v>
          </cell>
          <cell r="K39">
            <v>96.067999999999998</v>
          </cell>
          <cell r="M39">
            <v>155</v>
          </cell>
          <cell r="N39">
            <v>11.5</v>
          </cell>
          <cell r="P39">
            <v>2.6666666666666718</v>
          </cell>
          <cell r="Q39">
            <v>504.19161676646706</v>
          </cell>
        </row>
        <row r="40">
          <cell r="F40">
            <v>2812</v>
          </cell>
          <cell r="J40">
            <v>186.7</v>
          </cell>
          <cell r="K40">
            <v>185.59200000000001</v>
          </cell>
          <cell r="M40">
            <v>88</v>
          </cell>
          <cell r="N40">
            <v>4</v>
          </cell>
          <cell r="P40">
            <v>0.59346545259773742</v>
          </cell>
        </row>
        <row r="41">
          <cell r="E41">
            <v>588</v>
          </cell>
          <cell r="F41">
            <v>4687</v>
          </cell>
          <cell r="J41">
            <v>311.60000000000002</v>
          </cell>
          <cell r="K41">
            <v>309.34200000000004</v>
          </cell>
          <cell r="M41">
            <v>163</v>
          </cell>
          <cell r="N41">
            <v>8.75</v>
          </cell>
          <cell r="P41">
            <v>0.72464698331193234</v>
          </cell>
          <cell r="Q41">
            <v>478.26530612244892</v>
          </cell>
        </row>
        <row r="42">
          <cell r="E42">
            <v>563</v>
          </cell>
          <cell r="F42">
            <v>4036</v>
          </cell>
          <cell r="J42">
            <v>302.60000000000002</v>
          </cell>
          <cell r="K42">
            <v>300.27839999999998</v>
          </cell>
          <cell r="M42">
            <v>130</v>
          </cell>
          <cell r="N42">
            <v>32</v>
          </cell>
          <cell r="P42">
            <v>0.76721744877727893</v>
          </cell>
          <cell r="Q42">
            <v>430.12433392539964</v>
          </cell>
        </row>
      </sheetData>
      <sheetData sheetId="3">
        <row r="8">
          <cell r="E8">
            <v>627</v>
          </cell>
          <cell r="F8">
            <v>5379</v>
          </cell>
          <cell r="J8">
            <v>366.40000000000003</v>
          </cell>
          <cell r="K8">
            <v>364.51400000000001</v>
          </cell>
          <cell r="M8">
            <v>115</v>
          </cell>
          <cell r="N8">
            <v>16</v>
          </cell>
          <cell r="P8">
            <v>0.51473799126638209</v>
          </cell>
          <cell r="Q8">
            <v>514.73684210526324</v>
          </cell>
        </row>
        <row r="9">
          <cell r="E9">
            <v>594</v>
          </cell>
          <cell r="F9">
            <v>1778</v>
          </cell>
          <cell r="J9">
            <v>118.8</v>
          </cell>
          <cell r="K9">
            <v>117.348</v>
          </cell>
          <cell r="M9">
            <v>71</v>
          </cell>
          <cell r="N9">
            <v>4</v>
          </cell>
          <cell r="P9">
            <v>1.2222222222222208</v>
          </cell>
          <cell r="Q9">
            <v>481.21212121212119</v>
          </cell>
        </row>
        <row r="10">
          <cell r="F10">
            <v>2986</v>
          </cell>
          <cell r="J10">
            <v>208.60000000000002</v>
          </cell>
          <cell r="K10">
            <v>206.57600000000002</v>
          </cell>
          <cell r="M10">
            <v>93</v>
          </cell>
          <cell r="N10">
            <v>22</v>
          </cell>
          <cell r="P10">
            <v>0.97027804410354779</v>
          </cell>
        </row>
        <row r="11">
          <cell r="E11">
            <v>549</v>
          </cell>
          <cell r="F11">
            <v>4788</v>
          </cell>
          <cell r="J11">
            <v>326.3</v>
          </cell>
          <cell r="K11">
            <v>325.12800000000004</v>
          </cell>
          <cell r="M11">
            <v>95</v>
          </cell>
          <cell r="N11">
            <v>45</v>
          </cell>
          <cell r="P11">
            <v>0.35917866993563241</v>
          </cell>
          <cell r="Q11">
            <v>523.27868852459017</v>
          </cell>
        </row>
        <row r="12">
          <cell r="E12">
            <v>481</v>
          </cell>
          <cell r="F12">
            <v>4102</v>
          </cell>
          <cell r="J12">
            <v>307.5</v>
          </cell>
          <cell r="K12">
            <v>305.18879999999996</v>
          </cell>
          <cell r="M12">
            <v>89</v>
          </cell>
          <cell r="N12">
            <v>33</v>
          </cell>
          <cell r="P12">
            <v>0.75160975609757474</v>
          </cell>
          <cell r="Q12">
            <v>511.68399168399162</v>
          </cell>
        </row>
        <row r="13">
          <cell r="E13">
            <v>576</v>
          </cell>
          <cell r="F13">
            <v>2483</v>
          </cell>
          <cell r="J13">
            <v>165.70000000000002</v>
          </cell>
          <cell r="K13">
            <v>163.87800000000001</v>
          </cell>
          <cell r="M13">
            <v>320</v>
          </cell>
          <cell r="N13">
            <v>5</v>
          </cell>
          <cell r="P13">
            <v>1.0995775497887765</v>
          </cell>
          <cell r="Q13">
            <v>258.64583333333337</v>
          </cell>
        </row>
        <row r="14">
          <cell r="E14">
            <v>523</v>
          </cell>
          <cell r="F14">
            <v>2011</v>
          </cell>
          <cell r="J14">
            <v>136.1</v>
          </cell>
          <cell r="K14">
            <v>132.726</v>
          </cell>
          <cell r="M14">
            <v>131</v>
          </cell>
          <cell r="N14">
            <v>20.25</v>
          </cell>
          <cell r="P14">
            <v>2.4790595150624508</v>
          </cell>
          <cell r="Q14">
            <v>426.53919694072658</v>
          </cell>
        </row>
        <row r="15">
          <cell r="F15">
            <v>1707</v>
          </cell>
          <cell r="J15">
            <v>124.89999999999999</v>
          </cell>
          <cell r="K15">
            <v>122.16200000000001</v>
          </cell>
          <cell r="M15">
            <v>152</v>
          </cell>
          <cell r="N15">
            <v>25</v>
          </cell>
          <cell r="P15">
            <v>2.1921537229783712</v>
          </cell>
        </row>
        <row r="16">
          <cell r="E16">
            <v>863</v>
          </cell>
          <cell r="F16">
            <v>3407</v>
          </cell>
          <cell r="J16">
            <v>443.5</v>
          </cell>
          <cell r="K16">
            <v>440.08800000000002</v>
          </cell>
          <cell r="M16">
            <v>155</v>
          </cell>
          <cell r="N16">
            <v>42</v>
          </cell>
          <cell r="P16">
            <v>0.76933483652761614</v>
          </cell>
          <cell r="Q16">
            <v>463.59212050984939</v>
          </cell>
        </row>
        <row r="17">
          <cell r="F17">
            <v>3261</v>
          </cell>
        </row>
        <row r="18">
          <cell r="E18">
            <v>621</v>
          </cell>
          <cell r="F18">
            <v>5691</v>
          </cell>
          <cell r="J18">
            <v>376.5</v>
          </cell>
          <cell r="K18">
            <v>375.60599999999999</v>
          </cell>
          <cell r="M18">
            <v>114</v>
          </cell>
          <cell r="N18">
            <v>29</v>
          </cell>
          <cell r="P18">
            <v>0.23745019920318869</v>
          </cell>
          <cell r="Q18">
            <v>549.85507246376812</v>
          </cell>
        </row>
        <row r="19">
          <cell r="E19">
            <v>532</v>
          </cell>
          <cell r="F19">
            <v>2586</v>
          </cell>
          <cell r="J19">
            <v>171.59999999999997</v>
          </cell>
          <cell r="K19">
            <v>170.67600000000002</v>
          </cell>
          <cell r="M19">
            <v>129</v>
          </cell>
          <cell r="N19">
            <v>17.75</v>
          </cell>
          <cell r="P19">
            <v>0.53846153846150935</v>
          </cell>
          <cell r="Q19">
            <v>291.65413533834584</v>
          </cell>
        </row>
        <row r="20">
          <cell r="E20">
            <v>611</v>
          </cell>
          <cell r="F20">
            <v>1383</v>
          </cell>
          <cell r="J20">
            <v>92.7</v>
          </cell>
          <cell r="K20">
            <v>91.278000000000006</v>
          </cell>
          <cell r="M20">
            <v>58</v>
          </cell>
          <cell r="N20">
            <v>6.25</v>
          </cell>
          <cell r="P20">
            <v>1.5339805825242687</v>
          </cell>
          <cell r="Q20">
            <v>396.03927986906712</v>
          </cell>
        </row>
        <row r="21">
          <cell r="F21">
            <v>2650</v>
          </cell>
          <cell r="J21">
            <v>182.5</v>
          </cell>
          <cell r="K21">
            <v>180.6</v>
          </cell>
          <cell r="M21">
            <v>95</v>
          </cell>
          <cell r="N21">
            <v>24.5</v>
          </cell>
          <cell r="P21">
            <v>1.041095890410962</v>
          </cell>
        </row>
        <row r="22">
          <cell r="E22">
            <v>593</v>
          </cell>
          <cell r="F22">
            <v>3039</v>
          </cell>
          <cell r="J22">
            <v>202.70000000000002</v>
          </cell>
          <cell r="K22">
            <v>200.57400000000001</v>
          </cell>
          <cell r="M22">
            <v>170</v>
          </cell>
          <cell r="N22">
            <v>17</v>
          </cell>
          <cell r="P22">
            <v>1.048840651208685</v>
          </cell>
          <cell r="Q22">
            <v>307.48735244519395</v>
          </cell>
        </row>
        <row r="23">
          <cell r="E23">
            <v>631</v>
          </cell>
          <cell r="F23">
            <v>1294</v>
          </cell>
          <cell r="J23">
            <v>86.6</v>
          </cell>
          <cell r="K23">
            <v>85.404000000000011</v>
          </cell>
          <cell r="M23">
            <v>67</v>
          </cell>
          <cell r="N23">
            <v>15</v>
          </cell>
          <cell r="P23">
            <v>1.3810623556581798</v>
          </cell>
          <cell r="Q23">
            <v>392.3296354992076</v>
          </cell>
        </row>
        <row r="24">
          <cell r="F24">
            <v>2832</v>
          </cell>
          <cell r="J24">
            <v>216.09999999999997</v>
          </cell>
          <cell r="K24">
            <v>215.41200000000001</v>
          </cell>
          <cell r="M24">
            <v>31</v>
          </cell>
          <cell r="N24">
            <v>4</v>
          </cell>
          <cell r="P24">
            <v>0.31837112447938909</v>
          </cell>
        </row>
        <row r="25">
          <cell r="E25">
            <v>544</v>
          </cell>
          <cell r="F25">
            <v>3838</v>
          </cell>
          <cell r="J25">
            <v>254.99999999999997</v>
          </cell>
          <cell r="K25">
            <v>253.30800000000002</v>
          </cell>
          <cell r="M25">
            <v>41</v>
          </cell>
          <cell r="N25">
            <v>13.75</v>
          </cell>
          <cell r="P25">
            <v>0.66352941176468649</v>
          </cell>
          <cell r="Q25">
            <v>423.30882352941177</v>
          </cell>
        </row>
        <row r="26">
          <cell r="E26">
            <v>351</v>
          </cell>
          <cell r="F26">
            <v>1883</v>
          </cell>
          <cell r="J26">
            <v>146.20000000000002</v>
          </cell>
          <cell r="K26">
            <v>140.09519999999998</v>
          </cell>
          <cell r="M26">
            <v>368</v>
          </cell>
          <cell r="N26">
            <v>46.75</v>
          </cell>
          <cell r="P26">
            <v>4.175649794801668</v>
          </cell>
          <cell r="Q26">
            <v>321.88034188034192</v>
          </cell>
        </row>
        <row r="27">
          <cell r="E27">
            <v>614</v>
          </cell>
          <cell r="F27">
            <v>2118</v>
          </cell>
          <cell r="J27">
            <v>160.6</v>
          </cell>
          <cell r="K27">
            <v>157.57919999999999</v>
          </cell>
          <cell r="M27">
            <v>41</v>
          </cell>
          <cell r="N27">
            <v>8.25</v>
          </cell>
          <cell r="P27">
            <v>1.8809464508094695</v>
          </cell>
          <cell r="Q27">
            <v>346.51465798045604</v>
          </cell>
        </row>
        <row r="28">
          <cell r="F28">
            <v>1428</v>
          </cell>
          <cell r="J28">
            <v>95.5</v>
          </cell>
          <cell r="K28">
            <v>94.248000000000005</v>
          </cell>
          <cell r="M28">
            <v>225</v>
          </cell>
          <cell r="N28">
            <v>22</v>
          </cell>
          <cell r="P28">
            <v>1.310994764397901</v>
          </cell>
        </row>
        <row r="29">
          <cell r="E29">
            <v>425</v>
          </cell>
          <cell r="F29">
            <v>2888</v>
          </cell>
          <cell r="J29">
            <v>192</v>
          </cell>
          <cell r="K29">
            <v>190.608</v>
          </cell>
          <cell r="M29">
            <v>100</v>
          </cell>
          <cell r="N29">
            <v>29</v>
          </cell>
          <cell r="P29">
            <v>0.72499999999999787</v>
          </cell>
          <cell r="Q29">
            <v>407.71764705882356</v>
          </cell>
        </row>
        <row r="30">
          <cell r="E30">
            <v>698</v>
          </cell>
          <cell r="F30">
            <v>4868</v>
          </cell>
          <cell r="J30">
            <v>324</v>
          </cell>
          <cell r="K30">
            <v>321.28800000000001</v>
          </cell>
          <cell r="M30">
            <v>186</v>
          </cell>
          <cell r="N30">
            <v>36.25</v>
          </cell>
          <cell r="P30">
            <v>0.83703703703703369</v>
          </cell>
          <cell r="Q30">
            <v>418.45272206303724</v>
          </cell>
        </row>
        <row r="31">
          <cell r="E31">
            <v>420</v>
          </cell>
          <cell r="F31">
            <v>4010</v>
          </cell>
          <cell r="J31">
            <v>266</v>
          </cell>
          <cell r="K31">
            <v>264.66000000000003</v>
          </cell>
          <cell r="M31">
            <v>59</v>
          </cell>
          <cell r="N31">
            <v>18</v>
          </cell>
          <cell r="P31">
            <v>0.50375939849623119</v>
          </cell>
          <cell r="Q31">
            <v>572.85714285714289</v>
          </cell>
        </row>
      </sheetData>
      <sheetData sheetId="4">
        <row r="8">
          <cell r="B8">
            <v>42857</v>
          </cell>
          <cell r="D8" t="str">
            <v>CARIB (AMBER)</v>
          </cell>
          <cell r="E8">
            <v>617</v>
          </cell>
          <cell r="F8">
            <v>3727</v>
          </cell>
          <cell r="J8">
            <v>258.2</v>
          </cell>
          <cell r="K8">
            <v>256.24200000000002</v>
          </cell>
          <cell r="M8">
            <v>253</v>
          </cell>
          <cell r="N8">
            <v>16.2</v>
          </cell>
          <cell r="P8">
            <v>0.75832687838883428</v>
          </cell>
          <cell r="Q8">
            <v>362.43111831442462</v>
          </cell>
        </row>
        <row r="9">
          <cell r="B9">
            <v>42858</v>
          </cell>
          <cell r="D9" t="str">
            <v>CARIB (AMBER)</v>
          </cell>
          <cell r="E9">
            <v>625</v>
          </cell>
          <cell r="F9">
            <v>4486</v>
          </cell>
          <cell r="J9">
            <v>305.60000000000002</v>
          </cell>
          <cell r="K9">
            <v>304.81600000000003</v>
          </cell>
          <cell r="M9">
            <v>49</v>
          </cell>
          <cell r="N9">
            <v>16</v>
          </cell>
          <cell r="P9">
            <v>0.25654450261779832</v>
          </cell>
          <cell r="Q9">
            <v>505.15200000000004</v>
          </cell>
        </row>
        <row r="10">
          <cell r="D10" t="str">
            <v>STAG</v>
          </cell>
          <cell r="F10">
            <v>776</v>
          </cell>
          <cell r="J10">
            <v>51.4</v>
          </cell>
          <cell r="K10">
            <v>51.216000000000001</v>
          </cell>
          <cell r="M10">
            <v>15</v>
          </cell>
          <cell r="N10">
            <v>4</v>
          </cell>
          <cell r="P10">
            <v>0.35797665369649317</v>
          </cell>
        </row>
        <row r="11">
          <cell r="B11">
            <v>42859</v>
          </cell>
          <cell r="D11" t="str">
            <v>STAG</v>
          </cell>
          <cell r="E11">
            <v>615</v>
          </cell>
          <cell r="F11">
            <v>3443</v>
          </cell>
          <cell r="J11">
            <v>231.8</v>
          </cell>
          <cell r="K11">
            <v>230.08799999999999</v>
          </cell>
          <cell r="M11">
            <v>71</v>
          </cell>
          <cell r="N11">
            <v>14</v>
          </cell>
          <cell r="P11">
            <v>0.73856773080242344</v>
          </cell>
          <cell r="Q11">
            <v>493.95121951219511</v>
          </cell>
        </row>
        <row r="12">
          <cell r="D12" t="str">
            <v xml:space="preserve">GINSENG </v>
          </cell>
          <cell r="F12">
            <v>1620</v>
          </cell>
          <cell r="J12">
            <v>108</v>
          </cell>
          <cell r="K12">
            <v>106.92</v>
          </cell>
          <cell r="M12">
            <v>52</v>
          </cell>
          <cell r="N12">
            <v>7</v>
          </cell>
          <cell r="P12">
            <v>0.99999999999999845</v>
          </cell>
        </row>
        <row r="13">
          <cell r="D13" t="str">
            <v>MAXIMALT</v>
          </cell>
          <cell r="E13">
            <v>536</v>
          </cell>
          <cell r="F13">
            <v>4510</v>
          </cell>
          <cell r="J13">
            <v>301.3</v>
          </cell>
          <cell r="K13">
            <v>297.66000000000003</v>
          </cell>
          <cell r="M13">
            <v>60</v>
          </cell>
          <cell r="N13">
            <v>39</v>
          </cell>
          <cell r="P13">
            <v>1.2080982409558534</v>
          </cell>
          <cell r="Q13">
            <v>504.85074626865668</v>
          </cell>
        </row>
        <row r="14">
          <cell r="D14" t="str">
            <v>J Cool (SODA WATER)</v>
          </cell>
          <cell r="E14">
            <v>666</v>
          </cell>
          <cell r="F14">
            <v>301</v>
          </cell>
          <cell r="J14">
            <v>23.779</v>
          </cell>
          <cell r="K14">
            <v>23.779</v>
          </cell>
          <cell r="M14">
            <v>62</v>
          </cell>
          <cell r="N14">
            <v>3.3</v>
          </cell>
          <cell r="P14">
            <v>0</v>
          </cell>
          <cell r="Q14">
            <v>331.35135135135135</v>
          </cell>
        </row>
        <row r="15">
          <cell r="D15" t="str">
            <v>J Cool (KOLA)</v>
          </cell>
          <cell r="F15">
            <v>1148</v>
          </cell>
          <cell r="J15">
            <v>94.920000000000016</v>
          </cell>
          <cell r="K15">
            <v>90.692000000000007</v>
          </cell>
          <cell r="M15">
            <v>49</v>
          </cell>
          <cell r="N15">
            <v>3.6333333333333302</v>
          </cell>
          <cell r="P15">
            <v>4.4542772861357012</v>
          </cell>
        </row>
        <row r="16">
          <cell r="D16" t="str">
            <v>J Cool (Cream)</v>
          </cell>
          <cell r="F16">
            <v>1130</v>
          </cell>
          <cell r="J16">
            <v>90.4</v>
          </cell>
          <cell r="K16">
            <v>89.27</v>
          </cell>
          <cell r="M16">
            <v>67</v>
          </cell>
          <cell r="N16">
            <v>2.8</v>
          </cell>
          <cell r="P16">
            <v>1.2500000000000107</v>
          </cell>
        </row>
        <row r="17">
          <cell r="D17" t="str">
            <v>J Cool (GRAPE)</v>
          </cell>
          <cell r="F17">
            <v>1099</v>
          </cell>
          <cell r="J17">
            <v>90.4</v>
          </cell>
          <cell r="K17">
            <v>86.820999999999998</v>
          </cell>
          <cell r="M17">
            <v>62</v>
          </cell>
          <cell r="N17">
            <v>20.3</v>
          </cell>
          <cell r="P17">
            <v>3.9590707964601854</v>
          </cell>
        </row>
        <row r="18">
          <cell r="D18" t="str">
            <v>STAG</v>
          </cell>
          <cell r="E18">
            <v>629</v>
          </cell>
          <cell r="F18">
            <v>4799</v>
          </cell>
          <cell r="J18">
            <v>321.89999999999998</v>
          </cell>
          <cell r="K18">
            <v>320.53400000000005</v>
          </cell>
          <cell r="M18">
            <v>125</v>
          </cell>
          <cell r="N18">
            <v>30</v>
          </cell>
          <cell r="P18">
            <v>0.42435538987260907</v>
          </cell>
          <cell r="Q18">
            <v>457.77424483306839</v>
          </cell>
        </row>
        <row r="19">
          <cell r="D19" t="str">
            <v>STAG</v>
          </cell>
          <cell r="E19">
            <v>610</v>
          </cell>
          <cell r="F19">
            <v>5000</v>
          </cell>
          <cell r="J19">
            <v>330.5</v>
          </cell>
          <cell r="K19">
            <v>330</v>
          </cell>
          <cell r="M19">
            <v>74</v>
          </cell>
          <cell r="N19">
            <v>24.75</v>
          </cell>
          <cell r="P19">
            <v>0.15128593040847202</v>
          </cell>
          <cell r="Q19">
            <v>491.80327868852464</v>
          </cell>
        </row>
        <row r="20">
          <cell r="D20" t="str">
            <v>CARIB (AMBER)</v>
          </cell>
          <cell r="E20">
            <v>614</v>
          </cell>
          <cell r="F20">
            <v>5049</v>
          </cell>
          <cell r="J20">
            <v>342.4</v>
          </cell>
          <cell r="K20">
            <v>340.83400000000006</v>
          </cell>
          <cell r="M20">
            <v>128</v>
          </cell>
          <cell r="N20">
            <v>11.75</v>
          </cell>
          <cell r="P20">
            <v>0.45735981308408796</v>
          </cell>
          <cell r="Q20">
            <v>493.38762214983717</v>
          </cell>
        </row>
        <row r="21">
          <cell r="D21" t="str">
            <v>CARIB (AMBER)</v>
          </cell>
          <cell r="E21">
            <v>445</v>
          </cell>
          <cell r="F21">
            <v>4372</v>
          </cell>
          <cell r="J21">
            <v>289.8</v>
          </cell>
          <cell r="K21">
            <v>288.55200000000002</v>
          </cell>
          <cell r="M21">
            <v>14</v>
          </cell>
          <cell r="N21">
            <v>9.75</v>
          </cell>
          <cell r="P21">
            <v>0.43064182194616646</v>
          </cell>
          <cell r="Q21">
            <v>589.48314606741576</v>
          </cell>
        </row>
        <row r="22">
          <cell r="D22" t="str">
            <v xml:space="preserve">VITA MALT  </v>
          </cell>
          <cell r="E22">
            <v>510</v>
          </cell>
          <cell r="F22">
            <v>3410</v>
          </cell>
          <cell r="J22">
            <v>255.39999999999998</v>
          </cell>
          <cell r="K22">
            <v>253.70399999999998</v>
          </cell>
          <cell r="M22">
            <v>128</v>
          </cell>
          <cell r="N22">
            <v>5.5</v>
          </cell>
          <cell r="P22">
            <v>0.66405638214565321</v>
          </cell>
          <cell r="Q22">
            <v>401.1764705882353</v>
          </cell>
        </row>
        <row r="23">
          <cell r="D23" t="str">
            <v>STAG</v>
          </cell>
          <cell r="E23">
            <v>612</v>
          </cell>
          <cell r="F23">
            <v>5800</v>
          </cell>
          <cell r="J23">
            <v>388.6</v>
          </cell>
          <cell r="K23">
            <v>388.5</v>
          </cell>
          <cell r="M23">
            <v>39</v>
          </cell>
          <cell r="N23">
            <v>17</v>
          </cell>
          <cell r="P23">
            <v>2.57334019557444E-2</v>
          </cell>
          <cell r="Q23">
            <v>568.62745098039215</v>
          </cell>
        </row>
        <row r="24">
          <cell r="D24" t="str">
            <v>CARIB (FLINT)</v>
          </cell>
          <cell r="E24">
            <v>615</v>
          </cell>
          <cell r="F24">
            <v>2583</v>
          </cell>
          <cell r="J24">
            <v>351.2</v>
          </cell>
          <cell r="K24">
            <v>349</v>
          </cell>
          <cell r="M24">
            <v>104</v>
          </cell>
          <cell r="N24">
            <v>15.16</v>
          </cell>
          <cell r="P24">
            <v>0.62642369020500821</v>
          </cell>
          <cell r="Q24">
            <v>487.80487804878049</v>
          </cell>
        </row>
        <row r="25">
          <cell r="D25" t="str">
            <v>CARIB (AMBER)</v>
          </cell>
          <cell r="F25">
            <v>2417</v>
          </cell>
        </row>
        <row r="26">
          <cell r="D26" t="str">
            <v>CARIB (FLINT)</v>
          </cell>
          <cell r="E26">
            <v>611</v>
          </cell>
          <cell r="F26">
            <v>451</v>
          </cell>
          <cell r="J26">
            <v>143.60000000000002</v>
          </cell>
          <cell r="K26">
            <v>143.22</v>
          </cell>
          <cell r="M26">
            <v>40</v>
          </cell>
          <cell r="N26">
            <v>22</v>
          </cell>
          <cell r="P26">
            <v>0.26462395543177142</v>
          </cell>
          <cell r="Q26">
            <v>484.51718494271682</v>
          </cell>
        </row>
        <row r="27">
          <cell r="D27" t="str">
            <v>CARIB (AMBER)</v>
          </cell>
          <cell r="F27">
            <v>1719</v>
          </cell>
        </row>
        <row r="28">
          <cell r="D28" t="str">
            <v>GUINNESS</v>
          </cell>
          <cell r="F28">
            <v>2764</v>
          </cell>
          <cell r="J28">
            <v>183.29999999999998</v>
          </cell>
          <cell r="K28">
            <v>182.42400000000001</v>
          </cell>
          <cell r="M28">
            <v>73</v>
          </cell>
          <cell r="N28">
            <v>7</v>
          </cell>
          <cell r="P28">
            <v>0.47790507364974166</v>
          </cell>
        </row>
        <row r="29">
          <cell r="D29" t="str">
            <v>GUINNESS</v>
          </cell>
          <cell r="E29">
            <v>161</v>
          </cell>
          <cell r="F29">
            <v>1369</v>
          </cell>
          <cell r="J29">
            <v>91.2</v>
          </cell>
          <cell r="K29">
            <v>90.353999999999999</v>
          </cell>
          <cell r="M29">
            <v>25</v>
          </cell>
          <cell r="N29">
            <v>6</v>
          </cell>
          <cell r="P29">
            <v>0.92763157894737247</v>
          </cell>
          <cell r="Q29">
            <v>510.18633540372673</v>
          </cell>
        </row>
        <row r="30">
          <cell r="D30" t="str">
            <v>STAG</v>
          </cell>
          <cell r="E30">
            <v>574</v>
          </cell>
          <cell r="F30">
            <v>3055</v>
          </cell>
          <cell r="J30">
            <v>207.7</v>
          </cell>
          <cell r="K30">
            <v>205.43</v>
          </cell>
          <cell r="M30">
            <v>217</v>
          </cell>
          <cell r="N30">
            <v>18.25</v>
          </cell>
          <cell r="P30">
            <v>1.0929224843524228</v>
          </cell>
          <cell r="Q30">
            <v>319.33797909407667</v>
          </cell>
        </row>
        <row r="31">
          <cell r="D31" t="str">
            <v>STAG</v>
          </cell>
          <cell r="E31">
            <v>625</v>
          </cell>
          <cell r="F31">
            <v>2021</v>
          </cell>
          <cell r="J31">
            <v>135.09999999999997</v>
          </cell>
          <cell r="K31">
            <v>133.386</v>
          </cell>
          <cell r="M31">
            <v>393</v>
          </cell>
          <cell r="N31">
            <v>25</v>
          </cell>
          <cell r="P31">
            <v>1.2686898593634128</v>
          </cell>
          <cell r="Q31">
            <v>194.01600000000002</v>
          </cell>
        </row>
        <row r="32">
          <cell r="D32" t="str">
            <v>STAG</v>
          </cell>
          <cell r="E32">
            <v>759</v>
          </cell>
          <cell r="F32">
            <v>6181</v>
          </cell>
          <cell r="H32">
            <v>420</v>
          </cell>
          <cell r="J32">
            <v>418.20000000000005</v>
          </cell>
          <cell r="K32">
            <v>417.44600000000003</v>
          </cell>
          <cell r="M32">
            <v>41</v>
          </cell>
          <cell r="N32">
            <v>24</v>
          </cell>
          <cell r="P32">
            <v>0.18029650884744597</v>
          </cell>
          <cell r="Q32">
            <v>488.61660079051381</v>
          </cell>
        </row>
        <row r="33">
          <cell r="D33" t="str">
            <v>CARIB</v>
          </cell>
          <cell r="E33">
            <v>630</v>
          </cell>
          <cell r="F33">
            <v>2591</v>
          </cell>
          <cell r="J33">
            <v>190.8</v>
          </cell>
          <cell r="K33">
            <v>190.006</v>
          </cell>
          <cell r="M33">
            <v>21</v>
          </cell>
          <cell r="N33">
            <v>9.73</v>
          </cell>
          <cell r="P33">
            <v>0.41614255765199737</v>
          </cell>
          <cell r="Q33">
            <v>478.95238095238096</v>
          </cell>
        </row>
        <row r="34">
          <cell r="D34" t="str">
            <v>STAG</v>
          </cell>
          <cell r="F34">
            <v>2438</v>
          </cell>
          <cell r="J34">
            <v>161.9</v>
          </cell>
          <cell r="K34">
            <v>160.90800000000002</v>
          </cell>
          <cell r="M34">
            <v>18</v>
          </cell>
          <cell r="N34">
            <v>11</v>
          </cell>
          <cell r="P34">
            <v>0.61272390364421869</v>
          </cell>
        </row>
      </sheetData>
      <sheetData sheetId="5">
        <row r="8">
          <cell r="B8">
            <v>42887</v>
          </cell>
          <cell r="D8" t="str">
            <v>CARIB (AMBER)</v>
          </cell>
          <cell r="E8">
            <v>631</v>
          </cell>
          <cell r="F8">
            <v>5198</v>
          </cell>
          <cell r="J8">
            <v>345.70000000000005</v>
          </cell>
          <cell r="K8">
            <v>343.06800000000004</v>
          </cell>
          <cell r="M8">
            <v>46</v>
          </cell>
          <cell r="N8">
            <v>28.75</v>
          </cell>
          <cell r="P8">
            <v>0.76135377494937939</v>
          </cell>
          <cell r="Q8">
            <v>494.26307448494447</v>
          </cell>
        </row>
        <row r="9">
          <cell r="B9">
            <v>42888</v>
          </cell>
          <cell r="D9" t="str">
            <v>CARIB (AMBER)</v>
          </cell>
          <cell r="E9">
            <v>490</v>
          </cell>
          <cell r="F9">
            <v>871</v>
          </cell>
          <cell r="J9">
            <v>59.000000000000014</v>
          </cell>
          <cell r="K9">
            <v>57.486000000000004</v>
          </cell>
          <cell r="M9">
            <v>388</v>
          </cell>
          <cell r="N9">
            <v>8</v>
          </cell>
          <cell r="P9">
            <v>2.5661016949152704</v>
          </cell>
          <cell r="Q9">
            <v>106.6530612244898</v>
          </cell>
        </row>
        <row r="10">
          <cell r="D10" t="str">
            <v>SHANDY  LIME</v>
          </cell>
          <cell r="E10">
            <v>550</v>
          </cell>
          <cell r="F10">
            <v>701</v>
          </cell>
          <cell r="J10">
            <v>48</v>
          </cell>
          <cell r="K10">
            <v>46.266000000000005</v>
          </cell>
          <cell r="M10">
            <v>400</v>
          </cell>
          <cell r="N10">
            <v>9.42</v>
          </cell>
          <cell r="P10">
            <v>3.6124999999999887</v>
          </cell>
          <cell r="Q10">
            <v>76.472727272727283</v>
          </cell>
        </row>
        <row r="11">
          <cell r="D11" t="str">
            <v>CARIB (AMBER)</v>
          </cell>
          <cell r="E11">
            <v>625</v>
          </cell>
          <cell r="F11">
            <v>1447</v>
          </cell>
          <cell r="J11">
            <v>96.8</v>
          </cell>
          <cell r="K11">
            <v>95.50200000000001</v>
          </cell>
          <cell r="M11">
            <v>65</v>
          </cell>
          <cell r="N11">
            <v>16.25</v>
          </cell>
          <cell r="P11">
            <v>1.3409090909090782</v>
          </cell>
          <cell r="Q11">
            <v>481.15200000000004</v>
          </cell>
        </row>
        <row r="12">
          <cell r="D12" t="str">
            <v>GUINNESS</v>
          </cell>
          <cell r="F12">
            <v>3565</v>
          </cell>
          <cell r="J12">
            <v>237.09999999999997</v>
          </cell>
          <cell r="K12">
            <v>235.29000000000002</v>
          </cell>
          <cell r="M12">
            <v>139</v>
          </cell>
          <cell r="N12">
            <v>25.75</v>
          </cell>
          <cell r="P12">
            <v>0.76339097427243596</v>
          </cell>
        </row>
        <row r="13">
          <cell r="D13" t="str">
            <v>GUINNESS</v>
          </cell>
          <cell r="E13">
            <v>682</v>
          </cell>
          <cell r="F13">
            <v>1374</v>
          </cell>
          <cell r="J13">
            <v>91.3</v>
          </cell>
          <cell r="K13">
            <v>90.683999999999997</v>
          </cell>
          <cell r="M13">
            <v>19</v>
          </cell>
          <cell r="N13">
            <v>7.75</v>
          </cell>
          <cell r="P13">
            <v>0.67469879518072251</v>
          </cell>
          <cell r="Q13">
            <v>338.53372434017592</v>
          </cell>
        </row>
        <row r="14">
          <cell r="D14" t="str">
            <v>MACKESON</v>
          </cell>
          <cell r="F14">
            <v>2474</v>
          </cell>
          <cell r="J14">
            <v>165</v>
          </cell>
          <cell r="K14">
            <v>163.28400000000002</v>
          </cell>
          <cell r="M14">
            <v>171</v>
          </cell>
          <cell r="N14">
            <v>12</v>
          </cell>
          <cell r="P14">
            <v>1.0399999999999878</v>
          </cell>
        </row>
        <row r="15">
          <cell r="D15" t="str">
            <v>CARIB (AMBER)</v>
          </cell>
          <cell r="E15">
            <v>539</v>
          </cell>
          <cell r="F15">
            <v>2874</v>
          </cell>
          <cell r="J15">
            <v>192</v>
          </cell>
          <cell r="K15">
            <v>189.684</v>
          </cell>
          <cell r="M15">
            <v>21</v>
          </cell>
          <cell r="N15">
            <v>10.25</v>
          </cell>
          <cell r="P15">
            <v>1.2062500000000012</v>
          </cell>
          <cell r="Q15">
            <v>427.79220779220782</v>
          </cell>
        </row>
        <row r="16">
          <cell r="D16" t="str">
            <v>STAG</v>
          </cell>
          <cell r="F16">
            <v>969</v>
          </cell>
          <cell r="J16">
            <v>69.400000000000006</v>
          </cell>
          <cell r="K16">
            <v>68.704000000000008</v>
          </cell>
          <cell r="M16">
            <v>31</v>
          </cell>
          <cell r="N16">
            <v>2</v>
          </cell>
          <cell r="P16">
            <v>1.0028818443804004</v>
          </cell>
        </row>
        <row r="17">
          <cell r="D17" t="str">
            <v>STAG</v>
          </cell>
          <cell r="E17">
            <v>676</v>
          </cell>
          <cell r="F17">
            <v>4720</v>
          </cell>
          <cell r="J17">
            <v>312.60000000000002</v>
          </cell>
          <cell r="K17">
            <v>311.52000000000004</v>
          </cell>
          <cell r="M17">
            <v>35</v>
          </cell>
          <cell r="N17">
            <v>18.75</v>
          </cell>
          <cell r="P17">
            <v>0.34548944337811388</v>
          </cell>
          <cell r="Q17">
            <v>418.9349112426035</v>
          </cell>
        </row>
        <row r="18">
          <cell r="D18" t="str">
            <v>CARIB (AMBER)</v>
          </cell>
          <cell r="E18">
            <v>601</v>
          </cell>
          <cell r="F18">
            <v>3938</v>
          </cell>
          <cell r="J18">
            <v>275.60000000000002</v>
          </cell>
          <cell r="K18">
            <v>274.15800000000002</v>
          </cell>
          <cell r="M18">
            <v>29</v>
          </cell>
          <cell r="N18">
            <v>13.25</v>
          </cell>
          <cell r="P18">
            <v>0.52322206095791257</v>
          </cell>
          <cell r="Q18">
            <v>452.94509151414303</v>
          </cell>
        </row>
        <row r="19">
          <cell r="D19" t="str">
            <v>STAG</v>
          </cell>
          <cell r="F19">
            <v>599</v>
          </cell>
          <cell r="J19">
            <v>40.199999999999996</v>
          </cell>
          <cell r="K19">
            <v>39.533999999999999</v>
          </cell>
          <cell r="M19">
            <v>20</v>
          </cell>
          <cell r="N19">
            <v>2.75</v>
          </cell>
          <cell r="P19">
            <v>1.6567164179104401</v>
          </cell>
        </row>
        <row r="20">
          <cell r="D20" t="str">
            <v>STAG</v>
          </cell>
          <cell r="E20">
            <v>620</v>
          </cell>
          <cell r="F20">
            <v>3382</v>
          </cell>
          <cell r="J20">
            <v>229.80000000000004</v>
          </cell>
          <cell r="K20">
            <v>227.96200000000002</v>
          </cell>
          <cell r="M20">
            <v>213</v>
          </cell>
          <cell r="N20">
            <v>25</v>
          </cell>
          <cell r="P20">
            <v>0.79982593559618009</v>
          </cell>
          <cell r="Q20">
            <v>327.29032258064512</v>
          </cell>
        </row>
        <row r="21">
          <cell r="D21" t="str">
            <v>STAG</v>
          </cell>
          <cell r="E21">
            <v>590</v>
          </cell>
          <cell r="F21">
            <v>1899</v>
          </cell>
          <cell r="J21">
            <v>126</v>
          </cell>
          <cell r="K21">
            <v>125.334</v>
          </cell>
          <cell r="M21">
            <v>23</v>
          </cell>
          <cell r="N21">
            <v>18.75</v>
          </cell>
          <cell r="P21">
            <v>0.52857142857142603</v>
          </cell>
          <cell r="Q21">
            <v>450.61016949152537</v>
          </cell>
        </row>
        <row r="22">
          <cell r="D22" t="str">
            <v>MACKESON</v>
          </cell>
          <cell r="F22">
            <v>2532</v>
          </cell>
          <cell r="J22">
            <v>167.7</v>
          </cell>
          <cell r="K22">
            <v>167.11199999999999</v>
          </cell>
          <cell r="M22">
            <v>74</v>
          </cell>
          <cell r="N22">
            <v>8.25</v>
          </cell>
          <cell r="P22">
            <v>0.35062611806797489</v>
          </cell>
        </row>
        <row r="23">
          <cell r="D23" t="str">
            <v>CARIB (FLINT)</v>
          </cell>
          <cell r="E23">
            <v>235</v>
          </cell>
          <cell r="F23">
            <v>146</v>
          </cell>
          <cell r="J23">
            <v>10.599999999999994</v>
          </cell>
          <cell r="K23">
            <v>9.636000000000001</v>
          </cell>
          <cell r="M23">
            <v>471</v>
          </cell>
          <cell r="N23">
            <v>2</v>
          </cell>
          <cell r="P23">
            <v>9.094339622641451</v>
          </cell>
          <cell r="Q23">
            <v>37.276595744680854</v>
          </cell>
        </row>
        <row r="24">
          <cell r="D24" t="str">
            <v>CARIB (AMBER)</v>
          </cell>
          <cell r="E24">
            <v>909</v>
          </cell>
          <cell r="F24">
            <v>4665</v>
          </cell>
          <cell r="J24">
            <v>308.89999999999998</v>
          </cell>
          <cell r="K24">
            <v>307.89</v>
          </cell>
          <cell r="M24">
            <v>483</v>
          </cell>
          <cell r="N24">
            <v>15.75</v>
          </cell>
          <cell r="P24">
            <v>0.32696665587568496</v>
          </cell>
          <cell r="Q24">
            <v>307.9207920792079</v>
          </cell>
        </row>
        <row r="25">
          <cell r="D25" t="str">
            <v>CARIB (AMBER)</v>
          </cell>
          <cell r="E25">
            <v>819</v>
          </cell>
          <cell r="F25">
            <v>3102</v>
          </cell>
          <cell r="J25">
            <v>204.8</v>
          </cell>
          <cell r="K25">
            <v>204.732</v>
          </cell>
          <cell r="M25">
            <v>59</v>
          </cell>
          <cell r="N25">
            <v>14.25</v>
          </cell>
          <cell r="P25">
            <v>3.3203125000005884E-2</v>
          </cell>
          <cell r="Q25">
            <v>499.7802197802198</v>
          </cell>
        </row>
        <row r="26">
          <cell r="D26" t="str">
            <v>STARMALT</v>
          </cell>
          <cell r="F26">
            <v>3720</v>
          </cell>
          <cell r="J26">
            <v>248.89999999999998</v>
          </cell>
          <cell r="K26">
            <v>245.52</v>
          </cell>
          <cell r="M26">
            <v>79</v>
          </cell>
          <cell r="N26">
            <v>21.75</v>
          </cell>
          <cell r="P26">
            <v>1.357975090397737</v>
          </cell>
        </row>
        <row r="27">
          <cell r="D27" t="str">
            <v>STAG</v>
          </cell>
          <cell r="E27">
            <v>935</v>
          </cell>
          <cell r="F27">
            <v>7514</v>
          </cell>
          <cell r="J27">
            <v>503.7</v>
          </cell>
          <cell r="K27">
            <v>501.62400000000002</v>
          </cell>
          <cell r="M27">
            <v>171</v>
          </cell>
          <cell r="N27">
            <v>57</v>
          </cell>
          <cell r="P27">
            <v>0.41215008933888525</v>
          </cell>
          <cell r="Q27">
            <v>482.18181818181819</v>
          </cell>
        </row>
        <row r="28">
          <cell r="D28" t="str">
            <v>GUINNESS</v>
          </cell>
          <cell r="E28">
            <v>654</v>
          </cell>
          <cell r="F28">
            <v>5743</v>
          </cell>
          <cell r="J28">
            <v>381.1</v>
          </cell>
          <cell r="K28">
            <v>379.03800000000001</v>
          </cell>
          <cell r="M28">
            <v>56</v>
          </cell>
          <cell r="N28">
            <v>21</v>
          </cell>
          <cell r="P28">
            <v>0.54106533718184502</v>
          </cell>
          <cell r="Q28">
            <v>526.88073394495416</v>
          </cell>
        </row>
        <row r="29">
          <cell r="D29" t="str">
            <v>CARIB (AMBER)</v>
          </cell>
          <cell r="E29">
            <v>849</v>
          </cell>
          <cell r="F29">
            <v>6131</v>
          </cell>
          <cell r="J29">
            <v>406.59999999999997</v>
          </cell>
          <cell r="K29">
            <v>404.64600000000002</v>
          </cell>
          <cell r="M29">
            <v>40</v>
          </cell>
          <cell r="N29">
            <v>17</v>
          </cell>
          <cell r="P29">
            <v>0.48057058534184727</v>
          </cell>
          <cell r="Q29">
            <v>559.15194346289752</v>
          </cell>
        </row>
        <row r="30">
          <cell r="D30" t="str">
            <v>TING</v>
          </cell>
          <cell r="F30">
            <v>1781</v>
          </cell>
          <cell r="J30">
            <v>118.8</v>
          </cell>
          <cell r="K30">
            <v>117.54600000000001</v>
          </cell>
          <cell r="M30">
            <v>66</v>
          </cell>
          <cell r="N30">
            <v>13</v>
          </cell>
          <cell r="P30">
            <v>1.0555555555555478</v>
          </cell>
        </row>
        <row r="31">
          <cell r="D31" t="str">
            <v>CARIB (FLINT)</v>
          </cell>
          <cell r="E31">
            <v>928</v>
          </cell>
          <cell r="F31">
            <v>3280</v>
          </cell>
          <cell r="J31">
            <v>217.60000000000002</v>
          </cell>
          <cell r="K31">
            <v>216.48000000000002</v>
          </cell>
          <cell r="M31">
            <v>112</v>
          </cell>
          <cell r="N31">
            <v>21</v>
          </cell>
          <cell r="P31">
            <v>0.51470588235294323</v>
          </cell>
          <cell r="Q31">
            <v>413.08189655172413</v>
          </cell>
        </row>
        <row r="32">
          <cell r="D32" t="str">
            <v>STAG</v>
          </cell>
          <cell r="F32">
            <v>3109</v>
          </cell>
          <cell r="J32">
            <v>206.89999999999998</v>
          </cell>
          <cell r="K32">
            <v>205.19400000000002</v>
          </cell>
          <cell r="M32">
            <v>132</v>
          </cell>
          <cell r="N32">
            <v>22</v>
          </cell>
          <cell r="P32">
            <v>0.82455292411791237</v>
          </cell>
        </row>
        <row r="33">
          <cell r="D33" t="str">
            <v xml:space="preserve">STAG </v>
          </cell>
          <cell r="E33">
            <v>880</v>
          </cell>
          <cell r="F33">
            <v>1512</v>
          </cell>
          <cell r="J33">
            <v>101.5</v>
          </cell>
          <cell r="K33">
            <v>99.792000000000002</v>
          </cell>
          <cell r="M33">
            <v>32</v>
          </cell>
          <cell r="N33">
            <v>8.5</v>
          </cell>
          <cell r="P33">
            <v>1.6827586206896537</v>
          </cell>
          <cell r="Q33">
            <v>390.88636363636363</v>
          </cell>
        </row>
        <row r="34">
          <cell r="D34" t="str">
            <v>SHANDY GINGER</v>
          </cell>
          <cell r="F34">
            <v>1405</v>
          </cell>
          <cell r="J34">
            <v>95.4</v>
          </cell>
          <cell r="K34">
            <v>92.73</v>
          </cell>
          <cell r="M34">
            <v>42</v>
          </cell>
          <cell r="N34">
            <v>7</v>
          </cell>
          <cell r="P34">
            <v>2.7987421383647813</v>
          </cell>
        </row>
        <row r="35">
          <cell r="D35" t="str">
            <v>SHANDY SORREL</v>
          </cell>
          <cell r="F35">
            <v>1270</v>
          </cell>
          <cell r="J35">
            <v>85.6</v>
          </cell>
          <cell r="K35">
            <v>83.820000000000007</v>
          </cell>
          <cell r="M35">
            <v>101</v>
          </cell>
          <cell r="N35">
            <v>18.75</v>
          </cell>
          <cell r="P35">
            <v>2.0794392523364338</v>
          </cell>
        </row>
        <row r="36">
          <cell r="D36" t="str">
            <v>GINSENG</v>
          </cell>
          <cell r="F36">
            <v>1546</v>
          </cell>
          <cell r="J36">
            <v>104.6</v>
          </cell>
          <cell r="K36">
            <v>102.036</v>
          </cell>
          <cell r="M36">
            <v>95</v>
          </cell>
          <cell r="N36">
            <v>23</v>
          </cell>
          <cell r="P36">
            <v>2.4512428298279092</v>
          </cell>
        </row>
        <row r="37">
          <cell r="D37" t="str">
            <v>CARIB</v>
          </cell>
          <cell r="E37">
            <v>836</v>
          </cell>
          <cell r="F37">
            <v>4079</v>
          </cell>
          <cell r="J37">
            <v>284.39999999999998</v>
          </cell>
          <cell r="K37">
            <v>282.70400000000001</v>
          </cell>
          <cell r="M37">
            <v>65</v>
          </cell>
          <cell r="N37">
            <v>9</v>
          </cell>
          <cell r="P37">
            <v>0.59634317862164898</v>
          </cell>
          <cell r="Q37">
            <v>412.2488038277512</v>
          </cell>
        </row>
        <row r="38">
          <cell r="D38" t="str">
            <v>GINSENG APPLE</v>
          </cell>
          <cell r="F38">
            <v>1665</v>
          </cell>
          <cell r="J38">
            <v>110.7</v>
          </cell>
          <cell r="K38">
            <v>109.89</v>
          </cell>
          <cell r="M38">
            <v>198</v>
          </cell>
          <cell r="N38">
            <v>13</v>
          </cell>
          <cell r="P38">
            <v>0.73170731707317271</v>
          </cell>
        </row>
        <row r="39">
          <cell r="D39" t="str">
            <v>MACKESON</v>
          </cell>
          <cell r="E39">
            <v>866</v>
          </cell>
          <cell r="F39">
            <v>5864</v>
          </cell>
          <cell r="J39">
            <v>388.2</v>
          </cell>
          <cell r="K39">
            <v>387.024</v>
          </cell>
          <cell r="M39">
            <v>241</v>
          </cell>
          <cell r="N39">
            <v>17</v>
          </cell>
          <cell r="P39">
            <v>0.30293663060277892</v>
          </cell>
          <cell r="Q39">
            <v>406.28175519630486</v>
          </cell>
        </row>
      </sheetData>
      <sheetData sheetId="6">
        <row r="8">
          <cell r="B8">
            <v>42919</v>
          </cell>
          <cell r="D8" t="str">
            <v>VITAMALT</v>
          </cell>
          <cell r="E8">
            <v>648</v>
          </cell>
          <cell r="F8">
            <v>3949</v>
          </cell>
          <cell r="J8">
            <v>296.5</v>
          </cell>
          <cell r="K8">
            <v>293.80559999999997</v>
          </cell>
          <cell r="M8">
            <v>166</v>
          </cell>
          <cell r="N8">
            <v>19</v>
          </cell>
          <cell r="P8">
            <v>0.90873524451940313</v>
          </cell>
          <cell r="Q8">
            <v>365.64814814814815</v>
          </cell>
        </row>
        <row r="9">
          <cell r="B9">
            <v>42920</v>
          </cell>
          <cell r="D9" t="str">
            <v>GUINNESS</v>
          </cell>
          <cell r="E9">
            <v>618</v>
          </cell>
          <cell r="F9">
            <v>5451</v>
          </cell>
          <cell r="J9">
            <v>361.3</v>
          </cell>
          <cell r="K9">
            <v>359.76600000000002</v>
          </cell>
          <cell r="M9">
            <v>76</v>
          </cell>
          <cell r="N9">
            <v>43</v>
          </cell>
          <cell r="P9">
            <v>0.42457791309161136</v>
          </cell>
          <cell r="Q9">
            <v>529.22330097087377</v>
          </cell>
        </row>
        <row r="10">
          <cell r="B10">
            <v>42921</v>
          </cell>
          <cell r="D10" t="str">
            <v>CARIB (AMBER)</v>
          </cell>
          <cell r="E10">
            <v>557</v>
          </cell>
          <cell r="F10">
            <v>5452</v>
          </cell>
          <cell r="H10">
            <v>367</v>
          </cell>
          <cell r="J10">
            <v>375.59999999999997</v>
          </cell>
          <cell r="K10">
            <v>372.18200000000002</v>
          </cell>
          <cell r="M10">
            <v>111</v>
          </cell>
          <cell r="N10">
            <v>28</v>
          </cell>
          <cell r="P10">
            <v>0.91001064962724976</v>
          </cell>
          <cell r="Q10">
            <v>587.28904847396768</v>
          </cell>
        </row>
        <row r="11">
          <cell r="B11">
            <v>42922</v>
          </cell>
          <cell r="D11" t="str">
            <v>STAG</v>
          </cell>
          <cell r="E11">
            <v>608</v>
          </cell>
          <cell r="F11">
            <v>2025</v>
          </cell>
          <cell r="J11">
            <v>135.30000000000001</v>
          </cell>
          <cell r="K11">
            <v>133.65</v>
          </cell>
          <cell r="M11">
            <v>376</v>
          </cell>
          <cell r="N11">
            <v>11</v>
          </cell>
          <cell r="P11">
            <v>1.2195121951219552</v>
          </cell>
          <cell r="Q11">
            <v>199.83552631578948</v>
          </cell>
        </row>
        <row r="12">
          <cell r="B12">
            <v>42923</v>
          </cell>
          <cell r="D12" t="str">
            <v>STAG</v>
          </cell>
          <cell r="E12">
            <v>567</v>
          </cell>
          <cell r="F12">
            <v>3694</v>
          </cell>
          <cell r="J12">
            <v>255.79999999999998</v>
          </cell>
          <cell r="K12">
            <v>251.59399999999999</v>
          </cell>
          <cell r="M12">
            <v>151</v>
          </cell>
          <cell r="N12">
            <v>45</v>
          </cell>
          <cell r="P12">
            <v>1.6442533229085181</v>
          </cell>
          <cell r="Q12">
            <v>390.89947089947094</v>
          </cell>
        </row>
        <row r="13">
          <cell r="B13">
            <v>42926</v>
          </cell>
          <cell r="D13" t="str">
            <v>STAG</v>
          </cell>
          <cell r="E13">
            <v>634</v>
          </cell>
          <cell r="F13">
            <v>4689</v>
          </cell>
          <cell r="H13">
            <v>328</v>
          </cell>
          <cell r="J13">
            <v>310.60000000000002</v>
          </cell>
          <cell r="K13">
            <v>309.47399999999999</v>
          </cell>
          <cell r="M13">
            <v>159</v>
          </cell>
          <cell r="N13">
            <v>35.75</v>
          </cell>
          <cell r="P13">
            <v>0.3625241468126314</v>
          </cell>
          <cell r="Q13">
            <v>443.75394321766561</v>
          </cell>
        </row>
        <row r="14">
          <cell r="B14">
            <v>42927</v>
          </cell>
          <cell r="D14" t="str">
            <v>JCOOL (ORANGE)</v>
          </cell>
          <cell r="E14">
            <v>670</v>
          </cell>
          <cell r="F14">
            <v>1141</v>
          </cell>
          <cell r="J14">
            <v>90.4</v>
          </cell>
          <cell r="K14">
            <v>90.138999999999996</v>
          </cell>
          <cell r="M14">
            <v>72</v>
          </cell>
          <cell r="N14">
            <v>6.5</v>
          </cell>
          <cell r="P14">
            <v>0.28871681415930295</v>
          </cell>
          <cell r="Q14">
            <v>403.70149253731347</v>
          </cell>
        </row>
        <row r="15">
          <cell r="D15" t="str">
            <v>JCOOL (BANANA)</v>
          </cell>
          <cell r="F15">
            <v>1094</v>
          </cell>
          <cell r="J15">
            <v>90.4</v>
          </cell>
          <cell r="K15">
            <v>86.426000000000002</v>
          </cell>
          <cell r="M15">
            <v>46</v>
          </cell>
          <cell r="N15">
            <v>6.25</v>
          </cell>
          <cell r="P15">
            <v>4.3960176991150481</v>
          </cell>
        </row>
        <row r="16">
          <cell r="D16" t="str">
            <v>JCOOL (GRAPE)</v>
          </cell>
          <cell r="F16">
            <v>1147</v>
          </cell>
          <cell r="J16">
            <v>94.920000000000016</v>
          </cell>
          <cell r="K16">
            <v>90.613</v>
          </cell>
          <cell r="M16">
            <v>24</v>
          </cell>
          <cell r="N16">
            <v>8</v>
          </cell>
          <cell r="P16">
            <v>4.5375052675937795</v>
          </cell>
        </row>
        <row r="17">
          <cell r="D17" t="str">
            <v>GINGER</v>
          </cell>
          <cell r="F17">
            <v>1126</v>
          </cell>
          <cell r="J17">
            <v>90.4</v>
          </cell>
          <cell r="K17">
            <v>88.954000000000008</v>
          </cell>
          <cell r="M17">
            <v>41</v>
          </cell>
          <cell r="N17">
            <v>3</v>
          </cell>
          <cell r="P17">
            <v>1.5995575221238914</v>
          </cell>
        </row>
        <row r="18">
          <cell r="B18">
            <v>42928</v>
          </cell>
          <cell r="D18" t="str">
            <v>STAG</v>
          </cell>
          <cell r="E18">
            <v>595</v>
          </cell>
          <cell r="F18">
            <v>4824</v>
          </cell>
          <cell r="J18">
            <v>318.8</v>
          </cell>
          <cell r="K18">
            <v>318.38400000000001</v>
          </cell>
          <cell r="M18">
            <v>106</v>
          </cell>
          <cell r="N18">
            <v>17</v>
          </cell>
          <cell r="P18">
            <v>0.13048933500627252</v>
          </cell>
          <cell r="Q18">
            <v>486.45378151260508</v>
          </cell>
        </row>
        <row r="19">
          <cell r="B19">
            <v>42929</v>
          </cell>
          <cell r="D19" t="str">
            <v>CARIB (FLINT)</v>
          </cell>
          <cell r="E19">
            <v>606</v>
          </cell>
          <cell r="F19">
            <v>3803</v>
          </cell>
          <cell r="J19">
            <v>252.5</v>
          </cell>
          <cell r="K19">
            <v>250.99800000000002</v>
          </cell>
          <cell r="M19">
            <v>210</v>
          </cell>
          <cell r="N19">
            <v>14</v>
          </cell>
          <cell r="P19">
            <v>0.59485148514850739</v>
          </cell>
          <cell r="Q19">
            <v>376.53465346534654</v>
          </cell>
        </row>
        <row r="20">
          <cell r="B20">
            <v>42930</v>
          </cell>
          <cell r="D20" t="str">
            <v>CARIB( AMBER)</v>
          </cell>
          <cell r="E20">
            <v>559</v>
          </cell>
          <cell r="F20">
            <v>1723</v>
          </cell>
          <cell r="J20">
            <v>115.1</v>
          </cell>
          <cell r="K20">
            <v>113.718</v>
          </cell>
          <cell r="M20">
            <v>20</v>
          </cell>
          <cell r="N20">
            <v>4</v>
          </cell>
          <cell r="P20">
            <v>1.2006950477845273</v>
          </cell>
          <cell r="Q20">
            <v>511.5563506261181</v>
          </cell>
        </row>
        <row r="21">
          <cell r="D21" t="str">
            <v xml:space="preserve">STARMALT </v>
          </cell>
          <cell r="F21">
            <v>3043</v>
          </cell>
          <cell r="J21">
            <v>201.8</v>
          </cell>
          <cell r="K21">
            <v>200.83800000000002</v>
          </cell>
          <cell r="M21">
            <v>54</v>
          </cell>
          <cell r="N21">
            <v>9</v>
          </cell>
          <cell r="P21">
            <v>0.47670961347868634</v>
          </cell>
        </row>
        <row r="22">
          <cell r="B22">
            <v>42931</v>
          </cell>
          <cell r="D22" t="str">
            <v xml:space="preserve">STARMALT </v>
          </cell>
          <cell r="E22">
            <v>352</v>
          </cell>
          <cell r="F22">
            <v>2980</v>
          </cell>
          <cell r="J22">
            <v>197.9</v>
          </cell>
          <cell r="K22">
            <v>196.68</v>
          </cell>
          <cell r="M22">
            <v>72</v>
          </cell>
          <cell r="N22">
            <v>14</v>
          </cell>
          <cell r="P22">
            <v>0.61647296614451685</v>
          </cell>
          <cell r="Q22">
            <v>507.9545454545455</v>
          </cell>
        </row>
        <row r="23">
          <cell r="B23">
            <v>42933</v>
          </cell>
          <cell r="D23" t="str">
            <v>STAG</v>
          </cell>
          <cell r="E23">
            <v>919</v>
          </cell>
          <cell r="F23">
            <v>5831</v>
          </cell>
          <cell r="J23">
            <v>388.7</v>
          </cell>
          <cell r="K23">
            <v>387.69600000000003</v>
          </cell>
          <cell r="M23">
            <v>122</v>
          </cell>
          <cell r="N23">
            <v>55</v>
          </cell>
          <cell r="P23">
            <v>0.25829688705941917</v>
          </cell>
          <cell r="Q23">
            <v>495.73449401523396</v>
          </cell>
        </row>
        <row r="24">
          <cell r="D24" t="str">
            <v>CARIB (AMBER)</v>
          </cell>
          <cell r="F24">
            <v>1762</v>
          </cell>
          <cell r="J24">
            <v>117</v>
          </cell>
          <cell r="K24">
            <v>116.292</v>
          </cell>
          <cell r="M24">
            <v>46</v>
          </cell>
          <cell r="N24">
            <v>10</v>
          </cell>
          <cell r="P24">
            <v>0.60512820512820376</v>
          </cell>
        </row>
        <row r="25">
          <cell r="B25">
            <v>42934</v>
          </cell>
          <cell r="D25" t="str">
            <v>CARIB (FLINT)</v>
          </cell>
          <cell r="E25">
            <v>335</v>
          </cell>
          <cell r="F25">
            <v>649</v>
          </cell>
          <cell r="J25">
            <v>152.70000000000002</v>
          </cell>
          <cell r="K25">
            <v>150.876</v>
          </cell>
          <cell r="M25">
            <v>111</v>
          </cell>
          <cell r="N25">
            <v>11</v>
          </cell>
          <cell r="P25">
            <v>1.1944990176817367</v>
          </cell>
          <cell r="Q25">
            <v>409.43283582089555</v>
          </cell>
        </row>
        <row r="26">
          <cell r="D26" t="str">
            <v>CARIB (AMBER)</v>
          </cell>
          <cell r="F26">
            <v>1637</v>
          </cell>
        </row>
        <row r="27">
          <cell r="B27">
            <v>42935</v>
          </cell>
          <cell r="D27" t="str">
            <v>CARIB (AMBER)</v>
          </cell>
          <cell r="E27">
            <v>862</v>
          </cell>
          <cell r="F27">
            <v>3715</v>
          </cell>
          <cell r="J27">
            <v>252.89999999999992</v>
          </cell>
          <cell r="K27">
            <v>248.99</v>
          </cell>
          <cell r="M27">
            <v>507</v>
          </cell>
          <cell r="N27">
            <v>14</v>
          </cell>
          <cell r="P27">
            <v>1.5460656385922944</v>
          </cell>
          <cell r="Q27">
            <v>258.58468677494199</v>
          </cell>
        </row>
        <row r="28">
          <cell r="B28">
            <v>42936</v>
          </cell>
          <cell r="D28" t="str">
            <v>CARIB (AMBER)</v>
          </cell>
          <cell r="E28">
            <v>798</v>
          </cell>
          <cell r="F28">
            <v>6192</v>
          </cell>
          <cell r="H28">
            <v>311</v>
          </cell>
          <cell r="J28">
            <v>413.9</v>
          </cell>
          <cell r="K28">
            <v>412.47200000000004</v>
          </cell>
          <cell r="M28">
            <v>183</v>
          </cell>
          <cell r="N28">
            <v>19</v>
          </cell>
          <cell r="P28">
            <v>0.34501087219133619</v>
          </cell>
          <cell r="Q28">
            <v>465.56390977443607</v>
          </cell>
        </row>
        <row r="29">
          <cell r="B29">
            <v>42937</v>
          </cell>
          <cell r="D29" t="str">
            <v>VITAMALT</v>
          </cell>
          <cell r="E29">
            <v>895</v>
          </cell>
          <cell r="F29">
            <v>6740</v>
          </cell>
          <cell r="H29">
            <v>228</v>
          </cell>
          <cell r="J29">
            <v>506</v>
          </cell>
          <cell r="K29">
            <v>501.45599999999996</v>
          </cell>
          <cell r="M29">
            <v>154</v>
          </cell>
          <cell r="N29">
            <v>45</v>
          </cell>
          <cell r="P29">
            <v>0.89802371541502757</v>
          </cell>
          <cell r="Q29">
            <v>451.84357541899442</v>
          </cell>
        </row>
        <row r="30">
          <cell r="B30">
            <v>42940</v>
          </cell>
          <cell r="D30" t="str">
            <v>GUINNESS</v>
          </cell>
          <cell r="E30">
            <v>920</v>
          </cell>
          <cell r="F30">
            <v>3456</v>
          </cell>
          <cell r="H30">
            <v>16</v>
          </cell>
          <cell r="J30">
            <v>228.2</v>
          </cell>
          <cell r="K30">
            <v>228.096</v>
          </cell>
          <cell r="M30">
            <v>468</v>
          </cell>
          <cell r="N30">
            <v>29</v>
          </cell>
          <cell r="P30">
            <v>4.5574057843989921E-2</v>
          </cell>
          <cell r="Q30">
            <v>225.39130434782606</v>
          </cell>
        </row>
        <row r="31">
          <cell r="B31">
            <v>42941</v>
          </cell>
          <cell r="D31" t="str">
            <v>GUINNESS</v>
          </cell>
          <cell r="E31">
            <v>870</v>
          </cell>
          <cell r="F31">
            <v>5399</v>
          </cell>
          <cell r="H31">
            <v>190</v>
          </cell>
          <cell r="J31">
            <v>357.2</v>
          </cell>
          <cell r="K31">
            <v>356.334</v>
          </cell>
          <cell r="M31">
            <v>323</v>
          </cell>
          <cell r="N31">
            <v>24</v>
          </cell>
          <cell r="P31">
            <v>0.24244120940649089</v>
          </cell>
          <cell r="Q31">
            <v>372.34482758620692</v>
          </cell>
        </row>
        <row r="32">
          <cell r="B32">
            <v>42942</v>
          </cell>
          <cell r="D32" t="str">
            <v>GUINNESS</v>
          </cell>
          <cell r="E32">
            <v>920</v>
          </cell>
          <cell r="F32">
            <v>2163</v>
          </cell>
          <cell r="J32">
            <v>143.80000000000001</v>
          </cell>
          <cell r="K32">
            <v>142.75800000000001</v>
          </cell>
          <cell r="M32">
            <v>83</v>
          </cell>
          <cell r="N32">
            <v>6.5</v>
          </cell>
          <cell r="P32">
            <v>0.72461752433936133</v>
          </cell>
          <cell r="Q32">
            <v>482.47826086956519</v>
          </cell>
        </row>
        <row r="33">
          <cell r="D33" t="str">
            <v>CARIB</v>
          </cell>
          <cell r="F33">
            <v>5235</v>
          </cell>
          <cell r="J33">
            <v>371.5</v>
          </cell>
          <cell r="K33">
            <v>367.74</v>
          </cell>
          <cell r="M33">
            <v>134</v>
          </cell>
          <cell r="N33">
            <v>22</v>
          </cell>
          <cell r="P33">
            <v>1.0121130551816933</v>
          </cell>
        </row>
        <row r="34">
          <cell r="B34">
            <v>42943</v>
          </cell>
          <cell r="D34" t="str">
            <v>STAG</v>
          </cell>
          <cell r="E34">
            <v>916</v>
          </cell>
          <cell r="F34">
            <v>7461</v>
          </cell>
          <cell r="J34">
            <v>514.90000000000009</v>
          </cell>
          <cell r="K34">
            <v>507.62600000000003</v>
          </cell>
          <cell r="M34">
            <v>173</v>
          </cell>
          <cell r="N34">
            <v>48</v>
          </cell>
          <cell r="P34">
            <v>1.412701495436018</v>
          </cell>
          <cell r="Q34">
            <v>488.71179039301308</v>
          </cell>
        </row>
        <row r="35">
          <cell r="B35">
            <v>42944</v>
          </cell>
          <cell r="D35" t="str">
            <v>MAXIMALT</v>
          </cell>
          <cell r="E35">
            <v>821</v>
          </cell>
          <cell r="F35">
            <v>4491</v>
          </cell>
          <cell r="J35">
            <v>299.3</v>
          </cell>
          <cell r="K35">
            <v>296.40600000000001</v>
          </cell>
          <cell r="N35">
            <v>11</v>
          </cell>
          <cell r="P35">
            <v>0.96692281991313245</v>
          </cell>
          <cell r="Q35">
            <v>460.63337393422654</v>
          </cell>
        </row>
        <row r="36">
          <cell r="D36" t="str">
            <v>TING</v>
          </cell>
          <cell r="F36">
            <v>1812</v>
          </cell>
          <cell r="J36">
            <v>122.95799999999998</v>
          </cell>
          <cell r="K36">
            <v>119.592</v>
          </cell>
          <cell r="N36">
            <v>6</v>
          </cell>
          <cell r="P36">
            <v>2.7375201288244653</v>
          </cell>
        </row>
        <row r="37">
          <cell r="D37" t="str">
            <v>CARIB</v>
          </cell>
          <cell r="E37">
            <v>920</v>
          </cell>
          <cell r="F37">
            <v>4267</v>
          </cell>
          <cell r="J37">
            <v>288.5</v>
          </cell>
          <cell r="K37">
            <v>287.322</v>
          </cell>
          <cell r="N37">
            <v>30</v>
          </cell>
          <cell r="P37">
            <v>0.40831889081455713</v>
          </cell>
          <cell r="Q37">
            <v>518.67391304347825</v>
          </cell>
        </row>
        <row r="38">
          <cell r="D38" t="str">
            <v>STAG</v>
          </cell>
          <cell r="F38">
            <v>3686</v>
          </cell>
          <cell r="J38">
            <v>244</v>
          </cell>
          <cell r="K38">
            <v>243.27600000000001</v>
          </cell>
          <cell r="N38">
            <v>9</v>
          </cell>
          <cell r="P38">
            <v>0.29672131147540554</v>
          </cell>
        </row>
      </sheetData>
      <sheetData sheetId="7">
        <row r="8">
          <cell r="B8">
            <v>42948</v>
          </cell>
          <cell r="D8" t="str">
            <v>CARIB</v>
          </cell>
          <cell r="E8">
            <v>916</v>
          </cell>
          <cell r="F8">
            <v>2418</v>
          </cell>
          <cell r="J8">
            <v>161.89999999999998</v>
          </cell>
          <cell r="K8">
            <v>159.58799999999999</v>
          </cell>
          <cell r="M8">
            <v>27</v>
          </cell>
          <cell r="N8">
            <v>18</v>
          </cell>
          <cell r="P8">
            <v>1.4280420012353203</v>
          </cell>
          <cell r="Q8">
            <v>450.78602620087332</v>
          </cell>
        </row>
        <row r="9">
          <cell r="D9" t="str">
            <v>STAG</v>
          </cell>
          <cell r="F9">
            <v>4464</v>
          </cell>
          <cell r="J9">
            <v>303.5</v>
          </cell>
          <cell r="K9">
            <v>300.32400000000001</v>
          </cell>
          <cell r="M9">
            <v>194</v>
          </cell>
          <cell r="N9">
            <v>26.5</v>
          </cell>
          <cell r="P9">
            <v>1.0464579901153173</v>
          </cell>
        </row>
        <row r="10">
          <cell r="B10">
            <v>42949</v>
          </cell>
          <cell r="D10" t="str">
            <v>STAG</v>
          </cell>
          <cell r="E10">
            <v>919</v>
          </cell>
          <cell r="F10">
            <v>6076</v>
          </cell>
          <cell r="J10">
            <v>411</v>
          </cell>
          <cell r="K10">
            <v>404.81600000000003</v>
          </cell>
          <cell r="M10">
            <v>329</v>
          </cell>
          <cell r="N10">
            <v>46.75</v>
          </cell>
          <cell r="P10">
            <v>1.5046228710462213</v>
          </cell>
          <cell r="Q10">
            <v>396.69205658324267</v>
          </cell>
        </row>
        <row r="11">
          <cell r="B11">
            <v>42950</v>
          </cell>
          <cell r="D11" t="str">
            <v>STARMALT</v>
          </cell>
          <cell r="E11">
            <v>928</v>
          </cell>
          <cell r="F11">
            <v>5191</v>
          </cell>
          <cell r="J11">
            <v>346.7</v>
          </cell>
          <cell r="K11">
            <v>344.69599999999997</v>
          </cell>
          <cell r="M11">
            <v>182</v>
          </cell>
          <cell r="N11">
            <v>11.5</v>
          </cell>
          <cell r="P11">
            <v>0.57802134410153427</v>
          </cell>
          <cell r="Q11">
            <v>443.98706896551721</v>
          </cell>
        </row>
        <row r="12">
          <cell r="D12" t="str">
            <v>STAG</v>
          </cell>
          <cell r="F12">
            <v>1676</v>
          </cell>
          <cell r="J12">
            <v>111.10000000000001</v>
          </cell>
          <cell r="K12">
            <v>110.616</v>
          </cell>
          <cell r="M12">
            <v>73</v>
          </cell>
          <cell r="N12">
            <v>4</v>
          </cell>
          <cell r="P12">
            <v>0.43564356435644358</v>
          </cell>
        </row>
        <row r="13">
          <cell r="D13" t="str">
            <v>MACKESON</v>
          </cell>
          <cell r="E13">
            <v>751</v>
          </cell>
          <cell r="F13">
            <v>4261</v>
          </cell>
          <cell r="J13">
            <v>283.5</v>
          </cell>
          <cell r="K13">
            <v>281.226</v>
          </cell>
          <cell r="M13">
            <v>95</v>
          </cell>
          <cell r="N13">
            <v>22.25</v>
          </cell>
          <cell r="P13">
            <v>0.80211640211640245</v>
          </cell>
          <cell r="Q13">
            <v>395.63249001331553</v>
          </cell>
        </row>
        <row r="14">
          <cell r="D14" t="str">
            <v>SHANDY LIME</v>
          </cell>
          <cell r="F14">
            <v>691</v>
          </cell>
          <cell r="J14">
            <v>48.7</v>
          </cell>
          <cell r="K14">
            <v>47.506</v>
          </cell>
          <cell r="M14">
            <v>66</v>
          </cell>
          <cell r="N14">
            <v>4.25</v>
          </cell>
          <cell r="P14">
            <v>2.4517453798768019</v>
          </cell>
        </row>
        <row r="15">
          <cell r="D15" t="str">
            <v>CARIB (AMBER)</v>
          </cell>
          <cell r="E15">
            <v>514</v>
          </cell>
          <cell r="F15">
            <v>2461</v>
          </cell>
          <cell r="J15">
            <v>178.7</v>
          </cell>
          <cell r="K15">
            <v>176.29600000000002</v>
          </cell>
          <cell r="M15">
            <v>56</v>
          </cell>
          <cell r="N15">
            <v>7</v>
          </cell>
          <cell r="P15">
            <v>1.3452714045886782</v>
          </cell>
          <cell r="Q15">
            <v>422.91828793774323</v>
          </cell>
        </row>
        <row r="16">
          <cell r="D16" t="str">
            <v>SHANDY SORREL</v>
          </cell>
          <cell r="F16">
            <v>1162</v>
          </cell>
          <cell r="J16">
            <v>78.400000000000006</v>
          </cell>
          <cell r="K16">
            <v>76.692000000000007</v>
          </cell>
          <cell r="M16">
            <v>83</v>
          </cell>
          <cell r="N16">
            <v>21</v>
          </cell>
          <cell r="P16">
            <v>2.1785714285714262</v>
          </cell>
        </row>
        <row r="17">
          <cell r="D17" t="str">
            <v>STAG</v>
          </cell>
          <cell r="E17">
            <v>627</v>
          </cell>
          <cell r="F17">
            <v>4740</v>
          </cell>
          <cell r="H17">
            <v>9</v>
          </cell>
          <cell r="J17">
            <v>317.79999999999995</v>
          </cell>
          <cell r="K17">
            <v>315.69000000000005</v>
          </cell>
          <cell r="M17">
            <v>110</v>
          </cell>
          <cell r="N17">
            <v>30</v>
          </cell>
          <cell r="P17">
            <v>0.66393958464439906</v>
          </cell>
          <cell r="Q17">
            <v>453.58851674641153</v>
          </cell>
        </row>
        <row r="18">
          <cell r="D18" t="str">
            <v>STAG</v>
          </cell>
          <cell r="E18">
            <v>609</v>
          </cell>
          <cell r="F18">
            <v>729</v>
          </cell>
          <cell r="J18">
            <v>49.8</v>
          </cell>
          <cell r="K18">
            <v>48.114000000000004</v>
          </cell>
          <cell r="M18">
            <v>5</v>
          </cell>
          <cell r="N18">
            <v>4</v>
          </cell>
          <cell r="P18">
            <v>3.3855421686746845</v>
          </cell>
          <cell r="Q18">
            <v>518.22660098522169</v>
          </cell>
        </row>
        <row r="19">
          <cell r="D19" t="str">
            <v>CARIB</v>
          </cell>
          <cell r="F19">
            <v>4531</v>
          </cell>
          <cell r="J19">
            <v>318.90000000000003</v>
          </cell>
          <cell r="K19">
            <v>317.286</v>
          </cell>
          <cell r="M19">
            <v>38</v>
          </cell>
          <cell r="N19">
            <v>16</v>
          </cell>
          <cell r="P19">
            <v>0.50611476952023604</v>
          </cell>
        </row>
        <row r="20">
          <cell r="D20" t="str">
            <v>CARIB</v>
          </cell>
          <cell r="E20">
            <v>395</v>
          </cell>
          <cell r="F20">
            <v>1875</v>
          </cell>
          <cell r="J20">
            <v>144.1</v>
          </cell>
          <cell r="K20">
            <v>142.56</v>
          </cell>
          <cell r="M20">
            <v>25</v>
          </cell>
          <cell r="N20">
            <v>7.25</v>
          </cell>
          <cell r="P20">
            <v>1.0687022900763303</v>
          </cell>
          <cell r="Q20">
            <v>507.64556962025318</v>
          </cell>
        </row>
        <row r="21">
          <cell r="D21" t="str">
            <v>SHANDY GINGER</v>
          </cell>
          <cell r="F21">
            <v>1467</v>
          </cell>
          <cell r="J21">
            <v>100</v>
          </cell>
          <cell r="K21">
            <v>96.822000000000003</v>
          </cell>
          <cell r="M21">
            <v>38</v>
          </cell>
          <cell r="N21">
            <v>20</v>
          </cell>
          <cell r="P21">
            <v>3.1779999999999973</v>
          </cell>
        </row>
        <row r="22">
          <cell r="D22" t="str">
            <v>GUINNESS</v>
          </cell>
          <cell r="E22">
            <v>619</v>
          </cell>
          <cell r="F22">
            <v>3428</v>
          </cell>
          <cell r="H22">
            <v>234</v>
          </cell>
          <cell r="J22">
            <v>226.29999999999998</v>
          </cell>
          <cell r="K22">
            <v>226.24800000000002</v>
          </cell>
          <cell r="M22">
            <v>271</v>
          </cell>
          <cell r="N22">
            <v>18.5</v>
          </cell>
          <cell r="P22">
            <v>2.2978347326541793E-2</v>
          </cell>
          <cell r="Q22">
            <v>332.27786752827143</v>
          </cell>
        </row>
        <row r="23">
          <cell r="D23" t="str">
            <v>GUINNESS</v>
          </cell>
          <cell r="E23">
            <v>648</v>
          </cell>
          <cell r="F23">
            <v>760</v>
          </cell>
          <cell r="J23">
            <v>51.6</v>
          </cell>
          <cell r="K23">
            <v>50.160000000000004</v>
          </cell>
          <cell r="M23">
            <v>16</v>
          </cell>
          <cell r="N23">
            <v>12</v>
          </cell>
          <cell r="P23">
            <v>2.7906976744186003</v>
          </cell>
          <cell r="Q23">
            <v>467.49999999999994</v>
          </cell>
        </row>
        <row r="24">
          <cell r="D24" t="str">
            <v>CARIB</v>
          </cell>
          <cell r="F24">
            <v>4289</v>
          </cell>
          <cell r="J24">
            <v>285.60000000000002</v>
          </cell>
          <cell r="K24">
            <v>283.07400000000001</v>
          </cell>
          <cell r="M24">
            <v>137</v>
          </cell>
          <cell r="N24">
            <v>10</v>
          </cell>
          <cell r="P24">
            <v>0.88445378151260856</v>
          </cell>
        </row>
        <row r="25">
          <cell r="D25" t="str">
            <v>STAG</v>
          </cell>
          <cell r="E25">
            <v>560</v>
          </cell>
          <cell r="F25">
            <v>4937</v>
          </cell>
          <cell r="H25">
            <v>4</v>
          </cell>
          <cell r="J25">
            <v>327.60000000000002</v>
          </cell>
          <cell r="K25">
            <v>325.84200000000004</v>
          </cell>
          <cell r="M25">
            <v>43</v>
          </cell>
          <cell r="N25">
            <v>22</v>
          </cell>
          <cell r="P25">
            <v>0.53663003663003084</v>
          </cell>
          <cell r="Q25">
            <v>528.96428571428567</v>
          </cell>
        </row>
        <row r="26">
          <cell r="D26" t="str">
            <v>STAG</v>
          </cell>
          <cell r="E26">
            <v>605</v>
          </cell>
          <cell r="F26">
            <v>3428</v>
          </cell>
          <cell r="J26">
            <v>226.39999999999998</v>
          </cell>
          <cell r="K26">
            <v>226.24800000000002</v>
          </cell>
          <cell r="M26">
            <v>95</v>
          </cell>
          <cell r="N26">
            <v>12</v>
          </cell>
          <cell r="P26">
            <v>6.7137809187260769E-2</v>
          </cell>
          <cell r="Q26">
            <v>413.15702479338842</v>
          </cell>
        </row>
        <row r="27">
          <cell r="D27" t="str">
            <v>CARIB</v>
          </cell>
          <cell r="F27">
            <v>738</v>
          </cell>
          <cell r="J27">
            <v>50.6</v>
          </cell>
          <cell r="K27">
            <v>48.708000000000006</v>
          </cell>
          <cell r="M27">
            <v>19</v>
          </cell>
          <cell r="N27">
            <v>4</v>
          </cell>
          <cell r="P27">
            <v>3.7391304347826004</v>
          </cell>
        </row>
        <row r="28">
          <cell r="D28" t="str">
            <v>CARIB (FLINT)</v>
          </cell>
          <cell r="E28">
            <v>619</v>
          </cell>
          <cell r="F28">
            <v>335</v>
          </cell>
          <cell r="J28">
            <v>371.3</v>
          </cell>
          <cell r="K28">
            <v>370.32</v>
          </cell>
          <cell r="M28">
            <v>42</v>
          </cell>
          <cell r="N28">
            <v>15</v>
          </cell>
          <cell r="P28">
            <v>0.26393751683275468</v>
          </cell>
          <cell r="Q28">
            <v>522.94022617124392</v>
          </cell>
        </row>
        <row r="29">
          <cell r="D29" t="str">
            <v>CARIB (AMBER)</v>
          </cell>
          <cell r="F29">
            <v>5060</v>
          </cell>
        </row>
        <row r="30">
          <cell r="D30" t="str">
            <v>CARIB (AMBER)</v>
          </cell>
          <cell r="E30">
            <v>536</v>
          </cell>
          <cell r="F30">
            <v>1922</v>
          </cell>
          <cell r="J30">
            <v>127.3</v>
          </cell>
          <cell r="K30">
            <v>126.852</v>
          </cell>
          <cell r="N30">
            <v>8</v>
          </cell>
          <cell r="P30">
            <v>0.35192458758836864</v>
          </cell>
          <cell r="Q30">
            <v>391.67910447761193</v>
          </cell>
        </row>
        <row r="31">
          <cell r="D31" t="str">
            <v>GINSENG ORIGINAL</v>
          </cell>
          <cell r="F31">
            <v>1577</v>
          </cell>
          <cell r="J31">
            <v>107.8</v>
          </cell>
          <cell r="K31">
            <v>104.08200000000001</v>
          </cell>
          <cell r="N31">
            <v>22</v>
          </cell>
        </row>
        <row r="32">
          <cell r="D32" t="str">
            <v xml:space="preserve">VITAMALT </v>
          </cell>
          <cell r="E32">
            <v>592</v>
          </cell>
          <cell r="F32">
            <v>3991</v>
          </cell>
          <cell r="J32">
            <v>297.70000000000005</v>
          </cell>
          <cell r="K32">
            <v>296.93039999999996</v>
          </cell>
          <cell r="N32">
            <v>32</v>
          </cell>
          <cell r="P32">
            <v>0.25851528384282235</v>
          </cell>
          <cell r="Q32">
            <v>404.49324324324323</v>
          </cell>
        </row>
        <row r="33">
          <cell r="D33" t="str">
            <v>JUICY COOL (Soda Water)</v>
          </cell>
          <cell r="E33">
            <v>602</v>
          </cell>
          <cell r="F33">
            <v>299</v>
          </cell>
          <cell r="J33">
            <v>23.620999999999999</v>
          </cell>
          <cell r="K33">
            <v>23.620999999999999</v>
          </cell>
          <cell r="N33">
            <v>0.5</v>
          </cell>
          <cell r="P33">
            <v>0</v>
          </cell>
          <cell r="Q33">
            <v>292.02657807308969</v>
          </cell>
        </row>
        <row r="34">
          <cell r="D34" t="str">
            <v>JUICY COOL (Orange)</v>
          </cell>
          <cell r="F34">
            <v>1159</v>
          </cell>
          <cell r="J34">
            <v>93.429591836734701</v>
          </cell>
          <cell r="K34">
            <v>91.561000000000007</v>
          </cell>
          <cell r="N34">
            <v>1</v>
          </cell>
          <cell r="P34">
            <v>2.0000000000000004</v>
          </cell>
        </row>
        <row r="35">
          <cell r="D35" t="str">
            <v>JUICY COOL (Cream)</v>
          </cell>
          <cell r="F35">
            <v>1123</v>
          </cell>
          <cell r="J35">
            <v>90.527551020408168</v>
          </cell>
          <cell r="K35">
            <v>88.716999999999999</v>
          </cell>
          <cell r="N35">
            <v>5.5</v>
          </cell>
          <cell r="P35">
            <v>2.0000000000000071</v>
          </cell>
        </row>
        <row r="36">
          <cell r="D36" t="str">
            <v>JUICY COOL (Kola)</v>
          </cell>
          <cell r="F36">
            <v>349</v>
          </cell>
          <cell r="J36">
            <v>30.510000000000005</v>
          </cell>
          <cell r="K36">
            <v>27.571000000000002</v>
          </cell>
          <cell r="N36">
            <v>0.25</v>
          </cell>
          <cell r="P36">
            <v>9.6329072435267236</v>
          </cell>
        </row>
        <row r="37">
          <cell r="D37" t="str">
            <v>TING</v>
          </cell>
          <cell r="E37">
            <v>693</v>
          </cell>
          <cell r="F37">
            <v>1822</v>
          </cell>
          <cell r="J37">
            <v>122.95799999999998</v>
          </cell>
          <cell r="K37">
            <v>120.25200000000001</v>
          </cell>
          <cell r="N37">
            <v>10.25</v>
          </cell>
          <cell r="P37">
            <v>2.2007514761137745</v>
          </cell>
          <cell r="Q37">
            <v>157.74891774891773</v>
          </cell>
        </row>
        <row r="38">
          <cell r="D38" t="str">
            <v>STAG</v>
          </cell>
          <cell r="E38">
            <v>628</v>
          </cell>
          <cell r="F38">
            <v>4434</v>
          </cell>
          <cell r="J38">
            <v>296.3</v>
          </cell>
          <cell r="K38">
            <v>292.64400000000001</v>
          </cell>
          <cell r="N38">
            <v>24</v>
          </cell>
          <cell r="P38">
            <v>1.2338845764427964</v>
          </cell>
          <cell r="Q38">
            <v>423.63057324840764</v>
          </cell>
        </row>
        <row r="39">
          <cell r="D39" t="str">
            <v>STAG</v>
          </cell>
          <cell r="E39">
            <v>617</v>
          </cell>
          <cell r="F39">
            <v>3932</v>
          </cell>
          <cell r="J39">
            <v>262.39999999999998</v>
          </cell>
          <cell r="K39">
            <v>259.512</v>
          </cell>
          <cell r="N39">
            <v>17</v>
          </cell>
          <cell r="P39">
            <v>1.1006097560975523</v>
          </cell>
          <cell r="Q39">
            <v>459.38411669367912</v>
          </cell>
        </row>
        <row r="40">
          <cell r="D40" t="str">
            <v>CARIB</v>
          </cell>
          <cell r="F40">
            <v>792</v>
          </cell>
          <cell r="J40">
            <v>77.5</v>
          </cell>
          <cell r="K40">
            <v>75.072000000000003</v>
          </cell>
          <cell r="N40">
            <v>1</v>
          </cell>
          <cell r="P40">
            <v>3.132903225806448</v>
          </cell>
        </row>
        <row r="41">
          <cell r="D41" t="str">
            <v>CARIB</v>
          </cell>
          <cell r="E41">
            <v>762</v>
          </cell>
          <cell r="F41">
            <v>3956</v>
          </cell>
          <cell r="J41">
            <v>277.3</v>
          </cell>
          <cell r="K41">
            <v>276.29599999999999</v>
          </cell>
          <cell r="N41">
            <v>10</v>
          </cell>
          <cell r="P41">
            <v>0.36206274792644033</v>
          </cell>
          <cell r="Q41">
            <v>311.49606299212599</v>
          </cell>
        </row>
      </sheetData>
      <sheetData sheetId="8">
        <row r="8">
          <cell r="B8">
            <v>42979</v>
          </cell>
          <cell r="D8" t="str">
            <v xml:space="preserve">MACKESON </v>
          </cell>
          <cell r="E8">
            <v>602</v>
          </cell>
          <cell r="F8">
            <v>3313</v>
          </cell>
          <cell r="H8">
            <v>10</v>
          </cell>
          <cell r="J8">
            <v>219.2</v>
          </cell>
          <cell r="K8">
            <v>218.65800000000002</v>
          </cell>
          <cell r="N8">
            <v>30</v>
          </cell>
          <cell r="P8">
            <v>0.24726277372261549</v>
          </cell>
          <cell r="Q8">
            <v>330.19933554817277</v>
          </cell>
        </row>
        <row r="9">
          <cell r="B9">
            <v>42992</v>
          </cell>
          <cell r="D9" t="str">
            <v>STAG</v>
          </cell>
          <cell r="E9">
            <v>256</v>
          </cell>
          <cell r="F9">
            <v>1503</v>
          </cell>
          <cell r="H9">
            <v>32</v>
          </cell>
          <cell r="J9">
            <v>100.19999999999999</v>
          </cell>
          <cell r="K9">
            <v>99.198000000000008</v>
          </cell>
          <cell r="N9">
            <v>12</v>
          </cell>
          <cell r="P9">
            <v>0.99999999999998124</v>
          </cell>
          <cell r="Q9">
            <v>352.265625</v>
          </cell>
        </row>
        <row r="10">
          <cell r="B10">
            <v>42993</v>
          </cell>
          <cell r="D10" t="str">
            <v>STAG</v>
          </cell>
          <cell r="E10">
            <v>778</v>
          </cell>
          <cell r="F10">
            <v>2634</v>
          </cell>
          <cell r="J10">
            <v>174.8</v>
          </cell>
          <cell r="K10">
            <v>173.84399999999999</v>
          </cell>
          <cell r="N10">
            <v>18</v>
          </cell>
          <cell r="P10">
            <v>0.54691075514875132</v>
          </cell>
          <cell r="Q10">
            <v>429.17737789203085</v>
          </cell>
        </row>
        <row r="11">
          <cell r="D11" t="str">
            <v>CARIB (AMBER)</v>
          </cell>
          <cell r="F11">
            <v>2931</v>
          </cell>
          <cell r="J11">
            <v>194.60000000000002</v>
          </cell>
          <cell r="K11">
            <v>193.446</v>
          </cell>
          <cell r="N11">
            <v>6.5</v>
          </cell>
          <cell r="P11">
            <v>0.59301130524153378</v>
          </cell>
        </row>
        <row r="12">
          <cell r="D12" t="str">
            <v>VITA MALT</v>
          </cell>
          <cell r="E12">
            <v>603</v>
          </cell>
          <cell r="F12">
            <v>3968</v>
          </cell>
          <cell r="J12">
            <v>297.7</v>
          </cell>
          <cell r="K12">
            <v>295.2192</v>
          </cell>
          <cell r="N12">
            <v>16.5</v>
          </cell>
          <cell r="P12">
            <v>0.83332213637890096</v>
          </cell>
          <cell r="Q12">
            <v>394.82587064676613</v>
          </cell>
        </row>
        <row r="13">
          <cell r="D13" t="str">
            <v>STAG</v>
          </cell>
          <cell r="E13">
            <v>944</v>
          </cell>
          <cell r="F13">
            <v>5499</v>
          </cell>
          <cell r="J13">
            <v>364.6</v>
          </cell>
          <cell r="K13">
            <v>362.93400000000003</v>
          </cell>
          <cell r="N13">
            <v>44.25</v>
          </cell>
          <cell r="P13">
            <v>0.45693911135490861</v>
          </cell>
          <cell r="Q13">
            <v>384.53389830508479</v>
          </cell>
        </row>
        <row r="14">
          <cell r="D14" t="str">
            <v>BAD DOG</v>
          </cell>
          <cell r="F14">
            <v>551</v>
          </cell>
          <cell r="J14">
            <v>39.700000000000003</v>
          </cell>
          <cell r="K14">
            <v>38.265999999999998</v>
          </cell>
          <cell r="N14">
            <v>7</v>
          </cell>
          <cell r="P14">
            <v>3.6120906801007671</v>
          </cell>
        </row>
        <row r="15">
          <cell r="D15" t="str">
            <v>CARIB (AMBER)</v>
          </cell>
          <cell r="E15">
            <v>917</v>
          </cell>
          <cell r="F15">
            <v>7490</v>
          </cell>
          <cell r="J15">
            <v>511.70000000000005</v>
          </cell>
          <cell r="K15">
            <v>508.59000000000003</v>
          </cell>
          <cell r="N15">
            <v>33</v>
          </cell>
          <cell r="P15">
            <v>0.60777799491890039</v>
          </cell>
          <cell r="Q15">
            <v>490.07633587786262</v>
          </cell>
        </row>
        <row r="16">
          <cell r="D16" t="str">
            <v>GUINNESS</v>
          </cell>
          <cell r="E16">
            <v>915</v>
          </cell>
          <cell r="F16">
            <v>3218</v>
          </cell>
          <cell r="J16">
            <v>212.70000000000002</v>
          </cell>
          <cell r="K16">
            <v>212.38800000000001</v>
          </cell>
          <cell r="N16">
            <v>15</v>
          </cell>
          <cell r="P16">
            <v>0.14668547249647945</v>
          </cell>
          <cell r="Q16">
            <v>211.01639344262296</v>
          </cell>
        </row>
        <row r="17">
          <cell r="D17" t="str">
            <v>GUINNESS</v>
          </cell>
          <cell r="E17">
            <v>947</v>
          </cell>
          <cell r="F17">
            <v>1346</v>
          </cell>
          <cell r="J17">
            <v>91.1</v>
          </cell>
          <cell r="K17">
            <v>88.835999999999999</v>
          </cell>
          <cell r="N17">
            <v>11</v>
          </cell>
          <cell r="P17">
            <v>2.485181119648733</v>
          </cell>
          <cell r="Q17">
            <v>429.56705385427665</v>
          </cell>
        </row>
        <row r="18">
          <cell r="D18" t="str">
            <v>STAG</v>
          </cell>
          <cell r="F18">
            <v>5434</v>
          </cell>
          <cell r="J18">
            <v>365.40000000000003</v>
          </cell>
          <cell r="K18">
            <v>363.39400000000001</v>
          </cell>
          <cell r="N18">
            <v>20.75</v>
          </cell>
          <cell r="P18">
            <v>0.54898741105638438</v>
          </cell>
        </row>
        <row r="19">
          <cell r="D19" t="str">
            <v>STAG</v>
          </cell>
          <cell r="E19">
            <v>782</v>
          </cell>
          <cell r="F19">
            <v>2528</v>
          </cell>
          <cell r="J19">
            <v>167.8</v>
          </cell>
          <cell r="K19">
            <v>166.84800000000001</v>
          </cell>
          <cell r="N19">
            <v>11</v>
          </cell>
          <cell r="P19">
            <v>0.56734207389749591</v>
          </cell>
          <cell r="Q19">
            <v>442.78772378516624</v>
          </cell>
        </row>
        <row r="20">
          <cell r="D20" t="str">
            <v>CARIB (AMBER)</v>
          </cell>
          <cell r="F20">
            <v>3243</v>
          </cell>
          <cell r="J20">
            <v>217.9</v>
          </cell>
          <cell r="K20">
            <v>214.03800000000001</v>
          </cell>
          <cell r="N20">
            <v>11</v>
          </cell>
          <cell r="P20">
            <v>1.772372648003669</v>
          </cell>
        </row>
        <row r="21">
          <cell r="D21" t="str">
            <v>CARIB (AMBER)</v>
          </cell>
          <cell r="E21">
            <v>426</v>
          </cell>
          <cell r="F21">
            <v>2659</v>
          </cell>
          <cell r="J21">
            <v>177.10000000000002</v>
          </cell>
          <cell r="K21">
            <v>175.494</v>
          </cell>
          <cell r="N21">
            <v>24</v>
          </cell>
          <cell r="P21">
            <v>0.90683229813665889</v>
          </cell>
          <cell r="Q21">
            <v>374.50704225352115</v>
          </cell>
        </row>
        <row r="22">
          <cell r="D22" t="str">
            <v>STAG</v>
          </cell>
          <cell r="E22">
            <v>620</v>
          </cell>
          <cell r="F22">
            <v>5449</v>
          </cell>
          <cell r="J22">
            <v>360.8</v>
          </cell>
          <cell r="K22">
            <v>359.63400000000001</v>
          </cell>
          <cell r="N22">
            <v>17</v>
          </cell>
          <cell r="P22">
            <v>0.32317073170731619</v>
          </cell>
          <cell r="Q22">
            <v>527.32258064516122</v>
          </cell>
        </row>
        <row r="23">
          <cell r="D23" t="str">
            <v>CARIB (FLINT)</v>
          </cell>
          <cell r="E23">
            <v>521</v>
          </cell>
          <cell r="F23">
            <v>1830</v>
          </cell>
          <cell r="J23">
            <v>229.5</v>
          </cell>
          <cell r="K23">
            <v>228.554</v>
          </cell>
          <cell r="N23">
            <v>22</v>
          </cell>
          <cell r="P23">
            <v>0.4122004357298466</v>
          </cell>
          <cell r="Q23">
            <v>382.22648752399232</v>
          </cell>
        </row>
        <row r="24">
          <cell r="D24" t="str">
            <v>CARIB (AMBER)</v>
          </cell>
          <cell r="F24">
            <v>1489</v>
          </cell>
        </row>
        <row r="25">
          <cell r="D25" t="str">
            <v>GUINNESS</v>
          </cell>
          <cell r="E25">
            <v>652</v>
          </cell>
          <cell r="F25">
            <v>4722</v>
          </cell>
          <cell r="J25">
            <v>312.8</v>
          </cell>
          <cell r="K25">
            <v>311.65199999999999</v>
          </cell>
          <cell r="N25">
            <v>29</v>
          </cell>
          <cell r="P25">
            <v>0.36700767263427891</v>
          </cell>
          <cell r="Q25">
            <v>434.53987730061345</v>
          </cell>
        </row>
        <row r="26">
          <cell r="D26" t="str">
            <v>GINGER</v>
          </cell>
          <cell r="E26">
            <v>565</v>
          </cell>
          <cell r="F26">
            <v>1177</v>
          </cell>
          <cell r="J26">
            <v>80.012460000000004</v>
          </cell>
          <cell r="K26">
            <v>77.682000000000002</v>
          </cell>
          <cell r="N26">
            <v>4</v>
          </cell>
          <cell r="P26">
            <v>2.9126213592233037</v>
          </cell>
          <cell r="Q26">
            <v>325.38053097345136</v>
          </cell>
        </row>
        <row r="27">
          <cell r="D27" t="str">
            <v>KOLA</v>
          </cell>
          <cell r="F27">
            <v>767</v>
          </cell>
          <cell r="J27">
            <v>52.140660000000004</v>
          </cell>
          <cell r="K27">
            <v>50.622</v>
          </cell>
          <cell r="N27">
            <v>1</v>
          </cell>
          <cell r="P27">
            <v>2.9126213592233086</v>
          </cell>
        </row>
        <row r="28">
          <cell r="D28" t="str">
            <v>BANANA</v>
          </cell>
          <cell r="F28">
            <v>1120</v>
          </cell>
          <cell r="J28">
            <v>76.137600000000006</v>
          </cell>
          <cell r="K28">
            <v>73.92</v>
          </cell>
          <cell r="N28">
            <v>3.5</v>
          </cell>
          <cell r="P28">
            <v>2.9126213592233068</v>
          </cell>
        </row>
      </sheetData>
      <sheetData sheetId="9">
        <row r="8">
          <cell r="B8">
            <v>43010</v>
          </cell>
          <cell r="D8" t="str">
            <v>STAG</v>
          </cell>
          <cell r="E8">
            <v>542</v>
          </cell>
          <cell r="F8">
            <v>4060</v>
          </cell>
          <cell r="J8">
            <v>269.10000000000002</v>
          </cell>
          <cell r="K8">
            <v>267.96000000000004</v>
          </cell>
          <cell r="M8">
            <v>200</v>
          </cell>
          <cell r="N8">
            <v>30</v>
          </cell>
          <cell r="P8">
            <v>0.42363433667780986</v>
          </cell>
          <cell r="Q8">
            <v>449.44649446494464</v>
          </cell>
        </row>
        <row r="9">
          <cell r="B9">
            <v>43011</v>
          </cell>
          <cell r="D9" t="str">
            <v>STAG</v>
          </cell>
          <cell r="E9">
            <v>547</v>
          </cell>
          <cell r="F9">
            <v>843.75</v>
          </cell>
          <cell r="J9">
            <v>65</v>
          </cell>
          <cell r="K9">
            <v>64.427499999999995</v>
          </cell>
          <cell r="M9">
            <v>30</v>
          </cell>
          <cell r="N9">
            <v>4</v>
          </cell>
          <cell r="P9">
            <v>0.88076923076923863</v>
          </cell>
          <cell r="Q9">
            <v>504.10420475319927</v>
          </cell>
        </row>
        <row r="10">
          <cell r="D10" t="str">
            <v>CARIB (AMBER)</v>
          </cell>
          <cell r="F10">
            <v>3752</v>
          </cell>
          <cell r="J10">
            <v>268.39999999999998</v>
          </cell>
          <cell r="K10">
            <v>266.63200000000001</v>
          </cell>
          <cell r="M10">
            <v>102</v>
          </cell>
          <cell r="N10">
            <v>16</v>
          </cell>
          <cell r="P10">
            <v>0.65871833084946807</v>
          </cell>
        </row>
        <row r="11">
          <cell r="B11">
            <v>43012</v>
          </cell>
          <cell r="D11" t="str">
            <v>STARMALT</v>
          </cell>
          <cell r="E11">
            <v>756</v>
          </cell>
          <cell r="F11">
            <v>5340</v>
          </cell>
          <cell r="J11">
            <v>353.7</v>
          </cell>
          <cell r="K11">
            <v>352.44</v>
          </cell>
          <cell r="M11">
            <v>294</v>
          </cell>
          <cell r="N11">
            <v>11</v>
          </cell>
          <cell r="P11">
            <v>0.35623409669210943</v>
          </cell>
          <cell r="Q11">
            <v>423.8095238095238</v>
          </cell>
        </row>
        <row r="12">
          <cell r="B12">
            <v>43017</v>
          </cell>
          <cell r="D12" t="str">
            <v>TING</v>
          </cell>
          <cell r="E12">
            <v>430</v>
          </cell>
          <cell r="F12">
            <v>1841</v>
          </cell>
          <cell r="J12">
            <v>122.95799999999998</v>
          </cell>
          <cell r="K12">
            <v>121.506</v>
          </cell>
          <cell r="M12">
            <v>173</v>
          </cell>
          <cell r="N12">
            <v>4</v>
          </cell>
          <cell r="P12">
            <v>1.1808910359634868</v>
          </cell>
          <cell r="Q12">
            <v>441.62790697674416</v>
          </cell>
        </row>
        <row r="13">
          <cell r="D13" t="str">
            <v>SHANDY SORREL</v>
          </cell>
          <cell r="F13">
            <v>1324</v>
          </cell>
          <cell r="J13">
            <v>87.9</v>
          </cell>
          <cell r="K13">
            <v>87.384</v>
          </cell>
          <cell r="M13">
            <v>71</v>
          </cell>
          <cell r="N13">
            <v>7</v>
          </cell>
          <cell r="P13">
            <v>0.58703071672355556</v>
          </cell>
        </row>
        <row r="14">
          <cell r="B14">
            <v>43018</v>
          </cell>
          <cell r="D14" t="str">
            <v>CARIB (FLINT)</v>
          </cell>
          <cell r="E14">
            <v>588</v>
          </cell>
          <cell r="F14">
            <v>182</v>
          </cell>
          <cell r="J14">
            <v>328.1</v>
          </cell>
          <cell r="K14">
            <v>327.68200000000002</v>
          </cell>
          <cell r="M14">
            <v>143</v>
          </cell>
          <cell r="P14">
            <v>0.12740018287107782</v>
          </cell>
          <cell r="Q14">
            <v>477.24489795918362</v>
          </cell>
        </row>
        <row r="15">
          <cell r="D15" t="str">
            <v>CARIB (AMBER)</v>
          </cell>
          <cell r="F15">
            <v>4495</v>
          </cell>
          <cell r="H15">
            <v>420</v>
          </cell>
          <cell r="N15">
            <v>25</v>
          </cell>
        </row>
        <row r="16">
          <cell r="B16">
            <v>43019</v>
          </cell>
          <cell r="D16" t="str">
            <v>MACKESON</v>
          </cell>
          <cell r="E16">
            <v>598</v>
          </cell>
          <cell r="F16">
            <v>4458</v>
          </cell>
          <cell r="J16">
            <v>295.2</v>
          </cell>
          <cell r="K16">
            <v>294.22800000000001</v>
          </cell>
          <cell r="M16">
            <v>222</v>
          </cell>
          <cell r="N16">
            <v>27.25</v>
          </cell>
          <cell r="P16">
            <v>0.32926829268292007</v>
          </cell>
          <cell r="Q16">
            <v>447.29096989966553</v>
          </cell>
        </row>
        <row r="17">
          <cell r="B17">
            <v>43020</v>
          </cell>
          <cell r="D17" t="str">
            <v>VITAMALT</v>
          </cell>
          <cell r="E17">
            <v>508</v>
          </cell>
          <cell r="F17">
            <v>340</v>
          </cell>
          <cell r="J17">
            <v>30</v>
          </cell>
          <cell r="K17">
            <v>25.295999999999999</v>
          </cell>
          <cell r="M17">
            <v>502</v>
          </cell>
          <cell r="N17">
            <v>6</v>
          </cell>
          <cell r="P17">
            <v>15.680000000000001</v>
          </cell>
          <cell r="Q17">
            <v>40.15748031496063</v>
          </cell>
        </row>
        <row r="18">
          <cell r="B18">
            <v>43021</v>
          </cell>
          <cell r="D18" t="str">
            <v>VITAMALT</v>
          </cell>
          <cell r="E18">
            <v>540</v>
          </cell>
          <cell r="F18">
            <v>3688</v>
          </cell>
          <cell r="J18">
            <v>277.7</v>
          </cell>
          <cell r="K18">
            <v>274.38719999999995</v>
          </cell>
          <cell r="M18">
            <v>205</v>
          </cell>
          <cell r="N18">
            <v>32</v>
          </cell>
          <cell r="P18">
            <v>1.1929420237666684</v>
          </cell>
          <cell r="Q18">
            <v>409.77777777777777</v>
          </cell>
        </row>
        <row r="19">
          <cell r="B19">
            <v>43024</v>
          </cell>
          <cell r="D19" t="str">
            <v>STAG</v>
          </cell>
          <cell r="E19">
            <v>795</v>
          </cell>
          <cell r="F19">
            <v>3900</v>
          </cell>
          <cell r="J19">
            <v>258.3</v>
          </cell>
          <cell r="K19">
            <v>257.40000000000003</v>
          </cell>
          <cell r="M19">
            <v>206</v>
          </cell>
          <cell r="N19">
            <v>30</v>
          </cell>
          <cell r="P19">
            <v>0.34843205574912012</v>
          </cell>
          <cell r="Q19">
            <v>415.69811320754718</v>
          </cell>
        </row>
        <row r="20">
          <cell r="D20" t="str">
            <v>CARIB (AMBER)</v>
          </cell>
          <cell r="F20">
            <v>1608</v>
          </cell>
          <cell r="J20">
            <v>106.30000000000001</v>
          </cell>
          <cell r="K20">
            <v>106.128</v>
          </cell>
          <cell r="M20">
            <v>99</v>
          </cell>
          <cell r="N20">
            <v>9</v>
          </cell>
          <cell r="P20">
            <v>0.16180620884290803</v>
          </cell>
        </row>
        <row r="21">
          <cell r="B21">
            <v>43025</v>
          </cell>
          <cell r="D21" t="str">
            <v>CARIB (AMBER)</v>
          </cell>
          <cell r="E21">
            <v>911</v>
          </cell>
          <cell r="F21">
            <v>6333</v>
          </cell>
          <cell r="J21">
            <v>433.1</v>
          </cell>
          <cell r="K21">
            <v>432.22800000000001</v>
          </cell>
          <cell r="M21">
            <v>363</v>
          </cell>
          <cell r="N21">
            <v>22</v>
          </cell>
          <cell r="P21">
            <v>0.20133918263680767</v>
          </cell>
          <cell r="Q21">
            <v>417.10208562019756</v>
          </cell>
        </row>
        <row r="22">
          <cell r="B22">
            <v>43026</v>
          </cell>
          <cell r="D22" t="str">
            <v>CARIB (AMBER)</v>
          </cell>
          <cell r="E22">
            <v>935</v>
          </cell>
          <cell r="F22">
            <v>1557</v>
          </cell>
          <cell r="J22">
            <v>103.5</v>
          </cell>
          <cell r="K22">
            <v>102.762</v>
          </cell>
          <cell r="M22">
            <v>60</v>
          </cell>
          <cell r="N22">
            <v>12</v>
          </cell>
          <cell r="P22">
            <v>0.71304347826086911</v>
          </cell>
          <cell r="Q22">
            <v>399.40106951871655</v>
          </cell>
        </row>
        <row r="23">
          <cell r="D23" t="str">
            <v>MACKESON</v>
          </cell>
          <cell r="F23">
            <v>4667</v>
          </cell>
          <cell r="J23">
            <v>309.7</v>
          </cell>
          <cell r="K23">
            <v>308.02199999999999</v>
          </cell>
          <cell r="M23">
            <v>323</v>
          </cell>
          <cell r="N23">
            <v>21.25</v>
          </cell>
          <cell r="P23">
            <v>0.54181465934775508</v>
          </cell>
        </row>
        <row r="24">
          <cell r="B24">
            <v>43027</v>
          </cell>
          <cell r="D24" t="str">
            <v>STAG</v>
          </cell>
          <cell r="E24">
            <v>820</v>
          </cell>
          <cell r="F24">
            <v>5679</v>
          </cell>
          <cell r="J24">
            <v>379.3</v>
          </cell>
          <cell r="K24">
            <v>374.81400000000002</v>
          </cell>
          <cell r="M24">
            <v>248</v>
          </cell>
          <cell r="N24">
            <v>25</v>
          </cell>
          <cell r="P24">
            <v>1.1827049828631662</v>
          </cell>
          <cell r="Q24">
            <v>424.02439024390247</v>
          </cell>
        </row>
        <row r="25">
          <cell r="D25" t="str">
            <v>MACKESON</v>
          </cell>
          <cell r="F25">
            <v>116</v>
          </cell>
          <cell r="J25">
            <v>8.6</v>
          </cell>
          <cell r="K25">
            <v>7.6560000000000006</v>
          </cell>
          <cell r="M25">
            <v>59</v>
          </cell>
          <cell r="N25">
            <v>0</v>
          </cell>
          <cell r="P25">
            <v>10.976744186046501</v>
          </cell>
        </row>
        <row r="26">
          <cell r="B26">
            <v>43028</v>
          </cell>
          <cell r="D26" t="str">
            <v>GUINNESS</v>
          </cell>
          <cell r="E26">
            <v>825</v>
          </cell>
          <cell r="J26">
            <v>292.89999999999998</v>
          </cell>
          <cell r="K26">
            <v>291.72000000000003</v>
          </cell>
          <cell r="M26">
            <v>174</v>
          </cell>
          <cell r="N26">
            <v>26</v>
          </cell>
          <cell r="P26">
            <v>0.40286787299417892</v>
          </cell>
          <cell r="Q26">
            <v>402.90909090909093</v>
          </cell>
        </row>
        <row r="27">
          <cell r="D27" t="str">
            <v>J Cool (Cream)</v>
          </cell>
          <cell r="F27">
            <v>1120</v>
          </cell>
          <cell r="J27">
            <v>90.4</v>
          </cell>
          <cell r="K27">
            <v>88.48</v>
          </cell>
          <cell r="M27">
            <v>198</v>
          </cell>
          <cell r="N27">
            <v>2</v>
          </cell>
          <cell r="P27">
            <v>2.123893805309736</v>
          </cell>
        </row>
        <row r="28">
          <cell r="B28">
            <v>43029</v>
          </cell>
          <cell r="D28" t="str">
            <v>J Cool (KOLA)</v>
          </cell>
          <cell r="E28">
            <v>620</v>
          </cell>
          <cell r="F28">
            <v>1176</v>
          </cell>
          <cell r="J28">
            <v>93.563999999999993</v>
          </cell>
          <cell r="K28">
            <v>92.903999999999996</v>
          </cell>
          <cell r="M28">
            <v>130</v>
          </cell>
          <cell r="N28">
            <v>1.5</v>
          </cell>
          <cell r="P28">
            <v>0.70539951263306044</v>
          </cell>
          <cell r="Q28">
            <v>348.67741935483866</v>
          </cell>
        </row>
        <row r="29">
          <cell r="D29" t="str">
            <v>J Cool (GRAPE)</v>
          </cell>
          <cell r="F29">
            <v>1169</v>
          </cell>
          <cell r="J29">
            <v>93.563999999999993</v>
          </cell>
          <cell r="K29">
            <v>92.350999999999999</v>
          </cell>
          <cell r="M29">
            <v>25</v>
          </cell>
          <cell r="N29">
            <v>1.5</v>
          </cell>
          <cell r="P29">
            <v>1.2964388012483368</v>
          </cell>
        </row>
        <row r="30">
          <cell r="D30" t="str">
            <v>J Cool (J. COLA)</v>
          </cell>
          <cell r="F30">
            <v>1258</v>
          </cell>
          <cell r="J30">
            <v>101.41020408163266</v>
          </cell>
          <cell r="K30">
            <v>99.382000000000005</v>
          </cell>
          <cell r="M30">
            <v>83</v>
          </cell>
          <cell r="P30">
            <v>1.9999999999999982</v>
          </cell>
        </row>
        <row r="31">
          <cell r="D31" t="str">
            <v>STAG</v>
          </cell>
          <cell r="E31">
            <v>778</v>
          </cell>
          <cell r="F31">
            <v>5800</v>
          </cell>
          <cell r="J31">
            <v>383.79999999999995</v>
          </cell>
          <cell r="K31">
            <v>382.8</v>
          </cell>
          <cell r="M31">
            <v>254</v>
          </cell>
          <cell r="N31">
            <v>30</v>
          </cell>
          <cell r="P31">
            <v>0.26055237102656159</v>
          </cell>
          <cell r="Q31">
            <v>447.30077120822619</v>
          </cell>
        </row>
        <row r="32">
          <cell r="D32" t="str">
            <v>CARIB</v>
          </cell>
          <cell r="E32">
            <v>745</v>
          </cell>
          <cell r="F32">
            <v>3414</v>
          </cell>
          <cell r="J32">
            <v>248</v>
          </cell>
          <cell r="K32">
            <v>244.32400000000001</v>
          </cell>
          <cell r="M32">
            <v>202</v>
          </cell>
          <cell r="N32">
            <v>27</v>
          </cell>
          <cell r="P32">
            <v>1.4822580645161241</v>
          </cell>
          <cell r="Q32">
            <v>367.24832214765104</v>
          </cell>
        </row>
        <row r="33">
          <cell r="D33" t="str">
            <v>SHANDY LIME</v>
          </cell>
          <cell r="F33">
            <v>1146</v>
          </cell>
          <cell r="J33">
            <v>78.3</v>
          </cell>
          <cell r="K33">
            <v>75.63600000000001</v>
          </cell>
          <cell r="M33">
            <v>119</v>
          </cell>
          <cell r="N33">
            <v>15</v>
          </cell>
          <cell r="P33">
            <v>3.4022988505746961</v>
          </cell>
        </row>
        <row r="34">
          <cell r="D34" t="str">
            <v>STAG</v>
          </cell>
          <cell r="E34">
            <v>679</v>
          </cell>
          <cell r="J34">
            <v>273.3</v>
          </cell>
          <cell r="K34">
            <v>272.38</v>
          </cell>
          <cell r="M34">
            <v>110</v>
          </cell>
          <cell r="N34">
            <v>26</v>
          </cell>
          <cell r="P34">
            <v>0.33662641785584191</v>
          </cell>
          <cell r="Q34">
            <v>486.89248895434463</v>
          </cell>
        </row>
        <row r="35">
          <cell r="D35" t="str">
            <v>SHANDY GINGER</v>
          </cell>
          <cell r="F35">
            <v>1455</v>
          </cell>
          <cell r="J35">
            <v>97.7</v>
          </cell>
          <cell r="K35">
            <v>96.03</v>
          </cell>
          <cell r="M35">
            <v>105</v>
          </cell>
          <cell r="N35">
            <v>8</v>
          </cell>
          <cell r="P35">
            <v>1.7093142272262045</v>
          </cell>
        </row>
        <row r="36">
          <cell r="D36" t="str">
            <v>STARMALT</v>
          </cell>
          <cell r="E36">
            <v>492</v>
          </cell>
          <cell r="F36">
            <v>4362</v>
          </cell>
          <cell r="J36">
            <v>290.7</v>
          </cell>
          <cell r="K36">
            <v>287.892</v>
          </cell>
          <cell r="M36">
            <v>117</v>
          </cell>
          <cell r="N36">
            <v>15</v>
          </cell>
          <cell r="P36">
            <v>0.96594427244581804</v>
          </cell>
          <cell r="Q36">
            <v>531.95121951219517</v>
          </cell>
        </row>
        <row r="37">
          <cell r="D37" t="str">
            <v>CARIB (FLINT)</v>
          </cell>
          <cell r="E37">
            <v>577</v>
          </cell>
          <cell r="F37">
            <v>1441</v>
          </cell>
          <cell r="J37">
            <v>99.1</v>
          </cell>
          <cell r="K37">
            <v>95.106000000000009</v>
          </cell>
          <cell r="M37">
            <v>546</v>
          </cell>
          <cell r="N37">
            <v>77</v>
          </cell>
          <cell r="P37">
            <v>4.0302724520686031</v>
          </cell>
          <cell r="Q37">
            <v>149.84402079722702</v>
          </cell>
        </row>
        <row r="38">
          <cell r="D38" t="str">
            <v>CARIB (FLINT)</v>
          </cell>
          <cell r="E38">
            <v>750</v>
          </cell>
          <cell r="F38">
            <v>2467</v>
          </cell>
          <cell r="J38">
            <v>342.9</v>
          </cell>
          <cell r="K38">
            <v>341.88</v>
          </cell>
          <cell r="M38">
            <v>287</v>
          </cell>
          <cell r="N38">
            <v>66</v>
          </cell>
          <cell r="P38">
            <v>0.29746281714785122</v>
          </cell>
          <cell r="Q38">
            <v>414.4</v>
          </cell>
        </row>
        <row r="39">
          <cell r="D39" t="str">
            <v>CARIB (AMBER)</v>
          </cell>
          <cell r="F39">
            <v>2713</v>
          </cell>
        </row>
      </sheetData>
      <sheetData sheetId="10">
        <row r="8">
          <cell r="D8" t="str">
            <v>GUINNESS</v>
          </cell>
          <cell r="E8">
            <v>780</v>
          </cell>
          <cell r="F8">
            <v>4578</v>
          </cell>
          <cell r="J8">
            <v>303.8</v>
          </cell>
          <cell r="K8">
            <v>302.14800000000002</v>
          </cell>
          <cell r="M8">
            <v>374</v>
          </cell>
          <cell r="N8">
            <v>23</v>
          </cell>
          <cell r="P8">
            <v>0.54377880184331362</v>
          </cell>
          <cell r="Q8">
            <v>352.15384615384613</v>
          </cell>
        </row>
        <row r="9">
          <cell r="D9" t="str">
            <v xml:space="preserve">CARIB </v>
          </cell>
          <cell r="E9">
            <v>695</v>
          </cell>
          <cell r="F9">
            <v>2548</v>
          </cell>
          <cell r="J9">
            <v>170.7</v>
          </cell>
          <cell r="K9">
            <v>168.16800000000001</v>
          </cell>
          <cell r="M9">
            <v>118</v>
          </cell>
          <cell r="N9">
            <v>14</v>
          </cell>
          <cell r="P9">
            <v>1.4833040421792516</v>
          </cell>
          <cell r="Q9">
            <v>321.41007194244605</v>
          </cell>
        </row>
        <row r="10">
          <cell r="D10" t="str">
            <v>STAG</v>
          </cell>
          <cell r="F10">
            <v>1175</v>
          </cell>
          <cell r="J10">
            <v>90.799999999999983</v>
          </cell>
          <cell r="K10">
            <v>85.149999999999991</v>
          </cell>
          <cell r="M10">
            <v>237</v>
          </cell>
          <cell r="N10">
            <v>62</v>
          </cell>
          <cell r="P10">
            <v>6.2224669603524143</v>
          </cell>
        </row>
        <row r="11">
          <cell r="D11" t="str">
            <v>STAG</v>
          </cell>
          <cell r="E11">
            <v>580</v>
          </cell>
          <cell r="F11">
            <v>4627</v>
          </cell>
          <cell r="J11">
            <v>306.60000000000002</v>
          </cell>
          <cell r="K11">
            <v>305.38200000000001</v>
          </cell>
          <cell r="M11">
            <v>173</v>
          </cell>
          <cell r="N11">
            <v>23</v>
          </cell>
          <cell r="P11">
            <v>0.39726027397260844</v>
          </cell>
          <cell r="Q11">
            <v>478.65517241379314</v>
          </cell>
        </row>
        <row r="12">
          <cell r="D12" t="str">
            <v>VITAMALT</v>
          </cell>
          <cell r="E12">
            <v>587</v>
          </cell>
          <cell r="F12">
            <v>4096</v>
          </cell>
          <cell r="J12">
            <v>309.10000000000002</v>
          </cell>
          <cell r="K12">
            <v>304.74239999999998</v>
          </cell>
          <cell r="M12">
            <v>345</v>
          </cell>
          <cell r="N12">
            <v>45</v>
          </cell>
          <cell r="P12">
            <v>1.4097703008735192</v>
          </cell>
          <cell r="Q12">
            <v>418.67120954003406</v>
          </cell>
        </row>
        <row r="13">
          <cell r="D13" t="str">
            <v>STAG</v>
          </cell>
          <cell r="E13">
            <v>903</v>
          </cell>
          <cell r="F13">
            <v>1222</v>
          </cell>
          <cell r="J13">
            <v>93.6</v>
          </cell>
          <cell r="K13">
            <v>90.152000000000001</v>
          </cell>
          <cell r="M13">
            <v>102</v>
          </cell>
          <cell r="N13">
            <v>25.5</v>
          </cell>
          <cell r="P13">
            <v>3.6837606837606769</v>
          </cell>
          <cell r="Q13">
            <v>471.56146179401992</v>
          </cell>
        </row>
        <row r="14">
          <cell r="D14" t="str">
            <v xml:space="preserve">CARIB </v>
          </cell>
          <cell r="F14">
            <v>5875</v>
          </cell>
          <cell r="J14">
            <v>408.4</v>
          </cell>
          <cell r="K14">
            <v>406.75</v>
          </cell>
          <cell r="M14">
            <v>191</v>
          </cell>
          <cell r="N14">
            <v>10</v>
          </cell>
          <cell r="P14">
            <v>0.4040156709108661</v>
          </cell>
        </row>
        <row r="15">
          <cell r="D15" t="str">
            <v>CARIB (FLINT)</v>
          </cell>
          <cell r="E15">
            <v>785</v>
          </cell>
          <cell r="F15">
            <v>951</v>
          </cell>
          <cell r="J15">
            <v>156.5</v>
          </cell>
          <cell r="K15">
            <v>155.958</v>
          </cell>
          <cell r="M15">
            <v>94</v>
          </cell>
          <cell r="N15">
            <v>20.5</v>
          </cell>
          <cell r="P15">
            <v>0.34632587859425024</v>
          </cell>
          <cell r="Q15">
            <v>482.75159235668787</v>
          </cell>
        </row>
        <row r="16">
          <cell r="D16" t="str">
            <v>CARIB (AMBER)</v>
          </cell>
          <cell r="F16">
            <v>1412</v>
          </cell>
        </row>
        <row r="17">
          <cell r="D17" t="str">
            <v>STAG</v>
          </cell>
          <cell r="F17">
            <v>3953</v>
          </cell>
          <cell r="J17">
            <v>261.60000000000002</v>
          </cell>
          <cell r="K17">
            <v>260.89800000000002</v>
          </cell>
          <cell r="M17">
            <v>151</v>
          </cell>
          <cell r="N17">
            <v>6</v>
          </cell>
          <cell r="P17">
            <v>0.26834862385321029</v>
          </cell>
        </row>
        <row r="18">
          <cell r="D18" t="str">
            <v>STAG</v>
          </cell>
          <cell r="E18">
            <v>901</v>
          </cell>
          <cell r="F18">
            <v>3254</v>
          </cell>
          <cell r="J18">
            <v>215.2</v>
          </cell>
          <cell r="K18">
            <v>214.76400000000001</v>
          </cell>
          <cell r="M18">
            <v>258</v>
          </cell>
          <cell r="N18">
            <v>11</v>
          </cell>
          <cell r="P18">
            <v>0.20260223048326145</v>
          </cell>
          <cell r="Q18">
            <v>404.81687014428411</v>
          </cell>
        </row>
        <row r="19">
          <cell r="D19" t="str">
            <v>CARIB (AMBER)</v>
          </cell>
          <cell r="F19">
            <v>2825</v>
          </cell>
          <cell r="J19">
            <v>187.79999999999998</v>
          </cell>
          <cell r="K19">
            <v>186.45000000000002</v>
          </cell>
          <cell r="M19">
            <v>132</v>
          </cell>
          <cell r="N19">
            <v>9</v>
          </cell>
          <cell r="P19">
            <v>0.71884984025557297</v>
          </cell>
        </row>
        <row r="20">
          <cell r="D20" t="str">
            <v>CARIB (AMBER)</v>
          </cell>
          <cell r="E20">
            <v>881</v>
          </cell>
          <cell r="F20">
            <v>6055</v>
          </cell>
          <cell r="J20">
            <v>420.20000000000005</v>
          </cell>
          <cell r="K20">
            <v>418.63</v>
          </cell>
          <cell r="M20">
            <v>171</v>
          </cell>
          <cell r="N20">
            <v>18</v>
          </cell>
          <cell r="P20">
            <v>0.37363160399810802</v>
          </cell>
          <cell r="Q20">
            <v>492.7355278093076</v>
          </cell>
        </row>
        <row r="21">
          <cell r="D21" t="str">
            <v>GINSENG ORIGINAL</v>
          </cell>
          <cell r="F21">
            <v>1180</v>
          </cell>
          <cell r="J21">
            <v>78.7</v>
          </cell>
          <cell r="K21">
            <v>77.88000000000001</v>
          </cell>
          <cell r="M21">
            <v>105</v>
          </cell>
          <cell r="N21">
            <v>12</v>
          </cell>
          <cell r="P21">
            <v>1.0419313850063445</v>
          </cell>
        </row>
        <row r="22">
          <cell r="D22" t="str">
            <v>STAG</v>
          </cell>
          <cell r="E22">
            <v>862</v>
          </cell>
          <cell r="F22">
            <v>4355</v>
          </cell>
          <cell r="J22">
            <v>296.60000000000002</v>
          </cell>
          <cell r="K22">
            <v>295.03000000000003</v>
          </cell>
          <cell r="M22">
            <v>284</v>
          </cell>
          <cell r="N22">
            <v>21</v>
          </cell>
          <cell r="P22">
            <v>0.52933243425488641</v>
          </cell>
          <cell r="Q22">
            <v>394.38515081206498</v>
          </cell>
        </row>
        <row r="23">
          <cell r="D23" t="str">
            <v>SHANDY SORREL</v>
          </cell>
          <cell r="F23">
            <v>1311</v>
          </cell>
          <cell r="J23">
            <v>88</v>
          </cell>
          <cell r="K23">
            <v>86.52600000000001</v>
          </cell>
          <cell r="M23">
            <v>90</v>
          </cell>
          <cell r="N23">
            <v>11</v>
          </cell>
          <cell r="P23">
            <v>1.6749999999999881</v>
          </cell>
        </row>
        <row r="24">
          <cell r="D24" t="str">
            <v>TING</v>
          </cell>
          <cell r="E24">
            <v>984</v>
          </cell>
          <cell r="F24">
            <v>3649</v>
          </cell>
          <cell r="J24">
            <v>245.91599999999997</v>
          </cell>
          <cell r="K24">
            <v>240.834</v>
          </cell>
          <cell r="M24">
            <v>158</v>
          </cell>
          <cell r="N24">
            <v>7</v>
          </cell>
          <cell r="P24">
            <v>2.0665593129361106</v>
          </cell>
          <cell r="Q24">
            <v>384.45121951219517</v>
          </cell>
        </row>
        <row r="25">
          <cell r="D25" t="str">
            <v>J COOL (SODA WATER)</v>
          </cell>
          <cell r="F25">
            <v>303</v>
          </cell>
          <cell r="J25">
            <v>23.937000000000001</v>
          </cell>
          <cell r="K25">
            <v>23.937000000000001</v>
          </cell>
          <cell r="M25">
            <v>254</v>
          </cell>
          <cell r="N25">
            <v>0</v>
          </cell>
        </row>
        <row r="26">
          <cell r="D26" t="str">
            <v>J COOL (KOLA)</v>
          </cell>
          <cell r="F26">
            <v>1157</v>
          </cell>
          <cell r="J26">
            <v>94.920000000000016</v>
          </cell>
          <cell r="K26">
            <v>91.403000000000006</v>
          </cell>
          <cell r="M26">
            <v>10</v>
          </cell>
          <cell r="N26">
            <v>0</v>
          </cell>
          <cell r="P26">
            <v>3.7052254530130737</v>
          </cell>
        </row>
        <row r="27">
          <cell r="D27" t="str">
            <v>J COOL (GINGER)</v>
          </cell>
          <cell r="F27">
            <v>1196</v>
          </cell>
          <cell r="J27">
            <v>94.920000000000016</v>
          </cell>
          <cell r="K27">
            <v>94.483999999999995</v>
          </cell>
          <cell r="M27">
            <v>17</v>
          </cell>
          <cell r="N27">
            <v>0</v>
          </cell>
          <cell r="P27">
            <v>0.45933417614835775</v>
          </cell>
        </row>
        <row r="28">
          <cell r="D28" t="str">
            <v>STAG</v>
          </cell>
          <cell r="E28">
            <v>796</v>
          </cell>
          <cell r="F28">
            <v>896</v>
          </cell>
          <cell r="J28">
            <v>60.5</v>
          </cell>
          <cell r="K28">
            <v>59.136000000000003</v>
          </cell>
          <cell r="M28">
            <v>400</v>
          </cell>
          <cell r="N28">
            <v>4</v>
          </cell>
          <cell r="P28">
            <v>2.25454545454545</v>
          </cell>
          <cell r="Q28">
            <v>292.8391959798995</v>
          </cell>
        </row>
        <row r="29">
          <cell r="D29" t="str">
            <v>CARIB (AMBER)</v>
          </cell>
          <cell r="F29">
            <v>2989</v>
          </cell>
          <cell r="J29">
            <v>204.2</v>
          </cell>
          <cell r="K29">
            <v>197.274</v>
          </cell>
          <cell r="M29">
            <v>104</v>
          </cell>
          <cell r="N29">
            <v>96</v>
          </cell>
          <cell r="P29">
            <v>3.3917727717923549</v>
          </cell>
        </row>
        <row r="30">
          <cell r="D30" t="str">
            <v>CARIB (AMBER)</v>
          </cell>
          <cell r="E30">
            <v>904</v>
          </cell>
          <cell r="F30">
            <v>3430</v>
          </cell>
          <cell r="J30">
            <v>227</v>
          </cell>
          <cell r="K30">
            <v>226.38000000000002</v>
          </cell>
          <cell r="M30">
            <v>602</v>
          </cell>
          <cell r="N30">
            <v>9.75</v>
          </cell>
          <cell r="P30">
            <v>0.27312775330395422</v>
          </cell>
          <cell r="Q30">
            <v>227.65486725663717</v>
          </cell>
        </row>
        <row r="31">
          <cell r="D31" t="str">
            <v>CARIB (AMBER)</v>
          </cell>
          <cell r="E31">
            <v>709</v>
          </cell>
          <cell r="F31">
            <v>450</v>
          </cell>
          <cell r="J31">
            <v>51.3</v>
          </cell>
          <cell r="K31">
            <v>48.7</v>
          </cell>
          <cell r="M31">
            <v>80</v>
          </cell>
          <cell r="N31">
            <v>4</v>
          </cell>
          <cell r="P31">
            <v>5.0682261208576893</v>
          </cell>
          <cell r="Q31">
            <v>482.20028208744714</v>
          </cell>
        </row>
        <row r="32">
          <cell r="D32" t="str">
            <v>STAG</v>
          </cell>
          <cell r="F32">
            <v>5248</v>
          </cell>
          <cell r="J32">
            <v>352.5</v>
          </cell>
          <cell r="K32">
            <v>351.87799999999999</v>
          </cell>
          <cell r="M32">
            <v>165</v>
          </cell>
          <cell r="N32">
            <v>12</v>
          </cell>
          <cell r="P32">
            <v>0.17645390070922384</v>
          </cell>
        </row>
        <row r="33">
          <cell r="D33" t="str">
            <v>GUINNESS</v>
          </cell>
          <cell r="E33">
            <v>908</v>
          </cell>
          <cell r="F33">
            <v>4758</v>
          </cell>
          <cell r="J33">
            <v>314.7</v>
          </cell>
          <cell r="K33">
            <v>314.02800000000002</v>
          </cell>
          <cell r="M33">
            <v>492</v>
          </cell>
          <cell r="N33">
            <v>15</v>
          </cell>
          <cell r="P33">
            <v>0.21353670162058105</v>
          </cell>
          <cell r="Q33">
            <v>314.40528634361232</v>
          </cell>
        </row>
        <row r="34">
          <cell r="D34" t="str">
            <v>GUINNESS</v>
          </cell>
          <cell r="E34">
            <v>886</v>
          </cell>
          <cell r="F34">
            <v>2446</v>
          </cell>
          <cell r="J34">
            <v>161.9</v>
          </cell>
          <cell r="K34">
            <v>161.43600000000001</v>
          </cell>
          <cell r="M34">
            <v>191</v>
          </cell>
          <cell r="N34">
            <v>11</v>
          </cell>
          <cell r="P34">
            <v>0.28659666460778171</v>
          </cell>
          <cell r="Q34">
            <v>363.86004514672686</v>
          </cell>
        </row>
        <row r="35">
          <cell r="D35" t="str">
            <v>CARIB (FLINT)</v>
          </cell>
          <cell r="F35">
            <v>2927</v>
          </cell>
          <cell r="J35">
            <v>194.39999999999998</v>
          </cell>
          <cell r="K35">
            <v>193.18200000000002</v>
          </cell>
          <cell r="M35">
            <v>202</v>
          </cell>
          <cell r="N35">
            <v>37</v>
          </cell>
          <cell r="P35">
            <v>0.62654320987652312</v>
          </cell>
        </row>
        <row r="36">
          <cell r="D36" t="str">
            <v>CARIB (FLINT)</v>
          </cell>
          <cell r="E36">
            <v>728</v>
          </cell>
          <cell r="F36">
            <v>2053</v>
          </cell>
          <cell r="J36">
            <v>382.9</v>
          </cell>
          <cell r="K36">
            <v>381.52800000000002</v>
          </cell>
          <cell r="M36">
            <v>224</v>
          </cell>
          <cell r="N36">
            <v>43</v>
          </cell>
          <cell r="P36">
            <v>0.35831809872028136</v>
          </cell>
          <cell r="Q36">
            <v>462.19780219780222</v>
          </cell>
        </row>
        <row r="37">
          <cell r="D37" t="str">
            <v>CARIB (AMBER)</v>
          </cell>
          <cell r="F37">
            <v>3555</v>
          </cell>
        </row>
        <row r="38">
          <cell r="D38" t="str">
            <v>MACKESON</v>
          </cell>
          <cell r="E38">
            <v>896</v>
          </cell>
          <cell r="F38">
            <v>6511</v>
          </cell>
          <cell r="J38">
            <v>431.19999999999993</v>
          </cell>
          <cell r="K38">
            <v>429.726</v>
          </cell>
          <cell r="M38">
            <v>342</v>
          </cell>
          <cell r="N38">
            <v>15</v>
          </cell>
          <cell r="P38">
            <v>0.341836734693862</v>
          </cell>
          <cell r="Q38">
            <v>436.00446428571428</v>
          </cell>
        </row>
        <row r="39">
          <cell r="D39" t="str">
            <v>MACKESON</v>
          </cell>
          <cell r="E39">
            <v>896</v>
          </cell>
          <cell r="F39">
            <v>2173</v>
          </cell>
          <cell r="J39">
            <v>144.47</v>
          </cell>
          <cell r="K39">
            <v>143.41800000000001</v>
          </cell>
          <cell r="M39">
            <v>125</v>
          </cell>
          <cell r="N39">
            <v>15</v>
          </cell>
          <cell r="P39">
            <v>0.72817886066310833</v>
          </cell>
          <cell r="Q39">
            <v>421.27232142857144</v>
          </cell>
        </row>
        <row r="40">
          <cell r="D40" t="str">
            <v>STARMALT</v>
          </cell>
          <cell r="F40">
            <v>4118</v>
          </cell>
          <cell r="J40">
            <v>273</v>
          </cell>
          <cell r="K40">
            <v>271.78800000000001</v>
          </cell>
          <cell r="M40">
            <v>239</v>
          </cell>
          <cell r="N40">
            <v>10</v>
          </cell>
          <cell r="P40">
            <v>0.44395604395603999</v>
          </cell>
        </row>
        <row r="41">
          <cell r="D41" t="str">
            <v>STARMALT</v>
          </cell>
          <cell r="E41">
            <v>941</v>
          </cell>
          <cell r="F41">
            <v>2006</v>
          </cell>
          <cell r="J41">
            <v>134.5</v>
          </cell>
          <cell r="K41">
            <v>132.39600000000002</v>
          </cell>
          <cell r="M41">
            <v>56</v>
          </cell>
          <cell r="N41">
            <v>14</v>
          </cell>
          <cell r="P41">
            <v>1.5643122676579815</v>
          </cell>
          <cell r="Q41">
            <v>437.72582359192347</v>
          </cell>
        </row>
        <row r="42">
          <cell r="D42" t="str">
            <v>STAG</v>
          </cell>
          <cell r="F42">
            <v>4859</v>
          </cell>
          <cell r="J42">
            <v>337.20000000000005</v>
          </cell>
          <cell r="K42">
            <v>328.29400000000004</v>
          </cell>
          <cell r="M42">
            <v>292</v>
          </cell>
          <cell r="N42">
            <v>29</v>
          </cell>
          <cell r="P42">
            <v>2.6411625148279967</v>
          </cell>
        </row>
        <row r="43">
          <cell r="D43" t="str">
            <v>STAG</v>
          </cell>
          <cell r="E43">
            <v>860</v>
          </cell>
          <cell r="F43">
            <v>5843</v>
          </cell>
          <cell r="J43">
            <v>386</v>
          </cell>
          <cell r="K43">
            <v>385.63800000000003</v>
          </cell>
          <cell r="M43">
            <v>349</v>
          </cell>
          <cell r="N43">
            <v>41</v>
          </cell>
          <cell r="P43">
            <v>9.3782383419680398E-2</v>
          </cell>
          <cell r="Q43">
            <v>407.65116279069764</v>
          </cell>
        </row>
      </sheetData>
      <sheetData sheetId="11">
        <row r="8">
          <cell r="B8">
            <v>43070</v>
          </cell>
          <cell r="D8" t="str">
            <v>CARIB (AMBER)</v>
          </cell>
          <cell r="E8">
            <v>716</v>
          </cell>
          <cell r="F8">
            <v>5323</v>
          </cell>
          <cell r="J8">
            <v>369.2</v>
          </cell>
          <cell r="K8">
            <v>368.60800000000006</v>
          </cell>
          <cell r="M8">
            <v>275</v>
          </cell>
          <cell r="N8">
            <v>17</v>
          </cell>
          <cell r="P8">
            <v>0.16034669555794359</v>
          </cell>
          <cell r="Q8">
            <v>446.06145251396646</v>
          </cell>
        </row>
        <row r="9">
          <cell r="D9" t="str">
            <v>CARIB (AMBER)</v>
          </cell>
          <cell r="E9">
            <v>936</v>
          </cell>
          <cell r="F9">
            <v>2596</v>
          </cell>
          <cell r="J9">
            <v>172.8</v>
          </cell>
          <cell r="K9">
            <v>171.33600000000001</v>
          </cell>
          <cell r="M9">
            <v>108</v>
          </cell>
          <cell r="N9">
            <v>17</v>
          </cell>
          <cell r="P9">
            <v>0.84722222222222143</v>
          </cell>
          <cell r="Q9">
            <v>437.82051282051282</v>
          </cell>
        </row>
        <row r="10">
          <cell r="D10" t="str">
            <v>SHANDY SORREL</v>
          </cell>
          <cell r="F10">
            <v>2672</v>
          </cell>
          <cell r="H10">
            <v>210</v>
          </cell>
          <cell r="J10">
            <v>181.3</v>
          </cell>
          <cell r="K10">
            <v>176.352</v>
          </cell>
          <cell r="M10">
            <v>166</v>
          </cell>
          <cell r="N10">
            <v>4.2560000000000002</v>
          </cell>
          <cell r="P10">
            <v>2.7291781577495904</v>
          </cell>
        </row>
        <row r="11">
          <cell r="D11" t="str">
            <v xml:space="preserve">GINSENG </v>
          </cell>
          <cell r="F11">
            <v>1562</v>
          </cell>
          <cell r="J11">
            <v>105.3</v>
          </cell>
          <cell r="K11">
            <v>103.092</v>
          </cell>
          <cell r="M11">
            <v>94</v>
          </cell>
          <cell r="N11">
            <v>10</v>
          </cell>
          <cell r="P11">
            <v>2.0968660968660955</v>
          </cell>
        </row>
        <row r="12">
          <cell r="D12" t="str">
            <v>STAG</v>
          </cell>
          <cell r="E12">
            <v>700</v>
          </cell>
          <cell r="F12">
            <v>5995</v>
          </cell>
          <cell r="J12">
            <v>403.09999999999997</v>
          </cell>
          <cell r="K12">
            <v>395.67</v>
          </cell>
          <cell r="M12">
            <v>275</v>
          </cell>
          <cell r="N12">
            <v>36</v>
          </cell>
          <cell r="P12">
            <v>1.8432150831059166</v>
          </cell>
          <cell r="Q12">
            <v>513.85714285714289</v>
          </cell>
        </row>
        <row r="13">
          <cell r="D13" t="str">
            <v>STAG</v>
          </cell>
          <cell r="E13">
            <v>928</v>
          </cell>
          <cell r="F13">
            <v>720</v>
          </cell>
          <cell r="J13">
            <v>49.1</v>
          </cell>
          <cell r="K13">
            <v>47.52</v>
          </cell>
          <cell r="M13">
            <v>376</v>
          </cell>
          <cell r="N13">
            <v>13</v>
          </cell>
          <cell r="P13">
            <v>3.21792260692464</v>
          </cell>
          <cell r="Q13">
            <v>196.16379310344828</v>
          </cell>
        </row>
        <row r="14">
          <cell r="D14" t="str">
            <v>SHANDY LIME</v>
          </cell>
          <cell r="F14">
            <v>740</v>
          </cell>
          <cell r="J14">
            <v>52</v>
          </cell>
          <cell r="K14">
            <v>48.84</v>
          </cell>
          <cell r="M14">
            <v>63</v>
          </cell>
          <cell r="N14">
            <v>33</v>
          </cell>
          <cell r="P14">
            <v>6.0769230769230704</v>
          </cell>
        </row>
        <row r="15">
          <cell r="D15" t="str">
            <v>VITA MALT</v>
          </cell>
          <cell r="F15">
            <v>1574</v>
          </cell>
          <cell r="H15">
            <v>350</v>
          </cell>
          <cell r="J15">
            <v>119.19999999999999</v>
          </cell>
          <cell r="K15">
            <v>117.1056</v>
          </cell>
          <cell r="M15">
            <v>220</v>
          </cell>
          <cell r="N15">
            <v>14</v>
          </cell>
          <cell r="P15">
            <v>1.7570469798657662</v>
          </cell>
        </row>
        <row r="16">
          <cell r="D16" t="str">
            <v>VITA MALT</v>
          </cell>
          <cell r="E16">
            <v>902</v>
          </cell>
          <cell r="F16">
            <v>4640</v>
          </cell>
          <cell r="H16">
            <v>572</v>
          </cell>
          <cell r="J16">
            <v>346.7</v>
          </cell>
          <cell r="K16">
            <v>345.21599999999995</v>
          </cell>
          <cell r="M16">
            <v>474</v>
          </cell>
          <cell r="N16">
            <v>27</v>
          </cell>
          <cell r="P16">
            <v>0.42803576579176156</v>
          </cell>
          <cell r="Q16">
            <v>308.64745011086472</v>
          </cell>
        </row>
        <row r="17">
          <cell r="D17" t="str">
            <v>VITA MALT</v>
          </cell>
          <cell r="E17">
            <v>787</v>
          </cell>
          <cell r="F17">
            <v>596</v>
          </cell>
          <cell r="J17">
            <v>46.7</v>
          </cell>
          <cell r="K17">
            <v>44.342399999999998</v>
          </cell>
          <cell r="M17">
            <v>138</v>
          </cell>
          <cell r="N17">
            <v>8</v>
          </cell>
          <cell r="P17">
            <v>5.0483940042826658</v>
          </cell>
          <cell r="Q17">
            <v>246.78526048284624</v>
          </cell>
        </row>
        <row r="18">
          <cell r="D18" t="str">
            <v>CARIB (AMBER)</v>
          </cell>
          <cell r="F18">
            <v>2641</v>
          </cell>
          <cell r="J18">
            <v>195.8</v>
          </cell>
          <cell r="K18">
            <v>193.30600000000001</v>
          </cell>
          <cell r="M18">
            <v>380</v>
          </cell>
          <cell r="N18">
            <v>9</v>
          </cell>
          <cell r="P18">
            <v>1.2737487231869251</v>
          </cell>
        </row>
        <row r="19">
          <cell r="D19" t="str">
            <v>CARIB (AMBER)</v>
          </cell>
          <cell r="E19">
            <v>870</v>
          </cell>
          <cell r="F19">
            <v>1209</v>
          </cell>
          <cell r="J19">
            <v>81</v>
          </cell>
          <cell r="K19">
            <v>79.793999999999997</v>
          </cell>
          <cell r="M19">
            <v>44</v>
          </cell>
          <cell r="N19">
            <v>5</v>
          </cell>
          <cell r="P19">
            <v>1.4888888888888927</v>
          </cell>
          <cell r="Q19">
            <v>532.13793103448279</v>
          </cell>
        </row>
        <row r="20">
          <cell r="D20" t="str">
            <v>STAG</v>
          </cell>
          <cell r="F20">
            <v>6507</v>
          </cell>
          <cell r="J20">
            <v>443.1</v>
          </cell>
          <cell r="K20">
            <v>440.86200000000002</v>
          </cell>
          <cell r="M20">
            <v>202</v>
          </cell>
          <cell r="N20">
            <v>14</v>
          </cell>
          <cell r="P20">
            <v>0.50507786052809733</v>
          </cell>
        </row>
        <row r="21">
          <cell r="D21" t="str">
            <v>CARIB (AMBER)</v>
          </cell>
          <cell r="E21">
            <v>972</v>
          </cell>
          <cell r="F21">
            <v>2890</v>
          </cell>
          <cell r="J21">
            <v>191.4</v>
          </cell>
          <cell r="K21">
            <v>190.74</v>
          </cell>
          <cell r="M21">
            <v>70</v>
          </cell>
          <cell r="N21">
            <v>6</v>
          </cell>
          <cell r="P21">
            <v>0.34482758620689474</v>
          </cell>
          <cell r="Q21">
            <v>473.70370370370375</v>
          </cell>
        </row>
        <row r="22">
          <cell r="D22" t="str">
            <v>STAG</v>
          </cell>
          <cell r="F22">
            <v>580</v>
          </cell>
          <cell r="J22">
            <v>38.6</v>
          </cell>
          <cell r="K22">
            <v>38.28</v>
          </cell>
          <cell r="M22">
            <v>24</v>
          </cell>
          <cell r="N22">
            <v>0.5</v>
          </cell>
          <cell r="P22">
            <v>0.82901554404145139</v>
          </cell>
        </row>
        <row r="23">
          <cell r="D23" t="str">
            <v>GUINNESS</v>
          </cell>
          <cell r="F23">
            <v>4204</v>
          </cell>
          <cell r="J23">
            <v>279.70000000000005</v>
          </cell>
          <cell r="K23">
            <v>277.464</v>
          </cell>
          <cell r="M23">
            <v>211</v>
          </cell>
          <cell r="N23">
            <v>17</v>
          </cell>
          <cell r="P23">
            <v>0.79942795852700976</v>
          </cell>
        </row>
        <row r="24">
          <cell r="D24" t="str">
            <v>STARMALT</v>
          </cell>
          <cell r="E24">
            <v>916</v>
          </cell>
          <cell r="F24">
            <v>7170</v>
          </cell>
          <cell r="J24">
            <v>475.70000000000005</v>
          </cell>
          <cell r="K24">
            <v>473.22</v>
          </cell>
          <cell r="M24">
            <v>273</v>
          </cell>
          <cell r="N24">
            <v>12</v>
          </cell>
          <cell r="P24">
            <v>0.52133697708640281</v>
          </cell>
          <cell r="Q24">
            <v>469.65065502183404</v>
          </cell>
        </row>
        <row r="25">
          <cell r="D25" t="str">
            <v>STARMALT</v>
          </cell>
          <cell r="E25">
            <v>800</v>
          </cell>
          <cell r="F25">
            <v>342</v>
          </cell>
          <cell r="J25">
            <v>24.5</v>
          </cell>
          <cell r="K25">
            <v>22.572000000000003</v>
          </cell>
          <cell r="M25">
            <v>14</v>
          </cell>
          <cell r="N25">
            <v>6</v>
          </cell>
          <cell r="P25">
            <v>7.8693877551020295</v>
          </cell>
          <cell r="Q25">
            <v>446.32499999999999</v>
          </cell>
        </row>
        <row r="26">
          <cell r="D26" t="str">
            <v>CARIB (AMBER)</v>
          </cell>
          <cell r="F26">
            <v>5609</v>
          </cell>
          <cell r="J26">
            <v>372.2</v>
          </cell>
          <cell r="K26">
            <v>370.19400000000002</v>
          </cell>
          <cell r="M26">
            <v>219</v>
          </cell>
          <cell r="N26">
            <v>24</v>
          </cell>
          <cell r="P26">
            <v>0.53895754970445242</v>
          </cell>
        </row>
        <row r="27">
          <cell r="D27" t="str">
            <v>VITA MALT</v>
          </cell>
          <cell r="E27">
            <v>800</v>
          </cell>
          <cell r="F27">
            <v>4123</v>
          </cell>
          <cell r="J27">
            <v>308.8</v>
          </cell>
          <cell r="K27">
            <v>306.75119999999998</v>
          </cell>
          <cell r="M27">
            <v>152</v>
          </cell>
          <cell r="P27">
            <v>0.66347150259068277</v>
          </cell>
          <cell r="Q27">
            <v>390.67499999999995</v>
          </cell>
        </row>
        <row r="28">
          <cell r="D28" t="str">
            <v>SHANDY GINGER</v>
          </cell>
          <cell r="F28">
            <v>1086</v>
          </cell>
          <cell r="J28">
            <v>74.3</v>
          </cell>
          <cell r="K28">
            <v>71.676000000000002</v>
          </cell>
          <cell r="M28">
            <v>118</v>
          </cell>
          <cell r="N28">
            <v>5</v>
          </cell>
          <cell r="P28">
            <v>3.5316285329744215</v>
          </cell>
        </row>
        <row r="29">
          <cell r="D29" t="str">
            <v>GUINNESS</v>
          </cell>
          <cell r="E29">
            <v>1053</v>
          </cell>
          <cell r="F29">
            <v>7361</v>
          </cell>
          <cell r="J29">
            <v>466.20000000000005</v>
          </cell>
          <cell r="K29">
            <v>485.82600000000002</v>
          </cell>
          <cell r="M29">
            <v>387</v>
          </cell>
          <cell r="N29">
            <v>17</v>
          </cell>
          <cell r="P29">
            <v>-4.2097812097812044</v>
          </cell>
          <cell r="Q29">
            <v>419.43019943019942</v>
          </cell>
        </row>
        <row r="30">
          <cell r="D30" t="str">
            <v>STAG</v>
          </cell>
          <cell r="E30">
            <v>917</v>
          </cell>
          <cell r="F30">
            <v>8255</v>
          </cell>
          <cell r="J30">
            <v>557.5</v>
          </cell>
          <cell r="K30">
            <v>556.23</v>
          </cell>
          <cell r="M30">
            <v>247</v>
          </cell>
          <cell r="N30">
            <v>26.75</v>
          </cell>
          <cell r="P30">
            <v>0.22780269058295641</v>
          </cell>
          <cell r="Q30">
            <v>540.13086150490733</v>
          </cell>
        </row>
        <row r="31">
          <cell r="D31" t="str">
            <v>CARIB (AMBER)</v>
          </cell>
          <cell r="E31">
            <v>895</v>
          </cell>
          <cell r="F31">
            <v>3494</v>
          </cell>
          <cell r="J31">
            <v>254.09999999999997</v>
          </cell>
          <cell r="K31">
            <v>250.17400000000001</v>
          </cell>
          <cell r="M31">
            <v>422</v>
          </cell>
          <cell r="N31">
            <v>24</v>
          </cell>
          <cell r="P31">
            <v>1.5450609996064382</v>
          </cell>
          <cell r="Q31">
            <v>234.2346368715084</v>
          </cell>
        </row>
        <row r="32">
          <cell r="D32" t="str">
            <v>CARIB (AMBER)</v>
          </cell>
          <cell r="E32">
            <v>851</v>
          </cell>
          <cell r="F32">
            <v>7335</v>
          </cell>
          <cell r="J32">
            <v>484.6</v>
          </cell>
          <cell r="K32">
            <v>484.11</v>
          </cell>
          <cell r="M32">
            <v>249</v>
          </cell>
          <cell r="N32">
            <v>19</v>
          </cell>
          <cell r="P32">
            <v>0.10111432108956028</v>
          </cell>
          <cell r="Q32">
            <v>517.1562867215041</v>
          </cell>
        </row>
        <row r="33">
          <cell r="D33" t="str">
            <v>STAG</v>
          </cell>
          <cell r="E33">
            <v>696</v>
          </cell>
          <cell r="F33">
            <v>5889</v>
          </cell>
          <cell r="J33">
            <v>389.40000000000003</v>
          </cell>
          <cell r="K33">
            <v>388.67400000000004</v>
          </cell>
          <cell r="M33">
            <v>180</v>
          </cell>
          <cell r="N33">
            <v>29</v>
          </cell>
          <cell r="P33">
            <v>0.18644067796610145</v>
          </cell>
          <cell r="Q33">
            <v>507.67241379310349</v>
          </cell>
        </row>
        <row r="34">
          <cell r="D34" t="str">
            <v>STAG</v>
          </cell>
          <cell r="E34">
            <v>625</v>
          </cell>
          <cell r="F34">
            <v>1180</v>
          </cell>
          <cell r="J34">
            <v>79.2</v>
          </cell>
          <cell r="K34">
            <v>77.88000000000001</v>
          </cell>
          <cell r="M34">
            <v>156</v>
          </cell>
          <cell r="N34">
            <v>12</v>
          </cell>
          <cell r="P34">
            <v>1.6666666666666581</v>
          </cell>
          <cell r="Q34">
            <v>399.74400000000003</v>
          </cell>
        </row>
        <row r="35">
          <cell r="D35" t="str">
            <v>CARIB (AMBER)</v>
          </cell>
          <cell r="F35">
            <v>2984</v>
          </cell>
          <cell r="J35">
            <v>212.39999999999998</v>
          </cell>
          <cell r="K35">
            <v>210.81400000000002</v>
          </cell>
          <cell r="M35">
            <v>98</v>
          </cell>
          <cell r="N35">
            <v>10</v>
          </cell>
          <cell r="P35">
            <v>0.74670433145007353</v>
          </cell>
        </row>
        <row r="36">
          <cell r="D36" t="str">
            <v>CARIB (AMBER)</v>
          </cell>
          <cell r="E36">
            <v>616</v>
          </cell>
          <cell r="F36">
            <v>2351</v>
          </cell>
          <cell r="J36">
            <v>156.57</v>
          </cell>
          <cell r="K36">
            <v>155.166</v>
          </cell>
          <cell r="M36">
            <v>58</v>
          </cell>
          <cell r="N36">
            <v>24</v>
          </cell>
          <cell r="P36">
            <v>0.89672351025100372</v>
          </cell>
          <cell r="Q36">
            <v>472.69480519480516</v>
          </cell>
        </row>
        <row r="37">
          <cell r="D37" t="str">
            <v>STAG</v>
          </cell>
          <cell r="F37">
            <v>2502</v>
          </cell>
          <cell r="J37">
            <v>170.39999999999998</v>
          </cell>
          <cell r="K37">
            <v>169.88200000000001</v>
          </cell>
          <cell r="M37">
            <v>175</v>
          </cell>
          <cell r="N37">
            <v>21</v>
          </cell>
          <cell r="P37">
            <v>0.30399061032862229</v>
          </cell>
        </row>
        <row r="38">
          <cell r="D38" t="str">
            <v>VITA MALT</v>
          </cell>
          <cell r="E38">
            <v>540</v>
          </cell>
          <cell r="F38">
            <v>2039.375</v>
          </cell>
          <cell r="J38">
            <v>154.80000000000001</v>
          </cell>
          <cell r="K38">
            <v>151.7295</v>
          </cell>
          <cell r="M38">
            <v>146</v>
          </cell>
          <cell r="N38">
            <v>8</v>
          </cell>
          <cell r="P38">
            <v>1.9835271317829517</v>
          </cell>
          <cell r="Q38">
            <v>308.86111111111109</v>
          </cell>
        </row>
        <row r="39">
          <cell r="D39" t="str">
            <v>SHANDY LIME</v>
          </cell>
          <cell r="F39">
            <v>740.375</v>
          </cell>
          <cell r="J39">
            <v>52.1</v>
          </cell>
          <cell r="K39">
            <v>48.864750000000001</v>
          </cell>
          <cell r="M39">
            <v>133</v>
          </cell>
          <cell r="N39">
            <v>6</v>
          </cell>
          <cell r="P39">
            <v>6.2096928982725537</v>
          </cell>
        </row>
        <row r="40">
          <cell r="K40">
            <v>0</v>
          </cell>
        </row>
        <row r="41">
          <cell r="K41">
            <v>0</v>
          </cell>
        </row>
        <row r="42">
          <cell r="K42">
            <v>0</v>
          </cell>
        </row>
        <row r="43">
          <cell r="K43">
            <v>0</v>
          </cell>
        </row>
        <row r="44">
          <cell r="K44">
            <v>0</v>
          </cell>
        </row>
        <row r="45">
          <cell r="K45">
            <v>0</v>
          </cell>
        </row>
        <row r="46">
          <cell r="K46">
            <v>0</v>
          </cell>
        </row>
        <row r="47">
          <cell r="K47">
            <v>0</v>
          </cell>
        </row>
        <row r="48">
          <cell r="K48">
            <v>0</v>
          </cell>
        </row>
        <row r="49">
          <cell r="K49">
            <v>0</v>
          </cell>
        </row>
        <row r="50">
          <cell r="K50">
            <v>0</v>
          </cell>
        </row>
        <row r="51">
          <cell r="K51">
            <v>0</v>
          </cell>
        </row>
        <row r="52">
          <cell r="K52">
            <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sheetName val="Monthly summary loss"/>
      <sheetName val="Pareto Data"/>
      <sheetName val="Pareto analysis month "/>
      <sheetName val="Pareto YTD"/>
      <sheetName val="Labeler Downtime Detail"/>
      <sheetName val="EBI Downtime Detail"/>
      <sheetName val="Videojet Downtime Detail "/>
      <sheetName val="Pasteurizer Downtime Detail"/>
      <sheetName val="Conveyor Downtime"/>
      <sheetName val="Filler Downtime Detail"/>
      <sheetName val="Washer Downtime Detail"/>
      <sheetName val="Uncaser Downtime Detail "/>
      <sheetName val="Packer Downtime Detail  "/>
      <sheetName val="Dec"/>
      <sheetName val="2 weeks Downtime Trend"/>
      <sheetName val="Data Sheet"/>
      <sheetName val="Jan"/>
      <sheetName val="Feb"/>
      <sheetName val="Mar"/>
      <sheetName val="Apr"/>
      <sheetName val="May"/>
      <sheetName val="Jun"/>
      <sheetName val="Jul"/>
      <sheetName val="Aug"/>
      <sheetName val="Sep"/>
      <sheetName val="Oct"/>
      <sheetName val="No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8">
          <cell r="Z8">
            <v>54</v>
          </cell>
          <cell r="AB8">
            <v>18</v>
          </cell>
        </row>
        <row r="9">
          <cell r="J9">
            <v>4</v>
          </cell>
          <cell r="Z9">
            <v>1</v>
          </cell>
        </row>
        <row r="10">
          <cell r="H10">
            <v>2</v>
          </cell>
          <cell r="I10">
            <v>41</v>
          </cell>
          <cell r="J10">
            <v>1</v>
          </cell>
          <cell r="Z10">
            <v>2</v>
          </cell>
        </row>
        <row r="11">
          <cell r="I11">
            <v>42</v>
          </cell>
          <cell r="Z11">
            <v>1</v>
          </cell>
        </row>
        <row r="12">
          <cell r="J12">
            <v>7</v>
          </cell>
          <cell r="Z12">
            <v>10</v>
          </cell>
          <cell r="AB12">
            <v>23</v>
          </cell>
        </row>
        <row r="13">
          <cell r="Z13">
            <v>2</v>
          </cell>
        </row>
        <row r="14">
          <cell r="I14">
            <v>27</v>
          </cell>
          <cell r="Z14">
            <v>1</v>
          </cell>
        </row>
        <row r="15">
          <cell r="I15">
            <v>100</v>
          </cell>
          <cell r="J15">
            <v>7</v>
          </cell>
        </row>
        <row r="16">
          <cell r="Z16">
            <v>4</v>
          </cell>
        </row>
        <row r="17">
          <cell r="Z17">
            <v>3</v>
          </cell>
        </row>
        <row r="18">
          <cell r="I18">
            <v>100</v>
          </cell>
          <cell r="J18">
            <v>6</v>
          </cell>
          <cell r="Z18">
            <v>2</v>
          </cell>
        </row>
        <row r="19">
          <cell r="Z19">
            <v>11</v>
          </cell>
        </row>
        <row r="20">
          <cell r="I20">
            <v>7</v>
          </cell>
          <cell r="Z20">
            <v>7</v>
          </cell>
        </row>
        <row r="21">
          <cell r="Z21">
            <v>2</v>
          </cell>
        </row>
        <row r="22">
          <cell r="I22">
            <v>10</v>
          </cell>
          <cell r="Z22">
            <v>1</v>
          </cell>
        </row>
        <row r="23">
          <cell r="I23">
            <v>25</v>
          </cell>
          <cell r="J23">
            <v>27</v>
          </cell>
          <cell r="Z23">
            <v>3</v>
          </cell>
          <cell r="AB23">
            <v>3</v>
          </cell>
        </row>
        <row r="24">
          <cell r="Z24">
            <v>2</v>
          </cell>
        </row>
        <row r="25">
          <cell r="Z25">
            <v>2</v>
          </cell>
          <cell r="AB25">
            <v>41</v>
          </cell>
        </row>
        <row r="26">
          <cell r="I26">
            <v>43</v>
          </cell>
          <cell r="J26">
            <v>9</v>
          </cell>
          <cell r="Z26">
            <v>8</v>
          </cell>
        </row>
        <row r="27">
          <cell r="J27">
            <v>2</v>
          </cell>
        </row>
        <row r="28">
          <cell r="I28">
            <v>103</v>
          </cell>
          <cell r="Z28">
            <v>2</v>
          </cell>
        </row>
        <row r="29">
          <cell r="J29">
            <v>4</v>
          </cell>
          <cell r="Z29">
            <v>4</v>
          </cell>
        </row>
        <row r="30">
          <cell r="J30">
            <v>32</v>
          </cell>
          <cell r="Z30">
            <v>24</v>
          </cell>
        </row>
        <row r="31">
          <cell r="Z31">
            <v>8</v>
          </cell>
        </row>
        <row r="32">
          <cell r="J32">
            <v>89</v>
          </cell>
          <cell r="Z32">
            <v>5</v>
          </cell>
        </row>
        <row r="33">
          <cell r="J33">
            <v>7</v>
          </cell>
          <cell r="Z33">
            <v>7</v>
          </cell>
        </row>
        <row r="34">
          <cell r="Z34">
            <v>6</v>
          </cell>
        </row>
        <row r="35">
          <cell r="I35">
            <v>26</v>
          </cell>
          <cell r="J35">
            <v>10</v>
          </cell>
          <cell r="Z35">
            <v>7</v>
          </cell>
          <cell r="AA35">
            <v>1</v>
          </cell>
        </row>
        <row r="36">
          <cell r="Z36">
            <v>4</v>
          </cell>
          <cell r="AA36">
            <v>1</v>
          </cell>
        </row>
        <row r="37">
          <cell r="I37">
            <v>15</v>
          </cell>
        </row>
        <row r="38">
          <cell r="I38">
            <v>8</v>
          </cell>
          <cell r="J38">
            <v>4</v>
          </cell>
          <cell r="Z38">
            <v>7</v>
          </cell>
        </row>
        <row r="39">
          <cell r="I39">
            <v>100</v>
          </cell>
          <cell r="Z39">
            <v>3</v>
          </cell>
        </row>
        <row r="54">
          <cell r="H54">
            <v>2</v>
          </cell>
          <cell r="I54">
            <v>647</v>
          </cell>
          <cell r="J54">
            <v>209</v>
          </cell>
          <cell r="Z54">
            <v>193</v>
          </cell>
          <cell r="AA54">
            <v>5</v>
          </cell>
          <cell r="AB54">
            <v>85</v>
          </cell>
        </row>
        <row r="55">
          <cell r="I55">
            <v>10.783333333333333</v>
          </cell>
        </row>
        <row r="57">
          <cell r="I57">
            <v>14</v>
          </cell>
        </row>
        <row r="58">
          <cell r="C58">
            <v>14</v>
          </cell>
          <cell r="D58">
            <v>32</v>
          </cell>
          <cell r="E58">
            <v>19</v>
          </cell>
        </row>
        <row r="60">
          <cell r="D60">
            <v>1.6842105263157894</v>
          </cell>
          <cell r="E60">
            <v>18.161403508771929</v>
          </cell>
        </row>
        <row r="65">
          <cell r="C65">
            <v>138</v>
          </cell>
          <cell r="D65">
            <v>345</v>
          </cell>
          <cell r="E65">
            <v>230</v>
          </cell>
          <cell r="F65">
            <v>77.75</v>
          </cell>
        </row>
        <row r="67">
          <cell r="D67">
            <v>1.5</v>
          </cell>
          <cell r="E67">
            <v>116.625</v>
          </cell>
        </row>
      </sheetData>
      <sheetData sheetId="15" refreshError="1"/>
      <sheetData sheetId="16" refreshError="1"/>
      <sheetData sheetId="17" refreshError="1">
        <row r="9">
          <cell r="I9">
            <v>131</v>
          </cell>
        </row>
        <row r="10">
          <cell r="I10">
            <v>30</v>
          </cell>
        </row>
        <row r="11">
          <cell r="I11">
            <v>11</v>
          </cell>
        </row>
        <row r="13">
          <cell r="I13">
            <v>7</v>
          </cell>
        </row>
        <row r="17">
          <cell r="I17">
            <v>1</v>
          </cell>
        </row>
        <row r="24">
          <cell r="I24">
            <v>37</v>
          </cell>
        </row>
        <row r="26">
          <cell r="I26">
            <v>57</v>
          </cell>
        </row>
        <row r="29">
          <cell r="I29">
            <v>8</v>
          </cell>
        </row>
        <row r="30">
          <cell r="I30">
            <v>49</v>
          </cell>
        </row>
        <row r="33">
          <cell r="I33">
            <v>13</v>
          </cell>
        </row>
        <row r="34">
          <cell r="I34">
            <v>41</v>
          </cell>
        </row>
        <row r="35">
          <cell r="I35">
            <v>32</v>
          </cell>
        </row>
        <row r="39">
          <cell r="I39">
            <v>19</v>
          </cell>
        </row>
        <row r="54">
          <cell r="I54">
            <v>436</v>
          </cell>
        </row>
        <row r="57">
          <cell r="I57">
            <v>13</v>
          </cell>
        </row>
      </sheetData>
      <sheetData sheetId="18" refreshError="1">
        <row r="9">
          <cell r="I9">
            <v>40</v>
          </cell>
        </row>
        <row r="10">
          <cell r="I10">
            <v>27</v>
          </cell>
        </row>
        <row r="13">
          <cell r="I13">
            <v>7</v>
          </cell>
        </row>
        <row r="16">
          <cell r="I16">
            <v>13</v>
          </cell>
        </row>
        <row r="20">
          <cell r="I20">
            <v>27</v>
          </cell>
        </row>
        <row r="21">
          <cell r="I21">
            <v>19</v>
          </cell>
        </row>
        <row r="23">
          <cell r="I23">
            <v>5</v>
          </cell>
        </row>
        <row r="54">
          <cell r="I54">
            <v>148</v>
          </cell>
        </row>
        <row r="57">
          <cell r="I57">
            <v>8</v>
          </cell>
        </row>
      </sheetData>
      <sheetData sheetId="19" refreshError="1">
        <row r="11">
          <cell r="I11">
            <v>25</v>
          </cell>
        </row>
        <row r="14">
          <cell r="I14">
            <v>17</v>
          </cell>
        </row>
        <row r="18">
          <cell r="I18">
            <v>6</v>
          </cell>
        </row>
        <row r="20">
          <cell r="I20">
            <v>14</v>
          </cell>
        </row>
        <row r="21">
          <cell r="I21">
            <v>22</v>
          </cell>
        </row>
        <row r="26">
          <cell r="I26">
            <v>39</v>
          </cell>
        </row>
        <row r="27">
          <cell r="I27">
            <v>41</v>
          </cell>
        </row>
        <row r="29">
          <cell r="I29">
            <v>55</v>
          </cell>
        </row>
        <row r="34">
          <cell r="I34">
            <v>36</v>
          </cell>
        </row>
        <row r="54">
          <cell r="I54">
            <v>316</v>
          </cell>
        </row>
        <row r="57">
          <cell r="I57">
            <v>12</v>
          </cell>
        </row>
      </sheetData>
      <sheetData sheetId="20" refreshError="1">
        <row r="10">
          <cell r="I10">
            <v>52</v>
          </cell>
        </row>
        <row r="15">
          <cell r="I15">
            <v>68</v>
          </cell>
        </row>
        <row r="20">
          <cell r="I20">
            <v>69</v>
          </cell>
        </row>
        <row r="23">
          <cell r="I23">
            <v>21</v>
          </cell>
        </row>
        <row r="27">
          <cell r="I27">
            <v>104</v>
          </cell>
        </row>
        <row r="54">
          <cell r="I54">
            <v>314</v>
          </cell>
        </row>
        <row r="57">
          <cell r="I57">
            <v>5</v>
          </cell>
        </row>
      </sheetData>
      <sheetData sheetId="21" refreshError="1">
        <row r="10">
          <cell r="I10">
            <v>15</v>
          </cell>
        </row>
        <row r="12">
          <cell r="I12">
            <v>48</v>
          </cell>
        </row>
        <row r="15">
          <cell r="I15">
            <v>24</v>
          </cell>
        </row>
        <row r="16">
          <cell r="I16">
            <v>65</v>
          </cell>
        </row>
        <row r="17">
          <cell r="I17">
            <v>35</v>
          </cell>
        </row>
        <row r="25">
          <cell r="I25">
            <v>6</v>
          </cell>
        </row>
        <row r="26">
          <cell r="I26">
            <v>24</v>
          </cell>
        </row>
        <row r="32">
          <cell r="I32">
            <v>10</v>
          </cell>
        </row>
        <row r="54">
          <cell r="I54">
            <v>259</v>
          </cell>
        </row>
        <row r="57">
          <cell r="I57">
            <v>11</v>
          </cell>
        </row>
      </sheetData>
      <sheetData sheetId="22" refreshError="1">
        <row r="12">
          <cell r="I12">
            <v>23</v>
          </cell>
        </row>
        <row r="14">
          <cell r="I14">
            <v>126</v>
          </cell>
        </row>
        <row r="16">
          <cell r="I16">
            <v>24</v>
          </cell>
        </row>
        <row r="19">
          <cell r="I19">
            <v>14</v>
          </cell>
        </row>
        <row r="22">
          <cell r="I22">
            <v>23</v>
          </cell>
        </row>
        <row r="26">
          <cell r="I26">
            <v>42</v>
          </cell>
        </row>
        <row r="30">
          <cell r="I30">
            <v>54</v>
          </cell>
        </row>
        <row r="32">
          <cell r="I32">
            <v>20</v>
          </cell>
        </row>
        <row r="34">
          <cell r="I34">
            <v>27</v>
          </cell>
        </row>
        <row r="35">
          <cell r="I35">
            <v>41</v>
          </cell>
        </row>
        <row r="36">
          <cell r="I36">
            <v>95</v>
          </cell>
        </row>
        <row r="38">
          <cell r="I38">
            <v>50</v>
          </cell>
        </row>
        <row r="54">
          <cell r="I54">
            <v>558</v>
          </cell>
        </row>
        <row r="57">
          <cell r="I57">
            <v>13</v>
          </cell>
        </row>
      </sheetData>
      <sheetData sheetId="23" refreshError="1">
        <row r="15">
          <cell r="I15">
            <v>25</v>
          </cell>
        </row>
        <row r="16">
          <cell r="I16">
            <v>20</v>
          </cell>
        </row>
        <row r="17">
          <cell r="I17">
            <v>33</v>
          </cell>
        </row>
        <row r="21">
          <cell r="I21">
            <v>24</v>
          </cell>
        </row>
        <row r="24">
          <cell r="I24">
            <v>9</v>
          </cell>
        </row>
        <row r="32">
          <cell r="I32">
            <v>62</v>
          </cell>
        </row>
        <row r="34">
          <cell r="AC34">
            <v>45</v>
          </cell>
        </row>
        <row r="35">
          <cell r="I35">
            <v>35</v>
          </cell>
          <cell r="AC35">
            <v>125</v>
          </cell>
        </row>
        <row r="36">
          <cell r="AC36">
            <v>78</v>
          </cell>
        </row>
        <row r="37">
          <cell r="I37">
            <v>8</v>
          </cell>
          <cell r="AC37">
            <v>39</v>
          </cell>
        </row>
        <row r="54">
          <cell r="I54">
            <v>220</v>
          </cell>
        </row>
        <row r="57">
          <cell r="E57" t="str">
            <v>1 Start</v>
          </cell>
          <cell r="I57">
            <v>9</v>
          </cell>
        </row>
      </sheetData>
      <sheetData sheetId="24" refreshError="1">
        <row r="9">
          <cell r="I9">
            <v>42</v>
          </cell>
        </row>
        <row r="12">
          <cell r="I12">
            <v>41</v>
          </cell>
        </row>
        <row r="13">
          <cell r="J13">
            <v>15</v>
          </cell>
        </row>
        <row r="14">
          <cell r="I14">
            <v>55</v>
          </cell>
        </row>
        <row r="16">
          <cell r="I16">
            <v>39</v>
          </cell>
        </row>
        <row r="17">
          <cell r="J17">
            <v>1</v>
          </cell>
          <cell r="Z17">
            <v>2</v>
          </cell>
        </row>
        <row r="19">
          <cell r="I19">
            <v>14</v>
          </cell>
          <cell r="J19">
            <v>6</v>
          </cell>
        </row>
        <row r="21">
          <cell r="I21">
            <v>19</v>
          </cell>
        </row>
        <row r="22">
          <cell r="J22">
            <v>1</v>
          </cell>
          <cell r="Z22">
            <v>2</v>
          </cell>
        </row>
        <row r="23">
          <cell r="P23">
            <v>7</v>
          </cell>
          <cell r="Z23">
            <v>6</v>
          </cell>
        </row>
        <row r="24">
          <cell r="I24">
            <v>76</v>
          </cell>
          <cell r="Z24">
            <v>7</v>
          </cell>
        </row>
        <row r="26">
          <cell r="I26">
            <v>16</v>
          </cell>
        </row>
        <row r="27">
          <cell r="I27">
            <v>16</v>
          </cell>
        </row>
        <row r="28">
          <cell r="I28">
            <v>4</v>
          </cell>
          <cell r="J28">
            <v>2</v>
          </cell>
        </row>
        <row r="29">
          <cell r="AC29">
            <v>34</v>
          </cell>
        </row>
        <row r="30">
          <cell r="I30">
            <v>41</v>
          </cell>
          <cell r="J30">
            <v>4</v>
          </cell>
          <cell r="AC30">
            <v>129</v>
          </cell>
        </row>
        <row r="31">
          <cell r="AC31">
            <v>105</v>
          </cell>
        </row>
        <row r="32">
          <cell r="AC32">
            <v>62</v>
          </cell>
        </row>
        <row r="33">
          <cell r="I33">
            <v>12</v>
          </cell>
          <cell r="AC33">
            <v>61</v>
          </cell>
        </row>
        <row r="34">
          <cell r="I34">
            <v>31</v>
          </cell>
          <cell r="J34">
            <v>4</v>
          </cell>
          <cell r="AC34">
            <v>74</v>
          </cell>
        </row>
        <row r="35">
          <cell r="I35">
            <v>24</v>
          </cell>
          <cell r="AC35">
            <v>26</v>
          </cell>
        </row>
        <row r="36">
          <cell r="J36">
            <v>11</v>
          </cell>
          <cell r="AC36">
            <v>490</v>
          </cell>
        </row>
        <row r="37">
          <cell r="J37">
            <v>3</v>
          </cell>
          <cell r="Z37">
            <v>1</v>
          </cell>
          <cell r="AC37">
            <v>171</v>
          </cell>
        </row>
        <row r="38">
          <cell r="J38">
            <v>15</v>
          </cell>
          <cell r="Z38">
            <v>5</v>
          </cell>
          <cell r="AC38">
            <v>75</v>
          </cell>
        </row>
        <row r="39">
          <cell r="I39">
            <v>11</v>
          </cell>
          <cell r="AC39">
            <v>17</v>
          </cell>
        </row>
        <row r="40">
          <cell r="J40">
            <v>2</v>
          </cell>
          <cell r="AC40">
            <v>331</v>
          </cell>
        </row>
        <row r="54">
          <cell r="H54">
            <v>5</v>
          </cell>
          <cell r="I54">
            <v>441</v>
          </cell>
          <cell r="J54">
            <v>320</v>
          </cell>
          <cell r="Z54">
            <v>150</v>
          </cell>
        </row>
        <row r="57">
          <cell r="C57" t="str">
            <v>Change-Overs</v>
          </cell>
          <cell r="D57" t="str">
            <v>Actual Starts</v>
          </cell>
          <cell r="I57">
            <v>15</v>
          </cell>
        </row>
        <row r="58">
          <cell r="C58">
            <v>15</v>
          </cell>
          <cell r="D58">
            <v>33</v>
          </cell>
          <cell r="E58">
            <v>20</v>
          </cell>
        </row>
        <row r="60">
          <cell r="D60">
            <v>1.65</v>
          </cell>
          <cell r="E60">
            <v>12.1275</v>
          </cell>
        </row>
      </sheetData>
      <sheetData sheetId="25" refreshError="1">
        <row r="8">
          <cell r="J8">
            <v>8</v>
          </cell>
          <cell r="AC8">
            <v>231</v>
          </cell>
        </row>
        <row r="9">
          <cell r="AC9">
            <v>119</v>
          </cell>
        </row>
        <row r="10">
          <cell r="AC10">
            <v>14</v>
          </cell>
        </row>
        <row r="11">
          <cell r="I11">
            <v>22</v>
          </cell>
          <cell r="Z11">
            <v>2</v>
          </cell>
          <cell r="AC11">
            <v>54</v>
          </cell>
        </row>
        <row r="12">
          <cell r="I12">
            <v>21</v>
          </cell>
          <cell r="J12">
            <v>9</v>
          </cell>
          <cell r="Z12">
            <v>2</v>
          </cell>
          <cell r="AC12">
            <v>40</v>
          </cell>
        </row>
        <row r="13">
          <cell r="Z13">
            <v>47</v>
          </cell>
          <cell r="AC13">
            <v>155</v>
          </cell>
        </row>
        <row r="14">
          <cell r="Z14">
            <v>4</v>
          </cell>
          <cell r="AC14">
            <v>247</v>
          </cell>
        </row>
        <row r="15">
          <cell r="I15">
            <v>22</v>
          </cell>
          <cell r="Z15">
            <v>3</v>
          </cell>
          <cell r="AC15">
            <v>33</v>
          </cell>
        </row>
        <row r="16">
          <cell r="J16">
            <v>27</v>
          </cell>
          <cell r="Z16">
            <v>6</v>
          </cell>
          <cell r="AC16">
            <v>177</v>
          </cell>
        </row>
        <row r="17">
          <cell r="J17">
            <v>8</v>
          </cell>
          <cell r="Z17">
            <v>17</v>
          </cell>
          <cell r="AC17">
            <v>595</v>
          </cell>
        </row>
        <row r="18">
          <cell r="AC18">
            <v>77</v>
          </cell>
        </row>
        <row r="19">
          <cell r="I19">
            <v>57</v>
          </cell>
          <cell r="Z19">
            <v>12</v>
          </cell>
          <cell r="AC19">
            <v>143</v>
          </cell>
        </row>
        <row r="20">
          <cell r="Z20">
            <v>7</v>
          </cell>
          <cell r="AC20">
            <v>47</v>
          </cell>
        </row>
        <row r="21">
          <cell r="I21">
            <v>11</v>
          </cell>
          <cell r="J21">
            <v>50</v>
          </cell>
          <cell r="Z21">
            <v>5</v>
          </cell>
          <cell r="AC21">
            <v>104</v>
          </cell>
        </row>
        <row r="22">
          <cell r="AC22">
            <v>172</v>
          </cell>
        </row>
        <row r="23">
          <cell r="J23">
            <v>8</v>
          </cell>
          <cell r="Z23">
            <v>2</v>
          </cell>
          <cell r="AC23">
            <v>118</v>
          </cell>
        </row>
        <row r="24">
          <cell r="I24">
            <v>19</v>
          </cell>
          <cell r="J24">
            <v>11</v>
          </cell>
          <cell r="Z24">
            <v>12</v>
          </cell>
          <cell r="AA24">
            <v>5</v>
          </cell>
          <cell r="AC24">
            <v>175</v>
          </cell>
        </row>
        <row r="25">
          <cell r="J25">
            <v>1</v>
          </cell>
          <cell r="Z25">
            <v>1</v>
          </cell>
          <cell r="AA25">
            <v>5</v>
          </cell>
          <cell r="AC25">
            <v>187</v>
          </cell>
        </row>
        <row r="26">
          <cell r="J26">
            <v>3</v>
          </cell>
          <cell r="Z26">
            <v>3</v>
          </cell>
          <cell r="AC26">
            <v>183</v>
          </cell>
        </row>
        <row r="27">
          <cell r="I27">
            <v>22</v>
          </cell>
          <cell r="J27">
            <v>2</v>
          </cell>
          <cell r="Z27">
            <v>1</v>
          </cell>
          <cell r="AC27">
            <v>33</v>
          </cell>
        </row>
        <row r="28">
          <cell r="I28">
            <v>17</v>
          </cell>
          <cell r="AC28">
            <v>36</v>
          </cell>
        </row>
        <row r="54">
          <cell r="H54">
            <v>0</v>
          </cell>
          <cell r="I54">
            <v>191</v>
          </cell>
          <cell r="J54">
            <v>127</v>
          </cell>
          <cell r="Z54">
            <v>124</v>
          </cell>
          <cell r="AA54">
            <v>10</v>
          </cell>
        </row>
        <row r="57">
          <cell r="I57">
            <v>8</v>
          </cell>
        </row>
        <row r="58">
          <cell r="D58">
            <v>21</v>
          </cell>
          <cell r="E58">
            <v>14</v>
          </cell>
        </row>
        <row r="60">
          <cell r="D60">
            <v>1.5</v>
          </cell>
          <cell r="E60">
            <v>4.7749999999999995</v>
          </cell>
        </row>
      </sheetData>
      <sheetData sheetId="26" refreshError="1">
        <row r="8">
          <cell r="I8">
            <v>16</v>
          </cell>
          <cell r="J8">
            <v>72</v>
          </cell>
          <cell r="Z8">
            <v>12</v>
          </cell>
        </row>
        <row r="10">
          <cell r="I10">
            <v>21</v>
          </cell>
          <cell r="J10">
            <v>2</v>
          </cell>
          <cell r="Z10">
            <v>4</v>
          </cell>
          <cell r="AA10">
            <v>9</v>
          </cell>
        </row>
        <row r="12">
          <cell r="Z12">
            <v>9</v>
          </cell>
        </row>
        <row r="13">
          <cell r="I13">
            <v>51</v>
          </cell>
        </row>
        <row r="14">
          <cell r="I14">
            <v>7</v>
          </cell>
        </row>
        <row r="15">
          <cell r="J15">
            <v>7</v>
          </cell>
          <cell r="Z15">
            <v>6</v>
          </cell>
        </row>
        <row r="16">
          <cell r="P16">
            <v>500</v>
          </cell>
        </row>
        <row r="18">
          <cell r="J18">
            <v>30</v>
          </cell>
          <cell r="Z18">
            <v>7</v>
          </cell>
        </row>
        <row r="19">
          <cell r="I19">
            <v>22</v>
          </cell>
          <cell r="Z19">
            <v>7</v>
          </cell>
        </row>
        <row r="20">
          <cell r="J20">
            <v>6</v>
          </cell>
          <cell r="Z20">
            <v>1</v>
          </cell>
        </row>
        <row r="21">
          <cell r="AA21">
            <v>5</v>
          </cell>
        </row>
        <row r="22">
          <cell r="I22">
            <v>53</v>
          </cell>
          <cell r="J22">
            <v>25</v>
          </cell>
          <cell r="Z22">
            <v>2</v>
          </cell>
        </row>
        <row r="23">
          <cell r="Z23">
            <v>18</v>
          </cell>
        </row>
        <row r="24">
          <cell r="I24">
            <v>52</v>
          </cell>
          <cell r="Z24">
            <v>5</v>
          </cell>
        </row>
        <row r="25">
          <cell r="J25">
            <v>32</v>
          </cell>
          <cell r="Z25">
            <v>52</v>
          </cell>
        </row>
        <row r="26">
          <cell r="I26">
            <v>168</v>
          </cell>
          <cell r="J26">
            <v>7</v>
          </cell>
          <cell r="Z26">
            <v>10</v>
          </cell>
        </row>
        <row r="27">
          <cell r="Z27">
            <v>14</v>
          </cell>
        </row>
        <row r="28">
          <cell r="I28">
            <v>25</v>
          </cell>
        </row>
        <row r="29">
          <cell r="I29">
            <v>83</v>
          </cell>
        </row>
        <row r="31">
          <cell r="Z31">
            <v>6</v>
          </cell>
        </row>
        <row r="32">
          <cell r="I32">
            <v>43</v>
          </cell>
          <cell r="J32">
            <v>45</v>
          </cell>
          <cell r="Z32">
            <v>2</v>
          </cell>
        </row>
        <row r="33">
          <cell r="J33">
            <v>5</v>
          </cell>
        </row>
        <row r="34">
          <cell r="I34">
            <v>51</v>
          </cell>
          <cell r="J34">
            <v>2</v>
          </cell>
        </row>
        <row r="35">
          <cell r="Z35">
            <v>14</v>
          </cell>
          <cell r="AA35">
            <v>10</v>
          </cell>
        </row>
        <row r="36">
          <cell r="Z36">
            <v>86</v>
          </cell>
        </row>
        <row r="37">
          <cell r="J37">
            <v>28</v>
          </cell>
          <cell r="Z37">
            <v>32</v>
          </cell>
        </row>
        <row r="54">
          <cell r="H54">
            <v>0</v>
          </cell>
          <cell r="I54">
            <v>592</v>
          </cell>
          <cell r="J54">
            <v>265</v>
          </cell>
          <cell r="Z54">
            <v>317</v>
          </cell>
          <cell r="AA54">
            <v>24</v>
          </cell>
        </row>
        <row r="55">
          <cell r="I55">
            <v>9.8666666666666671</v>
          </cell>
        </row>
        <row r="57">
          <cell r="I57">
            <v>12</v>
          </cell>
        </row>
        <row r="58">
          <cell r="D58">
            <v>30</v>
          </cell>
          <cell r="E58">
            <v>20</v>
          </cell>
        </row>
        <row r="60">
          <cell r="D60">
            <v>1.5</v>
          </cell>
          <cell r="E60">
            <v>14.8</v>
          </cell>
        </row>
      </sheetData>
      <sheetData sheetId="27" refreshError="1">
        <row r="8">
          <cell r="Z8">
            <v>14</v>
          </cell>
        </row>
        <row r="9">
          <cell r="Z9">
            <v>3</v>
          </cell>
        </row>
        <row r="10">
          <cell r="I10">
            <v>7</v>
          </cell>
          <cell r="J10">
            <v>3</v>
          </cell>
          <cell r="Z10">
            <v>27</v>
          </cell>
        </row>
        <row r="11">
          <cell r="J11">
            <v>1</v>
          </cell>
          <cell r="Z11">
            <v>6</v>
          </cell>
        </row>
        <row r="12">
          <cell r="Z12">
            <v>4</v>
          </cell>
        </row>
        <row r="14">
          <cell r="I14">
            <v>31</v>
          </cell>
        </row>
        <row r="15">
          <cell r="I15">
            <v>17</v>
          </cell>
          <cell r="Z15">
            <v>5</v>
          </cell>
        </row>
        <row r="16">
          <cell r="I16">
            <v>18</v>
          </cell>
          <cell r="J16">
            <v>3</v>
          </cell>
          <cell r="Z16">
            <v>3</v>
          </cell>
        </row>
        <row r="17">
          <cell r="J17">
            <v>2</v>
          </cell>
          <cell r="Z17">
            <v>1</v>
          </cell>
        </row>
        <row r="18">
          <cell r="I18">
            <v>16</v>
          </cell>
          <cell r="Z18">
            <v>1</v>
          </cell>
        </row>
        <row r="19">
          <cell r="J19">
            <v>17</v>
          </cell>
          <cell r="Z19">
            <v>8</v>
          </cell>
        </row>
        <row r="20">
          <cell r="I20">
            <v>37</v>
          </cell>
          <cell r="J20">
            <v>45</v>
          </cell>
        </row>
        <row r="21">
          <cell r="J21">
            <v>5</v>
          </cell>
        </row>
        <row r="22">
          <cell r="I22">
            <v>47</v>
          </cell>
          <cell r="Z22">
            <v>10</v>
          </cell>
        </row>
        <row r="23">
          <cell r="Z23">
            <v>17</v>
          </cell>
        </row>
        <row r="24">
          <cell r="I24">
            <v>107</v>
          </cell>
          <cell r="J24">
            <v>29</v>
          </cell>
          <cell r="Z24">
            <v>30</v>
          </cell>
        </row>
        <row r="25">
          <cell r="I25">
            <v>10</v>
          </cell>
        </row>
        <row r="26">
          <cell r="I26">
            <v>17</v>
          </cell>
        </row>
        <row r="27">
          <cell r="Z27">
            <v>8</v>
          </cell>
        </row>
        <row r="28">
          <cell r="I28">
            <v>19</v>
          </cell>
          <cell r="Z28">
            <v>9</v>
          </cell>
        </row>
        <row r="29">
          <cell r="Z29">
            <v>41</v>
          </cell>
        </row>
        <row r="31">
          <cell r="I31">
            <v>22</v>
          </cell>
          <cell r="J31">
            <v>1</v>
          </cell>
          <cell r="Z31">
            <v>10</v>
          </cell>
        </row>
        <row r="32">
          <cell r="Z32">
            <v>33</v>
          </cell>
        </row>
        <row r="33">
          <cell r="H33">
            <v>11</v>
          </cell>
          <cell r="Z33">
            <v>36</v>
          </cell>
        </row>
        <row r="34">
          <cell r="I34">
            <v>77</v>
          </cell>
          <cell r="J34">
            <v>4</v>
          </cell>
          <cell r="Z34">
            <v>18</v>
          </cell>
        </row>
        <row r="35">
          <cell r="I35">
            <v>17</v>
          </cell>
          <cell r="J35">
            <v>6</v>
          </cell>
          <cell r="Z35">
            <v>63</v>
          </cell>
        </row>
        <row r="36">
          <cell r="I36">
            <v>11</v>
          </cell>
          <cell r="Z36">
            <v>18</v>
          </cell>
        </row>
        <row r="37">
          <cell r="Z37">
            <v>32</v>
          </cell>
        </row>
        <row r="38">
          <cell r="I38">
            <v>30</v>
          </cell>
          <cell r="J38">
            <v>3</v>
          </cell>
          <cell r="Z38">
            <v>35</v>
          </cell>
        </row>
        <row r="40">
          <cell r="I40">
            <v>59</v>
          </cell>
          <cell r="Z40">
            <v>20</v>
          </cell>
        </row>
        <row r="41">
          <cell r="I41">
            <v>1</v>
          </cell>
          <cell r="J41">
            <v>17</v>
          </cell>
          <cell r="Z41">
            <v>13</v>
          </cell>
          <cell r="AA41">
            <v>2</v>
          </cell>
        </row>
        <row r="54">
          <cell r="I54">
            <v>543</v>
          </cell>
        </row>
        <row r="57">
          <cell r="I57">
            <v>18</v>
          </cell>
        </row>
        <row r="58">
          <cell r="D58">
            <v>34</v>
          </cell>
          <cell r="E58">
            <v>20</v>
          </cell>
        </row>
        <row r="60">
          <cell r="D60">
            <v>1.7</v>
          </cell>
          <cell r="E60">
            <v>15.385000000000002</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_2017"/>
      <sheetName val="Feb_2017"/>
      <sheetName val="Mar_2017"/>
      <sheetName val="Apr_2017"/>
      <sheetName val="May_2017"/>
      <sheetName val="June_2017"/>
      <sheetName val="July_2017"/>
      <sheetName val="August_2017 "/>
      <sheetName val="September_2017"/>
      <sheetName val="October_2017"/>
      <sheetName val="November_2017"/>
      <sheetName val="December_2017"/>
      <sheetName val="YearToDate"/>
    </sheetNames>
    <sheetDataSet>
      <sheetData sheetId="0">
        <row r="37">
          <cell r="F37">
            <v>8.2268921665516789E-2</v>
          </cell>
        </row>
        <row r="38">
          <cell r="F38">
            <v>4.801362347993051E-2</v>
          </cell>
        </row>
        <row r="85">
          <cell r="F85">
            <v>9.9707661417621135E-2</v>
          </cell>
        </row>
        <row r="86">
          <cell r="F86">
            <v>0.1373270021425676</v>
          </cell>
        </row>
        <row r="87">
          <cell r="F87">
            <v>6.9431229563004002E-2</v>
          </cell>
        </row>
        <row r="88">
          <cell r="F88">
            <v>9.3557793982591009E-2</v>
          </cell>
        </row>
        <row r="89">
          <cell r="F89">
            <v>7.5407925407925402E-2</v>
          </cell>
        </row>
        <row r="90">
          <cell r="F90">
            <v>1.2124388539482878E-2</v>
          </cell>
        </row>
        <row r="92">
          <cell r="F92">
            <v>8.7280126734404023E-2</v>
          </cell>
        </row>
      </sheetData>
      <sheetData sheetId="1">
        <row r="25">
          <cell r="F25">
            <v>8.3948445097885627E-2</v>
          </cell>
        </row>
        <row r="85">
          <cell r="F85">
            <v>6.3781693371767909E-2</v>
          </cell>
        </row>
        <row r="86">
          <cell r="F86">
            <v>7.8237021084697725E-2</v>
          </cell>
        </row>
        <row r="87">
          <cell r="F87">
            <v>8.0274722847930746E-2</v>
          </cell>
        </row>
        <row r="88">
          <cell r="F88">
            <v>3.7307674429414774E-2</v>
          </cell>
        </row>
        <row r="89">
          <cell r="F89" t="e">
            <v>#DIV/0!</v>
          </cell>
        </row>
        <row r="90">
          <cell r="F90">
            <v>7.9349505751919354E-3</v>
          </cell>
        </row>
        <row r="92">
          <cell r="F92">
            <v>6.6273824328780581E-2</v>
          </cell>
        </row>
      </sheetData>
      <sheetData sheetId="2">
        <row r="38">
          <cell r="F38">
            <v>4.5308095046314945E-2</v>
          </cell>
        </row>
        <row r="85">
          <cell r="F85">
            <v>6.193464586616481E-2</v>
          </cell>
        </row>
        <row r="86">
          <cell r="F86">
            <v>7.6859133450946387E-2</v>
          </cell>
        </row>
        <row r="87">
          <cell r="F87">
            <v>5.3108078071596766E-2</v>
          </cell>
        </row>
        <row r="88">
          <cell r="F88">
            <v>4.5690238220485457E-2</v>
          </cell>
        </row>
        <row r="89">
          <cell r="F89">
            <v>8.9077846071864974E-2</v>
          </cell>
        </row>
        <row r="90">
          <cell r="F90">
            <v>8.9788986847810382E-3</v>
          </cell>
        </row>
        <row r="92">
          <cell r="F92">
            <v>6.0213324430831626E-2</v>
          </cell>
        </row>
      </sheetData>
      <sheetData sheetId="3">
        <row r="27">
          <cell r="F27">
            <v>4.5858913698040904E-2</v>
          </cell>
        </row>
        <row r="85">
          <cell r="F85">
            <v>4.9408588404314897E-2</v>
          </cell>
        </row>
        <row r="86">
          <cell r="F86">
            <v>0.16100065435143707</v>
          </cell>
        </row>
        <row r="87">
          <cell r="F87">
            <v>7.8058102126218526E-2</v>
          </cell>
        </row>
        <row r="88">
          <cell r="F88">
            <v>7.6902542534471582E-2</v>
          </cell>
        </row>
        <row r="89">
          <cell r="F89">
            <v>6.4647820197662173E-2</v>
          </cell>
        </row>
        <row r="90">
          <cell r="F90" t="e">
            <v>#DIV/0!</v>
          </cell>
        </row>
        <row r="92">
          <cell r="F92">
            <v>6.9734567253836269E-2</v>
          </cell>
        </row>
      </sheetData>
      <sheetData sheetId="4">
        <row r="29">
          <cell r="F29">
            <v>5.1478408849181027E-2</v>
          </cell>
        </row>
        <row r="30">
          <cell r="F30">
            <v>5.4076928889896472E-2</v>
          </cell>
        </row>
        <row r="85">
          <cell r="F85">
            <v>4.3371613523560601E-2</v>
          </cell>
        </row>
        <row r="86">
          <cell r="F86">
            <v>3.6376371702077984E-2</v>
          </cell>
        </row>
        <row r="87">
          <cell r="F87">
            <v>5.4994873409024446E-2</v>
          </cell>
        </row>
        <row r="88">
          <cell r="F88">
            <v>2.3803757060231159E-2</v>
          </cell>
        </row>
        <row r="89">
          <cell r="F89">
            <v>4.5620815791289945E-2</v>
          </cell>
        </row>
        <row r="90">
          <cell r="F90">
            <v>1.2005610717796357E-2</v>
          </cell>
        </row>
        <row r="92">
          <cell r="F92">
            <v>4.5821620770908837E-2</v>
          </cell>
        </row>
      </sheetData>
      <sheetData sheetId="5">
        <row r="33">
          <cell r="F33">
            <v>3.3528836754643208E-2</v>
          </cell>
        </row>
        <row r="34">
          <cell r="F34">
            <v>2.3138227433607012E-2</v>
          </cell>
        </row>
        <row r="85">
          <cell r="F85">
            <v>3.2218677966890964E-2</v>
          </cell>
        </row>
        <row r="86">
          <cell r="F86">
            <v>3.0485075223431978E-2</v>
          </cell>
        </row>
        <row r="87">
          <cell r="F87">
            <v>2.2263702503591845E-2</v>
          </cell>
        </row>
        <row r="88">
          <cell r="F88">
            <v>2.4145510376268744E-2</v>
          </cell>
        </row>
        <row r="89">
          <cell r="F89" t="e">
            <v>#DIV/0!</v>
          </cell>
        </row>
        <row r="90">
          <cell r="F90" t="e">
            <v>#DIV/0!</v>
          </cell>
        </row>
        <row r="92">
          <cell r="F92">
            <v>2.8510746510445117E-2</v>
          </cell>
        </row>
      </sheetData>
      <sheetData sheetId="6">
        <row r="85">
          <cell r="F85">
            <v>2.733324830007643E-2</v>
          </cell>
        </row>
        <row r="86">
          <cell r="F86">
            <v>2.5386779816431289E-2</v>
          </cell>
        </row>
        <row r="87">
          <cell r="F87">
            <v>2.210129277279347E-2</v>
          </cell>
        </row>
        <row r="88">
          <cell r="F88">
            <v>2.5170089370832236E-2</v>
          </cell>
        </row>
        <row r="89">
          <cell r="F89">
            <v>5.8467043959608035E-2</v>
          </cell>
        </row>
        <row r="90">
          <cell r="F90">
            <v>5.9234379709770489E-2</v>
          </cell>
        </row>
        <row r="92">
          <cell r="F92">
            <v>2.9748439617832054E-2</v>
          </cell>
        </row>
      </sheetData>
      <sheetData sheetId="7">
        <row r="37">
          <cell r="F37">
            <v>0.10046305427972987</v>
          </cell>
        </row>
        <row r="85">
          <cell r="F85">
            <v>3.6589510731631393E-2</v>
          </cell>
        </row>
        <row r="86">
          <cell r="F86">
            <v>3.5922679977610623E-2</v>
          </cell>
        </row>
        <row r="87">
          <cell r="F87">
            <v>3.1359951384699394E-2</v>
          </cell>
        </row>
        <row r="88">
          <cell r="F88">
            <v>4.2246154133547535E-2</v>
          </cell>
        </row>
        <row r="89">
          <cell r="F89">
            <v>4.2410018697413523E-2</v>
          </cell>
        </row>
        <row r="90">
          <cell r="F90">
            <v>1.875652221672983E-2</v>
          </cell>
        </row>
        <row r="92">
          <cell r="F92">
            <v>3.4412493572924412E-2</v>
          </cell>
        </row>
      </sheetData>
      <sheetData sheetId="8">
        <row r="22">
          <cell r="F22">
            <v>5.7667685052546179E-2</v>
          </cell>
        </row>
        <row r="85">
          <cell r="F85">
            <v>6.2892163185408301E-2</v>
          </cell>
        </row>
        <row r="86">
          <cell r="F86">
            <v>4.1208791208791208E-2</v>
          </cell>
        </row>
        <row r="87">
          <cell r="F87">
            <v>5.2596348713808791E-2</v>
          </cell>
        </row>
        <row r="88">
          <cell r="F88">
            <v>3.4671485569200473E-2</v>
          </cell>
        </row>
        <row r="89">
          <cell r="F89">
            <v>7.8428761651131829E-2</v>
          </cell>
        </row>
        <row r="90">
          <cell r="F90">
            <v>5.7667685052546179E-2</v>
          </cell>
        </row>
        <row r="92">
          <cell r="F92">
            <v>5.6074338490936598E-2</v>
          </cell>
        </row>
      </sheetData>
      <sheetData sheetId="9">
        <row r="85">
          <cell r="F85">
            <v>4.4608593257733434E-2</v>
          </cell>
        </row>
        <row r="86">
          <cell r="F86">
            <v>0.10389107033272274</v>
          </cell>
        </row>
        <row r="87">
          <cell r="F87">
            <v>3.5987432241552077E-2</v>
          </cell>
        </row>
        <row r="88">
          <cell r="F88">
            <v>6.1223243191357538E-2</v>
          </cell>
        </row>
        <row r="89">
          <cell r="F89">
            <v>7.29862163122557E-2</v>
          </cell>
        </row>
        <row r="90">
          <cell r="F90">
            <v>0.11574698216416407</v>
          </cell>
        </row>
        <row r="92">
          <cell r="F92">
            <v>5.3775623304538341E-2</v>
          </cell>
        </row>
      </sheetData>
      <sheetData sheetId="10">
        <row r="39">
          <cell r="F39">
            <v>5.6403300553860065E-2</v>
          </cell>
        </row>
        <row r="85">
          <cell r="F85">
            <v>6.6576605426301588E-2</v>
          </cell>
        </row>
        <row r="86">
          <cell r="F86">
            <v>8.5689833051960235E-2</v>
          </cell>
        </row>
        <row r="87">
          <cell r="F87">
            <v>4.2285559305425838E-2</v>
          </cell>
        </row>
        <row r="88">
          <cell r="F88">
            <v>8.8879482295294354E-2</v>
          </cell>
        </row>
        <row r="89">
          <cell r="F89">
            <v>7.407578047252221E-2</v>
          </cell>
        </row>
        <row r="90">
          <cell r="F90">
            <v>2.5659238213619817E-2</v>
          </cell>
        </row>
        <row r="92">
          <cell r="F92">
            <v>6.1868405944121768E-2</v>
          </cell>
        </row>
      </sheetData>
      <sheetData sheetId="11">
        <row r="52">
          <cell r="F52">
            <v>0.11980047941342357</v>
          </cell>
        </row>
        <row r="53">
          <cell r="F53">
            <v>8.2744702320887986E-2</v>
          </cell>
        </row>
        <row r="85">
          <cell r="F85">
            <v>7.7328616360357372E-2</v>
          </cell>
        </row>
        <row r="86">
          <cell r="F86">
            <v>7.5131368091529094E-2</v>
          </cell>
        </row>
        <row r="87">
          <cell r="F87">
            <v>7.4349480229018258E-2</v>
          </cell>
        </row>
        <row r="88">
          <cell r="F88">
            <v>7.2417479400687462E-2</v>
          </cell>
        </row>
        <row r="89">
          <cell r="F89">
            <v>9.8039091275367932E-2</v>
          </cell>
        </row>
        <row r="90">
          <cell r="F90" t="e">
            <v>#DIV/0!</v>
          </cell>
        </row>
        <row r="92">
          <cell r="F92">
            <v>7.8054625475699663E-2</v>
          </cell>
        </row>
      </sheetData>
      <sheetData sheetId="12">
        <row r="5">
          <cell r="F5">
            <v>5.7508070397275124E-2</v>
          </cell>
        </row>
        <row r="6">
          <cell r="F6">
            <v>7.4495145412179109E-2</v>
          </cell>
        </row>
        <row r="7">
          <cell r="F7">
            <v>5.2359214885581859E-2</v>
          </cell>
        </row>
        <row r="8">
          <cell r="F8">
            <v>5.4903170815414681E-2</v>
          </cell>
        </row>
        <row r="9">
          <cell r="F9">
            <v>7.6171674114030377E-2</v>
          </cell>
        </row>
        <row r="10">
          <cell r="F10">
            <v>4.5790074270967041E-2</v>
          </cell>
        </row>
        <row r="12">
          <cell r="F12">
            <v>5.7449685942507892E-2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sheetName val="Monthly summary loss"/>
      <sheetName val="Pareto Data"/>
      <sheetName val="Pareto analysis month "/>
      <sheetName val="Pareto YTD"/>
      <sheetName val="Jan"/>
      <sheetName val="Feb"/>
      <sheetName val="Mar"/>
      <sheetName val="Apr"/>
      <sheetName val="May"/>
      <sheetName val="Jun"/>
      <sheetName val="Jul"/>
      <sheetName val="Aug"/>
      <sheetName val="Sep"/>
      <sheetName val="Oct"/>
      <sheetName val="Nov"/>
      <sheetName val="Dec"/>
      <sheetName val="Sheet1"/>
    </sheetNames>
    <sheetDataSet>
      <sheetData sheetId="0"/>
      <sheetData sheetId="1"/>
      <sheetData sheetId="2"/>
      <sheetData sheetId="3"/>
      <sheetData sheetId="4"/>
      <sheetData sheetId="5">
        <row r="57">
          <cell r="I57">
            <v>7</v>
          </cell>
        </row>
      </sheetData>
      <sheetData sheetId="6">
        <row r="57">
          <cell r="I57">
            <v>9</v>
          </cell>
        </row>
      </sheetData>
      <sheetData sheetId="7">
        <row r="57">
          <cell r="I57">
            <v>8</v>
          </cell>
        </row>
      </sheetData>
      <sheetData sheetId="8">
        <row r="57">
          <cell r="I57">
            <v>12</v>
          </cell>
        </row>
      </sheetData>
      <sheetData sheetId="9">
        <row r="57">
          <cell r="I57">
            <v>11</v>
          </cell>
        </row>
      </sheetData>
      <sheetData sheetId="10">
        <row r="57">
          <cell r="I57">
            <v>10</v>
          </cell>
        </row>
      </sheetData>
      <sheetData sheetId="11">
        <row r="54">
          <cell r="I54">
            <v>480</v>
          </cell>
        </row>
        <row r="57">
          <cell r="I57">
            <v>12</v>
          </cell>
        </row>
      </sheetData>
      <sheetData sheetId="12">
        <row r="54">
          <cell r="I54">
            <v>300</v>
          </cell>
        </row>
        <row r="57">
          <cell r="I57">
            <v>9</v>
          </cell>
        </row>
      </sheetData>
      <sheetData sheetId="13">
        <row r="54">
          <cell r="I54">
            <v>370</v>
          </cell>
        </row>
        <row r="57">
          <cell r="I57">
            <v>13</v>
          </cell>
        </row>
      </sheetData>
      <sheetData sheetId="14">
        <row r="54">
          <cell r="I54">
            <v>74</v>
          </cell>
        </row>
        <row r="57">
          <cell r="I57">
            <v>5</v>
          </cell>
        </row>
      </sheetData>
      <sheetData sheetId="15">
        <row r="54">
          <cell r="I54">
            <v>263</v>
          </cell>
        </row>
        <row r="57">
          <cell r="I57">
            <v>9</v>
          </cell>
        </row>
      </sheetData>
      <sheetData sheetId="16">
        <row r="54">
          <cell r="I54">
            <v>434</v>
          </cell>
        </row>
        <row r="55">
          <cell r="I55">
            <v>7.2333333333333334</v>
          </cell>
        </row>
        <row r="57">
          <cell r="I57">
            <v>14</v>
          </cell>
        </row>
        <row r="58">
          <cell r="C58">
            <v>14</v>
          </cell>
          <cell r="D58">
            <v>33</v>
          </cell>
          <cell r="E58">
            <v>20</v>
          </cell>
        </row>
        <row r="60">
          <cell r="D60">
            <v>1.65</v>
          </cell>
          <cell r="E60">
            <v>11.934999999999999</v>
          </cell>
        </row>
        <row r="64">
          <cell r="C64">
            <v>119</v>
          </cell>
          <cell r="D64">
            <v>337</v>
          </cell>
          <cell r="E64">
            <v>236</v>
          </cell>
          <cell r="F64">
            <v>63.8</v>
          </cell>
        </row>
        <row r="66">
          <cell r="D66">
            <v>1.4279661016949152</v>
          </cell>
          <cell r="E66">
            <v>91.104237288135593</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nuary_2025"/>
      <sheetName val="February_2025"/>
      <sheetName val="March_2025"/>
      <sheetName val="April_2025 "/>
      <sheetName val="May_2025"/>
      <sheetName val="June_2025"/>
      <sheetName val="July_2025"/>
      <sheetName val="August_2025"/>
      <sheetName val="September_2025"/>
      <sheetName val="October_2025"/>
      <sheetName val="November_2025"/>
      <sheetName val="December_2025"/>
      <sheetName val="September_2024"/>
      <sheetName val="October_2024"/>
      <sheetName val="November_2024"/>
      <sheetName val="December_2024"/>
      <sheetName val="August_2026"/>
    </sheetNames>
    <sheetDataSet>
      <sheetData sheetId="0" refreshError="1"/>
      <sheetData sheetId="1" refreshError="1"/>
      <sheetData sheetId="2" refreshError="1"/>
      <sheetData sheetId="3" refreshError="1"/>
      <sheetData sheetId="4" refreshError="1">
        <row r="8">
          <cell r="D8" t="str">
            <v>CARIB AMBER</v>
          </cell>
        </row>
        <row r="51">
          <cell r="B51"/>
          <cell r="D51"/>
        </row>
      </sheetData>
      <sheetData sheetId="5" refreshError="1">
        <row r="8">
          <cell r="B8">
            <v>45445</v>
          </cell>
        </row>
        <row r="50">
          <cell r="B50"/>
          <cell r="D50"/>
          <cell r="F50"/>
          <cell r="G50"/>
          <cell r="J50"/>
          <cell r="K50">
            <v>0</v>
          </cell>
          <cell r="N50"/>
        </row>
        <row r="51">
          <cell r="B51"/>
          <cell r="D51"/>
          <cell r="F51"/>
          <cell r="G51"/>
          <cell r="J51"/>
          <cell r="K51">
            <v>0</v>
          </cell>
          <cell r="N51"/>
        </row>
        <row r="52">
          <cell r="B52"/>
          <cell r="D52"/>
          <cell r="F52"/>
          <cell r="G52"/>
          <cell r="J52"/>
          <cell r="K52">
            <v>0</v>
          </cell>
          <cell r="N52"/>
        </row>
        <row r="53">
          <cell r="B53"/>
          <cell r="D53"/>
          <cell r="F53"/>
          <cell r="G53"/>
          <cell r="J53"/>
          <cell r="K53">
            <v>0</v>
          </cell>
          <cell r="N53"/>
        </row>
        <row r="54">
          <cell r="F54"/>
          <cell r="G54"/>
          <cell r="J54"/>
          <cell r="K54">
            <v>0</v>
          </cell>
          <cell r="N54"/>
        </row>
        <row r="55">
          <cell r="F55"/>
          <cell r="G55"/>
          <cell r="J55"/>
          <cell r="K55">
            <v>0</v>
          </cell>
          <cell r="N55"/>
        </row>
      </sheetData>
      <sheetData sheetId="6" refreshError="1">
        <row r="8">
          <cell r="B8">
            <v>45839</v>
          </cell>
        </row>
        <row r="60">
          <cell r="Q60"/>
        </row>
        <row r="61">
          <cell r="Q61"/>
        </row>
        <row r="62">
          <cell r="Q62"/>
        </row>
        <row r="63">
          <cell r="Q63"/>
        </row>
        <row r="64">
          <cell r="Q64"/>
        </row>
      </sheetData>
      <sheetData sheetId="7" refreshError="1"/>
      <sheetData sheetId="8" refreshError="1"/>
      <sheetData sheetId="9" refreshError="1">
        <row r="8">
          <cell r="B8">
            <v>45931</v>
          </cell>
        </row>
        <row r="9">
          <cell r="N9"/>
        </row>
      </sheetData>
      <sheetData sheetId="10" refreshError="1">
        <row r="8">
          <cell r="B8">
            <v>45964</v>
          </cell>
        </row>
        <row r="49">
          <cell r="F49"/>
        </row>
        <row r="50">
          <cell r="F50"/>
          <cell r="J50"/>
        </row>
        <row r="51">
          <cell r="F51"/>
        </row>
        <row r="52">
          <cell r="F52"/>
          <cell r="J52"/>
        </row>
        <row r="53">
          <cell r="F53"/>
        </row>
        <row r="54">
          <cell r="F54"/>
          <cell r="J54"/>
        </row>
        <row r="55">
          <cell r="F55"/>
        </row>
        <row r="56">
          <cell r="F56"/>
          <cell r="J56"/>
        </row>
        <row r="57">
          <cell r="F57"/>
        </row>
        <row r="58">
          <cell r="F58"/>
          <cell r="J58"/>
        </row>
        <row r="59">
          <cell r="F59"/>
        </row>
      </sheetData>
      <sheetData sheetId="11" refreshError="1">
        <row r="8">
          <cell r="B8">
            <v>45992</v>
          </cell>
        </row>
        <row r="51">
          <cell r="G51"/>
          <cell r="J51"/>
          <cell r="K51">
            <v>0</v>
          </cell>
          <cell r="N51"/>
        </row>
        <row r="52">
          <cell r="G52"/>
          <cell r="J52"/>
          <cell r="K52">
            <v>0</v>
          </cell>
          <cell r="N52"/>
        </row>
        <row r="53">
          <cell r="G53"/>
          <cell r="J53"/>
          <cell r="K53">
            <v>0</v>
          </cell>
          <cell r="N53"/>
        </row>
        <row r="54">
          <cell r="F54">
            <v>0</v>
          </cell>
          <cell r="G54"/>
          <cell r="J54"/>
          <cell r="K54">
            <v>0</v>
          </cell>
          <cell r="N54"/>
        </row>
        <row r="55">
          <cell r="F55">
            <v>0</v>
          </cell>
          <cell r="G55"/>
          <cell r="J55"/>
          <cell r="K55">
            <v>0</v>
          </cell>
          <cell r="N55"/>
        </row>
        <row r="56">
          <cell r="F56">
            <v>0</v>
          </cell>
          <cell r="G56"/>
          <cell r="J56"/>
          <cell r="K56">
            <v>0</v>
          </cell>
          <cell r="N56"/>
        </row>
        <row r="57">
          <cell r="F57">
            <v>0</v>
          </cell>
          <cell r="G57"/>
          <cell r="J57"/>
          <cell r="K57">
            <v>0</v>
          </cell>
          <cell r="N57"/>
        </row>
        <row r="58">
          <cell r="F58">
            <v>0</v>
          </cell>
          <cell r="G58"/>
          <cell r="J58"/>
          <cell r="K58">
            <v>0</v>
          </cell>
          <cell r="N58"/>
        </row>
        <row r="59">
          <cell r="F59">
            <v>0</v>
          </cell>
          <cell r="G59"/>
          <cell r="J59"/>
          <cell r="K59">
            <v>0</v>
          </cell>
          <cell r="N59"/>
        </row>
        <row r="64">
          <cell r="P64"/>
        </row>
      </sheetData>
      <sheetData sheetId="12" refreshError="1"/>
      <sheetData sheetId="13" refreshError="1"/>
      <sheetData sheetId="14" refreshError="1"/>
      <sheetData sheetId="15" refreshError="1"/>
      <sheetData sheetId="1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int"/>
      <sheetName val="Monthly summary loss"/>
      <sheetName val="Pareto YTD"/>
      <sheetName val="Pareto Data"/>
      <sheetName val="Pareto analysis month "/>
      <sheetName val="Uncaser Downtime Detail "/>
      <sheetName val="Washer Downtime Detail"/>
      <sheetName val="EBI Downtime Detail"/>
      <sheetName val="Filler Downtime Detail"/>
      <sheetName val="Pasteurizer Downtime Detail"/>
      <sheetName val="Labeler Downtime Detail"/>
      <sheetName val="Videojet Downtime Detail "/>
      <sheetName val="Packer Downtime Detail  "/>
      <sheetName val="Carton Errector-sealer Detail"/>
      <sheetName val="Conveyor Downtime (new)"/>
      <sheetName val="Org &amp; Tech Downtime"/>
      <sheetName val="Data Sheet"/>
      <sheetName val="Dec"/>
      <sheetName val="2 weeks Downtime Trend"/>
      <sheetName val="Nov"/>
      <sheetName val="Jan"/>
      <sheetName val="Apr"/>
      <sheetName val="Feb"/>
      <sheetName val="Mar"/>
      <sheetName val="May"/>
      <sheetName val="Jun"/>
      <sheetName val="Jul"/>
      <sheetName val="Aug"/>
      <sheetName val="Sept"/>
      <sheetName val="Oct"/>
      <sheetName val="Washer Downtime Detail (2)"/>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8">
          <cell r="E8">
            <v>1.1458333333333333</v>
          </cell>
        </row>
      </sheetData>
      <sheetData sheetId="18" refreshError="1"/>
      <sheetData sheetId="19">
        <row r="8">
          <cell r="E8">
            <v>1.1944444444444444</v>
          </cell>
        </row>
      </sheetData>
      <sheetData sheetId="20" refreshError="1"/>
      <sheetData sheetId="21" refreshError="1"/>
      <sheetData sheetId="22" refreshError="1"/>
      <sheetData sheetId="23" refreshError="1"/>
      <sheetData sheetId="24" refreshError="1"/>
      <sheetData sheetId="25">
        <row r="8">
          <cell r="E8">
            <v>9.375E-2</v>
          </cell>
        </row>
      </sheetData>
      <sheetData sheetId="26">
        <row r="8">
          <cell r="E8">
            <v>1</v>
          </cell>
        </row>
      </sheetData>
      <sheetData sheetId="27">
        <row r="8">
          <cell r="E8">
            <v>1.0541666666666667</v>
          </cell>
        </row>
      </sheetData>
      <sheetData sheetId="28">
        <row r="8">
          <cell r="E8">
            <v>0.34722222222222221</v>
          </cell>
        </row>
      </sheetData>
      <sheetData sheetId="29">
        <row r="8">
          <cell r="E8">
            <v>1.0243055555555556</v>
          </cell>
        </row>
      </sheetData>
      <sheetData sheetId="30" refreshError="1"/>
      <sheetData sheetId="3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b_2019"/>
      <sheetName val="June_2019"/>
      <sheetName val="August_2019"/>
      <sheetName val="September_2019"/>
      <sheetName val="October_2019"/>
      <sheetName val="November_2019"/>
      <sheetName val="December_2019"/>
      <sheetName val="YearToDate"/>
      <sheetName val="Jan_2021"/>
      <sheetName val="Feb_2021 "/>
      <sheetName val="Hourly Check template"/>
      <sheetName val="Mar_2021"/>
      <sheetName val="Apr_2021 "/>
      <sheetName val="May_2021 "/>
      <sheetName val="June_2021  "/>
      <sheetName val="July_2021  "/>
      <sheetName val="August_2021   "/>
      <sheetName val="September_2021"/>
      <sheetName val="October_2021 "/>
      <sheetName val="November_2021"/>
      <sheetName val="December_2021"/>
      <sheetName val="Template"/>
      <sheetName val="EBI Rejects 2017-2019"/>
      <sheetName val="MTD Rejects (Bottle Type)"/>
      <sheetName val="2016-2019 Comparison"/>
      <sheetName val="Sheet1"/>
      <sheetName val="Delete"/>
      <sheetName val="Comparison (MTD)"/>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5">
          <cell r="F5">
            <v>6.724588443682647E-2</v>
          </cell>
        </row>
        <row r="6">
          <cell r="F6">
            <v>9.540267139313606E-2</v>
          </cell>
        </row>
        <row r="7">
          <cell r="F7">
            <v>8.0820807854400628E-2</v>
          </cell>
        </row>
        <row r="8">
          <cell r="F8">
            <v>9.0568067923628467E-2</v>
          </cell>
        </row>
        <row r="9">
          <cell r="F9">
            <v>7.175547192051597E-2</v>
          </cell>
        </row>
        <row r="10">
          <cell r="F10">
            <v>6.8696235163029626E-2</v>
          </cell>
        </row>
        <row r="11">
          <cell r="F11">
            <v>6.0692212286755087E-2</v>
          </cell>
        </row>
        <row r="12">
          <cell r="F12">
            <v>7.0714585778953856E-2</v>
          </cell>
        </row>
        <row r="13">
          <cell r="F13">
            <v>3.592005121274628E-2</v>
          </cell>
        </row>
        <row r="14">
          <cell r="F14">
            <v>7.5814787531687813E-2</v>
          </cell>
        </row>
      </sheetData>
      <sheetData sheetId="8" refreshError="1"/>
      <sheetData sheetId="9" refreshError="1"/>
      <sheetData sheetId="10" refreshError="1"/>
      <sheetData sheetId="11" refreshError="1"/>
      <sheetData sheetId="12" refreshError="1"/>
      <sheetData sheetId="13" refreshError="1"/>
      <sheetData sheetId="14" refreshError="1"/>
      <sheetData sheetId="15">
        <row r="84">
          <cell r="F84">
            <v>6.695500291108708E-2</v>
          </cell>
        </row>
        <row r="85">
          <cell r="F85">
            <v>9.9106490977992553E-2</v>
          </cell>
        </row>
        <row r="86">
          <cell r="F86">
            <v>7.3613229001229408E-2</v>
          </cell>
        </row>
        <row r="87">
          <cell r="F87" t="e">
            <v>#DIV/0!</v>
          </cell>
        </row>
        <row r="88">
          <cell r="F88">
            <v>6.4065234128928394E-2</v>
          </cell>
        </row>
        <row r="89">
          <cell r="F89" t="e">
            <v>#DIV/0!</v>
          </cell>
        </row>
        <row r="90">
          <cell r="F90">
            <v>8.8610184567489439E-2</v>
          </cell>
        </row>
        <row r="91">
          <cell r="F91">
            <v>6.2862788687168089E-2</v>
          </cell>
        </row>
        <row r="92">
          <cell r="F92">
            <v>4.4377067254685779E-2</v>
          </cell>
        </row>
        <row r="93">
          <cell r="F93">
            <v>7.2519047331727995E-2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sheetName val="Monthly summary loss"/>
      <sheetName val="Pareto YTD"/>
      <sheetName val="Pareto Data"/>
      <sheetName val="Pareto analysis month "/>
      <sheetName val="Uncaser Downtime Detail "/>
      <sheetName val="Washer Downtime Detail"/>
      <sheetName val="EBI Downtime Detail"/>
      <sheetName val="Filler Downtime Detail"/>
      <sheetName val="Pasteurizer Downtime Detail"/>
      <sheetName val="Labeler Downtime Detail"/>
      <sheetName val="Videojet Downtime Detail "/>
      <sheetName val="Packer Downtime Detail  "/>
      <sheetName val="Carton Errector-sealer Detail"/>
      <sheetName val="Conveyor Downtime (new)"/>
      <sheetName val="Org &amp; Tech Downtime"/>
      <sheetName val="Nov"/>
      <sheetName val="Dec"/>
      <sheetName val="Jun"/>
      <sheetName val="Data Sheet"/>
      <sheetName val="2 weeks Downtime Trend"/>
      <sheetName val="Mar"/>
      <sheetName val="Feb"/>
      <sheetName val="Sept"/>
      <sheetName val="Oct"/>
      <sheetName val="Jan"/>
      <sheetName val="Apr"/>
      <sheetName val="May"/>
      <sheetName val="Jul"/>
      <sheetName val="Au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8">
          <cell r="B8">
            <v>45597</v>
          </cell>
        </row>
        <row r="56">
          <cell r="B56">
            <v>0</v>
          </cell>
        </row>
      </sheetData>
      <sheetData sheetId="17">
        <row r="8">
          <cell r="E8">
            <v>1.2569444444444444</v>
          </cell>
        </row>
      </sheetData>
      <sheetData sheetId="18">
        <row r="8">
          <cell r="B8">
            <v>45446</v>
          </cell>
        </row>
      </sheetData>
      <sheetData sheetId="19" refreshError="1"/>
      <sheetData sheetId="20" refreshError="1"/>
      <sheetData sheetId="21" refreshError="1"/>
      <sheetData sheetId="22" refreshError="1"/>
      <sheetData sheetId="23">
        <row r="8">
          <cell r="B8">
            <v>45537</v>
          </cell>
        </row>
      </sheetData>
      <sheetData sheetId="24">
        <row r="8">
          <cell r="E8">
            <v>0.64236111111111116</v>
          </cell>
        </row>
      </sheetData>
      <sheetData sheetId="25" refreshError="1"/>
      <sheetData sheetId="26" refreshError="1"/>
      <sheetData sheetId="27" refreshError="1"/>
      <sheetData sheetId="28">
        <row r="8">
          <cell r="E8">
            <v>0.10416666666666667</v>
          </cell>
        </row>
      </sheetData>
      <sheetData sheetId="29">
        <row r="8">
          <cell r="E8">
            <v>1.0034722222222223</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uary '14"/>
      <sheetName val="February '14"/>
      <sheetName val="March '14"/>
      <sheetName val="April '14"/>
      <sheetName val="May '14"/>
      <sheetName val="June '14"/>
      <sheetName val="July '14"/>
      <sheetName val="August '14"/>
      <sheetName val="September '14"/>
      <sheetName val="October '14"/>
      <sheetName val="November '14"/>
      <sheetName val="December '14"/>
      <sheetName val="January 2020"/>
      <sheetName val="YTD KPI (2007-2015)"/>
      <sheetName val="February 2020"/>
      <sheetName val="March 2020"/>
      <sheetName val="April 2020 "/>
      <sheetName val="May '20"/>
      <sheetName val="June '20 "/>
      <sheetName val="July '20"/>
      <sheetName val="August '20"/>
      <sheetName val="September '20"/>
      <sheetName val="October '20"/>
      <sheetName val="November '20"/>
      <sheetName val="December '2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6">
          <cell r="D16">
            <v>103570.5</v>
          </cell>
        </row>
      </sheetData>
      <sheetData sheetId="13"/>
      <sheetData sheetId="14">
        <row r="16">
          <cell r="D16">
            <v>117954.75</v>
          </cell>
        </row>
      </sheetData>
      <sheetData sheetId="15">
        <row r="16">
          <cell r="D16">
            <v>107875</v>
          </cell>
        </row>
      </sheetData>
      <sheetData sheetId="16">
        <row r="16">
          <cell r="D16">
            <v>23477</v>
          </cell>
        </row>
      </sheetData>
      <sheetData sheetId="17">
        <row r="16">
          <cell r="D16">
            <v>73810</v>
          </cell>
        </row>
      </sheetData>
      <sheetData sheetId="18">
        <row r="16">
          <cell r="D16">
            <v>79649.75</v>
          </cell>
        </row>
      </sheetData>
      <sheetData sheetId="19">
        <row r="16">
          <cell r="D16">
            <v>143268</v>
          </cell>
        </row>
      </sheetData>
      <sheetData sheetId="20">
        <row r="16">
          <cell r="D16">
            <v>114702</v>
          </cell>
        </row>
      </sheetData>
      <sheetData sheetId="21">
        <row r="16">
          <cell r="D16">
            <v>92384.25</v>
          </cell>
        </row>
      </sheetData>
      <sheetData sheetId="22">
        <row r="16">
          <cell r="D16">
            <v>130410.75</v>
          </cell>
        </row>
      </sheetData>
      <sheetData sheetId="23">
        <row r="16">
          <cell r="D16">
            <v>118118.25</v>
          </cell>
        </row>
      </sheetData>
      <sheetData sheetId="24">
        <row r="16">
          <cell r="D16">
            <v>132500.25</v>
          </cell>
        </row>
      </sheetData>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uary '14"/>
      <sheetName val="February '14"/>
      <sheetName val="March '14"/>
      <sheetName val="April '14"/>
      <sheetName val="May '14"/>
      <sheetName val="June '14"/>
      <sheetName val="July '14"/>
      <sheetName val="August '14"/>
      <sheetName val="September '14"/>
      <sheetName val="October '14"/>
      <sheetName val="November '14"/>
      <sheetName val="December '14"/>
      <sheetName val="January 2021"/>
      <sheetName val="YTD KPI (2007-2015)"/>
      <sheetName val="February 2021"/>
      <sheetName val="March 2021"/>
      <sheetName val="April 2021 "/>
      <sheetName val="May 2021"/>
      <sheetName val="June '21 "/>
      <sheetName val="July '21"/>
      <sheetName val="August '21"/>
      <sheetName val="September '20"/>
      <sheetName val="October '20"/>
      <sheetName val="November '20"/>
      <sheetName val="December '2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6">
          <cell r="D16">
            <v>130851</v>
          </cell>
        </row>
      </sheetData>
      <sheetData sheetId="13"/>
      <sheetData sheetId="14">
        <row r="16">
          <cell r="D16">
            <v>115400</v>
          </cell>
        </row>
      </sheetData>
      <sheetData sheetId="15">
        <row r="16">
          <cell r="D16">
            <v>106167.25</v>
          </cell>
        </row>
      </sheetData>
      <sheetData sheetId="16">
        <row r="16">
          <cell r="D16">
            <v>96215</v>
          </cell>
        </row>
      </sheetData>
      <sheetData sheetId="17">
        <row r="16">
          <cell r="D16">
            <v>98220</v>
          </cell>
        </row>
      </sheetData>
      <sheetData sheetId="18">
        <row r="16">
          <cell r="D16">
            <v>95771.25</v>
          </cell>
        </row>
      </sheetData>
      <sheetData sheetId="19">
        <row r="16">
          <cell r="D16">
            <v>114160.5</v>
          </cell>
        </row>
      </sheetData>
      <sheetData sheetId="20">
        <row r="16">
          <cell r="D16">
            <v>92841.5</v>
          </cell>
        </row>
      </sheetData>
      <sheetData sheetId="21"/>
      <sheetData sheetId="22"/>
      <sheetData sheetId="23"/>
      <sheetData sheetId="24"/>
      <sheetData sheetId="2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rg &amp; Tech Downtime- October"/>
      <sheetName val="GBL Actual vs Budget Prod."/>
      <sheetName val="YR Comparison 2020vs 2021"/>
      <sheetName val="Org &amp; Tech Downtime-July"/>
      <sheetName val="Org &amp; Tech Downtime-June"/>
      <sheetName val="Org &amp; Tech Downtime-May"/>
      <sheetName val="Org &amp; Tech Downtime- April"/>
      <sheetName val="Org &amp; Tech Downtime- March"/>
      <sheetName val="Org &amp; Tech Downtime- February"/>
      <sheetName val="Org &amp; Tech Downtime- January "/>
    </sheetNames>
    <sheetDataSet>
      <sheetData sheetId="0"/>
      <sheetData sheetId="1">
        <row r="2">
          <cell r="J2">
            <v>75387</v>
          </cell>
          <cell r="K2">
            <v>79036</v>
          </cell>
          <cell r="L2">
            <v>125333.5</v>
          </cell>
          <cell r="M2">
            <v>126255</v>
          </cell>
        </row>
      </sheetData>
      <sheetData sheetId="2"/>
      <sheetData sheetId="3"/>
      <sheetData sheetId="4"/>
      <sheetData sheetId="5"/>
      <sheetData sheetId="6"/>
      <sheetData sheetId="7"/>
      <sheetData sheetId="8"/>
      <sheetData sheetId="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BL Actual vs Budget Prod."/>
    </sheetNames>
    <sheetDataSet>
      <sheetData sheetId="0">
        <row r="2">
          <cell r="M2">
            <v>107315.25</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BL Actual vs Budget Prod."/>
    </sheetNames>
    <sheetDataSet>
      <sheetData sheetId="0">
        <row r="2">
          <cell r="B2">
            <v>136693.5</v>
          </cell>
          <cell r="C2">
            <v>100143.5</v>
          </cell>
        </row>
        <row r="7">
          <cell r="B7">
            <v>107525</v>
          </cell>
          <cell r="C7">
            <v>104700</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uary_2016"/>
      <sheetName val="February_2016"/>
      <sheetName val="March_2016"/>
      <sheetName val="April_2016"/>
      <sheetName val="May_2016"/>
      <sheetName val="June_2016"/>
      <sheetName val="July_2016"/>
      <sheetName val="August_2016"/>
      <sheetName val="September_2016"/>
      <sheetName val="October_2016"/>
      <sheetName val="November_2016"/>
      <sheetName val="December_2016"/>
      <sheetName val="December_2015"/>
      <sheetName val="November_2015"/>
    </sheetNames>
    <sheetDataSet>
      <sheetData sheetId="0" refreshError="1">
        <row r="8">
          <cell r="E8">
            <v>609</v>
          </cell>
          <cell r="F8">
            <v>4245</v>
          </cell>
          <cell r="H8"/>
          <cell r="J8">
            <v>303.00000000000006</v>
          </cell>
          <cell r="K8">
            <v>299.17</v>
          </cell>
          <cell r="M8">
            <v>114</v>
          </cell>
          <cell r="N8">
            <v>45</v>
          </cell>
          <cell r="P8">
            <v>1.2640264026402772</v>
          </cell>
          <cell r="Q8">
            <v>418.22660098522164</v>
          </cell>
        </row>
        <row r="9">
          <cell r="E9">
            <v>542</v>
          </cell>
          <cell r="F9">
            <v>302</v>
          </cell>
          <cell r="H9"/>
          <cell r="J9">
            <v>268.8</v>
          </cell>
          <cell r="K9">
            <v>267.63</v>
          </cell>
          <cell r="M9">
            <v>46</v>
          </cell>
          <cell r="N9">
            <v>16</v>
          </cell>
          <cell r="P9">
            <v>0.43526785714286303</v>
          </cell>
          <cell r="Q9">
            <v>448.89298892988933</v>
          </cell>
        </row>
        <row r="10">
          <cell r="E10"/>
          <cell r="F10">
            <v>3753</v>
          </cell>
          <cell r="H10"/>
          <cell r="J10"/>
          <cell r="K10"/>
          <cell r="P10"/>
          <cell r="Q10"/>
        </row>
        <row r="11">
          <cell r="E11">
            <v>652</v>
          </cell>
          <cell r="F11">
            <v>2947</v>
          </cell>
          <cell r="H11"/>
          <cell r="J11">
            <v>195.2</v>
          </cell>
          <cell r="K11">
            <v>194.50200000000001</v>
          </cell>
          <cell r="M11">
            <v>45</v>
          </cell>
          <cell r="N11">
            <v>21</v>
          </cell>
          <cell r="P11">
            <v>0.35758196721310403</v>
          </cell>
          <cell r="Q11">
            <v>397.36196319018404</v>
          </cell>
        </row>
        <row r="12">
          <cell r="E12"/>
          <cell r="F12">
            <v>1371</v>
          </cell>
          <cell r="H12"/>
          <cell r="J12">
            <v>93.653009999999995</v>
          </cell>
          <cell r="K12">
            <v>90.486000000000004</v>
          </cell>
          <cell r="M12">
            <v>87</v>
          </cell>
          <cell r="N12">
            <v>4.5</v>
          </cell>
          <cell r="P12">
            <v>3.3816425120772848</v>
          </cell>
          <cell r="Q12"/>
        </row>
        <row r="13">
          <cell r="E13">
            <v>690</v>
          </cell>
          <cell r="F13">
            <v>705</v>
          </cell>
          <cell r="H13"/>
          <cell r="J13">
            <v>50.2</v>
          </cell>
          <cell r="K13">
            <v>46.53</v>
          </cell>
          <cell r="M13">
            <v>0</v>
          </cell>
          <cell r="N13">
            <v>9</v>
          </cell>
          <cell r="P13">
            <v>7.3107569721115571</v>
          </cell>
          <cell r="Q13">
            <v>384.08695652173913</v>
          </cell>
        </row>
        <row r="14">
          <cell r="E14"/>
          <cell r="F14">
            <v>3712</v>
          </cell>
          <cell r="H14"/>
          <cell r="J14">
            <v>245.39999999999998</v>
          </cell>
          <cell r="K14">
            <v>244.99200000000002</v>
          </cell>
          <cell r="M14">
            <v>181</v>
          </cell>
          <cell r="N14">
            <v>28</v>
          </cell>
          <cell r="P14">
            <v>0.16625916870413965</v>
          </cell>
          <cell r="Q14"/>
        </row>
        <row r="15">
          <cell r="E15">
            <v>440</v>
          </cell>
          <cell r="F15">
            <v>2656</v>
          </cell>
          <cell r="H15"/>
          <cell r="J15">
            <v>195</v>
          </cell>
          <cell r="K15">
            <v>194.29600000000002</v>
          </cell>
          <cell r="M15">
            <v>147</v>
          </cell>
          <cell r="N15">
            <v>9</v>
          </cell>
          <cell r="P15">
            <v>0.36102564102563045</v>
          </cell>
          <cell r="Q15">
            <v>454.5</v>
          </cell>
        </row>
        <row r="16">
          <cell r="E16"/>
          <cell r="F16">
            <v>677</v>
          </cell>
          <cell r="H16"/>
          <cell r="J16">
            <v>45.7</v>
          </cell>
          <cell r="K16">
            <v>44.682000000000002</v>
          </cell>
          <cell r="M16">
            <v>39</v>
          </cell>
          <cell r="N16">
            <v>6</v>
          </cell>
          <cell r="P16">
            <v>2.2275711159737432</v>
          </cell>
          <cell r="Q16"/>
        </row>
        <row r="17">
          <cell r="E17">
            <v>620</v>
          </cell>
          <cell r="F17">
            <v>5595</v>
          </cell>
          <cell r="H17"/>
          <cell r="J17">
            <v>370.6</v>
          </cell>
          <cell r="K17">
            <v>369.27000000000004</v>
          </cell>
          <cell r="M17">
            <v>66</v>
          </cell>
          <cell r="N17">
            <v>27</v>
          </cell>
          <cell r="P17">
            <v>0.35887749595250512</v>
          </cell>
          <cell r="Q17">
            <v>541.45161290322574</v>
          </cell>
        </row>
        <row r="18">
          <cell r="E18">
            <v>554</v>
          </cell>
          <cell r="F18">
            <v>4146</v>
          </cell>
          <cell r="H18"/>
          <cell r="J18">
            <v>276.60000000000002</v>
          </cell>
          <cell r="K18">
            <v>275.536</v>
          </cell>
          <cell r="M18">
            <v>127</v>
          </cell>
          <cell r="N18">
            <v>23</v>
          </cell>
          <cell r="P18">
            <v>0.38467100506146829</v>
          </cell>
          <cell r="Q18">
            <v>449.02527075812276</v>
          </cell>
        </row>
        <row r="19">
          <cell r="E19">
            <v>580</v>
          </cell>
          <cell r="F19">
            <v>3469</v>
          </cell>
          <cell r="H19"/>
          <cell r="J19">
            <v>259</v>
          </cell>
          <cell r="K19">
            <v>258.09359999999998</v>
          </cell>
          <cell r="M19">
            <v>155</v>
          </cell>
          <cell r="N19">
            <v>12</v>
          </cell>
          <cell r="P19">
            <v>0.34996138996139736</v>
          </cell>
          <cell r="Q19">
            <v>358.86206896551727</v>
          </cell>
        </row>
        <row r="20">
          <cell r="E20">
            <v>635</v>
          </cell>
          <cell r="F20">
            <v>1988</v>
          </cell>
          <cell r="H20"/>
          <cell r="J20">
            <v>274.5</v>
          </cell>
          <cell r="K20">
            <v>272.58000000000004</v>
          </cell>
          <cell r="M20">
            <v>144</v>
          </cell>
          <cell r="N20">
            <v>36</v>
          </cell>
          <cell r="P20">
            <v>0.69945355191255343</v>
          </cell>
          <cell r="Q20">
            <v>390.23622047244095</v>
          </cell>
        </row>
        <row r="21">
          <cell r="F21">
            <v>2142</v>
          </cell>
        </row>
        <row r="22">
          <cell r="E22">
            <v>560</v>
          </cell>
          <cell r="F22">
            <v>4500</v>
          </cell>
          <cell r="H22"/>
          <cell r="J22">
            <v>298.5</v>
          </cell>
          <cell r="K22">
            <v>297</v>
          </cell>
          <cell r="M22">
            <v>67</v>
          </cell>
          <cell r="N22">
            <v>30</v>
          </cell>
          <cell r="P22">
            <v>0.50251256281407031</v>
          </cell>
          <cell r="Q22">
            <v>482.14285714285711</v>
          </cell>
        </row>
        <row r="23">
          <cell r="E23">
            <v>570</v>
          </cell>
          <cell r="F23">
            <v>3776</v>
          </cell>
          <cell r="H23"/>
          <cell r="J23">
            <v>256.09999999999997</v>
          </cell>
          <cell r="K23">
            <v>249.21600000000001</v>
          </cell>
          <cell r="M23">
            <v>125</v>
          </cell>
          <cell r="N23">
            <v>133</v>
          </cell>
          <cell r="P23">
            <v>2.6880124951190782</v>
          </cell>
          <cell r="Q23">
            <v>397.4736842105263</v>
          </cell>
        </row>
        <row r="24">
          <cell r="E24">
            <v>520</v>
          </cell>
          <cell r="F24">
            <v>4332</v>
          </cell>
          <cell r="H24"/>
          <cell r="J24">
            <v>287.10000000000002</v>
          </cell>
          <cell r="K24">
            <v>285.91200000000003</v>
          </cell>
          <cell r="M24">
            <v>36</v>
          </cell>
          <cell r="N24">
            <v>20</v>
          </cell>
          <cell r="P24">
            <v>0.41379310344827169</v>
          </cell>
          <cell r="Q24">
            <v>499.84615384615387</v>
          </cell>
        </row>
        <row r="25">
          <cell r="E25">
            <v>610</v>
          </cell>
          <cell r="F25">
            <v>4986</v>
          </cell>
          <cell r="H25"/>
          <cell r="J25">
            <v>330.40000000000003</v>
          </cell>
          <cell r="K25">
            <v>329.07600000000002</v>
          </cell>
          <cell r="M25">
            <v>69</v>
          </cell>
          <cell r="N25">
            <v>32</v>
          </cell>
          <cell r="P25">
            <v>0.40072639225181966</v>
          </cell>
          <cell r="Q25">
            <v>490.42622950819674</v>
          </cell>
        </row>
        <row r="26">
          <cell r="E26">
            <v>612</v>
          </cell>
          <cell r="F26">
            <v>2810</v>
          </cell>
          <cell r="H26"/>
          <cell r="J26">
            <v>186.2</v>
          </cell>
          <cell r="K26">
            <v>185.46</v>
          </cell>
          <cell r="M26">
            <v>32</v>
          </cell>
          <cell r="N26">
            <v>12</v>
          </cell>
          <cell r="P26">
            <v>0.39742212674542465</v>
          </cell>
          <cell r="Q26">
            <v>420.68627450980392</v>
          </cell>
        </row>
        <row r="27">
          <cell r="F27">
            <v>1481</v>
          </cell>
          <cell r="H27"/>
          <cell r="J27">
            <v>100.2</v>
          </cell>
          <cell r="K27">
            <v>99.646000000000015</v>
          </cell>
          <cell r="M27">
            <v>146</v>
          </cell>
          <cell r="N27">
            <v>9</v>
          </cell>
          <cell r="P27">
            <v>0.55289421157683416</v>
          </cell>
        </row>
        <row r="28">
          <cell r="E28">
            <v>820</v>
          </cell>
          <cell r="F28">
            <v>2042</v>
          </cell>
          <cell r="H28"/>
          <cell r="J28">
            <v>135.60000000000002</v>
          </cell>
          <cell r="K28">
            <v>134.77200000000002</v>
          </cell>
          <cell r="M28">
            <v>78</v>
          </cell>
          <cell r="N28">
            <v>12</v>
          </cell>
          <cell r="P28">
            <v>0.61061946902655073</v>
          </cell>
          <cell r="Q28">
            <v>357.73170731707319</v>
          </cell>
        </row>
        <row r="29">
          <cell r="F29">
            <v>2847</v>
          </cell>
          <cell r="H29"/>
          <cell r="J29">
            <v>190.4</v>
          </cell>
          <cell r="K29">
            <v>187.90200000000002</v>
          </cell>
          <cell r="M29">
            <v>128</v>
          </cell>
          <cell r="N29">
            <v>13</v>
          </cell>
          <cell r="P29">
            <v>1.3119747899159615</v>
          </cell>
        </row>
        <row r="30">
          <cell r="E30">
            <v>644</v>
          </cell>
          <cell r="F30">
            <v>4473</v>
          </cell>
          <cell r="H30"/>
          <cell r="J30">
            <v>296.10000000000002</v>
          </cell>
          <cell r="K30">
            <v>295.21800000000002</v>
          </cell>
          <cell r="M30">
            <v>167</v>
          </cell>
          <cell r="N30">
            <v>20</v>
          </cell>
          <cell r="P30">
            <v>0.29787234042553357</v>
          </cell>
          <cell r="Q30">
            <v>416.73913043478262</v>
          </cell>
        </row>
        <row r="31">
          <cell r="E31">
            <v>745</v>
          </cell>
          <cell r="F31">
            <v>747</v>
          </cell>
          <cell r="H31"/>
          <cell r="J31">
            <v>50.3</v>
          </cell>
          <cell r="K31">
            <v>49.302</v>
          </cell>
          <cell r="M31">
            <v>10</v>
          </cell>
          <cell r="N31">
            <v>5</v>
          </cell>
          <cell r="P31">
            <v>1.9840954274353828</v>
          </cell>
          <cell r="Q31">
            <v>281.1543624161074</v>
          </cell>
        </row>
        <row r="32">
          <cell r="E32"/>
          <cell r="F32">
            <v>1460</v>
          </cell>
          <cell r="H32">
            <v>92</v>
          </cell>
          <cell r="J32">
            <v>98.1</v>
          </cell>
          <cell r="K32">
            <v>96.36</v>
          </cell>
          <cell r="M32">
            <v>119</v>
          </cell>
          <cell r="N32">
            <v>16.5</v>
          </cell>
          <cell r="P32">
            <v>1.7737003058103926</v>
          </cell>
          <cell r="Q32"/>
        </row>
        <row r="33">
          <cell r="E33"/>
          <cell r="F33">
            <v>1284</v>
          </cell>
          <cell r="H33">
            <v>22</v>
          </cell>
          <cell r="J33">
            <v>88</v>
          </cell>
          <cell r="K33">
            <v>84.744</v>
          </cell>
          <cell r="M33">
            <v>155</v>
          </cell>
          <cell r="N33">
            <v>40</v>
          </cell>
          <cell r="P33">
            <v>3.7000000000000006</v>
          </cell>
          <cell r="Q33"/>
        </row>
      </sheetData>
      <sheetData sheetId="1" refreshError="1">
        <row r="8">
          <cell r="E8">
            <v>484</v>
          </cell>
          <cell r="F8">
            <v>3395</v>
          </cell>
          <cell r="J8">
            <v>275.10000000000002</v>
          </cell>
          <cell r="K8">
            <v>272.68</v>
          </cell>
          <cell r="M8">
            <v>101</v>
          </cell>
          <cell r="N8">
            <v>28</v>
          </cell>
          <cell r="P8">
            <v>0.87968011632134335</v>
          </cell>
          <cell r="Q8">
            <v>487.19008264462809</v>
          </cell>
        </row>
        <row r="9">
          <cell r="E9"/>
          <cell r="F9">
            <v>535</v>
          </cell>
          <cell r="J9"/>
          <cell r="K9"/>
          <cell r="M9"/>
          <cell r="N9"/>
          <cell r="P9"/>
          <cell r="Q9"/>
        </row>
        <row r="10">
          <cell r="E10">
            <v>434</v>
          </cell>
          <cell r="F10">
            <v>4164</v>
          </cell>
          <cell r="H10"/>
          <cell r="J10">
            <v>276.39999999999998</v>
          </cell>
          <cell r="K10">
            <v>274.82400000000001</v>
          </cell>
          <cell r="M10">
            <v>35</v>
          </cell>
          <cell r="N10">
            <v>32</v>
          </cell>
          <cell r="P10">
            <v>0.57018813314036365</v>
          </cell>
          <cell r="Q10">
            <v>575.66820276497697</v>
          </cell>
        </row>
        <row r="11">
          <cell r="E11">
            <v>545</v>
          </cell>
          <cell r="F11">
            <v>4465</v>
          </cell>
          <cell r="H11"/>
          <cell r="J11">
            <v>295.8</v>
          </cell>
          <cell r="K11">
            <v>294.69</v>
          </cell>
          <cell r="M11">
            <v>92</v>
          </cell>
          <cell r="N11">
            <v>18</v>
          </cell>
          <cell r="P11">
            <v>0.37525354969574498</v>
          </cell>
          <cell r="Q11">
            <v>491.55963302752292</v>
          </cell>
        </row>
        <row r="12">
          <cell r="E12">
            <v>445</v>
          </cell>
          <cell r="F12">
            <v>3781</v>
          </cell>
          <cell r="H12"/>
          <cell r="J12">
            <v>253.5</v>
          </cell>
          <cell r="K12">
            <v>249.54600000000002</v>
          </cell>
          <cell r="M12">
            <v>61</v>
          </cell>
          <cell r="N12">
            <v>20.5</v>
          </cell>
          <cell r="P12">
            <v>1.5597633136094593</v>
          </cell>
          <cell r="Q12">
            <v>509.79775280898872</v>
          </cell>
        </row>
        <row r="13">
          <cell r="E13">
            <v>613</v>
          </cell>
          <cell r="F13">
            <v>5056</v>
          </cell>
          <cell r="H13"/>
          <cell r="J13">
            <v>354.70000000000005</v>
          </cell>
          <cell r="K13">
            <v>352.69600000000003</v>
          </cell>
          <cell r="M13">
            <v>63</v>
          </cell>
          <cell r="N13">
            <v>29</v>
          </cell>
          <cell r="P13">
            <v>0.56498449393854488</v>
          </cell>
          <cell r="Q13">
            <v>494.87765089722677</v>
          </cell>
        </row>
        <row r="14">
          <cell r="E14">
            <v>601</v>
          </cell>
          <cell r="F14">
            <v>2926</v>
          </cell>
          <cell r="H14"/>
          <cell r="J14">
            <v>203.8</v>
          </cell>
          <cell r="K14">
            <v>202.61600000000001</v>
          </cell>
          <cell r="M14">
            <v>43</v>
          </cell>
          <cell r="N14">
            <v>19.75</v>
          </cell>
          <cell r="P14">
            <v>0.58096172718351202</v>
          </cell>
          <cell r="Q14">
            <v>476.50582362728784</v>
          </cell>
        </row>
        <row r="15">
          <cell r="F15">
            <v>1847</v>
          </cell>
          <cell r="H15"/>
          <cell r="J15">
            <v>126.16856999999999</v>
          </cell>
          <cell r="K15">
            <v>121.902</v>
          </cell>
          <cell r="M15">
            <v>77</v>
          </cell>
          <cell r="N15">
            <v>10</v>
          </cell>
          <cell r="P15">
            <v>3.3816425120772848</v>
          </cell>
        </row>
        <row r="16">
          <cell r="E16">
            <v>513</v>
          </cell>
          <cell r="F16">
            <v>4418</v>
          </cell>
          <cell r="H16"/>
          <cell r="J16">
            <v>293.40000000000003</v>
          </cell>
          <cell r="K16">
            <v>291.58800000000002</v>
          </cell>
          <cell r="M16">
            <v>45</v>
          </cell>
          <cell r="N16">
            <v>18</v>
          </cell>
          <cell r="P16">
            <v>0.61758691206544369</v>
          </cell>
          <cell r="Q16">
            <v>516.72514619883032</v>
          </cell>
        </row>
        <row r="17">
          <cell r="E17">
            <v>460</v>
          </cell>
          <cell r="F17">
            <v>3430</v>
          </cell>
          <cell r="H17"/>
          <cell r="J17">
            <v>256.60000000000002</v>
          </cell>
          <cell r="K17">
            <v>255.19199999999998</v>
          </cell>
          <cell r="M17">
            <v>93</v>
          </cell>
          <cell r="N17">
            <v>16</v>
          </cell>
          <cell r="P17">
            <v>0.54871395167577697</v>
          </cell>
          <cell r="Q17">
            <v>447.39130434782606</v>
          </cell>
        </row>
        <row r="18">
          <cell r="E18">
            <v>584</v>
          </cell>
          <cell r="F18">
            <v>492</v>
          </cell>
          <cell r="H18"/>
          <cell r="J18">
            <v>350.19999999999993</v>
          </cell>
          <cell r="K18">
            <v>347.80799999999999</v>
          </cell>
          <cell r="M18">
            <v>98</v>
          </cell>
          <cell r="N18">
            <v>18.5</v>
          </cell>
          <cell r="P18">
            <v>0.68303826384921174</v>
          </cell>
          <cell r="Q18">
            <v>497.054794520548</v>
          </cell>
        </row>
        <row r="19">
          <cell r="F19">
            <v>4346</v>
          </cell>
          <cell r="H19"/>
        </row>
        <row r="20">
          <cell r="E20">
            <v>512</v>
          </cell>
          <cell r="F20">
            <v>4391</v>
          </cell>
          <cell r="H20"/>
          <cell r="J20">
            <v>291.7</v>
          </cell>
          <cell r="K20">
            <v>289.80600000000004</v>
          </cell>
          <cell r="M20">
            <v>69</v>
          </cell>
          <cell r="N20">
            <v>28</v>
          </cell>
          <cell r="P20">
            <v>0.64929722317447669</v>
          </cell>
          <cell r="Q20">
            <v>514.5703125</v>
          </cell>
        </row>
        <row r="21">
          <cell r="E21">
            <v>516</v>
          </cell>
          <cell r="F21">
            <v>4278</v>
          </cell>
          <cell r="H21"/>
          <cell r="J21">
            <v>285</v>
          </cell>
          <cell r="K21">
            <v>282.34800000000001</v>
          </cell>
          <cell r="M21">
            <v>70</v>
          </cell>
          <cell r="N21">
            <v>32.75</v>
          </cell>
          <cell r="P21">
            <v>0.93052631578946898</v>
          </cell>
          <cell r="Q21">
            <v>550.81395348837214</v>
          </cell>
        </row>
        <row r="22">
          <cell r="F22">
            <v>459</v>
          </cell>
          <cell r="H22"/>
          <cell r="J22">
            <v>30.6</v>
          </cell>
          <cell r="K22">
            <v>30.294</v>
          </cell>
          <cell r="M22">
            <v>10</v>
          </cell>
          <cell r="N22">
            <v>5.5</v>
          </cell>
          <cell r="P22">
            <v>1.0000000000000029</v>
          </cell>
        </row>
        <row r="23">
          <cell r="E23">
            <v>473</v>
          </cell>
          <cell r="F23">
            <v>577</v>
          </cell>
          <cell r="H23"/>
          <cell r="J23">
            <v>43.932367149758456</v>
          </cell>
          <cell r="K23">
            <v>40.966999999999999</v>
          </cell>
          <cell r="M23">
            <v>90</v>
          </cell>
          <cell r="N23">
            <v>2.5</v>
          </cell>
          <cell r="P23">
            <v>6.7498460523422095</v>
          </cell>
          <cell r="Q23">
            <v>168.2029598308668</v>
          </cell>
        </row>
        <row r="24">
          <cell r="F24">
            <v>607</v>
          </cell>
          <cell r="H24"/>
          <cell r="J24">
            <v>43.932367149758456</v>
          </cell>
          <cell r="K24">
            <v>43.096999999999994</v>
          </cell>
          <cell r="M24">
            <v>127</v>
          </cell>
          <cell r="N24">
            <v>4</v>
          </cell>
          <cell r="P24">
            <v>1.9014844952716241</v>
          </cell>
        </row>
        <row r="25">
          <cell r="F25">
            <v>142</v>
          </cell>
          <cell r="H25">
            <v>29</v>
          </cell>
          <cell r="J25">
            <v>10.081999999999999</v>
          </cell>
          <cell r="K25">
            <v>10.081999999999999</v>
          </cell>
          <cell r="M25">
            <v>36</v>
          </cell>
          <cell r="N25"/>
          <cell r="P25">
            <v>0</v>
          </cell>
        </row>
        <row r="26">
          <cell r="E26">
            <v>825</v>
          </cell>
          <cell r="F26">
            <v>5961</v>
          </cell>
          <cell r="H26">
            <v>9</v>
          </cell>
          <cell r="J26">
            <v>395.1</v>
          </cell>
          <cell r="K26">
            <v>393.42600000000004</v>
          </cell>
          <cell r="M26">
            <v>218</v>
          </cell>
          <cell r="N26">
            <v>26</v>
          </cell>
          <cell r="P26">
            <v>0.42369020501138399</v>
          </cell>
          <cell r="Q26">
            <v>433.5272727272727</v>
          </cell>
        </row>
        <row r="27">
          <cell r="E27">
            <v>560</v>
          </cell>
          <cell r="F27">
            <v>4056</v>
          </cell>
          <cell r="H27">
            <v>66</v>
          </cell>
          <cell r="J27">
            <v>296.8</v>
          </cell>
          <cell r="K27">
            <v>294.48600000000005</v>
          </cell>
          <cell r="M27">
            <v>113</v>
          </cell>
          <cell r="N27">
            <v>18</v>
          </cell>
          <cell r="P27">
            <v>0.77964959568731962</v>
          </cell>
          <cell r="Q27">
            <v>434.57142857142856</v>
          </cell>
        </row>
        <row r="28">
          <cell r="E28">
            <v>623</v>
          </cell>
          <cell r="F28">
            <v>2303</v>
          </cell>
          <cell r="H28"/>
          <cell r="J28">
            <v>153.39999999999998</v>
          </cell>
          <cell r="K28">
            <v>151.99800000000002</v>
          </cell>
          <cell r="M28">
            <v>123</v>
          </cell>
          <cell r="N28"/>
          <cell r="P28">
            <v>0.91395045632331073</v>
          </cell>
          <cell r="Q28">
            <v>312.13483146067415</v>
          </cell>
        </row>
        <row r="29">
          <cell r="F29">
            <v>938</v>
          </cell>
          <cell r="H29"/>
          <cell r="J29">
            <v>64.3</v>
          </cell>
          <cell r="K29">
            <v>61.908000000000001</v>
          </cell>
          <cell r="M29">
            <v>82</v>
          </cell>
          <cell r="N29"/>
          <cell r="P29">
            <v>3.7200622083981276</v>
          </cell>
        </row>
        <row r="30">
          <cell r="E30">
            <v>462</v>
          </cell>
          <cell r="F30">
            <v>3200</v>
          </cell>
          <cell r="H30"/>
          <cell r="J30">
            <v>216.4</v>
          </cell>
          <cell r="K30">
            <v>215.00000000000003</v>
          </cell>
          <cell r="M30">
            <v>68</v>
          </cell>
          <cell r="N30">
            <v>9</v>
          </cell>
          <cell r="P30">
            <v>0.6469500924214312</v>
          </cell>
          <cell r="Q30">
            <v>415.58441558441558</v>
          </cell>
        </row>
        <row r="31">
          <cell r="E31">
            <v>536</v>
          </cell>
          <cell r="F31">
            <v>1540</v>
          </cell>
          <cell r="H31"/>
          <cell r="J31">
            <v>104.2</v>
          </cell>
          <cell r="K31">
            <v>102.696</v>
          </cell>
          <cell r="M31">
            <v>78</v>
          </cell>
          <cell r="N31">
            <v>6</v>
          </cell>
          <cell r="P31">
            <v>1.4433781190019239</v>
          </cell>
          <cell r="Q31">
            <v>348.24626865671638</v>
          </cell>
        </row>
        <row r="32">
          <cell r="F32">
            <v>16</v>
          </cell>
        </row>
        <row r="33">
          <cell r="F33">
            <v>1555</v>
          </cell>
          <cell r="H33"/>
          <cell r="J33">
            <v>104.9</v>
          </cell>
          <cell r="K33">
            <v>102.63000000000001</v>
          </cell>
          <cell r="M33">
            <v>60</v>
          </cell>
          <cell r="N33">
            <v>5</v>
          </cell>
          <cell r="P33">
            <v>2.1639656816015216</v>
          </cell>
        </row>
      </sheetData>
      <sheetData sheetId="2" refreshError="1">
        <row r="8">
          <cell r="E8">
            <v>648</v>
          </cell>
          <cell r="F8">
            <v>3818</v>
          </cell>
          <cell r="J8">
            <v>254.2</v>
          </cell>
          <cell r="K8">
            <v>251.988</v>
          </cell>
          <cell r="M8">
            <v>163</v>
          </cell>
          <cell r="N8">
            <v>12</v>
          </cell>
          <cell r="P8">
            <v>0.8701809598741107</v>
          </cell>
          <cell r="Q8">
            <v>353.51851851851848</v>
          </cell>
        </row>
        <row r="9">
          <cell r="E9">
            <v>731</v>
          </cell>
          <cell r="F9">
            <v>4329</v>
          </cell>
          <cell r="J9">
            <v>287.39999999999998</v>
          </cell>
          <cell r="K9">
            <v>285.714</v>
          </cell>
          <cell r="M9">
            <v>203</v>
          </cell>
          <cell r="N9">
            <v>27.25</v>
          </cell>
          <cell r="P9">
            <v>0.58663883089769608</v>
          </cell>
          <cell r="Q9">
            <v>355.32147742818057</v>
          </cell>
        </row>
        <row r="10">
          <cell r="E10">
            <v>570</v>
          </cell>
          <cell r="F10">
            <v>4038</v>
          </cell>
          <cell r="J10">
            <v>272.3</v>
          </cell>
          <cell r="K10">
            <v>270.30800000000005</v>
          </cell>
          <cell r="M10">
            <v>82</v>
          </cell>
          <cell r="N10">
            <v>40</v>
          </cell>
          <cell r="P10">
            <v>0.73154608887255301</v>
          </cell>
          <cell r="Q10">
            <v>425.05263157894734</v>
          </cell>
        </row>
        <row r="11">
          <cell r="E11">
            <v>668</v>
          </cell>
          <cell r="F11">
            <v>2378</v>
          </cell>
          <cell r="J11">
            <v>172.2</v>
          </cell>
          <cell r="K11">
            <v>170.24800000000002</v>
          </cell>
          <cell r="M11">
            <v>52</v>
          </cell>
          <cell r="N11">
            <v>7</v>
          </cell>
          <cell r="P11">
            <v>1.1335656213704819</v>
          </cell>
          <cell r="Q11">
            <v>377.42514970059881</v>
          </cell>
        </row>
        <row r="12">
          <cell r="F12">
            <v>1824</v>
          </cell>
          <cell r="J12">
            <v>124.59743999999999</v>
          </cell>
          <cell r="K12">
            <v>120.384</v>
          </cell>
          <cell r="M12">
            <v>77</v>
          </cell>
          <cell r="N12">
            <v>9</v>
          </cell>
          <cell r="P12">
            <v>3.3816425120772884</v>
          </cell>
        </row>
        <row r="13">
          <cell r="E13">
            <v>629</v>
          </cell>
          <cell r="F13">
            <v>3235</v>
          </cell>
          <cell r="J13">
            <v>236.5</v>
          </cell>
          <cell r="K13">
            <v>233.27</v>
          </cell>
          <cell r="M13">
            <v>212</v>
          </cell>
          <cell r="N13">
            <v>39.75</v>
          </cell>
          <cell r="P13">
            <v>1.3657505285412219</v>
          </cell>
          <cell r="Q13">
            <v>308.58505564387917</v>
          </cell>
        </row>
        <row r="14">
          <cell r="E14">
            <v>667</v>
          </cell>
          <cell r="F14">
            <v>4695</v>
          </cell>
          <cell r="J14">
            <v>320.39999999999998</v>
          </cell>
          <cell r="K14">
            <v>318.61</v>
          </cell>
          <cell r="M14">
            <v>54</v>
          </cell>
          <cell r="N14">
            <v>26</v>
          </cell>
          <cell r="P14">
            <v>0.55867665418226087</v>
          </cell>
          <cell r="Q14">
            <v>422.33883058470764</v>
          </cell>
        </row>
        <row r="15">
          <cell r="E15">
            <v>617</v>
          </cell>
          <cell r="F15">
            <v>4150</v>
          </cell>
          <cell r="J15">
            <v>275.70000000000005</v>
          </cell>
          <cell r="K15">
            <v>273.90000000000003</v>
          </cell>
          <cell r="M15">
            <v>134</v>
          </cell>
          <cell r="N15">
            <v>35</v>
          </cell>
          <cell r="P15">
            <v>0.65288356909684842</v>
          </cell>
          <cell r="Q15">
            <v>403.56564019448945</v>
          </cell>
        </row>
        <row r="16">
          <cell r="F16">
            <v>261</v>
          </cell>
          <cell r="J16">
            <v>19.7</v>
          </cell>
          <cell r="K16">
            <v>17.225999999999999</v>
          </cell>
          <cell r="M16">
            <v>0</v>
          </cell>
          <cell r="N16"/>
          <cell r="P16">
            <v>12.558375634517768</v>
          </cell>
        </row>
        <row r="17">
          <cell r="E17">
            <v>558</v>
          </cell>
          <cell r="F17">
            <v>2722</v>
          </cell>
          <cell r="J17">
            <v>204.3</v>
          </cell>
          <cell r="K17">
            <v>202.51679999999999</v>
          </cell>
          <cell r="M17">
            <v>260</v>
          </cell>
          <cell r="N17">
            <v>16</v>
          </cell>
          <cell r="P17">
            <v>0.87283406754773474</v>
          </cell>
          <cell r="Q17">
            <v>292.68817204301075</v>
          </cell>
        </row>
        <row r="18">
          <cell r="E18">
            <v>249</v>
          </cell>
          <cell r="F18">
            <v>1419</v>
          </cell>
          <cell r="H18"/>
          <cell r="J18">
            <v>105.8</v>
          </cell>
          <cell r="K18">
            <v>105.57359999999998</v>
          </cell>
          <cell r="M18">
            <v>76</v>
          </cell>
          <cell r="N18">
            <v>4.5</v>
          </cell>
          <cell r="P18">
            <v>0.21398865784500223</v>
          </cell>
          <cell r="Q18">
            <v>341.92771084337346</v>
          </cell>
        </row>
        <row r="19">
          <cell r="E19">
            <v>565</v>
          </cell>
          <cell r="F19">
            <v>2924</v>
          </cell>
          <cell r="H19"/>
          <cell r="J19">
            <v>198.4</v>
          </cell>
          <cell r="K19">
            <v>196.024</v>
          </cell>
          <cell r="M19">
            <v>255</v>
          </cell>
          <cell r="N19">
            <v>33</v>
          </cell>
          <cell r="P19">
            <v>1.1975806451612927</v>
          </cell>
          <cell r="Q19">
            <v>310.51327433628319</v>
          </cell>
        </row>
        <row r="20">
          <cell r="E20">
            <v>607</v>
          </cell>
          <cell r="F20">
            <v>4534</v>
          </cell>
          <cell r="H20"/>
          <cell r="J20">
            <v>320.8</v>
          </cell>
          <cell r="K20">
            <v>317.67400000000004</v>
          </cell>
          <cell r="M20">
            <v>130</v>
          </cell>
          <cell r="N20">
            <v>47</v>
          </cell>
          <cell r="P20">
            <v>0.97443890274313483</v>
          </cell>
          <cell r="Q20">
            <v>448.17133443163095</v>
          </cell>
        </row>
        <row r="21">
          <cell r="E21">
            <v>575</v>
          </cell>
          <cell r="F21">
            <v>4208</v>
          </cell>
          <cell r="H21"/>
          <cell r="J21">
            <v>291.55</v>
          </cell>
          <cell r="K21">
            <v>288.93799999999999</v>
          </cell>
          <cell r="M21">
            <v>48</v>
          </cell>
          <cell r="N21">
            <v>21</v>
          </cell>
          <cell r="P21">
            <v>0.89590121762991703</v>
          </cell>
          <cell r="Q21">
            <v>439.09565217391304</v>
          </cell>
        </row>
        <row r="22">
          <cell r="E22">
            <v>483</v>
          </cell>
          <cell r="F22">
            <v>3517</v>
          </cell>
          <cell r="H22"/>
          <cell r="J22">
            <v>237.29999999999998</v>
          </cell>
          <cell r="K22">
            <v>235.73200000000003</v>
          </cell>
          <cell r="M22">
            <v>93</v>
          </cell>
          <cell r="N22">
            <v>34</v>
          </cell>
          <cell r="P22">
            <v>0.66076696165189863</v>
          </cell>
          <cell r="Q22">
            <v>436.89440993788816</v>
          </cell>
        </row>
        <row r="23">
          <cell r="E23">
            <v>817</v>
          </cell>
          <cell r="F23">
            <v>1869</v>
          </cell>
          <cell r="H23"/>
          <cell r="J23">
            <v>297</v>
          </cell>
          <cell r="K23">
            <v>294.55799999999999</v>
          </cell>
          <cell r="M23">
            <v>249</v>
          </cell>
          <cell r="N23">
            <v>18</v>
          </cell>
          <cell r="P23">
            <v>0.82222222222222474</v>
          </cell>
          <cell r="Q23">
            <v>299.85312117503059</v>
          </cell>
        </row>
        <row r="24">
          <cell r="F24">
            <v>2214</v>
          </cell>
        </row>
        <row r="25">
          <cell r="E25">
            <v>823</v>
          </cell>
          <cell r="F25">
            <v>5886</v>
          </cell>
          <cell r="H25"/>
          <cell r="J25">
            <v>390.7</v>
          </cell>
          <cell r="K25">
            <v>388.476</v>
          </cell>
          <cell r="M25">
            <v>143</v>
          </cell>
          <cell r="N25">
            <v>28</v>
          </cell>
          <cell r="P25">
            <v>0.56923470693626554</v>
          </cell>
          <cell r="Q25">
            <v>429.11300121506684</v>
          </cell>
        </row>
        <row r="26">
          <cell r="E26">
            <v>559</v>
          </cell>
          <cell r="F26">
            <v>4035</v>
          </cell>
          <cell r="H26"/>
          <cell r="J26">
            <v>271.8</v>
          </cell>
          <cell r="K26">
            <v>269.16000000000003</v>
          </cell>
          <cell r="M26">
            <v>114</v>
          </cell>
          <cell r="N26">
            <v>41</v>
          </cell>
          <cell r="P26">
            <v>0.97130242825606561</v>
          </cell>
          <cell r="Q26">
            <v>433.09481216457959</v>
          </cell>
        </row>
        <row r="27">
          <cell r="E27">
            <v>644</v>
          </cell>
          <cell r="F27">
            <v>4486</v>
          </cell>
          <cell r="H27"/>
          <cell r="J27">
            <v>299.10000000000002</v>
          </cell>
          <cell r="K27">
            <v>296.07600000000002</v>
          </cell>
          <cell r="M27">
            <v>52</v>
          </cell>
          <cell r="N27">
            <v>24</v>
          </cell>
          <cell r="P27">
            <v>1.011033099297894</v>
          </cell>
          <cell r="Q27">
            <v>417.95031055900625</v>
          </cell>
        </row>
        <row r="28">
          <cell r="E28">
            <v>426</v>
          </cell>
          <cell r="F28">
            <v>518</v>
          </cell>
          <cell r="H28"/>
          <cell r="J28">
            <v>228.5</v>
          </cell>
          <cell r="K28">
            <v>224.76600000000002</v>
          </cell>
          <cell r="M28">
            <v>26</v>
          </cell>
          <cell r="N28">
            <v>13</v>
          </cell>
          <cell r="P28">
            <v>1.6341356673960528</v>
          </cell>
          <cell r="Q28">
            <v>461.4084507042254</v>
          </cell>
        </row>
        <row r="29">
          <cell r="F29">
            <v>2758</v>
          </cell>
        </row>
        <row r="30">
          <cell r="E30">
            <v>585</v>
          </cell>
          <cell r="F30">
            <v>689</v>
          </cell>
          <cell r="H30"/>
          <cell r="J30">
            <v>57</v>
          </cell>
          <cell r="K30">
            <v>55.164000000000001</v>
          </cell>
          <cell r="M30">
            <v>97</v>
          </cell>
          <cell r="N30">
            <v>20</v>
          </cell>
          <cell r="P30">
            <v>3.2210526315789445</v>
          </cell>
          <cell r="Q30">
            <v>450.25641025641028</v>
          </cell>
        </row>
        <row r="31">
          <cell r="F31">
            <v>3701</v>
          </cell>
          <cell r="H31"/>
          <cell r="J31">
            <v>245.8</v>
          </cell>
          <cell r="K31">
            <v>244.26600000000002</v>
          </cell>
          <cell r="M31">
            <v>66</v>
          </cell>
          <cell r="N31">
            <v>31</v>
          </cell>
          <cell r="P31">
            <v>0.62408462164360934</v>
          </cell>
        </row>
        <row r="32">
          <cell r="E32">
            <v>614</v>
          </cell>
          <cell r="F32">
            <v>706</v>
          </cell>
          <cell r="H32"/>
          <cell r="J32">
            <v>48.2</v>
          </cell>
          <cell r="K32">
            <v>46.596000000000004</v>
          </cell>
          <cell r="M32">
            <v>41</v>
          </cell>
          <cell r="N32">
            <v>15.5</v>
          </cell>
          <cell r="P32">
            <v>3.3278008298755171</v>
          </cell>
          <cell r="Q32">
            <v>329.90228013029321</v>
          </cell>
        </row>
        <row r="33">
          <cell r="F33">
            <v>2670</v>
          </cell>
          <cell r="H33"/>
          <cell r="J33">
            <v>178.60000000000002</v>
          </cell>
          <cell r="K33">
            <v>176.22</v>
          </cell>
          <cell r="M33">
            <v>168</v>
          </cell>
          <cell r="N33">
            <v>25</v>
          </cell>
          <cell r="P33">
            <v>1.3325867861142351</v>
          </cell>
        </row>
      </sheetData>
      <sheetData sheetId="3" refreshError="1">
        <row r="8">
          <cell r="E8">
            <v>301</v>
          </cell>
          <cell r="F8">
            <v>1760</v>
          </cell>
          <cell r="H8"/>
          <cell r="J8">
            <v>118.30000000000001</v>
          </cell>
          <cell r="K8">
            <v>116.16000000000001</v>
          </cell>
          <cell r="M8">
            <v>85</v>
          </cell>
          <cell r="N8">
            <v>16</v>
          </cell>
          <cell r="P8">
            <v>1.8089602704987322</v>
          </cell>
          <cell r="Q8">
            <v>350.83056478405314</v>
          </cell>
        </row>
        <row r="9">
          <cell r="E9">
            <v>552</v>
          </cell>
          <cell r="F9">
            <v>3503</v>
          </cell>
          <cell r="H9"/>
          <cell r="J9">
            <v>262.10000000000002</v>
          </cell>
          <cell r="K9">
            <v>260.6232</v>
          </cell>
          <cell r="M9">
            <v>137</v>
          </cell>
          <cell r="N9">
            <v>29.75</v>
          </cell>
          <cell r="P9">
            <v>0.56344906524228366</v>
          </cell>
          <cell r="Q9">
            <v>380.76086956521743</v>
          </cell>
        </row>
        <row r="10">
          <cell r="E10">
            <v>575</v>
          </cell>
          <cell r="F10">
            <v>4307</v>
          </cell>
          <cell r="H10"/>
          <cell r="J10">
            <v>290</v>
          </cell>
          <cell r="K10">
            <v>288.06200000000001</v>
          </cell>
          <cell r="M10">
            <v>114</v>
          </cell>
          <cell r="N10">
            <v>39.75</v>
          </cell>
          <cell r="P10">
            <v>0.6682758620689615</v>
          </cell>
          <cell r="Q10">
            <v>449.42608695652171</v>
          </cell>
        </row>
        <row r="11">
          <cell r="E11">
            <v>620</v>
          </cell>
          <cell r="F11">
            <v>5133</v>
          </cell>
          <cell r="H11"/>
          <cell r="J11">
            <v>340.3</v>
          </cell>
          <cell r="K11">
            <v>338.77800000000002</v>
          </cell>
          <cell r="M11">
            <v>59</v>
          </cell>
          <cell r="N11">
            <v>23.5</v>
          </cell>
          <cell r="P11">
            <v>0.44725242433146967</v>
          </cell>
          <cell r="Q11">
            <v>496.74193548387092</v>
          </cell>
        </row>
        <row r="12">
          <cell r="E12">
            <v>239</v>
          </cell>
          <cell r="F12">
            <v>298</v>
          </cell>
          <cell r="H12"/>
          <cell r="J12">
            <v>61.5</v>
          </cell>
          <cell r="K12">
            <v>59.466000000000001</v>
          </cell>
          <cell r="M12">
            <v>43</v>
          </cell>
          <cell r="N12">
            <v>8</v>
          </cell>
          <cell r="P12">
            <v>3.3073170731707298</v>
          </cell>
          <cell r="Q12">
            <v>367.78242677824267</v>
          </cell>
        </row>
        <row r="13">
          <cell r="F13">
            <v>603</v>
          </cell>
          <cell r="H13"/>
        </row>
        <row r="14">
          <cell r="F14">
            <v>564</v>
          </cell>
          <cell r="H14"/>
          <cell r="J14">
            <v>39.4</v>
          </cell>
          <cell r="K14">
            <v>37.224000000000004</v>
          </cell>
          <cell r="M14">
            <v>44</v>
          </cell>
          <cell r="N14">
            <v>9.5</v>
          </cell>
          <cell r="P14">
            <v>5.5228426395938959</v>
          </cell>
        </row>
        <row r="15">
          <cell r="E15">
            <v>498</v>
          </cell>
          <cell r="F15">
            <v>1416</v>
          </cell>
          <cell r="H15"/>
          <cell r="J15">
            <v>99</v>
          </cell>
          <cell r="K15">
            <v>93.456000000000003</v>
          </cell>
          <cell r="M15">
            <v>127</v>
          </cell>
          <cell r="N15">
            <v>16.5</v>
          </cell>
          <cell r="P15">
            <v>5.599999999999997</v>
          </cell>
          <cell r="Q15">
            <v>328.91566265060237</v>
          </cell>
        </row>
        <row r="16">
          <cell r="F16">
            <v>1314</v>
          </cell>
          <cell r="H16"/>
          <cell r="J16">
            <v>89</v>
          </cell>
          <cell r="K16">
            <v>86.724000000000004</v>
          </cell>
          <cell r="M16">
            <v>142</v>
          </cell>
          <cell r="N16">
            <v>5</v>
          </cell>
          <cell r="P16">
            <v>2.5573033707865127</v>
          </cell>
        </row>
        <row r="17">
          <cell r="E17">
            <v>507</v>
          </cell>
          <cell r="F17">
            <v>3684</v>
          </cell>
          <cell r="H17"/>
          <cell r="J17">
            <v>254.6</v>
          </cell>
          <cell r="K17">
            <v>252.45400000000001</v>
          </cell>
          <cell r="M17">
            <v>56</v>
          </cell>
          <cell r="N17">
            <v>26.5</v>
          </cell>
          <cell r="P17">
            <v>0.84289080911232783</v>
          </cell>
          <cell r="Q17">
            <v>435.9763313609468</v>
          </cell>
        </row>
        <row r="18">
          <cell r="E18">
            <v>504</v>
          </cell>
          <cell r="F18">
            <v>4154</v>
          </cell>
          <cell r="H18"/>
          <cell r="J18">
            <v>278.7</v>
          </cell>
          <cell r="K18">
            <v>276.25399999999996</v>
          </cell>
          <cell r="M18">
            <v>68</v>
          </cell>
          <cell r="N18">
            <v>44</v>
          </cell>
          <cell r="P18">
            <v>0.87764621456764491</v>
          </cell>
          <cell r="Q18">
            <v>494.52380952380952</v>
          </cell>
        </row>
        <row r="19">
          <cell r="E19">
            <v>616</v>
          </cell>
          <cell r="F19">
            <v>1038</v>
          </cell>
          <cell r="H19"/>
          <cell r="J19">
            <v>258</v>
          </cell>
          <cell r="K19">
            <v>254.69400000000002</v>
          </cell>
          <cell r="M19">
            <v>108</v>
          </cell>
          <cell r="N19">
            <v>26.5</v>
          </cell>
          <cell r="P19">
            <v>1.2813953488372027</v>
          </cell>
          <cell r="Q19">
            <v>375.87662337662334</v>
          </cell>
        </row>
        <row r="20">
          <cell r="F20">
            <v>2821</v>
          </cell>
        </row>
        <row r="21">
          <cell r="E21">
            <v>594</v>
          </cell>
          <cell r="F21">
            <v>1473</v>
          </cell>
          <cell r="H21"/>
          <cell r="J21">
            <v>100.62062999999999</v>
          </cell>
          <cell r="K21">
            <v>97.218000000000004</v>
          </cell>
          <cell r="M21">
            <v>150</v>
          </cell>
          <cell r="N21">
            <v>39</v>
          </cell>
          <cell r="P21">
            <v>3.3816425120772826</v>
          </cell>
          <cell r="Q21">
            <v>298.68686868686865</v>
          </cell>
        </row>
        <row r="22">
          <cell r="E22"/>
          <cell r="F22">
            <v>1484</v>
          </cell>
          <cell r="H22"/>
          <cell r="J22">
            <v>100.2</v>
          </cell>
          <cell r="K22">
            <v>97.944000000000003</v>
          </cell>
          <cell r="M22">
            <v>168</v>
          </cell>
          <cell r="N22">
            <v>5.5</v>
          </cell>
          <cell r="P22">
            <v>2.2514970059880244</v>
          </cell>
        </row>
        <row r="23">
          <cell r="E23">
            <v>578</v>
          </cell>
          <cell r="F23">
            <v>349</v>
          </cell>
          <cell r="H23"/>
          <cell r="J23">
            <v>25.2</v>
          </cell>
          <cell r="K23">
            <v>23.034000000000002</v>
          </cell>
          <cell r="M23">
            <v>11</v>
          </cell>
          <cell r="N23">
            <v>10.33</v>
          </cell>
          <cell r="P23">
            <v>8.5952380952380825</v>
          </cell>
          <cell r="Q23">
            <v>326.47058823529414</v>
          </cell>
        </row>
        <row r="24">
          <cell r="E24"/>
          <cell r="F24">
            <v>2796</v>
          </cell>
          <cell r="H24"/>
          <cell r="J24">
            <v>187</v>
          </cell>
          <cell r="K24">
            <v>184.536</v>
          </cell>
          <cell r="M24">
            <v>174</v>
          </cell>
          <cell r="N24">
            <v>28</v>
          </cell>
          <cell r="P24">
            <v>1.3176470588235285</v>
          </cell>
        </row>
        <row r="25">
          <cell r="E25">
            <v>504</v>
          </cell>
          <cell r="F25">
            <v>3612</v>
          </cell>
          <cell r="H25"/>
          <cell r="J25">
            <v>253.89999999999998</v>
          </cell>
          <cell r="K25">
            <v>251.69200000000004</v>
          </cell>
          <cell r="M25">
            <v>212</v>
          </cell>
          <cell r="N25">
            <v>37.75</v>
          </cell>
          <cell r="P25">
            <v>0.86963371406063084</v>
          </cell>
          <cell r="Q25">
            <v>430</v>
          </cell>
        </row>
        <row r="26">
          <cell r="E26">
            <v>581</v>
          </cell>
          <cell r="F26">
            <v>1836</v>
          </cell>
          <cell r="H26"/>
          <cell r="J26">
            <v>210.60000000000002</v>
          </cell>
          <cell r="K26">
            <v>209.64</v>
          </cell>
          <cell r="M26">
            <v>195</v>
          </cell>
          <cell r="N26">
            <v>33.25</v>
          </cell>
          <cell r="P26">
            <v>0.45584045584047306</v>
          </cell>
          <cell r="Q26">
            <v>319.10499139414799</v>
          </cell>
        </row>
        <row r="27">
          <cell r="F27">
            <v>1254</v>
          </cell>
        </row>
        <row r="28">
          <cell r="E28">
            <v>663</v>
          </cell>
          <cell r="F28">
            <v>5798</v>
          </cell>
          <cell r="H28"/>
          <cell r="J28">
            <v>385.4</v>
          </cell>
          <cell r="K28">
            <v>382.66800000000001</v>
          </cell>
          <cell r="M28">
            <v>82</v>
          </cell>
          <cell r="N28">
            <v>39.25</v>
          </cell>
          <cell r="P28">
            <v>0.70887389724960337</v>
          </cell>
          <cell r="Q28">
            <v>524.7058823529411</v>
          </cell>
        </row>
        <row r="29">
          <cell r="E29">
            <v>682</v>
          </cell>
          <cell r="F29">
            <v>5183</v>
          </cell>
          <cell r="H29"/>
          <cell r="J29">
            <v>343.7</v>
          </cell>
          <cell r="K29">
            <v>342.07800000000003</v>
          </cell>
          <cell r="M29">
            <v>90</v>
          </cell>
          <cell r="N29">
            <v>44</v>
          </cell>
          <cell r="P29">
            <v>0.47192318882745338</v>
          </cell>
          <cell r="Q29">
            <v>455.98240469208207</v>
          </cell>
        </row>
        <row r="30">
          <cell r="E30">
            <v>493</v>
          </cell>
          <cell r="F30">
            <v>1109</v>
          </cell>
          <cell r="H30"/>
          <cell r="J30">
            <v>90.94</v>
          </cell>
          <cell r="K30">
            <v>87.611000000000004</v>
          </cell>
          <cell r="M30">
            <v>90</v>
          </cell>
          <cell r="N30"/>
          <cell r="P30">
            <v>3.6606553771717545</v>
          </cell>
          <cell r="Q30">
            <v>339.9188640973631</v>
          </cell>
        </row>
        <row r="31">
          <cell r="F31">
            <v>1155</v>
          </cell>
          <cell r="H31"/>
          <cell r="J31">
            <v>94.122899999999987</v>
          </cell>
          <cell r="K31">
            <v>91.245000000000005</v>
          </cell>
          <cell r="M31">
            <v>43</v>
          </cell>
          <cell r="N31"/>
          <cell r="P31">
            <v>3.0575980978061481</v>
          </cell>
        </row>
        <row r="32">
          <cell r="F32">
            <v>529</v>
          </cell>
          <cell r="H32"/>
          <cell r="J32">
            <v>41.791000000000004</v>
          </cell>
          <cell r="K32">
            <v>41.791000000000004</v>
          </cell>
          <cell r="M32">
            <v>54</v>
          </cell>
          <cell r="N32"/>
          <cell r="P32">
            <v>0</v>
          </cell>
        </row>
        <row r="33">
          <cell r="E33">
            <v>899</v>
          </cell>
          <cell r="F33">
            <v>975</v>
          </cell>
          <cell r="H33"/>
          <cell r="J33">
            <v>409.1</v>
          </cell>
          <cell r="K33">
            <v>403.56200000000001</v>
          </cell>
          <cell r="M33">
            <v>230</v>
          </cell>
          <cell r="N33">
            <v>43.75</v>
          </cell>
          <cell r="P33">
            <v>1.3537032510388685</v>
          </cell>
          <cell r="Q33">
            <v>404.2491657397108</v>
          </cell>
        </row>
        <row r="34">
          <cell r="F34">
            <v>5082</v>
          </cell>
        </row>
        <row r="35">
          <cell r="E35">
            <v>730</v>
          </cell>
          <cell r="F35">
            <v>2144.2083333333335</v>
          </cell>
          <cell r="H35"/>
          <cell r="J35">
            <v>157.60000000000002</v>
          </cell>
          <cell r="K35">
            <v>156.33775</v>
          </cell>
          <cell r="M35">
            <v>26</v>
          </cell>
          <cell r="N35">
            <v>22</v>
          </cell>
          <cell r="P35">
            <v>0.8009200507614358</v>
          </cell>
          <cell r="Q35">
            <v>519.79794520547955</v>
          </cell>
        </row>
        <row r="36">
          <cell r="F36">
            <v>4180</v>
          </cell>
          <cell r="H36"/>
          <cell r="J36">
            <v>279.7</v>
          </cell>
          <cell r="K36">
            <v>277.77999999999997</v>
          </cell>
          <cell r="M36">
            <v>77</v>
          </cell>
          <cell r="N36">
            <v>27</v>
          </cell>
          <cell r="P36">
            <v>0.68644976760815735</v>
          </cell>
        </row>
        <row r="37">
          <cell r="E37">
            <v>500</v>
          </cell>
          <cell r="F37">
            <v>1100</v>
          </cell>
          <cell r="H37"/>
          <cell r="J37">
            <v>90.931200000000004</v>
          </cell>
          <cell r="K37">
            <v>86.9</v>
          </cell>
          <cell r="M37">
            <v>45</v>
          </cell>
          <cell r="N37">
            <v>11</v>
          </cell>
          <cell r="P37">
            <v>4.4332418355855836</v>
          </cell>
          <cell r="Q37">
            <v>341.4</v>
          </cell>
        </row>
        <row r="38">
          <cell r="F38">
            <v>1189</v>
          </cell>
          <cell r="H38"/>
          <cell r="J38">
            <v>94.113792000000004</v>
          </cell>
          <cell r="K38">
            <v>93.930999999999997</v>
          </cell>
          <cell r="M38">
            <v>81</v>
          </cell>
          <cell r="N38">
            <v>1</v>
          </cell>
          <cell r="P38">
            <v>0.19422445543370123</v>
          </cell>
        </row>
        <row r="39">
          <cell r="F39">
            <v>556</v>
          </cell>
          <cell r="H39"/>
          <cell r="J39">
            <v>45.465600000000002</v>
          </cell>
          <cell r="K39">
            <v>43.923999999999999</v>
          </cell>
          <cell r="M39">
            <v>38</v>
          </cell>
          <cell r="N39"/>
          <cell r="P39">
            <v>3.3906953828828885</v>
          </cell>
        </row>
        <row r="40">
          <cell r="E40">
            <v>740</v>
          </cell>
          <cell r="F40">
            <v>5238</v>
          </cell>
          <cell r="H40"/>
          <cell r="J40">
            <v>347</v>
          </cell>
          <cell r="K40">
            <v>345.70800000000003</v>
          </cell>
          <cell r="M40">
            <v>179</v>
          </cell>
          <cell r="N40">
            <v>33</v>
          </cell>
          <cell r="P40">
            <v>0.37233429394811907</v>
          </cell>
          <cell r="Q40">
            <v>424.70270270270271</v>
          </cell>
        </row>
        <row r="41">
          <cell r="E41">
            <v>599</v>
          </cell>
          <cell r="F41">
            <v>3455</v>
          </cell>
          <cell r="H41"/>
          <cell r="J41">
            <v>258.8</v>
          </cell>
          <cell r="K41">
            <v>257.05199999999996</v>
          </cell>
          <cell r="M41">
            <v>113</v>
          </cell>
          <cell r="N41">
            <v>31</v>
          </cell>
          <cell r="P41">
            <v>0.67542503863989456</v>
          </cell>
          <cell r="Q41">
            <v>346.07679465776295</v>
          </cell>
        </row>
      </sheetData>
      <sheetData sheetId="4" refreshError="1">
        <row r="8">
          <cell r="E8">
            <v>606</v>
          </cell>
          <cell r="F8">
            <v>1420</v>
          </cell>
          <cell r="J8">
            <v>97</v>
          </cell>
          <cell r="K8">
            <v>93.72</v>
          </cell>
          <cell r="M8">
            <v>137</v>
          </cell>
          <cell r="N8">
            <v>30</v>
          </cell>
          <cell r="P8">
            <v>3.381443298969073</v>
          </cell>
          <cell r="Q8">
            <v>387.82178217821786</v>
          </cell>
        </row>
        <row r="9">
          <cell r="F9">
            <v>2497</v>
          </cell>
          <cell r="J9">
            <v>168.3</v>
          </cell>
          <cell r="K9">
            <v>166.70200000000003</v>
          </cell>
          <cell r="M9">
            <v>53</v>
          </cell>
          <cell r="N9">
            <v>23.25</v>
          </cell>
          <cell r="P9">
            <v>0.94949494949494029</v>
          </cell>
        </row>
        <row r="10">
          <cell r="E10">
            <v>611</v>
          </cell>
          <cell r="F10">
            <v>3266</v>
          </cell>
          <cell r="J10">
            <v>217</v>
          </cell>
          <cell r="K10">
            <v>215.55600000000001</v>
          </cell>
          <cell r="M10">
            <v>80</v>
          </cell>
          <cell r="N10">
            <v>20.75</v>
          </cell>
          <cell r="P10">
            <v>0.66543778801842779</v>
          </cell>
          <cell r="Q10">
            <v>432.66775777414074</v>
          </cell>
        </row>
        <row r="11">
          <cell r="F11">
            <v>1140</v>
          </cell>
          <cell r="J11">
            <v>76.3</v>
          </cell>
          <cell r="K11">
            <v>75.240000000000009</v>
          </cell>
          <cell r="M11">
            <v>42</v>
          </cell>
          <cell r="N11">
            <v>19</v>
          </cell>
          <cell r="P11">
            <v>1.3892529488859608</v>
          </cell>
        </row>
        <row r="12">
          <cell r="E12">
            <v>614</v>
          </cell>
          <cell r="F12">
            <v>297</v>
          </cell>
          <cell r="J12">
            <v>313.09999999999997</v>
          </cell>
          <cell r="K12">
            <v>310.64800000000002</v>
          </cell>
          <cell r="M12">
            <v>126</v>
          </cell>
          <cell r="N12">
            <v>67.75</v>
          </cell>
          <cell r="P12">
            <v>0.78313637815392578</v>
          </cell>
          <cell r="Q12">
            <v>438.56677524429972</v>
          </cell>
        </row>
        <row r="13">
          <cell r="F13">
            <v>4191</v>
          </cell>
        </row>
        <row r="14">
          <cell r="E14">
            <v>562</v>
          </cell>
          <cell r="F14">
            <v>4240</v>
          </cell>
          <cell r="J14">
            <v>283.2</v>
          </cell>
          <cell r="K14">
            <v>279.84000000000003</v>
          </cell>
          <cell r="M14">
            <v>89</v>
          </cell>
          <cell r="N14">
            <v>32</v>
          </cell>
          <cell r="P14">
            <v>1.1864406779660865</v>
          </cell>
          <cell r="Q14">
            <v>452.66903914590745</v>
          </cell>
        </row>
        <row r="15">
          <cell r="E15">
            <v>615</v>
          </cell>
          <cell r="F15">
            <v>2965</v>
          </cell>
          <cell r="J15">
            <v>196.3</v>
          </cell>
          <cell r="K15">
            <v>195.69</v>
          </cell>
          <cell r="M15">
            <v>28</v>
          </cell>
          <cell r="N15">
            <v>15</v>
          </cell>
          <cell r="P15">
            <v>0.31074885379521833</v>
          </cell>
          <cell r="Q15">
            <v>480.39024390243901</v>
          </cell>
        </row>
        <row r="16">
          <cell r="F16">
            <v>1959</v>
          </cell>
          <cell r="J16">
            <v>133</v>
          </cell>
          <cell r="K16">
            <v>131.19400000000002</v>
          </cell>
          <cell r="M16">
            <v>29</v>
          </cell>
          <cell r="N16">
            <v>19.5</v>
          </cell>
          <cell r="P16">
            <v>1.3578947368420926</v>
          </cell>
        </row>
        <row r="17">
          <cell r="E17">
            <v>591</v>
          </cell>
          <cell r="F17">
            <v>5173</v>
          </cell>
          <cell r="J17">
            <v>342.09999999999997</v>
          </cell>
          <cell r="K17">
            <v>341.41800000000001</v>
          </cell>
          <cell r="M17">
            <v>43</v>
          </cell>
          <cell r="N17">
            <v>52</v>
          </cell>
          <cell r="P17">
            <v>0.19935691318326795</v>
          </cell>
          <cell r="Q17">
            <v>525.17766497461935</v>
          </cell>
        </row>
        <row r="18">
          <cell r="E18">
            <v>606</v>
          </cell>
          <cell r="F18">
            <v>4324</v>
          </cell>
          <cell r="J18">
            <v>287.3</v>
          </cell>
          <cell r="K18">
            <v>285.38400000000001</v>
          </cell>
          <cell r="M18">
            <v>96</v>
          </cell>
          <cell r="N18">
            <v>8</v>
          </cell>
          <cell r="P18">
            <v>0.66689871214757979</v>
          </cell>
          <cell r="Q18">
            <v>428.11881188118815</v>
          </cell>
        </row>
        <row r="19">
          <cell r="E19">
            <v>619</v>
          </cell>
          <cell r="F19">
            <v>4369</v>
          </cell>
          <cell r="J19">
            <v>292.7</v>
          </cell>
          <cell r="K19">
            <v>288.35400000000004</v>
          </cell>
          <cell r="M19">
            <v>59</v>
          </cell>
          <cell r="N19">
            <v>9.75</v>
          </cell>
          <cell r="P19">
            <v>1.4847967201913039</v>
          </cell>
          <cell r="Q19">
            <v>423.48949919224555</v>
          </cell>
        </row>
        <row r="20">
          <cell r="F20">
            <v>1053</v>
          </cell>
          <cell r="J20">
            <v>71.099999999999994</v>
          </cell>
          <cell r="K20">
            <v>69.498000000000005</v>
          </cell>
          <cell r="M20">
            <v>16</v>
          </cell>
          <cell r="N20">
            <v>2</v>
          </cell>
          <cell r="P20">
            <v>2.2531645569620111</v>
          </cell>
        </row>
        <row r="21">
          <cell r="E21">
            <v>290</v>
          </cell>
          <cell r="F21">
            <v>2429</v>
          </cell>
          <cell r="J21">
            <v>164.1</v>
          </cell>
          <cell r="K21">
            <v>160.31400000000002</v>
          </cell>
          <cell r="M21">
            <v>58</v>
          </cell>
          <cell r="N21">
            <v>15.25</v>
          </cell>
          <cell r="P21">
            <v>2.3071297989030914</v>
          </cell>
          <cell r="Q21">
            <v>502.55172413793105</v>
          </cell>
        </row>
        <row r="22">
          <cell r="E22">
            <v>620</v>
          </cell>
          <cell r="F22">
            <v>2032</v>
          </cell>
          <cell r="J22">
            <v>270.49999999999994</v>
          </cell>
          <cell r="K22">
            <v>267.75400000000002</v>
          </cell>
          <cell r="M22">
            <v>218</v>
          </cell>
          <cell r="N22">
            <v>34.5</v>
          </cell>
          <cell r="P22">
            <v>1.0151571164509887</v>
          </cell>
          <cell r="Q22">
            <v>364.74193548387098</v>
          </cell>
        </row>
        <row r="23">
          <cell r="F23">
            <v>1737</v>
          </cell>
        </row>
        <row r="24">
          <cell r="E24">
            <v>625</v>
          </cell>
          <cell r="F24">
            <v>1702</v>
          </cell>
          <cell r="J24">
            <v>112.89999999999999</v>
          </cell>
          <cell r="K24">
            <v>112.33200000000001</v>
          </cell>
          <cell r="M24">
            <v>17</v>
          </cell>
          <cell r="N24">
            <v>10.5</v>
          </cell>
          <cell r="P24">
            <v>0.50310008857394473</v>
          </cell>
          <cell r="Q24">
            <v>457.05600000000004</v>
          </cell>
        </row>
        <row r="25">
          <cell r="F25">
            <v>3059</v>
          </cell>
          <cell r="J25">
            <v>203.6</v>
          </cell>
          <cell r="K25">
            <v>201.89400000000001</v>
          </cell>
          <cell r="M25">
            <v>65</v>
          </cell>
          <cell r="N25">
            <v>16</v>
          </cell>
          <cell r="P25">
            <v>0.83791748526522059</v>
          </cell>
        </row>
        <row r="26">
          <cell r="E26">
            <v>614</v>
          </cell>
          <cell r="F26">
            <v>3440</v>
          </cell>
          <cell r="J26">
            <v>228.6</v>
          </cell>
          <cell r="K26">
            <v>227.04000000000002</v>
          </cell>
          <cell r="M26">
            <v>93</v>
          </cell>
          <cell r="N26">
            <v>30.25</v>
          </cell>
          <cell r="P26">
            <v>0.68241469816271816</v>
          </cell>
          <cell r="Q26">
            <v>430.45602605863195</v>
          </cell>
        </row>
        <row r="27">
          <cell r="F27">
            <v>965</v>
          </cell>
          <cell r="J27">
            <v>64.5</v>
          </cell>
          <cell r="K27">
            <v>63.690000000000005</v>
          </cell>
          <cell r="M27">
            <v>18</v>
          </cell>
          <cell r="N27">
            <v>7</v>
          </cell>
          <cell r="P27">
            <v>1.2558139534883646</v>
          </cell>
        </row>
        <row r="28">
          <cell r="E28">
            <v>546</v>
          </cell>
          <cell r="F28">
            <v>4536</v>
          </cell>
          <cell r="J28">
            <v>318.90000000000003</v>
          </cell>
          <cell r="K28">
            <v>316.28600000000006</v>
          </cell>
          <cell r="M28">
            <v>90</v>
          </cell>
          <cell r="N28">
            <v>41</v>
          </cell>
          <cell r="P28">
            <v>0.81969269363436048</v>
          </cell>
          <cell r="Q28">
            <v>498.46153846153845</v>
          </cell>
        </row>
        <row r="29">
          <cell r="E29">
            <v>620</v>
          </cell>
          <cell r="F29">
            <v>3418</v>
          </cell>
          <cell r="J29">
            <v>230</v>
          </cell>
          <cell r="K29">
            <v>227.67800000000003</v>
          </cell>
          <cell r="M29">
            <v>262</v>
          </cell>
          <cell r="N29">
            <v>12</v>
          </cell>
          <cell r="P29">
            <v>1.009565217391293</v>
          </cell>
          <cell r="Q29">
            <v>330.77419354838707</v>
          </cell>
        </row>
        <row r="30">
          <cell r="E30">
            <v>557</v>
          </cell>
          <cell r="F30">
            <v>3426</v>
          </cell>
          <cell r="J30">
            <v>255.60000000000002</v>
          </cell>
          <cell r="K30">
            <v>254.89439999999999</v>
          </cell>
          <cell r="M30">
            <v>98</v>
          </cell>
          <cell r="N30">
            <v>17</v>
          </cell>
          <cell r="P30">
            <v>0.27605633802818164</v>
          </cell>
          <cell r="Q30">
            <v>369.048473967684</v>
          </cell>
        </row>
        <row r="31">
          <cell r="E31">
            <v>813</v>
          </cell>
          <cell r="F31">
            <v>700</v>
          </cell>
          <cell r="J31">
            <v>48</v>
          </cell>
          <cell r="K31">
            <v>46.2</v>
          </cell>
          <cell r="M31">
            <v>36</v>
          </cell>
          <cell r="N31">
            <v>6.75</v>
          </cell>
          <cell r="P31">
            <v>3.7499999999999942</v>
          </cell>
          <cell r="Q31">
            <v>421.47601476014756</v>
          </cell>
        </row>
        <row r="32">
          <cell r="F32">
            <v>598</v>
          </cell>
          <cell r="J32">
            <v>42.6</v>
          </cell>
          <cell r="K32">
            <v>41.368000000000002</v>
          </cell>
          <cell r="M32">
            <v>24</v>
          </cell>
          <cell r="N32">
            <v>4.5</v>
          </cell>
          <cell r="P32">
            <v>2.8920187793427212</v>
          </cell>
        </row>
        <row r="33">
          <cell r="F33">
            <v>4413</v>
          </cell>
          <cell r="J33">
            <v>292.50000000000006</v>
          </cell>
          <cell r="K33">
            <v>291.25800000000004</v>
          </cell>
          <cell r="M33">
            <v>82</v>
          </cell>
          <cell r="N33">
            <v>23.75</v>
          </cell>
          <cell r="P33">
            <v>0.42461538461539089</v>
          </cell>
        </row>
        <row r="34">
          <cell r="E34">
            <v>548</v>
          </cell>
          <cell r="F34">
            <v>3910</v>
          </cell>
          <cell r="J34">
            <v>267.09209999999996</v>
          </cell>
          <cell r="K34">
            <v>258.06</v>
          </cell>
          <cell r="M34">
            <v>82</v>
          </cell>
          <cell r="N34">
            <v>17</v>
          </cell>
          <cell r="P34">
            <v>3.3816425120772791</v>
          </cell>
          <cell r="Q34">
            <v>428.10218978102193</v>
          </cell>
        </row>
        <row r="35">
          <cell r="E35">
            <v>600</v>
          </cell>
          <cell r="F35">
            <v>4130</v>
          </cell>
          <cell r="J35">
            <v>279.7</v>
          </cell>
          <cell r="K35">
            <v>277.33000000000004</v>
          </cell>
          <cell r="M35">
            <v>57</v>
          </cell>
          <cell r="N35">
            <v>10.75</v>
          </cell>
          <cell r="P35">
            <v>0.84733643189129348</v>
          </cell>
          <cell r="Q35">
            <v>493.5</v>
          </cell>
        </row>
        <row r="36">
          <cell r="F36">
            <v>805</v>
          </cell>
          <cell r="J36">
            <v>56</v>
          </cell>
          <cell r="K36">
            <v>55.03</v>
          </cell>
          <cell r="M36">
            <v>17</v>
          </cell>
          <cell r="N36">
            <v>0</v>
          </cell>
          <cell r="P36">
            <v>1.732142857142855</v>
          </cell>
        </row>
        <row r="37">
          <cell r="E37">
            <v>526</v>
          </cell>
          <cell r="F37">
            <v>4053</v>
          </cell>
          <cell r="J37">
            <v>269.09999999999997</v>
          </cell>
          <cell r="K37">
            <v>267.49799999999999</v>
          </cell>
          <cell r="M37">
            <v>67</v>
          </cell>
          <cell r="N37">
            <v>26.75</v>
          </cell>
          <cell r="P37">
            <v>0.5953177257524993</v>
          </cell>
          <cell r="Q37">
            <v>462.31939163498095</v>
          </cell>
        </row>
      </sheetData>
      <sheetData sheetId="5" refreshError="1">
        <row r="8">
          <cell r="E8">
            <v>490</v>
          </cell>
          <cell r="F8">
            <v>729</v>
          </cell>
          <cell r="J8">
            <v>49.3</v>
          </cell>
          <cell r="K8">
            <v>48.114000000000004</v>
          </cell>
          <cell r="M8">
            <v>72</v>
          </cell>
          <cell r="N8">
            <v>11</v>
          </cell>
          <cell r="P8">
            <v>2.4056795131845696</v>
          </cell>
          <cell r="Q8">
            <v>316.16326530612247</v>
          </cell>
        </row>
        <row r="9">
          <cell r="F9">
            <v>1853</v>
          </cell>
          <cell r="J9">
            <v>125.39999999999998</v>
          </cell>
          <cell r="K9">
            <v>122.298</v>
          </cell>
          <cell r="M9">
            <v>36</v>
          </cell>
          <cell r="N9">
            <v>20.75</v>
          </cell>
          <cell r="P9">
            <v>2.4736842105262968</v>
          </cell>
        </row>
        <row r="10">
          <cell r="E10">
            <v>578</v>
          </cell>
          <cell r="F10">
            <v>2363</v>
          </cell>
          <cell r="J10">
            <v>158</v>
          </cell>
          <cell r="K10">
            <v>155.958</v>
          </cell>
          <cell r="M10">
            <v>26</v>
          </cell>
          <cell r="N10">
            <v>17</v>
          </cell>
          <cell r="P10">
            <v>1.2924050632911404</v>
          </cell>
          <cell r="Q10">
            <v>456.12456747404849</v>
          </cell>
        </row>
        <row r="11">
          <cell r="F11">
            <v>2031</v>
          </cell>
          <cell r="J11">
            <v>135</v>
          </cell>
          <cell r="K11">
            <v>134.04599999999999</v>
          </cell>
          <cell r="M11">
            <v>143</v>
          </cell>
          <cell r="N11">
            <v>5.75</v>
          </cell>
          <cell r="P11">
            <v>0.70666666666667233</v>
          </cell>
        </row>
        <row r="12">
          <cell r="E12">
            <v>490</v>
          </cell>
          <cell r="F12">
            <v>3913</v>
          </cell>
          <cell r="J12">
            <v>259.7</v>
          </cell>
          <cell r="K12">
            <v>258.25800000000004</v>
          </cell>
          <cell r="M12">
            <v>90</v>
          </cell>
          <cell r="N12">
            <v>18</v>
          </cell>
          <cell r="P12">
            <v>0.55525606469000788</v>
          </cell>
          <cell r="Q12">
            <v>479.14285714285717</v>
          </cell>
        </row>
        <row r="13">
          <cell r="E13">
            <v>620</v>
          </cell>
          <cell r="F13">
            <v>4750</v>
          </cell>
          <cell r="J13">
            <v>318.5</v>
          </cell>
          <cell r="K13">
            <v>316.35000000000002</v>
          </cell>
          <cell r="M13">
            <v>123</v>
          </cell>
          <cell r="N13">
            <v>24</v>
          </cell>
          <cell r="P13">
            <v>0.67503924646781077</v>
          </cell>
          <cell r="Q13">
            <v>459.67741935483866</v>
          </cell>
        </row>
        <row r="14">
          <cell r="E14">
            <v>570</v>
          </cell>
          <cell r="F14">
            <v>3872</v>
          </cell>
          <cell r="J14">
            <v>256.3</v>
          </cell>
          <cell r="K14">
            <v>255.55200000000002</v>
          </cell>
          <cell r="M14">
            <v>49</v>
          </cell>
          <cell r="N14">
            <v>15.25</v>
          </cell>
          <cell r="P14">
            <v>0.291845493562228</v>
          </cell>
          <cell r="Q14">
            <v>483.15789473684208</v>
          </cell>
        </row>
        <row r="15">
          <cell r="F15">
            <v>718</v>
          </cell>
          <cell r="J15">
            <v>50.1</v>
          </cell>
          <cell r="K15">
            <v>47.388000000000005</v>
          </cell>
          <cell r="M15">
            <v>11</v>
          </cell>
          <cell r="N15">
            <v>7</v>
          </cell>
          <cell r="P15">
            <v>5.4131736526946028</v>
          </cell>
        </row>
        <row r="16">
          <cell r="E16">
            <v>505</v>
          </cell>
          <cell r="F16">
            <v>2143</v>
          </cell>
          <cell r="J16">
            <v>236.3</v>
          </cell>
          <cell r="K16">
            <v>233.566</v>
          </cell>
          <cell r="M16">
            <v>121</v>
          </cell>
          <cell r="N16">
            <v>49</v>
          </cell>
          <cell r="P16">
            <v>1.1570038087177354</v>
          </cell>
          <cell r="Q16">
            <v>386.2574257425743</v>
          </cell>
        </row>
        <row r="17">
          <cell r="F17">
            <v>1108</v>
          </cell>
        </row>
        <row r="18">
          <cell r="E18">
            <v>730</v>
          </cell>
          <cell r="F18">
            <v>2782</v>
          </cell>
          <cell r="J18">
            <v>208.60000000000002</v>
          </cell>
          <cell r="K18">
            <v>206.98079999999999</v>
          </cell>
          <cell r="M18">
            <v>305</v>
          </cell>
          <cell r="N18">
            <v>11.5</v>
          </cell>
          <cell r="P18">
            <v>0.77622243528285462</v>
          </cell>
          <cell r="Q18">
            <v>228.65753424657535</v>
          </cell>
        </row>
        <row r="19">
          <cell r="E19">
            <v>670</v>
          </cell>
          <cell r="F19">
            <v>2228</v>
          </cell>
          <cell r="J19">
            <v>148</v>
          </cell>
          <cell r="K19">
            <v>147.048</v>
          </cell>
          <cell r="M19">
            <v>147</v>
          </cell>
          <cell r="N19">
            <v>12</v>
          </cell>
          <cell r="P19">
            <v>0.643243243243242</v>
          </cell>
          <cell r="Q19">
            <v>336.35820895522392</v>
          </cell>
        </row>
        <row r="20">
          <cell r="F20">
            <v>1528</v>
          </cell>
          <cell r="J20">
            <v>102.1</v>
          </cell>
          <cell r="K20">
            <v>100.848</v>
          </cell>
          <cell r="M20">
            <v>74</v>
          </cell>
          <cell r="N20">
            <v>9</v>
          </cell>
          <cell r="P20">
            <v>1.2262487757100835</v>
          </cell>
        </row>
        <row r="21">
          <cell r="E21">
            <v>613</v>
          </cell>
          <cell r="F21">
            <v>4442</v>
          </cell>
          <cell r="J21">
            <v>295.10000000000002</v>
          </cell>
          <cell r="K21">
            <v>293.17200000000003</v>
          </cell>
          <cell r="M21">
            <v>109</v>
          </cell>
          <cell r="N21">
            <v>37.75</v>
          </cell>
          <cell r="P21">
            <v>0.65333785157573609</v>
          </cell>
          <cell r="Q21">
            <v>434.77977161500814</v>
          </cell>
        </row>
        <row r="22">
          <cell r="E22">
            <v>563</v>
          </cell>
          <cell r="F22">
            <v>4153</v>
          </cell>
          <cell r="J22">
            <v>277.60000000000002</v>
          </cell>
          <cell r="K22">
            <v>275.99799999999999</v>
          </cell>
          <cell r="M22">
            <v>110</v>
          </cell>
          <cell r="N22">
            <v>23</v>
          </cell>
          <cell r="P22">
            <v>0.57708933717580413</v>
          </cell>
          <cell r="Q22">
            <v>442.59325044404977</v>
          </cell>
        </row>
        <row r="23">
          <cell r="E23">
            <v>533</v>
          </cell>
          <cell r="F23">
            <v>4541</v>
          </cell>
          <cell r="J23">
            <v>302.10000000000002</v>
          </cell>
          <cell r="K23">
            <v>299.70600000000002</v>
          </cell>
          <cell r="M23">
            <v>52</v>
          </cell>
          <cell r="N23">
            <v>22.25</v>
          </cell>
          <cell r="P23">
            <v>0.79245283018868096</v>
          </cell>
          <cell r="Q23">
            <v>511.18198874296439</v>
          </cell>
        </row>
        <row r="24">
          <cell r="E24">
            <v>620</v>
          </cell>
          <cell r="F24">
            <v>3959</v>
          </cell>
          <cell r="J24">
            <v>282.79999999999995</v>
          </cell>
          <cell r="K24">
            <v>280.29400000000004</v>
          </cell>
          <cell r="M24">
            <v>176</v>
          </cell>
          <cell r="N24">
            <v>18</v>
          </cell>
          <cell r="P24">
            <v>0.88613861386135617</v>
          </cell>
          <cell r="Q24">
            <v>383.12903225806451</v>
          </cell>
        </row>
        <row r="25">
          <cell r="E25">
            <v>621</v>
          </cell>
          <cell r="F25">
            <v>1787</v>
          </cell>
          <cell r="J25">
            <v>189.9</v>
          </cell>
          <cell r="K25">
            <v>186.18600000000001</v>
          </cell>
          <cell r="M25">
            <v>131</v>
          </cell>
          <cell r="N25">
            <v>25</v>
          </cell>
          <cell r="P25">
            <v>1.9557661927330166</v>
          </cell>
          <cell r="Q25">
            <v>346.47342995169083</v>
          </cell>
        </row>
        <row r="26">
          <cell r="F26">
            <v>1034</v>
          </cell>
        </row>
        <row r="27">
          <cell r="F27">
            <v>765</v>
          </cell>
          <cell r="J27">
            <v>52</v>
          </cell>
          <cell r="K27">
            <v>50.49</v>
          </cell>
          <cell r="M27">
            <v>46</v>
          </cell>
          <cell r="N27">
            <v>2.75</v>
          </cell>
          <cell r="P27">
            <v>2.9038461538461497</v>
          </cell>
        </row>
        <row r="28">
          <cell r="E28">
            <v>617</v>
          </cell>
          <cell r="F28">
            <v>4149</v>
          </cell>
          <cell r="J28">
            <v>275.10000000000002</v>
          </cell>
          <cell r="K28">
            <v>273.834</v>
          </cell>
          <cell r="M28">
            <v>128</v>
          </cell>
          <cell r="N28">
            <v>15.75</v>
          </cell>
          <cell r="P28">
            <v>0.46019629225736802</v>
          </cell>
          <cell r="Q28">
            <v>403.46839546191251</v>
          </cell>
        </row>
        <row r="29">
          <cell r="E29">
            <v>621</v>
          </cell>
          <cell r="F29">
            <v>2221</v>
          </cell>
          <cell r="J29">
            <v>147.80000000000001</v>
          </cell>
          <cell r="K29">
            <v>146.58600000000001</v>
          </cell>
          <cell r="M29">
            <v>19</v>
          </cell>
          <cell r="N29">
            <v>12.5</v>
          </cell>
          <cell r="P29">
            <v>0.82138024357239425</v>
          </cell>
          <cell r="Q29">
            <v>337.39130434782612</v>
          </cell>
        </row>
        <row r="30">
          <cell r="F30">
            <v>1271</v>
          </cell>
          <cell r="J30">
            <v>86.2</v>
          </cell>
          <cell r="K30">
            <v>83.88600000000001</v>
          </cell>
          <cell r="M30">
            <v>183</v>
          </cell>
          <cell r="N30">
            <v>17</v>
          </cell>
          <cell r="P30">
            <v>2.6844547563805023</v>
          </cell>
        </row>
        <row r="31">
          <cell r="E31">
            <v>550</v>
          </cell>
          <cell r="F31">
            <v>4469</v>
          </cell>
          <cell r="J31">
            <v>300.60000000000002</v>
          </cell>
          <cell r="K31">
            <v>298.75400000000002</v>
          </cell>
          <cell r="M31">
            <v>79</v>
          </cell>
          <cell r="N31">
            <v>27</v>
          </cell>
          <cell r="P31">
            <v>0.61410512308716025</v>
          </cell>
          <cell r="Q31">
            <v>487.52727272727276</v>
          </cell>
        </row>
        <row r="32">
          <cell r="E32">
            <v>611</v>
          </cell>
          <cell r="F32">
            <v>3884</v>
          </cell>
          <cell r="J32">
            <v>256.89999999999998</v>
          </cell>
          <cell r="K32">
            <v>256.34399999999999</v>
          </cell>
          <cell r="M32">
            <v>54</v>
          </cell>
          <cell r="N32">
            <v>20.5</v>
          </cell>
          <cell r="P32">
            <v>0.21642662514596467</v>
          </cell>
          <cell r="Q32">
            <v>474.40261865793781</v>
          </cell>
        </row>
        <row r="33">
          <cell r="F33">
            <v>947</v>
          </cell>
          <cell r="J33">
            <v>64.100000000000009</v>
          </cell>
          <cell r="K33">
            <v>62.502000000000002</v>
          </cell>
          <cell r="M33">
            <v>32</v>
          </cell>
          <cell r="N33">
            <v>7.75</v>
          </cell>
          <cell r="P33">
            <v>2.4929797191887766</v>
          </cell>
        </row>
        <row r="34">
          <cell r="E34">
            <v>603</v>
          </cell>
          <cell r="F34">
            <v>5010</v>
          </cell>
          <cell r="J34">
            <v>346.02</v>
          </cell>
          <cell r="K34">
            <v>341.68</v>
          </cell>
          <cell r="M34">
            <v>72</v>
          </cell>
          <cell r="N34">
            <v>25.25</v>
          </cell>
          <cell r="P34">
            <v>1.2542627593780635</v>
          </cell>
          <cell r="Q34">
            <v>498.50746268656712</v>
          </cell>
        </row>
        <row r="35">
          <cell r="E35">
            <v>515</v>
          </cell>
          <cell r="F35">
            <v>4424</v>
          </cell>
          <cell r="J35">
            <v>294.29999999999995</v>
          </cell>
          <cell r="K35">
            <v>291.98400000000004</v>
          </cell>
          <cell r="M35">
            <v>36</v>
          </cell>
          <cell r="N35">
            <v>16.5</v>
          </cell>
          <cell r="P35">
            <v>0.78695208970435537</v>
          </cell>
          <cell r="Q35">
            <v>515.4174757281553</v>
          </cell>
        </row>
      </sheetData>
      <sheetData sheetId="6" refreshError="1">
        <row r="8">
          <cell r="E8">
            <v>637</v>
          </cell>
          <cell r="F8">
            <v>4389</v>
          </cell>
          <cell r="J8">
            <v>290.8</v>
          </cell>
          <cell r="K8">
            <v>289.67400000000004</v>
          </cell>
          <cell r="M8">
            <v>138</v>
          </cell>
          <cell r="N8">
            <v>10.25</v>
          </cell>
          <cell r="P8">
            <v>0.38720770288857509</v>
          </cell>
          <cell r="Q8">
            <v>413.4065934065934</v>
          </cell>
        </row>
        <row r="9">
          <cell r="E9">
            <v>495</v>
          </cell>
          <cell r="F9">
            <v>3336</v>
          </cell>
          <cell r="J9">
            <v>250.9</v>
          </cell>
          <cell r="K9">
            <v>248.19839999999999</v>
          </cell>
          <cell r="M9">
            <v>78</v>
          </cell>
          <cell r="N9">
            <v>18</v>
          </cell>
          <cell r="P9">
            <v>1.0767636508569205</v>
          </cell>
          <cell r="Q9">
            <v>404.36363636363637</v>
          </cell>
        </row>
        <row r="10">
          <cell r="E10">
            <v>609</v>
          </cell>
          <cell r="F10">
            <v>4932</v>
          </cell>
          <cell r="J10">
            <v>328.2</v>
          </cell>
          <cell r="K10">
            <v>325.512</v>
          </cell>
          <cell r="M10">
            <v>82</v>
          </cell>
          <cell r="N10">
            <v>22.75</v>
          </cell>
          <cell r="P10">
            <v>0.81901279707495067</v>
          </cell>
          <cell r="Q10">
            <v>485.91133004926104</v>
          </cell>
        </row>
        <row r="11">
          <cell r="E11">
            <v>619</v>
          </cell>
          <cell r="F11">
            <v>3664</v>
          </cell>
          <cell r="J11">
            <v>245.80000000000004</v>
          </cell>
          <cell r="K11">
            <v>243.72400000000002</v>
          </cell>
          <cell r="M11">
            <v>246</v>
          </cell>
          <cell r="N11">
            <v>33.75</v>
          </cell>
          <cell r="P11">
            <v>0.84458909682669714</v>
          </cell>
          <cell r="Q11">
            <v>355.15347334410342</v>
          </cell>
        </row>
        <row r="12">
          <cell r="E12">
            <v>674</v>
          </cell>
          <cell r="F12">
            <v>4820</v>
          </cell>
          <cell r="J12">
            <v>322.2</v>
          </cell>
          <cell r="K12">
            <v>318.12</v>
          </cell>
          <cell r="M12">
            <v>145</v>
          </cell>
          <cell r="N12">
            <v>63.25</v>
          </cell>
          <cell r="P12">
            <v>1.266294227188077</v>
          </cell>
          <cell r="Q12">
            <v>429.08011869436206</v>
          </cell>
        </row>
        <row r="13">
          <cell r="E13">
            <v>612</v>
          </cell>
          <cell r="F13">
            <v>4534</v>
          </cell>
          <cell r="J13">
            <v>322.2</v>
          </cell>
          <cell r="K13">
            <v>318.24400000000003</v>
          </cell>
          <cell r="M13">
            <v>105</v>
          </cell>
          <cell r="N13">
            <v>37.75</v>
          </cell>
          <cell r="P13">
            <v>1.2278088144009809</v>
          </cell>
          <cell r="Q13">
            <v>444.50980392156868</v>
          </cell>
        </row>
        <row r="14">
          <cell r="E14">
            <v>529</v>
          </cell>
          <cell r="F14">
            <v>4382</v>
          </cell>
          <cell r="J14">
            <v>291.5</v>
          </cell>
          <cell r="K14">
            <v>289.21199999999999</v>
          </cell>
          <cell r="M14">
            <v>64</v>
          </cell>
          <cell r="N14">
            <v>24</v>
          </cell>
          <cell r="P14">
            <v>0.78490566037736231</v>
          </cell>
          <cell r="Q14">
            <v>497.01323251417773</v>
          </cell>
        </row>
        <row r="15">
          <cell r="E15">
            <v>465</v>
          </cell>
          <cell r="F15">
            <v>3838</v>
          </cell>
          <cell r="J15">
            <v>256.60000000000002</v>
          </cell>
          <cell r="K15">
            <v>253.30800000000002</v>
          </cell>
          <cell r="M15">
            <v>33</v>
          </cell>
          <cell r="N15">
            <v>21</v>
          </cell>
          <cell r="P15">
            <v>1.2829306313328142</v>
          </cell>
          <cell r="Q15">
            <v>495.22580645161293</v>
          </cell>
        </row>
        <row r="16">
          <cell r="E16">
            <v>282</v>
          </cell>
          <cell r="F16">
            <v>1938</v>
          </cell>
          <cell r="J16">
            <v>130.19999999999999</v>
          </cell>
          <cell r="K16">
            <v>127.908</v>
          </cell>
          <cell r="M16">
            <v>85</v>
          </cell>
          <cell r="N16">
            <v>10.75</v>
          </cell>
          <cell r="P16">
            <v>1.7603686635944606</v>
          </cell>
          <cell r="Q16">
            <v>412.34042553191489</v>
          </cell>
        </row>
        <row r="17">
          <cell r="E17">
            <v>603</v>
          </cell>
          <cell r="F17">
            <v>1691</v>
          </cell>
          <cell r="J17">
            <v>191.5</v>
          </cell>
          <cell r="K17">
            <v>190.01400000000001</v>
          </cell>
          <cell r="M17">
            <v>96</v>
          </cell>
          <cell r="N17">
            <v>21.25</v>
          </cell>
          <cell r="P17">
            <v>0.77597911227153515</v>
          </cell>
          <cell r="Q17">
            <v>387.06467661691539</v>
          </cell>
        </row>
        <row r="18">
          <cell r="F18">
            <v>1188</v>
          </cell>
        </row>
        <row r="19">
          <cell r="F19">
            <v>1011</v>
          </cell>
          <cell r="J19">
            <v>67.8</v>
          </cell>
          <cell r="K19">
            <v>66.725999999999999</v>
          </cell>
          <cell r="M19">
            <v>22</v>
          </cell>
          <cell r="N19">
            <v>5.5</v>
          </cell>
          <cell r="P19">
            <v>1.5840707964601741</v>
          </cell>
        </row>
        <row r="20">
          <cell r="E20">
            <v>616</v>
          </cell>
          <cell r="F20">
            <v>5041</v>
          </cell>
          <cell r="J20">
            <v>336.1</v>
          </cell>
          <cell r="K20">
            <v>332.70600000000002</v>
          </cell>
          <cell r="M20">
            <v>55</v>
          </cell>
          <cell r="N20">
            <v>29</v>
          </cell>
          <cell r="P20">
            <v>1.0098185063969072</v>
          </cell>
          <cell r="Q20">
            <v>491.00649350649348</v>
          </cell>
        </row>
        <row r="21">
          <cell r="E21">
            <v>457</v>
          </cell>
          <cell r="F21">
            <v>2401</v>
          </cell>
          <cell r="J21">
            <v>160.30000000000001</v>
          </cell>
          <cell r="K21">
            <v>158.46600000000001</v>
          </cell>
          <cell r="M21">
            <v>55</v>
          </cell>
          <cell r="N21">
            <v>21.75</v>
          </cell>
          <cell r="P21">
            <v>1.1441048034934518</v>
          </cell>
          <cell r="Q21">
            <v>403.85120350109412</v>
          </cell>
        </row>
        <row r="22">
          <cell r="F22">
            <v>675</v>
          </cell>
          <cell r="J22">
            <v>48.8</v>
          </cell>
          <cell r="K22">
            <v>44.550000000000004</v>
          </cell>
          <cell r="M22">
            <v>70</v>
          </cell>
          <cell r="N22">
            <v>4.75</v>
          </cell>
          <cell r="P22">
            <v>8.7090163934426084</v>
          </cell>
        </row>
        <row r="23">
          <cell r="E23">
            <v>649</v>
          </cell>
          <cell r="F23">
            <v>3483</v>
          </cell>
          <cell r="J23">
            <v>260.39999999999998</v>
          </cell>
          <cell r="K23">
            <v>259.1352</v>
          </cell>
          <cell r="M23">
            <v>148</v>
          </cell>
          <cell r="N23">
            <v>14.5</v>
          </cell>
          <cell r="P23">
            <v>0.48571428571427794</v>
          </cell>
          <cell r="Q23">
            <v>322.0030816640986</v>
          </cell>
        </row>
        <row r="24">
          <cell r="E24">
            <v>236</v>
          </cell>
          <cell r="F24">
            <v>643</v>
          </cell>
          <cell r="J24">
            <v>43.499999999999986</v>
          </cell>
          <cell r="K24">
            <v>42.438000000000002</v>
          </cell>
          <cell r="M24">
            <v>405</v>
          </cell>
          <cell r="N24">
            <v>6.5</v>
          </cell>
          <cell r="P24">
            <v>2.4413793103447903</v>
          </cell>
          <cell r="Q24">
            <v>163.47457627118644</v>
          </cell>
        </row>
        <row r="25">
          <cell r="E25">
            <v>805</v>
          </cell>
          <cell r="F25">
            <v>3614</v>
          </cell>
          <cell r="J25">
            <v>239.5</v>
          </cell>
          <cell r="K25">
            <v>238.524</v>
          </cell>
          <cell r="M25">
            <v>84</v>
          </cell>
          <cell r="N25">
            <v>24</v>
          </cell>
          <cell r="P25">
            <v>0.40751565762004138</v>
          </cell>
          <cell r="Q25">
            <v>357.54037267080747</v>
          </cell>
        </row>
        <row r="26">
          <cell r="F26">
            <v>1183</v>
          </cell>
          <cell r="J26">
            <v>89.200000000000017</v>
          </cell>
          <cell r="K26">
            <v>87.578000000000003</v>
          </cell>
          <cell r="M26">
            <v>156</v>
          </cell>
          <cell r="N26">
            <v>2</v>
          </cell>
          <cell r="P26">
            <v>1.8183856502242308</v>
          </cell>
        </row>
        <row r="27">
          <cell r="E27">
            <v>909</v>
          </cell>
          <cell r="F27">
            <v>4282</v>
          </cell>
          <cell r="J27">
            <v>338</v>
          </cell>
          <cell r="K27">
            <v>335.80400000000003</v>
          </cell>
          <cell r="M27">
            <v>83</v>
          </cell>
          <cell r="N27">
            <v>26.25</v>
          </cell>
          <cell r="P27">
            <v>0.64970414201182525</v>
          </cell>
          <cell r="Q27">
            <v>458.87788778877888</v>
          </cell>
        </row>
        <row r="28">
          <cell r="F28">
            <v>662</v>
          </cell>
        </row>
        <row r="29">
          <cell r="F29">
            <v>2008</v>
          </cell>
          <cell r="J29">
            <v>133.60000000000002</v>
          </cell>
          <cell r="K29">
            <v>132.52800000000002</v>
          </cell>
          <cell r="M29">
            <v>51</v>
          </cell>
          <cell r="N29">
            <v>8</v>
          </cell>
          <cell r="P29">
            <v>0.80239520958084021</v>
          </cell>
        </row>
        <row r="30">
          <cell r="E30">
            <v>786</v>
          </cell>
          <cell r="F30">
            <v>6338</v>
          </cell>
          <cell r="J30">
            <v>426.6</v>
          </cell>
          <cell r="K30">
            <v>422.108</v>
          </cell>
          <cell r="M30">
            <v>93</v>
          </cell>
          <cell r="N30">
            <v>22.75</v>
          </cell>
          <cell r="P30">
            <v>1.0529770276605763</v>
          </cell>
          <cell r="Q30">
            <v>483.81679389312978</v>
          </cell>
        </row>
        <row r="31">
          <cell r="E31">
            <v>893</v>
          </cell>
          <cell r="F31">
            <v>2786</v>
          </cell>
          <cell r="J31">
            <v>185.8</v>
          </cell>
          <cell r="K31">
            <v>183.876</v>
          </cell>
          <cell r="M31">
            <v>124</v>
          </cell>
          <cell r="N31">
            <v>15.25</v>
          </cell>
          <cell r="P31">
            <v>1.0355220667384319</v>
          </cell>
          <cell r="Q31">
            <v>376.62653975363941</v>
          </cell>
        </row>
        <row r="32">
          <cell r="F32">
            <v>1447</v>
          </cell>
          <cell r="J32">
            <v>98</v>
          </cell>
          <cell r="K32">
            <v>95.50200000000001</v>
          </cell>
          <cell r="M32">
            <v>35</v>
          </cell>
          <cell r="N32">
            <v>6</v>
          </cell>
          <cell r="P32">
            <v>2.5489795918367251</v>
          </cell>
        </row>
        <row r="33">
          <cell r="F33">
            <v>1372.4583333333333</v>
          </cell>
          <cell r="J33">
            <v>92.1</v>
          </cell>
          <cell r="K33">
            <v>90.582250000000002</v>
          </cell>
          <cell r="M33">
            <v>66</v>
          </cell>
          <cell r="N33">
            <v>10.75</v>
          </cell>
          <cell r="P33">
            <v>1.6479370249728473</v>
          </cell>
        </row>
        <row r="34">
          <cell r="E34">
            <v>903</v>
          </cell>
          <cell r="F34">
            <v>3055</v>
          </cell>
          <cell r="J34">
            <v>208.9</v>
          </cell>
          <cell r="K34">
            <v>205.81</v>
          </cell>
          <cell r="M34">
            <v>21</v>
          </cell>
          <cell r="N34">
            <v>15</v>
          </cell>
          <cell r="P34">
            <v>1.4791766395404515</v>
          </cell>
          <cell r="Q34">
            <v>397.47508305647841</v>
          </cell>
        </row>
        <row r="35">
          <cell r="F35">
            <v>2927</v>
          </cell>
          <cell r="J35">
            <v>194.2</v>
          </cell>
          <cell r="K35">
            <v>193.18200000000002</v>
          </cell>
          <cell r="M35">
            <v>212</v>
          </cell>
          <cell r="N35">
            <v>14.75</v>
          </cell>
          <cell r="P35">
            <v>0.52420185375899708</v>
          </cell>
        </row>
        <row r="36">
          <cell r="E36">
            <v>875</v>
          </cell>
          <cell r="F36">
            <v>3120</v>
          </cell>
          <cell r="J36">
            <v>327.79999999999995</v>
          </cell>
          <cell r="K36">
            <v>325.108</v>
          </cell>
          <cell r="M36">
            <v>232</v>
          </cell>
          <cell r="N36">
            <v>15</v>
          </cell>
          <cell r="P36">
            <v>0.82123245881633633</v>
          </cell>
          <cell r="Q36">
            <v>378.37714285714281</v>
          </cell>
        </row>
        <row r="37">
          <cell r="F37">
            <v>1518</v>
          </cell>
        </row>
        <row r="38">
          <cell r="F38">
            <v>880</v>
          </cell>
          <cell r="J38">
            <v>59.3</v>
          </cell>
          <cell r="K38">
            <v>58.080000000000005</v>
          </cell>
          <cell r="M38">
            <v>46</v>
          </cell>
          <cell r="N38">
            <v>6</v>
          </cell>
          <cell r="P38">
            <v>2.0573355817875072</v>
          </cell>
        </row>
        <row r="39">
          <cell r="E39">
            <v>895</v>
          </cell>
          <cell r="F39">
            <v>5745</v>
          </cell>
          <cell r="J39">
            <v>385.6</v>
          </cell>
          <cell r="K39">
            <v>379.17</v>
          </cell>
          <cell r="M39">
            <v>259</v>
          </cell>
          <cell r="N39">
            <v>64</v>
          </cell>
          <cell r="P39">
            <v>1.6675311203319518</v>
          </cell>
          <cell r="Q39">
            <v>385.13966480446931</v>
          </cell>
        </row>
        <row r="40">
          <cell r="E40">
            <v>723</v>
          </cell>
          <cell r="F40">
            <v>831</v>
          </cell>
          <cell r="J40">
            <v>56.5</v>
          </cell>
          <cell r="K40">
            <v>54.846000000000004</v>
          </cell>
          <cell r="M40">
            <v>21</v>
          </cell>
          <cell r="N40">
            <v>9</v>
          </cell>
          <cell r="P40">
            <v>2.9274336283185773</v>
          </cell>
          <cell r="Q40">
            <v>356.84647302904563</v>
          </cell>
        </row>
        <row r="41">
          <cell r="F41">
            <v>2694</v>
          </cell>
          <cell r="J41">
            <v>178.7</v>
          </cell>
          <cell r="K41">
            <v>177.804</v>
          </cell>
          <cell r="M41">
            <v>109</v>
          </cell>
          <cell r="N41">
            <v>19</v>
          </cell>
          <cell r="P41">
            <v>0.50139899272523036</v>
          </cell>
        </row>
        <row r="42">
          <cell r="F42">
            <v>775</v>
          </cell>
          <cell r="J42">
            <v>53</v>
          </cell>
          <cell r="K42">
            <v>51.150000000000006</v>
          </cell>
          <cell r="M42">
            <v>92</v>
          </cell>
          <cell r="N42">
            <v>10</v>
          </cell>
          <cell r="P42">
            <v>3.4905660377358387</v>
          </cell>
        </row>
      </sheetData>
      <sheetData sheetId="7" refreshError="1">
        <row r="8">
          <cell r="E8">
            <v>906</v>
          </cell>
          <cell r="F8">
            <v>6517</v>
          </cell>
          <cell r="J8">
            <v>435.20000000000005</v>
          </cell>
          <cell r="K8">
            <v>432.02199999999999</v>
          </cell>
          <cell r="M8">
            <v>149</v>
          </cell>
          <cell r="N8">
            <v>26.75</v>
          </cell>
          <cell r="P8">
            <v>0.73023897058824772</v>
          </cell>
          <cell r="Q8">
            <v>431.58940397350995</v>
          </cell>
        </row>
        <row r="9">
          <cell r="E9">
            <v>904</v>
          </cell>
          <cell r="F9">
            <v>3618</v>
          </cell>
          <cell r="J9">
            <v>239.8</v>
          </cell>
          <cell r="K9">
            <v>238.78800000000001</v>
          </cell>
          <cell r="M9">
            <v>55</v>
          </cell>
          <cell r="N9">
            <v>9.5</v>
          </cell>
          <cell r="P9">
            <v>0.42201834862385335</v>
          </cell>
          <cell r="Q9">
            <v>446.28318584070797</v>
          </cell>
        </row>
        <row r="10">
          <cell r="F10">
            <v>3106</v>
          </cell>
          <cell r="J10">
            <v>207.79000000000002</v>
          </cell>
          <cell r="K10">
            <v>204.99600000000001</v>
          </cell>
          <cell r="M10">
            <v>105</v>
          </cell>
          <cell r="N10">
            <v>16.75</v>
          </cell>
          <cell r="P10">
            <v>1.3446267866596135</v>
          </cell>
        </row>
        <row r="11">
          <cell r="E11">
            <v>655</v>
          </cell>
          <cell r="F11">
            <v>4167</v>
          </cell>
          <cell r="J11">
            <v>291.5</v>
          </cell>
          <cell r="K11">
            <v>289.46199999999999</v>
          </cell>
          <cell r="M11">
            <v>158</v>
          </cell>
          <cell r="N11">
            <v>16</v>
          </cell>
          <cell r="P11">
            <v>0.69914236706689914</v>
          </cell>
          <cell r="Q11">
            <v>381.70992366412219</v>
          </cell>
        </row>
        <row r="12">
          <cell r="E12">
            <v>519</v>
          </cell>
          <cell r="F12">
            <v>560</v>
          </cell>
          <cell r="J12">
            <v>45.2</v>
          </cell>
          <cell r="K12">
            <v>44.24</v>
          </cell>
          <cell r="M12">
            <v>120</v>
          </cell>
          <cell r="N12">
            <v>2</v>
          </cell>
          <cell r="P12">
            <v>2.123893805309736</v>
          </cell>
          <cell r="Q12">
            <v>254.68208092485548</v>
          </cell>
        </row>
        <row r="13">
          <cell r="F13">
            <v>564</v>
          </cell>
          <cell r="J13">
            <v>45.2</v>
          </cell>
          <cell r="K13">
            <v>44.555999999999997</v>
          </cell>
          <cell r="M13">
            <v>35</v>
          </cell>
          <cell r="N13">
            <v>2</v>
          </cell>
          <cell r="P13">
            <v>1.4247787610619589</v>
          </cell>
        </row>
        <row r="14">
          <cell r="F14">
            <v>540</v>
          </cell>
          <cell r="J14">
            <v>43.671497584541072</v>
          </cell>
          <cell r="K14">
            <v>42.660000000000004</v>
          </cell>
          <cell r="M14">
            <v>30</v>
          </cell>
          <cell r="N14">
            <v>0.5</v>
          </cell>
          <cell r="P14">
            <v>2.316150442477888</v>
          </cell>
        </row>
        <row r="15">
          <cell r="F15">
            <v>539</v>
          </cell>
          <cell r="J15">
            <v>43.671497584541072</v>
          </cell>
          <cell r="K15">
            <v>42.581000000000003</v>
          </cell>
          <cell r="M15">
            <v>60</v>
          </cell>
          <cell r="P15">
            <v>2.497046460177005</v>
          </cell>
        </row>
        <row r="16">
          <cell r="E16">
            <v>587</v>
          </cell>
          <cell r="F16">
            <v>420</v>
          </cell>
          <cell r="J16">
            <v>285.7</v>
          </cell>
          <cell r="K16">
            <v>282.60399999999998</v>
          </cell>
          <cell r="M16">
            <v>82</v>
          </cell>
          <cell r="N16">
            <v>17.25</v>
          </cell>
          <cell r="P16">
            <v>1.0836541827091368</v>
          </cell>
          <cell r="Q16">
            <v>408.24531516183987</v>
          </cell>
        </row>
        <row r="17">
          <cell r="F17">
            <v>3574</v>
          </cell>
        </row>
        <row r="18">
          <cell r="E18">
            <v>512</v>
          </cell>
          <cell r="F18">
            <v>2468</v>
          </cell>
          <cell r="J18">
            <v>163.69999999999999</v>
          </cell>
          <cell r="K18">
            <v>162.88800000000001</v>
          </cell>
          <cell r="M18">
            <v>17</v>
          </cell>
          <cell r="N18">
            <v>11</v>
          </cell>
          <cell r="P18">
            <v>0.49602932193035032</v>
          </cell>
          <cell r="Q18">
            <v>416.3671875</v>
          </cell>
        </row>
        <row r="19">
          <cell r="F19">
            <v>1085</v>
          </cell>
          <cell r="J19">
            <v>73.099999999999994</v>
          </cell>
          <cell r="K19">
            <v>71.61</v>
          </cell>
          <cell r="M19">
            <v>30</v>
          </cell>
          <cell r="N19">
            <v>9.75</v>
          </cell>
          <cell r="P19">
            <v>2.0383036935704446</v>
          </cell>
        </row>
        <row r="20">
          <cell r="E20">
            <v>650</v>
          </cell>
          <cell r="F20">
            <v>3384</v>
          </cell>
          <cell r="J20">
            <v>253.4</v>
          </cell>
          <cell r="K20">
            <v>251.76959999999997</v>
          </cell>
          <cell r="M20">
            <v>104</v>
          </cell>
          <cell r="N20">
            <v>17</v>
          </cell>
          <cell r="P20">
            <v>0.64340962904500276</v>
          </cell>
          <cell r="Q20">
            <v>312.36923076923074</v>
          </cell>
        </row>
        <row r="21">
          <cell r="E21">
            <v>626</v>
          </cell>
          <cell r="F21">
            <v>3937</v>
          </cell>
          <cell r="H21">
            <v>5</v>
          </cell>
          <cell r="J21">
            <v>261.59999999999997</v>
          </cell>
          <cell r="K21">
            <v>259.84199999999998</v>
          </cell>
          <cell r="M21">
            <v>209</v>
          </cell>
          <cell r="N21">
            <v>23</v>
          </cell>
          <cell r="P21">
            <v>0.67201834862384624</v>
          </cell>
          <cell r="Q21">
            <v>377.34824281150156</v>
          </cell>
        </row>
        <row r="22">
          <cell r="E22">
            <v>824</v>
          </cell>
          <cell r="F22">
            <v>1937</v>
          </cell>
          <cell r="J22">
            <v>128.80000000000001</v>
          </cell>
          <cell r="K22">
            <v>127.84200000000001</v>
          </cell>
          <cell r="M22">
            <v>23</v>
          </cell>
          <cell r="N22">
            <v>7</v>
          </cell>
          <cell r="P22">
            <v>0.74378881987577505</v>
          </cell>
          <cell r="Q22">
            <v>470.75242718446606</v>
          </cell>
        </row>
        <row r="23">
          <cell r="F23">
            <v>4528</v>
          </cell>
          <cell r="J23">
            <v>302.10000000000002</v>
          </cell>
          <cell r="K23">
            <v>298.84800000000001</v>
          </cell>
          <cell r="M23">
            <v>101</v>
          </cell>
          <cell r="N23">
            <v>18</v>
          </cell>
          <cell r="P23">
            <v>1.076464746772595</v>
          </cell>
        </row>
        <row r="24">
          <cell r="E24">
            <v>516</v>
          </cell>
          <cell r="F24">
            <v>1402</v>
          </cell>
          <cell r="J24">
            <v>94</v>
          </cell>
          <cell r="K24">
            <v>92.532000000000011</v>
          </cell>
          <cell r="M24">
            <v>61</v>
          </cell>
          <cell r="N24">
            <v>9</v>
          </cell>
          <cell r="P24">
            <v>1.5617021276595633</v>
          </cell>
          <cell r="Q24">
            <v>374.53488372093022</v>
          </cell>
        </row>
        <row r="25">
          <cell r="F25">
            <v>1819</v>
          </cell>
          <cell r="J25">
            <v>122.95799999999998</v>
          </cell>
          <cell r="K25">
            <v>120.054</v>
          </cell>
          <cell r="M25">
            <v>92</v>
          </cell>
          <cell r="N25">
            <v>7</v>
          </cell>
          <cell r="P25">
            <v>2.3617820719269855</v>
          </cell>
        </row>
        <row r="26">
          <cell r="E26">
            <v>565</v>
          </cell>
          <cell r="F26">
            <v>4093</v>
          </cell>
          <cell r="J26">
            <v>271.5</v>
          </cell>
          <cell r="K26">
            <v>270.13800000000003</v>
          </cell>
          <cell r="M26">
            <v>19</v>
          </cell>
          <cell r="N26">
            <v>10.75</v>
          </cell>
          <cell r="P26">
            <v>0.50165745856352351</v>
          </cell>
          <cell r="Q26">
            <v>501.66371681415933</v>
          </cell>
        </row>
        <row r="27">
          <cell r="F27">
            <v>631</v>
          </cell>
          <cell r="J27">
            <v>42.8</v>
          </cell>
          <cell r="K27">
            <v>41.646000000000001</v>
          </cell>
          <cell r="M27">
            <v>18</v>
          </cell>
          <cell r="N27">
            <v>0.75</v>
          </cell>
          <cell r="P27">
            <v>2.6962616822429823</v>
          </cell>
        </row>
        <row r="28">
          <cell r="E28">
            <v>402</v>
          </cell>
          <cell r="F28">
            <v>2937</v>
          </cell>
          <cell r="J28">
            <v>194.4</v>
          </cell>
          <cell r="K28">
            <v>193.84200000000001</v>
          </cell>
          <cell r="M28">
            <v>77</v>
          </cell>
          <cell r="N28">
            <v>6</v>
          </cell>
          <cell r="P28">
            <v>0.28703703703703332</v>
          </cell>
          <cell r="Q28">
            <v>438.35820895522386</v>
          </cell>
        </row>
        <row r="29">
          <cell r="E29">
            <v>592</v>
          </cell>
          <cell r="F29">
            <v>2507</v>
          </cell>
          <cell r="J29">
            <v>167.49999999999997</v>
          </cell>
          <cell r="K29">
            <v>165.46200000000002</v>
          </cell>
          <cell r="M29">
            <v>130</v>
          </cell>
          <cell r="N29">
            <v>9</v>
          </cell>
          <cell r="P29">
            <v>1.2167164179104204</v>
          </cell>
          <cell r="Q29">
            <v>254.08783783783784</v>
          </cell>
        </row>
        <row r="30">
          <cell r="E30">
            <v>143</v>
          </cell>
          <cell r="F30">
            <v>1254</v>
          </cell>
          <cell r="J30">
            <v>83.9</v>
          </cell>
          <cell r="K30">
            <v>82.76400000000001</v>
          </cell>
          <cell r="M30">
            <v>13</v>
          </cell>
          <cell r="N30">
            <v>7</v>
          </cell>
          <cell r="P30">
            <v>1.3539928486293153</v>
          </cell>
          <cell r="Q30">
            <v>526.15384615384619</v>
          </cell>
        </row>
        <row r="31">
          <cell r="E31">
            <v>609</v>
          </cell>
          <cell r="F31">
            <v>1090</v>
          </cell>
          <cell r="J31">
            <v>74.000000000000014</v>
          </cell>
          <cell r="K31">
            <v>71.94</v>
          </cell>
          <cell r="M31">
            <v>366</v>
          </cell>
          <cell r="N31">
            <v>10</v>
          </cell>
          <cell r="P31">
            <v>2.7837837837838055</v>
          </cell>
          <cell r="Q31">
            <v>107.38916256157636</v>
          </cell>
        </row>
        <row r="32">
          <cell r="E32">
            <v>920</v>
          </cell>
          <cell r="F32">
            <v>97</v>
          </cell>
          <cell r="J32">
            <v>197</v>
          </cell>
          <cell r="K32">
            <v>195.49200000000002</v>
          </cell>
          <cell r="M32">
            <v>135</v>
          </cell>
          <cell r="N32">
            <v>13</v>
          </cell>
          <cell r="P32">
            <v>0.76548223350252853</v>
          </cell>
          <cell r="Q32">
            <v>388.5</v>
          </cell>
        </row>
        <row r="33">
          <cell r="F33">
            <v>2865</v>
          </cell>
        </row>
        <row r="34">
          <cell r="F34">
            <v>2995</v>
          </cell>
          <cell r="J34">
            <v>199.1</v>
          </cell>
          <cell r="K34">
            <v>197.67000000000002</v>
          </cell>
          <cell r="M34">
            <v>107</v>
          </cell>
          <cell r="N34">
            <v>11</v>
          </cell>
          <cell r="P34">
            <v>0.7182320441988842</v>
          </cell>
        </row>
        <row r="35">
          <cell r="E35">
            <v>578</v>
          </cell>
          <cell r="F35">
            <v>3391</v>
          </cell>
          <cell r="J35">
            <v>253.70000000000002</v>
          </cell>
          <cell r="K35">
            <v>252.29039999999998</v>
          </cell>
          <cell r="M35">
            <v>99</v>
          </cell>
          <cell r="N35">
            <v>21</v>
          </cell>
          <cell r="P35">
            <v>0.55561687031929052</v>
          </cell>
          <cell r="Q35">
            <v>352.00692041522495</v>
          </cell>
        </row>
        <row r="36">
          <cell r="E36">
            <v>610</v>
          </cell>
          <cell r="F36">
            <v>4224</v>
          </cell>
          <cell r="J36">
            <v>283.2</v>
          </cell>
          <cell r="K36">
            <v>281.63400000000001</v>
          </cell>
          <cell r="M36">
            <v>179</v>
          </cell>
          <cell r="N36">
            <v>26</v>
          </cell>
          <cell r="P36">
            <v>0.55296610169490612</v>
          </cell>
          <cell r="Q36">
            <v>415.47540983606558</v>
          </cell>
        </row>
        <row r="37">
          <cell r="E37">
            <v>603</v>
          </cell>
          <cell r="F37">
            <v>4142</v>
          </cell>
          <cell r="J37">
            <v>275.89999999999998</v>
          </cell>
          <cell r="K37">
            <v>273.37200000000001</v>
          </cell>
          <cell r="M37">
            <v>63</v>
          </cell>
          <cell r="N37">
            <v>22</v>
          </cell>
          <cell r="P37">
            <v>0.91627401232329231</v>
          </cell>
          <cell r="Q37">
            <v>470.84577114427856</v>
          </cell>
        </row>
        <row r="38">
          <cell r="F38">
            <v>590</v>
          </cell>
          <cell r="H38">
            <v>1</v>
          </cell>
          <cell r="J38">
            <v>49.7</v>
          </cell>
          <cell r="K38">
            <v>48.440000000000005</v>
          </cell>
          <cell r="M38">
            <v>31</v>
          </cell>
          <cell r="N38">
            <v>1</v>
          </cell>
          <cell r="P38">
            <v>2.5352112676056295</v>
          </cell>
        </row>
        <row r="39">
          <cell r="E39">
            <v>752</v>
          </cell>
          <cell r="F39">
            <v>3599</v>
          </cell>
          <cell r="J39">
            <v>239.8</v>
          </cell>
          <cell r="K39">
            <v>237.53400000000002</v>
          </cell>
          <cell r="M39">
            <v>118</v>
          </cell>
          <cell r="N39">
            <v>19</v>
          </cell>
          <cell r="P39">
            <v>0.94495412844036331</v>
          </cell>
          <cell r="Q39">
            <v>409.94680851063828</v>
          </cell>
        </row>
        <row r="40">
          <cell r="F40">
            <v>1539</v>
          </cell>
          <cell r="J40">
            <v>102.8</v>
          </cell>
          <cell r="K40">
            <v>101.574</v>
          </cell>
          <cell r="M40">
            <v>27</v>
          </cell>
          <cell r="N40">
            <v>15</v>
          </cell>
          <cell r="P40">
            <v>1.1926070038910497</v>
          </cell>
        </row>
      </sheetData>
      <sheetData sheetId="8" refreshError="1">
        <row r="8">
          <cell r="E8">
            <v>583</v>
          </cell>
          <cell r="F8">
            <v>4505</v>
          </cell>
          <cell r="J8">
            <v>299.2</v>
          </cell>
          <cell r="K8">
            <v>297.33000000000004</v>
          </cell>
          <cell r="M8">
            <v>80</v>
          </cell>
          <cell r="N8">
            <v>21</v>
          </cell>
          <cell r="P8">
            <v>0.62499999999998246</v>
          </cell>
          <cell r="Q8">
            <v>463.63636363636363</v>
          </cell>
        </row>
        <row r="9">
          <cell r="E9">
            <v>549</v>
          </cell>
          <cell r="F9">
            <v>123</v>
          </cell>
          <cell r="J9">
            <v>9.7170000000000005</v>
          </cell>
          <cell r="K9">
            <v>9.7170000000000005</v>
          </cell>
          <cell r="M9">
            <v>10</v>
          </cell>
          <cell r="P9">
            <v>0</v>
          </cell>
          <cell r="Q9">
            <v>264.04371584699453</v>
          </cell>
        </row>
        <row r="10">
          <cell r="F10">
            <v>564</v>
          </cell>
          <cell r="J10">
            <v>45.2</v>
          </cell>
          <cell r="K10">
            <v>44.555999999999997</v>
          </cell>
          <cell r="M10">
            <v>100</v>
          </cell>
          <cell r="P10">
            <v>1.4247787610619589</v>
          </cell>
        </row>
        <row r="11">
          <cell r="F11">
            <v>1175</v>
          </cell>
          <cell r="J11">
            <v>93.563999999999993</v>
          </cell>
          <cell r="K11">
            <v>92.825000000000003</v>
          </cell>
          <cell r="M11">
            <v>53</v>
          </cell>
          <cell r="P11">
            <v>0.78983369672095061</v>
          </cell>
        </row>
        <row r="12">
          <cell r="F12">
            <v>554</v>
          </cell>
          <cell r="J12">
            <v>45.2</v>
          </cell>
          <cell r="K12">
            <v>43.765999999999998</v>
          </cell>
          <cell r="M12">
            <v>36</v>
          </cell>
          <cell r="P12">
            <v>3.1725663716814263</v>
          </cell>
        </row>
        <row r="13">
          <cell r="E13">
            <v>605</v>
          </cell>
          <cell r="F13">
            <v>4728</v>
          </cell>
          <cell r="J13">
            <v>312.8</v>
          </cell>
          <cell r="K13">
            <v>312.048</v>
          </cell>
          <cell r="M13">
            <v>115</v>
          </cell>
          <cell r="N13">
            <v>18</v>
          </cell>
          <cell r="P13">
            <v>0.24040920716112837</v>
          </cell>
          <cell r="Q13">
            <v>468.89256198347107</v>
          </cell>
        </row>
        <row r="14">
          <cell r="E14">
            <v>612</v>
          </cell>
          <cell r="F14">
            <v>5009</v>
          </cell>
          <cell r="J14">
            <v>343.00000000000006</v>
          </cell>
          <cell r="K14">
            <v>340.09399999999999</v>
          </cell>
          <cell r="M14">
            <v>73</v>
          </cell>
          <cell r="N14">
            <v>31</v>
          </cell>
          <cell r="P14">
            <v>0.84723032069972648</v>
          </cell>
          <cell r="Q14">
            <v>491.07843137254906</v>
          </cell>
        </row>
        <row r="15">
          <cell r="E15">
            <v>512</v>
          </cell>
          <cell r="F15">
            <v>4243</v>
          </cell>
          <cell r="J15">
            <v>283.10000000000002</v>
          </cell>
          <cell r="K15">
            <v>280.988</v>
          </cell>
          <cell r="M15">
            <v>65</v>
          </cell>
          <cell r="N15">
            <v>15</v>
          </cell>
          <cell r="P15">
            <v>0.74602613917344507</v>
          </cell>
          <cell r="Q15">
            <v>497.2265625</v>
          </cell>
        </row>
        <row r="16">
          <cell r="E16">
            <v>617</v>
          </cell>
          <cell r="F16">
            <v>4511</v>
          </cell>
          <cell r="J16">
            <v>300.8</v>
          </cell>
          <cell r="K16">
            <v>297.726</v>
          </cell>
          <cell r="M16">
            <v>119</v>
          </cell>
          <cell r="N16">
            <v>16</v>
          </cell>
          <cell r="P16">
            <v>1.0219414893617063</v>
          </cell>
          <cell r="Q16">
            <v>438.67098865478118</v>
          </cell>
        </row>
        <row r="17">
          <cell r="E17">
            <v>526</v>
          </cell>
          <cell r="F17">
            <v>4411</v>
          </cell>
          <cell r="J17">
            <v>293.3</v>
          </cell>
          <cell r="K17">
            <v>291.12600000000003</v>
          </cell>
          <cell r="M17">
            <v>31</v>
          </cell>
          <cell r="N17">
            <v>10</v>
          </cell>
          <cell r="P17">
            <v>0.7412205932492254</v>
          </cell>
          <cell r="Q17">
            <v>503.15589353612165</v>
          </cell>
        </row>
        <row r="18">
          <cell r="E18">
            <v>496</v>
          </cell>
          <cell r="F18">
            <v>4268</v>
          </cell>
          <cell r="J18">
            <v>285.7</v>
          </cell>
          <cell r="K18">
            <v>283.58799999999997</v>
          </cell>
          <cell r="M18">
            <v>52</v>
          </cell>
          <cell r="N18">
            <v>21</v>
          </cell>
          <cell r="P18">
            <v>0.7392369618481005</v>
          </cell>
          <cell r="Q18">
            <v>516.29032258064512</v>
          </cell>
        </row>
        <row r="19">
          <cell r="E19">
            <v>542</v>
          </cell>
          <cell r="F19">
            <v>3352</v>
          </cell>
          <cell r="J19">
            <v>254.4</v>
          </cell>
          <cell r="K19">
            <v>249.38879999999997</v>
          </cell>
          <cell r="M19">
            <v>151</v>
          </cell>
          <cell r="N19">
            <v>41</v>
          </cell>
          <cell r="P19">
            <v>1.9698113207547292</v>
          </cell>
          <cell r="Q19">
            <v>371.07011070110701</v>
          </cell>
        </row>
        <row r="20">
          <cell r="E20">
            <v>554</v>
          </cell>
          <cell r="F20">
            <v>4090</v>
          </cell>
          <cell r="J20">
            <v>281</v>
          </cell>
          <cell r="K20">
            <v>279.44</v>
          </cell>
          <cell r="M20">
            <v>124</v>
          </cell>
          <cell r="N20">
            <v>21</v>
          </cell>
          <cell r="P20">
            <v>0.55516014234875533</v>
          </cell>
          <cell r="Q20">
            <v>442.9602888086643</v>
          </cell>
        </row>
        <row r="21">
          <cell r="E21">
            <v>742</v>
          </cell>
          <cell r="F21">
            <v>3649</v>
          </cell>
          <cell r="J21">
            <v>328.1</v>
          </cell>
          <cell r="K21">
            <v>327.55799999999999</v>
          </cell>
          <cell r="M21">
            <v>82</v>
          </cell>
          <cell r="N21">
            <v>29</v>
          </cell>
          <cell r="P21">
            <v>0.16519353855532765</v>
          </cell>
          <cell r="Q21">
            <v>401.32075471698113</v>
          </cell>
        </row>
        <row r="22">
          <cell r="F22">
            <v>1314</v>
          </cell>
        </row>
        <row r="23">
          <cell r="E23">
            <v>598</v>
          </cell>
          <cell r="F23">
            <v>1087</v>
          </cell>
          <cell r="J23">
            <v>73.2</v>
          </cell>
          <cell r="K23">
            <v>71.742000000000004</v>
          </cell>
          <cell r="M23">
            <v>16</v>
          </cell>
          <cell r="N23">
            <v>8</v>
          </cell>
          <cell r="P23">
            <v>1.9918032786885222</v>
          </cell>
          <cell r="Q23">
            <v>379.76588628762539</v>
          </cell>
        </row>
        <row r="24">
          <cell r="F24">
            <v>1454</v>
          </cell>
          <cell r="J24">
            <v>98.6</v>
          </cell>
          <cell r="K24">
            <v>95.963999999999999</v>
          </cell>
          <cell r="M24">
            <v>41</v>
          </cell>
          <cell r="N24">
            <v>11</v>
          </cell>
          <cell r="P24">
            <v>2.6734279918864052</v>
          </cell>
        </row>
        <row r="25">
          <cell r="F25">
            <v>1244</v>
          </cell>
          <cell r="J25">
            <v>83.7</v>
          </cell>
          <cell r="K25">
            <v>82.103999999999999</v>
          </cell>
          <cell r="M25">
            <v>58</v>
          </cell>
          <cell r="N25">
            <v>8</v>
          </cell>
          <cell r="P25">
            <v>1.9068100358422984</v>
          </cell>
        </row>
        <row r="26">
          <cell r="E26">
            <v>630</v>
          </cell>
          <cell r="F26">
            <v>212</v>
          </cell>
          <cell r="H26">
            <v>6</v>
          </cell>
          <cell r="J26">
            <v>16.748000000000001</v>
          </cell>
          <cell r="K26">
            <v>16.748000000000001</v>
          </cell>
          <cell r="M26">
            <v>5</v>
          </cell>
          <cell r="N26">
            <v>14</v>
          </cell>
          <cell r="P26">
            <v>0</v>
          </cell>
          <cell r="Q26">
            <v>402</v>
          </cell>
        </row>
        <row r="27">
          <cell r="F27">
            <v>1140</v>
          </cell>
          <cell r="J27">
            <v>90.4</v>
          </cell>
          <cell r="K27">
            <v>90.06</v>
          </cell>
          <cell r="M27">
            <v>57</v>
          </cell>
          <cell r="P27">
            <v>0.37610619469026924</v>
          </cell>
        </row>
        <row r="28">
          <cell r="F28">
            <v>1170</v>
          </cell>
          <cell r="J28">
            <v>93.563999999999993</v>
          </cell>
          <cell r="K28">
            <v>92.43</v>
          </cell>
          <cell r="M28">
            <v>24</v>
          </cell>
          <cell r="P28">
            <v>1.2120046171604317</v>
          </cell>
        </row>
        <row r="29">
          <cell r="F29">
            <v>564</v>
          </cell>
          <cell r="J29">
            <v>45.2</v>
          </cell>
          <cell r="K29">
            <v>44.555999999999997</v>
          </cell>
          <cell r="M29">
            <v>21</v>
          </cell>
          <cell r="P29">
            <v>1.4247787610619589</v>
          </cell>
        </row>
        <row r="30">
          <cell r="F30">
            <v>1135</v>
          </cell>
          <cell r="J30">
            <v>90.4</v>
          </cell>
          <cell r="K30">
            <v>89.665000000000006</v>
          </cell>
          <cell r="M30">
            <v>36</v>
          </cell>
          <cell r="P30">
            <v>0.81305309734513198</v>
          </cell>
        </row>
        <row r="31">
          <cell r="E31">
            <v>550</v>
          </cell>
          <cell r="F31">
            <v>4560</v>
          </cell>
          <cell r="J31">
            <v>302.39999999999998</v>
          </cell>
          <cell r="K31">
            <v>300.96000000000004</v>
          </cell>
          <cell r="M31">
            <v>36</v>
          </cell>
          <cell r="N31">
            <v>14</v>
          </cell>
          <cell r="P31">
            <v>0.47619047619045674</v>
          </cell>
          <cell r="Q31">
            <v>497.4545454545455</v>
          </cell>
        </row>
        <row r="32">
          <cell r="E32">
            <v>610</v>
          </cell>
          <cell r="F32">
            <v>3804</v>
          </cell>
          <cell r="J32">
            <v>255.90000000000003</v>
          </cell>
          <cell r="K32">
            <v>253.91400000000002</v>
          </cell>
          <cell r="M32">
            <v>64</v>
          </cell>
          <cell r="N32">
            <v>30</v>
          </cell>
          <cell r="P32">
            <v>0.77608440797187106</v>
          </cell>
          <cell r="Q32">
            <v>440.45901639344265</v>
          </cell>
        </row>
        <row r="33">
          <cell r="F33">
            <v>674</v>
          </cell>
          <cell r="J33">
            <v>56.3</v>
          </cell>
          <cell r="K33">
            <v>53.984000000000002</v>
          </cell>
          <cell r="M33">
            <v>16</v>
          </cell>
          <cell r="N33">
            <v>2</v>
          </cell>
          <cell r="P33">
            <v>4.1136767317939524</v>
          </cell>
        </row>
        <row r="34">
          <cell r="E34">
            <v>612</v>
          </cell>
          <cell r="F34">
            <v>3414</v>
          </cell>
          <cell r="J34">
            <v>227.89999999999998</v>
          </cell>
          <cell r="K34">
            <v>225.32400000000001</v>
          </cell>
          <cell r="M34">
            <v>62</v>
          </cell>
          <cell r="N34">
            <v>9.25</v>
          </cell>
          <cell r="P34">
            <v>1.1303203159280235</v>
          </cell>
          <cell r="Q34">
            <v>419.70588235294122</v>
          </cell>
        </row>
        <row r="35">
          <cell r="F35">
            <v>867</v>
          </cell>
          <cell r="J35">
            <v>59.1</v>
          </cell>
          <cell r="K35">
            <v>57.222000000000001</v>
          </cell>
          <cell r="M35">
            <v>57</v>
          </cell>
          <cell r="N35">
            <v>2.5</v>
          </cell>
          <cell r="P35">
            <v>3.1776649746192898</v>
          </cell>
        </row>
        <row r="36">
          <cell r="E36">
            <v>597</v>
          </cell>
          <cell r="F36">
            <v>1616</v>
          </cell>
          <cell r="J36">
            <v>108.89999999999999</v>
          </cell>
          <cell r="K36">
            <v>106.65600000000001</v>
          </cell>
          <cell r="M36">
            <v>380</v>
          </cell>
          <cell r="N36">
            <v>17.25</v>
          </cell>
          <cell r="P36">
            <v>2.0606060606060477</v>
          </cell>
          <cell r="Q36">
            <v>162.41206030150755</v>
          </cell>
        </row>
        <row r="37">
          <cell r="E37">
            <v>610</v>
          </cell>
          <cell r="F37">
            <v>4744</v>
          </cell>
          <cell r="H37">
            <v>3</v>
          </cell>
          <cell r="J37">
            <v>315</v>
          </cell>
          <cell r="K37">
            <v>313.10400000000004</v>
          </cell>
          <cell r="M37">
            <v>87</v>
          </cell>
          <cell r="N37">
            <v>16</v>
          </cell>
          <cell r="P37">
            <v>0.60190476190474862</v>
          </cell>
          <cell r="Q37">
            <v>466.62295081967216</v>
          </cell>
        </row>
        <row r="38">
          <cell r="E38">
            <v>594</v>
          </cell>
          <cell r="F38">
            <v>1465</v>
          </cell>
          <cell r="J38">
            <v>97.7</v>
          </cell>
          <cell r="K38">
            <v>96.69</v>
          </cell>
          <cell r="M38">
            <v>37</v>
          </cell>
          <cell r="N38">
            <v>5.75</v>
          </cell>
          <cell r="P38">
            <v>1.0337768679631578</v>
          </cell>
          <cell r="Q38">
            <v>329.8989898989899</v>
          </cell>
        </row>
        <row r="39">
          <cell r="F39">
            <v>1801</v>
          </cell>
          <cell r="J39">
            <v>122.95799999999998</v>
          </cell>
          <cell r="K39">
            <v>118.866</v>
          </cell>
          <cell r="M39">
            <v>165</v>
          </cell>
          <cell r="N39">
            <v>4.75</v>
          </cell>
          <cell r="P39">
            <v>3.3279656468062142</v>
          </cell>
        </row>
      </sheetData>
      <sheetData sheetId="9" refreshError="1">
        <row r="8">
          <cell r="E8">
            <v>601</v>
          </cell>
          <cell r="F8">
            <v>4447</v>
          </cell>
          <cell r="J8">
            <v>303.69999999999993</v>
          </cell>
          <cell r="K8">
            <v>303.00200000000001</v>
          </cell>
          <cell r="M8">
            <v>114</v>
          </cell>
          <cell r="N8">
            <v>12.25</v>
          </cell>
          <cell r="P8">
            <v>0.22983207112279302</v>
          </cell>
          <cell r="Q8">
            <v>443.96006655574041</v>
          </cell>
        </row>
        <row r="9">
          <cell r="E9">
            <v>501</v>
          </cell>
          <cell r="F9">
            <v>4204</v>
          </cell>
          <cell r="J9">
            <v>278.8</v>
          </cell>
          <cell r="K9">
            <v>277.464</v>
          </cell>
          <cell r="M9">
            <v>50</v>
          </cell>
          <cell r="N9">
            <v>10</v>
          </cell>
          <cell r="P9">
            <v>0.47919655667145361</v>
          </cell>
          <cell r="Q9">
            <v>503.4730538922156</v>
          </cell>
        </row>
        <row r="10">
          <cell r="E10">
            <v>550</v>
          </cell>
          <cell r="F10">
            <v>3882</v>
          </cell>
          <cell r="J10">
            <v>259.7</v>
          </cell>
          <cell r="K10">
            <v>259.06200000000001</v>
          </cell>
          <cell r="M10">
            <v>112</v>
          </cell>
          <cell r="N10">
            <v>9.5</v>
          </cell>
          <cell r="P10">
            <v>0.24566807855216666</v>
          </cell>
          <cell r="Q10">
            <v>423.4909090909091</v>
          </cell>
        </row>
        <row r="11">
          <cell r="E11">
            <v>602</v>
          </cell>
          <cell r="F11">
            <v>372</v>
          </cell>
          <cell r="J11">
            <v>26.2</v>
          </cell>
          <cell r="K11">
            <v>24.552</v>
          </cell>
          <cell r="M11">
            <v>110</v>
          </cell>
          <cell r="N11">
            <v>5</v>
          </cell>
          <cell r="P11">
            <v>6.2900763358778615</v>
          </cell>
          <cell r="Q11">
            <v>311.36212624584721</v>
          </cell>
        </row>
        <row r="12">
          <cell r="F12">
            <v>2752</v>
          </cell>
          <cell r="J12">
            <v>182.29999999999998</v>
          </cell>
          <cell r="K12">
            <v>181.63200000000001</v>
          </cell>
          <cell r="M12">
            <v>46</v>
          </cell>
          <cell r="N12">
            <v>5.25</v>
          </cell>
          <cell r="P12">
            <v>0.36642896324738233</v>
          </cell>
        </row>
        <row r="13">
          <cell r="E13">
            <v>300</v>
          </cell>
          <cell r="F13">
            <v>2375</v>
          </cell>
          <cell r="J13">
            <v>157.6</v>
          </cell>
          <cell r="K13">
            <v>156.75</v>
          </cell>
          <cell r="M13">
            <v>10</v>
          </cell>
          <cell r="N13">
            <v>14</v>
          </cell>
          <cell r="P13">
            <v>0.53934010152283907</v>
          </cell>
          <cell r="Q13">
            <v>475</v>
          </cell>
        </row>
        <row r="14">
          <cell r="E14">
            <v>520</v>
          </cell>
          <cell r="F14">
            <v>1398</v>
          </cell>
          <cell r="J14">
            <v>106.9</v>
          </cell>
          <cell r="K14">
            <v>104.01119999999999</v>
          </cell>
          <cell r="M14">
            <v>265</v>
          </cell>
          <cell r="N14">
            <v>10</v>
          </cell>
          <cell r="P14">
            <v>2.7023386342376212</v>
          </cell>
          <cell r="Q14">
            <v>161.30769230769232</v>
          </cell>
        </row>
        <row r="15">
          <cell r="E15">
            <v>488</v>
          </cell>
          <cell r="F15">
            <v>1941</v>
          </cell>
          <cell r="J15">
            <v>146.4</v>
          </cell>
          <cell r="K15">
            <v>144.41039999999998</v>
          </cell>
          <cell r="M15">
            <v>192</v>
          </cell>
          <cell r="N15">
            <v>13</v>
          </cell>
          <cell r="P15">
            <v>1.3590163934426394</v>
          </cell>
          <cell r="Q15">
            <v>238.64754098360658</v>
          </cell>
        </row>
        <row r="16">
          <cell r="E16">
            <v>608</v>
          </cell>
          <cell r="F16">
            <v>4656</v>
          </cell>
          <cell r="J16">
            <v>325.09999999999997</v>
          </cell>
          <cell r="K16">
            <v>321.54599999999999</v>
          </cell>
          <cell r="M16">
            <v>55</v>
          </cell>
          <cell r="N16">
            <v>8</v>
          </cell>
          <cell r="P16">
            <v>1.0932020916640952</v>
          </cell>
          <cell r="Q16">
            <v>459.47368421052636</v>
          </cell>
        </row>
        <row r="17">
          <cell r="E17">
            <v>607</v>
          </cell>
          <cell r="F17">
            <v>2004</v>
          </cell>
          <cell r="J17">
            <v>133</v>
          </cell>
          <cell r="K17">
            <v>132.26400000000001</v>
          </cell>
          <cell r="M17">
            <v>65</v>
          </cell>
          <cell r="N17">
            <v>6</v>
          </cell>
          <cell r="P17">
            <v>0.55338345864660909</v>
          </cell>
          <cell r="Q17">
            <v>431.76276771004939</v>
          </cell>
        </row>
        <row r="18">
          <cell r="F18">
            <v>2364</v>
          </cell>
          <cell r="H18">
            <v>2</v>
          </cell>
          <cell r="J18">
            <v>159.9</v>
          </cell>
          <cell r="K18">
            <v>158.874</v>
          </cell>
          <cell r="M18">
            <v>47</v>
          </cell>
          <cell r="N18">
            <v>8.75</v>
          </cell>
          <cell r="P18">
            <v>0.64165103189494088</v>
          </cell>
        </row>
        <row r="19">
          <cell r="E19">
            <v>394</v>
          </cell>
          <cell r="F19">
            <v>3354</v>
          </cell>
          <cell r="J19">
            <v>221.89999999999998</v>
          </cell>
          <cell r="K19">
            <v>221.364</v>
          </cell>
          <cell r="M19">
            <v>12</v>
          </cell>
          <cell r="N19">
            <v>8.75</v>
          </cell>
          <cell r="P19">
            <v>0.24155024785938395</v>
          </cell>
          <cell r="Q19">
            <v>510.76142131979697</v>
          </cell>
        </row>
        <row r="20">
          <cell r="E20">
            <v>575</v>
          </cell>
          <cell r="F20">
            <v>3825</v>
          </cell>
          <cell r="J20">
            <v>257.09999999999997</v>
          </cell>
          <cell r="K20">
            <v>252.45000000000002</v>
          </cell>
          <cell r="M20">
            <v>105</v>
          </cell>
          <cell r="N20">
            <v>13.5</v>
          </cell>
          <cell r="P20">
            <v>1.8086347724620575</v>
          </cell>
          <cell r="Q20">
            <v>399.13043478260869</v>
          </cell>
        </row>
        <row r="21">
          <cell r="E21">
            <v>625</v>
          </cell>
          <cell r="F21">
            <v>2816</v>
          </cell>
          <cell r="J21">
            <v>189.3</v>
          </cell>
          <cell r="K21">
            <v>188.70599999999999</v>
          </cell>
          <cell r="M21">
            <v>57</v>
          </cell>
          <cell r="N21">
            <v>9.75</v>
          </cell>
          <cell r="P21">
            <v>0.31378763866879161</v>
          </cell>
          <cell r="Q21">
            <v>418.36800000000005</v>
          </cell>
        </row>
        <row r="22">
          <cell r="F22">
            <v>1542</v>
          </cell>
          <cell r="J22">
            <v>132.5</v>
          </cell>
          <cell r="K22">
            <v>130.27199999999999</v>
          </cell>
          <cell r="M22">
            <v>14</v>
          </cell>
          <cell r="N22">
            <v>1.75</v>
          </cell>
          <cell r="P22">
            <v>1.6815094339622707</v>
          </cell>
        </row>
        <row r="23">
          <cell r="E23">
            <v>603</v>
          </cell>
          <cell r="F23">
            <v>5332</v>
          </cell>
          <cell r="J23">
            <v>354.09999999999997</v>
          </cell>
          <cell r="K23">
            <v>351.91200000000003</v>
          </cell>
          <cell r="M23">
            <v>26</v>
          </cell>
          <cell r="N23">
            <v>11.33</v>
          </cell>
          <cell r="P23">
            <v>0.61790454673819029</v>
          </cell>
          <cell r="Q23">
            <v>530.54726368159197</v>
          </cell>
        </row>
        <row r="24">
          <cell r="E24">
            <v>517</v>
          </cell>
          <cell r="F24">
            <v>1215</v>
          </cell>
          <cell r="J24">
            <v>170.8</v>
          </cell>
          <cell r="K24">
            <v>169.554</v>
          </cell>
          <cell r="M24">
            <v>132</v>
          </cell>
          <cell r="N24">
            <v>30.75</v>
          </cell>
          <cell r="P24">
            <v>0.72950819672131695</v>
          </cell>
          <cell r="Q24">
            <v>298.14313346228238</v>
          </cell>
        </row>
        <row r="25">
          <cell r="F25">
            <v>1354</v>
          </cell>
        </row>
        <row r="26">
          <cell r="E26">
            <v>732</v>
          </cell>
          <cell r="F26">
            <v>4010</v>
          </cell>
          <cell r="J26">
            <v>267.10000000000002</v>
          </cell>
          <cell r="K26">
            <v>264.66000000000003</v>
          </cell>
          <cell r="M26">
            <v>71</v>
          </cell>
          <cell r="N26">
            <v>14</v>
          </cell>
          <cell r="P26">
            <v>0.91351553725196455</v>
          </cell>
          <cell r="Q26">
            <v>444.75409836065575</v>
          </cell>
        </row>
        <row r="27">
          <cell r="F27">
            <v>1416</v>
          </cell>
          <cell r="J27">
            <v>96.9</v>
          </cell>
          <cell r="K27">
            <v>93.456000000000003</v>
          </cell>
          <cell r="M27">
            <v>45</v>
          </cell>
          <cell r="N27">
            <v>7</v>
          </cell>
          <cell r="P27">
            <v>3.5541795665634703</v>
          </cell>
        </row>
        <row r="28">
          <cell r="E28">
            <v>598</v>
          </cell>
          <cell r="F28">
            <v>1702</v>
          </cell>
          <cell r="J28">
            <v>117.9</v>
          </cell>
          <cell r="K28">
            <v>115.182</v>
          </cell>
          <cell r="M28">
            <v>381</v>
          </cell>
          <cell r="N28">
            <v>7.25</v>
          </cell>
          <cell r="P28">
            <v>2.3053435114503844</v>
          </cell>
          <cell r="Q28">
            <v>170.76923076923077</v>
          </cell>
        </row>
        <row r="29">
          <cell r="E29">
            <v>795</v>
          </cell>
          <cell r="F29">
            <v>5276</v>
          </cell>
          <cell r="J29">
            <v>350.29999999999995</v>
          </cell>
          <cell r="K29">
            <v>348.21600000000001</v>
          </cell>
          <cell r="M29">
            <v>88</v>
          </cell>
          <cell r="N29">
            <v>27.5</v>
          </cell>
          <cell r="P29">
            <v>0.59491864116470072</v>
          </cell>
          <cell r="Q29">
            <v>398.18867924528303</v>
          </cell>
        </row>
        <row r="30">
          <cell r="E30">
            <v>589</v>
          </cell>
          <cell r="F30">
            <v>2893</v>
          </cell>
          <cell r="J30">
            <v>194.09999999999997</v>
          </cell>
          <cell r="K30">
            <v>190.93800000000002</v>
          </cell>
          <cell r="M30">
            <v>217</v>
          </cell>
          <cell r="N30">
            <v>13.25</v>
          </cell>
          <cell r="P30">
            <v>1.6290571870169757</v>
          </cell>
          <cell r="Q30">
            <v>294.70288624787776</v>
          </cell>
        </row>
        <row r="31">
          <cell r="E31">
            <v>596</v>
          </cell>
          <cell r="F31">
            <v>507</v>
          </cell>
          <cell r="J31">
            <v>34.5</v>
          </cell>
          <cell r="K31">
            <v>33.462000000000003</v>
          </cell>
          <cell r="M31">
            <v>507</v>
          </cell>
          <cell r="N31">
            <v>5.5</v>
          </cell>
          <cell r="P31">
            <v>3.0086956521739037</v>
          </cell>
          <cell r="Q31">
            <v>51.040268456375834</v>
          </cell>
        </row>
      </sheetData>
      <sheetData sheetId="10" refreshError="1">
        <row r="8">
          <cell r="E8">
            <v>615</v>
          </cell>
          <cell r="F8">
            <v>780</v>
          </cell>
          <cell r="H8"/>
          <cell r="M8">
            <v>84</v>
          </cell>
          <cell r="N8">
            <v>8</v>
          </cell>
          <cell r="P8">
            <v>3.2330827067669148</v>
          </cell>
          <cell r="Q8">
            <v>198.73170731707316</v>
          </cell>
        </row>
        <row r="9">
          <cell r="F9">
            <v>1257</v>
          </cell>
          <cell r="H9"/>
          <cell r="M9">
            <v>155</v>
          </cell>
          <cell r="N9">
            <v>8.25</v>
          </cell>
          <cell r="P9">
            <v>1.936170212765947</v>
          </cell>
        </row>
        <row r="10">
          <cell r="E10">
            <v>608</v>
          </cell>
          <cell r="F10">
            <v>5359</v>
          </cell>
          <cell r="H10"/>
          <cell r="M10">
            <v>67</v>
          </cell>
          <cell r="N10">
            <v>25</v>
          </cell>
          <cell r="P10">
            <v>0.41294214422814052</v>
          </cell>
          <cell r="Q10">
            <v>528.84868421052636</v>
          </cell>
        </row>
        <row r="11">
          <cell r="E11">
            <v>765</v>
          </cell>
          <cell r="F11">
            <v>5883</v>
          </cell>
          <cell r="H11"/>
          <cell r="M11">
            <v>185</v>
          </cell>
          <cell r="N11">
            <v>25.25</v>
          </cell>
          <cell r="P11">
            <v>0.15993828747748964</v>
          </cell>
          <cell r="Q11">
            <v>461.41176470588238</v>
          </cell>
        </row>
        <row r="12">
          <cell r="E12">
            <v>755</v>
          </cell>
          <cell r="F12">
            <v>5739</v>
          </cell>
          <cell r="H12"/>
          <cell r="M12">
            <v>112</v>
          </cell>
          <cell r="N12">
            <v>17.25</v>
          </cell>
          <cell r="P12">
            <v>0.42744479495267523</v>
          </cell>
          <cell r="Q12">
            <v>456.07947019867549</v>
          </cell>
        </row>
        <row r="13">
          <cell r="E13">
            <v>635</v>
          </cell>
          <cell r="F13">
            <v>3753</v>
          </cell>
          <cell r="H13"/>
          <cell r="M13">
            <v>556</v>
          </cell>
          <cell r="N13">
            <v>29</v>
          </cell>
          <cell r="P13">
            <v>0.88989784335983046</v>
          </cell>
          <cell r="Q13">
            <v>354.61417322834643</v>
          </cell>
        </row>
        <row r="14">
          <cell r="E14">
            <v>894</v>
          </cell>
          <cell r="F14">
            <v>3404</v>
          </cell>
          <cell r="H14"/>
          <cell r="M14">
            <v>139</v>
          </cell>
          <cell r="N14">
            <v>9.75</v>
          </cell>
          <cell r="P14">
            <v>0.37073170731706623</v>
          </cell>
          <cell r="Q14">
            <v>432.88590604026842</v>
          </cell>
        </row>
        <row r="15">
          <cell r="F15">
            <v>3046</v>
          </cell>
          <cell r="H15"/>
          <cell r="M15">
            <v>21</v>
          </cell>
          <cell r="N15">
            <v>8.25</v>
          </cell>
          <cell r="P15">
            <v>0.27976190476191531</v>
          </cell>
        </row>
        <row r="16">
          <cell r="E16">
            <v>919</v>
          </cell>
          <cell r="F16">
            <v>7747</v>
          </cell>
          <cell r="H16"/>
          <cell r="M16">
            <v>70</v>
          </cell>
          <cell r="N16">
            <v>29.75</v>
          </cell>
          <cell r="P16">
            <v>0.33882535375073597</v>
          </cell>
          <cell r="Q16">
            <v>505.78890097932538</v>
          </cell>
        </row>
        <row r="17">
          <cell r="E17">
            <v>541</v>
          </cell>
          <cell r="F17">
            <v>4310</v>
          </cell>
          <cell r="H17">
            <v>63</v>
          </cell>
          <cell r="M17">
            <v>108</v>
          </cell>
          <cell r="N17">
            <v>15</v>
          </cell>
          <cell r="P17">
            <v>1.0917941585535222</v>
          </cell>
          <cell r="Q17">
            <v>478.00369685767095</v>
          </cell>
        </row>
        <row r="18">
          <cell r="E18">
            <v>403</v>
          </cell>
          <cell r="F18">
            <v>1799</v>
          </cell>
          <cell r="H18"/>
          <cell r="M18">
            <v>181</v>
          </cell>
          <cell r="N18">
            <v>6.5</v>
          </cell>
          <cell r="P18">
            <v>5.5555555555545699E-2</v>
          </cell>
          <cell r="Q18">
            <v>267.84119106699751</v>
          </cell>
        </row>
        <row r="19">
          <cell r="E19">
            <v>903</v>
          </cell>
          <cell r="F19">
            <v>3985</v>
          </cell>
          <cell r="H19"/>
          <cell r="M19">
            <v>79</v>
          </cell>
          <cell r="N19">
            <v>18.75</v>
          </cell>
          <cell r="P19">
            <v>0.33724895793860798</v>
          </cell>
          <cell r="Q19">
            <v>484.11960132890363</v>
          </cell>
        </row>
        <row r="20">
          <cell r="F20">
            <v>3301</v>
          </cell>
          <cell r="H20"/>
          <cell r="M20">
            <v>41</v>
          </cell>
          <cell r="N20">
            <v>11.83</v>
          </cell>
          <cell r="P20">
            <v>0.99776686020542749</v>
          </cell>
        </row>
        <row r="21">
          <cell r="E21">
            <v>649</v>
          </cell>
          <cell r="F21">
            <v>2411</v>
          </cell>
          <cell r="H21"/>
          <cell r="M21">
            <v>57</v>
          </cell>
          <cell r="N21">
            <v>15</v>
          </cell>
          <cell r="P21">
            <v>0.67041198501871657</v>
          </cell>
          <cell r="Q21">
            <v>457.44221879815103</v>
          </cell>
        </row>
        <row r="22">
          <cell r="F22">
            <v>2537</v>
          </cell>
          <cell r="H22"/>
          <cell r="M22">
            <v>290</v>
          </cell>
          <cell r="N22">
            <v>21.75</v>
          </cell>
          <cell r="P22">
            <v>0.86323268206037318</v>
          </cell>
        </row>
        <row r="23">
          <cell r="E23">
            <v>681</v>
          </cell>
          <cell r="F23">
            <v>5199</v>
          </cell>
          <cell r="H23"/>
          <cell r="M23">
            <v>162</v>
          </cell>
          <cell r="N23">
            <v>15.16</v>
          </cell>
          <cell r="P23">
            <v>7.3399558498885964E-2</v>
          </cell>
          <cell r="Q23">
            <v>458.0616740088106</v>
          </cell>
        </row>
        <row r="24">
          <cell r="E24">
            <v>590</v>
          </cell>
          <cell r="F24">
            <v>5123</v>
          </cell>
          <cell r="H24"/>
          <cell r="M24">
            <v>46</v>
          </cell>
          <cell r="N24">
            <v>28.5</v>
          </cell>
          <cell r="P24">
            <v>0.75785148224244014</v>
          </cell>
          <cell r="Q24">
            <v>520.98305084745755</v>
          </cell>
        </row>
        <row r="25">
          <cell r="E25">
            <v>696</v>
          </cell>
          <cell r="F25">
            <v>4148</v>
          </cell>
          <cell r="H25">
            <v>21</v>
          </cell>
          <cell r="M25">
            <v>83</v>
          </cell>
          <cell r="N25">
            <v>23</v>
          </cell>
          <cell r="P25">
            <v>0.76810289389067632</v>
          </cell>
          <cell r="Q25">
            <v>357.58620689655174</v>
          </cell>
        </row>
        <row r="26">
          <cell r="E26">
            <v>666</v>
          </cell>
          <cell r="F26">
            <v>1109</v>
          </cell>
          <cell r="H26"/>
          <cell r="M26">
            <v>94</v>
          </cell>
          <cell r="N26">
            <v>3.75</v>
          </cell>
          <cell r="P26">
            <v>3.0851769911504441</v>
          </cell>
          <cell r="Q26">
            <v>350.99099099099101</v>
          </cell>
        </row>
        <row r="27">
          <cell r="F27">
            <v>1137</v>
          </cell>
          <cell r="H27"/>
          <cell r="M27">
            <v>31</v>
          </cell>
          <cell r="N27">
            <v>1</v>
          </cell>
          <cell r="P27">
            <v>0.63827433628318386</v>
          </cell>
        </row>
        <row r="28">
          <cell r="F28">
            <v>540</v>
          </cell>
          <cell r="H28"/>
          <cell r="M28">
            <v>27</v>
          </cell>
          <cell r="N28">
            <v>1.75</v>
          </cell>
          <cell r="P28">
            <v>5.6194690265486704</v>
          </cell>
        </row>
        <row r="29">
          <cell r="F29">
            <v>578</v>
          </cell>
          <cell r="H29"/>
          <cell r="M29">
            <v>26</v>
          </cell>
          <cell r="N29">
            <v>1.5</v>
          </cell>
          <cell r="P29">
            <v>2.3940831943909999</v>
          </cell>
        </row>
        <row r="30">
          <cell r="F30">
            <v>532</v>
          </cell>
          <cell r="H30"/>
          <cell r="M30">
            <v>27</v>
          </cell>
          <cell r="N30"/>
          <cell r="P30">
            <v>7.0176991150442571</v>
          </cell>
        </row>
        <row r="31">
          <cell r="E31">
            <v>608</v>
          </cell>
          <cell r="F31">
            <v>4722.75</v>
          </cell>
          <cell r="H31"/>
          <cell r="M31">
            <v>141</v>
          </cell>
          <cell r="N31">
            <v>22.25</v>
          </cell>
          <cell r="P31">
            <v>0.69200503619764264</v>
          </cell>
          <cell r="Q31">
            <v>466.06085526315792</v>
          </cell>
        </row>
        <row r="32">
          <cell r="E32">
            <v>628</v>
          </cell>
          <cell r="F32">
            <v>6109</v>
          </cell>
          <cell r="H32"/>
          <cell r="M32">
            <v>52</v>
          </cell>
          <cell r="N32">
            <v>46.5</v>
          </cell>
          <cell r="P32">
            <v>0.6911330049261043</v>
          </cell>
          <cell r="Q32">
            <v>583.66242038216558</v>
          </cell>
        </row>
        <row r="33">
          <cell r="E33">
            <v>612</v>
          </cell>
          <cell r="F33">
            <v>1966</v>
          </cell>
          <cell r="H33"/>
          <cell r="M33">
            <v>17</v>
          </cell>
          <cell r="N33">
            <v>9.5</v>
          </cell>
          <cell r="P33">
            <v>0.87394957983191535</v>
          </cell>
          <cell r="Q33">
            <v>557.25490196078431</v>
          </cell>
        </row>
        <row r="34">
          <cell r="F34">
            <v>3718</v>
          </cell>
          <cell r="H34"/>
          <cell r="M34">
            <v>49</v>
          </cell>
          <cell r="N34">
            <v>11.5</v>
          </cell>
          <cell r="P34">
            <v>0.19328048320118674</v>
          </cell>
        </row>
        <row r="35">
          <cell r="E35">
            <v>478</v>
          </cell>
          <cell r="F35">
            <v>3195</v>
          </cell>
          <cell r="H35"/>
          <cell r="M35">
            <v>186</v>
          </cell>
          <cell r="N35">
            <v>10.5</v>
          </cell>
          <cell r="P35">
            <v>0.2035021296734533</v>
          </cell>
          <cell r="Q35">
            <v>401.04602510460251</v>
          </cell>
        </row>
        <row r="36">
          <cell r="E36">
            <v>640</v>
          </cell>
          <cell r="F36">
            <v>5748</v>
          </cell>
          <cell r="H36"/>
          <cell r="M36">
            <v>86</v>
          </cell>
          <cell r="N36">
            <v>28</v>
          </cell>
          <cell r="P36">
            <v>0.16466909848879754</v>
          </cell>
          <cell r="Q36">
            <v>538.875</v>
          </cell>
        </row>
        <row r="37">
          <cell r="E37">
            <v>618</v>
          </cell>
          <cell r="F37">
            <v>5360</v>
          </cell>
          <cell r="H37"/>
          <cell r="M37">
            <v>85</v>
          </cell>
          <cell r="N37">
            <v>29.75</v>
          </cell>
          <cell r="P37">
            <v>0.42719458192238685</v>
          </cell>
          <cell r="Q37">
            <v>520.38834951456306</v>
          </cell>
        </row>
        <row r="38">
          <cell r="E38">
            <v>600</v>
          </cell>
          <cell r="F38">
            <v>4420.125</v>
          </cell>
          <cell r="H38"/>
          <cell r="N38">
            <v>23.5</v>
          </cell>
          <cell r="P38">
            <v>0.60366269165246922</v>
          </cell>
        </row>
      </sheetData>
      <sheetData sheetId="11" refreshError="1"/>
      <sheetData sheetId="12" refreshError="1"/>
      <sheetData sheetId="1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uary_2016"/>
      <sheetName val="February_2016"/>
      <sheetName val="March_2016"/>
      <sheetName val="April_2016"/>
      <sheetName val="May_2016"/>
      <sheetName val="June_2016"/>
      <sheetName val="July_2016"/>
      <sheetName val="August_2016"/>
      <sheetName val="September_2016"/>
      <sheetName val="October_2016"/>
      <sheetName val="November_2016"/>
      <sheetName val="December_2016"/>
    </sheetNames>
    <sheetDataSet>
      <sheetData sheetId="0"/>
      <sheetData sheetId="1"/>
      <sheetData sheetId="2"/>
      <sheetData sheetId="3"/>
      <sheetData sheetId="4"/>
      <sheetData sheetId="5"/>
      <sheetData sheetId="6"/>
      <sheetData sheetId="7"/>
      <sheetData sheetId="8"/>
      <sheetData sheetId="9"/>
      <sheetData sheetId="10">
        <row r="8">
          <cell r="J8">
            <v>53.2</v>
          </cell>
          <cell r="K8">
            <v>51.480000000000004</v>
          </cell>
        </row>
        <row r="9">
          <cell r="J9">
            <v>84.6</v>
          </cell>
          <cell r="K9">
            <v>82.962000000000003</v>
          </cell>
        </row>
        <row r="10">
          <cell r="J10">
            <v>364.70000000000005</v>
          </cell>
          <cell r="K10">
            <v>363.19400000000002</v>
          </cell>
        </row>
        <row r="11">
          <cell r="J11">
            <v>388.9</v>
          </cell>
          <cell r="K11">
            <v>388.27800000000002</v>
          </cell>
        </row>
        <row r="12">
          <cell r="J12">
            <v>380.4</v>
          </cell>
          <cell r="K12">
            <v>378.774</v>
          </cell>
        </row>
        <row r="13">
          <cell r="J13">
            <v>264.3</v>
          </cell>
          <cell r="K13">
            <v>261.94799999999998</v>
          </cell>
        </row>
        <row r="14">
          <cell r="J14">
            <v>225.5</v>
          </cell>
          <cell r="K14">
            <v>224.66400000000002</v>
          </cell>
        </row>
        <row r="15">
          <cell r="J15">
            <v>201.60000000000002</v>
          </cell>
          <cell r="K15">
            <v>201.036</v>
          </cell>
        </row>
        <row r="16">
          <cell r="J16">
            <v>515.90000000000009</v>
          </cell>
          <cell r="K16">
            <v>514.15200000000004</v>
          </cell>
        </row>
        <row r="17">
          <cell r="J17">
            <v>287.59999999999997</v>
          </cell>
          <cell r="K17">
            <v>284.46000000000004</v>
          </cell>
        </row>
        <row r="18">
          <cell r="J18">
            <v>118.8</v>
          </cell>
          <cell r="K18">
            <v>118.73400000000001</v>
          </cell>
        </row>
        <row r="19">
          <cell r="J19">
            <v>263.89999999999998</v>
          </cell>
          <cell r="K19">
            <v>263.01</v>
          </cell>
        </row>
        <row r="20">
          <cell r="J20">
            <v>222.89999999999998</v>
          </cell>
          <cell r="K20">
            <v>221.66600000000003</v>
          </cell>
        </row>
        <row r="21">
          <cell r="J21">
            <v>160.19999999999999</v>
          </cell>
          <cell r="K21">
            <v>159.126</v>
          </cell>
        </row>
        <row r="22">
          <cell r="J22">
            <v>168.89999999999998</v>
          </cell>
          <cell r="K22">
            <v>167.44200000000001</v>
          </cell>
        </row>
        <row r="23">
          <cell r="J23">
            <v>363.4</v>
          </cell>
          <cell r="K23">
            <v>362.13400000000001</v>
          </cell>
        </row>
        <row r="24">
          <cell r="J24">
            <v>340.7</v>
          </cell>
          <cell r="K24">
            <v>338.11799999999999</v>
          </cell>
        </row>
        <row r="25">
          <cell r="J25">
            <v>311</v>
          </cell>
          <cell r="K25">
            <v>308.6112</v>
          </cell>
        </row>
        <row r="26">
          <cell r="J26">
            <v>90.4</v>
          </cell>
          <cell r="K26">
            <v>87.611000000000004</v>
          </cell>
        </row>
        <row r="27">
          <cell r="J27">
            <v>90.4</v>
          </cell>
          <cell r="K27">
            <v>89.823000000000008</v>
          </cell>
        </row>
        <row r="28">
          <cell r="J28">
            <v>45.2</v>
          </cell>
          <cell r="K28">
            <v>42.660000000000004</v>
          </cell>
        </row>
        <row r="29">
          <cell r="J29">
            <v>46.781999999999996</v>
          </cell>
          <cell r="K29">
            <v>45.661999999999999</v>
          </cell>
        </row>
        <row r="30">
          <cell r="J30">
            <v>45.2</v>
          </cell>
          <cell r="K30">
            <v>42.027999999999999</v>
          </cell>
        </row>
        <row r="31">
          <cell r="J31">
            <v>317.69999999999993</v>
          </cell>
          <cell r="K31">
            <v>315.51800000000003</v>
          </cell>
        </row>
        <row r="32">
          <cell r="J32">
            <v>406</v>
          </cell>
          <cell r="K32">
            <v>403.19400000000002</v>
          </cell>
        </row>
        <row r="33">
          <cell r="J33">
            <v>130.89999999999998</v>
          </cell>
          <cell r="K33">
            <v>129.756</v>
          </cell>
        </row>
        <row r="34">
          <cell r="J34">
            <v>266.59999999999997</v>
          </cell>
          <cell r="K34">
            <v>264.38800000000003</v>
          </cell>
        </row>
        <row r="35">
          <cell r="J35">
            <v>211.3</v>
          </cell>
          <cell r="K35">
            <v>210.87</v>
          </cell>
        </row>
        <row r="36">
          <cell r="J36">
            <v>383.8</v>
          </cell>
          <cell r="K36">
            <v>383.16800000000001</v>
          </cell>
        </row>
        <row r="37">
          <cell r="J37">
            <v>384.1</v>
          </cell>
          <cell r="K37">
            <v>382.26</v>
          </cell>
        </row>
        <row r="38">
          <cell r="J38">
            <v>293.5</v>
          </cell>
          <cell r="K38">
            <v>291.72000000000003</v>
          </cell>
          <cell r="M38">
            <v>113</v>
          </cell>
          <cell r="Q38">
            <v>442</v>
          </cell>
        </row>
      </sheetData>
      <sheetData sheetId="11">
        <row r="8">
          <cell r="E8">
            <v>568</v>
          </cell>
          <cell r="F8">
            <v>5227</v>
          </cell>
          <cell r="J8">
            <v>347.09999999999997</v>
          </cell>
          <cell r="K8">
            <v>344.98200000000003</v>
          </cell>
          <cell r="M8">
            <v>149</v>
          </cell>
          <cell r="N8">
            <v>13.5</v>
          </cell>
          <cell r="P8">
            <v>0.61019878997405308</v>
          </cell>
          <cell r="Q8">
            <v>1030.3521126760563</v>
          </cell>
        </row>
        <row r="9">
          <cell r="E9">
            <v>483</v>
          </cell>
          <cell r="F9">
            <v>4527</v>
          </cell>
          <cell r="J9">
            <v>300.5</v>
          </cell>
          <cell r="K9">
            <v>298.78200000000004</v>
          </cell>
          <cell r="M9">
            <v>32</v>
          </cell>
          <cell r="N9">
            <v>19</v>
          </cell>
          <cell r="P9">
            <v>0.57171381031612678</v>
          </cell>
          <cell r="Q9">
            <v>562.36024844720487</v>
          </cell>
        </row>
        <row r="10">
          <cell r="E10">
            <v>911</v>
          </cell>
          <cell r="F10">
            <v>4406</v>
          </cell>
          <cell r="J10">
            <v>291.8</v>
          </cell>
          <cell r="K10">
            <v>290.79599999999999</v>
          </cell>
          <cell r="M10">
            <v>376</v>
          </cell>
          <cell r="N10">
            <v>10.25</v>
          </cell>
          <cell r="P10">
            <v>0.34407128169980089</v>
          </cell>
          <cell r="Q10">
            <v>290.18660812294183</v>
          </cell>
        </row>
        <row r="11">
          <cell r="E11">
            <v>862</v>
          </cell>
          <cell r="F11">
            <v>2926</v>
          </cell>
          <cell r="J11">
            <v>194.3</v>
          </cell>
          <cell r="K11">
            <v>193.11600000000001</v>
          </cell>
          <cell r="M11">
            <v>29</v>
          </cell>
          <cell r="N11">
            <v>15.25</v>
          </cell>
          <cell r="P11">
            <v>0.60936695831188747</v>
          </cell>
          <cell r="Q11">
            <v>512.645011600928</v>
          </cell>
        </row>
        <row r="12">
          <cell r="F12">
            <v>4439</v>
          </cell>
          <cell r="J12">
            <v>294.5</v>
          </cell>
          <cell r="K12">
            <v>292.97399999999999</v>
          </cell>
          <cell r="M12">
            <v>90</v>
          </cell>
          <cell r="N12">
            <v>14</v>
          </cell>
          <cell r="P12">
            <v>0.51816638370119206</v>
          </cell>
        </row>
        <row r="13">
          <cell r="E13">
            <v>890</v>
          </cell>
          <cell r="F13">
            <v>2327</v>
          </cell>
          <cell r="J13">
            <v>155.9</v>
          </cell>
          <cell r="K13">
            <v>153.58199999999999</v>
          </cell>
          <cell r="M13">
            <v>90</v>
          </cell>
          <cell r="N13">
            <v>10.25</v>
          </cell>
          <cell r="P13">
            <v>1.4868505452213032</v>
          </cell>
          <cell r="Q13">
            <v>480.20224719101122</v>
          </cell>
        </row>
        <row r="14">
          <cell r="F14">
            <v>3904</v>
          </cell>
          <cell r="J14">
            <v>277.7</v>
          </cell>
          <cell r="K14">
            <v>276.66399999999999</v>
          </cell>
          <cell r="M14">
            <v>113</v>
          </cell>
          <cell r="N14">
            <v>13.5</v>
          </cell>
          <cell r="P14">
            <v>0.373064458048254</v>
          </cell>
        </row>
        <row r="15">
          <cell r="F15">
            <v>892</v>
          </cell>
          <cell r="J15">
            <v>60</v>
          </cell>
          <cell r="K15">
            <v>58.872</v>
          </cell>
          <cell r="M15">
            <v>18</v>
          </cell>
          <cell r="N15">
            <v>4.25</v>
          </cell>
          <cell r="P15">
            <v>1.8800000000000001</v>
          </cell>
        </row>
        <row r="16">
          <cell r="E16">
            <v>905</v>
          </cell>
          <cell r="F16">
            <v>7900</v>
          </cell>
          <cell r="J16">
            <v>526.6</v>
          </cell>
          <cell r="K16">
            <v>524.81999999999994</v>
          </cell>
          <cell r="M16">
            <v>110</v>
          </cell>
          <cell r="N16">
            <v>34.5</v>
          </cell>
          <cell r="P16">
            <v>0.3380174705659108</v>
          </cell>
          <cell r="Q16">
            <v>523.75690607734805</v>
          </cell>
        </row>
        <row r="17">
          <cell r="E17">
            <v>563</v>
          </cell>
          <cell r="F17">
            <v>2859</v>
          </cell>
          <cell r="J17">
            <v>191.4</v>
          </cell>
          <cell r="K17">
            <v>188.69400000000002</v>
          </cell>
          <cell r="M17">
            <v>27</v>
          </cell>
          <cell r="N17">
            <v>31.75</v>
          </cell>
          <cell r="P17">
            <v>1.41379310344827</v>
          </cell>
          <cell r="Q17">
            <v>468.17051509769095</v>
          </cell>
        </row>
        <row r="18">
          <cell r="F18">
            <v>1534</v>
          </cell>
          <cell r="J18">
            <v>103</v>
          </cell>
          <cell r="K18">
            <v>101.244</v>
          </cell>
          <cell r="M18">
            <v>78</v>
          </cell>
          <cell r="N18">
            <v>7.5</v>
          </cell>
          <cell r="P18">
            <v>1.7048543689320392</v>
          </cell>
        </row>
        <row r="19">
          <cell r="E19">
            <v>830</v>
          </cell>
          <cell r="F19">
            <v>6911</v>
          </cell>
          <cell r="J19">
            <v>516.29999999999995</v>
          </cell>
          <cell r="K19">
            <v>514.17840000000001</v>
          </cell>
          <cell r="M19">
            <v>108</v>
          </cell>
          <cell r="N19">
            <v>6.5</v>
          </cell>
          <cell r="P19">
            <v>0.41092388146425413</v>
          </cell>
          <cell r="Q19">
            <v>499.59036144578312</v>
          </cell>
        </row>
        <row r="20">
          <cell r="E20">
            <v>885</v>
          </cell>
          <cell r="F20">
            <v>6801</v>
          </cell>
          <cell r="J20">
            <v>450.70000000000005</v>
          </cell>
          <cell r="K20">
            <v>448.86600000000004</v>
          </cell>
          <cell r="M20">
            <v>111</v>
          </cell>
          <cell r="N20">
            <v>15.5</v>
          </cell>
          <cell r="P20">
            <v>0.40692256489904655</v>
          </cell>
          <cell r="Q20">
            <v>493.49152542372883</v>
          </cell>
        </row>
        <row r="21">
          <cell r="F21">
            <v>478</v>
          </cell>
          <cell r="J21">
            <v>32</v>
          </cell>
          <cell r="K21">
            <v>31.548000000000002</v>
          </cell>
          <cell r="M21">
            <v>38</v>
          </cell>
          <cell r="N21">
            <v>4.75</v>
          </cell>
          <cell r="P21">
            <v>1.4124999999999943</v>
          </cell>
        </row>
        <row r="22">
          <cell r="E22">
            <v>415</v>
          </cell>
          <cell r="F22">
            <v>3955</v>
          </cell>
          <cell r="J22">
            <v>265.89999999999998</v>
          </cell>
          <cell r="K22">
            <v>264.83000000000004</v>
          </cell>
          <cell r="M22">
            <v>49</v>
          </cell>
          <cell r="N22">
            <v>17.5</v>
          </cell>
          <cell r="P22">
            <v>0.40240691989467331</v>
          </cell>
          <cell r="Q22">
            <v>571.80722891566268</v>
          </cell>
        </row>
        <row r="23">
          <cell r="E23">
            <v>603</v>
          </cell>
          <cell r="F23">
            <v>5494</v>
          </cell>
          <cell r="J23">
            <v>369.40000000000003</v>
          </cell>
          <cell r="K23">
            <v>368.30400000000003</v>
          </cell>
          <cell r="M23">
            <v>63</v>
          </cell>
          <cell r="N23">
            <v>20</v>
          </cell>
          <cell r="P23">
            <v>0.29669734704927003</v>
          </cell>
          <cell r="Q23">
            <v>546.66666666666663</v>
          </cell>
        </row>
        <row r="24">
          <cell r="E24">
            <v>376</v>
          </cell>
          <cell r="F24">
            <v>2428</v>
          </cell>
          <cell r="J24">
            <v>161.4</v>
          </cell>
          <cell r="K24">
            <v>160.24800000000002</v>
          </cell>
          <cell r="M24">
            <v>37</v>
          </cell>
          <cell r="N24">
            <v>13.5</v>
          </cell>
          <cell r="P24">
            <v>0.71375464684014056</v>
          </cell>
          <cell r="Q24">
            <v>505.531914893617</v>
          </cell>
        </row>
        <row r="25">
          <cell r="F25">
            <v>740</v>
          </cell>
          <cell r="J25">
            <v>49.7</v>
          </cell>
          <cell r="K25">
            <v>48.84</v>
          </cell>
          <cell r="M25">
            <v>51</v>
          </cell>
          <cell r="N25">
            <v>0.5</v>
          </cell>
          <cell r="P25">
            <v>1.7303822937625741</v>
          </cell>
        </row>
        <row r="26">
          <cell r="E26">
            <v>636</v>
          </cell>
          <cell r="F26">
            <v>2571</v>
          </cell>
          <cell r="J26">
            <v>190.2</v>
          </cell>
          <cell r="K26">
            <v>188.892</v>
          </cell>
          <cell r="M26">
            <v>83</v>
          </cell>
          <cell r="N26">
            <v>7.08</v>
          </cell>
          <cell r="P26">
            <v>0.68769716088327693</v>
          </cell>
          <cell r="Q26">
            <v>395.28301886792457</v>
          </cell>
        </row>
        <row r="27">
          <cell r="F27">
            <v>291</v>
          </cell>
        </row>
        <row r="28">
          <cell r="F28">
            <v>1328</v>
          </cell>
          <cell r="J28">
            <v>88.7</v>
          </cell>
          <cell r="K28">
            <v>87.64800000000001</v>
          </cell>
          <cell r="M28">
            <v>81</v>
          </cell>
          <cell r="N28">
            <v>8.25</v>
          </cell>
          <cell r="P28">
            <v>1.1860202931228776</v>
          </cell>
        </row>
        <row r="29">
          <cell r="E29">
            <v>426</v>
          </cell>
          <cell r="F29">
            <v>4289</v>
          </cell>
          <cell r="J29">
            <v>284.3</v>
          </cell>
          <cell r="K29">
            <v>283.07400000000001</v>
          </cell>
          <cell r="M29">
            <v>40</v>
          </cell>
          <cell r="N29">
            <v>10</v>
          </cell>
          <cell r="P29">
            <v>0.43123461132606367</v>
          </cell>
          <cell r="Q29">
            <v>604.08450704225356</v>
          </cell>
        </row>
        <row r="30">
          <cell r="E30">
            <v>660</v>
          </cell>
          <cell r="F30">
            <v>337</v>
          </cell>
          <cell r="J30">
            <v>26.623000000000001</v>
          </cell>
          <cell r="K30">
            <v>26.623000000000001</v>
          </cell>
          <cell r="M30">
            <v>23</v>
          </cell>
          <cell r="N30">
            <v>7</v>
          </cell>
          <cell r="P30">
            <v>0</v>
          </cell>
          <cell r="Q30">
            <v>336.63636363636363</v>
          </cell>
        </row>
        <row r="31">
          <cell r="F31">
            <v>1132</v>
          </cell>
          <cell r="J31">
            <v>90.4</v>
          </cell>
          <cell r="K31">
            <v>89.427999999999997</v>
          </cell>
          <cell r="M31">
            <v>49</v>
          </cell>
          <cell r="N31">
            <v>1.5</v>
          </cell>
          <cell r="P31">
            <v>1.0752212389380624</v>
          </cell>
        </row>
        <row r="32">
          <cell r="F32">
            <v>1142</v>
          </cell>
          <cell r="J32">
            <v>90.4</v>
          </cell>
          <cell r="K32">
            <v>90.218000000000004</v>
          </cell>
          <cell r="M32">
            <v>60</v>
          </cell>
          <cell r="N32">
            <v>1</v>
          </cell>
          <cell r="P32">
            <v>0.20132743362832095</v>
          </cell>
        </row>
        <row r="33">
          <cell r="F33">
            <v>542</v>
          </cell>
          <cell r="H33">
            <v>1</v>
          </cell>
          <cell r="J33">
            <v>45.2</v>
          </cell>
          <cell r="K33">
            <v>42.817999999999998</v>
          </cell>
          <cell r="M33">
            <v>46</v>
          </cell>
          <cell r="N33">
            <v>5</v>
          </cell>
          <cell r="P33">
            <v>5.2699115044247895</v>
          </cell>
        </row>
        <row r="34">
          <cell r="F34">
            <v>550</v>
          </cell>
          <cell r="J34">
            <v>45.2</v>
          </cell>
          <cell r="K34">
            <v>43.45</v>
          </cell>
          <cell r="M34">
            <v>43</v>
          </cell>
          <cell r="N34">
            <v>3.5</v>
          </cell>
          <cell r="P34">
            <v>3.8716814159292032</v>
          </cell>
        </row>
        <row r="35">
          <cell r="E35">
            <v>602</v>
          </cell>
          <cell r="F35">
            <v>5565</v>
          </cell>
          <cell r="J35">
            <v>371.20000000000005</v>
          </cell>
          <cell r="K35">
            <v>369.19</v>
          </cell>
          <cell r="M35">
            <v>85</v>
          </cell>
          <cell r="N35">
            <v>35.5</v>
          </cell>
          <cell r="P35">
            <v>0.54148706896553001</v>
          </cell>
          <cell r="Q35">
            <v>554.65116279069764</v>
          </cell>
        </row>
        <row r="36">
          <cell r="E36">
            <v>503</v>
          </cell>
          <cell r="F36">
            <v>4644</v>
          </cell>
          <cell r="J36">
            <v>307.20000000000005</v>
          </cell>
          <cell r="K36">
            <v>306.50400000000002</v>
          </cell>
          <cell r="M36">
            <v>73</v>
          </cell>
          <cell r="N36">
            <v>19.5</v>
          </cell>
          <cell r="P36">
            <v>0.22656250000000858</v>
          </cell>
          <cell r="Q36">
            <v>553.95626242544733</v>
          </cell>
        </row>
        <row r="37">
          <cell r="E37">
            <v>464</v>
          </cell>
          <cell r="F37">
            <v>707</v>
          </cell>
          <cell r="J37">
            <v>47.899999999999991</v>
          </cell>
          <cell r="K37">
            <v>46.661999999999999</v>
          </cell>
          <cell r="M37">
            <v>41</v>
          </cell>
          <cell r="N37">
            <v>3.5</v>
          </cell>
          <cell r="P37">
            <v>2.5845511482254544</v>
          </cell>
          <cell r="Q37">
            <v>506.50862068965517</v>
          </cell>
        </row>
        <row r="38">
          <cell r="F38">
            <v>3210</v>
          </cell>
          <cell r="J38">
            <v>217.2</v>
          </cell>
          <cell r="K38">
            <v>215.66000000000003</v>
          </cell>
          <cell r="M38">
            <v>71</v>
          </cell>
          <cell r="N38">
            <v>29.5</v>
          </cell>
          <cell r="P38">
            <v>0.70902394106812328</v>
          </cell>
        </row>
        <row r="39">
          <cell r="E39">
            <v>831</v>
          </cell>
          <cell r="F39">
            <v>4295</v>
          </cell>
          <cell r="H39">
            <v>140</v>
          </cell>
          <cell r="J39">
            <v>284.7</v>
          </cell>
          <cell r="K39">
            <v>283.47000000000003</v>
          </cell>
          <cell r="M39">
            <v>60</v>
          </cell>
          <cell r="N39">
            <v>8</v>
          </cell>
          <cell r="P39">
            <v>0.43203371970493903</v>
          </cell>
          <cell r="Q39">
            <v>423.68231046931407</v>
          </cell>
        </row>
        <row r="40">
          <cell r="F40">
            <v>1573</v>
          </cell>
          <cell r="H40">
            <v>14</v>
          </cell>
          <cell r="J40">
            <v>105.1</v>
          </cell>
          <cell r="K40">
            <v>103.818</v>
          </cell>
          <cell r="M40">
            <v>134</v>
          </cell>
          <cell r="N40">
            <v>14</v>
          </cell>
          <cell r="P40">
            <v>1.2197906755470949</v>
          </cell>
        </row>
        <row r="41">
          <cell r="E41">
            <v>562</v>
          </cell>
          <cell r="F41">
            <v>2922</v>
          </cell>
          <cell r="H41">
            <v>220</v>
          </cell>
          <cell r="J41">
            <v>219.40000000000003</v>
          </cell>
          <cell r="K41">
            <v>217.39679999999998</v>
          </cell>
          <cell r="M41">
            <v>154</v>
          </cell>
          <cell r="N41">
            <v>7</v>
          </cell>
          <cell r="P41">
            <v>0.91303555150412452</v>
          </cell>
          <cell r="Q41">
            <v>311.95729537366549</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_2016"/>
      <sheetName val="Feb_2016"/>
      <sheetName val="Mar_2016"/>
      <sheetName val="Apr_2016"/>
      <sheetName val="May_2016"/>
      <sheetName val="June_2016"/>
      <sheetName val="July_2016"/>
      <sheetName val="August_2016"/>
      <sheetName val="September_2016"/>
      <sheetName val="October_2016"/>
      <sheetName val="November_2016"/>
      <sheetName val="December_2016"/>
      <sheetName val="YearToD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7">
          <cell r="F37">
            <v>0.14329304918190336</v>
          </cell>
        </row>
        <row r="85">
          <cell r="F85">
            <v>7.3709903320920797E-2</v>
          </cell>
        </row>
        <row r="86">
          <cell r="F86">
            <v>0.13842015707778843</v>
          </cell>
        </row>
        <row r="87">
          <cell r="F87">
            <v>6.8488549216971201E-2</v>
          </cell>
        </row>
        <row r="88">
          <cell r="F88">
            <v>9.3422293606252746E-2</v>
          </cell>
        </row>
        <row r="89">
          <cell r="F89">
            <v>8.7318214021802884E-2</v>
          </cell>
        </row>
        <row r="90">
          <cell r="F90">
            <v>0.10187501230969216</v>
          </cell>
        </row>
        <row r="92">
          <cell r="F92">
            <v>8.198122640538448E-2</v>
          </cell>
        </row>
      </sheetData>
      <sheetData sheetId="12">
        <row r="5">
          <cell r="F5">
            <v>7.9509701064762531E-2</v>
          </cell>
        </row>
        <row r="6">
          <cell r="F6">
            <v>7.7432737220350351E-2</v>
          </cell>
        </row>
        <row r="7">
          <cell r="F7">
            <v>6.255717418614444E-2</v>
          </cell>
        </row>
        <row r="8">
          <cell r="F8">
            <v>8.7179259939499112E-2</v>
          </cell>
        </row>
        <row r="9">
          <cell r="F9">
            <v>6.918802216765621E-2</v>
          </cell>
        </row>
        <row r="10">
          <cell r="F10">
            <v>6.4765560900880717E-2</v>
          </cell>
        </row>
        <row r="12">
          <cell r="F12">
            <v>7.4573119886108485E-2</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E6E5198-E2A5-4551-BF7A-1C645E8B97FA}">
  <we:reference id="wa200005502" version="1.0.0.12" store="en-US" storeType="OMEX"/>
  <we:alternateReferences>
    <we:reference id="WA200005502" version="1.0.0.12" store="WA200005502" storeType="OMEX"/>
  </we:alternateReferences>
  <we:properties>
    <we:property name="docId" value="&quot;jTvk0IGNsCs061P7O_mj6&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vmlDrawing" Target="../drawings/vmlDrawing35.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36.xml"/><Relationship Id="rId2" Type="http://schemas.openxmlformats.org/officeDocument/2006/relationships/vmlDrawing" Target="../drawings/vmlDrawing36.v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comments" Target="../comments37.xml"/><Relationship Id="rId2" Type="http://schemas.openxmlformats.org/officeDocument/2006/relationships/vmlDrawing" Target="../drawings/vmlDrawing37.vml"/><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53F23-EF02-4FE6-808D-5CE7B0628074}">
  <sheetPr codeName="Sheet1">
    <pageSetUpPr fitToPage="1"/>
  </sheetPr>
  <dimension ref="B2:AD734"/>
  <sheetViews>
    <sheetView showZeros="0" showWhiteSpace="0" zoomScale="77" zoomScaleNormal="77" workbookViewId="0">
      <pane xSplit="3" ySplit="3" topLeftCell="E34" activePane="bottomRight" state="frozen"/>
      <selection activeCell="M66" sqref="M66"/>
      <selection pane="topRight" activeCell="M66" sqref="M66"/>
      <selection pane="bottomLeft" activeCell="M66" sqref="M66"/>
      <selection pane="bottomRight" activeCell="M66" sqref="M66"/>
    </sheetView>
  </sheetViews>
  <sheetFormatPr defaultColWidth="9.42578125" defaultRowHeight="12.75" x14ac:dyDescent="0.2"/>
  <cols>
    <col min="1" max="1" width="3.42578125" customWidth="1"/>
    <col min="2" max="2" width="10.42578125" style="1" customWidth="1"/>
    <col min="3" max="3" width="28" style="1" customWidth="1"/>
    <col min="4" max="4" width="14.42578125" style="1" customWidth="1"/>
    <col min="5" max="5" width="12.5703125" style="1" customWidth="1"/>
    <col min="6" max="6" width="13.42578125" style="1" customWidth="1"/>
    <col min="7" max="7" width="12.42578125" customWidth="1"/>
    <col min="8" max="8" width="13.5703125" customWidth="1"/>
    <col min="9" max="9" width="11.42578125" style="1" customWidth="1"/>
    <col min="10" max="10" width="12" customWidth="1"/>
    <col min="11" max="11" width="10.42578125" customWidth="1"/>
    <col min="12" max="12" width="10.5703125" customWidth="1"/>
    <col min="13" max="13" width="10.42578125" customWidth="1"/>
    <col min="14" max="14" width="8.5703125" customWidth="1"/>
    <col min="15" max="15" width="8.42578125" style="2" customWidth="1"/>
    <col min="16" max="16" width="12.5703125" style="1" customWidth="1"/>
    <col min="17" max="17" width="12" style="1" customWidth="1"/>
    <col min="18" max="18" width="12" customWidth="1"/>
    <col min="19" max="19" width="12.42578125" customWidth="1"/>
    <col min="20" max="20" width="12" customWidth="1"/>
    <col min="21" max="21" width="12.5703125" style="1" customWidth="1"/>
    <col min="22" max="22" width="12" customWidth="1"/>
    <col min="23" max="23" width="17" customWidth="1"/>
    <col min="24" max="24" width="15.42578125" customWidth="1"/>
    <col min="25" max="25" width="15.5703125" customWidth="1"/>
    <col min="26" max="26" width="14" customWidth="1"/>
    <col min="27" max="27" width="25.5703125" customWidth="1"/>
    <col min="28" max="28" width="20.5703125" customWidth="1"/>
  </cols>
  <sheetData>
    <row r="2" spans="2:30" ht="24" thickBot="1" x14ac:dyDescent="0.4">
      <c r="B2" s="1022" t="s">
        <v>406</v>
      </c>
      <c r="C2" s="1022"/>
      <c r="D2" s="1022"/>
      <c r="E2" s="1022"/>
      <c r="F2" s="1022"/>
      <c r="G2" s="1022"/>
      <c r="H2" s="1022"/>
      <c r="I2" s="1022"/>
      <c r="J2" s="1022"/>
      <c r="K2" s="1022"/>
      <c r="L2" s="1022"/>
      <c r="M2" s="1022"/>
      <c r="N2" s="1022"/>
      <c r="O2" s="1022"/>
      <c r="P2" s="1022"/>
      <c r="Q2" s="1022"/>
      <c r="R2" s="1022"/>
      <c r="S2" s="1022"/>
      <c r="T2" s="1022"/>
      <c r="U2" s="1065"/>
      <c r="V2" s="1065"/>
    </row>
    <row r="3" spans="2:30" ht="64.5" thickTop="1" thickBot="1" x14ac:dyDescent="0.25">
      <c r="B3" s="37" t="s">
        <v>0</v>
      </c>
      <c r="C3" s="38" t="s">
        <v>2</v>
      </c>
      <c r="D3" s="38" t="s">
        <v>12</v>
      </c>
      <c r="E3" s="38" t="s">
        <v>11</v>
      </c>
      <c r="F3" s="38" t="s">
        <v>15</v>
      </c>
      <c r="G3" s="38" t="s">
        <v>9</v>
      </c>
      <c r="H3" s="38" t="s">
        <v>17</v>
      </c>
      <c r="I3" s="38" t="s">
        <v>5</v>
      </c>
      <c r="J3" s="38" t="s">
        <v>494</v>
      </c>
      <c r="K3" s="38" t="s">
        <v>4</v>
      </c>
      <c r="L3" s="38" t="s">
        <v>161</v>
      </c>
      <c r="M3" s="38" t="s">
        <v>10</v>
      </c>
      <c r="N3" s="38" t="s">
        <v>428</v>
      </c>
      <c r="O3" s="39" t="s">
        <v>34</v>
      </c>
      <c r="P3" s="40" t="s">
        <v>55</v>
      </c>
      <c r="Q3" s="41" t="s">
        <v>460</v>
      </c>
      <c r="R3" s="41" t="s">
        <v>461</v>
      </c>
      <c r="S3" s="41" t="s">
        <v>307</v>
      </c>
      <c r="T3" s="231" t="s">
        <v>308</v>
      </c>
      <c r="U3" s="232" t="s">
        <v>425</v>
      </c>
      <c r="V3" s="1066" t="s">
        <v>1</v>
      </c>
      <c r="W3" s="1067"/>
      <c r="X3" s="1067"/>
      <c r="Y3" s="1067"/>
      <c r="Z3" s="1067"/>
      <c r="AA3" s="1067"/>
      <c r="AB3" s="1068"/>
    </row>
    <row r="4" spans="2:30" s="19" customFormat="1" ht="34.5" customHeight="1" thickTop="1" x14ac:dyDescent="0.2">
      <c r="B4" s="1072">
        <v>42738</v>
      </c>
      <c r="C4" s="26" t="s">
        <v>31</v>
      </c>
      <c r="D4" s="27">
        <v>1100</v>
      </c>
      <c r="E4" s="1073">
        <v>0.32777777777777778</v>
      </c>
      <c r="F4" s="29">
        <f>SUM([3]January_2017!$J8)</f>
        <v>78.7</v>
      </c>
      <c r="G4" s="30">
        <f>SUM([3]January_2017!$F8)</f>
        <v>1008</v>
      </c>
      <c r="H4" s="29">
        <f>SUM([3]January_2017!$K8)</f>
        <v>74.995199999999997</v>
      </c>
      <c r="I4" s="31">
        <f>SUM([3]January_2017!$N8)</f>
        <v>7.75</v>
      </c>
      <c r="J4" s="1083">
        <f>SUM([3]January_2017!$Q8)</f>
        <v>258.51428571428573</v>
      </c>
      <c r="K4" s="1083">
        <f>SUM([3]January_2017!$E8)</f>
        <v>525</v>
      </c>
      <c r="L4" s="1063">
        <v>0.7284722222222223</v>
      </c>
      <c r="M4" s="32">
        <f>SUM([3]January_2017!$M8)</f>
        <v>12</v>
      </c>
      <c r="N4" s="236"/>
      <c r="O4" s="170"/>
      <c r="P4" s="33">
        <f>SUM([3]January_2017!$P8)</f>
        <v>4.7074968233799304</v>
      </c>
      <c r="Q4" s="1074">
        <f>($G$4+$G$5+$G$6)/(($K$4/60)*$AC$4*(1/24))</f>
        <v>0.41362285714285713</v>
      </c>
      <c r="R4" s="1074">
        <f>($G$4+$G$5+$G$6)/(($K$4/60)*$AD$4*(1/24))</f>
        <v>0.36496134453781515</v>
      </c>
      <c r="S4" s="1074">
        <f>(G4+G5+G6)*24/(K4/60)/15000</f>
        <v>0.41362285714285713</v>
      </c>
      <c r="T4" s="1062">
        <f>(G4+G5+G6)*24/(K4/60)/17000</f>
        <v>0.36496134453781509</v>
      </c>
      <c r="U4" s="1064">
        <f>((607-207)/607)</f>
        <v>0.65897858319604607</v>
      </c>
      <c r="V4" s="1069" t="s">
        <v>407</v>
      </c>
      <c r="W4" s="1070"/>
      <c r="X4" s="1070"/>
      <c r="Y4" s="1070"/>
      <c r="Z4" s="1070"/>
      <c r="AA4" s="1070"/>
      <c r="AB4" s="1071"/>
      <c r="AC4" s="19">
        <v>15000</v>
      </c>
      <c r="AD4" s="19">
        <v>17000</v>
      </c>
    </row>
    <row r="5" spans="2:30" s="19" customFormat="1" ht="35.25" customHeight="1" x14ac:dyDescent="0.2">
      <c r="B5" s="1050"/>
      <c r="C5" s="26" t="s">
        <v>27</v>
      </c>
      <c r="D5" s="27">
        <v>1100</v>
      </c>
      <c r="E5" s="1052"/>
      <c r="F5" s="29">
        <f>SUM([3]January_2017!$J9)</f>
        <v>65.2</v>
      </c>
      <c r="G5" s="30">
        <f>SUM([3]January_2017!$F9)</f>
        <v>966</v>
      </c>
      <c r="H5" s="29">
        <f>SUM([3]January_2017!$K9)</f>
        <v>63.756</v>
      </c>
      <c r="I5" s="31">
        <f>SUM([3]January_2017!$N9)</f>
        <v>12</v>
      </c>
      <c r="J5" s="1042"/>
      <c r="K5" s="1042"/>
      <c r="L5" s="1055"/>
      <c r="M5" s="32">
        <f>SUM([3]January_2017!$M9)</f>
        <v>155</v>
      </c>
      <c r="N5" s="237">
        <f>[4]Jan!$I$9/K4</f>
        <v>0.24952380952380954</v>
      </c>
      <c r="O5" s="172"/>
      <c r="P5" s="33">
        <f>SUM([3]January_2017!$P9)</f>
        <v>2.2147239263803722</v>
      </c>
      <c r="Q5" s="1041"/>
      <c r="R5" s="1041"/>
      <c r="S5" s="1041"/>
      <c r="T5" s="1049"/>
      <c r="U5" s="1054"/>
      <c r="V5" s="1013" t="s">
        <v>408</v>
      </c>
      <c r="W5" s="1014"/>
      <c r="X5" s="1014"/>
      <c r="Y5" s="1014"/>
      <c r="Z5" s="1014"/>
      <c r="AA5" s="1014"/>
      <c r="AB5" s="1015"/>
      <c r="AC5" s="19">
        <v>15000</v>
      </c>
      <c r="AD5" s="19">
        <v>17000</v>
      </c>
    </row>
    <row r="6" spans="2:30" s="19" customFormat="1" ht="35.25" customHeight="1" x14ac:dyDescent="0.2">
      <c r="B6" s="1038"/>
      <c r="C6" s="26" t="s">
        <v>29</v>
      </c>
      <c r="D6" s="27"/>
      <c r="E6" s="1053"/>
      <c r="F6" s="29">
        <f>SUM([3]January_2017!$J10)</f>
        <v>34.099999999999994</v>
      </c>
      <c r="G6" s="30">
        <f>SUM([3]January_2017!$F10)</f>
        <v>288</v>
      </c>
      <c r="H6" s="29">
        <f>SUM([3]January_2017!$K10)</f>
        <v>32.688000000000002</v>
      </c>
      <c r="I6" s="31">
        <f>SUM([3]January_2017!$N10)</f>
        <v>3</v>
      </c>
      <c r="J6" s="992"/>
      <c r="K6" s="992"/>
      <c r="L6" s="1018"/>
      <c r="M6" s="32">
        <f>SUM([3]January_2017!$M10)</f>
        <v>40</v>
      </c>
      <c r="N6" s="237">
        <f>[4]Jan!$I$10/K4</f>
        <v>5.7142857142857141E-2</v>
      </c>
      <c r="O6" s="172"/>
      <c r="P6" s="33">
        <f>SUM([3]January_2017!$P10)</f>
        <v>4.1407624633430853</v>
      </c>
      <c r="Q6" s="1040"/>
      <c r="R6" s="1040"/>
      <c r="S6" s="1040"/>
      <c r="T6" s="1048"/>
      <c r="U6" s="1036"/>
      <c r="V6" s="1013" t="s">
        <v>409</v>
      </c>
      <c r="W6" s="1014"/>
      <c r="X6" s="1014"/>
      <c r="Y6" s="1014"/>
      <c r="Z6" s="1014"/>
      <c r="AA6" s="1014"/>
      <c r="AB6" s="1015"/>
      <c r="AC6" s="19">
        <v>15000</v>
      </c>
      <c r="AD6" s="19">
        <v>17000</v>
      </c>
    </row>
    <row r="7" spans="2:30" s="19" customFormat="1" ht="35.25" customHeight="1" x14ac:dyDescent="0.2">
      <c r="B7" s="1037">
        <v>42739</v>
      </c>
      <c r="C7" s="26" t="s">
        <v>32</v>
      </c>
      <c r="D7" s="27">
        <v>2200</v>
      </c>
      <c r="E7" s="1051">
        <v>0.31736111111111115</v>
      </c>
      <c r="F7" s="989">
        <f>SUM([3]January_2017!$J11)</f>
        <v>308.3</v>
      </c>
      <c r="G7" s="30">
        <f>SUM([3]January_2017!$F11)</f>
        <v>2249</v>
      </c>
      <c r="H7" s="989">
        <f>SUM([3]January_2017!$K11)</f>
        <v>307.53399999999999</v>
      </c>
      <c r="I7" s="1004">
        <f>SUM([3]January_2017!$N11)</f>
        <v>11</v>
      </c>
      <c r="J7" s="991">
        <f>SUM([3]January_2017!$Q11)</f>
        <v>459.4314381270903</v>
      </c>
      <c r="K7" s="991">
        <f>SUM([3]January_2017!$E11)</f>
        <v>598</v>
      </c>
      <c r="L7" s="1017">
        <v>0.78749999999999998</v>
      </c>
      <c r="M7" s="991">
        <f>SUM([3]January_2017!$M11)</f>
        <v>105</v>
      </c>
      <c r="N7" s="1043">
        <f>[4]Jan!$I$11/K7</f>
        <v>1.839464882943144E-2</v>
      </c>
      <c r="O7" s="172"/>
      <c r="P7" s="1045">
        <f>SUM([3]January_2017!$P11)</f>
        <v>0.24845929289653568</v>
      </c>
      <c r="Q7" s="1039">
        <f>($G$7+$G$8)/(($K$7/60)*$AC$7*(1/24))</f>
        <v>0.7350903010033446</v>
      </c>
      <c r="R7" s="1039">
        <f>($G$7+$G$8)/(($K$7/60)*$AD$7*(1/24))</f>
        <v>0.648609089120598</v>
      </c>
      <c r="S7" s="1039">
        <f>(G7+G8)*24/(K7/60)/15000</f>
        <v>0.73509030100334449</v>
      </c>
      <c r="T7" s="1047">
        <f>(G7+G8)*24/(K7/60)/17000</f>
        <v>0.648609089120598</v>
      </c>
      <c r="U7" s="1035">
        <f>(708-M7)/708</f>
        <v>0.85169491525423724</v>
      </c>
      <c r="V7" s="1056" t="s">
        <v>410</v>
      </c>
      <c r="W7" s="1057"/>
      <c r="X7" s="1057"/>
      <c r="Y7" s="1057"/>
      <c r="Z7" s="1057"/>
      <c r="AA7" s="1057"/>
      <c r="AB7" s="1058"/>
      <c r="AC7" s="19">
        <v>15000</v>
      </c>
      <c r="AD7" s="19">
        <v>17000</v>
      </c>
    </row>
    <row r="8" spans="2:30" s="19" customFormat="1" ht="35.25" customHeight="1" x14ac:dyDescent="0.2">
      <c r="B8" s="1038"/>
      <c r="C8" s="26" t="s">
        <v>29</v>
      </c>
      <c r="D8" s="27">
        <v>2400</v>
      </c>
      <c r="E8" s="1053"/>
      <c r="F8" s="990"/>
      <c r="G8" s="30">
        <f>SUM([3]January_2017!$F12)</f>
        <v>2330</v>
      </c>
      <c r="H8" s="990"/>
      <c r="I8" s="1005"/>
      <c r="J8" s="992"/>
      <c r="K8" s="992"/>
      <c r="L8" s="1018"/>
      <c r="M8" s="992"/>
      <c r="N8" s="1044"/>
      <c r="O8" s="172"/>
      <c r="P8" s="1046"/>
      <c r="Q8" s="1040"/>
      <c r="R8" s="1040"/>
      <c r="S8" s="1040"/>
      <c r="T8" s="1048"/>
      <c r="U8" s="1036"/>
      <c r="V8" s="1059"/>
      <c r="W8" s="1060"/>
      <c r="X8" s="1060"/>
      <c r="Y8" s="1060"/>
      <c r="Z8" s="1060"/>
      <c r="AA8" s="1060"/>
      <c r="AB8" s="1061"/>
      <c r="AC8" s="19">
        <v>15000</v>
      </c>
      <c r="AD8" s="19">
        <v>17000</v>
      </c>
    </row>
    <row r="9" spans="2:30" s="19" customFormat="1" ht="28.5" customHeight="1" x14ac:dyDescent="0.2">
      <c r="B9" s="1037">
        <v>42740</v>
      </c>
      <c r="C9" s="26" t="s">
        <v>29</v>
      </c>
      <c r="D9" s="27">
        <v>1000</v>
      </c>
      <c r="E9" s="1051">
        <v>0.3215277777777778</v>
      </c>
      <c r="F9" s="29">
        <f>SUM([3]January_2017!$J13)</f>
        <v>61.3</v>
      </c>
      <c r="G9" s="30">
        <f>SUM([3]January_2017!$F13)</f>
        <v>905</v>
      </c>
      <c r="H9" s="29">
        <f>SUM([3]January_2017!$K13)</f>
        <v>59.730000000000004</v>
      </c>
      <c r="I9" s="31">
        <f>SUM([3]January_2017!$N13)</f>
        <v>10.75</v>
      </c>
      <c r="J9" s="991">
        <f>SUM([3]January_2017!$Q$13:$Q14)</f>
        <v>534.5454545454545</v>
      </c>
      <c r="K9" s="991">
        <f>SUM([3]January_2017!$E13)</f>
        <v>583</v>
      </c>
      <c r="L9" s="1017">
        <v>0.7729166666666667</v>
      </c>
      <c r="M9" s="32">
        <f>SUM([3]January_2017!$M13)</f>
        <v>14</v>
      </c>
      <c r="N9" s="237"/>
      <c r="O9" s="172"/>
      <c r="P9" s="33">
        <f>SUM([3]January_2017!$P13)</f>
        <v>2.5611745513866122</v>
      </c>
      <c r="Q9" s="1039">
        <f>($G$9+$G$10)/(($K$9/60)*$AC$9*(1/24))</f>
        <v>0.85527272727272741</v>
      </c>
      <c r="R9" s="1039">
        <f>($G$9+$G$10)/(($K$9/60)*$AD$9*(1/24))</f>
        <v>0.75465240641711229</v>
      </c>
      <c r="S9" s="1039">
        <f>(G9+G10)*24/(K9/60)/15000</f>
        <v>0.85527272727272718</v>
      </c>
      <c r="T9" s="1047">
        <f>(G9+G10)*24/(K9/60)/17000</f>
        <v>0.75465240641711229</v>
      </c>
      <c r="U9" s="1035">
        <f>(686-52)/686</f>
        <v>0.92419825072886297</v>
      </c>
      <c r="V9" s="1013" t="s">
        <v>411</v>
      </c>
      <c r="W9" s="1014"/>
      <c r="X9" s="1014"/>
      <c r="Y9" s="1014"/>
      <c r="Z9" s="1014"/>
      <c r="AA9" s="1014"/>
      <c r="AB9" s="1015"/>
      <c r="AC9" s="19">
        <v>15000</v>
      </c>
      <c r="AD9" s="19">
        <v>17000</v>
      </c>
    </row>
    <row r="10" spans="2:30" s="19" customFormat="1" ht="36" customHeight="1" x14ac:dyDescent="0.2">
      <c r="B10" s="1038"/>
      <c r="C10" s="26" t="s">
        <v>27</v>
      </c>
      <c r="D10" s="27">
        <v>4200</v>
      </c>
      <c r="E10" s="1053"/>
      <c r="F10" s="29">
        <f>SUM([3]January_2017!$J14)</f>
        <v>284.3</v>
      </c>
      <c r="G10" s="30">
        <f>SUM([3]January_2017!$F14)</f>
        <v>4289</v>
      </c>
      <c r="H10" s="29">
        <f>SUM([3]January_2017!$K14)</f>
        <v>283.07400000000001</v>
      </c>
      <c r="I10" s="31">
        <f>SUM([3]January_2017!$N14)</f>
        <v>2.25</v>
      </c>
      <c r="J10" s="992"/>
      <c r="K10" s="992"/>
      <c r="L10" s="1018"/>
      <c r="M10" s="32">
        <f>SUM([3]January_2017!$M14)</f>
        <v>38</v>
      </c>
      <c r="N10" s="237">
        <f>[4]Jan!$I$13/K9</f>
        <v>1.2006861063464836E-2</v>
      </c>
      <c r="O10" s="172"/>
      <c r="P10" s="33">
        <f>SUM([3]January_2017!$P14)</f>
        <v>0.43123461132606367</v>
      </c>
      <c r="Q10" s="1040"/>
      <c r="R10" s="1040"/>
      <c r="S10" s="1040"/>
      <c r="T10" s="1048"/>
      <c r="U10" s="1036"/>
      <c r="V10" s="1013" t="s">
        <v>412</v>
      </c>
      <c r="W10" s="1014"/>
      <c r="X10" s="1014"/>
      <c r="Y10" s="1014"/>
      <c r="Z10" s="1014"/>
      <c r="AA10" s="1014"/>
      <c r="AB10" s="1015"/>
      <c r="AC10" s="19">
        <v>15000</v>
      </c>
      <c r="AD10" s="19">
        <v>17000</v>
      </c>
    </row>
    <row r="11" spans="2:30" s="19" customFormat="1" ht="90" customHeight="1" x14ac:dyDescent="0.2">
      <c r="B11" s="168">
        <v>42741</v>
      </c>
      <c r="C11" s="26" t="s">
        <v>45</v>
      </c>
      <c r="D11" s="27">
        <v>3600</v>
      </c>
      <c r="E11" s="28">
        <v>0.32777777777777778</v>
      </c>
      <c r="F11" s="29">
        <f>SUM([3]January_2017!$J15)</f>
        <v>245.91599999999997</v>
      </c>
      <c r="G11" s="30">
        <f>SUM([3]January_2017!$F15)</f>
        <v>3632</v>
      </c>
      <c r="H11" s="29">
        <f>SUM([3]January_2017!$K15)</f>
        <v>239.71200000000002</v>
      </c>
      <c r="I11" s="31">
        <f>SUM([3]January_2017!$N15)</f>
        <v>7</v>
      </c>
      <c r="J11" s="32">
        <f>SUM([3]January_2017!$Q15)</f>
        <v>433.24055666003977</v>
      </c>
      <c r="K11" s="32">
        <f>SUM([3]January_2017!$E15)</f>
        <v>503</v>
      </c>
      <c r="L11" s="169">
        <v>0.71666666666666667</v>
      </c>
      <c r="M11" s="32">
        <f>SUM([3]January_2017!$M15)</f>
        <v>96</v>
      </c>
      <c r="N11" s="237"/>
      <c r="O11" s="172"/>
      <c r="P11" s="33">
        <f>SUM([3]January_2017!$P15)</f>
        <v>2.5228126677401841</v>
      </c>
      <c r="Q11" s="224">
        <f>($G$11)/(($K$11/60)*$AC$11*(1/24))</f>
        <v>0.6931848906560637</v>
      </c>
      <c r="R11" s="224">
        <f>($G$11)/(($K$11/60)*$AD$11*(1/24))</f>
        <v>0.61163372704946806</v>
      </c>
      <c r="S11" s="224">
        <f>(G11)*24/(K11/60)/15000</f>
        <v>0.69318489065606359</v>
      </c>
      <c r="T11" s="225">
        <f>(G11)*24/(K11/60)/17000</f>
        <v>0.61163372704946783</v>
      </c>
      <c r="U11" s="233">
        <f>(608-96)/608</f>
        <v>0.84210526315789469</v>
      </c>
      <c r="V11" s="1013" t="s">
        <v>413</v>
      </c>
      <c r="W11" s="1014"/>
      <c r="X11" s="1014"/>
      <c r="Y11" s="1014"/>
      <c r="Z11" s="1014"/>
      <c r="AA11" s="1014"/>
      <c r="AB11" s="1015"/>
      <c r="AC11" s="19">
        <v>15000</v>
      </c>
      <c r="AD11" s="19">
        <v>17000</v>
      </c>
    </row>
    <row r="12" spans="2:30" s="19" customFormat="1" ht="55.5" customHeight="1" x14ac:dyDescent="0.2">
      <c r="B12" s="168">
        <v>42744</v>
      </c>
      <c r="C12" s="26" t="s">
        <v>30</v>
      </c>
      <c r="D12" s="27">
        <v>2800</v>
      </c>
      <c r="E12" s="28">
        <v>0.35972222222222222</v>
      </c>
      <c r="F12" s="29">
        <f>SUM([3]January_2017!$J16)</f>
        <v>193.6</v>
      </c>
      <c r="G12" s="30">
        <f>SUM([3]January_2017!$F16)</f>
        <v>2920</v>
      </c>
      <c r="H12" s="29">
        <f>SUM([3]January_2017!$K16)</f>
        <v>192.72</v>
      </c>
      <c r="I12" s="31">
        <f>SUM([3]January_2017!$N16)</f>
        <v>8.25</v>
      </c>
      <c r="J12" s="32">
        <f>SUM([3]January_2017!$Q16)</f>
        <v>395.48532731376974</v>
      </c>
      <c r="K12" s="32">
        <f>SUM([3]January_2017!$E16)</f>
        <v>443</v>
      </c>
      <c r="L12" s="169">
        <v>0.67361111111111116</v>
      </c>
      <c r="M12" s="32">
        <f>SUM([3]January_2017!$M16)</f>
        <v>91</v>
      </c>
      <c r="N12" s="237"/>
      <c r="O12" s="172"/>
      <c r="P12" s="33">
        <f>SUM([3]January_2017!$P16)</f>
        <v>0.4545454545454522</v>
      </c>
      <c r="Q12" s="224">
        <f>($G$12)/(($K$12/60)*$AC$12*(1/24))</f>
        <v>0.63277652370203163</v>
      </c>
      <c r="R12" s="224">
        <f>($G$12)/(($K$12/60)*$AD$12*(1/24))</f>
        <v>0.55833222679591021</v>
      </c>
      <c r="S12" s="224">
        <f>(G12)*24/(K12/60)/15000</f>
        <v>0.63277652370203152</v>
      </c>
      <c r="T12" s="225">
        <f>(G12)*24/(K12/60)/17000</f>
        <v>0.55833222679591021</v>
      </c>
      <c r="U12" s="233">
        <f>(524-M12)/524</f>
        <v>0.82633587786259544</v>
      </c>
      <c r="V12" s="1013" t="s">
        <v>414</v>
      </c>
      <c r="W12" s="1014"/>
      <c r="X12" s="1014"/>
      <c r="Y12" s="1014"/>
      <c r="Z12" s="1014"/>
      <c r="AA12" s="1014"/>
      <c r="AB12" s="1015"/>
      <c r="AC12" s="19">
        <v>15000</v>
      </c>
      <c r="AD12" s="19">
        <v>17000</v>
      </c>
    </row>
    <row r="13" spans="2:30" s="19" customFormat="1" ht="54" customHeight="1" x14ac:dyDescent="0.2">
      <c r="B13" s="168">
        <v>42745</v>
      </c>
      <c r="C13" s="26" t="s">
        <v>29</v>
      </c>
      <c r="D13" s="27">
        <v>4900</v>
      </c>
      <c r="E13" s="28">
        <v>0.31736111111111115</v>
      </c>
      <c r="F13" s="29">
        <f>SUM([3]January_2017!$J17)</f>
        <v>229</v>
      </c>
      <c r="G13" s="30">
        <f>SUM([3]January_2017!$F17)</f>
        <v>3240</v>
      </c>
      <c r="H13" s="29">
        <f>SUM([3]January_2017!$K17)</f>
        <v>228.47</v>
      </c>
      <c r="I13" s="31">
        <f>SUM([3]January_2017!$N17)</f>
        <v>9.75</v>
      </c>
      <c r="J13" s="32">
        <f>SUM([3]January_2017!$Q17)</f>
        <v>353.4545454545455</v>
      </c>
      <c r="K13" s="32">
        <f>SUM([3]January_2017!$E17)</f>
        <v>550</v>
      </c>
      <c r="L13" s="169">
        <v>0.72499999999999998</v>
      </c>
      <c r="M13" s="32">
        <f>SUM([3]January_2017!$M17)</f>
        <v>168</v>
      </c>
      <c r="N13" s="237"/>
      <c r="O13" s="172"/>
      <c r="P13" s="33">
        <f>SUM([3]January_2017!$P17)</f>
        <v>0.23144104803493498</v>
      </c>
      <c r="Q13" s="226">
        <f>($G$13)/(($K$13/60)*$AC$13*(1/24))</f>
        <v>0.56552727272727277</v>
      </c>
      <c r="R13" s="226">
        <f>($G$13)/(($K$13/60)*$AD$13*(1/24))</f>
        <v>0.49899465240641716</v>
      </c>
      <c r="S13" s="224">
        <f>(G13)*24/(K13/60)/15000</f>
        <v>0.56552727272727277</v>
      </c>
      <c r="T13" s="225">
        <f>(G13)*24/(K13/60)/17000</f>
        <v>0.49899465240641716</v>
      </c>
      <c r="U13" s="233">
        <f>(615-M13)/615</f>
        <v>0.72682926829268291</v>
      </c>
      <c r="V13" s="1013" t="s">
        <v>415</v>
      </c>
      <c r="W13" s="1014"/>
      <c r="X13" s="1014"/>
      <c r="Y13" s="1014"/>
      <c r="Z13" s="1014"/>
      <c r="AA13" s="1014"/>
      <c r="AB13" s="1015"/>
      <c r="AC13" s="19">
        <v>15000</v>
      </c>
      <c r="AD13" s="19">
        <v>17000</v>
      </c>
    </row>
    <row r="14" spans="2:30" s="19" customFormat="1" ht="28.5" customHeight="1" x14ac:dyDescent="0.2">
      <c r="B14" s="1037">
        <v>42746</v>
      </c>
      <c r="C14" s="26" t="s">
        <v>32</v>
      </c>
      <c r="D14" s="27">
        <v>300</v>
      </c>
      <c r="E14" s="1051">
        <v>0.31458333333333333</v>
      </c>
      <c r="F14" s="989">
        <f>SUM([3]January_2017!$J18)</f>
        <v>311.93</v>
      </c>
      <c r="G14" s="30">
        <f>SUM([3]January_2017!$F18)</f>
        <v>276</v>
      </c>
      <c r="H14" s="989">
        <f>SUM([3]January_2017!$K18)</f>
        <v>311.05799999999999</v>
      </c>
      <c r="I14" s="1004">
        <f>SUM([3]January_2017!$N18)</f>
        <v>24.25</v>
      </c>
      <c r="J14" s="991">
        <f>SUM([3]January_2017!$Q18)</f>
        <v>460.5537459283388</v>
      </c>
      <c r="K14" s="991">
        <f>SUM([3]January_2017!$E18)</f>
        <v>614</v>
      </c>
      <c r="L14" s="1017">
        <v>0.71111111111111114</v>
      </c>
      <c r="M14" s="991">
        <f>SUM([3]January_2017!$M18)</f>
        <v>57</v>
      </c>
      <c r="N14" s="1043">
        <f>[4]Jan!$I$17/K14</f>
        <v>1.6286644951140066E-3</v>
      </c>
      <c r="O14" s="172"/>
      <c r="P14" s="1045">
        <f>SUM([3]January_2017!$P18)</f>
        <v>0.27954989901580934</v>
      </c>
      <c r="Q14" s="1039">
        <f>($G$14+$G$15)/(($K$14/60)*$AC$14*(1/24))</f>
        <v>0.73688599348534201</v>
      </c>
      <c r="R14" s="1039">
        <f>($G$14+$G$15)/(($K$14/60)*$AD$14*(1/24))</f>
        <v>0.65019352366353711</v>
      </c>
      <c r="S14" s="1039">
        <f>(G14+G15)*24/(K14/60)/15000</f>
        <v>0.73688599348534212</v>
      </c>
      <c r="T14" s="1047">
        <f>(G14+G15)*24/(K14/60)/17000</f>
        <v>0.65019352366353722</v>
      </c>
      <c r="U14" s="1035">
        <f>(723-M14)/723</f>
        <v>0.92116182572614103</v>
      </c>
      <c r="V14" s="1056" t="s">
        <v>416</v>
      </c>
      <c r="W14" s="1057"/>
      <c r="X14" s="1057"/>
      <c r="Y14" s="1057"/>
      <c r="Z14" s="1057"/>
      <c r="AA14" s="1057"/>
      <c r="AB14" s="1058"/>
      <c r="AC14" s="19">
        <v>15000</v>
      </c>
      <c r="AD14" s="19">
        <v>17000</v>
      </c>
    </row>
    <row r="15" spans="2:30" s="19" customFormat="1" ht="26.25" customHeight="1" x14ac:dyDescent="0.2">
      <c r="B15" s="1038"/>
      <c r="C15" s="26" t="s">
        <v>29</v>
      </c>
      <c r="D15" s="27">
        <v>2800</v>
      </c>
      <c r="E15" s="1053"/>
      <c r="F15" s="990"/>
      <c r="G15" s="30">
        <f>SUM([3]January_2017!$F19)</f>
        <v>4437</v>
      </c>
      <c r="H15" s="990"/>
      <c r="I15" s="1005"/>
      <c r="J15" s="992"/>
      <c r="K15" s="992"/>
      <c r="L15" s="1018"/>
      <c r="M15" s="992"/>
      <c r="N15" s="1044"/>
      <c r="O15" s="172"/>
      <c r="P15" s="1046"/>
      <c r="Q15" s="1040"/>
      <c r="R15" s="1040"/>
      <c r="S15" s="1040"/>
      <c r="T15" s="1048"/>
      <c r="U15" s="1036"/>
      <c r="V15" s="1059"/>
      <c r="W15" s="1060"/>
      <c r="X15" s="1060"/>
      <c r="Y15" s="1060"/>
      <c r="Z15" s="1060"/>
      <c r="AA15" s="1060"/>
      <c r="AB15" s="1061"/>
      <c r="AC15" s="19">
        <v>15000</v>
      </c>
      <c r="AD15" s="19">
        <v>17000</v>
      </c>
    </row>
    <row r="16" spans="2:30" s="19" customFormat="1" ht="60" customHeight="1" x14ac:dyDescent="0.2">
      <c r="B16" s="168">
        <v>42747</v>
      </c>
      <c r="C16" s="26" t="s">
        <v>30</v>
      </c>
      <c r="D16" s="27">
        <v>4800</v>
      </c>
      <c r="E16" s="28">
        <v>0.31111111111111112</v>
      </c>
      <c r="F16" s="29">
        <f>SUM([3]January_2017!$J20)</f>
        <v>321.79999999999995</v>
      </c>
      <c r="G16" s="30">
        <f>SUM([3]January_2017!$F20)</f>
        <v>4854</v>
      </c>
      <c r="H16" s="29">
        <f>SUM([3]January_2017!$K20)</f>
        <v>320.36400000000003</v>
      </c>
      <c r="I16" s="31">
        <f>SUM([3]January_2017!$N20)</f>
        <v>23.5</v>
      </c>
      <c r="J16" s="32">
        <f>SUM([3]January_2017!$Q20)</f>
        <v>470.50080775444263</v>
      </c>
      <c r="K16" s="32">
        <f>SUM([3]January_2017!$E20)</f>
        <v>619</v>
      </c>
      <c r="L16" s="169">
        <v>0.80763888888888891</v>
      </c>
      <c r="M16" s="32">
        <f>SUM([3]January_2017!$M20)</f>
        <v>128</v>
      </c>
      <c r="N16" s="237"/>
      <c r="O16" s="172"/>
      <c r="P16" s="33">
        <f>SUM([3]January_2017!$P20)</f>
        <v>0.44623990055932938</v>
      </c>
      <c r="Q16" s="224">
        <f>($G$16)/(($K$16/60)*$AC$16*(1/24))</f>
        <v>0.75280129240710836</v>
      </c>
      <c r="R16" s="224">
        <f>($G$16)/(($K$16/60)*$AD$16*(1/24))</f>
        <v>0.6642364344768602</v>
      </c>
      <c r="S16" s="224">
        <f>(G16)*24/(K16/60)/15000</f>
        <v>0.75280129240710825</v>
      </c>
      <c r="T16" s="225">
        <f>(G16)*24/(K16/60)/17000</f>
        <v>0.6642364344768602</v>
      </c>
      <c r="U16" s="233">
        <f>(745-M16)/745</f>
        <v>0.82818791946308723</v>
      </c>
      <c r="V16" s="1013" t="s">
        <v>417</v>
      </c>
      <c r="W16" s="1014"/>
      <c r="X16" s="1014"/>
      <c r="Y16" s="1014"/>
      <c r="Z16" s="1014"/>
      <c r="AA16" s="1014"/>
      <c r="AB16" s="1015"/>
      <c r="AC16" s="19">
        <v>15000</v>
      </c>
      <c r="AD16" s="19">
        <v>17000</v>
      </c>
    </row>
    <row r="17" spans="2:30" s="19" customFormat="1" ht="52.5" customHeight="1" x14ac:dyDescent="0.2">
      <c r="B17" s="168">
        <v>42748</v>
      </c>
      <c r="C17" s="26" t="s">
        <v>30</v>
      </c>
      <c r="D17" s="27">
        <v>2200</v>
      </c>
      <c r="E17" s="28">
        <v>0.31388888888888888</v>
      </c>
      <c r="F17" s="29">
        <f>SUM([3]January_2017!$J21)</f>
        <v>155.19999999999999</v>
      </c>
      <c r="G17" s="30">
        <f>SUM([3]January_2017!$F21)</f>
        <v>2341</v>
      </c>
      <c r="H17" s="29">
        <f>SUM([3]January_2017!$K21)</f>
        <v>154.506</v>
      </c>
      <c r="I17" s="31">
        <f>SUM([3]January_2017!$N21)</f>
        <v>31</v>
      </c>
      <c r="J17" s="32">
        <f>SUM([3]January_2017!$Q21)</f>
        <v>340.09685230024212</v>
      </c>
      <c r="K17" s="32">
        <f>SUM([3]January_2017!$E21)</f>
        <v>413</v>
      </c>
      <c r="L17" s="169">
        <v>0.69930555555555562</v>
      </c>
      <c r="M17" s="32">
        <f>SUM([3]January_2017!$M21)</f>
        <v>225</v>
      </c>
      <c r="N17" s="237"/>
      <c r="O17" s="172"/>
      <c r="P17" s="33">
        <f>SUM([3]January_2017!$P21)</f>
        <v>0.44716494845360077</v>
      </c>
      <c r="Q17" s="224">
        <f>($G$17)/(($K$17/60)*$AC$17*(1/24))</f>
        <v>0.5441549636803874</v>
      </c>
      <c r="R17" s="224">
        <f>($G$17)/(($K$17/60)*$AD$17*(1/24))</f>
        <v>0.48013673265916534</v>
      </c>
      <c r="S17" s="224">
        <f>(G17)*24/(K17/60)/15000</f>
        <v>0.5441549636803874</v>
      </c>
      <c r="T17" s="225">
        <f>(G17)*24/(K17/60)/17000</f>
        <v>0.48013673265916534</v>
      </c>
      <c r="U17" s="233">
        <f>(593-M17)/593</f>
        <v>0.62057335581787521</v>
      </c>
      <c r="V17" s="1013" t="s">
        <v>418</v>
      </c>
      <c r="W17" s="1014"/>
      <c r="X17" s="1014"/>
      <c r="Y17" s="1014"/>
      <c r="Z17" s="1014"/>
      <c r="AA17" s="1014"/>
      <c r="AB17" s="1015"/>
      <c r="AC17" s="19">
        <v>15000</v>
      </c>
      <c r="AD17" s="19">
        <v>17000</v>
      </c>
    </row>
    <row r="18" spans="2:30" s="19" customFormat="1" ht="55.5" customHeight="1" x14ac:dyDescent="0.2">
      <c r="B18" s="168">
        <v>42751</v>
      </c>
      <c r="C18" s="26" t="s">
        <v>42</v>
      </c>
      <c r="D18" s="27">
        <v>4200</v>
      </c>
      <c r="E18" s="28">
        <v>0.32430555555555557</v>
      </c>
      <c r="F18" s="29">
        <f>SUM([3]January_2017!$J22)</f>
        <v>296.70000000000005</v>
      </c>
      <c r="G18" s="30">
        <f>SUM([3]January_2017!$F22)</f>
        <v>4467</v>
      </c>
      <c r="H18" s="29">
        <f>SUM([3]January_2017!$K22)</f>
        <v>294.822</v>
      </c>
      <c r="I18" s="31">
        <f>SUM([3]January_2017!$N22)</f>
        <v>15</v>
      </c>
      <c r="J18" s="32">
        <f>SUM([3]January_2017!$Q22)</f>
        <v>521.43968871595337</v>
      </c>
      <c r="K18" s="32">
        <f>SUM([3]January_2017!$E22)</f>
        <v>514</v>
      </c>
      <c r="L18" s="169">
        <v>0.72916666666666663</v>
      </c>
      <c r="M18" s="32">
        <f>SUM([3]January_2017!$M22)</f>
        <v>79</v>
      </c>
      <c r="N18" s="237"/>
      <c r="O18" s="172"/>
      <c r="P18" s="33">
        <f>SUM([3]January_2017!$P22)</f>
        <v>0.63296258847321951</v>
      </c>
      <c r="Q18" s="224">
        <f>($G$18)/(($K$18/60)*$AC$18*(1/24))</f>
        <v>0.83430350194552538</v>
      </c>
      <c r="R18" s="224">
        <f>($G$18)/(($K$18/60)*$AD$18*(1/24))</f>
        <v>0.73615014877546348</v>
      </c>
      <c r="S18" s="224">
        <f>(G18)*24/(K18/60)/15000</f>
        <v>0.83430350194552527</v>
      </c>
      <c r="T18" s="225">
        <f>(G18)*24/(K18/60)/17000</f>
        <v>0.73615014877546348</v>
      </c>
      <c r="U18" s="233">
        <f>(615-M18)/615</f>
        <v>0.87154471544715451</v>
      </c>
      <c r="V18" s="1013" t="s">
        <v>419</v>
      </c>
      <c r="W18" s="1014"/>
      <c r="X18" s="1014"/>
      <c r="Y18" s="1014"/>
      <c r="Z18" s="1014"/>
      <c r="AA18" s="1014"/>
      <c r="AB18" s="1015"/>
      <c r="AC18" s="19">
        <v>15000</v>
      </c>
      <c r="AD18" s="19">
        <v>17000</v>
      </c>
    </row>
    <row r="19" spans="2:30" s="19" customFormat="1" ht="69.75" customHeight="1" x14ac:dyDescent="0.2">
      <c r="B19" s="168">
        <v>42752</v>
      </c>
      <c r="C19" s="26" t="s">
        <v>27</v>
      </c>
      <c r="D19" s="27">
        <v>4200</v>
      </c>
      <c r="E19" s="28">
        <v>0.31597222222222221</v>
      </c>
      <c r="F19" s="29">
        <f>SUM([3]January_2017!$J23)</f>
        <v>301.10000000000002</v>
      </c>
      <c r="G19" s="30">
        <f>SUM([3]January_2017!$F23)</f>
        <v>4480</v>
      </c>
      <c r="H19" s="29">
        <f>SUM([3]January_2017!$K23)</f>
        <v>299.48</v>
      </c>
      <c r="I19" s="31">
        <f>SUM([3]January_2017!$N23)</f>
        <v>32.75</v>
      </c>
      <c r="J19" s="32">
        <f>SUM([3]January_2017!$Q23)</f>
        <v>534.39363817097421</v>
      </c>
      <c r="K19" s="32">
        <f>SUM([3]January_2017!$E23)</f>
        <v>503</v>
      </c>
      <c r="L19" s="169">
        <v>0.72152777777777777</v>
      </c>
      <c r="M19" s="32">
        <f>SUM([3]January_2017!$M23)</f>
        <v>113</v>
      </c>
      <c r="N19" s="237"/>
      <c r="O19" s="172"/>
      <c r="P19" s="33">
        <f>SUM([3]January_2017!$P23)</f>
        <v>0.53802723347725157</v>
      </c>
      <c r="Q19" s="224">
        <f>($G$19)/(($K$19/60)*$AC$19*(1/24))</f>
        <v>0.85502982107355874</v>
      </c>
      <c r="R19" s="224">
        <f>($G$19)/(($K$19/60)*$AD$19*(1/24))</f>
        <v>0.75443807741784596</v>
      </c>
      <c r="S19" s="224">
        <f>(G19)*24/(K19/60)/15000</f>
        <v>0.85502982107355863</v>
      </c>
      <c r="T19" s="225">
        <f>(G19)*24/(K19/60)/17000</f>
        <v>0.75443807741784585</v>
      </c>
      <c r="U19" s="233">
        <f>(612-M19)/612</f>
        <v>0.815359477124183</v>
      </c>
      <c r="V19" s="1013" t="s">
        <v>420</v>
      </c>
      <c r="W19" s="1014"/>
      <c r="X19" s="1014"/>
      <c r="Y19" s="1014"/>
      <c r="Z19" s="1014"/>
      <c r="AA19" s="1014"/>
      <c r="AB19" s="1015"/>
      <c r="AC19" s="19">
        <v>15000</v>
      </c>
      <c r="AD19" s="19">
        <v>17000</v>
      </c>
    </row>
    <row r="20" spans="2:30" s="19" customFormat="1" ht="74.25" customHeight="1" x14ac:dyDescent="0.2">
      <c r="B20" s="168">
        <v>42753</v>
      </c>
      <c r="C20" s="26" t="s">
        <v>33</v>
      </c>
      <c r="D20" s="27">
        <v>5200</v>
      </c>
      <c r="E20" s="28">
        <v>0.31875000000000003</v>
      </c>
      <c r="F20" s="29">
        <f>SUM([3]January_2017!$J24)</f>
        <v>349.6</v>
      </c>
      <c r="G20" s="30">
        <f>SUM([3]January_2017!$F24)</f>
        <v>5258</v>
      </c>
      <c r="H20" s="29">
        <f>SUM([3]January_2017!$K24)</f>
        <v>347.02800000000002</v>
      </c>
      <c r="I20" s="31">
        <f>SUM([3]January_2017!$N24)</f>
        <v>24.75</v>
      </c>
      <c r="J20" s="32">
        <f>SUM([3]January_2017!$Q24)</f>
        <v>528.4422110552764</v>
      </c>
      <c r="K20" s="32">
        <f>SUM([3]January_2017!$E24)</f>
        <v>597</v>
      </c>
      <c r="L20" s="169">
        <v>0.79027777777777775</v>
      </c>
      <c r="M20" s="32">
        <f>SUM([3]January_2017!$M24)</f>
        <v>105</v>
      </c>
      <c r="N20" s="237"/>
      <c r="O20" s="172"/>
      <c r="P20" s="33">
        <f>SUM([3]January_2017!$P24)</f>
        <v>0.73569794050343318</v>
      </c>
      <c r="Q20" s="224">
        <f>($G$20)/(($K$20/60)*$AC$20*(1/24))</f>
        <v>0.84550753768844222</v>
      </c>
      <c r="R20" s="224">
        <f>($G$20)/(($K$20/60)*$AD$20*(1/24))</f>
        <v>0.74603606266627265</v>
      </c>
      <c r="S20" s="224">
        <f>(G20)*24/(K20/60)/15000</f>
        <v>0.84550753768844222</v>
      </c>
      <c r="T20" s="225">
        <f>(G20)*24/(K20/60)/17000</f>
        <v>0.74603606266627254</v>
      </c>
      <c r="U20" s="233">
        <f>(715-M20)/715</f>
        <v>0.85314685314685312</v>
      </c>
      <c r="V20" s="1013" t="s">
        <v>421</v>
      </c>
      <c r="W20" s="1014"/>
      <c r="X20" s="1014"/>
      <c r="Y20" s="1014"/>
      <c r="Z20" s="1014"/>
      <c r="AA20" s="1014"/>
      <c r="AB20" s="1015"/>
      <c r="AC20" s="19">
        <v>15000</v>
      </c>
      <c r="AD20" s="19">
        <v>17000</v>
      </c>
    </row>
    <row r="21" spans="2:30" s="19" customFormat="1" ht="35.25" customHeight="1" x14ac:dyDescent="0.2">
      <c r="B21" s="1037">
        <v>42754</v>
      </c>
      <c r="C21" s="26" t="s">
        <v>33</v>
      </c>
      <c r="D21" s="27">
        <v>1100</v>
      </c>
      <c r="E21" s="1051">
        <v>0.3215277777777778</v>
      </c>
      <c r="F21" s="29">
        <f>SUM([3]January_2017!$J25)</f>
        <v>69.7</v>
      </c>
      <c r="G21" s="30">
        <f>SUM([3]January_2017!$F25)</f>
        <v>1034</v>
      </c>
      <c r="H21" s="29">
        <f>SUM([3]January_2017!$K25)</f>
        <v>68.244</v>
      </c>
      <c r="I21" s="31">
        <f>SUM([3]January_2017!$N25)</f>
        <v>14</v>
      </c>
      <c r="J21" s="991">
        <f>SUM([3]January_2017!$Q25)</f>
        <v>488.4</v>
      </c>
      <c r="K21" s="991">
        <f>SUM([3]January_2017!$E25)</f>
        <v>600</v>
      </c>
      <c r="L21" s="1017">
        <v>0.78749999999999998</v>
      </c>
      <c r="M21" s="32">
        <f>SUM([3]January_2017!$M25)</f>
        <v>18</v>
      </c>
      <c r="N21" s="237"/>
      <c r="O21" s="172"/>
      <c r="P21" s="33">
        <f>SUM([3]January_2017!$P25)</f>
        <v>2.088952654232429</v>
      </c>
      <c r="Q21" s="1039">
        <f>($G$21+$G$22)/(($K$21/60)*$AC$21*(1/24))</f>
        <v>0.78144000000000002</v>
      </c>
      <c r="R21" s="1039">
        <f>($G$21+$G$22)/(($K$21/60)*$AD$21*(1/24))</f>
        <v>0.68950588235294119</v>
      </c>
      <c r="S21" s="1039">
        <f>(G21+G22)*24/(K21/60)/15000</f>
        <v>0.78144000000000002</v>
      </c>
      <c r="T21" s="1047">
        <f>(G21+G22)*24/(K21/60)/17000</f>
        <v>0.68950588235294119</v>
      </c>
      <c r="U21" s="1035">
        <f>(706-101)/706</f>
        <v>0.85694050991501414</v>
      </c>
      <c r="V21" s="1013" t="s">
        <v>423</v>
      </c>
      <c r="W21" s="1014"/>
      <c r="X21" s="1014"/>
      <c r="Y21" s="1014"/>
      <c r="Z21" s="1014"/>
      <c r="AA21" s="1014"/>
      <c r="AB21" s="1015"/>
      <c r="AC21" s="19">
        <v>15000</v>
      </c>
      <c r="AD21" s="19">
        <v>17000</v>
      </c>
    </row>
    <row r="22" spans="2:30" s="19" customFormat="1" ht="38.25" customHeight="1" x14ac:dyDescent="0.2">
      <c r="B22" s="1038"/>
      <c r="C22" s="26" t="s">
        <v>28</v>
      </c>
      <c r="D22" s="27">
        <v>4900</v>
      </c>
      <c r="E22" s="1053"/>
      <c r="F22" s="29">
        <f>SUM([3]January_2017!$J26)</f>
        <v>258.3</v>
      </c>
      <c r="G22" s="30">
        <f>SUM([3]January_2017!$F26)</f>
        <v>3850</v>
      </c>
      <c r="H22" s="29">
        <f>SUM([3]January_2017!$K26)</f>
        <v>254.10000000000002</v>
      </c>
      <c r="I22" s="31">
        <f>SUM([3]January_2017!$N26)</f>
        <v>11</v>
      </c>
      <c r="J22" s="992"/>
      <c r="K22" s="992"/>
      <c r="L22" s="1018"/>
      <c r="M22" s="32">
        <f>SUM([3]January_2017!$M26)</f>
        <v>83</v>
      </c>
      <c r="N22" s="237">
        <f>[4]Jan!$I$24/K21</f>
        <v>6.1666666666666668E-2</v>
      </c>
      <c r="O22" s="172"/>
      <c r="P22" s="33">
        <f>SUM([3]January_2017!$P26)</f>
        <v>1.6260162601625974</v>
      </c>
      <c r="Q22" s="1040"/>
      <c r="R22" s="1040"/>
      <c r="S22" s="1040"/>
      <c r="T22" s="1048"/>
      <c r="U22" s="1036"/>
      <c r="V22" s="1013" t="s">
        <v>424</v>
      </c>
      <c r="W22" s="1014"/>
      <c r="X22" s="1014"/>
      <c r="Y22" s="1014"/>
      <c r="Z22" s="1014"/>
      <c r="AA22" s="1014"/>
      <c r="AB22" s="1015"/>
      <c r="AC22" s="19">
        <v>15000</v>
      </c>
      <c r="AD22" s="19">
        <v>17000</v>
      </c>
    </row>
    <row r="23" spans="2:30" s="19" customFormat="1" ht="33.75" customHeight="1" x14ac:dyDescent="0.2">
      <c r="B23" s="1037">
        <v>42755</v>
      </c>
      <c r="C23" s="26" t="s">
        <v>28</v>
      </c>
      <c r="D23" s="27"/>
      <c r="E23" s="1051">
        <v>0.31875000000000003</v>
      </c>
      <c r="F23" s="29">
        <f>SUM([3]January_2017!$J27)</f>
        <v>87.7</v>
      </c>
      <c r="G23" s="30">
        <f>SUM([3]January_2017!$F27)</f>
        <v>1312</v>
      </c>
      <c r="H23" s="29">
        <f>SUM([3]January_2017!$K27)</f>
        <v>86.591999999999999</v>
      </c>
      <c r="I23" s="31">
        <f>SUM([3]January_2017!$N27)</f>
        <v>11.25</v>
      </c>
      <c r="J23" s="991">
        <f>SUM([3]January_2017!$Q27)</f>
        <v>525.56818181818176</v>
      </c>
      <c r="K23" s="991">
        <f>SUM([3]January_2017!$E27)</f>
        <v>528</v>
      </c>
      <c r="L23" s="1017">
        <v>0.73749999999999993</v>
      </c>
      <c r="M23" s="32">
        <f>SUM([3]January_2017!$M27)</f>
        <v>12</v>
      </c>
      <c r="N23" s="237"/>
      <c r="O23" s="172"/>
      <c r="P23" s="33">
        <f>SUM([3]January_2017!$P27)</f>
        <v>1.2633979475484653</v>
      </c>
      <c r="Q23" s="1039">
        <f>($G$23+$G$24)/(($K$23/60)*$AC$23*(1/24))</f>
        <v>0.84090909090909094</v>
      </c>
      <c r="R23" s="1039">
        <f>($G$23+$G$24)/(($K$23/60)*$AD$23*(1/24))</f>
        <v>0.74197860962566853</v>
      </c>
      <c r="S23" s="1039">
        <f>(G23+G24)*24/(K23/60)/15000</f>
        <v>0.84090909090909083</v>
      </c>
      <c r="T23" s="1047">
        <f>(G23+G24)*24/(K23/60)/17000</f>
        <v>0.74197860962566842</v>
      </c>
      <c r="U23" s="1035">
        <f>(636-(M23+M24))/636</f>
        <v>0.82075471698113212</v>
      </c>
      <c r="V23" s="1013" t="s">
        <v>426</v>
      </c>
      <c r="W23" s="1014"/>
      <c r="X23" s="1014"/>
      <c r="Y23" s="1014"/>
      <c r="Z23" s="1014"/>
      <c r="AA23" s="1014"/>
      <c r="AB23" s="1015"/>
      <c r="AC23" s="19">
        <v>15000</v>
      </c>
      <c r="AD23" s="19">
        <v>17000</v>
      </c>
    </row>
    <row r="24" spans="2:30" s="19" customFormat="1" ht="55.5" customHeight="1" x14ac:dyDescent="0.2">
      <c r="B24" s="1038"/>
      <c r="C24" s="26" t="s">
        <v>27</v>
      </c>
      <c r="D24" s="27">
        <v>3500</v>
      </c>
      <c r="E24" s="1053"/>
      <c r="F24" s="29">
        <f>SUM([3]January_2017!$J28)</f>
        <v>221.1</v>
      </c>
      <c r="G24" s="30">
        <f>SUM([3]January_2017!$F28)</f>
        <v>3313</v>
      </c>
      <c r="H24" s="29">
        <f>SUM([3]January_2017!$K28)</f>
        <v>218.65800000000002</v>
      </c>
      <c r="I24" s="31">
        <f>SUM([3]January_2017!$N28)</f>
        <v>13.75</v>
      </c>
      <c r="J24" s="992"/>
      <c r="K24" s="992"/>
      <c r="L24" s="1018"/>
      <c r="M24" s="32">
        <f>SUM([3]January_2017!$M28)</f>
        <v>102</v>
      </c>
      <c r="N24" s="237">
        <f>[4]Jan!$I$26/K23</f>
        <v>0.10795454545454546</v>
      </c>
      <c r="O24" s="172"/>
      <c r="P24" s="33">
        <f>SUM([3]January_2017!$P28)</f>
        <v>1.104477611940289</v>
      </c>
      <c r="Q24" s="1040"/>
      <c r="R24" s="1040"/>
      <c r="S24" s="1040"/>
      <c r="T24" s="1048"/>
      <c r="U24" s="1036"/>
      <c r="V24" s="1013" t="s">
        <v>427</v>
      </c>
      <c r="W24" s="1014"/>
      <c r="X24" s="1014"/>
      <c r="Y24" s="1014"/>
      <c r="Z24" s="1014"/>
      <c r="AA24" s="1014"/>
      <c r="AB24" s="1015"/>
      <c r="AC24" s="19">
        <v>15000</v>
      </c>
      <c r="AD24" s="19">
        <v>17000</v>
      </c>
    </row>
    <row r="25" spans="2:30" s="19" customFormat="1" ht="90.75" customHeight="1" x14ac:dyDescent="0.2">
      <c r="B25" s="168">
        <v>42758</v>
      </c>
      <c r="C25" s="26" t="s">
        <v>29</v>
      </c>
      <c r="D25" s="27">
        <v>4900</v>
      </c>
      <c r="E25" s="28">
        <v>0.31458333333333333</v>
      </c>
      <c r="F25" s="29">
        <f>SUM([3]January_2017!$J29)</f>
        <v>362.69999999999993</v>
      </c>
      <c r="G25" s="30">
        <f>SUM([3]January_2017!$F29)</f>
        <v>5083</v>
      </c>
      <c r="H25" s="29">
        <f>SUM([3]January_2017!$K29)</f>
        <v>359.22800000000001</v>
      </c>
      <c r="I25" s="31">
        <f>SUM([3]January_2017!$N29)</f>
        <v>16.25</v>
      </c>
      <c r="J25" s="32">
        <f>SUM([3]January_2017!$Q29)</f>
        <v>498.33333333333337</v>
      </c>
      <c r="K25" s="32">
        <f>SUM([3]January_2017!$E29)</f>
        <v>612</v>
      </c>
      <c r="L25" s="169">
        <v>0.79027777777777775</v>
      </c>
      <c r="M25" s="32">
        <f>SUM([3]January_2017!$M29)</f>
        <v>118</v>
      </c>
      <c r="N25" s="237"/>
      <c r="O25" s="172"/>
      <c r="P25" s="33">
        <f>SUM([3]January_2017!$P29)</f>
        <v>0.95726495726493632</v>
      </c>
      <c r="Q25" s="224">
        <f>($G$25)/(($K$25/60)*$AC$25*(1/24))</f>
        <v>0.79733333333333334</v>
      </c>
      <c r="R25" s="224">
        <f>($G$25)/(($K$25/60)*$AD$25*(1/24))</f>
        <v>0.70352941176470585</v>
      </c>
      <c r="S25" s="224">
        <f>(G25)*24/(K25/60)/15000</f>
        <v>0.79733333333333334</v>
      </c>
      <c r="T25" s="225">
        <f>(G25)*24/(K25/60)/17000</f>
        <v>0.70352941176470585</v>
      </c>
      <c r="U25" s="233">
        <f>(708-M25)/708</f>
        <v>0.83333333333333337</v>
      </c>
      <c r="V25" s="1013" t="s">
        <v>429</v>
      </c>
      <c r="W25" s="1014"/>
      <c r="X25" s="1014"/>
      <c r="Y25" s="1014"/>
      <c r="Z25" s="1014"/>
      <c r="AA25" s="1014"/>
      <c r="AB25" s="1015"/>
      <c r="AC25" s="19">
        <v>15000</v>
      </c>
      <c r="AD25" s="19">
        <v>17000</v>
      </c>
    </row>
    <row r="26" spans="2:30" s="19" customFormat="1" ht="19.5" customHeight="1" x14ac:dyDescent="0.2">
      <c r="B26" s="1037">
        <v>42759</v>
      </c>
      <c r="C26" s="26" t="s">
        <v>29</v>
      </c>
      <c r="D26" s="27">
        <v>1500</v>
      </c>
      <c r="E26" s="1051">
        <v>0.3125</v>
      </c>
      <c r="F26" s="989">
        <f>SUM([3]January_2017!$J30)</f>
        <v>90.4</v>
      </c>
      <c r="G26" s="30">
        <f>SUM([3]January_2017!$F30)</f>
        <v>1069</v>
      </c>
      <c r="H26" s="989">
        <f>SUM([3]January_2017!$K30)</f>
        <v>89.364000000000004</v>
      </c>
      <c r="I26" s="1004">
        <f>SUM([3]January_2017!$N30)</f>
        <v>9</v>
      </c>
      <c r="J26" s="991">
        <f>SUM([3]January_2017!$Q30)</f>
        <v>461.3478260869565</v>
      </c>
      <c r="K26" s="991">
        <f>SUM([3]January_2017!$E30)</f>
        <v>460</v>
      </c>
      <c r="L26" s="1017">
        <v>0.69166666666666676</v>
      </c>
      <c r="M26" s="991">
        <f>SUM([3]January_2017!$M30)</f>
        <v>30</v>
      </c>
      <c r="N26" s="1043"/>
      <c r="O26" s="172"/>
      <c r="P26" s="1045">
        <f>SUM([3]January_2017!$P30)</f>
        <v>1.1460176991150457</v>
      </c>
      <c r="Q26" s="1039">
        <f>($G$26+$G$27+$G$28+$G$29)/(($K$26/60)*$AC$26*(1/24))</f>
        <v>0.73815652173913049</v>
      </c>
      <c r="R26" s="1039">
        <f>($G$26+$G$27+$G$28+$G$29)/(($K$26/60)*$AD$26*(1/24))</f>
        <v>0.65131457800511505</v>
      </c>
      <c r="S26" s="1039">
        <f>(G26+G27+G28+G29)*24/(K26/60)/15000</f>
        <v>0.73815652173913038</v>
      </c>
      <c r="T26" s="1047">
        <f>(G26+G27+G28+G29)*24/(K26/60)/17000</f>
        <v>0.65131457800511505</v>
      </c>
      <c r="U26" s="1035">
        <f>(571-(M26+M28+M29))/571</f>
        <v>0.80035026269702281</v>
      </c>
      <c r="V26" s="1056" t="s">
        <v>430</v>
      </c>
      <c r="W26" s="1057"/>
      <c r="X26" s="1057"/>
      <c r="Y26" s="1057"/>
      <c r="Z26" s="1057"/>
      <c r="AA26" s="1057"/>
      <c r="AB26" s="1058"/>
      <c r="AC26" s="19">
        <v>15000</v>
      </c>
      <c r="AD26" s="19">
        <v>17000</v>
      </c>
    </row>
    <row r="27" spans="2:30" s="19" customFormat="1" ht="19.5" customHeight="1" x14ac:dyDescent="0.2">
      <c r="B27" s="1050"/>
      <c r="C27" s="26" t="s">
        <v>32</v>
      </c>
      <c r="D27" s="27">
        <v>300</v>
      </c>
      <c r="E27" s="1052"/>
      <c r="F27" s="990"/>
      <c r="G27" s="30">
        <f>SUM([3]January_2017!$F31)</f>
        <v>285</v>
      </c>
      <c r="H27" s="990"/>
      <c r="I27" s="1005"/>
      <c r="J27" s="1042"/>
      <c r="K27" s="1042"/>
      <c r="L27" s="1055"/>
      <c r="M27" s="992"/>
      <c r="N27" s="1044"/>
      <c r="O27" s="172"/>
      <c r="P27" s="1046"/>
      <c r="Q27" s="1041"/>
      <c r="R27" s="1041"/>
      <c r="S27" s="1041"/>
      <c r="T27" s="1049"/>
      <c r="U27" s="1054"/>
      <c r="V27" s="1059"/>
      <c r="W27" s="1060"/>
      <c r="X27" s="1060"/>
      <c r="Y27" s="1060"/>
      <c r="Z27" s="1060"/>
      <c r="AA27" s="1060"/>
      <c r="AB27" s="1061"/>
      <c r="AC27" s="19">
        <v>15000</v>
      </c>
      <c r="AD27" s="19">
        <v>17000</v>
      </c>
    </row>
    <row r="28" spans="2:30" s="19" customFormat="1" ht="54" customHeight="1" x14ac:dyDescent="0.2">
      <c r="B28" s="1050"/>
      <c r="C28" s="26" t="s">
        <v>50</v>
      </c>
      <c r="D28" s="27">
        <v>1400</v>
      </c>
      <c r="E28" s="1052"/>
      <c r="F28" s="29">
        <f>SUM([3]January_2017!$J32)</f>
        <v>98.5</v>
      </c>
      <c r="G28" s="30">
        <f>SUM([3]January_2017!$F32)</f>
        <v>1468</v>
      </c>
      <c r="H28" s="29">
        <f>SUM([3]January_2017!$K32)</f>
        <v>96.888000000000005</v>
      </c>
      <c r="I28" s="31">
        <f>SUM([3]January_2017!$N32)</f>
        <v>3.25</v>
      </c>
      <c r="J28" s="1042"/>
      <c r="K28" s="1042"/>
      <c r="L28" s="1055"/>
      <c r="M28" s="32">
        <f>SUM([3]January_2017!$M32)</f>
        <v>27</v>
      </c>
      <c r="N28" s="237">
        <f>[4]Jan!$I$29/K26</f>
        <v>1.7391304347826087E-2</v>
      </c>
      <c r="O28" s="172"/>
      <c r="P28" s="33">
        <f>SUM([3]January_2017!$P32)</f>
        <v>1.6365482233502486</v>
      </c>
      <c r="Q28" s="1041"/>
      <c r="R28" s="1041"/>
      <c r="S28" s="1041"/>
      <c r="T28" s="1049"/>
      <c r="U28" s="1054"/>
      <c r="V28" s="1013" t="s">
        <v>431</v>
      </c>
      <c r="W28" s="1014"/>
      <c r="X28" s="1014"/>
      <c r="Y28" s="1014"/>
      <c r="Z28" s="1014"/>
      <c r="AA28" s="1014"/>
      <c r="AB28" s="1015"/>
      <c r="AC28" s="19">
        <v>15000</v>
      </c>
      <c r="AD28" s="19">
        <v>17000</v>
      </c>
    </row>
    <row r="29" spans="2:30" s="19" customFormat="1" ht="19.5" customHeight="1" x14ac:dyDescent="0.2">
      <c r="B29" s="1038"/>
      <c r="C29" s="26" t="s">
        <v>49</v>
      </c>
      <c r="D29" s="27">
        <v>700</v>
      </c>
      <c r="E29" s="1053"/>
      <c r="F29" s="29">
        <f>SUM([3]January_2017!$J33)</f>
        <v>50.2</v>
      </c>
      <c r="G29" s="30">
        <f>SUM([3]January_2017!$F33)</f>
        <v>715</v>
      </c>
      <c r="H29" s="29">
        <f>SUM([3]January_2017!$K33)</f>
        <v>47.190000000000005</v>
      </c>
      <c r="I29" s="31">
        <f>SUM([3]January_2017!$N33)</f>
        <v>5</v>
      </c>
      <c r="J29" s="992"/>
      <c r="K29" s="992"/>
      <c r="L29" s="1018"/>
      <c r="M29" s="32">
        <f>SUM([3]January_2017!$M33)</f>
        <v>57</v>
      </c>
      <c r="N29" s="237">
        <f>[4]Jan!$I$30/K26</f>
        <v>0.10652173913043478</v>
      </c>
      <c r="O29" s="172"/>
      <c r="P29" s="33">
        <f>SUM([3]January_2017!$P33)</f>
        <v>5.9960159362549756</v>
      </c>
      <c r="Q29" s="1040"/>
      <c r="R29" s="1040"/>
      <c r="S29" s="1040"/>
      <c r="T29" s="1048"/>
      <c r="U29" s="1036"/>
      <c r="V29" s="1013" t="s">
        <v>432</v>
      </c>
      <c r="W29" s="1014"/>
      <c r="X29" s="1014"/>
      <c r="Y29" s="1014"/>
      <c r="Z29" s="1014"/>
      <c r="AA29" s="1014"/>
      <c r="AB29" s="1015"/>
      <c r="AC29" s="19">
        <v>15000</v>
      </c>
      <c r="AD29" s="19">
        <v>17000</v>
      </c>
    </row>
    <row r="30" spans="2:30" s="19" customFormat="1" ht="74.25" customHeight="1" x14ac:dyDescent="0.2">
      <c r="B30" s="168">
        <v>42760</v>
      </c>
      <c r="C30" s="26" t="s">
        <v>31</v>
      </c>
      <c r="D30" s="27">
        <v>4000</v>
      </c>
      <c r="E30" s="28">
        <v>0.31597222222222221</v>
      </c>
      <c r="F30" s="29">
        <f>SUM([3]January_2017!$J34)</f>
        <v>314</v>
      </c>
      <c r="G30" s="30">
        <f>SUM([3]January_2017!$F34)</f>
        <v>4202</v>
      </c>
      <c r="H30" s="29">
        <f>SUM([3]January_2017!$K34)</f>
        <v>312.62879999999996</v>
      </c>
      <c r="I30" s="31">
        <f>SUM([3]January_2017!$N34)</f>
        <v>15.5</v>
      </c>
      <c r="J30" s="32">
        <f>SUM([3]January_2017!$Q34)</f>
        <v>380.84592145015108</v>
      </c>
      <c r="K30" s="32">
        <f>SUM([3]January_2017!$E34)</f>
        <v>662</v>
      </c>
      <c r="L30" s="169">
        <v>0.82847222222222217</v>
      </c>
      <c r="M30" s="32">
        <f>SUM([3]January_2017!$M34)</f>
        <v>127</v>
      </c>
      <c r="N30" s="237"/>
      <c r="O30" s="172"/>
      <c r="P30" s="33">
        <f>SUM([3]January_2017!$P34)</f>
        <v>0.43668789808918612</v>
      </c>
      <c r="Q30" s="224">
        <f>($G$30)/(($K$30/60)*$AC$30*(1/24))</f>
        <v>0.60935347432024167</v>
      </c>
      <c r="R30" s="224">
        <f>($G$30)/(($K$30/60)*$AD$30*(1/24))</f>
        <v>0.53766483028256618</v>
      </c>
      <c r="S30" s="224">
        <f>(G30)*24/(K30/60)/15000</f>
        <v>0.60935347432024178</v>
      </c>
      <c r="T30" s="225">
        <f>(G30)*24/(K30/60)/17000</f>
        <v>0.53766483028256629</v>
      </c>
      <c r="U30" s="233">
        <f>(783-M30)/783</f>
        <v>0.83780332056194129</v>
      </c>
      <c r="V30" s="1013" t="s">
        <v>433</v>
      </c>
      <c r="W30" s="1014"/>
      <c r="X30" s="1014"/>
      <c r="Y30" s="1014"/>
      <c r="Z30" s="1014"/>
      <c r="AA30" s="1014"/>
      <c r="AB30" s="1015"/>
      <c r="AC30" s="19">
        <v>15000</v>
      </c>
      <c r="AD30" s="19">
        <v>17000</v>
      </c>
    </row>
    <row r="31" spans="2:30" s="19" customFormat="1" ht="20.25" customHeight="1" x14ac:dyDescent="0.2">
      <c r="B31" s="1037">
        <v>42761</v>
      </c>
      <c r="C31" s="26" t="s">
        <v>90</v>
      </c>
      <c r="D31" s="27">
        <v>350</v>
      </c>
      <c r="E31" s="1051">
        <v>0.32500000000000001</v>
      </c>
      <c r="F31" s="29">
        <f>SUM([3]January_2017!$J35)</f>
        <v>28.045000000000002</v>
      </c>
      <c r="G31" s="30">
        <f>SUM([3]January_2017!$F35)</f>
        <v>355</v>
      </c>
      <c r="H31" s="29">
        <f>SUM([3]January_2017!$K35)</f>
        <v>28.045000000000002</v>
      </c>
      <c r="I31" s="31">
        <f>SUM([3]January_2017!$N35)</f>
        <v>11</v>
      </c>
      <c r="J31" s="991">
        <f>SUM([3]January_2017!$Q35)</f>
        <v>446.55097613882862</v>
      </c>
      <c r="K31" s="991">
        <f>SUM([3]January_2017!$E35)</f>
        <v>461</v>
      </c>
      <c r="L31" s="1017">
        <v>0.70000000000000007</v>
      </c>
      <c r="M31" s="32">
        <f>SUM([3]January_2017!$M35)</f>
        <v>10</v>
      </c>
      <c r="N31" s="237"/>
      <c r="O31" s="172"/>
      <c r="P31" s="33">
        <f>SUM([3]January_2017!$P35)</f>
        <v>0</v>
      </c>
      <c r="Q31" s="1039">
        <f>($G$31+$G$32+$G$33+$G$34)/(($K$31/60)*$AC$31*(1/24))</f>
        <v>0.71448156182212585</v>
      </c>
      <c r="R31" s="1039">
        <f>($G$31+$G$32+$G$33+$G$34)/(($K$31/60)*$AD$31*(1/24))</f>
        <v>0.63042490749011104</v>
      </c>
      <c r="S31" s="1039">
        <f>(G31+G32+G33+G34)*24/(K31/60)/15000</f>
        <v>0.71448156182212574</v>
      </c>
      <c r="T31" s="1047">
        <f>(G31+G32+G33+G34)*24/(K31/60)/17000</f>
        <v>0.63042490749011093</v>
      </c>
      <c r="U31" s="1035">
        <f>(590-(M31+M32+M33+M34))/590</f>
        <v>0.78644067796610173</v>
      </c>
      <c r="V31" s="1013" t="s">
        <v>436</v>
      </c>
      <c r="W31" s="1014"/>
      <c r="X31" s="1014"/>
      <c r="Y31" s="1014"/>
      <c r="Z31" s="1014"/>
      <c r="AA31" s="1014"/>
      <c r="AB31" s="1015"/>
      <c r="AC31" s="19">
        <v>15000</v>
      </c>
      <c r="AD31" s="19">
        <v>17000</v>
      </c>
    </row>
    <row r="32" spans="2:30" s="19" customFormat="1" ht="37.5" customHeight="1" x14ac:dyDescent="0.2">
      <c r="B32" s="1050"/>
      <c r="C32" s="26" t="s">
        <v>434</v>
      </c>
      <c r="D32" s="27">
        <v>1200</v>
      </c>
      <c r="E32" s="1052"/>
      <c r="F32" s="29">
        <f>SUM([3]January_2017!$J36)</f>
        <v>90.4</v>
      </c>
      <c r="G32" s="30">
        <f>SUM([3]January_2017!$F36)</f>
        <v>1142</v>
      </c>
      <c r="H32" s="29">
        <f>SUM([3]January_2017!$K36)</f>
        <v>90.218000000000004</v>
      </c>
      <c r="I32" s="31">
        <f>SUM([3]January_2017!$N36)</f>
        <v>2.25</v>
      </c>
      <c r="J32" s="1042"/>
      <c r="K32" s="1042"/>
      <c r="L32" s="1055"/>
      <c r="M32" s="32">
        <f>SUM([3]January_2017!$M36)</f>
        <v>28</v>
      </c>
      <c r="N32" s="237">
        <f>[4]Jan!$I$33/K31</f>
        <v>2.8199566160520606E-2</v>
      </c>
      <c r="O32" s="172"/>
      <c r="P32" s="33">
        <f>SUM([3]January_2017!$P36)</f>
        <v>0.20132743362832095</v>
      </c>
      <c r="Q32" s="1041"/>
      <c r="R32" s="1041"/>
      <c r="S32" s="1041"/>
      <c r="T32" s="1049"/>
      <c r="U32" s="1054"/>
      <c r="V32" s="1013" t="s">
        <v>438</v>
      </c>
      <c r="W32" s="1014"/>
      <c r="X32" s="1014"/>
      <c r="Y32" s="1014"/>
      <c r="Z32" s="1014"/>
      <c r="AA32" s="1014"/>
      <c r="AB32" s="1015"/>
      <c r="AC32" s="19">
        <v>15000</v>
      </c>
      <c r="AD32" s="19">
        <v>17000</v>
      </c>
    </row>
    <row r="33" spans="2:30" s="19" customFormat="1" ht="24" customHeight="1" x14ac:dyDescent="0.2">
      <c r="B33" s="1050"/>
      <c r="C33" s="26" t="s">
        <v>88</v>
      </c>
      <c r="D33" s="27">
        <v>1200</v>
      </c>
      <c r="E33" s="1052"/>
      <c r="F33" s="29">
        <f>SUM([3]January_2017!$J37)</f>
        <v>90.4</v>
      </c>
      <c r="G33" s="30">
        <f>SUM([3]January_2017!$F37)</f>
        <v>1120</v>
      </c>
      <c r="H33" s="29">
        <f>SUM([3]January_2017!$K37)</f>
        <v>88.48</v>
      </c>
      <c r="I33" s="31">
        <f>SUM([3]January_2017!$N37)</f>
        <v>3.75</v>
      </c>
      <c r="J33" s="1042"/>
      <c r="K33" s="1042"/>
      <c r="L33" s="1055"/>
      <c r="M33" s="32">
        <f>SUM([3]January_2017!$M37)</f>
        <v>52</v>
      </c>
      <c r="N33" s="237">
        <f>[4]Jan!$I$34/K31</f>
        <v>8.8937093275488072E-2</v>
      </c>
      <c r="O33" s="172"/>
      <c r="P33" s="33">
        <f>SUM([3]January_2017!$P37)</f>
        <v>2.123893805309736</v>
      </c>
      <c r="Q33" s="1041"/>
      <c r="R33" s="1041"/>
      <c r="S33" s="1041"/>
      <c r="T33" s="1049"/>
      <c r="U33" s="1054"/>
      <c r="V33" s="1013" t="s">
        <v>437</v>
      </c>
      <c r="W33" s="1014"/>
      <c r="X33" s="1014"/>
      <c r="Y33" s="1014"/>
      <c r="Z33" s="1014"/>
      <c r="AA33" s="1014"/>
      <c r="AB33" s="1015"/>
      <c r="AC33" s="19">
        <v>15000</v>
      </c>
      <c r="AD33" s="19">
        <v>17000</v>
      </c>
    </row>
    <row r="34" spans="2:30" s="19" customFormat="1" ht="22.5" customHeight="1" x14ac:dyDescent="0.2">
      <c r="B34" s="1038"/>
      <c r="C34" s="26" t="s">
        <v>435</v>
      </c>
      <c r="D34" s="27">
        <v>900</v>
      </c>
      <c r="E34" s="1053"/>
      <c r="F34" s="29">
        <f>SUM([3]January_2017!$J38)</f>
        <v>65.622448979591837</v>
      </c>
      <c r="G34" s="30">
        <f>SUM([3]January_2017!$F38)</f>
        <v>814</v>
      </c>
      <c r="H34" s="29">
        <f>SUM([3]January_2017!$K38)</f>
        <v>64.305999999999997</v>
      </c>
      <c r="I34" s="31">
        <f>SUM([3]January_2017!$N38)</f>
        <v>0</v>
      </c>
      <c r="J34" s="992"/>
      <c r="K34" s="992"/>
      <c r="L34" s="1018"/>
      <c r="M34" s="32">
        <f>SUM([3]January_2017!$M38)</f>
        <v>36</v>
      </c>
      <c r="N34" s="237">
        <f>[4]Jan!$I$35/K31</f>
        <v>6.9414316702819959E-2</v>
      </c>
      <c r="O34" s="172"/>
      <c r="P34" s="33">
        <f>SUM([3]January_2017!$P38)</f>
        <v>2.0060954750427662</v>
      </c>
      <c r="Q34" s="1040"/>
      <c r="R34" s="1040"/>
      <c r="S34" s="1040"/>
      <c r="T34" s="1048"/>
      <c r="U34" s="1036"/>
      <c r="V34" s="1013" t="s">
        <v>439</v>
      </c>
      <c r="W34" s="1014"/>
      <c r="X34" s="1014"/>
      <c r="Y34" s="1014"/>
      <c r="Z34" s="1014"/>
      <c r="AA34" s="1014"/>
      <c r="AB34" s="1015"/>
      <c r="AC34" s="19">
        <v>15000</v>
      </c>
      <c r="AD34" s="19">
        <v>17000</v>
      </c>
    </row>
    <row r="35" spans="2:30" s="19" customFormat="1" ht="52.5" customHeight="1" x14ac:dyDescent="0.2">
      <c r="B35" s="168">
        <v>42762</v>
      </c>
      <c r="C35" s="26" t="s">
        <v>27</v>
      </c>
      <c r="D35" s="27">
        <v>4200</v>
      </c>
      <c r="E35" s="28">
        <v>0.3125</v>
      </c>
      <c r="F35" s="29">
        <f>SUM([3]January_2017!$J39)</f>
        <v>289.2</v>
      </c>
      <c r="G35" s="30">
        <f>SUM([3]January_2017!$F39)</f>
        <v>4308</v>
      </c>
      <c r="H35" s="29">
        <f>SUM([3]January_2017!$K39)</f>
        <v>288.12800000000004</v>
      </c>
      <c r="I35" s="31">
        <f>SUM([3]January_2017!$N39)</f>
        <v>22.75</v>
      </c>
      <c r="J35" s="32">
        <f>SUM([3]January_2017!$Q39)</f>
        <v>531.85185185185185</v>
      </c>
      <c r="K35" s="32">
        <f>SUM([3]January_2017!$E39)</f>
        <v>486</v>
      </c>
      <c r="L35" s="169">
        <v>0.70138888888888884</v>
      </c>
      <c r="M35" s="32">
        <f>SUM([3]January_2017!$M39)</f>
        <v>79</v>
      </c>
      <c r="N35" s="237"/>
      <c r="O35" s="172"/>
      <c r="P35" s="33">
        <f>SUM([3]January_2017!$P39)</f>
        <v>0.3706777316735636</v>
      </c>
      <c r="Q35" s="224">
        <f>($G$35)/(($K$35/60)*$AC$35*(1/24))</f>
        <v>0.85096296296296292</v>
      </c>
      <c r="R35" s="224">
        <f>($G$35)/(($K$35/60)*$AD$35*(1/24))</f>
        <v>0.75084967320261442</v>
      </c>
      <c r="S35" s="224">
        <f>(G35)*24/(K35/60)/15000</f>
        <v>0.85096296296296303</v>
      </c>
      <c r="T35" s="225">
        <f>(G35)*24/(K35/60)/17000</f>
        <v>0.75084967320261442</v>
      </c>
      <c r="U35" s="233">
        <f>(566-M35)/566</f>
        <v>0.86042402826855124</v>
      </c>
      <c r="V35" s="1013" t="s">
        <v>441</v>
      </c>
      <c r="W35" s="1014"/>
      <c r="X35" s="1014"/>
      <c r="Y35" s="1014"/>
      <c r="Z35" s="1014"/>
      <c r="AA35" s="1014"/>
      <c r="AB35" s="1015"/>
      <c r="AC35" s="19">
        <v>15000</v>
      </c>
      <c r="AD35" s="19">
        <v>17000</v>
      </c>
    </row>
    <row r="36" spans="2:30" s="19" customFormat="1" ht="39" customHeight="1" x14ac:dyDescent="0.2">
      <c r="B36" s="168">
        <v>42765</v>
      </c>
      <c r="C36" s="26" t="s">
        <v>29</v>
      </c>
      <c r="D36" s="27">
        <v>4900</v>
      </c>
      <c r="E36" s="28">
        <v>0.42152777777777778</v>
      </c>
      <c r="F36" s="29">
        <f>SUM([3]January_2017!$J40)</f>
        <v>319.40000000000003</v>
      </c>
      <c r="G36" s="30">
        <f>SUM([3]January_2017!$F40)</f>
        <v>4456</v>
      </c>
      <c r="H36" s="29">
        <f>SUM([3]January_2017!$K40)</f>
        <v>317.846</v>
      </c>
      <c r="I36" s="31">
        <f>SUM([3]January_2017!$N40)</f>
        <v>8.75</v>
      </c>
      <c r="J36" s="32">
        <f>SUM([3]January_2017!$Q40)</f>
        <v>587.60439560439568</v>
      </c>
      <c r="K36" s="32">
        <f>SUM([3]January_2017!$E40)</f>
        <v>455</v>
      </c>
      <c r="L36" s="169">
        <v>0.77916666666666667</v>
      </c>
      <c r="M36" s="32">
        <f>SUM([3]January_2017!$M40)</f>
        <v>23</v>
      </c>
      <c r="N36" s="237"/>
      <c r="O36" s="172"/>
      <c r="P36" s="33">
        <f>SUM([3]January_2017!$P40)</f>
        <v>0.48653725735755488</v>
      </c>
      <c r="Q36" s="224">
        <f>($G$36)/(($K$36/60)*$AC$36*(1/24))</f>
        <v>0.94016703296703308</v>
      </c>
      <c r="R36" s="224">
        <f>($G$36)/(($K$36/60)*$AD$36*(1/24))</f>
        <v>0.82955914673561737</v>
      </c>
      <c r="S36" s="224">
        <f>(G36)*24/(K36/60)/15000</f>
        <v>0.94016703296703297</v>
      </c>
      <c r="T36" s="225">
        <f>(G36)*24/(K36/60)/17000</f>
        <v>0.82955914673561737</v>
      </c>
      <c r="U36" s="233">
        <f>(696-M36)/696</f>
        <v>0.96695402298850575</v>
      </c>
      <c r="V36" s="1013" t="s">
        <v>440</v>
      </c>
      <c r="W36" s="1014"/>
      <c r="X36" s="1014"/>
      <c r="Y36" s="1014"/>
      <c r="Z36" s="1014"/>
      <c r="AA36" s="1014"/>
      <c r="AB36" s="1015"/>
      <c r="AC36" s="19">
        <v>15000</v>
      </c>
      <c r="AD36" s="19">
        <v>17000</v>
      </c>
    </row>
    <row r="37" spans="2:30" s="19" customFormat="1" ht="27" customHeight="1" x14ac:dyDescent="0.2">
      <c r="B37" s="1037">
        <v>42766</v>
      </c>
      <c r="C37" s="26" t="s">
        <v>29</v>
      </c>
      <c r="D37" s="27">
        <v>2100</v>
      </c>
      <c r="E37" s="258">
        <v>0.31388888888888888</v>
      </c>
      <c r="F37" s="29">
        <f>SUM([3]January_2017!$J41)</f>
        <v>133.9</v>
      </c>
      <c r="G37" s="30">
        <f>SUM([3]January_2017!$F41)</f>
        <v>2007</v>
      </c>
      <c r="H37" s="29">
        <f>SUM([3]January_2017!$K41)</f>
        <v>132.46200000000002</v>
      </c>
      <c r="I37" s="31">
        <f>SUM([3]January_2017!$N41)</f>
        <v>16</v>
      </c>
      <c r="J37" s="991">
        <f>SUM([3]January_2017!$Q41)</f>
        <v>546.83417085427141</v>
      </c>
      <c r="K37" s="991">
        <f>SUM([3]January_2017!$E41)</f>
        <v>597</v>
      </c>
      <c r="L37" s="1017">
        <v>0.78263888888888899</v>
      </c>
      <c r="M37" s="32">
        <f>SUM([3]January_2017!$M41)</f>
        <v>15</v>
      </c>
      <c r="N37" s="237"/>
      <c r="O37" s="172"/>
      <c r="P37" s="33">
        <f>SUM([3]January_2017!$P41)</f>
        <v>1.0739357729648904</v>
      </c>
      <c r="Q37" s="1039">
        <f>($G$37+$G$38)/(($K$37/60)*$AC$38*(1/24))</f>
        <v>0.87493467336683417</v>
      </c>
      <c r="R37" s="1039">
        <f>($G$37+$G$38)/(($K$37/60)*$AD$38*(1/24))</f>
        <v>0.77200118238250082</v>
      </c>
      <c r="S37" s="1039">
        <f>(G37+G38)*24/(K37/60)/15000</f>
        <v>0.87493467336683428</v>
      </c>
      <c r="T37" s="1047">
        <f>(G37+G38)*24/(K37/60)/17000</f>
        <v>0.77200118238250082</v>
      </c>
      <c r="U37" s="1035">
        <f>(702-(M37+M38))/702</f>
        <v>0.9145299145299145</v>
      </c>
      <c r="V37" s="1013" t="s">
        <v>442</v>
      </c>
      <c r="W37" s="1014"/>
      <c r="X37" s="1014"/>
      <c r="Y37" s="1014"/>
      <c r="Z37" s="1014"/>
      <c r="AA37" s="1014"/>
      <c r="AB37" s="1015"/>
      <c r="AC37" s="19">
        <v>15000</v>
      </c>
      <c r="AD37" s="19">
        <v>17000</v>
      </c>
    </row>
    <row r="38" spans="2:30" s="19" customFormat="1" ht="35.25" customHeight="1" x14ac:dyDescent="0.2">
      <c r="B38" s="1038"/>
      <c r="C38" s="26" t="s">
        <v>27</v>
      </c>
      <c r="D38" s="27">
        <v>2800</v>
      </c>
      <c r="E38" s="259"/>
      <c r="F38" s="29">
        <f>SUM([3]January_2017!$J42)</f>
        <v>227.39999999999995</v>
      </c>
      <c r="G38" s="30">
        <f>SUM([3]January_2017!$F42)</f>
        <v>3434</v>
      </c>
      <c r="H38" s="29">
        <f>SUM([3]January_2017!$K42)</f>
        <v>226.64400000000001</v>
      </c>
      <c r="I38" s="31">
        <f>SUM([3]January_2017!$N42)</f>
        <v>10</v>
      </c>
      <c r="J38" s="992"/>
      <c r="K38" s="992"/>
      <c r="L38" s="1018"/>
      <c r="M38" s="32">
        <f>SUM([3]January_2017!$M42)</f>
        <v>45</v>
      </c>
      <c r="N38" s="237">
        <f>[4]Jan!$I$39/K37</f>
        <v>3.1825795644891124E-2</v>
      </c>
      <c r="O38" s="172"/>
      <c r="P38" s="33">
        <f>SUM([3]January_2017!$P42)</f>
        <v>0.332453825857495</v>
      </c>
      <c r="Q38" s="1040"/>
      <c r="R38" s="1040"/>
      <c r="S38" s="1040"/>
      <c r="T38" s="1048"/>
      <c r="U38" s="1036"/>
      <c r="V38" s="1013" t="s">
        <v>443</v>
      </c>
      <c r="W38" s="1014"/>
      <c r="X38" s="1014"/>
      <c r="Y38" s="1014"/>
      <c r="Z38" s="1014"/>
      <c r="AA38" s="1014"/>
      <c r="AB38" s="1015"/>
      <c r="AC38" s="19">
        <v>15000</v>
      </c>
      <c r="AD38" s="19">
        <v>17000</v>
      </c>
    </row>
    <row r="39" spans="2:30" s="19" customFormat="1" ht="19.5" customHeight="1" x14ac:dyDescent="0.2">
      <c r="B39" s="168"/>
      <c r="C39" s="26"/>
      <c r="D39" s="27"/>
      <c r="E39" s="28"/>
      <c r="F39" s="29"/>
      <c r="G39" s="30"/>
      <c r="H39" s="29"/>
      <c r="I39" s="31"/>
      <c r="J39" s="32"/>
      <c r="K39" s="32"/>
      <c r="L39" s="169"/>
      <c r="M39" s="32"/>
      <c r="N39" s="236"/>
      <c r="O39" s="32"/>
      <c r="P39" s="33"/>
      <c r="Q39" s="129"/>
      <c r="R39" s="171"/>
      <c r="S39" s="129"/>
      <c r="T39" s="227"/>
      <c r="U39" s="233"/>
      <c r="V39" s="1013"/>
      <c r="W39" s="1014"/>
      <c r="X39" s="1014"/>
      <c r="Y39" s="1014"/>
      <c r="Z39" s="1014"/>
      <c r="AA39" s="1014"/>
      <c r="AB39" s="1015"/>
      <c r="AC39" s="19">
        <v>15000</v>
      </c>
      <c r="AD39" s="19">
        <v>17000</v>
      </c>
    </row>
    <row r="40" spans="2:30" s="19" customFormat="1" ht="19.5" customHeight="1" thickBot="1" x14ac:dyDescent="0.25">
      <c r="B40" s="168"/>
      <c r="C40" s="26"/>
      <c r="D40" s="27"/>
      <c r="E40" s="28"/>
      <c r="F40" s="29"/>
      <c r="G40" s="30"/>
      <c r="H40" s="29"/>
      <c r="I40" s="31"/>
      <c r="J40" s="32"/>
      <c r="K40" s="32"/>
      <c r="L40" s="169"/>
      <c r="M40" s="32"/>
      <c r="N40" s="236"/>
      <c r="O40" s="32"/>
      <c r="P40" s="33"/>
      <c r="Q40" s="129"/>
      <c r="R40" s="171"/>
      <c r="S40" s="129"/>
      <c r="T40" s="227"/>
      <c r="U40" s="233"/>
      <c r="V40" s="1013"/>
      <c r="W40" s="1014"/>
      <c r="X40" s="1014"/>
      <c r="Y40" s="1014"/>
      <c r="Z40" s="1014"/>
      <c r="AA40" s="1014"/>
      <c r="AB40" s="1015"/>
      <c r="AC40" s="19">
        <v>15000</v>
      </c>
      <c r="AD40" s="19">
        <v>17000</v>
      </c>
    </row>
    <row r="41" spans="2:30" s="19" customFormat="1" ht="19.5" hidden="1" customHeight="1" x14ac:dyDescent="0.2">
      <c r="B41" s="168"/>
      <c r="C41" s="26"/>
      <c r="D41" s="27"/>
      <c r="E41" s="28"/>
      <c r="F41" s="29"/>
      <c r="G41" s="30"/>
      <c r="H41" s="29"/>
      <c r="I41" s="31"/>
      <c r="J41" s="32"/>
      <c r="K41" s="32"/>
      <c r="L41" s="169"/>
      <c r="M41" s="32"/>
      <c r="N41" s="236"/>
      <c r="O41" s="32"/>
      <c r="P41" s="33"/>
      <c r="Q41" s="129"/>
      <c r="R41" s="171"/>
      <c r="S41" s="129"/>
      <c r="T41" s="227"/>
      <c r="U41" s="233"/>
      <c r="V41" s="1013"/>
      <c r="W41" s="1014"/>
      <c r="X41" s="1014"/>
      <c r="Y41" s="1014"/>
      <c r="Z41" s="1014"/>
      <c r="AA41" s="1014"/>
      <c r="AB41" s="1015"/>
      <c r="AC41" s="19">
        <v>15000</v>
      </c>
      <c r="AD41" s="19">
        <v>17000</v>
      </c>
    </row>
    <row r="42" spans="2:30" s="19" customFormat="1" ht="19.5" hidden="1" customHeight="1" x14ac:dyDescent="0.2">
      <c r="B42" s="168"/>
      <c r="C42" s="26"/>
      <c r="D42" s="27"/>
      <c r="E42" s="28"/>
      <c r="F42" s="29"/>
      <c r="G42" s="30"/>
      <c r="H42" s="29"/>
      <c r="I42" s="31"/>
      <c r="J42" s="32"/>
      <c r="K42" s="32"/>
      <c r="L42" s="169"/>
      <c r="M42" s="32"/>
      <c r="N42" s="236"/>
      <c r="O42" s="32"/>
      <c r="P42" s="33"/>
      <c r="Q42" s="129"/>
      <c r="R42" s="171"/>
      <c r="S42" s="129"/>
      <c r="T42" s="227"/>
      <c r="U42" s="233"/>
      <c r="V42" s="1013"/>
      <c r="W42" s="1014"/>
      <c r="X42" s="1014"/>
      <c r="Y42" s="1014"/>
      <c r="Z42" s="1014"/>
      <c r="AA42" s="1014"/>
      <c r="AB42" s="1015"/>
      <c r="AC42" s="19">
        <v>15000</v>
      </c>
      <c r="AD42" s="19">
        <v>17000</v>
      </c>
    </row>
    <row r="43" spans="2:30" s="19" customFormat="1" ht="19.5" hidden="1" customHeight="1" x14ac:dyDescent="0.2">
      <c r="B43" s="168"/>
      <c r="C43" s="26"/>
      <c r="D43" s="27"/>
      <c r="E43" s="28"/>
      <c r="F43" s="29"/>
      <c r="G43" s="30"/>
      <c r="H43" s="29"/>
      <c r="I43" s="31"/>
      <c r="J43" s="32"/>
      <c r="K43" s="32"/>
      <c r="L43" s="169"/>
      <c r="M43" s="32"/>
      <c r="N43" s="236"/>
      <c r="O43" s="32"/>
      <c r="P43" s="33"/>
      <c r="Q43" s="129"/>
      <c r="R43" s="171"/>
      <c r="S43" s="129"/>
      <c r="T43" s="227"/>
      <c r="U43" s="233"/>
      <c r="V43" s="1013"/>
      <c r="W43" s="1014"/>
      <c r="X43" s="1014"/>
      <c r="Y43" s="1014"/>
      <c r="Z43" s="1014"/>
      <c r="AA43" s="1014"/>
      <c r="AB43" s="1015"/>
      <c r="AC43" s="19">
        <v>15000</v>
      </c>
      <c r="AD43" s="19">
        <v>17000</v>
      </c>
    </row>
    <row r="44" spans="2:30" s="19" customFormat="1" ht="19.5" hidden="1" customHeight="1" x14ac:dyDescent="0.2">
      <c r="B44" s="168"/>
      <c r="C44" s="26"/>
      <c r="D44" s="27"/>
      <c r="E44" s="28"/>
      <c r="F44" s="29"/>
      <c r="G44" s="30"/>
      <c r="H44" s="29"/>
      <c r="I44" s="31"/>
      <c r="J44" s="32"/>
      <c r="K44" s="32"/>
      <c r="L44" s="169"/>
      <c r="M44" s="32"/>
      <c r="N44" s="236"/>
      <c r="O44" s="32"/>
      <c r="P44" s="33"/>
      <c r="Q44" s="129"/>
      <c r="R44" s="171"/>
      <c r="S44" s="129"/>
      <c r="T44" s="227"/>
      <c r="U44" s="233"/>
      <c r="V44" s="1013"/>
      <c r="W44" s="1014"/>
      <c r="X44" s="1014"/>
      <c r="Y44" s="1014"/>
      <c r="Z44" s="1014"/>
      <c r="AA44" s="1014"/>
      <c r="AB44" s="1015"/>
      <c r="AC44" s="19">
        <v>15000</v>
      </c>
      <c r="AD44" s="19">
        <v>17000</v>
      </c>
    </row>
    <row r="45" spans="2:30" s="19" customFormat="1" ht="19.5" hidden="1" customHeight="1" x14ac:dyDescent="0.2">
      <c r="B45" s="168"/>
      <c r="C45" s="26"/>
      <c r="D45" s="27"/>
      <c r="E45" s="28"/>
      <c r="F45" s="29"/>
      <c r="G45" s="30"/>
      <c r="H45" s="29"/>
      <c r="I45" s="31"/>
      <c r="J45" s="32"/>
      <c r="K45" s="32"/>
      <c r="L45" s="169"/>
      <c r="M45" s="32"/>
      <c r="N45" s="236"/>
      <c r="O45" s="32"/>
      <c r="P45" s="33"/>
      <c r="Q45" s="129"/>
      <c r="R45" s="171"/>
      <c r="S45" s="129"/>
      <c r="T45" s="227"/>
      <c r="U45" s="233"/>
      <c r="V45" s="1013"/>
      <c r="W45" s="1014"/>
      <c r="X45" s="1014"/>
      <c r="Y45" s="1014"/>
      <c r="Z45" s="1014"/>
      <c r="AA45" s="1014"/>
      <c r="AB45" s="1015"/>
      <c r="AC45" s="19">
        <v>15000</v>
      </c>
      <c r="AD45" s="19">
        <v>17000</v>
      </c>
    </row>
    <row r="46" spans="2:30" s="19" customFormat="1" ht="19.5" hidden="1" customHeight="1" x14ac:dyDescent="0.2">
      <c r="B46" s="168"/>
      <c r="C46" s="26"/>
      <c r="D46" s="27"/>
      <c r="E46" s="28"/>
      <c r="F46" s="29"/>
      <c r="G46" s="30"/>
      <c r="H46" s="29"/>
      <c r="I46" s="31"/>
      <c r="J46" s="32"/>
      <c r="K46" s="32"/>
      <c r="L46" s="169"/>
      <c r="M46" s="32"/>
      <c r="N46" s="236"/>
      <c r="O46" s="32"/>
      <c r="P46" s="33"/>
      <c r="Q46" s="129"/>
      <c r="R46" s="171"/>
      <c r="S46" s="129"/>
      <c r="T46" s="227"/>
      <c r="U46" s="233"/>
      <c r="V46" s="1013"/>
      <c r="W46" s="1014"/>
      <c r="X46" s="1014"/>
      <c r="Y46" s="1014"/>
      <c r="Z46" s="1014"/>
      <c r="AA46" s="1014"/>
      <c r="AB46" s="1015"/>
      <c r="AC46" s="19">
        <v>15000</v>
      </c>
      <c r="AD46" s="19">
        <v>17000</v>
      </c>
    </row>
    <row r="47" spans="2:30" s="19" customFormat="1" ht="19.5" hidden="1" customHeight="1" x14ac:dyDescent="0.2">
      <c r="B47" s="168"/>
      <c r="C47" s="26"/>
      <c r="D47" s="27"/>
      <c r="E47" s="28"/>
      <c r="F47" s="29"/>
      <c r="G47" s="30"/>
      <c r="H47" s="29"/>
      <c r="I47" s="31"/>
      <c r="J47" s="32"/>
      <c r="K47" s="32"/>
      <c r="L47" s="169"/>
      <c r="M47" s="32"/>
      <c r="N47" s="236"/>
      <c r="O47" s="32"/>
      <c r="P47" s="33"/>
      <c r="Q47" s="129"/>
      <c r="R47" s="171"/>
      <c r="S47" s="129"/>
      <c r="T47" s="227"/>
      <c r="U47" s="233"/>
      <c r="V47" s="1013"/>
      <c r="W47" s="1014"/>
      <c r="X47" s="1014"/>
      <c r="Y47" s="1014"/>
      <c r="Z47" s="1014"/>
      <c r="AA47" s="1014"/>
      <c r="AB47" s="1015"/>
      <c r="AC47" s="19">
        <v>15000</v>
      </c>
      <c r="AD47" s="19">
        <v>17000</v>
      </c>
    </row>
    <row r="48" spans="2:30" s="19" customFormat="1" ht="19.5" hidden="1" customHeight="1" x14ac:dyDescent="0.2">
      <c r="B48" s="168"/>
      <c r="C48" s="26"/>
      <c r="D48" s="27"/>
      <c r="E48" s="28"/>
      <c r="F48" s="29"/>
      <c r="G48" s="30"/>
      <c r="H48" s="29"/>
      <c r="I48" s="31"/>
      <c r="J48" s="32"/>
      <c r="K48" s="32"/>
      <c r="L48" s="169"/>
      <c r="M48" s="32"/>
      <c r="N48" s="236"/>
      <c r="O48" s="32"/>
      <c r="P48" s="33"/>
      <c r="Q48" s="129"/>
      <c r="R48" s="171"/>
      <c r="S48" s="129"/>
      <c r="T48" s="227"/>
      <c r="U48" s="233"/>
      <c r="V48" s="1013"/>
      <c r="W48" s="1014"/>
      <c r="X48" s="1014"/>
      <c r="Y48" s="1014"/>
      <c r="Z48" s="1014"/>
      <c r="AA48" s="1014"/>
      <c r="AB48" s="1015"/>
      <c r="AC48" s="19">
        <v>15000</v>
      </c>
      <c r="AD48" s="19">
        <v>17000</v>
      </c>
    </row>
    <row r="49" spans="2:30" s="19" customFormat="1" ht="19.5" hidden="1" customHeight="1" x14ac:dyDescent="0.2">
      <c r="B49" s="168"/>
      <c r="C49" s="26"/>
      <c r="D49" s="27"/>
      <c r="E49" s="28"/>
      <c r="F49" s="29"/>
      <c r="G49" s="30"/>
      <c r="H49" s="29"/>
      <c r="I49" s="31"/>
      <c r="J49" s="32"/>
      <c r="K49" s="32"/>
      <c r="L49" s="169"/>
      <c r="M49" s="32"/>
      <c r="N49" s="236"/>
      <c r="O49" s="32"/>
      <c r="P49" s="33"/>
      <c r="Q49" s="129"/>
      <c r="R49" s="171"/>
      <c r="S49" s="129"/>
      <c r="T49" s="227"/>
      <c r="U49" s="233"/>
      <c r="V49" s="1013"/>
      <c r="W49" s="1014"/>
      <c r="X49" s="1014"/>
      <c r="Y49" s="1014"/>
      <c r="Z49" s="1014"/>
      <c r="AA49" s="1014"/>
      <c r="AB49" s="1015"/>
      <c r="AC49" s="19">
        <v>15000</v>
      </c>
      <c r="AD49" s="19">
        <v>17000</v>
      </c>
    </row>
    <row r="50" spans="2:30" s="19" customFormat="1" ht="19.5" hidden="1" customHeight="1" x14ac:dyDescent="0.2">
      <c r="B50" s="168"/>
      <c r="C50" s="26"/>
      <c r="D50" s="27"/>
      <c r="E50" s="28"/>
      <c r="F50" s="29"/>
      <c r="G50" s="30"/>
      <c r="H50" s="29"/>
      <c r="I50" s="31"/>
      <c r="J50" s="32"/>
      <c r="K50" s="32"/>
      <c r="L50" s="169"/>
      <c r="M50" s="32"/>
      <c r="N50" s="236"/>
      <c r="O50" s="32"/>
      <c r="P50" s="33"/>
      <c r="Q50" s="129"/>
      <c r="R50" s="171"/>
      <c r="S50" s="129"/>
      <c r="T50" s="227"/>
      <c r="U50" s="233"/>
      <c r="V50" s="1013"/>
      <c r="W50" s="1014"/>
      <c r="X50" s="1014"/>
      <c r="Y50" s="1014"/>
      <c r="Z50" s="1014"/>
      <c r="AA50" s="1014"/>
      <c r="AB50" s="1015"/>
      <c r="AC50" s="19">
        <v>15000</v>
      </c>
      <c r="AD50" s="19">
        <v>17000</v>
      </c>
    </row>
    <row r="51" spans="2:30" s="19" customFormat="1" ht="19.5" hidden="1" customHeight="1" x14ac:dyDescent="0.2">
      <c r="B51" s="168"/>
      <c r="C51" s="26"/>
      <c r="D51" s="27"/>
      <c r="E51" s="28"/>
      <c r="F51" s="29"/>
      <c r="G51" s="30"/>
      <c r="H51" s="29"/>
      <c r="I51" s="31"/>
      <c r="J51" s="32"/>
      <c r="K51" s="32"/>
      <c r="L51" s="169"/>
      <c r="M51" s="32"/>
      <c r="N51" s="236"/>
      <c r="O51" s="32"/>
      <c r="P51" s="33"/>
      <c r="Q51" s="129"/>
      <c r="R51" s="171"/>
      <c r="S51" s="129"/>
      <c r="T51" s="227"/>
      <c r="U51" s="233"/>
      <c r="V51" s="1013"/>
      <c r="W51" s="1014"/>
      <c r="X51" s="1014"/>
      <c r="Y51" s="1014"/>
      <c r="Z51" s="1014"/>
      <c r="AA51" s="1014"/>
      <c r="AB51" s="1015"/>
      <c r="AC51" s="19">
        <v>15000</v>
      </c>
      <c r="AD51" s="19">
        <v>17000</v>
      </c>
    </row>
    <row r="52" spans="2:30" s="19" customFormat="1" ht="19.5" hidden="1" customHeight="1" x14ac:dyDescent="0.2">
      <c r="B52" s="168"/>
      <c r="C52" s="26"/>
      <c r="D52" s="27"/>
      <c r="E52" s="28"/>
      <c r="F52" s="29"/>
      <c r="G52" s="30"/>
      <c r="H52" s="29"/>
      <c r="I52" s="31"/>
      <c r="J52" s="32"/>
      <c r="K52" s="32"/>
      <c r="L52" s="169"/>
      <c r="M52" s="32"/>
      <c r="N52" s="236"/>
      <c r="O52" s="32"/>
      <c r="P52" s="33"/>
      <c r="Q52" s="129"/>
      <c r="R52" s="171"/>
      <c r="S52" s="129"/>
      <c r="T52" s="227"/>
      <c r="U52" s="233"/>
      <c r="V52" s="1013"/>
      <c r="W52" s="1014"/>
      <c r="X52" s="1014"/>
      <c r="Y52" s="1014"/>
      <c r="Z52" s="1014"/>
      <c r="AA52" s="1014"/>
      <c r="AB52" s="1015"/>
      <c r="AC52" s="19">
        <v>15000</v>
      </c>
      <c r="AD52" s="19">
        <v>17000</v>
      </c>
    </row>
    <row r="53" spans="2:30" s="19" customFormat="1" ht="19.5" hidden="1" customHeight="1" x14ac:dyDescent="0.2">
      <c r="B53" s="168"/>
      <c r="C53" s="26"/>
      <c r="D53" s="27"/>
      <c r="E53" s="28"/>
      <c r="F53" s="29"/>
      <c r="G53" s="30"/>
      <c r="H53" s="29"/>
      <c r="I53" s="31"/>
      <c r="J53" s="32"/>
      <c r="K53" s="32"/>
      <c r="L53" s="169"/>
      <c r="M53" s="32"/>
      <c r="N53" s="236"/>
      <c r="O53" s="32"/>
      <c r="P53" s="33"/>
      <c r="Q53" s="129"/>
      <c r="R53" s="171"/>
      <c r="S53" s="129"/>
      <c r="T53" s="227"/>
      <c r="U53" s="233"/>
      <c r="V53" s="1013"/>
      <c r="W53" s="1014"/>
      <c r="X53" s="1014"/>
      <c r="Y53" s="1014"/>
      <c r="Z53" s="1014"/>
      <c r="AA53" s="1014"/>
      <c r="AB53" s="1015"/>
      <c r="AC53" s="19">
        <v>15000</v>
      </c>
      <c r="AD53" s="19">
        <v>17000</v>
      </c>
    </row>
    <row r="54" spans="2:30" s="19" customFormat="1" ht="19.5" hidden="1" customHeight="1" x14ac:dyDescent="0.2">
      <c r="B54" s="168"/>
      <c r="C54" s="26"/>
      <c r="D54" s="27"/>
      <c r="E54" s="28"/>
      <c r="F54" s="29"/>
      <c r="G54" s="30"/>
      <c r="H54" s="29"/>
      <c r="I54" s="31"/>
      <c r="J54" s="32"/>
      <c r="K54" s="32"/>
      <c r="L54" s="169"/>
      <c r="M54" s="32"/>
      <c r="N54" s="236"/>
      <c r="O54" s="32"/>
      <c r="P54" s="33"/>
      <c r="Q54" s="129"/>
      <c r="R54" s="171"/>
      <c r="S54" s="129"/>
      <c r="T54" s="227"/>
      <c r="U54" s="233"/>
      <c r="V54" s="1013"/>
      <c r="W54" s="1014"/>
      <c r="X54" s="1014"/>
      <c r="Y54" s="1014"/>
      <c r="Z54" s="1014"/>
      <c r="AA54" s="1014"/>
      <c r="AB54" s="1015"/>
      <c r="AC54" s="19">
        <v>15000</v>
      </c>
      <c r="AD54" s="19">
        <v>17000</v>
      </c>
    </row>
    <row r="55" spans="2:30" s="19" customFormat="1" ht="19.5" hidden="1" customHeight="1" x14ac:dyDescent="0.2">
      <c r="B55" s="168"/>
      <c r="C55" s="26"/>
      <c r="D55" s="27"/>
      <c r="E55" s="28"/>
      <c r="F55" s="29"/>
      <c r="G55" s="30"/>
      <c r="H55" s="29"/>
      <c r="I55" s="31"/>
      <c r="J55" s="32"/>
      <c r="K55" s="32"/>
      <c r="L55" s="169"/>
      <c r="M55" s="32"/>
      <c r="N55" s="236"/>
      <c r="O55" s="32"/>
      <c r="P55" s="33"/>
      <c r="Q55" s="129"/>
      <c r="R55" s="171"/>
      <c r="S55" s="129"/>
      <c r="T55" s="227"/>
      <c r="U55" s="233"/>
      <c r="V55" s="1013"/>
      <c r="W55" s="1014"/>
      <c r="X55" s="1014"/>
      <c r="Y55" s="1014"/>
      <c r="Z55" s="1014"/>
      <c r="AA55" s="1014"/>
      <c r="AB55" s="1015"/>
      <c r="AC55" s="19">
        <v>15000</v>
      </c>
      <c r="AD55" s="19">
        <v>17000</v>
      </c>
    </row>
    <row r="56" spans="2:30" s="19" customFormat="1" ht="19.5" hidden="1" customHeight="1" x14ac:dyDescent="0.2">
      <c r="B56" s="168"/>
      <c r="C56" s="26"/>
      <c r="D56" s="27"/>
      <c r="E56" s="28"/>
      <c r="F56" s="29"/>
      <c r="G56" s="30"/>
      <c r="H56" s="29"/>
      <c r="I56" s="31"/>
      <c r="J56" s="32"/>
      <c r="K56" s="32"/>
      <c r="L56" s="169"/>
      <c r="M56" s="32"/>
      <c r="N56" s="236"/>
      <c r="O56" s="32"/>
      <c r="P56" s="33"/>
      <c r="Q56" s="129"/>
      <c r="R56" s="171"/>
      <c r="S56" s="129"/>
      <c r="T56" s="227"/>
      <c r="U56" s="233"/>
      <c r="V56" s="1013"/>
      <c r="W56" s="1014"/>
      <c r="X56" s="1014"/>
      <c r="Y56" s="1014"/>
      <c r="Z56" s="1014"/>
      <c r="AA56" s="1014"/>
      <c r="AB56" s="1015"/>
      <c r="AC56" s="19">
        <v>15000</v>
      </c>
      <c r="AD56" s="19">
        <v>17000</v>
      </c>
    </row>
    <row r="57" spans="2:30" s="19" customFormat="1" ht="19.5" hidden="1" customHeight="1" x14ac:dyDescent="0.2">
      <c r="B57" s="168"/>
      <c r="C57" s="26"/>
      <c r="D57" s="27"/>
      <c r="E57" s="28"/>
      <c r="F57" s="29"/>
      <c r="G57" s="30"/>
      <c r="H57" s="29"/>
      <c r="I57" s="31"/>
      <c r="J57" s="32"/>
      <c r="K57" s="32"/>
      <c r="L57" s="169"/>
      <c r="M57" s="32"/>
      <c r="N57" s="236"/>
      <c r="O57" s="32"/>
      <c r="P57" s="33"/>
      <c r="Q57" s="129"/>
      <c r="R57" s="171"/>
      <c r="S57" s="129"/>
      <c r="T57" s="227"/>
      <c r="U57" s="233"/>
      <c r="V57" s="1013"/>
      <c r="W57" s="1014"/>
      <c r="X57" s="1014"/>
      <c r="Y57" s="1014"/>
      <c r="Z57" s="1014"/>
      <c r="AA57" s="1014"/>
      <c r="AB57" s="1015"/>
      <c r="AC57" s="19">
        <v>15000</v>
      </c>
      <c r="AD57" s="19">
        <v>17000</v>
      </c>
    </row>
    <row r="58" spans="2:30" s="19" customFormat="1" ht="19.5" hidden="1" customHeight="1" x14ac:dyDescent="0.2">
      <c r="B58" s="168"/>
      <c r="C58" s="26"/>
      <c r="D58" s="27"/>
      <c r="E58" s="28"/>
      <c r="F58" s="29"/>
      <c r="G58" s="30"/>
      <c r="H58" s="29"/>
      <c r="I58" s="31"/>
      <c r="J58" s="32"/>
      <c r="K58" s="32"/>
      <c r="L58" s="169"/>
      <c r="M58" s="32"/>
      <c r="N58" s="236"/>
      <c r="O58" s="32"/>
      <c r="P58" s="33"/>
      <c r="Q58" s="129"/>
      <c r="R58" s="171"/>
      <c r="S58" s="129"/>
      <c r="T58" s="227"/>
      <c r="U58" s="233"/>
      <c r="V58" s="1013"/>
      <c r="W58" s="1014"/>
      <c r="X58" s="1014"/>
      <c r="Y58" s="1014"/>
      <c r="Z58" s="1014"/>
      <c r="AA58" s="1014"/>
      <c r="AB58" s="1015"/>
      <c r="AC58" s="19">
        <v>15000</v>
      </c>
      <c r="AD58" s="19">
        <v>17000</v>
      </c>
    </row>
    <row r="59" spans="2:30" s="19" customFormat="1" ht="19.5" hidden="1" customHeight="1" thickBot="1" x14ac:dyDescent="0.25">
      <c r="B59" s="168"/>
      <c r="C59" s="26"/>
      <c r="D59" s="27"/>
      <c r="E59" s="28"/>
      <c r="F59" s="29"/>
      <c r="G59" s="30"/>
      <c r="H59" s="29"/>
      <c r="I59" s="31"/>
      <c r="J59" s="32"/>
      <c r="K59" s="32"/>
      <c r="L59" s="169"/>
      <c r="M59" s="32"/>
      <c r="N59" s="236"/>
      <c r="O59" s="32"/>
      <c r="P59" s="33"/>
      <c r="Q59" s="129"/>
      <c r="R59" s="171"/>
      <c r="S59" s="129"/>
      <c r="T59" s="227"/>
      <c r="U59" s="233"/>
      <c r="V59" s="1075"/>
      <c r="W59" s="1076"/>
      <c r="X59" s="1076"/>
      <c r="Y59" s="1076"/>
      <c r="Z59" s="1076"/>
      <c r="AA59" s="1076"/>
      <c r="AB59" s="1077"/>
      <c r="AC59" s="19">
        <v>15000</v>
      </c>
      <c r="AD59" s="19">
        <v>17000</v>
      </c>
    </row>
    <row r="60" spans="2:30" s="19" customFormat="1" ht="21" customHeight="1" thickBot="1" x14ac:dyDescent="0.35">
      <c r="B60" s="35" t="s">
        <v>3</v>
      </c>
      <c r="C60" s="36"/>
      <c r="D60" s="57">
        <f>SUM(D4:D58)</f>
        <v>86950</v>
      </c>
      <c r="E60" s="58">
        <f>AVERAGE(E4:E58)</f>
        <v>0.32506613756613756</v>
      </c>
      <c r="F60" s="59">
        <f>SUM(F4:F58)</f>
        <v>6033.713448979589</v>
      </c>
      <c r="G60" s="57">
        <f>SUM(G4:G58)</f>
        <v>87907</v>
      </c>
      <c r="H60" s="59">
        <f>SUM(H4:H58)</f>
        <v>5978.9589999999998</v>
      </c>
      <c r="I60" s="60">
        <f>SUM(I4:I58)</f>
        <v>396.5</v>
      </c>
      <c r="J60" s="61">
        <f>G60/(K60/60)</f>
        <v>465.81471341517266</v>
      </c>
      <c r="K60" s="57">
        <f>SUM(K4:K58)</f>
        <v>11323</v>
      </c>
      <c r="L60" s="135">
        <f>AVERAGE(L4:L59)</f>
        <v>0.74580026455026449</v>
      </c>
      <c r="M60" s="57">
        <f>SUM(M4:M58)</f>
        <v>2288</v>
      </c>
      <c r="N60" s="238">
        <f>[4]Jan!$I$54/K60</f>
        <v>3.8505696370219909E-2</v>
      </c>
      <c r="O60" s="60">
        <f>SUM(O4:O59)</f>
        <v>0</v>
      </c>
      <c r="P60" s="87">
        <f>(F60-H60)/F60</f>
        <v>9.0747513024253944E-3</v>
      </c>
      <c r="Q60" s="276">
        <f>((Q4*($G$4+$G$5+$G$6))+(Q7*($G$7+$G$8))+(Q9*($G$9+$G$10))+(Q11*$G$11)+(Q12*$G$12)+(Q13*$G$13)+(Q14*($G$14+$G$15))+(Q16*$G$16)+(Q17*$G$17)+(Q18*$G$18)+(Q19*$G$19)+(Q20*$G$20)+(Q21*($G$21+$G$22))+(Q23*($G$23+$G$24))+(Q25*$G$25)+(Q26*($G$26+$G$27+$G$28+$G$29))+(Q30*$G$30)+(Q31*($G$31+$G$32+$G$33+$G$34))+(Q35*$G$35)+(Q36*$G$36)+(Q37*($G$37+$G$38)))/($G$60)</f>
        <v>0.76606756541249832</v>
      </c>
      <c r="R60" s="276">
        <f>((R4*($G$4+$G$5+$G$6))+(R7*($G$7+$G$8))+(R9*($G$9+$G$10))+(R11*$G$11)+(R12*$G$12)+(R13*$G$13)+(R14*($G$14+$G$15))+(R16*$G$16)+(R17*$G$17)+(R18*$G$18)+(R19*$G$19)+(R20*$G$20)+(R21*($G$21+$G$22))+(R23*($G$23+$G$24))+(R25*$G$25)+(R26*($G$26+$G$27+$G$28+$G$29))+(R30*$G$30)+(R31*($G$31+$G$32+$G$33+$G$34))+(R35*$G$35)+(R36*$G$36)+(R37*($G$37+$G$38)))/($G$60)</f>
        <v>0.67594196948161622</v>
      </c>
      <c r="S60" s="276">
        <f>(G60)*24/(K60/60)/15000</f>
        <v>0.74530354146427624</v>
      </c>
      <c r="T60" s="275">
        <f>(G60)*24/(K60/60)/17000</f>
        <v>0.6576207718802437</v>
      </c>
      <c r="U60" s="277">
        <f>(13709-(M60-528))/13709</f>
        <v>0.87161718579035674</v>
      </c>
      <c r="V60" s="1078"/>
      <c r="W60" s="1079"/>
      <c r="X60" s="1079"/>
      <c r="Y60" s="1079"/>
      <c r="Z60" s="1079"/>
      <c r="AA60" s="1079"/>
      <c r="AB60" s="1080"/>
      <c r="AC60" s="19">
        <v>15000</v>
      </c>
      <c r="AD60" s="19">
        <v>17000</v>
      </c>
    </row>
    <row r="61" spans="2:30" ht="21.75" customHeight="1" thickTop="1" x14ac:dyDescent="0.25">
      <c r="B61" s="11"/>
      <c r="C61" s="150" t="s">
        <v>35</v>
      </c>
      <c r="D61" s="235">
        <v>94940</v>
      </c>
      <c r="E61" s="1081" t="s">
        <v>422</v>
      </c>
      <c r="F61" s="1081"/>
      <c r="G61" s="210">
        <f>D61-G60</f>
        <v>7033</v>
      </c>
      <c r="H61" s="150" t="s">
        <v>327</v>
      </c>
      <c r="I61" s="211">
        <f>G60/D61</f>
        <v>0.92592163471666311</v>
      </c>
      <c r="J61" s="151">
        <v>0</v>
      </c>
      <c r="K61" s="12"/>
      <c r="L61" s="12"/>
      <c r="M61" s="12"/>
      <c r="N61" s="12"/>
      <c r="O61" s="13"/>
      <c r="P61" s="14"/>
      <c r="Q61" s="15"/>
      <c r="R61" s="16"/>
      <c r="S61" s="15"/>
      <c r="T61" s="15"/>
      <c r="U61" s="15"/>
      <c r="V61" s="17" t="s">
        <v>48</v>
      </c>
    </row>
    <row r="62" spans="2:30" ht="20.25" customHeight="1" x14ac:dyDescent="0.25">
      <c r="B62" s="11"/>
      <c r="C62" s="150" t="s">
        <v>37</v>
      </c>
      <c r="D62" s="210">
        <f>D61</f>
        <v>94940</v>
      </c>
      <c r="E62" s="1081" t="s">
        <v>36</v>
      </c>
      <c r="F62" s="1081"/>
      <c r="G62" s="210">
        <f>G60</f>
        <v>87907</v>
      </c>
      <c r="H62" s="150" t="s">
        <v>326</v>
      </c>
      <c r="I62" s="212">
        <v>0</v>
      </c>
      <c r="J62" s="152"/>
      <c r="K62" s="12">
        <v>0</v>
      </c>
      <c r="L62" s="12"/>
      <c r="M62" s="12"/>
      <c r="N62" s="12"/>
      <c r="O62" s="13"/>
      <c r="P62" s="14"/>
      <c r="Q62" s="15"/>
      <c r="R62" s="16"/>
      <c r="S62" s="15"/>
      <c r="T62" s="15"/>
      <c r="U62" s="15"/>
      <c r="V62" s="17"/>
    </row>
    <row r="63" spans="2:30" ht="6.75" customHeight="1" thickBot="1" x14ac:dyDescent="0.3">
      <c r="C63" s="23"/>
      <c r="D63" s="42"/>
      <c r="E63" s="1082"/>
      <c r="F63" s="1082"/>
      <c r="G63" s="42"/>
      <c r="H63" s="44"/>
      <c r="I63" s="44"/>
      <c r="J63" s="149"/>
      <c r="O63"/>
      <c r="Q63" s="10"/>
      <c r="V63" s="17"/>
    </row>
    <row r="64" spans="2:30" ht="48.75" customHeight="1" thickTop="1" thickBot="1" x14ac:dyDescent="0.25">
      <c r="B64" s="7"/>
      <c r="C64" s="206" t="s">
        <v>19</v>
      </c>
      <c r="D64" s="207" t="s">
        <v>14</v>
      </c>
      <c r="E64" s="207" t="s">
        <v>23</v>
      </c>
      <c r="F64" s="207" t="s">
        <v>24</v>
      </c>
      <c r="G64" s="208" t="s">
        <v>15</v>
      </c>
      <c r="H64" s="207" t="s">
        <v>17</v>
      </c>
      <c r="I64" s="207" t="s">
        <v>16</v>
      </c>
      <c r="J64" s="209" t="s">
        <v>316</v>
      </c>
      <c r="O64"/>
      <c r="P64" s="141" t="s">
        <v>325</v>
      </c>
      <c r="Q64" s="90" t="s">
        <v>321</v>
      </c>
      <c r="R64" s="90" t="s">
        <v>462</v>
      </c>
      <c r="S64" s="90" t="s">
        <v>323</v>
      </c>
      <c r="T64" s="299" t="s">
        <v>324</v>
      </c>
      <c r="U64" s="300" t="s">
        <v>573</v>
      </c>
      <c r="W64" s="165" t="s">
        <v>375</v>
      </c>
      <c r="X64" s="166" t="s">
        <v>376</v>
      </c>
      <c r="Y64" s="166" t="s">
        <v>377</v>
      </c>
      <c r="Z64" s="167" t="s">
        <v>378</v>
      </c>
    </row>
    <row r="65" spans="2:27" ht="21" thickBot="1" x14ac:dyDescent="0.3">
      <c r="B65" s="8"/>
      <c r="C65" s="201">
        <v>1</v>
      </c>
      <c r="D65" s="202" t="s">
        <v>20</v>
      </c>
      <c r="E65" s="182">
        <f>SUM(G5:G6,G7:G8,G9:G10,G13,G14:G15,G19,G24,G25,G26:G27,G35,G36,G37:G38)</f>
        <v>47415</v>
      </c>
      <c r="F65" s="183">
        <f>SUM(K4,K7,K9,K13,K14,K19,K23,K25,K26,K35,K36,K37)</f>
        <v>6511</v>
      </c>
      <c r="G65" s="184">
        <f>SUM(F5:F6,F7,F9:F10,F13,F14,F19,F24,F25,F26,F35,F36,F37:F38)</f>
        <v>3239.33</v>
      </c>
      <c r="H65" s="184">
        <f>SUM(H5:H6,H7,H9:H10,H13,H14,H19,H24,H25,H26,H35,H36,H37:H38)</f>
        <v>3218.12</v>
      </c>
      <c r="I65" s="97">
        <f t="shared" ref="I65:I70" si="0">(G65-H65)/G65</f>
        <v>6.5476502857072412E-3</v>
      </c>
      <c r="J65" s="186">
        <f>(E65+G4+G23+G28+G29)*24/(F65/60)/17000</f>
        <v>0.675435416986638</v>
      </c>
      <c r="O65"/>
      <c r="P65" s="278">
        <f t="shared" ref="P65:U65" si="1">P60</f>
        <v>9.0747513024253944E-3</v>
      </c>
      <c r="Q65" s="279">
        <f t="shared" si="1"/>
        <v>0.76606756541249832</v>
      </c>
      <c r="R65" s="279">
        <f t="shared" si="1"/>
        <v>0.67594196948161622</v>
      </c>
      <c r="S65" s="280">
        <f t="shared" si="1"/>
        <v>0.74530354146427624</v>
      </c>
      <c r="T65" s="281">
        <f t="shared" si="1"/>
        <v>0.6576207718802437</v>
      </c>
      <c r="U65" s="301">
        <f t="shared" si="1"/>
        <v>0.87161718579035674</v>
      </c>
      <c r="W65" s="176" t="s">
        <v>370</v>
      </c>
      <c r="X65" s="178">
        <f>[5]Jan_2017!$F$37</f>
        <v>8.2268921665516789E-2</v>
      </c>
      <c r="Y65" s="178">
        <f>[5]Jan_2017!F85</f>
        <v>9.9707661417621135E-2</v>
      </c>
      <c r="Z65" s="179">
        <f>[5]YearToDate!F5</f>
        <v>5.7508070397275124E-2</v>
      </c>
    </row>
    <row r="66" spans="2:27" s="1" customFormat="1" ht="18.75" thickTop="1" x14ac:dyDescent="0.25">
      <c r="B66" s="8"/>
      <c r="C66" s="203">
        <v>2</v>
      </c>
      <c r="D66" s="204" t="s">
        <v>21</v>
      </c>
      <c r="E66" s="182">
        <f>SUM(G12,G16,G17,G20,G21)</f>
        <v>16407</v>
      </c>
      <c r="F66" s="183">
        <f>SUM(K12,K16,K17,K20,K21)</f>
        <v>2672</v>
      </c>
      <c r="G66" s="184">
        <f>SUM(F12,F16,F17,F20,F21)</f>
        <v>1089.8999999999999</v>
      </c>
      <c r="H66" s="184">
        <f>SUM(H12,H16,H17,H20,H21)</f>
        <v>1082.8620000000001</v>
      </c>
      <c r="I66" s="97">
        <f t="shared" si="0"/>
        <v>6.4574731626752769E-3</v>
      </c>
      <c r="J66" s="186">
        <f>(E66+G22)*24/(F66/60)/17000</f>
        <v>0.64217330045790777</v>
      </c>
      <c r="K66"/>
      <c r="L66"/>
      <c r="M66"/>
      <c r="N66"/>
      <c r="O66" s="2"/>
      <c r="R66"/>
      <c r="S66"/>
      <c r="T66"/>
      <c r="V66"/>
      <c r="W66" s="213" t="s">
        <v>371</v>
      </c>
      <c r="X66" s="216"/>
      <c r="Y66" s="215">
        <f>[5]Jan_2017!F86</f>
        <v>0.1373270021425676</v>
      </c>
      <c r="Z66" s="214">
        <f>[5]YearToDate!F6</f>
        <v>7.4495145412179109E-2</v>
      </c>
      <c r="AA66"/>
    </row>
    <row r="67" spans="2:27" s="1" customFormat="1" ht="18" x14ac:dyDescent="0.25">
      <c r="B67" s="8"/>
      <c r="C67" s="201">
        <v>3</v>
      </c>
      <c r="D67" s="204" t="s">
        <v>124</v>
      </c>
      <c r="E67" s="187"/>
      <c r="F67" s="188"/>
      <c r="G67" s="189"/>
      <c r="H67" s="189"/>
      <c r="I67" s="109" t="e">
        <f t="shared" si="0"/>
        <v>#DIV/0!</v>
      </c>
      <c r="J67" s="191"/>
      <c r="K67"/>
      <c r="L67"/>
      <c r="M67"/>
      <c r="N67"/>
      <c r="O67" s="2"/>
      <c r="R67"/>
      <c r="S67"/>
      <c r="T67"/>
      <c r="V67"/>
      <c r="W67" s="177" t="s">
        <v>372</v>
      </c>
      <c r="X67" s="217">
        <f>[5]Jan_2017!$F$38</f>
        <v>4.801362347993051E-2</v>
      </c>
      <c r="Y67" s="180">
        <f>[5]Jan_2017!F87</f>
        <v>6.9431229563004002E-2</v>
      </c>
      <c r="Z67" s="181">
        <f>[5]YearToDate!F7</f>
        <v>5.2359214885581859E-2</v>
      </c>
      <c r="AA67"/>
    </row>
    <row r="68" spans="2:27" s="1" customFormat="1" ht="18" x14ac:dyDescent="0.25">
      <c r="B68" s="8"/>
      <c r="C68" s="203">
        <v>4</v>
      </c>
      <c r="D68" s="204" t="s">
        <v>18</v>
      </c>
      <c r="E68" s="182">
        <f>SUM(G4,G18,G22,G23,G30)</f>
        <v>14839</v>
      </c>
      <c r="F68" s="183">
        <f>SUM(K4,K18,K21,K23,K30)</f>
        <v>2829</v>
      </c>
      <c r="G68" s="182">
        <f>SUM(F4,F18,F22,F23,F30)</f>
        <v>1035.4000000000001</v>
      </c>
      <c r="H68" s="182">
        <f>SUM(H4,H18,H22,H23,H30)</f>
        <v>1023.138</v>
      </c>
      <c r="I68" s="97">
        <f t="shared" si="0"/>
        <v>1.1842766080741796E-2</v>
      </c>
      <c r="J68" s="186">
        <f>(E68+G5+G6+G21+G24)*24/(F68/60)/17000</f>
        <v>0.61201422244401482</v>
      </c>
      <c r="K68"/>
      <c r="L68"/>
      <c r="M68"/>
      <c r="N68"/>
      <c r="O68" s="2"/>
      <c r="P68" s="159"/>
      <c r="Q68" s="159"/>
      <c r="R68" s="160"/>
      <c r="S68" s="160"/>
      <c r="T68" s="161"/>
      <c r="U68" s="234"/>
      <c r="V68"/>
      <c r="W68" s="213" t="s">
        <v>373</v>
      </c>
      <c r="X68" s="216"/>
      <c r="Y68" s="215">
        <f>[5]Jan_2017!F88</f>
        <v>9.3557793982591009E-2</v>
      </c>
      <c r="Z68" s="214">
        <f>[5]YearToDate!F8</f>
        <v>5.4903170815414681E-2</v>
      </c>
    </row>
    <row r="69" spans="2:27" s="1" customFormat="1" ht="18" x14ac:dyDescent="0.25">
      <c r="B69" s="8"/>
      <c r="C69" s="201">
        <v>5</v>
      </c>
      <c r="D69" s="205" t="s">
        <v>26</v>
      </c>
      <c r="E69" s="192">
        <f>SUM(G11,G28:G29)</f>
        <v>5815</v>
      </c>
      <c r="F69" s="193">
        <f>SUM(K11,K26)</f>
        <v>963</v>
      </c>
      <c r="G69" s="194">
        <f>SUM(F11,F28:F29)</f>
        <v>394.61599999999993</v>
      </c>
      <c r="H69" s="194">
        <f>SUM(H11,H28:H29)</f>
        <v>383.79</v>
      </c>
      <c r="I69" s="97">
        <f t="shared" si="0"/>
        <v>2.7434265209722641E-2</v>
      </c>
      <c r="J69" s="186">
        <f>(E69+G26+G27)*24/(F69/60)/17000</f>
        <v>0.63058823529411767</v>
      </c>
      <c r="K69"/>
      <c r="L69"/>
      <c r="M69"/>
      <c r="N69"/>
      <c r="O69" s="2"/>
      <c r="P69" s="159"/>
      <c r="R69"/>
      <c r="S69"/>
      <c r="T69" s="6"/>
      <c r="U69" s="10"/>
      <c r="V69"/>
      <c r="W69" s="177" t="s">
        <v>374</v>
      </c>
      <c r="X69" s="217"/>
      <c r="Y69" s="180">
        <f>[5]Jan_2017!F89</f>
        <v>7.5407925407925402E-2</v>
      </c>
      <c r="Z69" s="181">
        <f>[5]YearToDate!F9</f>
        <v>7.6171674114030377E-2</v>
      </c>
    </row>
    <row r="70" spans="2:27" s="1" customFormat="1" ht="18.75" thickBot="1" x14ac:dyDescent="0.3">
      <c r="B70" s="8"/>
      <c r="C70" s="203">
        <v>6</v>
      </c>
      <c r="D70" s="205" t="s">
        <v>25</v>
      </c>
      <c r="E70" s="192">
        <f>SUM(G31:G34)</f>
        <v>3431</v>
      </c>
      <c r="F70" s="193">
        <f>SUM(K31)</f>
        <v>461</v>
      </c>
      <c r="G70" s="194">
        <f>SUM(F31:F34)</f>
        <v>274.46744897959184</v>
      </c>
      <c r="H70" s="194">
        <f>SUM(H31:H34)</f>
        <v>271.04899999999998</v>
      </c>
      <c r="I70" s="97">
        <f t="shared" si="0"/>
        <v>1.2454842977922816E-2</v>
      </c>
      <c r="J70" s="186">
        <f>(E70)*24/(F70/60)/17000</f>
        <v>0.63042490749011093</v>
      </c>
      <c r="K70"/>
      <c r="L70"/>
      <c r="M70"/>
      <c r="N70"/>
      <c r="O70" s="2"/>
      <c r="P70" s="159"/>
      <c r="R70"/>
      <c r="S70"/>
      <c r="T70"/>
      <c r="V70"/>
      <c r="W70" s="218" t="s">
        <v>25</v>
      </c>
      <c r="X70" s="219"/>
      <c r="Y70" s="219">
        <f>[5]Jan_2017!F90</f>
        <v>1.2124388539482878E-2</v>
      </c>
      <c r="Z70" s="220">
        <f>[5]YearToDate!F10</f>
        <v>4.5790074270967041E-2</v>
      </c>
    </row>
    <row r="71" spans="2:27" s="1" customFormat="1" ht="19.5" thickTop="1" thickBot="1" x14ac:dyDescent="0.3">
      <c r="C71" s="112"/>
      <c r="D71" s="195" t="s">
        <v>22</v>
      </c>
      <c r="E71" s="196">
        <f>SUM(E65:E70)</f>
        <v>87907</v>
      </c>
      <c r="F71" s="197">
        <f>K60</f>
        <v>11323</v>
      </c>
      <c r="G71" s="198">
        <f>SUM(G65:G70)</f>
        <v>6033.7134489795908</v>
      </c>
      <c r="H71" s="198">
        <f>SUM(H65:H70)</f>
        <v>5978.9589999999998</v>
      </c>
      <c r="I71" s="199">
        <f>((G71)-(H71))/(G71)</f>
        <v>9.0747513024256928E-3</v>
      </c>
      <c r="J71" s="200">
        <f>E71*24/(F71/60)/17000</f>
        <v>0.6576207718802437</v>
      </c>
      <c r="K71"/>
      <c r="L71"/>
      <c r="M71"/>
      <c r="N71"/>
      <c r="O71" s="139"/>
      <c r="P71" s="159"/>
      <c r="R71"/>
      <c r="S71"/>
      <c r="T71"/>
      <c r="V71"/>
      <c r="W71" s="221" t="s">
        <v>379</v>
      </c>
      <c r="X71" s="222">
        <f>AVERAGE(X65:X70)</f>
        <v>6.5141272572723646E-2</v>
      </c>
      <c r="Y71" s="222">
        <f>[5]Jan_2017!$F$92</f>
        <v>8.7280126734404023E-2</v>
      </c>
      <c r="Z71" s="223">
        <f>[5]YearToDate!$F$12</f>
        <v>5.7449685942507892E-2</v>
      </c>
    </row>
    <row r="72" spans="2:27" s="1" customFormat="1" ht="16.5" thickTop="1" x14ac:dyDescent="0.25">
      <c r="J72"/>
      <c r="K72"/>
      <c r="L72"/>
      <c r="M72"/>
      <c r="N72"/>
      <c r="O72" s="2"/>
      <c r="P72" s="159"/>
      <c r="R72"/>
      <c r="S72"/>
      <c r="T72"/>
      <c r="V72"/>
    </row>
    <row r="73" spans="2:27" s="1" customFormat="1" ht="15.75" x14ac:dyDescent="0.25">
      <c r="E73" s="3"/>
      <c r="F73" s="119"/>
      <c r="G73" s="120"/>
      <c r="H73" s="120"/>
      <c r="I73"/>
      <c r="J73"/>
      <c r="K73"/>
      <c r="L73"/>
      <c r="M73"/>
      <c r="N73"/>
      <c r="O73" s="2"/>
      <c r="P73" s="159"/>
      <c r="R73"/>
      <c r="S73"/>
      <c r="T73"/>
      <c r="V73"/>
    </row>
    <row r="74" spans="2:27" s="1" customFormat="1" ht="13.5" customHeight="1" x14ac:dyDescent="0.25">
      <c r="J74"/>
      <c r="K74"/>
      <c r="L74"/>
      <c r="M74"/>
      <c r="N74"/>
      <c r="O74" s="2"/>
      <c r="P74" s="159"/>
      <c r="R74"/>
      <c r="S74"/>
      <c r="T74"/>
      <c r="V74" s="9"/>
    </row>
    <row r="75" spans="2:27" s="1" customFormat="1" x14ac:dyDescent="0.2">
      <c r="J75"/>
      <c r="K75"/>
      <c r="L75"/>
      <c r="M75"/>
      <c r="N75"/>
      <c r="O75" s="2"/>
      <c r="V75" s="9"/>
    </row>
    <row r="76" spans="2:27" s="1" customFormat="1" x14ac:dyDescent="0.2">
      <c r="J76"/>
      <c r="K76"/>
      <c r="L76"/>
      <c r="M76"/>
      <c r="N76"/>
      <c r="O76" s="2"/>
      <c r="V76" s="9"/>
    </row>
    <row r="77" spans="2:27" s="1" customFormat="1" ht="12.75" customHeight="1" thickBot="1" x14ac:dyDescent="0.25">
      <c r="J77"/>
      <c r="K77"/>
      <c r="L77"/>
      <c r="M77"/>
      <c r="N77"/>
      <c r="O77" s="2"/>
      <c r="R77"/>
      <c r="S77"/>
      <c r="T77"/>
      <c r="V77" s="9"/>
    </row>
    <row r="78" spans="2:27" s="1" customFormat="1" ht="21" thickBot="1" x14ac:dyDescent="0.25">
      <c r="J78"/>
      <c r="K78"/>
      <c r="L78"/>
      <c r="M78"/>
      <c r="N78"/>
      <c r="O78" s="2"/>
      <c r="P78" s="3">
        <f>SUM(G60)</f>
        <v>87907</v>
      </c>
      <c r="Q78" s="3">
        <f>SUM(K60)</f>
        <v>11323</v>
      </c>
      <c r="R78"/>
      <c r="S78" s="63">
        <f>(P78)*24/(Q78/60)/15000</f>
        <v>0.74530354146427624</v>
      </c>
      <c r="T78" s="128">
        <f>(P78)*24/(Q78/60)/17000</f>
        <v>0.6576207718802437</v>
      </c>
      <c r="U78" s="230"/>
      <c r="V78" s="9"/>
    </row>
    <row r="79" spans="2:27" s="1" customFormat="1" ht="21.75" thickTop="1" thickBot="1" x14ac:dyDescent="0.35">
      <c r="J79"/>
      <c r="K79"/>
      <c r="L79"/>
      <c r="M79"/>
      <c r="N79"/>
      <c r="O79" s="2"/>
      <c r="P79" s="140">
        <f>SUM(F60)</f>
        <v>6033.713448979589</v>
      </c>
      <c r="Q79" s="140">
        <f>SUM(H60)</f>
        <v>5978.9589999999998</v>
      </c>
      <c r="R79"/>
      <c r="S79" s="87">
        <f>(P79-Q79)/P79</f>
        <v>9.0747513024253944E-3</v>
      </c>
      <c r="T79"/>
      <c r="V79" s="9"/>
    </row>
    <row r="80" spans="2:27" s="1" customFormat="1" ht="13.5" thickTop="1" x14ac:dyDescent="0.2">
      <c r="J80"/>
      <c r="K80"/>
      <c r="L80"/>
      <c r="M80"/>
      <c r="N80"/>
      <c r="O80" s="2"/>
      <c r="R80"/>
      <c r="S80"/>
      <c r="T80"/>
      <c r="V80" s="9"/>
    </row>
    <row r="81" spans="10:22" s="1" customFormat="1" x14ac:dyDescent="0.2">
      <c r="J81"/>
      <c r="K81"/>
      <c r="L81"/>
      <c r="M81"/>
      <c r="N81"/>
      <c r="O81" s="2"/>
      <c r="R81"/>
      <c r="S81"/>
      <c r="T81"/>
      <c r="V81" s="9"/>
    </row>
    <row r="82" spans="10:22" s="1" customFormat="1" ht="12.75" customHeight="1" x14ac:dyDescent="0.2">
      <c r="J82"/>
      <c r="K82"/>
      <c r="L82"/>
      <c r="M82"/>
      <c r="N82"/>
      <c r="O82" s="2"/>
      <c r="R82"/>
      <c r="S82"/>
      <c r="T82"/>
      <c r="V82" s="9"/>
    </row>
    <row r="83" spans="10:22" s="1" customFormat="1" ht="12.75" customHeight="1" x14ac:dyDescent="0.2">
      <c r="J83"/>
      <c r="K83"/>
      <c r="L83"/>
      <c r="M83"/>
      <c r="N83"/>
      <c r="O83" s="2"/>
      <c r="R83"/>
      <c r="S83"/>
      <c r="T83"/>
      <c r="V83" s="9"/>
    </row>
    <row r="84" spans="10:22" s="1" customFormat="1" ht="12.75" customHeight="1" x14ac:dyDescent="0.2">
      <c r="J84"/>
      <c r="K84"/>
      <c r="L84"/>
      <c r="M84"/>
      <c r="N84"/>
      <c r="O84" s="2"/>
      <c r="R84"/>
      <c r="S84"/>
      <c r="T84"/>
      <c r="V84" s="9"/>
    </row>
    <row r="85" spans="10:22" s="1" customFormat="1" ht="12.75" customHeight="1" x14ac:dyDescent="0.2">
      <c r="J85"/>
      <c r="K85"/>
      <c r="L85"/>
      <c r="M85"/>
      <c r="N85"/>
      <c r="O85" s="2"/>
      <c r="R85"/>
      <c r="S85"/>
      <c r="T85"/>
      <c r="V85" s="9"/>
    </row>
    <row r="86" spans="10:22" s="1" customFormat="1" ht="12.75" customHeight="1" x14ac:dyDescent="0.2">
      <c r="J86"/>
      <c r="K86"/>
      <c r="L86"/>
      <c r="M86"/>
      <c r="N86"/>
      <c r="O86" s="2"/>
      <c r="R86"/>
      <c r="S86"/>
      <c r="T86"/>
      <c r="V86" s="9"/>
    </row>
    <row r="87" spans="10:22" s="1" customFormat="1" x14ac:dyDescent="0.2">
      <c r="J87"/>
      <c r="K87"/>
      <c r="L87"/>
      <c r="M87"/>
      <c r="N87"/>
      <c r="O87" s="2"/>
      <c r="R87"/>
      <c r="S87"/>
      <c r="T87"/>
      <c r="V87"/>
    </row>
    <row r="88" spans="10:22" s="1" customFormat="1" x14ac:dyDescent="0.2">
      <c r="J88"/>
      <c r="K88"/>
      <c r="L88"/>
      <c r="M88"/>
      <c r="N88"/>
      <c r="O88" s="2"/>
      <c r="R88"/>
      <c r="S88"/>
      <c r="T88"/>
      <c r="V88"/>
    </row>
    <row r="89" spans="10:22" s="1" customFormat="1" x14ac:dyDescent="0.2">
      <c r="J89"/>
      <c r="K89"/>
      <c r="L89"/>
      <c r="M89"/>
      <c r="N89"/>
      <c r="O89" s="2"/>
      <c r="R89"/>
      <c r="S89"/>
      <c r="T89"/>
      <c r="V89"/>
    </row>
    <row r="90" spans="10:22" s="1" customFormat="1" x14ac:dyDescent="0.2">
      <c r="J90"/>
      <c r="K90"/>
      <c r="L90"/>
      <c r="M90"/>
      <c r="N90"/>
      <c r="O90" s="2"/>
      <c r="R90"/>
      <c r="S90"/>
      <c r="T90"/>
      <c r="V90"/>
    </row>
    <row r="91" spans="10:22" s="1" customFormat="1" x14ac:dyDescent="0.2">
      <c r="J91"/>
      <c r="K91"/>
      <c r="L91"/>
      <c r="M91"/>
      <c r="N91"/>
      <c r="O91" s="2"/>
      <c r="R91"/>
      <c r="S91"/>
      <c r="T91"/>
      <c r="V91"/>
    </row>
    <row r="92" spans="10:22" s="1" customFormat="1" x14ac:dyDescent="0.2">
      <c r="J92"/>
      <c r="K92"/>
      <c r="L92"/>
      <c r="M92"/>
      <c r="N92"/>
      <c r="O92" s="2"/>
      <c r="R92"/>
      <c r="S92"/>
      <c r="T92"/>
      <c r="V92"/>
    </row>
    <row r="93" spans="10:22" s="1" customFormat="1" x14ac:dyDescent="0.2">
      <c r="J93"/>
      <c r="K93"/>
      <c r="L93"/>
      <c r="M93"/>
      <c r="N93"/>
      <c r="O93" s="2"/>
      <c r="R93"/>
      <c r="S93"/>
      <c r="T93"/>
      <c r="V93"/>
    </row>
    <row r="94" spans="10:22" s="1" customFormat="1" x14ac:dyDescent="0.2">
      <c r="J94"/>
      <c r="K94"/>
      <c r="L94"/>
      <c r="M94"/>
      <c r="N94"/>
      <c r="O94" s="2"/>
      <c r="R94"/>
      <c r="S94"/>
      <c r="T94"/>
      <c r="V94"/>
    </row>
    <row r="95" spans="10:22" s="1" customFormat="1" x14ac:dyDescent="0.2">
      <c r="J95"/>
      <c r="K95"/>
      <c r="L95"/>
      <c r="M95"/>
      <c r="N95"/>
      <c r="O95" s="2"/>
      <c r="R95"/>
      <c r="S95"/>
      <c r="T95"/>
      <c r="V95"/>
    </row>
    <row r="96" spans="10:22" s="1" customFormat="1" x14ac:dyDescent="0.2">
      <c r="J96"/>
      <c r="K96"/>
      <c r="L96"/>
      <c r="M96"/>
      <c r="N96"/>
      <c r="O96" s="2"/>
      <c r="R96"/>
      <c r="S96"/>
      <c r="T96"/>
      <c r="V96"/>
    </row>
    <row r="97" spans="10:22" s="1" customFormat="1" x14ac:dyDescent="0.2">
      <c r="J97"/>
      <c r="K97"/>
      <c r="L97"/>
      <c r="M97"/>
      <c r="N97"/>
      <c r="O97" s="2"/>
      <c r="R97"/>
      <c r="S97"/>
      <c r="T97"/>
      <c r="V97"/>
    </row>
    <row r="98" spans="10:22" s="1" customFormat="1" x14ac:dyDescent="0.2">
      <c r="J98"/>
      <c r="K98"/>
      <c r="L98"/>
      <c r="M98"/>
      <c r="N98"/>
      <c r="O98" s="2"/>
      <c r="R98"/>
      <c r="S98"/>
      <c r="T98"/>
      <c r="V98"/>
    </row>
    <row r="99" spans="10:22" s="1" customFormat="1" x14ac:dyDescent="0.2">
      <c r="J99"/>
      <c r="K99"/>
      <c r="L99"/>
      <c r="M99"/>
      <c r="N99"/>
      <c r="O99" s="2"/>
      <c r="R99"/>
      <c r="S99"/>
      <c r="T99"/>
      <c r="V99"/>
    </row>
    <row r="100" spans="10:22" s="1" customFormat="1" x14ac:dyDescent="0.2">
      <c r="J100"/>
      <c r="K100"/>
      <c r="L100"/>
      <c r="M100"/>
      <c r="N100"/>
      <c r="O100" s="2"/>
      <c r="R100"/>
      <c r="S100"/>
      <c r="T100"/>
      <c r="V100"/>
    </row>
    <row r="101" spans="10:22" s="1" customFormat="1" x14ac:dyDescent="0.2">
      <c r="J101"/>
      <c r="K101"/>
      <c r="L101"/>
      <c r="M101"/>
      <c r="N101"/>
      <c r="O101" s="2"/>
      <c r="R101"/>
      <c r="S101"/>
      <c r="T101"/>
      <c r="V101"/>
    </row>
    <row r="102" spans="10:22" s="1" customFormat="1" x14ac:dyDescent="0.2">
      <c r="J102"/>
      <c r="K102"/>
      <c r="L102"/>
      <c r="M102"/>
      <c r="N102"/>
      <c r="O102" s="2"/>
      <c r="R102"/>
      <c r="S102"/>
      <c r="T102"/>
      <c r="V102"/>
    </row>
    <row r="103" spans="10:22" s="1" customFormat="1" x14ac:dyDescent="0.2">
      <c r="J103"/>
      <c r="K103"/>
      <c r="L103"/>
      <c r="M103"/>
      <c r="N103"/>
      <c r="O103" s="2"/>
      <c r="R103"/>
      <c r="S103"/>
      <c r="T103"/>
      <c r="V103"/>
    </row>
    <row r="104" spans="10:22" s="1" customFormat="1" x14ac:dyDescent="0.2">
      <c r="J104"/>
      <c r="K104"/>
      <c r="L104"/>
      <c r="M104"/>
      <c r="N104"/>
      <c r="O104" s="2"/>
      <c r="R104"/>
      <c r="S104"/>
      <c r="T104"/>
      <c r="V104"/>
    </row>
    <row r="105" spans="10:22" s="1" customFormat="1" x14ac:dyDescent="0.2">
      <c r="J105"/>
      <c r="K105"/>
      <c r="L105"/>
      <c r="M105"/>
      <c r="N105"/>
      <c r="O105" s="2"/>
      <c r="R105"/>
      <c r="S105"/>
      <c r="T105"/>
      <c r="V105"/>
    </row>
    <row r="106" spans="10:22" s="1" customFormat="1" x14ac:dyDescent="0.2">
      <c r="J106"/>
      <c r="K106"/>
      <c r="L106"/>
      <c r="M106"/>
      <c r="N106"/>
      <c r="O106" s="2"/>
      <c r="R106"/>
      <c r="S106"/>
      <c r="T106"/>
      <c r="V106"/>
    </row>
    <row r="107" spans="10:22" s="1" customFormat="1" x14ac:dyDescent="0.2">
      <c r="J107"/>
      <c r="K107"/>
      <c r="L107"/>
      <c r="M107"/>
      <c r="N107"/>
      <c r="O107" s="2"/>
      <c r="R107"/>
      <c r="S107"/>
      <c r="T107"/>
      <c r="V107"/>
    </row>
    <row r="108" spans="10:22" s="1" customFormat="1" x14ac:dyDescent="0.2">
      <c r="J108"/>
      <c r="K108"/>
      <c r="L108"/>
      <c r="M108"/>
      <c r="N108"/>
      <c r="O108" s="2"/>
      <c r="R108"/>
      <c r="S108"/>
      <c r="T108"/>
      <c r="V108"/>
    </row>
    <row r="109" spans="10:22" s="1" customFormat="1" x14ac:dyDescent="0.2">
      <c r="J109"/>
      <c r="K109"/>
      <c r="L109"/>
      <c r="M109"/>
      <c r="N109"/>
      <c r="O109" s="2"/>
      <c r="R109"/>
      <c r="S109"/>
      <c r="T109"/>
      <c r="V109"/>
    </row>
    <row r="110" spans="10:22" s="1" customFormat="1" x14ac:dyDescent="0.2">
      <c r="J110"/>
      <c r="K110"/>
      <c r="L110"/>
      <c r="M110"/>
      <c r="N110"/>
      <c r="O110" s="2"/>
      <c r="R110"/>
      <c r="S110"/>
      <c r="T110"/>
      <c r="V110"/>
    </row>
    <row r="111" spans="10:22" s="1" customFormat="1" x14ac:dyDescent="0.2">
      <c r="J111"/>
      <c r="K111"/>
      <c r="L111"/>
      <c r="M111"/>
      <c r="N111"/>
      <c r="O111" s="2"/>
      <c r="R111"/>
      <c r="S111"/>
      <c r="T111"/>
      <c r="V111"/>
    </row>
    <row r="112" spans="10:22" s="1" customFormat="1" x14ac:dyDescent="0.2">
      <c r="J112"/>
      <c r="K112"/>
      <c r="L112"/>
      <c r="M112"/>
      <c r="N112"/>
      <c r="O112" s="2"/>
      <c r="R112"/>
      <c r="S112"/>
      <c r="T112"/>
      <c r="V112"/>
    </row>
    <row r="113" spans="10:22" s="1" customFormat="1" x14ac:dyDescent="0.2">
      <c r="J113"/>
      <c r="K113"/>
      <c r="L113"/>
      <c r="M113"/>
      <c r="N113"/>
      <c r="O113" s="2"/>
      <c r="R113"/>
      <c r="S113"/>
      <c r="T113"/>
      <c r="V113"/>
    </row>
    <row r="114" spans="10:22" s="1" customFormat="1" x14ac:dyDescent="0.2">
      <c r="J114"/>
      <c r="K114"/>
      <c r="L114"/>
      <c r="M114"/>
      <c r="N114"/>
      <c r="O114" s="2"/>
      <c r="R114"/>
      <c r="S114"/>
      <c r="T114"/>
      <c r="V114"/>
    </row>
    <row r="115" spans="10:22" s="1" customFormat="1" x14ac:dyDescent="0.2">
      <c r="J115"/>
      <c r="K115"/>
      <c r="L115"/>
      <c r="M115"/>
      <c r="N115"/>
      <c r="O115" s="2"/>
      <c r="R115"/>
      <c r="S115"/>
      <c r="T115"/>
      <c r="V115"/>
    </row>
    <row r="116" spans="10:22" s="1" customFormat="1" x14ac:dyDescent="0.2">
      <c r="J116"/>
      <c r="K116"/>
      <c r="L116"/>
      <c r="M116"/>
      <c r="N116"/>
      <c r="O116" s="2"/>
      <c r="R116"/>
      <c r="S116"/>
      <c r="T116"/>
      <c r="V116"/>
    </row>
    <row r="117" spans="10:22" s="1" customFormat="1" x14ac:dyDescent="0.2">
      <c r="J117"/>
      <c r="K117"/>
      <c r="L117"/>
      <c r="M117"/>
      <c r="N117"/>
      <c r="O117" s="2"/>
      <c r="R117"/>
      <c r="S117"/>
      <c r="T117"/>
      <c r="V117"/>
    </row>
    <row r="118" spans="10:22" s="1" customFormat="1" x14ac:dyDescent="0.2">
      <c r="J118"/>
      <c r="K118"/>
      <c r="L118"/>
      <c r="M118"/>
      <c r="N118"/>
      <c r="O118" s="2"/>
      <c r="R118"/>
      <c r="S118"/>
      <c r="T118"/>
      <c r="V118"/>
    </row>
    <row r="119" spans="10:22" s="1" customFormat="1" x14ac:dyDescent="0.2">
      <c r="J119"/>
      <c r="K119"/>
      <c r="L119"/>
      <c r="M119"/>
      <c r="N119"/>
      <c r="O119" s="2"/>
      <c r="R119"/>
      <c r="S119"/>
      <c r="T119"/>
      <c r="V119"/>
    </row>
    <row r="120" spans="10:22" s="1" customFormat="1" x14ac:dyDescent="0.2">
      <c r="J120"/>
      <c r="K120"/>
      <c r="L120"/>
      <c r="M120"/>
      <c r="N120"/>
      <c r="O120" s="2"/>
      <c r="R120"/>
      <c r="S120"/>
      <c r="T120"/>
      <c r="V120"/>
    </row>
    <row r="121" spans="10:22" s="1" customFormat="1" x14ac:dyDescent="0.2">
      <c r="J121"/>
      <c r="K121"/>
      <c r="L121"/>
      <c r="M121"/>
      <c r="N121"/>
      <c r="O121" s="2"/>
      <c r="R121"/>
      <c r="S121"/>
      <c r="T121"/>
      <c r="V121"/>
    </row>
    <row r="122" spans="10:22" s="1" customFormat="1" x14ac:dyDescent="0.2">
      <c r="J122"/>
      <c r="K122"/>
      <c r="L122"/>
      <c r="M122"/>
      <c r="N122"/>
      <c r="O122" s="2"/>
      <c r="R122"/>
      <c r="S122"/>
      <c r="T122"/>
      <c r="V122"/>
    </row>
    <row r="123" spans="10:22" s="1" customFormat="1" x14ac:dyDescent="0.2">
      <c r="J123"/>
      <c r="K123"/>
      <c r="L123"/>
      <c r="M123"/>
      <c r="N123"/>
      <c r="O123" s="2"/>
      <c r="R123"/>
      <c r="S123"/>
      <c r="T123"/>
      <c r="V123"/>
    </row>
    <row r="124" spans="10:22" s="1" customFormat="1" x14ac:dyDescent="0.2">
      <c r="J124"/>
      <c r="K124"/>
      <c r="L124"/>
      <c r="M124"/>
      <c r="N124"/>
      <c r="O124" s="2"/>
      <c r="R124"/>
      <c r="S124"/>
      <c r="T124"/>
      <c r="V124"/>
    </row>
    <row r="125" spans="10:22" s="1" customFormat="1" x14ac:dyDescent="0.2">
      <c r="J125"/>
      <c r="K125"/>
      <c r="L125"/>
      <c r="M125"/>
      <c r="N125"/>
      <c r="O125" s="2"/>
      <c r="R125"/>
      <c r="S125"/>
      <c r="T125"/>
      <c r="V125"/>
    </row>
    <row r="126" spans="10:22" s="1" customFormat="1" x14ac:dyDescent="0.2">
      <c r="J126"/>
      <c r="K126"/>
      <c r="L126"/>
      <c r="M126"/>
      <c r="N126"/>
      <c r="O126" s="2"/>
      <c r="R126"/>
      <c r="S126"/>
      <c r="T126"/>
      <c r="V126"/>
    </row>
    <row r="127" spans="10:22" s="1" customFormat="1" x14ac:dyDescent="0.2">
      <c r="J127"/>
      <c r="K127"/>
      <c r="L127"/>
      <c r="M127"/>
      <c r="N127"/>
      <c r="O127" s="2"/>
      <c r="R127"/>
      <c r="S127"/>
      <c r="T127"/>
      <c r="V127"/>
    </row>
    <row r="128" spans="10:22" s="1" customFormat="1" x14ac:dyDescent="0.2">
      <c r="J128"/>
      <c r="K128"/>
      <c r="L128"/>
      <c r="M128"/>
      <c r="N128"/>
      <c r="O128" s="2"/>
      <c r="R128"/>
      <c r="S128"/>
      <c r="T128"/>
      <c r="V128"/>
    </row>
    <row r="129" spans="10:22" s="1" customFormat="1" x14ac:dyDescent="0.2">
      <c r="J129"/>
      <c r="K129"/>
      <c r="L129"/>
      <c r="M129"/>
      <c r="N129"/>
      <c r="O129" s="2"/>
      <c r="R129"/>
      <c r="S129"/>
      <c r="T129"/>
      <c r="V129"/>
    </row>
    <row r="130" spans="10:22" s="1" customFormat="1" x14ac:dyDescent="0.2">
      <c r="J130"/>
      <c r="K130"/>
      <c r="L130"/>
      <c r="M130"/>
      <c r="N130"/>
      <c r="O130" s="2"/>
      <c r="R130"/>
      <c r="S130"/>
      <c r="T130"/>
      <c r="V130"/>
    </row>
    <row r="131" spans="10:22" s="1" customFormat="1" x14ac:dyDescent="0.2">
      <c r="J131"/>
      <c r="K131"/>
      <c r="L131"/>
      <c r="M131"/>
      <c r="N131"/>
      <c r="O131" s="2"/>
      <c r="R131"/>
      <c r="S131"/>
      <c r="T131"/>
      <c r="V131"/>
    </row>
    <row r="132" spans="10:22" s="1" customFormat="1" x14ac:dyDescent="0.2">
      <c r="J132"/>
      <c r="K132"/>
      <c r="L132"/>
      <c r="M132"/>
      <c r="N132"/>
      <c r="O132" s="2"/>
      <c r="R132"/>
      <c r="S132"/>
      <c r="T132"/>
      <c r="V132"/>
    </row>
    <row r="133" spans="10:22" s="1" customFormat="1" x14ac:dyDescent="0.2">
      <c r="J133"/>
      <c r="K133"/>
      <c r="L133"/>
      <c r="M133"/>
      <c r="N133"/>
      <c r="O133" s="2"/>
      <c r="R133"/>
      <c r="S133"/>
      <c r="T133"/>
      <c r="V133"/>
    </row>
    <row r="134" spans="10:22" s="1" customFormat="1" x14ac:dyDescent="0.2">
      <c r="J134"/>
      <c r="K134"/>
      <c r="L134"/>
      <c r="M134"/>
      <c r="N134"/>
      <c r="O134" s="2"/>
      <c r="R134"/>
      <c r="S134"/>
      <c r="T134"/>
      <c r="V134"/>
    </row>
    <row r="135" spans="10:22" s="1" customFormat="1" x14ac:dyDescent="0.2">
      <c r="J135"/>
      <c r="K135"/>
      <c r="L135"/>
      <c r="M135"/>
      <c r="N135"/>
      <c r="O135" s="2"/>
      <c r="R135"/>
      <c r="S135"/>
      <c r="T135"/>
      <c r="V135"/>
    </row>
    <row r="136" spans="10:22" s="1" customFormat="1" x14ac:dyDescent="0.2">
      <c r="J136"/>
      <c r="K136"/>
      <c r="L136"/>
      <c r="M136"/>
      <c r="N136"/>
      <c r="O136" s="2"/>
      <c r="R136"/>
      <c r="S136"/>
      <c r="T136"/>
      <c r="V136"/>
    </row>
    <row r="137" spans="10:22" s="1" customFormat="1" x14ac:dyDescent="0.2">
      <c r="J137"/>
      <c r="K137"/>
      <c r="L137"/>
      <c r="M137"/>
      <c r="N137"/>
      <c r="O137" s="2"/>
      <c r="R137"/>
      <c r="S137"/>
      <c r="T137"/>
      <c r="V137"/>
    </row>
    <row r="138" spans="10:22" s="1" customFormat="1" x14ac:dyDescent="0.2">
      <c r="J138"/>
      <c r="K138"/>
      <c r="L138"/>
      <c r="M138"/>
      <c r="N138"/>
      <c r="O138" s="2"/>
      <c r="R138"/>
      <c r="S138"/>
      <c r="T138"/>
      <c r="V138"/>
    </row>
    <row r="139" spans="10:22" s="1" customFormat="1" x14ac:dyDescent="0.2">
      <c r="J139"/>
      <c r="K139"/>
      <c r="L139"/>
      <c r="M139"/>
      <c r="N139"/>
      <c r="O139" s="2"/>
      <c r="R139"/>
      <c r="S139"/>
      <c r="T139"/>
      <c r="V139"/>
    </row>
    <row r="140" spans="10:22" s="1" customFormat="1" x14ac:dyDescent="0.2">
      <c r="J140"/>
      <c r="K140"/>
      <c r="L140"/>
      <c r="M140"/>
      <c r="N140"/>
      <c r="O140" s="2"/>
      <c r="R140"/>
      <c r="S140"/>
      <c r="T140"/>
      <c r="V140"/>
    </row>
    <row r="141" spans="10:22" s="1" customFormat="1" x14ac:dyDescent="0.2">
      <c r="J141"/>
      <c r="K141"/>
      <c r="L141"/>
      <c r="M141"/>
      <c r="N141"/>
      <c r="O141" s="2"/>
      <c r="R141"/>
      <c r="S141"/>
      <c r="T141"/>
      <c r="V141"/>
    </row>
    <row r="142" spans="10:22" s="1" customFormat="1" x14ac:dyDescent="0.2">
      <c r="J142"/>
      <c r="K142"/>
      <c r="L142"/>
      <c r="M142"/>
      <c r="N142"/>
      <c r="O142" s="2"/>
      <c r="R142"/>
      <c r="S142"/>
      <c r="T142"/>
      <c r="V142"/>
    </row>
    <row r="143" spans="10:22" s="1" customFormat="1" x14ac:dyDescent="0.2">
      <c r="J143"/>
      <c r="K143"/>
      <c r="L143"/>
      <c r="M143"/>
      <c r="N143"/>
      <c r="O143" s="2"/>
      <c r="R143"/>
      <c r="S143"/>
      <c r="T143"/>
      <c r="V143"/>
    </row>
    <row r="144" spans="10:22" s="1" customFormat="1" x14ac:dyDescent="0.2">
      <c r="J144"/>
      <c r="K144"/>
      <c r="L144"/>
      <c r="M144"/>
      <c r="N144"/>
      <c r="O144" s="2"/>
      <c r="R144"/>
      <c r="S144"/>
      <c r="T144"/>
      <c r="V144"/>
    </row>
    <row r="145" spans="10:22" s="1" customFormat="1" x14ac:dyDescent="0.2">
      <c r="J145"/>
      <c r="K145"/>
      <c r="L145"/>
      <c r="M145"/>
      <c r="N145"/>
      <c r="O145" s="2"/>
      <c r="R145"/>
      <c r="S145"/>
      <c r="T145"/>
      <c r="V145"/>
    </row>
    <row r="146" spans="10:22" s="1" customFormat="1" x14ac:dyDescent="0.2">
      <c r="J146"/>
      <c r="K146"/>
      <c r="L146"/>
      <c r="M146"/>
      <c r="N146"/>
      <c r="O146" s="2"/>
      <c r="R146"/>
      <c r="S146"/>
      <c r="T146"/>
      <c r="V146"/>
    </row>
    <row r="147" spans="10:22" s="1" customFormat="1" x14ac:dyDescent="0.2">
      <c r="J147"/>
      <c r="K147"/>
      <c r="L147"/>
      <c r="M147"/>
      <c r="N147"/>
      <c r="O147" s="2"/>
      <c r="R147"/>
      <c r="S147"/>
      <c r="T147"/>
      <c r="V147"/>
    </row>
    <row r="148" spans="10:22" s="1" customFormat="1" x14ac:dyDescent="0.2">
      <c r="J148"/>
      <c r="K148"/>
      <c r="L148"/>
      <c r="M148"/>
      <c r="N148"/>
      <c r="O148" s="2"/>
      <c r="R148"/>
      <c r="S148"/>
      <c r="T148"/>
      <c r="V148"/>
    </row>
    <row r="149" spans="10:22" s="1" customFormat="1" x14ac:dyDescent="0.2">
      <c r="J149"/>
      <c r="K149"/>
      <c r="L149"/>
      <c r="M149"/>
      <c r="N149"/>
      <c r="O149" s="2"/>
      <c r="R149"/>
      <c r="S149"/>
      <c r="T149"/>
      <c r="V149"/>
    </row>
    <row r="150" spans="10:22" s="1" customFormat="1" x14ac:dyDescent="0.2">
      <c r="J150"/>
      <c r="K150"/>
      <c r="L150"/>
      <c r="M150"/>
      <c r="N150"/>
      <c r="O150" s="2"/>
      <c r="R150"/>
      <c r="S150"/>
      <c r="T150"/>
      <c r="V150"/>
    </row>
    <row r="151" spans="10:22" s="1" customFormat="1" x14ac:dyDescent="0.2">
      <c r="J151"/>
      <c r="K151"/>
      <c r="L151"/>
      <c r="M151"/>
      <c r="N151"/>
      <c r="O151" s="2"/>
      <c r="R151"/>
      <c r="S151"/>
      <c r="T151"/>
      <c r="V151"/>
    </row>
    <row r="152" spans="10:22" s="1" customFormat="1" x14ac:dyDescent="0.2">
      <c r="J152"/>
      <c r="K152"/>
      <c r="L152"/>
      <c r="M152"/>
      <c r="N152"/>
      <c r="O152" s="2"/>
      <c r="R152"/>
      <c r="S152"/>
      <c r="T152"/>
      <c r="V152"/>
    </row>
    <row r="153" spans="10:22" s="1" customFormat="1" x14ac:dyDescent="0.2">
      <c r="J153"/>
      <c r="K153"/>
      <c r="L153"/>
      <c r="M153"/>
      <c r="N153"/>
      <c r="O153" s="2"/>
      <c r="R153"/>
      <c r="S153"/>
      <c r="T153"/>
      <c r="V153"/>
    </row>
    <row r="154" spans="10:22" s="1" customFormat="1" x14ac:dyDescent="0.2">
      <c r="J154"/>
      <c r="K154"/>
      <c r="L154"/>
      <c r="M154"/>
      <c r="N154"/>
      <c r="O154" s="2"/>
      <c r="R154"/>
      <c r="S154"/>
      <c r="T154"/>
      <c r="V154"/>
    </row>
    <row r="155" spans="10:22" s="1" customFormat="1" x14ac:dyDescent="0.2">
      <c r="J155"/>
      <c r="K155"/>
      <c r="L155"/>
      <c r="M155"/>
      <c r="N155"/>
      <c r="O155" s="2"/>
      <c r="R155"/>
      <c r="S155"/>
      <c r="T155"/>
      <c r="V155"/>
    </row>
    <row r="156" spans="10:22" s="1" customFormat="1" x14ac:dyDescent="0.2">
      <c r="J156"/>
      <c r="K156"/>
      <c r="L156"/>
      <c r="M156"/>
      <c r="N156"/>
      <c r="O156" s="2"/>
      <c r="R156"/>
      <c r="S156"/>
      <c r="T156"/>
      <c r="V156"/>
    </row>
    <row r="157" spans="10:22" s="1" customFormat="1" x14ac:dyDescent="0.2">
      <c r="J157"/>
      <c r="K157"/>
      <c r="L157"/>
      <c r="M157"/>
      <c r="N157"/>
      <c r="O157" s="2"/>
      <c r="R157"/>
      <c r="S157"/>
      <c r="T157"/>
      <c r="V157"/>
    </row>
    <row r="158" spans="10:22" s="1" customFormat="1" x14ac:dyDescent="0.2">
      <c r="J158"/>
      <c r="K158"/>
      <c r="L158"/>
      <c r="M158"/>
      <c r="N158"/>
      <c r="O158" s="2"/>
      <c r="R158"/>
      <c r="S158"/>
      <c r="T158"/>
      <c r="V158"/>
    </row>
    <row r="159" spans="10:22" s="1" customFormat="1" x14ac:dyDescent="0.2">
      <c r="J159"/>
      <c r="K159"/>
      <c r="L159"/>
      <c r="M159"/>
      <c r="N159"/>
      <c r="O159" s="2"/>
      <c r="R159"/>
      <c r="S159"/>
      <c r="T159"/>
      <c r="V159"/>
    </row>
    <row r="160" spans="10:22" s="1" customFormat="1" x14ac:dyDescent="0.2">
      <c r="J160"/>
      <c r="K160"/>
      <c r="L160"/>
      <c r="M160"/>
      <c r="N160"/>
      <c r="O160" s="2"/>
      <c r="R160"/>
      <c r="S160"/>
      <c r="T160"/>
      <c r="V160"/>
    </row>
    <row r="161" spans="10:22" s="1" customFormat="1" x14ac:dyDescent="0.2">
      <c r="J161"/>
      <c r="K161"/>
      <c r="L161"/>
      <c r="M161"/>
      <c r="N161"/>
      <c r="O161" s="2"/>
      <c r="R161"/>
      <c r="S161"/>
      <c r="T161"/>
      <c r="V161"/>
    </row>
    <row r="162" spans="10:22" s="1" customFormat="1" x14ac:dyDescent="0.2">
      <c r="J162"/>
      <c r="K162"/>
      <c r="L162"/>
      <c r="M162"/>
      <c r="N162"/>
      <c r="O162" s="2"/>
      <c r="R162"/>
      <c r="S162"/>
      <c r="T162"/>
      <c r="V162"/>
    </row>
    <row r="163" spans="10:22" s="1" customFormat="1" x14ac:dyDescent="0.2">
      <c r="J163"/>
      <c r="K163"/>
      <c r="L163"/>
      <c r="M163"/>
      <c r="N163"/>
      <c r="O163" s="2"/>
      <c r="R163"/>
      <c r="S163"/>
      <c r="T163"/>
      <c r="V163"/>
    </row>
    <row r="164" spans="10:22" s="1" customFormat="1" x14ac:dyDescent="0.2">
      <c r="J164"/>
      <c r="K164"/>
      <c r="L164"/>
      <c r="M164"/>
      <c r="N164"/>
      <c r="O164" s="2"/>
      <c r="R164"/>
      <c r="S164"/>
      <c r="T164"/>
      <c r="V164"/>
    </row>
    <row r="165" spans="10:22" s="1" customFormat="1" x14ac:dyDescent="0.2">
      <c r="J165"/>
      <c r="K165"/>
      <c r="L165"/>
      <c r="M165"/>
      <c r="N165"/>
      <c r="O165" s="2"/>
      <c r="R165"/>
      <c r="S165"/>
      <c r="T165"/>
      <c r="V165"/>
    </row>
    <row r="166" spans="10:22" s="1" customFormat="1" x14ac:dyDescent="0.2">
      <c r="J166"/>
      <c r="K166"/>
      <c r="L166"/>
      <c r="M166"/>
      <c r="N166"/>
      <c r="O166" s="2"/>
      <c r="R166"/>
      <c r="S166"/>
      <c r="T166"/>
      <c r="V166"/>
    </row>
    <row r="167" spans="10:22" s="1" customFormat="1" x14ac:dyDescent="0.2">
      <c r="J167"/>
      <c r="K167"/>
      <c r="L167"/>
      <c r="M167"/>
      <c r="N167"/>
      <c r="O167" s="2"/>
      <c r="R167"/>
      <c r="S167"/>
      <c r="T167"/>
      <c r="V167"/>
    </row>
    <row r="168" spans="10:22" s="1" customFormat="1" x14ac:dyDescent="0.2">
      <c r="J168"/>
      <c r="K168"/>
      <c r="L168"/>
      <c r="M168"/>
      <c r="N168"/>
      <c r="O168" s="2"/>
      <c r="R168"/>
      <c r="S168"/>
      <c r="T168"/>
      <c r="V168"/>
    </row>
    <row r="169" spans="10:22" s="1" customFormat="1" x14ac:dyDescent="0.2">
      <c r="J169"/>
      <c r="K169"/>
      <c r="L169"/>
      <c r="M169"/>
      <c r="N169"/>
      <c r="O169" s="2"/>
      <c r="R169"/>
      <c r="S169"/>
      <c r="T169"/>
      <c r="V169"/>
    </row>
    <row r="170" spans="10:22" s="1" customFormat="1" x14ac:dyDescent="0.2">
      <c r="J170"/>
      <c r="K170"/>
      <c r="L170"/>
      <c r="M170"/>
      <c r="N170"/>
      <c r="O170" s="2"/>
      <c r="R170"/>
      <c r="S170"/>
      <c r="T170"/>
      <c r="V170"/>
    </row>
    <row r="171" spans="10:22" s="1" customFormat="1" x14ac:dyDescent="0.2">
      <c r="J171"/>
      <c r="K171"/>
      <c r="L171"/>
      <c r="M171"/>
      <c r="N171"/>
      <c r="O171" s="2"/>
      <c r="R171"/>
      <c r="S171"/>
      <c r="T171"/>
      <c r="V171"/>
    </row>
    <row r="172" spans="10:22" s="1" customFormat="1" x14ac:dyDescent="0.2">
      <c r="J172"/>
      <c r="K172"/>
      <c r="L172"/>
      <c r="M172"/>
      <c r="N172"/>
      <c r="O172" s="2"/>
      <c r="R172"/>
      <c r="S172"/>
      <c r="T172"/>
      <c r="V172"/>
    </row>
    <row r="173" spans="10:22" s="1" customFormat="1" x14ac:dyDescent="0.2">
      <c r="J173"/>
      <c r="K173"/>
      <c r="L173"/>
      <c r="M173"/>
      <c r="N173"/>
      <c r="O173" s="2"/>
      <c r="R173"/>
      <c r="S173"/>
      <c r="T173"/>
      <c r="V173"/>
    </row>
    <row r="174" spans="10:22" s="1" customFormat="1" x14ac:dyDescent="0.2">
      <c r="J174"/>
      <c r="K174"/>
      <c r="L174"/>
      <c r="M174"/>
      <c r="N174"/>
      <c r="O174" s="2"/>
      <c r="R174"/>
      <c r="S174"/>
      <c r="T174"/>
      <c r="V174"/>
    </row>
    <row r="175" spans="10:22" s="1" customFormat="1" x14ac:dyDescent="0.2">
      <c r="J175"/>
      <c r="K175"/>
      <c r="L175"/>
      <c r="M175"/>
      <c r="N175"/>
      <c r="O175" s="2"/>
      <c r="R175"/>
      <c r="S175"/>
      <c r="T175"/>
      <c r="V175"/>
    </row>
    <row r="176" spans="10:22" s="1" customFormat="1" x14ac:dyDescent="0.2">
      <c r="J176"/>
      <c r="K176"/>
      <c r="L176"/>
      <c r="M176"/>
      <c r="N176"/>
      <c r="O176" s="2"/>
      <c r="R176"/>
      <c r="S176"/>
      <c r="T176"/>
      <c r="V176"/>
    </row>
    <row r="177" spans="10:22" s="1" customFormat="1" x14ac:dyDescent="0.2">
      <c r="J177"/>
      <c r="K177"/>
      <c r="L177"/>
      <c r="M177"/>
      <c r="N177"/>
      <c r="O177" s="2"/>
      <c r="R177"/>
      <c r="S177"/>
      <c r="T177"/>
      <c r="V177"/>
    </row>
    <row r="178" spans="10:22" s="1" customFormat="1" x14ac:dyDescent="0.2">
      <c r="J178"/>
      <c r="K178"/>
      <c r="L178"/>
      <c r="M178"/>
      <c r="N178"/>
      <c r="O178" s="2"/>
      <c r="R178"/>
      <c r="S178"/>
      <c r="T178"/>
      <c r="V178"/>
    </row>
    <row r="179" spans="10:22" s="1" customFormat="1" x14ac:dyDescent="0.2">
      <c r="J179"/>
      <c r="K179"/>
      <c r="L179"/>
      <c r="M179"/>
      <c r="N179"/>
      <c r="O179" s="2"/>
      <c r="R179"/>
      <c r="S179"/>
      <c r="T179"/>
      <c r="V179"/>
    </row>
    <row r="180" spans="10:22" s="1" customFormat="1" x14ac:dyDescent="0.2">
      <c r="J180"/>
      <c r="K180"/>
      <c r="L180"/>
      <c r="M180"/>
      <c r="N180"/>
      <c r="O180" s="2"/>
      <c r="R180"/>
      <c r="S180"/>
      <c r="T180"/>
      <c r="V180"/>
    </row>
    <row r="181" spans="10:22" s="1" customFormat="1" x14ac:dyDescent="0.2">
      <c r="J181"/>
      <c r="K181"/>
      <c r="L181"/>
      <c r="M181"/>
      <c r="N181"/>
      <c r="O181" s="2"/>
      <c r="R181"/>
      <c r="S181"/>
      <c r="T181"/>
      <c r="V181"/>
    </row>
    <row r="182" spans="10:22" s="1" customFormat="1" x14ac:dyDescent="0.2">
      <c r="J182"/>
      <c r="K182"/>
      <c r="L182"/>
      <c r="M182"/>
      <c r="N182"/>
      <c r="O182" s="2"/>
      <c r="R182"/>
      <c r="S182"/>
      <c r="T182"/>
      <c r="V182"/>
    </row>
    <row r="183" spans="10:22" s="1" customFormat="1" x14ac:dyDescent="0.2">
      <c r="J183"/>
      <c r="K183"/>
      <c r="L183"/>
      <c r="M183"/>
      <c r="N183"/>
      <c r="O183" s="2"/>
      <c r="R183"/>
      <c r="S183"/>
      <c r="T183"/>
      <c r="V183"/>
    </row>
    <row r="184" spans="10:22" s="1" customFormat="1" x14ac:dyDescent="0.2">
      <c r="J184"/>
      <c r="K184"/>
      <c r="L184"/>
      <c r="M184"/>
      <c r="N184"/>
      <c r="O184" s="2"/>
      <c r="R184"/>
      <c r="S184"/>
      <c r="T184"/>
      <c r="V184"/>
    </row>
    <row r="185" spans="10:22" s="1" customFormat="1" x14ac:dyDescent="0.2">
      <c r="J185"/>
      <c r="K185"/>
      <c r="L185"/>
      <c r="M185"/>
      <c r="N185"/>
      <c r="O185" s="2"/>
      <c r="R185"/>
      <c r="S185"/>
      <c r="T185"/>
      <c r="V185"/>
    </row>
    <row r="186" spans="10:22" s="1" customFormat="1" x14ac:dyDescent="0.2">
      <c r="J186"/>
      <c r="K186"/>
      <c r="L186"/>
      <c r="M186"/>
      <c r="N186"/>
      <c r="O186" s="2"/>
      <c r="R186"/>
      <c r="S186"/>
      <c r="T186"/>
      <c r="V186"/>
    </row>
    <row r="187" spans="10:22" s="1" customFormat="1" x14ac:dyDescent="0.2">
      <c r="J187"/>
      <c r="K187"/>
      <c r="L187"/>
      <c r="M187"/>
      <c r="N187"/>
      <c r="O187" s="2"/>
      <c r="R187"/>
      <c r="S187"/>
      <c r="T187"/>
      <c r="V187"/>
    </row>
    <row r="188" spans="10:22" s="1" customFormat="1" x14ac:dyDescent="0.2">
      <c r="J188"/>
      <c r="K188"/>
      <c r="L188"/>
      <c r="M188"/>
      <c r="N188"/>
      <c r="O188" s="2"/>
      <c r="R188"/>
      <c r="S188"/>
      <c r="T188"/>
      <c r="V188"/>
    </row>
    <row r="189" spans="10:22" s="1" customFormat="1" x14ac:dyDescent="0.2">
      <c r="J189"/>
      <c r="K189"/>
      <c r="L189"/>
      <c r="M189"/>
      <c r="N189"/>
      <c r="O189" s="2"/>
      <c r="R189"/>
      <c r="S189"/>
      <c r="T189"/>
      <c r="V189"/>
    </row>
    <row r="190" spans="10:22" s="1" customFormat="1" x14ac:dyDescent="0.2">
      <c r="J190"/>
      <c r="K190"/>
      <c r="L190"/>
      <c r="M190"/>
      <c r="N190"/>
      <c r="O190" s="2"/>
      <c r="R190"/>
      <c r="S190"/>
      <c r="T190"/>
      <c r="V190"/>
    </row>
    <row r="191" spans="10:22" s="1" customFormat="1" x14ac:dyDescent="0.2">
      <c r="J191"/>
      <c r="K191"/>
      <c r="L191"/>
      <c r="M191"/>
      <c r="N191"/>
      <c r="O191" s="2"/>
      <c r="R191"/>
      <c r="S191"/>
      <c r="T191"/>
      <c r="V191"/>
    </row>
    <row r="192" spans="10:22" s="1" customFormat="1" x14ac:dyDescent="0.2">
      <c r="J192"/>
      <c r="K192"/>
      <c r="L192"/>
      <c r="M192"/>
      <c r="N192"/>
      <c r="O192" s="2"/>
      <c r="R192"/>
      <c r="S192"/>
      <c r="T192"/>
      <c r="V192"/>
    </row>
    <row r="193" spans="10:22" s="1" customFormat="1" x14ac:dyDescent="0.2">
      <c r="J193"/>
      <c r="K193"/>
      <c r="L193"/>
      <c r="M193"/>
      <c r="N193"/>
      <c r="O193" s="2"/>
      <c r="R193"/>
      <c r="S193"/>
      <c r="T193"/>
      <c r="V193"/>
    </row>
    <row r="194" spans="10:22" s="1" customFormat="1" x14ac:dyDescent="0.2">
      <c r="J194"/>
      <c r="K194"/>
      <c r="L194"/>
      <c r="M194"/>
      <c r="N194"/>
      <c r="O194" s="2"/>
      <c r="R194"/>
      <c r="S194"/>
      <c r="T194"/>
      <c r="V194"/>
    </row>
    <row r="195" spans="10:22" s="1" customFormat="1" x14ac:dyDescent="0.2">
      <c r="J195"/>
      <c r="K195"/>
      <c r="L195"/>
      <c r="M195"/>
      <c r="N195"/>
      <c r="O195" s="2"/>
      <c r="R195"/>
      <c r="S195"/>
      <c r="T195"/>
      <c r="V195"/>
    </row>
    <row r="196" spans="10:22" s="1" customFormat="1" x14ac:dyDescent="0.2">
      <c r="J196"/>
      <c r="K196"/>
      <c r="L196"/>
      <c r="M196"/>
      <c r="N196"/>
      <c r="O196" s="2"/>
      <c r="R196"/>
      <c r="S196"/>
      <c r="T196"/>
      <c r="V196"/>
    </row>
    <row r="197" spans="10:22" s="1" customFormat="1" x14ac:dyDescent="0.2">
      <c r="J197"/>
      <c r="K197"/>
      <c r="L197"/>
      <c r="M197"/>
      <c r="N197"/>
      <c r="O197" s="2"/>
      <c r="R197"/>
      <c r="S197"/>
      <c r="T197"/>
      <c r="V197"/>
    </row>
    <row r="198" spans="10:22" s="1" customFormat="1" x14ac:dyDescent="0.2">
      <c r="J198"/>
      <c r="K198"/>
      <c r="L198"/>
      <c r="M198"/>
      <c r="N198"/>
      <c r="O198" s="2"/>
      <c r="R198"/>
      <c r="S198"/>
      <c r="T198"/>
      <c r="V198"/>
    </row>
    <row r="199" spans="10:22" s="1" customFormat="1" x14ac:dyDescent="0.2">
      <c r="J199"/>
      <c r="K199"/>
      <c r="L199"/>
      <c r="M199"/>
      <c r="N199"/>
      <c r="O199" s="2"/>
      <c r="R199"/>
      <c r="S199"/>
      <c r="T199"/>
      <c r="V199"/>
    </row>
    <row r="200" spans="10:22" s="1" customFormat="1" x14ac:dyDescent="0.2">
      <c r="J200"/>
      <c r="K200"/>
      <c r="L200"/>
      <c r="M200"/>
      <c r="N200"/>
      <c r="O200" s="2"/>
      <c r="R200"/>
      <c r="S200"/>
      <c r="T200"/>
      <c r="V200"/>
    </row>
    <row r="201" spans="10:22" s="1" customFormat="1" x14ac:dyDescent="0.2">
      <c r="J201"/>
      <c r="K201"/>
      <c r="L201"/>
      <c r="M201"/>
      <c r="N201"/>
      <c r="O201" s="2"/>
      <c r="R201"/>
      <c r="S201"/>
      <c r="T201"/>
      <c r="V201"/>
    </row>
    <row r="202" spans="10:22" s="1" customFormat="1" x14ac:dyDescent="0.2">
      <c r="J202"/>
      <c r="K202"/>
      <c r="L202"/>
      <c r="M202"/>
      <c r="N202"/>
      <c r="O202" s="2"/>
      <c r="R202"/>
      <c r="S202"/>
      <c r="T202"/>
      <c r="V202"/>
    </row>
    <row r="203" spans="10:22" s="1" customFormat="1" x14ac:dyDescent="0.2">
      <c r="J203"/>
      <c r="K203"/>
      <c r="L203"/>
      <c r="M203"/>
      <c r="N203"/>
      <c r="O203" s="2"/>
      <c r="R203"/>
      <c r="S203"/>
      <c r="T203"/>
      <c r="V203"/>
    </row>
    <row r="204" spans="10:22" s="1" customFormat="1" x14ac:dyDescent="0.2">
      <c r="J204"/>
      <c r="K204"/>
      <c r="L204"/>
      <c r="M204"/>
      <c r="N204"/>
      <c r="O204" s="2"/>
      <c r="R204"/>
      <c r="S204"/>
      <c r="T204"/>
      <c r="V204"/>
    </row>
    <row r="205" spans="10:22" s="1" customFormat="1" x14ac:dyDescent="0.2">
      <c r="J205"/>
      <c r="K205"/>
      <c r="L205"/>
      <c r="M205"/>
      <c r="N205"/>
      <c r="O205" s="2"/>
      <c r="R205"/>
      <c r="S205"/>
      <c r="T205"/>
      <c r="V205"/>
    </row>
    <row r="206" spans="10:22" s="1" customFormat="1" x14ac:dyDescent="0.2">
      <c r="J206"/>
      <c r="K206"/>
      <c r="L206"/>
      <c r="M206"/>
      <c r="N206"/>
      <c r="O206" s="2"/>
      <c r="R206"/>
      <c r="S206"/>
      <c r="T206"/>
      <c r="V206"/>
    </row>
    <row r="207" spans="10:22" s="1" customFormat="1" x14ac:dyDescent="0.2">
      <c r="J207"/>
      <c r="K207"/>
      <c r="L207"/>
      <c r="M207"/>
      <c r="N207"/>
      <c r="O207" s="2"/>
      <c r="R207"/>
      <c r="S207"/>
      <c r="T207"/>
      <c r="V207"/>
    </row>
    <row r="208" spans="10:22" s="1" customFormat="1" x14ac:dyDescent="0.2">
      <c r="J208"/>
      <c r="K208"/>
      <c r="L208"/>
      <c r="M208"/>
      <c r="N208"/>
      <c r="O208" s="2"/>
      <c r="R208"/>
      <c r="S208"/>
      <c r="T208"/>
      <c r="V208"/>
    </row>
    <row r="209" spans="10:22" s="1" customFormat="1" x14ac:dyDescent="0.2">
      <c r="J209"/>
      <c r="K209"/>
      <c r="L209"/>
      <c r="M209"/>
      <c r="N209"/>
      <c r="O209" s="2"/>
      <c r="R209"/>
      <c r="S209"/>
      <c r="T209"/>
      <c r="V209"/>
    </row>
    <row r="210" spans="10:22" s="1" customFormat="1" x14ac:dyDescent="0.2">
      <c r="J210"/>
      <c r="K210"/>
      <c r="L210"/>
      <c r="M210"/>
      <c r="N210"/>
      <c r="O210" s="2"/>
      <c r="R210"/>
      <c r="S210"/>
      <c r="T210"/>
      <c r="V210"/>
    </row>
    <row r="211" spans="10:22" s="1" customFormat="1" x14ac:dyDescent="0.2">
      <c r="J211"/>
      <c r="K211"/>
      <c r="L211"/>
      <c r="M211"/>
      <c r="N211"/>
      <c r="O211" s="2"/>
      <c r="R211"/>
      <c r="S211"/>
      <c r="T211"/>
      <c r="V211"/>
    </row>
    <row r="212" spans="10:22" s="1" customFormat="1" x14ac:dyDescent="0.2">
      <c r="J212"/>
      <c r="K212"/>
      <c r="L212"/>
      <c r="M212"/>
      <c r="N212"/>
      <c r="O212" s="2"/>
      <c r="R212"/>
      <c r="S212"/>
      <c r="T212"/>
      <c r="V212"/>
    </row>
    <row r="213" spans="10:22" s="1" customFormat="1" x14ac:dyDescent="0.2">
      <c r="J213"/>
      <c r="K213"/>
      <c r="L213"/>
      <c r="M213"/>
      <c r="N213"/>
      <c r="O213" s="2"/>
      <c r="R213"/>
      <c r="S213"/>
      <c r="T213"/>
      <c r="V213"/>
    </row>
    <row r="214" spans="10:22" s="1" customFormat="1" x14ac:dyDescent="0.2">
      <c r="J214"/>
      <c r="K214"/>
      <c r="L214"/>
      <c r="M214"/>
      <c r="N214"/>
      <c r="O214" s="2"/>
      <c r="R214"/>
      <c r="S214"/>
      <c r="T214"/>
      <c r="V214"/>
    </row>
    <row r="215" spans="10:22" s="1" customFormat="1" x14ac:dyDescent="0.2">
      <c r="J215"/>
      <c r="K215"/>
      <c r="L215"/>
      <c r="M215"/>
      <c r="N215"/>
      <c r="O215" s="2"/>
      <c r="R215"/>
      <c r="S215"/>
      <c r="T215"/>
      <c r="V215"/>
    </row>
    <row r="216" spans="10:22" s="1" customFormat="1" x14ac:dyDescent="0.2">
      <c r="J216"/>
      <c r="K216"/>
      <c r="L216"/>
      <c r="M216"/>
      <c r="N216"/>
      <c r="O216" s="2"/>
      <c r="R216"/>
      <c r="S216"/>
      <c r="T216"/>
      <c r="V216"/>
    </row>
    <row r="217" spans="10:22" s="1" customFormat="1" x14ac:dyDescent="0.2">
      <c r="J217"/>
      <c r="K217"/>
      <c r="L217"/>
      <c r="M217"/>
      <c r="N217"/>
      <c r="O217" s="2"/>
      <c r="R217"/>
      <c r="S217"/>
      <c r="T217"/>
      <c r="V217"/>
    </row>
    <row r="218" spans="10:22" s="1" customFormat="1" x14ac:dyDescent="0.2">
      <c r="J218"/>
      <c r="K218"/>
      <c r="L218"/>
      <c r="M218"/>
      <c r="N218"/>
      <c r="O218" s="2"/>
      <c r="R218"/>
      <c r="S218"/>
      <c r="T218"/>
      <c r="V218"/>
    </row>
    <row r="219" spans="10:22" s="1" customFormat="1" x14ac:dyDescent="0.2">
      <c r="J219"/>
      <c r="K219"/>
      <c r="L219"/>
      <c r="M219"/>
      <c r="N219"/>
      <c r="O219" s="2"/>
      <c r="R219"/>
      <c r="S219"/>
      <c r="T219"/>
      <c r="V219"/>
    </row>
    <row r="220" spans="10:22" s="1" customFormat="1" x14ac:dyDescent="0.2">
      <c r="J220"/>
      <c r="K220"/>
      <c r="L220"/>
      <c r="M220"/>
      <c r="N220"/>
      <c r="O220" s="2"/>
      <c r="R220"/>
      <c r="S220"/>
      <c r="T220"/>
      <c r="V220"/>
    </row>
    <row r="221" spans="10:22" s="1" customFormat="1" x14ac:dyDescent="0.2">
      <c r="J221"/>
      <c r="K221"/>
      <c r="L221"/>
      <c r="M221"/>
      <c r="N221"/>
      <c r="O221" s="2"/>
      <c r="R221"/>
      <c r="S221"/>
      <c r="T221"/>
      <c r="V221"/>
    </row>
    <row r="222" spans="10:22" s="1" customFormat="1" x14ac:dyDescent="0.2">
      <c r="J222"/>
      <c r="K222"/>
      <c r="L222"/>
      <c r="M222"/>
      <c r="N222"/>
      <c r="O222" s="2"/>
      <c r="R222"/>
      <c r="S222"/>
      <c r="T222"/>
      <c r="V222"/>
    </row>
    <row r="223" spans="10:22" s="1" customFormat="1" x14ac:dyDescent="0.2">
      <c r="J223"/>
      <c r="K223"/>
      <c r="L223"/>
      <c r="M223"/>
      <c r="N223"/>
      <c r="O223" s="2"/>
      <c r="R223"/>
      <c r="S223"/>
      <c r="T223"/>
      <c r="V223"/>
    </row>
    <row r="224" spans="10:22" s="1" customFormat="1" x14ac:dyDescent="0.2">
      <c r="J224"/>
      <c r="K224"/>
      <c r="L224"/>
      <c r="M224"/>
      <c r="N224"/>
      <c r="O224" s="2"/>
      <c r="R224"/>
      <c r="S224"/>
      <c r="T224"/>
      <c r="V224"/>
    </row>
    <row r="225" spans="10:22" s="1" customFormat="1" x14ac:dyDescent="0.2">
      <c r="J225"/>
      <c r="K225"/>
      <c r="L225"/>
      <c r="M225"/>
      <c r="N225"/>
      <c r="O225" s="2"/>
      <c r="R225"/>
      <c r="S225"/>
      <c r="T225"/>
      <c r="V225"/>
    </row>
    <row r="226" spans="10:22" s="1" customFormat="1" x14ac:dyDescent="0.2">
      <c r="J226"/>
      <c r="K226"/>
      <c r="L226"/>
      <c r="M226"/>
      <c r="N226"/>
      <c r="O226" s="2"/>
      <c r="R226"/>
      <c r="S226"/>
      <c r="T226"/>
      <c r="V226"/>
    </row>
    <row r="227" spans="10:22" s="1" customFormat="1" x14ac:dyDescent="0.2">
      <c r="J227"/>
      <c r="K227"/>
      <c r="L227"/>
      <c r="M227"/>
      <c r="N227"/>
      <c r="O227" s="2"/>
      <c r="R227"/>
      <c r="S227"/>
      <c r="T227"/>
      <c r="V227"/>
    </row>
    <row r="228" spans="10:22" s="1" customFormat="1" x14ac:dyDescent="0.2">
      <c r="J228"/>
      <c r="K228"/>
      <c r="L228"/>
      <c r="M228"/>
      <c r="N228"/>
      <c r="O228" s="2"/>
      <c r="R228"/>
      <c r="S228"/>
      <c r="T228"/>
      <c r="V228"/>
    </row>
    <row r="229" spans="10:22" s="1" customFormat="1" x14ac:dyDescent="0.2">
      <c r="J229"/>
      <c r="K229"/>
      <c r="L229"/>
      <c r="M229"/>
      <c r="N229"/>
      <c r="O229" s="2"/>
      <c r="R229"/>
      <c r="S229"/>
      <c r="T229"/>
      <c r="V229"/>
    </row>
    <row r="230" spans="10:22" s="1" customFormat="1" x14ac:dyDescent="0.2">
      <c r="J230"/>
      <c r="K230"/>
      <c r="L230"/>
      <c r="M230"/>
      <c r="N230"/>
      <c r="O230" s="2"/>
      <c r="R230"/>
      <c r="S230"/>
      <c r="T230"/>
      <c r="V230"/>
    </row>
    <row r="231" spans="10:22" s="1" customFormat="1" x14ac:dyDescent="0.2">
      <c r="J231"/>
      <c r="K231"/>
      <c r="L231"/>
      <c r="M231"/>
      <c r="N231"/>
      <c r="O231" s="2"/>
      <c r="R231"/>
      <c r="S231"/>
      <c r="T231"/>
      <c r="V231"/>
    </row>
    <row r="232" spans="10:22" s="1" customFormat="1" x14ac:dyDescent="0.2">
      <c r="J232"/>
      <c r="K232"/>
      <c r="L232"/>
      <c r="M232"/>
      <c r="N232"/>
      <c r="O232" s="2"/>
      <c r="R232"/>
      <c r="S232"/>
      <c r="T232"/>
      <c r="V232"/>
    </row>
    <row r="233" spans="10:22" s="1" customFormat="1" x14ac:dyDescent="0.2">
      <c r="J233"/>
      <c r="K233"/>
      <c r="L233"/>
      <c r="M233"/>
      <c r="N233"/>
      <c r="O233" s="2"/>
      <c r="R233"/>
      <c r="S233"/>
      <c r="T233"/>
      <c r="V233"/>
    </row>
    <row r="234" spans="10:22" s="1" customFormat="1" x14ac:dyDescent="0.2">
      <c r="J234"/>
      <c r="K234"/>
      <c r="L234"/>
      <c r="M234"/>
      <c r="N234"/>
      <c r="O234" s="2"/>
      <c r="R234"/>
      <c r="S234"/>
      <c r="T234"/>
      <c r="V234"/>
    </row>
    <row r="235" spans="10:22" s="1" customFormat="1" x14ac:dyDescent="0.2">
      <c r="J235"/>
      <c r="K235"/>
      <c r="L235"/>
      <c r="M235"/>
      <c r="N235"/>
      <c r="O235" s="2"/>
      <c r="R235"/>
      <c r="S235"/>
      <c r="T235"/>
      <c r="V235"/>
    </row>
    <row r="236" spans="10:22" s="1" customFormat="1" x14ac:dyDescent="0.2">
      <c r="J236"/>
      <c r="K236"/>
      <c r="L236"/>
      <c r="M236"/>
      <c r="N236"/>
      <c r="O236" s="2"/>
      <c r="R236"/>
      <c r="S236"/>
      <c r="T236"/>
      <c r="V236"/>
    </row>
    <row r="237" spans="10:22" s="1" customFormat="1" x14ac:dyDescent="0.2">
      <c r="J237"/>
      <c r="K237"/>
      <c r="L237"/>
      <c r="M237"/>
      <c r="N237"/>
      <c r="O237" s="2"/>
      <c r="R237"/>
      <c r="S237"/>
      <c r="T237"/>
      <c r="V237"/>
    </row>
    <row r="238" spans="10:22" s="1" customFormat="1" x14ac:dyDescent="0.2">
      <c r="J238"/>
      <c r="K238"/>
      <c r="L238"/>
      <c r="M238"/>
      <c r="N238"/>
      <c r="O238" s="2"/>
      <c r="R238"/>
      <c r="S238"/>
      <c r="T238"/>
      <c r="V238"/>
    </row>
    <row r="239" spans="10:22" s="1" customFormat="1" x14ac:dyDescent="0.2">
      <c r="J239"/>
      <c r="K239"/>
      <c r="L239"/>
      <c r="M239"/>
      <c r="N239"/>
      <c r="O239" s="2"/>
      <c r="R239"/>
      <c r="S239"/>
      <c r="T239"/>
      <c r="V239"/>
    </row>
    <row r="240" spans="10:22" s="1" customFormat="1" x14ac:dyDescent="0.2">
      <c r="J240"/>
      <c r="K240"/>
      <c r="L240"/>
      <c r="M240"/>
      <c r="N240"/>
      <c r="O240" s="2"/>
      <c r="R240"/>
      <c r="S240"/>
      <c r="T240"/>
      <c r="V240"/>
    </row>
    <row r="241" spans="10:22" s="1" customFormat="1" x14ac:dyDescent="0.2">
      <c r="J241"/>
      <c r="K241"/>
      <c r="L241"/>
      <c r="M241"/>
      <c r="N241"/>
      <c r="O241" s="2"/>
      <c r="R241"/>
      <c r="S241"/>
      <c r="T241"/>
      <c r="V241"/>
    </row>
    <row r="242" spans="10:22" s="1" customFormat="1" x14ac:dyDescent="0.2">
      <c r="J242"/>
      <c r="K242"/>
      <c r="L242"/>
      <c r="M242"/>
      <c r="N242"/>
      <c r="O242" s="2"/>
      <c r="R242"/>
      <c r="S242"/>
      <c r="T242"/>
      <c r="V242"/>
    </row>
    <row r="243" spans="10:22" s="1" customFormat="1" x14ac:dyDescent="0.2">
      <c r="J243"/>
      <c r="K243"/>
      <c r="L243"/>
      <c r="M243"/>
      <c r="N243"/>
      <c r="O243" s="2"/>
      <c r="R243"/>
      <c r="S243"/>
      <c r="T243"/>
      <c r="V243"/>
    </row>
    <row r="244" spans="10:22" s="1" customFormat="1" x14ac:dyDescent="0.2">
      <c r="J244"/>
      <c r="K244"/>
      <c r="L244"/>
      <c r="M244"/>
      <c r="N244"/>
      <c r="O244" s="2"/>
      <c r="R244"/>
      <c r="S244"/>
      <c r="T244"/>
      <c r="V244"/>
    </row>
    <row r="245" spans="10:22" s="1" customFormat="1" x14ac:dyDescent="0.2">
      <c r="J245"/>
      <c r="K245"/>
      <c r="L245"/>
      <c r="M245"/>
      <c r="N245"/>
      <c r="O245" s="2"/>
      <c r="R245"/>
      <c r="S245"/>
      <c r="T245"/>
      <c r="V245"/>
    </row>
    <row r="246" spans="10:22" s="1" customFormat="1" x14ac:dyDescent="0.2">
      <c r="J246"/>
      <c r="K246"/>
      <c r="L246"/>
      <c r="M246"/>
      <c r="N246"/>
      <c r="O246" s="2"/>
      <c r="R246"/>
      <c r="S246"/>
      <c r="T246"/>
      <c r="V246"/>
    </row>
    <row r="247" spans="10:22" s="1" customFormat="1" x14ac:dyDescent="0.2">
      <c r="J247"/>
      <c r="K247"/>
      <c r="L247"/>
      <c r="M247"/>
      <c r="N247"/>
      <c r="O247" s="2"/>
      <c r="R247"/>
      <c r="S247"/>
      <c r="T247"/>
      <c r="V247"/>
    </row>
    <row r="248" spans="10:22" s="1" customFormat="1" x14ac:dyDescent="0.2">
      <c r="J248"/>
      <c r="K248"/>
      <c r="L248"/>
      <c r="M248"/>
      <c r="N248"/>
      <c r="O248" s="2"/>
      <c r="R248"/>
      <c r="S248"/>
      <c r="T248"/>
      <c r="V248"/>
    </row>
    <row r="249" spans="10:22" s="1" customFormat="1" x14ac:dyDescent="0.2">
      <c r="J249"/>
      <c r="K249"/>
      <c r="L249"/>
      <c r="M249"/>
      <c r="N249"/>
      <c r="O249" s="2"/>
      <c r="R249"/>
      <c r="S249"/>
      <c r="T249"/>
      <c r="V249"/>
    </row>
    <row r="250" spans="10:22" s="1" customFormat="1" x14ac:dyDescent="0.2">
      <c r="J250"/>
      <c r="K250"/>
      <c r="L250"/>
      <c r="M250"/>
      <c r="N250"/>
      <c r="O250" s="2"/>
      <c r="R250"/>
      <c r="S250"/>
      <c r="T250"/>
      <c r="V250"/>
    </row>
    <row r="251" spans="10:22" s="1" customFormat="1" x14ac:dyDescent="0.2">
      <c r="J251"/>
      <c r="K251"/>
      <c r="L251"/>
      <c r="M251"/>
      <c r="N251"/>
      <c r="O251" s="2"/>
      <c r="R251"/>
      <c r="S251"/>
      <c r="T251"/>
      <c r="V251"/>
    </row>
    <row r="252" spans="10:22" s="1" customFormat="1" x14ac:dyDescent="0.2">
      <c r="J252"/>
      <c r="K252"/>
      <c r="L252"/>
      <c r="M252"/>
      <c r="N252"/>
      <c r="O252" s="2"/>
      <c r="R252"/>
      <c r="S252"/>
      <c r="T252"/>
      <c r="V252"/>
    </row>
    <row r="253" spans="10:22" s="1" customFormat="1" x14ac:dyDescent="0.2">
      <c r="J253"/>
      <c r="K253"/>
      <c r="L253"/>
      <c r="M253"/>
      <c r="N253"/>
      <c r="O253" s="2"/>
      <c r="R253"/>
      <c r="S253"/>
      <c r="T253"/>
      <c r="V253"/>
    </row>
    <row r="254" spans="10:22" s="1" customFormat="1" x14ac:dyDescent="0.2">
      <c r="J254"/>
      <c r="K254"/>
      <c r="L254"/>
      <c r="M254"/>
      <c r="N254"/>
      <c r="O254" s="2"/>
      <c r="R254"/>
      <c r="S254"/>
      <c r="T254"/>
      <c r="V254"/>
    </row>
    <row r="255" spans="10:22" s="1" customFormat="1" x14ac:dyDescent="0.2">
      <c r="J255"/>
      <c r="K255"/>
      <c r="L255"/>
      <c r="M255"/>
      <c r="N255"/>
      <c r="O255" s="2"/>
      <c r="R255"/>
      <c r="S255"/>
      <c r="T255"/>
      <c r="V255"/>
    </row>
    <row r="256" spans="10:22" s="1" customFormat="1" x14ac:dyDescent="0.2">
      <c r="J256"/>
      <c r="K256"/>
      <c r="L256"/>
      <c r="M256"/>
      <c r="N256"/>
      <c r="O256" s="2"/>
      <c r="R256"/>
      <c r="S256"/>
      <c r="T256"/>
      <c r="V256"/>
    </row>
    <row r="257" spans="10:22" s="1" customFormat="1" x14ac:dyDescent="0.2">
      <c r="J257"/>
      <c r="K257"/>
      <c r="L257"/>
      <c r="M257"/>
      <c r="N257"/>
      <c r="O257" s="2"/>
      <c r="R257"/>
      <c r="S257"/>
      <c r="T257"/>
      <c r="V257"/>
    </row>
    <row r="258" spans="10:22" s="1" customFormat="1" x14ac:dyDescent="0.2">
      <c r="J258"/>
      <c r="K258"/>
      <c r="L258"/>
      <c r="M258"/>
      <c r="N258"/>
      <c r="O258" s="2"/>
      <c r="R258"/>
      <c r="S258"/>
      <c r="T258"/>
      <c r="V258"/>
    </row>
    <row r="259" spans="10:22" s="1" customFormat="1" x14ac:dyDescent="0.2">
      <c r="J259"/>
      <c r="K259"/>
      <c r="L259"/>
      <c r="M259"/>
      <c r="N259"/>
      <c r="O259" s="2"/>
      <c r="R259"/>
      <c r="S259"/>
      <c r="T259"/>
      <c r="V259"/>
    </row>
    <row r="260" spans="10:22" s="1" customFormat="1" x14ac:dyDescent="0.2">
      <c r="J260"/>
      <c r="K260"/>
      <c r="L260"/>
      <c r="M260"/>
      <c r="N260"/>
      <c r="O260" s="2"/>
      <c r="R260"/>
      <c r="S260"/>
      <c r="T260"/>
      <c r="V260"/>
    </row>
    <row r="261" spans="10:22" s="1" customFormat="1" x14ac:dyDescent="0.2">
      <c r="J261"/>
      <c r="K261"/>
      <c r="L261"/>
      <c r="M261"/>
      <c r="N261"/>
      <c r="O261" s="2"/>
      <c r="R261"/>
      <c r="S261"/>
      <c r="T261"/>
      <c r="V261"/>
    </row>
    <row r="262" spans="10:22" s="1" customFormat="1" x14ac:dyDescent="0.2">
      <c r="J262"/>
      <c r="K262"/>
      <c r="L262"/>
      <c r="M262"/>
      <c r="N262"/>
      <c r="O262" s="2"/>
      <c r="R262"/>
      <c r="S262"/>
      <c r="T262"/>
      <c r="V262"/>
    </row>
    <row r="263" spans="10:22" s="1" customFormat="1" x14ac:dyDescent="0.2">
      <c r="J263"/>
      <c r="K263"/>
      <c r="L263"/>
      <c r="M263"/>
      <c r="N263"/>
      <c r="O263" s="2"/>
      <c r="R263"/>
      <c r="S263"/>
      <c r="T263"/>
      <c r="V263"/>
    </row>
    <row r="264" spans="10:22" s="1" customFormat="1" x14ac:dyDescent="0.2">
      <c r="J264"/>
      <c r="K264"/>
      <c r="L264"/>
      <c r="M264"/>
      <c r="N264"/>
      <c r="O264" s="2"/>
      <c r="R264"/>
      <c r="S264"/>
      <c r="T264"/>
      <c r="V264"/>
    </row>
    <row r="265" spans="10:22" s="1" customFormat="1" x14ac:dyDescent="0.2">
      <c r="J265"/>
      <c r="K265"/>
      <c r="L265"/>
      <c r="M265"/>
      <c r="N265"/>
      <c r="O265" s="2"/>
      <c r="R265"/>
      <c r="S265"/>
      <c r="T265"/>
      <c r="V265"/>
    </row>
    <row r="266" spans="10:22" s="1" customFormat="1" x14ac:dyDescent="0.2">
      <c r="J266"/>
      <c r="K266"/>
      <c r="L266"/>
      <c r="M266"/>
      <c r="N266"/>
      <c r="O266" s="2"/>
      <c r="R266"/>
      <c r="S266"/>
      <c r="T266"/>
      <c r="V266"/>
    </row>
    <row r="267" spans="10:22" s="1" customFormat="1" x14ac:dyDescent="0.2">
      <c r="J267"/>
      <c r="K267"/>
      <c r="L267"/>
      <c r="M267"/>
      <c r="N267"/>
      <c r="O267" s="2"/>
      <c r="R267"/>
      <c r="S267"/>
      <c r="T267"/>
      <c r="V267"/>
    </row>
    <row r="268" spans="10:22" s="1" customFormat="1" x14ac:dyDescent="0.2">
      <c r="J268"/>
      <c r="K268"/>
      <c r="L268"/>
      <c r="M268"/>
      <c r="N268"/>
      <c r="O268" s="2"/>
      <c r="R268"/>
      <c r="S268"/>
      <c r="T268"/>
      <c r="V268"/>
    </row>
    <row r="269" spans="10:22" s="1" customFormat="1" x14ac:dyDescent="0.2">
      <c r="J269"/>
      <c r="K269"/>
      <c r="L269"/>
      <c r="M269"/>
      <c r="N269"/>
      <c r="O269" s="2"/>
      <c r="R269"/>
      <c r="S269"/>
      <c r="T269"/>
      <c r="V269"/>
    </row>
    <row r="270" spans="10:22" s="1" customFormat="1" x14ac:dyDescent="0.2">
      <c r="J270"/>
      <c r="K270"/>
      <c r="L270"/>
      <c r="M270"/>
      <c r="N270"/>
      <c r="O270" s="2"/>
      <c r="R270"/>
      <c r="S270"/>
      <c r="T270"/>
      <c r="V270"/>
    </row>
    <row r="271" spans="10:22" s="1" customFormat="1" x14ac:dyDescent="0.2">
      <c r="J271"/>
      <c r="K271"/>
      <c r="L271"/>
      <c r="M271"/>
      <c r="N271"/>
      <c r="O271" s="2"/>
      <c r="R271"/>
      <c r="S271"/>
      <c r="T271"/>
      <c r="V271"/>
    </row>
    <row r="272" spans="10:22" s="1" customFormat="1" x14ac:dyDescent="0.2">
      <c r="J272"/>
      <c r="K272"/>
      <c r="L272"/>
      <c r="M272"/>
      <c r="N272"/>
      <c r="O272" s="2"/>
      <c r="R272"/>
      <c r="S272"/>
      <c r="T272"/>
      <c r="V272"/>
    </row>
    <row r="273" spans="10:22" s="1" customFormat="1" x14ac:dyDescent="0.2">
      <c r="J273"/>
      <c r="K273"/>
      <c r="L273"/>
      <c r="M273"/>
      <c r="N273"/>
      <c r="O273" s="2"/>
      <c r="R273"/>
      <c r="S273"/>
      <c r="T273"/>
      <c r="V273"/>
    </row>
    <row r="274" spans="10:22" s="1" customFormat="1" x14ac:dyDescent="0.2">
      <c r="J274"/>
      <c r="K274"/>
      <c r="L274"/>
      <c r="M274"/>
      <c r="N274"/>
      <c r="O274" s="2"/>
      <c r="R274"/>
      <c r="S274"/>
      <c r="T274"/>
      <c r="V274"/>
    </row>
    <row r="275" spans="10:22" s="1" customFormat="1" x14ac:dyDescent="0.2">
      <c r="J275"/>
      <c r="K275"/>
      <c r="L275"/>
      <c r="M275"/>
      <c r="N275"/>
      <c r="O275" s="2"/>
      <c r="R275"/>
      <c r="S275"/>
      <c r="T275"/>
      <c r="V275"/>
    </row>
    <row r="276" spans="10:22" s="1" customFormat="1" x14ac:dyDescent="0.2">
      <c r="J276"/>
      <c r="K276"/>
      <c r="L276"/>
      <c r="M276"/>
      <c r="N276"/>
      <c r="O276" s="2"/>
      <c r="R276"/>
      <c r="S276"/>
      <c r="T276"/>
      <c r="V276"/>
    </row>
    <row r="277" spans="10:22" s="1" customFormat="1" x14ac:dyDescent="0.2">
      <c r="J277"/>
      <c r="K277"/>
      <c r="L277"/>
      <c r="M277"/>
      <c r="N277"/>
      <c r="O277" s="2"/>
      <c r="R277"/>
      <c r="S277"/>
      <c r="T277"/>
      <c r="V277"/>
    </row>
    <row r="278" spans="10:22" s="1" customFormat="1" x14ac:dyDescent="0.2">
      <c r="J278"/>
      <c r="K278"/>
      <c r="L278"/>
      <c r="M278"/>
      <c r="N278"/>
      <c r="O278" s="2"/>
      <c r="R278"/>
      <c r="S278"/>
      <c r="T278"/>
      <c r="V278"/>
    </row>
    <row r="279" spans="10:22" s="1" customFormat="1" x14ac:dyDescent="0.2">
      <c r="J279"/>
      <c r="K279"/>
      <c r="L279"/>
      <c r="M279"/>
      <c r="N279"/>
      <c r="O279" s="2"/>
      <c r="R279"/>
      <c r="S279"/>
      <c r="T279"/>
      <c r="V279"/>
    </row>
    <row r="280" spans="10:22" s="1" customFormat="1" x14ac:dyDescent="0.2">
      <c r="J280"/>
      <c r="K280"/>
      <c r="L280"/>
      <c r="M280"/>
      <c r="N280"/>
      <c r="O280" s="2"/>
      <c r="R280"/>
      <c r="S280"/>
      <c r="T280"/>
      <c r="V280"/>
    </row>
    <row r="281" spans="10:22" s="1" customFormat="1" x14ac:dyDescent="0.2">
      <c r="J281"/>
      <c r="K281"/>
      <c r="L281"/>
      <c r="M281"/>
      <c r="N281"/>
      <c r="O281" s="2"/>
      <c r="R281"/>
      <c r="S281"/>
      <c r="T281"/>
      <c r="V281"/>
    </row>
    <row r="282" spans="10:22" s="1" customFormat="1" x14ac:dyDescent="0.2">
      <c r="J282"/>
      <c r="K282"/>
      <c r="L282"/>
      <c r="M282"/>
      <c r="N282"/>
      <c r="O282" s="2"/>
      <c r="R282"/>
      <c r="S282"/>
      <c r="T282"/>
      <c r="V282"/>
    </row>
    <row r="283" spans="10:22" s="1" customFormat="1" x14ac:dyDescent="0.2">
      <c r="J283"/>
      <c r="K283"/>
      <c r="L283"/>
      <c r="M283"/>
      <c r="N283"/>
      <c r="O283" s="2"/>
      <c r="R283"/>
      <c r="S283"/>
      <c r="T283"/>
      <c r="V283"/>
    </row>
    <row r="284" spans="10:22" s="1" customFormat="1" x14ac:dyDescent="0.2">
      <c r="J284"/>
      <c r="K284"/>
      <c r="L284"/>
      <c r="M284"/>
      <c r="N284"/>
      <c r="O284" s="2"/>
      <c r="R284"/>
      <c r="S284"/>
      <c r="T284"/>
      <c r="V284"/>
    </row>
    <row r="285" spans="10:22" s="1" customFormat="1" x14ac:dyDescent="0.2">
      <c r="J285"/>
      <c r="K285"/>
      <c r="L285"/>
      <c r="M285"/>
      <c r="N285"/>
      <c r="O285" s="2"/>
      <c r="R285"/>
      <c r="S285"/>
      <c r="T285"/>
      <c r="V285"/>
    </row>
    <row r="286" spans="10:22" s="1" customFormat="1" x14ac:dyDescent="0.2">
      <c r="J286"/>
      <c r="K286"/>
      <c r="L286"/>
      <c r="M286"/>
      <c r="N286"/>
      <c r="O286" s="2"/>
      <c r="R286"/>
      <c r="S286"/>
      <c r="T286"/>
      <c r="V286"/>
    </row>
    <row r="287" spans="10:22" s="1" customFormat="1" x14ac:dyDescent="0.2">
      <c r="J287"/>
      <c r="K287"/>
      <c r="L287"/>
      <c r="M287"/>
      <c r="N287"/>
      <c r="O287" s="2"/>
      <c r="R287"/>
      <c r="S287"/>
      <c r="T287"/>
      <c r="V287"/>
    </row>
    <row r="288" spans="10:22" s="1" customFormat="1" x14ac:dyDescent="0.2">
      <c r="J288"/>
      <c r="K288"/>
      <c r="L288"/>
      <c r="M288"/>
      <c r="N288"/>
      <c r="O288" s="2"/>
      <c r="R288"/>
      <c r="S288"/>
      <c r="T288"/>
      <c r="V288"/>
    </row>
    <row r="289" spans="10:22" s="1" customFormat="1" x14ac:dyDescent="0.2">
      <c r="J289"/>
      <c r="K289"/>
      <c r="L289"/>
      <c r="M289"/>
      <c r="N289"/>
      <c r="O289" s="2"/>
      <c r="R289"/>
      <c r="S289"/>
      <c r="T289"/>
      <c r="V289"/>
    </row>
    <row r="290" spans="10:22" s="1" customFormat="1" x14ac:dyDescent="0.2">
      <c r="J290"/>
      <c r="K290"/>
      <c r="L290"/>
      <c r="M290"/>
      <c r="N290"/>
      <c r="O290" s="2"/>
      <c r="R290"/>
      <c r="S290"/>
      <c r="T290"/>
      <c r="V290"/>
    </row>
    <row r="291" spans="10:22" s="1" customFormat="1" x14ac:dyDescent="0.2">
      <c r="J291"/>
      <c r="K291"/>
      <c r="L291"/>
      <c r="M291"/>
      <c r="N291"/>
      <c r="O291" s="2"/>
      <c r="R291"/>
      <c r="S291"/>
      <c r="T291"/>
      <c r="V291"/>
    </row>
    <row r="292" spans="10:22" s="1" customFormat="1" x14ac:dyDescent="0.2">
      <c r="J292"/>
      <c r="K292"/>
      <c r="L292"/>
      <c r="M292"/>
      <c r="N292"/>
      <c r="O292" s="2"/>
      <c r="R292"/>
      <c r="S292"/>
      <c r="T292"/>
      <c r="V292"/>
    </row>
    <row r="293" spans="10:22" s="1" customFormat="1" x14ac:dyDescent="0.2">
      <c r="J293"/>
      <c r="K293"/>
      <c r="L293"/>
      <c r="M293"/>
      <c r="N293"/>
      <c r="O293" s="2"/>
      <c r="R293"/>
      <c r="S293"/>
      <c r="T293"/>
      <c r="V293"/>
    </row>
    <row r="294" spans="10:22" s="1" customFormat="1" x14ac:dyDescent="0.2">
      <c r="J294"/>
      <c r="K294"/>
      <c r="L294"/>
      <c r="M294"/>
      <c r="N294"/>
      <c r="O294" s="2"/>
      <c r="R294"/>
      <c r="S294"/>
      <c r="T294"/>
      <c r="V294"/>
    </row>
    <row r="295" spans="10:22" s="1" customFormat="1" x14ac:dyDescent="0.2">
      <c r="J295"/>
      <c r="K295"/>
      <c r="L295"/>
      <c r="M295"/>
      <c r="N295"/>
      <c r="O295" s="2"/>
      <c r="R295"/>
      <c r="S295"/>
      <c r="T295"/>
      <c r="V295"/>
    </row>
    <row r="296" spans="10:22" s="1" customFormat="1" x14ac:dyDescent="0.2">
      <c r="J296"/>
      <c r="K296"/>
      <c r="L296"/>
      <c r="M296"/>
      <c r="N296"/>
      <c r="O296" s="2"/>
      <c r="R296"/>
      <c r="S296"/>
      <c r="T296"/>
      <c r="V296"/>
    </row>
    <row r="297" spans="10:22" s="1" customFormat="1" x14ac:dyDescent="0.2">
      <c r="J297"/>
      <c r="K297"/>
      <c r="L297"/>
      <c r="M297"/>
      <c r="N297"/>
      <c r="O297" s="2"/>
      <c r="R297"/>
      <c r="S297"/>
      <c r="T297"/>
      <c r="V297"/>
    </row>
    <row r="298" spans="10:22" s="1" customFormat="1" x14ac:dyDescent="0.2">
      <c r="J298"/>
      <c r="K298"/>
      <c r="L298"/>
      <c r="M298"/>
      <c r="N298"/>
      <c r="O298" s="2"/>
      <c r="R298"/>
      <c r="S298"/>
      <c r="T298"/>
      <c r="V298"/>
    </row>
    <row r="299" spans="10:22" s="1" customFormat="1" x14ac:dyDescent="0.2">
      <c r="J299"/>
      <c r="K299"/>
      <c r="L299"/>
      <c r="M299"/>
      <c r="N299"/>
      <c r="O299" s="2"/>
      <c r="R299"/>
      <c r="S299"/>
      <c r="T299"/>
      <c r="V299"/>
    </row>
    <row r="300" spans="10:22" s="1" customFormat="1" x14ac:dyDescent="0.2">
      <c r="J300"/>
      <c r="K300"/>
      <c r="L300"/>
      <c r="M300"/>
      <c r="N300"/>
      <c r="O300" s="2"/>
      <c r="R300"/>
      <c r="S300"/>
      <c r="T300"/>
      <c r="V300"/>
    </row>
    <row r="301" spans="10:22" s="1" customFormat="1" x14ac:dyDescent="0.2">
      <c r="J301"/>
      <c r="K301"/>
      <c r="L301"/>
      <c r="M301"/>
      <c r="N301"/>
      <c r="O301" s="2"/>
      <c r="R301"/>
      <c r="S301"/>
      <c r="T301"/>
      <c r="V301"/>
    </row>
    <row r="302" spans="10:22" s="1" customFormat="1" x14ac:dyDescent="0.2">
      <c r="J302"/>
      <c r="K302"/>
      <c r="L302"/>
      <c r="M302"/>
      <c r="N302"/>
      <c r="O302" s="2"/>
      <c r="R302"/>
      <c r="S302"/>
      <c r="T302"/>
      <c r="V302"/>
    </row>
    <row r="303" spans="10:22" s="1" customFormat="1" x14ac:dyDescent="0.2">
      <c r="J303"/>
      <c r="K303"/>
      <c r="L303"/>
      <c r="M303"/>
      <c r="N303"/>
      <c r="O303" s="2"/>
      <c r="R303"/>
      <c r="S303"/>
      <c r="T303"/>
      <c r="V303"/>
    </row>
    <row r="304" spans="10:22" s="1" customFormat="1" x14ac:dyDescent="0.2">
      <c r="J304"/>
      <c r="K304"/>
      <c r="L304"/>
      <c r="M304"/>
      <c r="N304"/>
      <c r="O304" s="2"/>
      <c r="R304"/>
      <c r="S304"/>
      <c r="T304"/>
      <c r="V304"/>
    </row>
    <row r="305" spans="10:22" s="1" customFormat="1" x14ac:dyDescent="0.2">
      <c r="J305"/>
      <c r="K305"/>
      <c r="L305"/>
      <c r="M305"/>
      <c r="N305"/>
      <c r="O305" s="2"/>
      <c r="R305"/>
      <c r="S305"/>
      <c r="T305"/>
      <c r="V305"/>
    </row>
    <row r="306" spans="10:22" s="1" customFormat="1" x14ac:dyDescent="0.2">
      <c r="J306"/>
      <c r="K306"/>
      <c r="L306"/>
      <c r="M306"/>
      <c r="N306"/>
      <c r="O306" s="2"/>
      <c r="R306"/>
      <c r="S306"/>
      <c r="T306"/>
      <c r="V306"/>
    </row>
    <row r="307" spans="10:22" s="1" customFormat="1" x14ac:dyDescent="0.2">
      <c r="J307"/>
      <c r="K307"/>
      <c r="L307"/>
      <c r="M307"/>
      <c r="N307"/>
      <c r="O307" s="2"/>
      <c r="R307"/>
      <c r="S307"/>
      <c r="T307"/>
      <c r="V307"/>
    </row>
    <row r="308" spans="10:22" s="1" customFormat="1" x14ac:dyDescent="0.2">
      <c r="J308"/>
      <c r="K308"/>
      <c r="L308"/>
      <c r="M308"/>
      <c r="N308"/>
      <c r="O308" s="2"/>
      <c r="R308"/>
      <c r="S308"/>
      <c r="T308"/>
      <c r="V308"/>
    </row>
    <row r="309" spans="10:22" s="1" customFormat="1" x14ac:dyDescent="0.2">
      <c r="J309"/>
      <c r="K309"/>
      <c r="L309"/>
      <c r="M309"/>
      <c r="N309"/>
      <c r="O309" s="2"/>
      <c r="R309"/>
      <c r="S309"/>
      <c r="T309"/>
      <c r="V309"/>
    </row>
    <row r="310" spans="10:22" s="1" customFormat="1" x14ac:dyDescent="0.2">
      <c r="J310"/>
      <c r="K310"/>
      <c r="L310"/>
      <c r="M310"/>
      <c r="N310"/>
      <c r="O310" s="2"/>
      <c r="R310"/>
      <c r="S310"/>
      <c r="T310"/>
      <c r="V310"/>
    </row>
    <row r="311" spans="10:22" s="1" customFormat="1" x14ac:dyDescent="0.2">
      <c r="J311"/>
      <c r="K311"/>
      <c r="L311"/>
      <c r="M311"/>
      <c r="N311"/>
      <c r="O311" s="2"/>
      <c r="R311"/>
      <c r="S311"/>
      <c r="T311"/>
      <c r="V311"/>
    </row>
    <row r="312" spans="10:22" s="1" customFormat="1" x14ac:dyDescent="0.2">
      <c r="J312"/>
      <c r="K312"/>
      <c r="L312"/>
      <c r="M312"/>
      <c r="N312"/>
      <c r="O312" s="2"/>
      <c r="R312"/>
      <c r="S312"/>
      <c r="T312"/>
      <c r="V312"/>
    </row>
    <row r="313" spans="10:22" s="1" customFormat="1" x14ac:dyDescent="0.2">
      <c r="J313"/>
      <c r="K313"/>
      <c r="L313"/>
      <c r="M313"/>
      <c r="N313"/>
      <c r="O313" s="2"/>
      <c r="R313"/>
      <c r="S313"/>
      <c r="T313"/>
      <c r="V313"/>
    </row>
    <row r="314" spans="10:22" s="1" customFormat="1" x14ac:dyDescent="0.2">
      <c r="J314"/>
      <c r="K314"/>
      <c r="L314"/>
      <c r="M314"/>
      <c r="N314"/>
      <c r="O314" s="2"/>
      <c r="R314"/>
      <c r="S314"/>
      <c r="T314"/>
      <c r="V314"/>
    </row>
    <row r="315" spans="10:22" s="1" customFormat="1" x14ac:dyDescent="0.2">
      <c r="J315"/>
      <c r="K315"/>
      <c r="L315"/>
      <c r="M315"/>
      <c r="N315"/>
      <c r="O315" s="2"/>
      <c r="R315"/>
      <c r="S315"/>
      <c r="T315"/>
      <c r="V315"/>
    </row>
    <row r="316" spans="10:22" s="1" customFormat="1" x14ac:dyDescent="0.2">
      <c r="J316"/>
      <c r="K316"/>
      <c r="L316"/>
      <c r="M316"/>
      <c r="N316"/>
      <c r="O316" s="2"/>
      <c r="R316"/>
      <c r="S316"/>
      <c r="T316"/>
      <c r="V316"/>
    </row>
    <row r="317" spans="10:22" s="1" customFormat="1" x14ac:dyDescent="0.2">
      <c r="J317"/>
      <c r="K317"/>
      <c r="L317"/>
      <c r="M317"/>
      <c r="N317"/>
      <c r="O317" s="2"/>
      <c r="R317"/>
      <c r="S317"/>
      <c r="T317"/>
      <c r="V317"/>
    </row>
    <row r="318" spans="10:22" s="1" customFormat="1" x14ac:dyDescent="0.2">
      <c r="J318"/>
      <c r="K318"/>
      <c r="L318"/>
      <c r="M318"/>
      <c r="N318"/>
      <c r="O318" s="2"/>
      <c r="R318"/>
      <c r="S318"/>
      <c r="T318"/>
      <c r="V318"/>
    </row>
    <row r="319" spans="10:22" s="1" customFormat="1" x14ac:dyDescent="0.2">
      <c r="J319"/>
      <c r="K319"/>
      <c r="L319"/>
      <c r="M319"/>
      <c r="N319"/>
      <c r="O319" s="2"/>
      <c r="R319"/>
      <c r="S319"/>
      <c r="T319"/>
      <c r="V319"/>
    </row>
    <row r="320" spans="10:22" s="1" customFormat="1" x14ac:dyDescent="0.2">
      <c r="J320"/>
      <c r="K320"/>
      <c r="L320"/>
      <c r="M320"/>
      <c r="N320"/>
      <c r="O320" s="2"/>
      <c r="R320"/>
      <c r="S320"/>
      <c r="T320"/>
      <c r="V320"/>
    </row>
    <row r="321" spans="10:22" s="1" customFormat="1" x14ac:dyDescent="0.2">
      <c r="J321"/>
      <c r="K321"/>
      <c r="L321"/>
      <c r="M321"/>
      <c r="N321"/>
      <c r="O321" s="2"/>
      <c r="R321"/>
      <c r="S321"/>
      <c r="T321"/>
      <c r="V321"/>
    </row>
    <row r="322" spans="10:22" s="1" customFormat="1" x14ac:dyDescent="0.2">
      <c r="J322"/>
      <c r="K322"/>
      <c r="L322"/>
      <c r="M322"/>
      <c r="N322"/>
      <c r="O322" s="2"/>
      <c r="R322"/>
      <c r="S322"/>
      <c r="T322"/>
      <c r="V322"/>
    </row>
    <row r="323" spans="10:22" s="1" customFormat="1" x14ac:dyDescent="0.2">
      <c r="J323"/>
      <c r="K323"/>
      <c r="L323"/>
      <c r="M323"/>
      <c r="N323"/>
      <c r="O323" s="2"/>
      <c r="R323"/>
      <c r="S323"/>
      <c r="T323"/>
      <c r="V323"/>
    </row>
    <row r="324" spans="10:22" s="1" customFormat="1" x14ac:dyDescent="0.2">
      <c r="J324"/>
      <c r="K324"/>
      <c r="L324"/>
      <c r="M324"/>
      <c r="N324"/>
      <c r="O324" s="2"/>
      <c r="R324"/>
      <c r="S324"/>
      <c r="T324"/>
      <c r="V324"/>
    </row>
    <row r="325" spans="10:22" s="1" customFormat="1" x14ac:dyDescent="0.2">
      <c r="J325"/>
      <c r="K325"/>
      <c r="L325"/>
      <c r="M325"/>
      <c r="N325"/>
      <c r="O325" s="2"/>
      <c r="R325"/>
      <c r="S325"/>
      <c r="T325"/>
      <c r="V325"/>
    </row>
    <row r="326" spans="10:22" s="1" customFormat="1" x14ac:dyDescent="0.2">
      <c r="J326"/>
      <c r="K326"/>
      <c r="L326"/>
      <c r="M326"/>
      <c r="N326"/>
      <c r="O326" s="2"/>
      <c r="R326"/>
      <c r="S326"/>
      <c r="T326"/>
      <c r="V326"/>
    </row>
    <row r="327" spans="10:22" s="1" customFormat="1" x14ac:dyDescent="0.2">
      <c r="J327"/>
      <c r="K327"/>
      <c r="L327"/>
      <c r="M327"/>
      <c r="N327"/>
      <c r="O327" s="2"/>
      <c r="R327"/>
      <c r="S327"/>
      <c r="T327"/>
      <c r="V327"/>
    </row>
    <row r="328" spans="10:22" s="1" customFormat="1" x14ac:dyDescent="0.2">
      <c r="J328"/>
      <c r="K328"/>
      <c r="L328"/>
      <c r="M328"/>
      <c r="N328"/>
      <c r="O328" s="2"/>
      <c r="R328"/>
      <c r="S328"/>
      <c r="T328"/>
      <c r="V328"/>
    </row>
    <row r="329" spans="10:22" s="1" customFormat="1" x14ac:dyDescent="0.2">
      <c r="J329"/>
      <c r="K329"/>
      <c r="L329"/>
      <c r="M329"/>
      <c r="N329"/>
      <c r="O329" s="2"/>
      <c r="R329"/>
      <c r="S329"/>
      <c r="T329"/>
      <c r="V329"/>
    </row>
    <row r="330" spans="10:22" s="1" customFormat="1" x14ac:dyDescent="0.2">
      <c r="J330"/>
      <c r="K330"/>
      <c r="L330"/>
      <c r="M330"/>
      <c r="N330"/>
      <c r="O330" s="2"/>
      <c r="R330"/>
      <c r="S330"/>
      <c r="T330"/>
      <c r="V330"/>
    </row>
    <row r="331" spans="10:22" s="1" customFormat="1" x14ac:dyDescent="0.2">
      <c r="J331"/>
      <c r="K331"/>
      <c r="L331"/>
      <c r="M331"/>
      <c r="N331"/>
      <c r="O331" s="2"/>
      <c r="R331"/>
      <c r="S331"/>
      <c r="T331"/>
      <c r="V331"/>
    </row>
    <row r="332" spans="10:22" s="1" customFormat="1" x14ac:dyDescent="0.2">
      <c r="J332"/>
      <c r="K332"/>
      <c r="L332"/>
      <c r="M332"/>
      <c r="N332"/>
      <c r="O332" s="2"/>
      <c r="R332"/>
      <c r="S332"/>
      <c r="T332"/>
      <c r="V332"/>
    </row>
    <row r="333" spans="10:22" s="1" customFormat="1" x14ac:dyDescent="0.2">
      <c r="J333"/>
      <c r="K333"/>
      <c r="L333"/>
      <c r="M333"/>
      <c r="N333"/>
      <c r="O333" s="2"/>
      <c r="R333"/>
      <c r="S333"/>
      <c r="T333"/>
      <c r="V333"/>
    </row>
    <row r="334" spans="10:22" s="1" customFormat="1" x14ac:dyDescent="0.2">
      <c r="J334"/>
      <c r="K334"/>
      <c r="L334"/>
      <c r="M334"/>
      <c r="N334"/>
      <c r="O334" s="2"/>
      <c r="R334"/>
      <c r="S334"/>
      <c r="T334"/>
      <c r="V334"/>
    </row>
    <row r="335" spans="10:22" s="1" customFormat="1" x14ac:dyDescent="0.2">
      <c r="J335"/>
      <c r="K335"/>
      <c r="L335"/>
      <c r="M335"/>
      <c r="N335"/>
      <c r="O335" s="2"/>
      <c r="R335"/>
      <c r="S335"/>
      <c r="T335"/>
      <c r="V335"/>
    </row>
    <row r="336" spans="10:22" s="1" customFormat="1" x14ac:dyDescent="0.2">
      <c r="J336"/>
      <c r="K336"/>
      <c r="L336"/>
      <c r="M336"/>
      <c r="N336"/>
      <c r="O336" s="2"/>
      <c r="R336"/>
      <c r="S336"/>
      <c r="T336"/>
      <c r="V336"/>
    </row>
    <row r="337" spans="10:22" s="1" customFormat="1" x14ac:dyDescent="0.2">
      <c r="J337"/>
      <c r="K337"/>
      <c r="L337"/>
      <c r="M337"/>
      <c r="N337"/>
      <c r="O337" s="2"/>
      <c r="R337"/>
      <c r="S337"/>
      <c r="T337"/>
      <c r="V337"/>
    </row>
    <row r="338" spans="10:22" s="1" customFormat="1" x14ac:dyDescent="0.2">
      <c r="J338"/>
      <c r="K338"/>
      <c r="L338"/>
      <c r="M338"/>
      <c r="N338"/>
      <c r="O338" s="2"/>
      <c r="R338"/>
      <c r="S338"/>
      <c r="T338"/>
      <c r="V338"/>
    </row>
    <row r="339" spans="10:22" s="1" customFormat="1" x14ac:dyDescent="0.2">
      <c r="J339"/>
      <c r="K339"/>
      <c r="L339"/>
      <c r="M339"/>
      <c r="N339"/>
      <c r="O339" s="2"/>
      <c r="R339"/>
      <c r="S339"/>
      <c r="T339"/>
      <c r="V339"/>
    </row>
    <row r="340" spans="10:22" s="1" customFormat="1" x14ac:dyDescent="0.2">
      <c r="J340"/>
      <c r="K340"/>
      <c r="L340"/>
      <c r="M340"/>
      <c r="N340"/>
      <c r="O340" s="2"/>
      <c r="R340"/>
      <c r="S340"/>
      <c r="T340"/>
      <c r="V340"/>
    </row>
    <row r="341" spans="10:22" s="1" customFormat="1" x14ac:dyDescent="0.2">
      <c r="J341"/>
      <c r="K341"/>
      <c r="L341"/>
      <c r="M341"/>
      <c r="N341"/>
      <c r="O341" s="2"/>
      <c r="R341"/>
      <c r="S341"/>
      <c r="T341"/>
      <c r="V341"/>
    </row>
    <row r="342" spans="10:22" s="1" customFormat="1" x14ac:dyDescent="0.2">
      <c r="J342"/>
      <c r="K342"/>
      <c r="L342"/>
      <c r="M342"/>
      <c r="N342"/>
      <c r="O342" s="2"/>
      <c r="R342"/>
      <c r="S342"/>
      <c r="T342"/>
      <c r="V342"/>
    </row>
    <row r="343" spans="10:22" s="1" customFormat="1" x14ac:dyDescent="0.2">
      <c r="J343"/>
      <c r="K343"/>
      <c r="L343"/>
      <c r="M343"/>
      <c r="N343"/>
      <c r="O343" s="2"/>
      <c r="R343"/>
      <c r="S343"/>
      <c r="T343"/>
      <c r="V343"/>
    </row>
    <row r="344" spans="10:22" s="1" customFormat="1" x14ac:dyDescent="0.2">
      <c r="J344"/>
      <c r="K344"/>
      <c r="L344"/>
      <c r="M344"/>
      <c r="N344"/>
      <c r="O344" s="2"/>
      <c r="R344"/>
      <c r="S344"/>
      <c r="T344"/>
      <c r="V344"/>
    </row>
    <row r="345" spans="10:22" s="1" customFormat="1" x14ac:dyDescent="0.2">
      <c r="J345"/>
      <c r="K345"/>
      <c r="L345"/>
      <c r="M345"/>
      <c r="N345"/>
      <c r="O345" s="2"/>
      <c r="R345"/>
      <c r="S345"/>
      <c r="T345"/>
      <c r="V345"/>
    </row>
    <row r="346" spans="10:22" s="1" customFormat="1" x14ac:dyDescent="0.2">
      <c r="J346"/>
      <c r="K346"/>
      <c r="L346"/>
      <c r="M346"/>
      <c r="N346"/>
      <c r="O346" s="2"/>
      <c r="R346"/>
      <c r="S346"/>
      <c r="T346"/>
      <c r="V346"/>
    </row>
    <row r="347" spans="10:22" s="1" customFormat="1" x14ac:dyDescent="0.2">
      <c r="J347"/>
      <c r="K347"/>
      <c r="L347"/>
      <c r="M347"/>
      <c r="N347"/>
      <c r="O347" s="2"/>
      <c r="R347"/>
      <c r="S347"/>
      <c r="T347"/>
      <c r="V347"/>
    </row>
    <row r="348" spans="10:22" s="1" customFormat="1" x14ac:dyDescent="0.2">
      <c r="J348"/>
      <c r="K348"/>
      <c r="L348"/>
      <c r="M348"/>
      <c r="N348"/>
      <c r="O348" s="2"/>
      <c r="R348"/>
      <c r="S348"/>
      <c r="T348"/>
      <c r="V348"/>
    </row>
    <row r="349" spans="10:22" s="1" customFormat="1" x14ac:dyDescent="0.2">
      <c r="J349"/>
      <c r="K349"/>
      <c r="L349"/>
      <c r="M349"/>
      <c r="N349"/>
      <c r="O349" s="2"/>
      <c r="R349"/>
      <c r="S349"/>
      <c r="T349"/>
      <c r="V349"/>
    </row>
    <row r="350" spans="10:22" s="1" customFormat="1" x14ac:dyDescent="0.2">
      <c r="J350"/>
      <c r="K350"/>
      <c r="L350"/>
      <c r="M350"/>
      <c r="N350"/>
      <c r="O350" s="2"/>
      <c r="R350"/>
      <c r="S350"/>
      <c r="T350"/>
      <c r="V350"/>
    </row>
    <row r="351" spans="10:22" s="1" customFormat="1" x14ac:dyDescent="0.2">
      <c r="J351"/>
      <c r="K351"/>
      <c r="L351"/>
      <c r="M351"/>
      <c r="N351"/>
      <c r="O351" s="2"/>
      <c r="R351"/>
      <c r="S351"/>
      <c r="T351"/>
      <c r="V351"/>
    </row>
    <row r="352" spans="10:22" s="1" customFormat="1" x14ac:dyDescent="0.2">
      <c r="J352"/>
      <c r="K352"/>
      <c r="L352"/>
      <c r="M352"/>
      <c r="N352"/>
      <c r="O352" s="2"/>
      <c r="R352"/>
      <c r="S352"/>
      <c r="T352"/>
      <c r="V352"/>
    </row>
    <row r="353" spans="10:22" s="1" customFormat="1" x14ac:dyDescent="0.2">
      <c r="J353"/>
      <c r="K353"/>
      <c r="L353"/>
      <c r="M353"/>
      <c r="N353"/>
      <c r="O353" s="2"/>
      <c r="R353"/>
      <c r="S353"/>
      <c r="T353"/>
      <c r="V353"/>
    </row>
    <row r="354" spans="10:22" s="1" customFormat="1" x14ac:dyDescent="0.2">
      <c r="J354"/>
      <c r="K354"/>
      <c r="L354"/>
      <c r="M354"/>
      <c r="N354"/>
      <c r="O354" s="2"/>
      <c r="R354"/>
      <c r="S354"/>
      <c r="T354"/>
      <c r="V354"/>
    </row>
    <row r="355" spans="10:22" s="1" customFormat="1" x14ac:dyDescent="0.2">
      <c r="J355"/>
      <c r="K355"/>
      <c r="L355"/>
      <c r="M355"/>
      <c r="N355"/>
      <c r="O355" s="2"/>
      <c r="R355"/>
      <c r="S355"/>
      <c r="T355"/>
      <c r="V355"/>
    </row>
    <row r="356" spans="10:22" s="1" customFormat="1" x14ac:dyDescent="0.2">
      <c r="J356"/>
      <c r="K356"/>
      <c r="L356"/>
      <c r="M356"/>
      <c r="N356"/>
      <c r="O356" s="2"/>
      <c r="R356"/>
      <c r="S356"/>
      <c r="T356"/>
      <c r="V356"/>
    </row>
    <row r="357" spans="10:22" s="1" customFormat="1" x14ac:dyDescent="0.2">
      <c r="J357"/>
      <c r="K357"/>
      <c r="L357"/>
      <c r="M357"/>
      <c r="N357"/>
      <c r="O357" s="2"/>
      <c r="R357"/>
      <c r="S357"/>
      <c r="T357"/>
      <c r="V357"/>
    </row>
    <row r="358" spans="10:22" s="1" customFormat="1" x14ac:dyDescent="0.2">
      <c r="J358"/>
      <c r="K358"/>
      <c r="L358"/>
      <c r="M358"/>
      <c r="N358"/>
      <c r="O358" s="2"/>
      <c r="R358"/>
      <c r="S358"/>
      <c r="T358"/>
      <c r="V358"/>
    </row>
    <row r="359" spans="10:22" s="1" customFormat="1" x14ac:dyDescent="0.2">
      <c r="J359"/>
      <c r="K359"/>
      <c r="L359"/>
      <c r="M359"/>
      <c r="N359"/>
      <c r="O359" s="2"/>
      <c r="R359"/>
      <c r="S359"/>
      <c r="T359"/>
      <c r="V359"/>
    </row>
    <row r="360" spans="10:22" s="1" customFormat="1" x14ac:dyDescent="0.2">
      <c r="J360"/>
      <c r="K360"/>
      <c r="L360"/>
      <c r="M360"/>
      <c r="N360"/>
      <c r="O360" s="2"/>
      <c r="R360"/>
      <c r="S360"/>
      <c r="T360"/>
      <c r="V360"/>
    </row>
    <row r="361" spans="10:22" s="1" customFormat="1" x14ac:dyDescent="0.2">
      <c r="J361"/>
      <c r="K361"/>
      <c r="L361"/>
      <c r="M361"/>
      <c r="N361"/>
      <c r="O361" s="2"/>
      <c r="R361"/>
      <c r="S361"/>
      <c r="T361"/>
      <c r="V361"/>
    </row>
    <row r="362" spans="10:22" s="1" customFormat="1" x14ac:dyDescent="0.2">
      <c r="J362"/>
      <c r="K362"/>
      <c r="L362"/>
      <c r="M362"/>
      <c r="N362"/>
      <c r="O362" s="2"/>
      <c r="R362"/>
      <c r="S362"/>
      <c r="T362"/>
      <c r="V362"/>
    </row>
    <row r="363" spans="10:22" s="1" customFormat="1" x14ac:dyDescent="0.2">
      <c r="J363"/>
      <c r="K363"/>
      <c r="L363"/>
      <c r="M363"/>
      <c r="N363"/>
      <c r="O363" s="2"/>
      <c r="R363"/>
      <c r="S363"/>
      <c r="T363"/>
      <c r="V363"/>
    </row>
    <row r="364" spans="10:22" s="1" customFormat="1" x14ac:dyDescent="0.2">
      <c r="J364"/>
      <c r="K364"/>
      <c r="L364"/>
      <c r="M364"/>
      <c r="N364"/>
      <c r="O364" s="2"/>
      <c r="R364"/>
      <c r="S364"/>
      <c r="T364"/>
      <c r="V364"/>
    </row>
    <row r="365" spans="10:22" s="1" customFormat="1" x14ac:dyDescent="0.2">
      <c r="J365"/>
      <c r="K365"/>
      <c r="L365"/>
      <c r="M365"/>
      <c r="N365"/>
      <c r="O365" s="2"/>
      <c r="R365"/>
      <c r="S365"/>
      <c r="T365"/>
      <c r="V365"/>
    </row>
    <row r="366" spans="10:22" s="1" customFormat="1" x14ac:dyDescent="0.2">
      <c r="J366"/>
      <c r="K366"/>
      <c r="L366"/>
      <c r="M366"/>
      <c r="N366"/>
      <c r="O366" s="2"/>
      <c r="R366"/>
      <c r="S366"/>
      <c r="T366"/>
      <c r="V366"/>
    </row>
    <row r="367" spans="10:22" s="1" customFormat="1" x14ac:dyDescent="0.2">
      <c r="J367"/>
      <c r="K367"/>
      <c r="L367"/>
      <c r="M367"/>
      <c r="N367"/>
      <c r="O367" s="2"/>
      <c r="R367"/>
      <c r="S367"/>
      <c r="T367"/>
      <c r="V367"/>
    </row>
    <row r="368" spans="10:22" s="1" customFormat="1" x14ac:dyDescent="0.2">
      <c r="J368"/>
      <c r="K368"/>
      <c r="L368"/>
      <c r="M368"/>
      <c r="N368"/>
      <c r="O368" s="2"/>
      <c r="R368"/>
      <c r="S368"/>
      <c r="T368"/>
      <c r="V368"/>
    </row>
    <row r="369" spans="10:22" s="1" customFormat="1" x14ac:dyDescent="0.2">
      <c r="J369"/>
      <c r="K369"/>
      <c r="L369"/>
      <c r="M369"/>
      <c r="N369"/>
      <c r="O369" s="2"/>
      <c r="R369"/>
      <c r="S369"/>
      <c r="T369"/>
      <c r="V369"/>
    </row>
    <row r="370" spans="10:22" s="1" customFormat="1" x14ac:dyDescent="0.2">
      <c r="J370"/>
      <c r="K370"/>
      <c r="L370"/>
      <c r="M370"/>
      <c r="N370"/>
      <c r="O370" s="2"/>
      <c r="R370"/>
      <c r="S370"/>
      <c r="T370"/>
      <c r="V370"/>
    </row>
    <row r="371" spans="10:22" s="1" customFormat="1" x14ac:dyDescent="0.2">
      <c r="J371"/>
      <c r="K371"/>
      <c r="L371"/>
      <c r="M371"/>
      <c r="N371"/>
      <c r="O371" s="2"/>
      <c r="R371"/>
      <c r="S371"/>
      <c r="T371"/>
      <c r="V371"/>
    </row>
    <row r="372" spans="10:22" s="1" customFormat="1" x14ac:dyDescent="0.2">
      <c r="J372"/>
      <c r="K372"/>
      <c r="L372"/>
      <c r="M372"/>
      <c r="N372"/>
      <c r="O372" s="2"/>
      <c r="R372"/>
      <c r="S372"/>
      <c r="T372"/>
      <c r="V372"/>
    </row>
    <row r="373" spans="10:22" s="1" customFormat="1" x14ac:dyDescent="0.2">
      <c r="J373"/>
      <c r="K373"/>
      <c r="L373"/>
      <c r="M373"/>
      <c r="N373"/>
      <c r="O373" s="2"/>
      <c r="R373"/>
      <c r="S373"/>
      <c r="T373"/>
      <c r="V373"/>
    </row>
    <row r="374" spans="10:22" s="1" customFormat="1" x14ac:dyDescent="0.2">
      <c r="J374"/>
      <c r="K374"/>
      <c r="L374"/>
      <c r="M374"/>
      <c r="N374"/>
      <c r="O374" s="2"/>
      <c r="R374"/>
      <c r="S374"/>
      <c r="T374"/>
      <c r="V374"/>
    </row>
    <row r="375" spans="10:22" s="1" customFormat="1" x14ac:dyDescent="0.2">
      <c r="J375"/>
      <c r="K375"/>
      <c r="L375"/>
      <c r="M375"/>
      <c r="N375"/>
      <c r="O375" s="2"/>
      <c r="R375"/>
      <c r="S375"/>
      <c r="T375"/>
      <c r="V375"/>
    </row>
    <row r="376" spans="10:22" s="1" customFormat="1" x14ac:dyDescent="0.2">
      <c r="J376"/>
      <c r="K376"/>
      <c r="L376"/>
      <c r="M376"/>
      <c r="N376"/>
      <c r="O376" s="2"/>
      <c r="R376"/>
      <c r="S376"/>
      <c r="T376"/>
      <c r="V376"/>
    </row>
    <row r="377" spans="10:22" s="1" customFormat="1" x14ac:dyDescent="0.2">
      <c r="J377"/>
      <c r="K377"/>
      <c r="L377"/>
      <c r="M377"/>
      <c r="N377"/>
      <c r="O377" s="2"/>
      <c r="R377"/>
      <c r="S377"/>
      <c r="T377"/>
      <c r="V377"/>
    </row>
    <row r="378" spans="10:22" s="1" customFormat="1" x14ac:dyDescent="0.2">
      <c r="J378"/>
      <c r="K378"/>
      <c r="L378"/>
      <c r="M378"/>
      <c r="N378"/>
      <c r="O378" s="2"/>
      <c r="R378"/>
      <c r="S378"/>
      <c r="T378"/>
      <c r="V378"/>
    </row>
    <row r="379" spans="10:22" s="1" customFormat="1" x14ac:dyDescent="0.2">
      <c r="J379"/>
      <c r="K379"/>
      <c r="L379"/>
      <c r="M379"/>
      <c r="N379"/>
      <c r="O379" s="2"/>
      <c r="R379"/>
      <c r="S379"/>
      <c r="T379"/>
      <c r="V379"/>
    </row>
    <row r="380" spans="10:22" s="1" customFormat="1" x14ac:dyDescent="0.2">
      <c r="J380"/>
      <c r="K380"/>
      <c r="L380"/>
      <c r="M380"/>
      <c r="N380"/>
      <c r="O380" s="2"/>
      <c r="R380"/>
      <c r="S380"/>
      <c r="T380"/>
      <c r="V380"/>
    </row>
    <row r="381" spans="10:22" s="1" customFormat="1" x14ac:dyDescent="0.2">
      <c r="J381"/>
      <c r="K381"/>
      <c r="L381"/>
      <c r="M381"/>
      <c r="N381"/>
      <c r="O381" s="2"/>
      <c r="R381"/>
      <c r="S381"/>
      <c r="T381"/>
      <c r="V381"/>
    </row>
    <row r="382" spans="10:22" s="1" customFormat="1" x14ac:dyDescent="0.2">
      <c r="J382"/>
      <c r="K382"/>
      <c r="L382"/>
      <c r="M382"/>
      <c r="N382"/>
      <c r="O382" s="2"/>
      <c r="R382"/>
      <c r="S382"/>
      <c r="T382"/>
      <c r="V382"/>
    </row>
    <row r="383" spans="10:22" s="1" customFormat="1" x14ac:dyDescent="0.2">
      <c r="J383"/>
      <c r="K383"/>
      <c r="L383"/>
      <c r="M383"/>
      <c r="N383"/>
      <c r="O383" s="2"/>
      <c r="R383"/>
      <c r="S383"/>
      <c r="T383"/>
      <c r="V383"/>
    </row>
    <row r="384" spans="10:22" s="1" customFormat="1" x14ac:dyDescent="0.2">
      <c r="J384"/>
      <c r="K384"/>
      <c r="L384"/>
      <c r="M384"/>
      <c r="N384"/>
      <c r="O384" s="2"/>
      <c r="R384"/>
      <c r="S384"/>
      <c r="T384"/>
      <c r="V384"/>
    </row>
    <row r="385" spans="10:22" s="1" customFormat="1" x14ac:dyDescent="0.2">
      <c r="J385"/>
      <c r="K385"/>
      <c r="L385"/>
      <c r="M385"/>
      <c r="N385"/>
      <c r="O385" s="2"/>
      <c r="R385"/>
      <c r="S385"/>
      <c r="T385"/>
      <c r="V385"/>
    </row>
    <row r="386" spans="10:22" s="1" customFormat="1" x14ac:dyDescent="0.2">
      <c r="J386"/>
      <c r="K386"/>
      <c r="L386"/>
      <c r="M386"/>
      <c r="N386"/>
      <c r="O386" s="2"/>
      <c r="R386"/>
      <c r="S386"/>
      <c r="T386"/>
      <c r="V386"/>
    </row>
    <row r="387" spans="10:22" s="1" customFormat="1" x14ac:dyDescent="0.2">
      <c r="J387"/>
      <c r="K387"/>
      <c r="L387"/>
      <c r="M387"/>
      <c r="N387"/>
      <c r="O387" s="2"/>
      <c r="R387"/>
      <c r="S387"/>
      <c r="T387"/>
      <c r="V387"/>
    </row>
    <row r="388" spans="10:22" s="1" customFormat="1" x14ac:dyDescent="0.2">
      <c r="J388"/>
      <c r="K388"/>
      <c r="L388"/>
      <c r="M388"/>
      <c r="N388"/>
      <c r="O388" s="2"/>
      <c r="R388"/>
      <c r="S388"/>
      <c r="T388"/>
      <c r="V388"/>
    </row>
    <row r="389" spans="10:22" s="1" customFormat="1" x14ac:dyDescent="0.2">
      <c r="J389"/>
      <c r="K389"/>
      <c r="L389"/>
      <c r="M389"/>
      <c r="N389"/>
      <c r="O389" s="2"/>
      <c r="R389"/>
      <c r="S389"/>
      <c r="T389"/>
      <c r="V389"/>
    </row>
    <row r="390" spans="10:22" s="1" customFormat="1" x14ac:dyDescent="0.2">
      <c r="J390"/>
      <c r="K390"/>
      <c r="L390"/>
      <c r="M390"/>
      <c r="N390"/>
      <c r="O390" s="2"/>
      <c r="R390"/>
      <c r="S390"/>
      <c r="T390"/>
      <c r="V390"/>
    </row>
    <row r="391" spans="10:22" s="1" customFormat="1" x14ac:dyDescent="0.2">
      <c r="J391"/>
      <c r="K391"/>
      <c r="L391"/>
      <c r="M391"/>
      <c r="N391"/>
      <c r="O391" s="2"/>
      <c r="R391"/>
      <c r="S391"/>
      <c r="T391"/>
      <c r="V391"/>
    </row>
    <row r="392" spans="10:22" s="1" customFormat="1" x14ac:dyDescent="0.2">
      <c r="J392"/>
      <c r="K392"/>
      <c r="L392"/>
      <c r="M392"/>
      <c r="N392"/>
      <c r="O392" s="2"/>
      <c r="R392"/>
      <c r="S392"/>
      <c r="T392"/>
      <c r="V392"/>
    </row>
    <row r="393" spans="10:22" s="1" customFormat="1" x14ac:dyDescent="0.2">
      <c r="J393"/>
      <c r="K393"/>
      <c r="L393"/>
      <c r="M393"/>
      <c r="N393"/>
      <c r="O393" s="2"/>
      <c r="R393"/>
      <c r="S393"/>
      <c r="T393"/>
      <c r="V393"/>
    </row>
    <row r="394" spans="10:22" s="1" customFormat="1" x14ac:dyDescent="0.2">
      <c r="J394"/>
      <c r="K394"/>
      <c r="L394"/>
      <c r="M394"/>
      <c r="N394"/>
      <c r="O394" s="2"/>
      <c r="R394"/>
      <c r="S394"/>
      <c r="T394"/>
      <c r="V394"/>
    </row>
    <row r="395" spans="10:22" s="1" customFormat="1" x14ac:dyDescent="0.2">
      <c r="J395"/>
      <c r="K395"/>
      <c r="L395"/>
      <c r="M395"/>
      <c r="N395"/>
      <c r="O395" s="2"/>
      <c r="R395"/>
      <c r="S395"/>
      <c r="T395"/>
      <c r="V395"/>
    </row>
    <row r="396" spans="10:22" s="1" customFormat="1" x14ac:dyDescent="0.2">
      <c r="J396"/>
      <c r="K396"/>
      <c r="L396"/>
      <c r="M396"/>
      <c r="N396"/>
      <c r="O396" s="2"/>
      <c r="R396"/>
      <c r="S396"/>
      <c r="T396"/>
      <c r="V396"/>
    </row>
    <row r="397" spans="10:22" s="1" customFormat="1" x14ac:dyDescent="0.2">
      <c r="J397"/>
      <c r="K397"/>
      <c r="L397"/>
      <c r="M397"/>
      <c r="N397"/>
      <c r="O397" s="2"/>
      <c r="R397"/>
      <c r="S397"/>
      <c r="T397"/>
      <c r="V397"/>
    </row>
    <row r="398" spans="10:22" s="1" customFormat="1" x14ac:dyDescent="0.2">
      <c r="J398"/>
      <c r="K398"/>
      <c r="L398"/>
      <c r="M398"/>
      <c r="N398"/>
      <c r="O398" s="2"/>
      <c r="R398"/>
      <c r="S398"/>
      <c r="T398"/>
      <c r="V398"/>
    </row>
    <row r="399" spans="10:22" s="1" customFormat="1" x14ac:dyDescent="0.2">
      <c r="J399"/>
      <c r="K399"/>
      <c r="L399"/>
      <c r="M399"/>
      <c r="N399"/>
      <c r="O399" s="2"/>
      <c r="R399"/>
      <c r="S399"/>
      <c r="T399"/>
      <c r="V399"/>
    </row>
    <row r="400" spans="10:22" s="1" customFormat="1" x14ac:dyDescent="0.2">
      <c r="J400"/>
      <c r="K400"/>
      <c r="L400"/>
      <c r="M400"/>
      <c r="N400"/>
      <c r="O400" s="2"/>
      <c r="R400"/>
      <c r="S400"/>
      <c r="T400"/>
      <c r="V400"/>
    </row>
    <row r="401" spans="10:22" s="1" customFormat="1" x14ac:dyDescent="0.2">
      <c r="J401"/>
      <c r="K401"/>
      <c r="L401"/>
      <c r="M401"/>
      <c r="N401"/>
      <c r="O401" s="2"/>
      <c r="R401"/>
      <c r="S401"/>
      <c r="T401"/>
      <c r="V401"/>
    </row>
    <row r="402" spans="10:22" s="1" customFormat="1" x14ac:dyDescent="0.2">
      <c r="J402"/>
      <c r="K402"/>
      <c r="L402"/>
      <c r="M402"/>
      <c r="N402"/>
      <c r="O402" s="2"/>
      <c r="R402"/>
      <c r="S402"/>
      <c r="T402"/>
      <c r="V402"/>
    </row>
    <row r="403" spans="10:22" s="1" customFormat="1" x14ac:dyDescent="0.2">
      <c r="J403"/>
      <c r="K403"/>
      <c r="L403"/>
      <c r="M403"/>
      <c r="N403"/>
      <c r="O403" s="2"/>
      <c r="R403"/>
      <c r="S403"/>
      <c r="T403"/>
      <c r="V403"/>
    </row>
    <row r="404" spans="10:22" s="1" customFormat="1" x14ac:dyDescent="0.2">
      <c r="J404"/>
      <c r="K404"/>
      <c r="L404"/>
      <c r="M404"/>
      <c r="N404"/>
      <c r="O404" s="2"/>
      <c r="R404"/>
      <c r="S404"/>
      <c r="T404"/>
      <c r="V404"/>
    </row>
    <row r="405" spans="10:22" s="1" customFormat="1" x14ac:dyDescent="0.2">
      <c r="J405"/>
      <c r="K405"/>
      <c r="L405"/>
      <c r="M405"/>
      <c r="N405"/>
      <c r="O405" s="2"/>
      <c r="R405"/>
      <c r="S405"/>
      <c r="T405"/>
      <c r="V405"/>
    </row>
    <row r="406" spans="10:22" s="1" customFormat="1" x14ac:dyDescent="0.2">
      <c r="J406"/>
      <c r="K406"/>
      <c r="L406"/>
      <c r="M406"/>
      <c r="N406"/>
      <c r="O406" s="2"/>
      <c r="R406"/>
      <c r="S406"/>
      <c r="T406"/>
      <c r="V406"/>
    </row>
    <row r="407" spans="10:22" s="1" customFormat="1" x14ac:dyDescent="0.2">
      <c r="J407"/>
      <c r="K407"/>
      <c r="L407"/>
      <c r="M407"/>
      <c r="N407"/>
      <c r="O407" s="2"/>
      <c r="R407"/>
      <c r="S407"/>
      <c r="T407"/>
      <c r="V407"/>
    </row>
    <row r="408" spans="10:22" s="1" customFormat="1" x14ac:dyDescent="0.2">
      <c r="J408"/>
      <c r="K408"/>
      <c r="L408"/>
      <c r="M408"/>
      <c r="N408"/>
      <c r="O408" s="2"/>
      <c r="R408"/>
      <c r="S408"/>
      <c r="T408"/>
      <c r="V408"/>
    </row>
    <row r="409" spans="10:22" s="1" customFormat="1" x14ac:dyDescent="0.2">
      <c r="J409"/>
      <c r="K409"/>
      <c r="L409"/>
      <c r="M409"/>
      <c r="N409"/>
      <c r="O409" s="2"/>
      <c r="R409"/>
      <c r="S409"/>
      <c r="T409"/>
      <c r="V409"/>
    </row>
    <row r="410" spans="10:22" s="1" customFormat="1" x14ac:dyDescent="0.2">
      <c r="J410"/>
      <c r="K410"/>
      <c r="L410"/>
      <c r="M410"/>
      <c r="N410"/>
      <c r="O410" s="2"/>
      <c r="R410"/>
      <c r="S410"/>
      <c r="T410"/>
      <c r="V410"/>
    </row>
    <row r="411" spans="10:22" s="1" customFormat="1" x14ac:dyDescent="0.2">
      <c r="J411"/>
      <c r="K411"/>
      <c r="L411"/>
      <c r="M411"/>
      <c r="N411"/>
      <c r="O411" s="2"/>
      <c r="R411"/>
      <c r="S411"/>
      <c r="T411"/>
      <c r="V411"/>
    </row>
    <row r="412" spans="10:22" s="1" customFormat="1" x14ac:dyDescent="0.2">
      <c r="J412"/>
      <c r="K412"/>
      <c r="L412"/>
      <c r="M412"/>
      <c r="N412"/>
      <c r="O412" s="2"/>
      <c r="R412"/>
      <c r="S412"/>
      <c r="T412"/>
      <c r="V412"/>
    </row>
    <row r="413" spans="10:22" s="1" customFormat="1" x14ac:dyDescent="0.2">
      <c r="J413"/>
      <c r="K413"/>
      <c r="L413"/>
      <c r="M413"/>
      <c r="N413"/>
      <c r="O413" s="2"/>
      <c r="R413"/>
      <c r="S413"/>
      <c r="T413"/>
      <c r="V413"/>
    </row>
    <row r="414" spans="10:22" s="1" customFormat="1" x14ac:dyDescent="0.2">
      <c r="J414"/>
      <c r="K414"/>
      <c r="L414"/>
      <c r="M414"/>
      <c r="N414"/>
      <c r="O414" s="2"/>
      <c r="R414"/>
      <c r="S414"/>
      <c r="T414"/>
      <c r="V414"/>
    </row>
    <row r="415" spans="10:22" s="1" customFormat="1" x14ac:dyDescent="0.2">
      <c r="J415"/>
      <c r="K415"/>
      <c r="L415"/>
      <c r="M415"/>
      <c r="N415"/>
      <c r="O415" s="2"/>
      <c r="R415"/>
      <c r="S415"/>
      <c r="T415"/>
      <c r="V415"/>
    </row>
    <row r="416" spans="10:22" s="1" customFormat="1" x14ac:dyDescent="0.2">
      <c r="J416"/>
      <c r="K416"/>
      <c r="L416"/>
      <c r="M416"/>
      <c r="N416"/>
      <c r="O416" s="2"/>
      <c r="R416"/>
      <c r="S416"/>
      <c r="T416"/>
      <c r="V416"/>
    </row>
    <row r="417" spans="10:22" s="1" customFormat="1" x14ac:dyDescent="0.2">
      <c r="J417"/>
      <c r="K417"/>
      <c r="L417"/>
      <c r="M417"/>
      <c r="N417"/>
      <c r="O417" s="2"/>
      <c r="R417"/>
      <c r="S417"/>
      <c r="T417"/>
      <c r="V417"/>
    </row>
    <row r="418" spans="10:22" s="1" customFormat="1" x14ac:dyDescent="0.2">
      <c r="J418"/>
      <c r="K418"/>
      <c r="L418"/>
      <c r="M418"/>
      <c r="N418"/>
      <c r="O418" s="2"/>
      <c r="R418"/>
      <c r="S418"/>
      <c r="T418"/>
      <c r="V418"/>
    </row>
    <row r="419" spans="10:22" s="1" customFormat="1" x14ac:dyDescent="0.2">
      <c r="J419"/>
      <c r="K419"/>
      <c r="L419"/>
      <c r="M419"/>
      <c r="N419"/>
      <c r="O419" s="2"/>
      <c r="R419"/>
      <c r="S419"/>
      <c r="T419"/>
      <c r="V419"/>
    </row>
    <row r="420" spans="10:22" s="1" customFormat="1" x14ac:dyDescent="0.2">
      <c r="J420"/>
      <c r="K420"/>
      <c r="L420"/>
      <c r="M420"/>
      <c r="N420"/>
      <c r="O420" s="2"/>
      <c r="R420"/>
      <c r="S420"/>
      <c r="T420"/>
      <c r="V420"/>
    </row>
    <row r="421" spans="10:22" s="1" customFormat="1" x14ac:dyDescent="0.2">
      <c r="J421"/>
      <c r="K421"/>
      <c r="L421"/>
      <c r="M421"/>
      <c r="N421"/>
      <c r="O421" s="2"/>
      <c r="R421"/>
      <c r="S421"/>
      <c r="T421"/>
      <c r="V421"/>
    </row>
    <row r="422" spans="10:22" s="1" customFormat="1" x14ac:dyDescent="0.2">
      <c r="J422"/>
      <c r="K422"/>
      <c r="L422"/>
      <c r="M422"/>
      <c r="N422"/>
      <c r="O422" s="2"/>
      <c r="R422"/>
      <c r="S422"/>
      <c r="T422"/>
      <c r="V422"/>
    </row>
    <row r="423" spans="10:22" s="1" customFormat="1" x14ac:dyDescent="0.2">
      <c r="J423"/>
      <c r="K423"/>
      <c r="L423"/>
      <c r="M423"/>
      <c r="N423"/>
      <c r="O423" s="2"/>
      <c r="R423"/>
      <c r="S423"/>
      <c r="T423"/>
      <c r="V423"/>
    </row>
    <row r="424" spans="10:22" s="1" customFormat="1" x14ac:dyDescent="0.2">
      <c r="J424"/>
      <c r="K424"/>
      <c r="L424"/>
      <c r="M424"/>
      <c r="N424"/>
      <c r="O424" s="2"/>
      <c r="R424"/>
      <c r="S424"/>
      <c r="T424"/>
      <c r="V424"/>
    </row>
    <row r="425" spans="10:22" s="1" customFormat="1" x14ac:dyDescent="0.2">
      <c r="J425"/>
      <c r="K425"/>
      <c r="L425"/>
      <c r="M425"/>
      <c r="N425"/>
      <c r="O425" s="2"/>
      <c r="R425"/>
      <c r="S425"/>
      <c r="T425"/>
      <c r="V425"/>
    </row>
    <row r="426" spans="10:22" s="1" customFormat="1" x14ac:dyDescent="0.2">
      <c r="J426"/>
      <c r="K426"/>
      <c r="L426"/>
      <c r="M426"/>
      <c r="N426"/>
      <c r="O426" s="2"/>
      <c r="R426"/>
      <c r="S426"/>
      <c r="T426"/>
      <c r="V426"/>
    </row>
    <row r="427" spans="10:22" s="1" customFormat="1" x14ac:dyDescent="0.2">
      <c r="J427"/>
      <c r="K427"/>
      <c r="L427"/>
      <c r="M427"/>
      <c r="N427"/>
      <c r="O427" s="2"/>
      <c r="R427"/>
      <c r="S427"/>
      <c r="T427"/>
      <c r="V427"/>
    </row>
    <row r="428" spans="10:22" s="1" customFormat="1" x14ac:dyDescent="0.2">
      <c r="J428"/>
      <c r="K428"/>
      <c r="L428"/>
      <c r="M428"/>
      <c r="N428"/>
      <c r="O428" s="2"/>
      <c r="R428"/>
      <c r="S428"/>
      <c r="T428"/>
      <c r="V428"/>
    </row>
    <row r="429" spans="10:22" s="1" customFormat="1" x14ac:dyDescent="0.2">
      <c r="J429"/>
      <c r="K429"/>
      <c r="L429"/>
      <c r="M429"/>
      <c r="N429"/>
      <c r="O429" s="2"/>
      <c r="R429"/>
      <c r="S429"/>
      <c r="T429"/>
      <c r="V429"/>
    </row>
    <row r="430" spans="10:22" s="1" customFormat="1" x14ac:dyDescent="0.2">
      <c r="J430"/>
      <c r="K430"/>
      <c r="L430"/>
      <c r="M430"/>
      <c r="N430"/>
      <c r="O430" s="2"/>
      <c r="R430"/>
      <c r="S430"/>
      <c r="T430"/>
      <c r="V430"/>
    </row>
    <row r="431" spans="10:22" s="1" customFormat="1" x14ac:dyDescent="0.2">
      <c r="J431"/>
      <c r="K431"/>
      <c r="L431"/>
      <c r="M431"/>
      <c r="N431"/>
      <c r="O431" s="2"/>
      <c r="R431"/>
      <c r="S431"/>
      <c r="T431"/>
      <c r="V431"/>
    </row>
    <row r="432" spans="10:22" s="1" customFormat="1" x14ac:dyDescent="0.2">
      <c r="J432"/>
      <c r="K432"/>
      <c r="L432"/>
      <c r="M432"/>
      <c r="N432"/>
      <c r="O432" s="2"/>
      <c r="R432"/>
      <c r="S432"/>
      <c r="T432"/>
      <c r="V432"/>
    </row>
    <row r="433" spans="10:22" s="1" customFormat="1" x14ac:dyDescent="0.2">
      <c r="J433"/>
      <c r="K433"/>
      <c r="L433"/>
      <c r="M433"/>
      <c r="N433"/>
      <c r="O433" s="2"/>
      <c r="R433"/>
      <c r="S433"/>
      <c r="T433"/>
      <c r="V433"/>
    </row>
    <row r="434" spans="10:22" s="1" customFormat="1" x14ac:dyDescent="0.2">
      <c r="J434"/>
      <c r="K434"/>
      <c r="L434"/>
      <c r="M434"/>
      <c r="N434"/>
      <c r="O434" s="2"/>
      <c r="R434"/>
      <c r="S434"/>
      <c r="T434"/>
      <c r="V434"/>
    </row>
    <row r="435" spans="10:22" s="1" customFormat="1" x14ac:dyDescent="0.2">
      <c r="J435"/>
      <c r="K435"/>
      <c r="L435"/>
      <c r="M435"/>
      <c r="N435"/>
      <c r="O435" s="2"/>
      <c r="R435"/>
      <c r="S435"/>
      <c r="T435"/>
      <c r="V435"/>
    </row>
    <row r="436" spans="10:22" s="1" customFormat="1" x14ac:dyDescent="0.2">
      <c r="J436"/>
      <c r="K436"/>
      <c r="L436"/>
      <c r="M436"/>
      <c r="N436"/>
      <c r="O436" s="2"/>
      <c r="R436"/>
      <c r="S436"/>
      <c r="T436"/>
      <c r="V436"/>
    </row>
    <row r="437" spans="10:22" s="1" customFormat="1" x14ac:dyDescent="0.2">
      <c r="J437"/>
      <c r="K437"/>
      <c r="L437"/>
      <c r="M437"/>
      <c r="N437"/>
      <c r="O437" s="2"/>
      <c r="R437"/>
      <c r="S437"/>
      <c r="T437"/>
      <c r="V437"/>
    </row>
    <row r="438" spans="10:22" s="1" customFormat="1" x14ac:dyDescent="0.2">
      <c r="J438"/>
      <c r="K438"/>
      <c r="L438"/>
      <c r="M438"/>
      <c r="N438"/>
      <c r="O438" s="2"/>
      <c r="R438"/>
      <c r="S438"/>
      <c r="T438"/>
      <c r="V438"/>
    </row>
    <row r="439" spans="10:22" s="1" customFormat="1" x14ac:dyDescent="0.2">
      <c r="J439"/>
      <c r="K439"/>
      <c r="L439"/>
      <c r="M439"/>
      <c r="N439"/>
      <c r="O439" s="2"/>
      <c r="R439"/>
      <c r="S439"/>
      <c r="T439"/>
      <c r="V439"/>
    </row>
    <row r="440" spans="10:22" s="1" customFormat="1" x14ac:dyDescent="0.2">
      <c r="J440"/>
      <c r="K440"/>
      <c r="L440"/>
      <c r="M440"/>
      <c r="N440"/>
      <c r="O440" s="2"/>
      <c r="R440"/>
      <c r="S440"/>
      <c r="T440"/>
      <c r="V440"/>
    </row>
    <row r="441" spans="10:22" s="1" customFormat="1" x14ac:dyDescent="0.2">
      <c r="J441"/>
      <c r="K441"/>
      <c r="L441"/>
      <c r="M441"/>
      <c r="N441"/>
      <c r="O441" s="2"/>
      <c r="R441"/>
      <c r="S441"/>
      <c r="T441"/>
      <c r="V441"/>
    </row>
    <row r="442" spans="10:22" s="1" customFormat="1" x14ac:dyDescent="0.2">
      <c r="J442"/>
      <c r="K442"/>
      <c r="L442"/>
      <c r="M442"/>
      <c r="N442"/>
      <c r="O442" s="2"/>
      <c r="R442"/>
      <c r="S442"/>
      <c r="T442"/>
      <c r="V442"/>
    </row>
    <row r="443" spans="10:22" s="1" customFormat="1" x14ac:dyDescent="0.2">
      <c r="J443"/>
      <c r="K443"/>
      <c r="L443"/>
      <c r="M443"/>
      <c r="N443"/>
      <c r="O443" s="2"/>
      <c r="R443"/>
      <c r="S443"/>
      <c r="T443"/>
      <c r="V443"/>
    </row>
    <row r="444" spans="10:22" s="1" customFormat="1" x14ac:dyDescent="0.2">
      <c r="J444"/>
      <c r="K444"/>
      <c r="L444"/>
      <c r="M444"/>
      <c r="N444"/>
      <c r="O444" s="2"/>
      <c r="R444"/>
      <c r="S444"/>
      <c r="T444"/>
      <c r="V444"/>
    </row>
    <row r="445" spans="10:22" s="1" customFormat="1" x14ac:dyDescent="0.2">
      <c r="J445"/>
      <c r="K445"/>
      <c r="L445"/>
      <c r="M445"/>
      <c r="N445"/>
      <c r="O445" s="2"/>
      <c r="R445"/>
      <c r="S445"/>
      <c r="T445"/>
      <c r="V445"/>
    </row>
    <row r="446" spans="10:22" s="1" customFormat="1" x14ac:dyDescent="0.2">
      <c r="J446"/>
      <c r="K446"/>
      <c r="L446"/>
      <c r="M446"/>
      <c r="N446"/>
      <c r="O446" s="2"/>
      <c r="R446"/>
      <c r="S446"/>
      <c r="T446"/>
      <c r="V446"/>
    </row>
    <row r="447" spans="10:22" s="1" customFormat="1" x14ac:dyDescent="0.2">
      <c r="J447"/>
      <c r="K447"/>
      <c r="L447"/>
      <c r="M447"/>
      <c r="N447"/>
      <c r="O447" s="2"/>
      <c r="R447"/>
      <c r="S447"/>
      <c r="T447"/>
      <c r="V447"/>
    </row>
    <row r="448" spans="10:22" s="1" customFormat="1" x14ac:dyDescent="0.2">
      <c r="J448"/>
      <c r="K448"/>
      <c r="L448"/>
      <c r="M448"/>
      <c r="N448"/>
      <c r="O448" s="2"/>
      <c r="R448"/>
      <c r="S448"/>
      <c r="T448"/>
      <c r="V448"/>
    </row>
    <row r="449" spans="10:22" s="1" customFormat="1" x14ac:dyDescent="0.2">
      <c r="J449"/>
      <c r="K449"/>
      <c r="L449"/>
      <c r="M449"/>
      <c r="N449"/>
      <c r="O449" s="2"/>
      <c r="R449"/>
      <c r="S449"/>
      <c r="T449"/>
      <c r="V449"/>
    </row>
    <row r="450" spans="10:22" s="1" customFormat="1" x14ac:dyDescent="0.2">
      <c r="J450"/>
      <c r="K450"/>
      <c r="L450"/>
      <c r="M450"/>
      <c r="N450"/>
      <c r="O450" s="2"/>
      <c r="R450"/>
      <c r="S450"/>
      <c r="T450"/>
      <c r="V450"/>
    </row>
    <row r="451" spans="10:22" s="1" customFormat="1" x14ac:dyDescent="0.2">
      <c r="J451"/>
      <c r="K451"/>
      <c r="L451"/>
      <c r="M451"/>
      <c r="N451"/>
      <c r="O451" s="2"/>
      <c r="R451"/>
      <c r="S451"/>
      <c r="T451"/>
      <c r="V451"/>
    </row>
    <row r="452" spans="10:22" s="1" customFormat="1" x14ac:dyDescent="0.2">
      <c r="J452"/>
      <c r="K452"/>
      <c r="L452"/>
      <c r="M452"/>
      <c r="N452"/>
      <c r="O452" s="2"/>
      <c r="R452"/>
      <c r="S452"/>
      <c r="T452"/>
      <c r="V452"/>
    </row>
    <row r="453" spans="10:22" s="1" customFormat="1" x14ac:dyDescent="0.2">
      <c r="J453"/>
      <c r="K453"/>
      <c r="L453"/>
      <c r="M453"/>
      <c r="N453"/>
      <c r="O453" s="2"/>
      <c r="R453"/>
      <c r="S453"/>
      <c r="T453"/>
      <c r="V453"/>
    </row>
    <row r="454" spans="10:22" s="1" customFormat="1" x14ac:dyDescent="0.2">
      <c r="J454"/>
      <c r="K454"/>
      <c r="L454"/>
      <c r="M454"/>
      <c r="N454"/>
      <c r="O454" s="2"/>
      <c r="R454"/>
      <c r="S454"/>
      <c r="T454"/>
      <c r="V454"/>
    </row>
    <row r="455" spans="10:22" s="1" customFormat="1" x14ac:dyDescent="0.2">
      <c r="J455"/>
      <c r="K455"/>
      <c r="L455"/>
      <c r="M455"/>
      <c r="N455"/>
      <c r="O455" s="2"/>
      <c r="R455"/>
      <c r="S455"/>
      <c r="T455"/>
      <c r="V455"/>
    </row>
    <row r="456" spans="10:22" s="1" customFormat="1" x14ac:dyDescent="0.2">
      <c r="J456"/>
      <c r="K456"/>
      <c r="L456"/>
      <c r="M456"/>
      <c r="N456"/>
      <c r="O456" s="2"/>
      <c r="R456"/>
      <c r="S456"/>
      <c r="T456"/>
      <c r="V456"/>
    </row>
    <row r="457" spans="10:22" s="1" customFormat="1" x14ac:dyDescent="0.2">
      <c r="J457"/>
      <c r="K457"/>
      <c r="L457"/>
      <c r="M457"/>
      <c r="N457"/>
      <c r="O457" s="2"/>
      <c r="R457"/>
      <c r="S457"/>
      <c r="T457"/>
      <c r="V457"/>
    </row>
    <row r="458" spans="10:22" s="1" customFormat="1" x14ac:dyDescent="0.2">
      <c r="J458"/>
      <c r="K458"/>
      <c r="L458"/>
      <c r="M458"/>
      <c r="N458"/>
      <c r="O458" s="2"/>
      <c r="R458"/>
      <c r="S458"/>
      <c r="T458"/>
      <c r="V458"/>
    </row>
    <row r="459" spans="10:22" s="1" customFormat="1" x14ac:dyDescent="0.2">
      <c r="J459"/>
      <c r="K459"/>
      <c r="L459"/>
      <c r="M459"/>
      <c r="N459"/>
      <c r="O459" s="2"/>
      <c r="R459"/>
      <c r="S459"/>
      <c r="T459"/>
      <c r="V459"/>
    </row>
    <row r="460" spans="10:22" s="1" customFormat="1" x14ac:dyDescent="0.2">
      <c r="J460"/>
      <c r="K460"/>
      <c r="L460"/>
      <c r="M460"/>
      <c r="N460"/>
      <c r="O460" s="2"/>
      <c r="R460"/>
      <c r="S460"/>
      <c r="T460"/>
      <c r="V460"/>
    </row>
    <row r="461" spans="10:22" s="1" customFormat="1" x14ac:dyDescent="0.2">
      <c r="J461"/>
      <c r="K461"/>
      <c r="L461"/>
      <c r="M461"/>
      <c r="N461"/>
      <c r="O461" s="2"/>
      <c r="R461"/>
      <c r="S461"/>
      <c r="T461"/>
      <c r="V461"/>
    </row>
    <row r="462" spans="10:22" s="1" customFormat="1" x14ac:dyDescent="0.2">
      <c r="J462"/>
      <c r="K462"/>
      <c r="L462"/>
      <c r="M462"/>
      <c r="N462"/>
      <c r="O462" s="2"/>
      <c r="R462"/>
      <c r="S462"/>
      <c r="T462"/>
      <c r="V462"/>
    </row>
    <row r="463" spans="10:22" s="1" customFormat="1" x14ac:dyDescent="0.2">
      <c r="J463"/>
      <c r="K463"/>
      <c r="L463"/>
      <c r="M463"/>
      <c r="N463"/>
      <c r="O463" s="2"/>
      <c r="R463"/>
      <c r="S463"/>
      <c r="T463"/>
      <c r="V463"/>
    </row>
    <row r="464" spans="10:22" s="1" customFormat="1" x14ac:dyDescent="0.2">
      <c r="J464"/>
      <c r="K464"/>
      <c r="L464"/>
      <c r="M464"/>
      <c r="N464"/>
      <c r="O464" s="2"/>
      <c r="R464"/>
      <c r="S464"/>
      <c r="T464"/>
      <c r="V464"/>
    </row>
    <row r="465" spans="10:22" s="1" customFormat="1" x14ac:dyDescent="0.2">
      <c r="J465"/>
      <c r="K465"/>
      <c r="L465"/>
      <c r="M465"/>
      <c r="N465"/>
      <c r="O465" s="2"/>
      <c r="R465"/>
      <c r="S465"/>
      <c r="T465"/>
      <c r="V465"/>
    </row>
    <row r="466" spans="10:22" s="1" customFormat="1" x14ac:dyDescent="0.2">
      <c r="J466"/>
      <c r="K466"/>
      <c r="L466"/>
      <c r="M466"/>
      <c r="N466"/>
      <c r="O466" s="2"/>
      <c r="R466"/>
      <c r="S466"/>
      <c r="T466"/>
      <c r="V466"/>
    </row>
    <row r="467" spans="10:22" s="1" customFormat="1" x14ac:dyDescent="0.2">
      <c r="J467"/>
      <c r="K467"/>
      <c r="L467"/>
      <c r="M467"/>
      <c r="N467"/>
      <c r="O467" s="2"/>
      <c r="R467"/>
      <c r="S467"/>
      <c r="T467"/>
      <c r="V467"/>
    </row>
    <row r="468" spans="10:22" s="1" customFormat="1" x14ac:dyDescent="0.2">
      <c r="J468"/>
      <c r="K468"/>
      <c r="L468"/>
      <c r="M468"/>
      <c r="N468"/>
      <c r="O468" s="2"/>
      <c r="R468"/>
      <c r="S468"/>
      <c r="T468"/>
      <c r="V468"/>
    </row>
    <row r="469" spans="10:22" s="1" customFormat="1" x14ac:dyDescent="0.2">
      <c r="J469"/>
      <c r="K469"/>
      <c r="L469"/>
      <c r="M469"/>
      <c r="N469"/>
      <c r="O469" s="2"/>
      <c r="R469"/>
      <c r="S469"/>
      <c r="T469"/>
      <c r="V469"/>
    </row>
    <row r="470" spans="10:22" s="1" customFormat="1" x14ac:dyDescent="0.2">
      <c r="J470"/>
      <c r="K470"/>
      <c r="L470"/>
      <c r="M470"/>
      <c r="N470"/>
      <c r="O470" s="2"/>
      <c r="R470"/>
      <c r="S470"/>
      <c r="T470"/>
      <c r="V470"/>
    </row>
    <row r="471" spans="10:22" s="1" customFormat="1" x14ac:dyDescent="0.2">
      <c r="J471"/>
      <c r="K471"/>
      <c r="L471"/>
      <c r="M471"/>
      <c r="N471"/>
      <c r="O471" s="2"/>
      <c r="R471"/>
      <c r="S471"/>
      <c r="T471"/>
      <c r="V471"/>
    </row>
    <row r="472" spans="10:22" s="1" customFormat="1" x14ac:dyDescent="0.2">
      <c r="J472"/>
      <c r="K472"/>
      <c r="L472"/>
      <c r="M472"/>
      <c r="N472"/>
      <c r="O472" s="2"/>
      <c r="R472"/>
      <c r="S472"/>
      <c r="T472"/>
      <c r="V472"/>
    </row>
    <row r="473" spans="10:22" s="1" customFormat="1" x14ac:dyDescent="0.2">
      <c r="J473"/>
      <c r="K473"/>
      <c r="L473"/>
      <c r="M473"/>
      <c r="N473"/>
      <c r="O473" s="2"/>
      <c r="R473"/>
      <c r="S473"/>
      <c r="T473"/>
      <c r="V473"/>
    </row>
    <row r="474" spans="10:22" s="1" customFormat="1" x14ac:dyDescent="0.2">
      <c r="J474"/>
      <c r="K474"/>
      <c r="L474"/>
      <c r="M474"/>
      <c r="N474"/>
      <c r="O474" s="2"/>
      <c r="R474"/>
      <c r="S474"/>
      <c r="T474"/>
      <c r="V474"/>
    </row>
    <row r="475" spans="10:22" s="1" customFormat="1" x14ac:dyDescent="0.2">
      <c r="J475"/>
      <c r="K475"/>
      <c r="L475"/>
      <c r="M475"/>
      <c r="N475"/>
      <c r="O475" s="2"/>
      <c r="R475"/>
      <c r="S475"/>
      <c r="T475"/>
      <c r="V475"/>
    </row>
    <row r="476" spans="10:22" s="1" customFormat="1" x14ac:dyDescent="0.2">
      <c r="J476"/>
      <c r="K476"/>
      <c r="L476"/>
      <c r="M476"/>
      <c r="N476"/>
      <c r="O476" s="2"/>
      <c r="R476"/>
      <c r="S476"/>
      <c r="T476"/>
      <c r="V476"/>
    </row>
    <row r="477" spans="10:22" s="1" customFormat="1" x14ac:dyDescent="0.2">
      <c r="J477"/>
      <c r="K477"/>
      <c r="L477"/>
      <c r="M477"/>
      <c r="N477"/>
      <c r="O477" s="2"/>
      <c r="R477"/>
      <c r="S477"/>
      <c r="T477"/>
      <c r="V477"/>
    </row>
    <row r="478" spans="10:22" s="1" customFormat="1" x14ac:dyDescent="0.2">
      <c r="J478"/>
      <c r="K478"/>
      <c r="L478"/>
      <c r="M478"/>
      <c r="N478"/>
      <c r="O478" s="2"/>
      <c r="R478"/>
      <c r="S478"/>
      <c r="T478"/>
      <c r="V478"/>
    </row>
    <row r="479" spans="10:22" s="1" customFormat="1" x14ac:dyDescent="0.2">
      <c r="J479"/>
      <c r="K479"/>
      <c r="L479"/>
      <c r="M479"/>
      <c r="N479"/>
      <c r="O479" s="2"/>
      <c r="R479"/>
      <c r="S479"/>
      <c r="T479"/>
      <c r="V479"/>
    </row>
    <row r="480" spans="10:22" s="1" customFormat="1" x14ac:dyDescent="0.2">
      <c r="J480"/>
      <c r="K480"/>
      <c r="L480"/>
      <c r="M480"/>
      <c r="N480"/>
      <c r="O480" s="2"/>
      <c r="R480"/>
      <c r="S480"/>
      <c r="T480"/>
      <c r="V480"/>
    </row>
    <row r="481" spans="10:22" s="1" customFormat="1" x14ac:dyDescent="0.2">
      <c r="J481"/>
      <c r="K481"/>
      <c r="L481"/>
      <c r="M481"/>
      <c r="N481"/>
      <c r="O481" s="2"/>
      <c r="R481"/>
      <c r="S481"/>
      <c r="T481"/>
      <c r="V481"/>
    </row>
    <row r="482" spans="10:22" s="1" customFormat="1" x14ac:dyDescent="0.2">
      <c r="J482"/>
      <c r="K482"/>
      <c r="L482"/>
      <c r="M482"/>
      <c r="N482"/>
      <c r="O482" s="2"/>
      <c r="R482"/>
      <c r="S482"/>
      <c r="T482"/>
      <c r="V482"/>
    </row>
    <row r="483" spans="10:22" s="1" customFormat="1" x14ac:dyDescent="0.2">
      <c r="J483"/>
      <c r="K483"/>
      <c r="L483"/>
      <c r="M483"/>
      <c r="N483"/>
      <c r="O483" s="2"/>
      <c r="R483"/>
      <c r="S483"/>
      <c r="T483"/>
      <c r="V483"/>
    </row>
    <row r="484" spans="10:22" s="1" customFormat="1" x14ac:dyDescent="0.2">
      <c r="J484"/>
      <c r="K484"/>
      <c r="L484"/>
      <c r="M484"/>
      <c r="N484"/>
      <c r="O484" s="2"/>
      <c r="R484"/>
      <c r="S484"/>
      <c r="T484"/>
      <c r="V484"/>
    </row>
    <row r="485" spans="10:22" s="1" customFormat="1" x14ac:dyDescent="0.2">
      <c r="J485"/>
      <c r="K485"/>
      <c r="L485"/>
      <c r="M485"/>
      <c r="N485"/>
      <c r="O485" s="2"/>
      <c r="R485"/>
      <c r="S485"/>
      <c r="T485"/>
      <c r="V485"/>
    </row>
    <row r="486" spans="10:22" s="1" customFormat="1" x14ac:dyDescent="0.2">
      <c r="J486"/>
      <c r="K486"/>
      <c r="L486"/>
      <c r="M486"/>
      <c r="N486"/>
      <c r="O486" s="2"/>
      <c r="R486"/>
      <c r="S486"/>
      <c r="T486"/>
      <c r="V486"/>
    </row>
    <row r="487" spans="10:22" s="1" customFormat="1" x14ac:dyDescent="0.2">
      <c r="J487"/>
      <c r="K487"/>
      <c r="L487"/>
      <c r="M487"/>
      <c r="N487"/>
      <c r="O487" s="2"/>
      <c r="R487"/>
      <c r="S487"/>
      <c r="T487"/>
      <c r="V487"/>
    </row>
    <row r="488" spans="10:22" s="1" customFormat="1" x14ac:dyDescent="0.2">
      <c r="J488"/>
      <c r="K488"/>
      <c r="L488"/>
      <c r="M488"/>
      <c r="N488"/>
      <c r="O488" s="2"/>
      <c r="R488"/>
      <c r="S488"/>
      <c r="T488"/>
      <c r="V488"/>
    </row>
    <row r="489" spans="10:22" s="1" customFormat="1" x14ac:dyDescent="0.2">
      <c r="J489"/>
      <c r="K489"/>
      <c r="L489"/>
      <c r="M489"/>
      <c r="N489"/>
      <c r="O489" s="2"/>
      <c r="R489"/>
      <c r="S489"/>
      <c r="T489"/>
      <c r="V489"/>
    </row>
    <row r="490" spans="10:22" s="1" customFormat="1" x14ac:dyDescent="0.2">
      <c r="J490"/>
      <c r="K490"/>
      <c r="L490"/>
      <c r="M490"/>
      <c r="N490"/>
      <c r="O490" s="2"/>
      <c r="R490"/>
      <c r="S490"/>
      <c r="T490"/>
      <c r="V490"/>
    </row>
    <row r="491" spans="10:22" s="1" customFormat="1" x14ac:dyDescent="0.2">
      <c r="J491"/>
      <c r="K491"/>
      <c r="L491"/>
      <c r="M491"/>
      <c r="N491"/>
      <c r="O491" s="2"/>
      <c r="R491"/>
      <c r="S491"/>
      <c r="T491"/>
      <c r="V491"/>
    </row>
    <row r="492" spans="10:22" s="1" customFormat="1" x14ac:dyDescent="0.2">
      <c r="J492"/>
      <c r="K492"/>
      <c r="L492"/>
      <c r="M492"/>
      <c r="N492"/>
      <c r="O492" s="2"/>
      <c r="R492"/>
      <c r="S492"/>
      <c r="T492"/>
      <c r="V492"/>
    </row>
    <row r="493" spans="10:22" s="1" customFormat="1" x14ac:dyDescent="0.2">
      <c r="J493"/>
      <c r="K493"/>
      <c r="L493"/>
      <c r="M493"/>
      <c r="N493"/>
      <c r="O493" s="2"/>
      <c r="R493"/>
      <c r="S493"/>
      <c r="T493"/>
      <c r="V493"/>
    </row>
    <row r="494" spans="10:22" s="1" customFormat="1" x14ac:dyDescent="0.2">
      <c r="J494"/>
      <c r="K494"/>
      <c r="L494"/>
      <c r="M494"/>
      <c r="N494"/>
      <c r="O494" s="2"/>
      <c r="R494"/>
      <c r="S494"/>
      <c r="T494"/>
      <c r="V494"/>
    </row>
    <row r="495" spans="10:22" s="1" customFormat="1" x14ac:dyDescent="0.2">
      <c r="J495"/>
      <c r="K495"/>
      <c r="L495"/>
      <c r="M495"/>
      <c r="N495"/>
      <c r="O495" s="2"/>
      <c r="R495"/>
      <c r="S495"/>
      <c r="T495"/>
      <c r="V495"/>
    </row>
    <row r="496" spans="10:22" s="1" customFormat="1" x14ac:dyDescent="0.2">
      <c r="J496"/>
      <c r="K496"/>
      <c r="L496"/>
      <c r="M496"/>
      <c r="N496"/>
      <c r="O496" s="2"/>
      <c r="R496"/>
      <c r="S496"/>
      <c r="T496"/>
      <c r="V496"/>
    </row>
    <row r="497" spans="10:22" s="1" customFormat="1" x14ac:dyDescent="0.2">
      <c r="J497"/>
      <c r="K497"/>
      <c r="L497"/>
      <c r="M497"/>
      <c r="N497"/>
      <c r="O497" s="2"/>
      <c r="R497"/>
      <c r="S497"/>
      <c r="T497"/>
      <c r="V497"/>
    </row>
    <row r="498" spans="10:22" s="1" customFormat="1" x14ac:dyDescent="0.2">
      <c r="J498"/>
      <c r="K498"/>
      <c r="L498"/>
      <c r="M498"/>
      <c r="N498"/>
      <c r="O498" s="2"/>
      <c r="R498"/>
      <c r="S498"/>
      <c r="T498"/>
      <c r="V498"/>
    </row>
    <row r="499" spans="10:22" s="1" customFormat="1" x14ac:dyDescent="0.2">
      <c r="J499"/>
      <c r="K499"/>
      <c r="L499"/>
      <c r="M499"/>
      <c r="N499"/>
      <c r="O499" s="2"/>
      <c r="R499"/>
      <c r="S499"/>
      <c r="T499"/>
      <c r="V499"/>
    </row>
    <row r="500" spans="10:22" s="1" customFormat="1" x14ac:dyDescent="0.2">
      <c r="J500"/>
      <c r="K500"/>
      <c r="L500"/>
      <c r="M500"/>
      <c r="N500"/>
      <c r="O500" s="2"/>
      <c r="R500"/>
      <c r="S500"/>
      <c r="T500"/>
      <c r="V500"/>
    </row>
    <row r="501" spans="10:22" s="1" customFormat="1" x14ac:dyDescent="0.2">
      <c r="J501"/>
      <c r="K501"/>
      <c r="L501"/>
      <c r="M501"/>
      <c r="N501"/>
      <c r="O501" s="2"/>
      <c r="R501"/>
      <c r="S501"/>
      <c r="T501"/>
      <c r="V501"/>
    </row>
    <row r="502" spans="10:22" s="1" customFormat="1" x14ac:dyDescent="0.2">
      <c r="J502"/>
      <c r="K502"/>
      <c r="L502"/>
      <c r="M502"/>
      <c r="N502"/>
      <c r="O502" s="2"/>
      <c r="R502"/>
      <c r="S502"/>
      <c r="T502"/>
      <c r="V502"/>
    </row>
    <row r="503" spans="10:22" s="1" customFormat="1" x14ac:dyDescent="0.2">
      <c r="J503"/>
      <c r="K503"/>
      <c r="L503"/>
      <c r="M503"/>
      <c r="N503"/>
      <c r="O503" s="2"/>
      <c r="R503"/>
      <c r="S503"/>
      <c r="T503"/>
      <c r="V503"/>
    </row>
    <row r="504" spans="10:22" s="1" customFormat="1" x14ac:dyDescent="0.2">
      <c r="J504"/>
      <c r="K504"/>
      <c r="L504"/>
      <c r="M504"/>
      <c r="N504"/>
      <c r="O504" s="2"/>
      <c r="R504"/>
      <c r="S504"/>
      <c r="T504"/>
      <c r="V504"/>
    </row>
    <row r="505" spans="10:22" s="1" customFormat="1" x14ac:dyDescent="0.2">
      <c r="J505"/>
      <c r="K505"/>
      <c r="L505"/>
      <c r="M505"/>
      <c r="N505"/>
      <c r="O505" s="2"/>
      <c r="R505"/>
      <c r="S505"/>
      <c r="T505"/>
      <c r="V505"/>
    </row>
    <row r="506" spans="10:22" s="1" customFormat="1" x14ac:dyDescent="0.2">
      <c r="J506"/>
      <c r="K506"/>
      <c r="L506"/>
      <c r="M506"/>
      <c r="N506"/>
      <c r="O506" s="2"/>
      <c r="R506"/>
      <c r="S506"/>
      <c r="T506"/>
      <c r="V506"/>
    </row>
    <row r="507" spans="10:22" s="1" customFormat="1" x14ac:dyDescent="0.2">
      <c r="J507"/>
      <c r="K507"/>
      <c r="L507"/>
      <c r="M507"/>
      <c r="N507"/>
      <c r="O507" s="2"/>
      <c r="R507"/>
      <c r="S507"/>
      <c r="T507"/>
      <c r="V507"/>
    </row>
    <row r="508" spans="10:22" s="1" customFormat="1" x14ac:dyDescent="0.2">
      <c r="J508"/>
      <c r="K508"/>
      <c r="L508"/>
      <c r="M508"/>
      <c r="N508"/>
      <c r="O508" s="2"/>
      <c r="R508"/>
      <c r="S508"/>
      <c r="T508"/>
      <c r="V508"/>
    </row>
    <row r="509" spans="10:22" s="1" customFormat="1" x14ac:dyDescent="0.2">
      <c r="J509"/>
      <c r="K509"/>
      <c r="L509"/>
      <c r="M509"/>
      <c r="N509"/>
      <c r="O509" s="2"/>
      <c r="R509"/>
      <c r="S509"/>
      <c r="T509"/>
      <c r="V509"/>
    </row>
    <row r="510" spans="10:22" s="1" customFormat="1" x14ac:dyDescent="0.2">
      <c r="J510"/>
      <c r="K510"/>
      <c r="L510"/>
      <c r="M510"/>
      <c r="N510"/>
      <c r="O510" s="2"/>
      <c r="R510"/>
      <c r="S510"/>
      <c r="T510"/>
      <c r="V510"/>
    </row>
    <row r="511" spans="10:22" s="1" customFormat="1" x14ac:dyDescent="0.2">
      <c r="J511"/>
      <c r="K511"/>
      <c r="L511"/>
      <c r="M511"/>
      <c r="N511"/>
      <c r="O511" s="2"/>
      <c r="R511"/>
      <c r="S511"/>
      <c r="T511"/>
      <c r="V511"/>
    </row>
    <row r="512" spans="10:22" s="1" customFormat="1" x14ac:dyDescent="0.2">
      <c r="J512"/>
      <c r="K512"/>
      <c r="L512"/>
      <c r="M512"/>
      <c r="N512"/>
      <c r="O512" s="2"/>
      <c r="R512"/>
      <c r="S512"/>
      <c r="T512"/>
      <c r="V512"/>
    </row>
    <row r="513" spans="10:22" s="1" customFormat="1" x14ac:dyDescent="0.2">
      <c r="J513"/>
      <c r="K513"/>
      <c r="L513"/>
      <c r="M513"/>
      <c r="N513"/>
      <c r="O513" s="2"/>
      <c r="R513"/>
      <c r="S513"/>
      <c r="T513"/>
      <c r="V513"/>
    </row>
    <row r="514" spans="10:22" s="1" customFormat="1" x14ac:dyDescent="0.2">
      <c r="J514"/>
      <c r="K514"/>
      <c r="L514"/>
      <c r="M514"/>
      <c r="N514"/>
      <c r="O514" s="2"/>
      <c r="R514"/>
      <c r="S514"/>
      <c r="T514"/>
      <c r="V514"/>
    </row>
    <row r="515" spans="10:22" s="1" customFormat="1" x14ac:dyDescent="0.2">
      <c r="J515"/>
      <c r="K515"/>
      <c r="L515"/>
      <c r="M515"/>
      <c r="N515"/>
      <c r="O515" s="2"/>
      <c r="R515"/>
      <c r="S515"/>
      <c r="T515"/>
      <c r="V515"/>
    </row>
    <row r="516" spans="10:22" s="1" customFormat="1" x14ac:dyDescent="0.2">
      <c r="J516"/>
      <c r="K516"/>
      <c r="L516"/>
      <c r="M516"/>
      <c r="N516"/>
      <c r="O516" s="2"/>
      <c r="R516"/>
      <c r="S516"/>
      <c r="T516"/>
      <c r="V516"/>
    </row>
    <row r="517" spans="10:22" s="1" customFormat="1" x14ac:dyDescent="0.2">
      <c r="J517"/>
      <c r="K517"/>
      <c r="L517"/>
      <c r="M517"/>
      <c r="N517"/>
      <c r="O517" s="2"/>
      <c r="R517"/>
      <c r="S517"/>
      <c r="T517"/>
      <c r="V517"/>
    </row>
    <row r="518" spans="10:22" s="1" customFormat="1" x14ac:dyDescent="0.2">
      <c r="J518"/>
      <c r="K518"/>
      <c r="L518"/>
      <c r="M518"/>
      <c r="N518"/>
      <c r="O518" s="2"/>
      <c r="R518"/>
      <c r="S518"/>
      <c r="T518"/>
      <c r="V518"/>
    </row>
    <row r="519" spans="10:22" s="1" customFormat="1" x14ac:dyDescent="0.2">
      <c r="J519"/>
      <c r="K519"/>
      <c r="L519"/>
      <c r="M519"/>
      <c r="N519"/>
      <c r="O519" s="2"/>
      <c r="R519"/>
      <c r="S519"/>
      <c r="T519"/>
      <c r="V519"/>
    </row>
    <row r="520" spans="10:22" s="1" customFormat="1" x14ac:dyDescent="0.2">
      <c r="J520"/>
      <c r="K520"/>
      <c r="L520"/>
      <c r="M520"/>
      <c r="N520"/>
      <c r="O520" s="2"/>
      <c r="R520"/>
      <c r="S520"/>
      <c r="T520"/>
      <c r="V520"/>
    </row>
    <row r="521" spans="10:22" s="1" customFormat="1" x14ac:dyDescent="0.2">
      <c r="J521"/>
      <c r="K521"/>
      <c r="L521"/>
      <c r="M521"/>
      <c r="N521"/>
      <c r="O521" s="2"/>
      <c r="R521"/>
      <c r="S521"/>
      <c r="T521"/>
      <c r="V521"/>
    </row>
    <row r="522" spans="10:22" s="1" customFormat="1" x14ac:dyDescent="0.2">
      <c r="J522"/>
      <c r="K522"/>
      <c r="L522"/>
      <c r="M522"/>
      <c r="N522"/>
      <c r="O522" s="2"/>
      <c r="R522"/>
      <c r="S522"/>
      <c r="T522"/>
      <c r="V522"/>
    </row>
    <row r="523" spans="10:22" s="1" customFormat="1" x14ac:dyDescent="0.2">
      <c r="J523"/>
      <c r="K523"/>
      <c r="L523"/>
      <c r="M523"/>
      <c r="N523"/>
      <c r="O523" s="2"/>
      <c r="R523"/>
      <c r="S523"/>
      <c r="T523"/>
      <c r="V523"/>
    </row>
    <row r="524" spans="10:22" s="1" customFormat="1" x14ac:dyDescent="0.2">
      <c r="J524"/>
      <c r="K524"/>
      <c r="L524"/>
      <c r="M524"/>
      <c r="N524"/>
      <c r="O524" s="2"/>
      <c r="R524"/>
      <c r="S524"/>
      <c r="T524"/>
      <c r="V524"/>
    </row>
    <row r="525" spans="10:22" s="1" customFormat="1" x14ac:dyDescent="0.2">
      <c r="J525"/>
      <c r="K525"/>
      <c r="L525"/>
      <c r="M525"/>
      <c r="N525"/>
      <c r="O525" s="2"/>
      <c r="R525"/>
      <c r="S525"/>
      <c r="T525"/>
      <c r="V525"/>
    </row>
    <row r="526" spans="10:22" s="1" customFormat="1" x14ac:dyDescent="0.2">
      <c r="J526"/>
      <c r="K526"/>
      <c r="L526"/>
      <c r="M526"/>
      <c r="N526"/>
      <c r="O526" s="2"/>
      <c r="R526"/>
      <c r="S526"/>
      <c r="T526"/>
      <c r="V526"/>
    </row>
    <row r="527" spans="10:22" s="1" customFormat="1" x14ac:dyDescent="0.2">
      <c r="J527"/>
      <c r="K527"/>
      <c r="L527"/>
      <c r="M527"/>
      <c r="N527"/>
      <c r="O527" s="2"/>
      <c r="R527"/>
      <c r="S527"/>
      <c r="T527"/>
      <c r="V527"/>
    </row>
    <row r="528" spans="10:22" s="1" customFormat="1" x14ac:dyDescent="0.2">
      <c r="J528"/>
      <c r="K528"/>
      <c r="L528"/>
      <c r="M528"/>
      <c r="N528"/>
      <c r="O528" s="2"/>
      <c r="R528"/>
      <c r="S528"/>
      <c r="T528"/>
      <c r="V528"/>
    </row>
    <row r="529" spans="10:22" s="1" customFormat="1" x14ac:dyDescent="0.2">
      <c r="J529"/>
      <c r="K529"/>
      <c r="L529"/>
      <c r="M529"/>
      <c r="N529"/>
      <c r="O529" s="2"/>
      <c r="R529"/>
      <c r="S529"/>
      <c r="T529"/>
      <c r="V529"/>
    </row>
    <row r="530" spans="10:22" s="1" customFormat="1" x14ac:dyDescent="0.2">
      <c r="J530"/>
      <c r="K530"/>
      <c r="L530"/>
      <c r="M530"/>
      <c r="N530"/>
      <c r="O530" s="2"/>
      <c r="R530"/>
      <c r="S530"/>
      <c r="T530"/>
      <c r="V530"/>
    </row>
    <row r="531" spans="10:22" s="1" customFormat="1" x14ac:dyDescent="0.2">
      <c r="J531"/>
      <c r="K531"/>
      <c r="L531"/>
      <c r="M531"/>
      <c r="N531"/>
      <c r="O531" s="2"/>
      <c r="R531"/>
      <c r="S531"/>
      <c r="T531"/>
      <c r="V531"/>
    </row>
    <row r="532" spans="10:22" s="1" customFormat="1" x14ac:dyDescent="0.2">
      <c r="J532"/>
      <c r="K532"/>
      <c r="L532"/>
      <c r="M532"/>
      <c r="N532"/>
      <c r="O532" s="2"/>
      <c r="R532"/>
      <c r="S532"/>
      <c r="T532"/>
      <c r="V532"/>
    </row>
    <row r="533" spans="10:22" s="1" customFormat="1" x14ac:dyDescent="0.2">
      <c r="J533"/>
      <c r="K533"/>
      <c r="L533"/>
      <c r="M533"/>
      <c r="N533"/>
      <c r="O533" s="2"/>
      <c r="R533"/>
      <c r="S533"/>
      <c r="T533"/>
      <c r="V533"/>
    </row>
    <row r="534" spans="10:22" s="1" customFormat="1" x14ac:dyDescent="0.2">
      <c r="J534"/>
      <c r="K534"/>
      <c r="L534"/>
      <c r="M534"/>
      <c r="N534"/>
      <c r="O534" s="2"/>
      <c r="R534"/>
      <c r="S534"/>
      <c r="T534"/>
      <c r="V534"/>
    </row>
    <row r="535" spans="10:22" s="1" customFormat="1" x14ac:dyDescent="0.2">
      <c r="J535"/>
      <c r="K535"/>
      <c r="L535"/>
      <c r="M535"/>
      <c r="N535"/>
      <c r="O535" s="2"/>
      <c r="R535"/>
      <c r="S535"/>
      <c r="T535"/>
      <c r="V535"/>
    </row>
    <row r="536" spans="10:22" s="1" customFormat="1" x14ac:dyDescent="0.2">
      <c r="J536"/>
      <c r="K536"/>
      <c r="L536"/>
      <c r="M536"/>
      <c r="N536"/>
      <c r="O536" s="2"/>
      <c r="R536"/>
      <c r="S536"/>
      <c r="T536"/>
      <c r="V536"/>
    </row>
    <row r="537" spans="10:22" s="1" customFormat="1" x14ac:dyDescent="0.2">
      <c r="J537"/>
      <c r="K537"/>
      <c r="L537"/>
      <c r="M537"/>
      <c r="N537"/>
      <c r="O537" s="2"/>
      <c r="R537"/>
      <c r="S537"/>
      <c r="T537"/>
      <c r="V537"/>
    </row>
    <row r="538" spans="10:22" s="1" customFormat="1" x14ac:dyDescent="0.2">
      <c r="J538"/>
      <c r="K538"/>
      <c r="L538"/>
      <c r="M538"/>
      <c r="N538"/>
      <c r="O538" s="2"/>
      <c r="R538"/>
      <c r="S538"/>
      <c r="T538"/>
      <c r="V538"/>
    </row>
    <row r="539" spans="10:22" s="1" customFormat="1" x14ac:dyDescent="0.2">
      <c r="J539"/>
      <c r="K539"/>
      <c r="L539"/>
      <c r="M539"/>
      <c r="N539"/>
      <c r="O539" s="2"/>
      <c r="R539"/>
      <c r="S539"/>
      <c r="T539"/>
      <c r="V539"/>
    </row>
    <row r="540" spans="10:22" s="1" customFormat="1" x14ac:dyDescent="0.2">
      <c r="J540"/>
      <c r="K540"/>
      <c r="L540"/>
      <c r="M540"/>
      <c r="N540"/>
      <c r="O540" s="2"/>
      <c r="R540"/>
      <c r="S540"/>
      <c r="T540"/>
      <c r="V540"/>
    </row>
    <row r="541" spans="10:22" s="1" customFormat="1" x14ac:dyDescent="0.2">
      <c r="J541"/>
      <c r="K541"/>
      <c r="L541"/>
      <c r="M541"/>
      <c r="N541"/>
      <c r="O541" s="2"/>
      <c r="R541"/>
      <c r="S541"/>
      <c r="T541"/>
      <c r="V541"/>
    </row>
    <row r="542" spans="10:22" s="1" customFormat="1" x14ac:dyDescent="0.2">
      <c r="J542"/>
      <c r="K542"/>
      <c r="L542"/>
      <c r="M542"/>
      <c r="N542"/>
      <c r="O542" s="2"/>
      <c r="R542"/>
      <c r="S542"/>
      <c r="T542"/>
      <c r="V542"/>
    </row>
    <row r="543" spans="10:22" s="1" customFormat="1" x14ac:dyDescent="0.2">
      <c r="J543"/>
      <c r="K543"/>
      <c r="L543"/>
      <c r="M543"/>
      <c r="N543"/>
      <c r="O543" s="2"/>
      <c r="R543"/>
      <c r="S543"/>
      <c r="T543"/>
      <c r="V543"/>
    </row>
    <row r="544" spans="10:22" s="1" customFormat="1" x14ac:dyDescent="0.2">
      <c r="J544"/>
      <c r="K544"/>
      <c r="L544"/>
      <c r="M544"/>
      <c r="N544"/>
      <c r="O544" s="2"/>
      <c r="R544"/>
      <c r="S544"/>
      <c r="T544"/>
      <c r="V544"/>
    </row>
    <row r="545" spans="10:22" s="1" customFormat="1" x14ac:dyDescent="0.2">
      <c r="J545"/>
      <c r="K545"/>
      <c r="L545"/>
      <c r="M545"/>
      <c r="N545"/>
      <c r="O545" s="2"/>
      <c r="R545"/>
      <c r="S545"/>
      <c r="T545"/>
      <c r="V545"/>
    </row>
    <row r="546" spans="10:22" s="1" customFormat="1" x14ac:dyDescent="0.2">
      <c r="J546"/>
      <c r="K546"/>
      <c r="L546"/>
      <c r="M546"/>
      <c r="N546"/>
      <c r="O546" s="2"/>
      <c r="R546"/>
      <c r="S546"/>
      <c r="T546"/>
      <c r="V546"/>
    </row>
    <row r="547" spans="10:22" s="1" customFormat="1" x14ac:dyDescent="0.2">
      <c r="J547"/>
      <c r="K547"/>
      <c r="L547"/>
      <c r="M547"/>
      <c r="N547"/>
      <c r="O547" s="2"/>
      <c r="R547"/>
      <c r="S547"/>
      <c r="T547"/>
      <c r="V547"/>
    </row>
    <row r="548" spans="10:22" s="1" customFormat="1" x14ac:dyDescent="0.2">
      <c r="J548"/>
      <c r="K548"/>
      <c r="L548"/>
      <c r="M548"/>
      <c r="N548"/>
      <c r="O548" s="2"/>
      <c r="R548"/>
      <c r="S548"/>
      <c r="T548"/>
      <c r="V548"/>
    </row>
    <row r="549" spans="10:22" s="1" customFormat="1" x14ac:dyDescent="0.2">
      <c r="J549"/>
      <c r="K549"/>
      <c r="L549"/>
      <c r="M549"/>
      <c r="N549"/>
      <c r="O549" s="2"/>
      <c r="R549"/>
      <c r="S549"/>
      <c r="T549"/>
      <c r="V549"/>
    </row>
    <row r="550" spans="10:22" s="1" customFormat="1" x14ac:dyDescent="0.2">
      <c r="J550"/>
      <c r="K550"/>
      <c r="L550"/>
      <c r="M550"/>
      <c r="N550"/>
      <c r="O550" s="2"/>
      <c r="R550"/>
      <c r="S550"/>
      <c r="T550"/>
      <c r="V550"/>
    </row>
    <row r="551" spans="10:22" s="1" customFormat="1" x14ac:dyDescent="0.2">
      <c r="J551"/>
      <c r="K551"/>
      <c r="L551"/>
      <c r="M551"/>
      <c r="N551"/>
      <c r="O551" s="2"/>
      <c r="R551"/>
      <c r="S551"/>
      <c r="T551"/>
      <c r="V551"/>
    </row>
    <row r="552" spans="10:22" s="1" customFormat="1" x14ac:dyDescent="0.2">
      <c r="J552"/>
      <c r="K552"/>
      <c r="L552"/>
      <c r="M552"/>
      <c r="N552"/>
      <c r="O552" s="2"/>
      <c r="R552"/>
      <c r="S552"/>
      <c r="T552"/>
      <c r="V552"/>
    </row>
    <row r="553" spans="10:22" s="1" customFormat="1" x14ac:dyDescent="0.2">
      <c r="J553"/>
      <c r="K553"/>
      <c r="L553"/>
      <c r="M553"/>
      <c r="N553"/>
      <c r="O553" s="2"/>
      <c r="R553"/>
      <c r="S553"/>
      <c r="T553"/>
      <c r="V553"/>
    </row>
    <row r="554" spans="10:22" s="1" customFormat="1" x14ac:dyDescent="0.2">
      <c r="J554"/>
      <c r="K554"/>
      <c r="L554"/>
      <c r="M554"/>
      <c r="N554"/>
      <c r="O554" s="2"/>
      <c r="R554"/>
      <c r="S554"/>
      <c r="T554"/>
      <c r="V554"/>
    </row>
    <row r="555" spans="10:22" s="1" customFormat="1" x14ac:dyDescent="0.2">
      <c r="J555"/>
      <c r="K555"/>
      <c r="L555"/>
      <c r="M555"/>
      <c r="N555"/>
      <c r="O555" s="2"/>
      <c r="R555"/>
      <c r="S555"/>
      <c r="T555"/>
      <c r="V555"/>
    </row>
    <row r="556" spans="10:22" s="1" customFormat="1" x14ac:dyDescent="0.2">
      <c r="J556"/>
      <c r="K556"/>
      <c r="L556"/>
      <c r="M556"/>
      <c r="N556"/>
      <c r="O556" s="2"/>
      <c r="R556"/>
      <c r="S556"/>
      <c r="T556"/>
      <c r="V556"/>
    </row>
    <row r="557" spans="10:22" s="1" customFormat="1" x14ac:dyDescent="0.2">
      <c r="J557"/>
      <c r="K557"/>
      <c r="L557"/>
      <c r="M557"/>
      <c r="N557"/>
      <c r="O557" s="2"/>
      <c r="R557"/>
      <c r="S557"/>
      <c r="T557"/>
      <c r="V557"/>
    </row>
    <row r="558" spans="10:22" s="1" customFormat="1" x14ac:dyDescent="0.2">
      <c r="J558"/>
      <c r="K558"/>
      <c r="L558"/>
      <c r="M558"/>
      <c r="N558"/>
      <c r="O558" s="2"/>
      <c r="R558"/>
      <c r="S558"/>
      <c r="T558"/>
      <c r="V558"/>
    </row>
    <row r="559" spans="10:22" s="1" customFormat="1" x14ac:dyDescent="0.2">
      <c r="J559"/>
      <c r="K559"/>
      <c r="L559"/>
      <c r="M559"/>
      <c r="N559"/>
      <c r="O559" s="2"/>
      <c r="R559"/>
      <c r="S559"/>
      <c r="T559"/>
      <c r="V559"/>
    </row>
    <row r="560" spans="10:22" s="1" customFormat="1" x14ac:dyDescent="0.2">
      <c r="J560"/>
      <c r="K560"/>
      <c r="L560"/>
      <c r="M560"/>
      <c r="N560"/>
      <c r="O560" s="2"/>
      <c r="R560"/>
      <c r="S560"/>
      <c r="T560"/>
      <c r="V560"/>
    </row>
    <row r="561" spans="10:22" s="1" customFormat="1" x14ac:dyDescent="0.2">
      <c r="J561"/>
      <c r="K561"/>
      <c r="L561"/>
      <c r="M561"/>
      <c r="N561"/>
      <c r="O561" s="2"/>
      <c r="R561"/>
      <c r="S561"/>
      <c r="T561"/>
      <c r="V561"/>
    </row>
    <row r="562" spans="10:22" s="1" customFormat="1" x14ac:dyDescent="0.2">
      <c r="J562"/>
      <c r="K562"/>
      <c r="L562"/>
      <c r="M562"/>
      <c r="N562"/>
      <c r="O562" s="2"/>
      <c r="R562"/>
      <c r="S562"/>
      <c r="T562"/>
      <c r="V562"/>
    </row>
    <row r="563" spans="10:22" s="1" customFormat="1" x14ac:dyDescent="0.2">
      <c r="J563"/>
      <c r="K563"/>
      <c r="L563"/>
      <c r="M563"/>
      <c r="N563"/>
      <c r="O563" s="2"/>
      <c r="R563"/>
      <c r="S563"/>
      <c r="T563"/>
      <c r="V563"/>
    </row>
    <row r="564" spans="10:22" s="1" customFormat="1" x14ac:dyDescent="0.2">
      <c r="J564"/>
      <c r="K564"/>
      <c r="L564"/>
      <c r="M564"/>
      <c r="N564"/>
      <c r="O564" s="2"/>
      <c r="R564"/>
      <c r="S564"/>
      <c r="T564"/>
      <c r="V564"/>
    </row>
    <row r="565" spans="10:22" s="1" customFormat="1" x14ac:dyDescent="0.2">
      <c r="J565"/>
      <c r="K565"/>
      <c r="L565"/>
      <c r="M565"/>
      <c r="N565"/>
      <c r="O565" s="2"/>
      <c r="R565"/>
      <c r="S565"/>
      <c r="T565"/>
      <c r="V565"/>
    </row>
    <row r="566" spans="10:22" s="1" customFormat="1" x14ac:dyDescent="0.2">
      <c r="J566"/>
      <c r="K566"/>
      <c r="L566"/>
      <c r="M566"/>
      <c r="N566"/>
      <c r="O566" s="2"/>
      <c r="R566"/>
      <c r="S566"/>
      <c r="T566"/>
      <c r="V566"/>
    </row>
    <row r="567" spans="10:22" s="1" customFormat="1" x14ac:dyDescent="0.2">
      <c r="J567"/>
      <c r="K567"/>
      <c r="L567"/>
      <c r="M567"/>
      <c r="N567"/>
      <c r="O567" s="2"/>
      <c r="R567"/>
      <c r="S567"/>
      <c r="T567"/>
      <c r="V567"/>
    </row>
    <row r="568" spans="10:22" s="1" customFormat="1" x14ac:dyDescent="0.2">
      <c r="J568"/>
      <c r="K568"/>
      <c r="L568"/>
      <c r="M568"/>
      <c r="N568"/>
      <c r="O568" s="2"/>
      <c r="R568"/>
      <c r="S568"/>
      <c r="T568"/>
      <c r="V568"/>
    </row>
    <row r="569" spans="10:22" s="1" customFormat="1" x14ac:dyDescent="0.2">
      <c r="J569"/>
      <c r="K569"/>
      <c r="L569"/>
      <c r="M569"/>
      <c r="N569"/>
      <c r="O569" s="2"/>
      <c r="R569"/>
      <c r="S569"/>
      <c r="T569"/>
      <c r="V569"/>
    </row>
    <row r="570" spans="10:22" s="1" customFormat="1" x14ac:dyDescent="0.2">
      <c r="J570"/>
      <c r="K570"/>
      <c r="L570"/>
      <c r="M570"/>
      <c r="N570"/>
      <c r="O570" s="2"/>
      <c r="R570"/>
      <c r="S570"/>
      <c r="T570"/>
      <c r="V570"/>
    </row>
    <row r="571" spans="10:22" s="1" customFormat="1" x14ac:dyDescent="0.2">
      <c r="J571"/>
      <c r="K571"/>
      <c r="L571"/>
      <c r="M571"/>
      <c r="N571"/>
      <c r="O571" s="2"/>
      <c r="R571"/>
      <c r="S571"/>
      <c r="T571"/>
      <c r="V571"/>
    </row>
    <row r="572" spans="10:22" s="1" customFormat="1" x14ac:dyDescent="0.2">
      <c r="J572"/>
      <c r="K572"/>
      <c r="L572"/>
      <c r="M572"/>
      <c r="N572"/>
      <c r="O572" s="2"/>
      <c r="R572"/>
      <c r="S572"/>
      <c r="T572"/>
      <c r="V572"/>
    </row>
    <row r="573" spans="10:22" s="1" customFormat="1" x14ac:dyDescent="0.2">
      <c r="J573"/>
      <c r="K573"/>
      <c r="L573"/>
      <c r="M573"/>
      <c r="N573"/>
      <c r="O573" s="2"/>
      <c r="R573"/>
      <c r="S573"/>
      <c r="T573"/>
      <c r="V573"/>
    </row>
    <row r="574" spans="10:22" s="1" customFormat="1" x14ac:dyDescent="0.2">
      <c r="J574"/>
      <c r="K574"/>
      <c r="L574"/>
      <c r="M574"/>
      <c r="N574"/>
      <c r="O574" s="2"/>
      <c r="R574"/>
      <c r="S574"/>
      <c r="T574"/>
      <c r="V574"/>
    </row>
    <row r="575" spans="10:22" s="1" customFormat="1" x14ac:dyDescent="0.2">
      <c r="J575"/>
      <c r="K575"/>
      <c r="L575"/>
      <c r="M575"/>
      <c r="N575"/>
      <c r="O575" s="2"/>
      <c r="R575"/>
      <c r="S575"/>
      <c r="T575"/>
      <c r="V575"/>
    </row>
    <row r="576" spans="10:22" s="1" customFormat="1" x14ac:dyDescent="0.2">
      <c r="J576"/>
      <c r="K576"/>
      <c r="L576"/>
      <c r="M576"/>
      <c r="N576"/>
      <c r="O576" s="2"/>
      <c r="R576"/>
      <c r="S576"/>
      <c r="T576"/>
      <c r="V576"/>
    </row>
    <row r="577" spans="10:22" s="1" customFormat="1" x14ac:dyDescent="0.2">
      <c r="J577"/>
      <c r="K577"/>
      <c r="L577"/>
      <c r="M577"/>
      <c r="N577"/>
      <c r="O577" s="2"/>
      <c r="R577"/>
      <c r="S577"/>
      <c r="T577"/>
      <c r="V577"/>
    </row>
    <row r="578" spans="10:22" s="1" customFormat="1" x14ac:dyDescent="0.2">
      <c r="J578"/>
      <c r="K578"/>
      <c r="L578"/>
      <c r="M578"/>
      <c r="N578"/>
      <c r="O578" s="2"/>
      <c r="R578"/>
      <c r="S578"/>
      <c r="T578"/>
      <c r="V578"/>
    </row>
    <row r="579" spans="10:22" s="1" customFormat="1" x14ac:dyDescent="0.2">
      <c r="J579"/>
      <c r="K579"/>
      <c r="L579"/>
      <c r="M579"/>
      <c r="N579"/>
      <c r="O579" s="2"/>
      <c r="R579"/>
      <c r="S579"/>
      <c r="T579"/>
      <c r="V579"/>
    </row>
    <row r="580" spans="10:22" s="1" customFormat="1" x14ac:dyDescent="0.2">
      <c r="J580"/>
      <c r="K580"/>
      <c r="L580"/>
      <c r="M580"/>
      <c r="N580"/>
      <c r="O580" s="2"/>
      <c r="R580"/>
      <c r="S580"/>
      <c r="T580"/>
      <c r="V580"/>
    </row>
    <row r="581" spans="10:22" s="1" customFormat="1" x14ac:dyDescent="0.2">
      <c r="J581"/>
      <c r="K581"/>
      <c r="L581"/>
      <c r="M581"/>
      <c r="N581"/>
      <c r="O581" s="2"/>
      <c r="R581"/>
      <c r="S581"/>
      <c r="T581"/>
      <c r="V581"/>
    </row>
    <row r="582" spans="10:22" s="1" customFormat="1" x14ac:dyDescent="0.2">
      <c r="J582"/>
      <c r="K582"/>
      <c r="L582"/>
      <c r="M582"/>
      <c r="N582"/>
      <c r="O582" s="2"/>
      <c r="R582"/>
      <c r="S582"/>
      <c r="T582"/>
      <c r="V582"/>
    </row>
    <row r="583" spans="10:22" s="1" customFormat="1" x14ac:dyDescent="0.2">
      <c r="J583"/>
      <c r="K583"/>
      <c r="L583"/>
      <c r="M583"/>
      <c r="N583"/>
      <c r="O583" s="2"/>
      <c r="R583"/>
      <c r="S583"/>
      <c r="T583"/>
      <c r="V583"/>
    </row>
    <row r="584" spans="10:22" s="1" customFormat="1" x14ac:dyDescent="0.2">
      <c r="J584"/>
      <c r="K584"/>
      <c r="L584"/>
      <c r="M584"/>
      <c r="N584"/>
      <c r="O584" s="2"/>
      <c r="R584"/>
      <c r="S584"/>
      <c r="T584"/>
      <c r="V584"/>
    </row>
    <row r="585" spans="10:22" s="1" customFormat="1" x14ac:dyDescent="0.2">
      <c r="J585"/>
      <c r="K585"/>
      <c r="L585"/>
      <c r="M585"/>
      <c r="N585"/>
      <c r="O585" s="2"/>
      <c r="R585"/>
      <c r="S585"/>
      <c r="T585"/>
      <c r="V585"/>
    </row>
    <row r="586" spans="10:22" s="1" customFormat="1" x14ac:dyDescent="0.2">
      <c r="J586"/>
      <c r="K586"/>
      <c r="L586"/>
      <c r="M586"/>
      <c r="N586"/>
      <c r="O586" s="2"/>
      <c r="R586"/>
      <c r="S586"/>
      <c r="T586"/>
      <c r="V586"/>
    </row>
    <row r="587" spans="10:22" s="1" customFormat="1" x14ac:dyDescent="0.2">
      <c r="J587"/>
      <c r="K587"/>
      <c r="L587"/>
      <c r="M587"/>
      <c r="N587"/>
      <c r="O587" s="2"/>
      <c r="R587"/>
      <c r="S587"/>
      <c r="T587"/>
      <c r="V587"/>
    </row>
    <row r="588" spans="10:22" s="1" customFormat="1" x14ac:dyDescent="0.2">
      <c r="J588"/>
      <c r="K588"/>
      <c r="L588"/>
      <c r="M588"/>
      <c r="N588"/>
      <c r="O588" s="2"/>
      <c r="R588"/>
      <c r="S588"/>
      <c r="T588"/>
      <c r="V588"/>
    </row>
    <row r="589" spans="10:22" s="1" customFormat="1" x14ac:dyDescent="0.2">
      <c r="J589"/>
      <c r="K589"/>
      <c r="L589"/>
      <c r="M589"/>
      <c r="N589"/>
      <c r="O589" s="2"/>
      <c r="R589"/>
      <c r="S589"/>
      <c r="T589"/>
      <c r="V589"/>
    </row>
    <row r="590" spans="10:22" s="1" customFormat="1" x14ac:dyDescent="0.2">
      <c r="J590"/>
      <c r="K590"/>
      <c r="L590"/>
      <c r="M590"/>
      <c r="N590"/>
      <c r="O590" s="2"/>
      <c r="R590"/>
      <c r="S590"/>
      <c r="T590"/>
      <c r="V590"/>
    </row>
    <row r="591" spans="10:22" s="1" customFormat="1" x14ac:dyDescent="0.2">
      <c r="J591"/>
      <c r="K591"/>
      <c r="L591"/>
      <c r="M591"/>
      <c r="N591"/>
      <c r="O591" s="2"/>
      <c r="R591"/>
      <c r="S591"/>
      <c r="T591"/>
      <c r="V591"/>
    </row>
    <row r="592" spans="10:22" s="1" customFormat="1" x14ac:dyDescent="0.2">
      <c r="J592"/>
      <c r="K592"/>
      <c r="L592"/>
      <c r="M592"/>
      <c r="N592"/>
      <c r="O592" s="2"/>
      <c r="R592"/>
      <c r="S592"/>
      <c r="T592"/>
      <c r="V592"/>
    </row>
    <row r="593" spans="10:22" s="1" customFormat="1" x14ac:dyDescent="0.2">
      <c r="J593"/>
      <c r="K593"/>
      <c r="L593"/>
      <c r="M593"/>
      <c r="N593"/>
      <c r="O593" s="2"/>
      <c r="R593"/>
      <c r="S593"/>
      <c r="T593"/>
      <c r="V593"/>
    </row>
    <row r="594" spans="10:22" s="1" customFormat="1" x14ac:dyDescent="0.2">
      <c r="J594"/>
      <c r="K594"/>
      <c r="L594"/>
      <c r="M594"/>
      <c r="N594"/>
      <c r="O594" s="2"/>
      <c r="R594"/>
      <c r="S594"/>
      <c r="T594"/>
      <c r="V594"/>
    </row>
    <row r="595" spans="10:22" s="1" customFormat="1" x14ac:dyDescent="0.2">
      <c r="J595"/>
      <c r="K595"/>
      <c r="L595"/>
      <c r="M595"/>
      <c r="N595"/>
      <c r="O595" s="2"/>
      <c r="R595"/>
      <c r="S595"/>
      <c r="T595"/>
      <c r="V595"/>
    </row>
    <row r="596" spans="10:22" s="1" customFormat="1" x14ac:dyDescent="0.2">
      <c r="J596"/>
      <c r="K596"/>
      <c r="L596"/>
      <c r="M596"/>
      <c r="N596"/>
      <c r="O596" s="2"/>
      <c r="R596"/>
      <c r="S596"/>
      <c r="T596"/>
      <c r="V596"/>
    </row>
    <row r="597" spans="10:22" s="1" customFormat="1" x14ac:dyDescent="0.2">
      <c r="J597"/>
      <c r="K597"/>
      <c r="L597"/>
      <c r="M597"/>
      <c r="N597"/>
      <c r="O597" s="2"/>
      <c r="R597"/>
      <c r="S597"/>
      <c r="T597"/>
      <c r="V597"/>
    </row>
    <row r="598" spans="10:22" s="1" customFormat="1" x14ac:dyDescent="0.2">
      <c r="J598"/>
      <c r="K598"/>
      <c r="L598"/>
      <c r="M598"/>
      <c r="N598"/>
      <c r="O598" s="2"/>
      <c r="R598"/>
      <c r="S598"/>
      <c r="T598"/>
      <c r="V598"/>
    </row>
    <row r="599" spans="10:22" s="1" customFormat="1" x14ac:dyDescent="0.2">
      <c r="J599"/>
      <c r="K599"/>
      <c r="L599"/>
      <c r="M599"/>
      <c r="N599"/>
      <c r="O599" s="2"/>
      <c r="R599"/>
      <c r="S599"/>
      <c r="T599"/>
      <c r="V599"/>
    </row>
    <row r="600" spans="10:22" s="1" customFormat="1" x14ac:dyDescent="0.2">
      <c r="J600"/>
      <c r="K600"/>
      <c r="L600"/>
      <c r="M600"/>
      <c r="N600"/>
      <c r="O600" s="2"/>
      <c r="R600"/>
      <c r="S600"/>
      <c r="T600"/>
      <c r="V600"/>
    </row>
    <row r="601" spans="10:22" s="1" customFormat="1" x14ac:dyDescent="0.2">
      <c r="J601"/>
      <c r="K601"/>
      <c r="L601"/>
      <c r="M601"/>
      <c r="N601"/>
      <c r="O601" s="2"/>
      <c r="R601"/>
      <c r="S601"/>
      <c r="T601"/>
      <c r="V601"/>
    </row>
    <row r="602" spans="10:22" s="1" customFormat="1" x14ac:dyDescent="0.2">
      <c r="J602"/>
      <c r="K602"/>
      <c r="L602"/>
      <c r="M602"/>
      <c r="N602"/>
      <c r="O602" s="2"/>
      <c r="R602"/>
      <c r="S602"/>
      <c r="T602"/>
      <c r="V602"/>
    </row>
    <row r="603" spans="10:22" s="1" customFormat="1" x14ac:dyDescent="0.2">
      <c r="J603"/>
      <c r="K603"/>
      <c r="L603"/>
      <c r="M603"/>
      <c r="N603"/>
      <c r="O603" s="2"/>
      <c r="R603"/>
      <c r="S603"/>
      <c r="T603"/>
      <c r="V603"/>
    </row>
    <row r="604" spans="10:22" s="1" customFormat="1" x14ac:dyDescent="0.2">
      <c r="J604"/>
      <c r="K604"/>
      <c r="L604"/>
      <c r="M604"/>
      <c r="N604"/>
      <c r="O604" s="2"/>
      <c r="R604"/>
      <c r="S604"/>
      <c r="T604"/>
      <c r="V604"/>
    </row>
    <row r="605" spans="10:22" s="1" customFormat="1" x14ac:dyDescent="0.2">
      <c r="J605"/>
      <c r="K605"/>
      <c r="L605"/>
      <c r="M605"/>
      <c r="N605"/>
      <c r="O605" s="2"/>
      <c r="R605"/>
      <c r="S605"/>
      <c r="T605"/>
      <c r="V605"/>
    </row>
    <row r="606" spans="10:22" s="1" customFormat="1" x14ac:dyDescent="0.2">
      <c r="J606"/>
      <c r="K606"/>
      <c r="L606"/>
      <c r="M606"/>
      <c r="N606"/>
      <c r="O606" s="2"/>
      <c r="R606"/>
      <c r="S606"/>
      <c r="T606"/>
      <c r="V606"/>
    </row>
    <row r="607" spans="10:22" s="1" customFormat="1" x14ac:dyDescent="0.2">
      <c r="J607"/>
      <c r="K607"/>
      <c r="L607"/>
      <c r="M607"/>
      <c r="N607"/>
      <c r="O607" s="2"/>
      <c r="R607"/>
      <c r="S607"/>
      <c r="T607"/>
      <c r="V607"/>
    </row>
    <row r="608" spans="10:22" s="1" customFormat="1" x14ac:dyDescent="0.2">
      <c r="J608"/>
      <c r="K608"/>
      <c r="L608"/>
      <c r="M608"/>
      <c r="N608"/>
      <c r="O608" s="2"/>
      <c r="R608"/>
      <c r="S608"/>
      <c r="T608"/>
      <c r="V608"/>
    </row>
    <row r="609" spans="10:22" s="1" customFormat="1" x14ac:dyDescent="0.2">
      <c r="J609"/>
      <c r="K609"/>
      <c r="L609"/>
      <c r="M609"/>
      <c r="N609"/>
      <c r="O609" s="2"/>
      <c r="R609"/>
      <c r="S609"/>
      <c r="T609"/>
      <c r="V609"/>
    </row>
    <row r="610" spans="10:22" s="1" customFormat="1" x14ac:dyDescent="0.2">
      <c r="J610"/>
      <c r="K610"/>
      <c r="L610"/>
      <c r="M610"/>
      <c r="N610"/>
      <c r="O610" s="2"/>
      <c r="R610"/>
      <c r="S610"/>
      <c r="T610"/>
      <c r="V610"/>
    </row>
    <row r="611" spans="10:22" s="1" customFormat="1" x14ac:dyDescent="0.2">
      <c r="J611"/>
      <c r="K611"/>
      <c r="L611"/>
      <c r="M611"/>
      <c r="N611"/>
      <c r="O611" s="2"/>
      <c r="R611"/>
      <c r="S611"/>
      <c r="T611"/>
      <c r="V611"/>
    </row>
    <row r="612" spans="10:22" s="1" customFormat="1" x14ac:dyDescent="0.2">
      <c r="J612"/>
      <c r="K612"/>
      <c r="L612"/>
      <c r="M612"/>
      <c r="N612"/>
      <c r="O612" s="2"/>
      <c r="R612"/>
      <c r="S612"/>
      <c r="T612"/>
      <c r="V612"/>
    </row>
    <row r="613" spans="10:22" s="1" customFormat="1" x14ac:dyDescent="0.2">
      <c r="J613"/>
      <c r="K613"/>
      <c r="L613"/>
      <c r="M613"/>
      <c r="N613"/>
      <c r="O613" s="2"/>
      <c r="R613"/>
      <c r="S613"/>
      <c r="T613"/>
      <c r="V613"/>
    </row>
    <row r="614" spans="10:22" s="1" customFormat="1" x14ac:dyDescent="0.2">
      <c r="J614"/>
      <c r="K614"/>
      <c r="L614"/>
      <c r="M614"/>
      <c r="N614"/>
      <c r="O614" s="2"/>
      <c r="R614"/>
      <c r="S614"/>
      <c r="T614"/>
      <c r="V614"/>
    </row>
    <row r="615" spans="10:22" s="1" customFormat="1" x14ac:dyDescent="0.2">
      <c r="J615"/>
      <c r="K615"/>
      <c r="L615"/>
      <c r="M615"/>
      <c r="N615"/>
      <c r="O615" s="2"/>
      <c r="R615"/>
      <c r="S615"/>
      <c r="T615"/>
      <c r="V615"/>
    </row>
    <row r="616" spans="10:22" s="1" customFormat="1" x14ac:dyDescent="0.2">
      <c r="J616"/>
      <c r="K616"/>
      <c r="L616"/>
      <c r="M616"/>
      <c r="N616"/>
      <c r="O616" s="2"/>
      <c r="R616"/>
      <c r="S616"/>
      <c r="T616"/>
      <c r="V616"/>
    </row>
    <row r="617" spans="10:22" s="1" customFormat="1" x14ac:dyDescent="0.2">
      <c r="J617"/>
      <c r="K617"/>
      <c r="L617"/>
      <c r="M617"/>
      <c r="N617"/>
      <c r="O617" s="2"/>
      <c r="R617"/>
      <c r="S617"/>
      <c r="T617"/>
      <c r="V617"/>
    </row>
    <row r="618" spans="10:22" s="1" customFormat="1" x14ac:dyDescent="0.2">
      <c r="J618"/>
      <c r="K618"/>
      <c r="L618"/>
      <c r="M618"/>
      <c r="N618"/>
      <c r="O618" s="2"/>
      <c r="R618"/>
      <c r="S618"/>
      <c r="T618"/>
      <c r="V618"/>
    </row>
    <row r="619" spans="10:22" s="1" customFormat="1" x14ac:dyDescent="0.2">
      <c r="J619"/>
      <c r="K619"/>
      <c r="L619"/>
      <c r="M619"/>
      <c r="N619"/>
      <c r="O619" s="2"/>
      <c r="R619"/>
      <c r="S619"/>
      <c r="T619"/>
      <c r="V619"/>
    </row>
    <row r="620" spans="10:22" s="1" customFormat="1" x14ac:dyDescent="0.2">
      <c r="J620"/>
      <c r="K620"/>
      <c r="L620"/>
      <c r="M620"/>
      <c r="N620"/>
      <c r="O620" s="2"/>
      <c r="R620"/>
      <c r="S620"/>
      <c r="T620"/>
      <c r="V620"/>
    </row>
    <row r="621" spans="10:22" s="1" customFormat="1" x14ac:dyDescent="0.2">
      <c r="J621"/>
      <c r="K621"/>
      <c r="L621"/>
      <c r="M621"/>
      <c r="N621"/>
      <c r="O621" s="2"/>
      <c r="R621"/>
      <c r="S621"/>
      <c r="T621"/>
      <c r="V621"/>
    </row>
    <row r="622" spans="10:22" s="1" customFormat="1" x14ac:dyDescent="0.2">
      <c r="J622"/>
      <c r="K622"/>
      <c r="L622"/>
      <c r="M622"/>
      <c r="N622"/>
      <c r="O622" s="2"/>
      <c r="R622"/>
      <c r="S622"/>
      <c r="T622"/>
      <c r="V622"/>
    </row>
    <row r="623" spans="10:22" s="1" customFormat="1" x14ac:dyDescent="0.2">
      <c r="J623"/>
      <c r="K623"/>
      <c r="L623"/>
      <c r="M623"/>
      <c r="N623"/>
      <c r="O623" s="2"/>
      <c r="R623"/>
      <c r="S623"/>
      <c r="T623"/>
      <c r="V623"/>
    </row>
    <row r="624" spans="10:22" s="1" customFormat="1" x14ac:dyDescent="0.2">
      <c r="J624"/>
      <c r="K624"/>
      <c r="L624"/>
      <c r="M624"/>
      <c r="N624"/>
      <c r="O624" s="2"/>
      <c r="R624"/>
      <c r="S624"/>
      <c r="T624"/>
      <c r="V624"/>
    </row>
    <row r="625" spans="10:22" s="1" customFormat="1" x14ac:dyDescent="0.2">
      <c r="J625"/>
      <c r="K625"/>
      <c r="L625"/>
      <c r="M625"/>
      <c r="N625"/>
      <c r="O625" s="2"/>
      <c r="R625"/>
      <c r="S625"/>
      <c r="T625"/>
      <c r="V625"/>
    </row>
    <row r="626" spans="10:22" s="1" customFormat="1" x14ac:dyDescent="0.2">
      <c r="J626"/>
      <c r="K626"/>
      <c r="L626"/>
      <c r="M626"/>
      <c r="N626"/>
      <c r="O626" s="2"/>
      <c r="R626"/>
      <c r="S626"/>
      <c r="T626"/>
      <c r="V626"/>
    </row>
    <row r="627" spans="10:22" s="1" customFormat="1" x14ac:dyDescent="0.2">
      <c r="J627"/>
      <c r="K627"/>
      <c r="L627"/>
      <c r="M627"/>
      <c r="N627"/>
      <c r="O627" s="2"/>
      <c r="R627"/>
      <c r="S627"/>
      <c r="T627"/>
      <c r="V627"/>
    </row>
    <row r="628" spans="10:22" s="1" customFormat="1" x14ac:dyDescent="0.2">
      <c r="J628"/>
      <c r="K628"/>
      <c r="L628"/>
      <c r="M628"/>
      <c r="N628"/>
      <c r="O628" s="2"/>
      <c r="R628"/>
      <c r="S628"/>
      <c r="T628"/>
      <c r="V628"/>
    </row>
    <row r="629" spans="10:22" s="1" customFormat="1" x14ac:dyDescent="0.2">
      <c r="J629"/>
      <c r="K629"/>
      <c r="L629"/>
      <c r="M629"/>
      <c r="N629"/>
      <c r="O629" s="2"/>
      <c r="R629"/>
      <c r="S629"/>
      <c r="T629"/>
      <c r="V629"/>
    </row>
    <row r="630" spans="10:22" s="1" customFormat="1" x14ac:dyDescent="0.2">
      <c r="J630"/>
      <c r="K630"/>
      <c r="L630"/>
      <c r="M630"/>
      <c r="N630"/>
      <c r="O630" s="2"/>
      <c r="R630"/>
      <c r="S630"/>
      <c r="T630"/>
      <c r="V630"/>
    </row>
    <row r="631" spans="10:22" s="1" customFormat="1" x14ac:dyDescent="0.2">
      <c r="J631"/>
      <c r="K631"/>
      <c r="L631"/>
      <c r="M631"/>
      <c r="N631"/>
      <c r="O631" s="2"/>
      <c r="R631"/>
      <c r="S631"/>
      <c r="T631"/>
      <c r="V631"/>
    </row>
    <row r="632" spans="10:22" s="1" customFormat="1" x14ac:dyDescent="0.2">
      <c r="J632"/>
      <c r="K632"/>
      <c r="L632"/>
      <c r="M632"/>
      <c r="N632"/>
      <c r="O632" s="2"/>
      <c r="R632"/>
      <c r="S632"/>
      <c r="T632"/>
      <c r="V632"/>
    </row>
    <row r="633" spans="10:22" s="1" customFormat="1" x14ac:dyDescent="0.2">
      <c r="J633"/>
      <c r="K633"/>
      <c r="L633"/>
      <c r="M633"/>
      <c r="N633"/>
      <c r="O633" s="2"/>
      <c r="R633"/>
      <c r="S633"/>
      <c r="T633"/>
      <c r="V633"/>
    </row>
    <row r="634" spans="10:22" s="1" customFormat="1" x14ac:dyDescent="0.2">
      <c r="J634"/>
      <c r="K634"/>
      <c r="L634"/>
      <c r="M634"/>
      <c r="N634"/>
      <c r="O634" s="2"/>
      <c r="R634"/>
      <c r="S634"/>
      <c r="T634"/>
      <c r="V634"/>
    </row>
    <row r="635" spans="10:22" s="1" customFormat="1" x14ac:dyDescent="0.2">
      <c r="J635"/>
      <c r="K635"/>
      <c r="L635"/>
      <c r="M635"/>
      <c r="N635"/>
      <c r="O635" s="2"/>
      <c r="R635"/>
      <c r="S635"/>
      <c r="T635"/>
      <c r="V635"/>
    </row>
    <row r="636" spans="10:22" s="1" customFormat="1" x14ac:dyDescent="0.2">
      <c r="J636"/>
      <c r="K636"/>
      <c r="L636"/>
      <c r="M636"/>
      <c r="N636"/>
      <c r="O636" s="2"/>
      <c r="R636"/>
      <c r="S636"/>
      <c r="T636"/>
      <c r="V636"/>
    </row>
    <row r="637" spans="10:22" s="1" customFormat="1" x14ac:dyDescent="0.2">
      <c r="J637"/>
      <c r="K637"/>
      <c r="L637"/>
      <c r="M637"/>
      <c r="N637"/>
      <c r="O637" s="2"/>
      <c r="R637"/>
      <c r="S637"/>
      <c r="T637"/>
      <c r="V637"/>
    </row>
    <row r="638" spans="10:22" s="1" customFormat="1" x14ac:dyDescent="0.2">
      <c r="J638"/>
      <c r="K638"/>
      <c r="L638"/>
      <c r="M638"/>
      <c r="N638"/>
      <c r="O638" s="2"/>
      <c r="R638"/>
      <c r="S638"/>
      <c r="T638"/>
      <c r="V638"/>
    </row>
    <row r="639" spans="10:22" s="1" customFormat="1" x14ac:dyDescent="0.2">
      <c r="J639"/>
      <c r="K639"/>
      <c r="L639"/>
      <c r="M639"/>
      <c r="N639"/>
      <c r="O639" s="2"/>
      <c r="R639"/>
      <c r="S639"/>
      <c r="T639"/>
      <c r="V639"/>
    </row>
    <row r="640" spans="10:22" s="1" customFormat="1" x14ac:dyDescent="0.2">
      <c r="J640"/>
      <c r="K640"/>
      <c r="L640"/>
      <c r="M640"/>
      <c r="N640"/>
      <c r="O640" s="2"/>
      <c r="R640"/>
      <c r="S640"/>
      <c r="T640"/>
      <c r="V640"/>
    </row>
    <row r="641" spans="10:22" s="1" customFormat="1" x14ac:dyDescent="0.2">
      <c r="J641"/>
      <c r="K641"/>
      <c r="L641"/>
      <c r="M641"/>
      <c r="N641"/>
      <c r="O641" s="2"/>
      <c r="R641"/>
      <c r="S641"/>
      <c r="T641"/>
      <c r="V641"/>
    </row>
    <row r="642" spans="10:22" s="1" customFormat="1" x14ac:dyDescent="0.2">
      <c r="J642"/>
      <c r="K642"/>
      <c r="L642"/>
      <c r="M642"/>
      <c r="N642"/>
      <c r="O642" s="2"/>
      <c r="R642"/>
      <c r="S642"/>
      <c r="T642"/>
      <c r="V642"/>
    </row>
    <row r="643" spans="10:22" s="1" customFormat="1" x14ac:dyDescent="0.2">
      <c r="J643"/>
      <c r="K643"/>
      <c r="L643"/>
      <c r="M643"/>
      <c r="N643"/>
      <c r="O643" s="2"/>
      <c r="R643"/>
      <c r="S643"/>
      <c r="T643"/>
      <c r="V643"/>
    </row>
    <row r="644" spans="10:22" s="1" customFormat="1" x14ac:dyDescent="0.2">
      <c r="J644"/>
      <c r="K644"/>
      <c r="L644"/>
      <c r="M644"/>
      <c r="N644"/>
      <c r="O644" s="2"/>
      <c r="R644"/>
      <c r="S644"/>
      <c r="T644"/>
      <c r="V644"/>
    </row>
    <row r="645" spans="10:22" s="1" customFormat="1" x14ac:dyDescent="0.2">
      <c r="J645"/>
      <c r="K645"/>
      <c r="L645"/>
      <c r="M645"/>
      <c r="N645"/>
      <c r="O645" s="2"/>
      <c r="R645"/>
      <c r="S645"/>
      <c r="T645"/>
      <c r="V645"/>
    </row>
    <row r="646" spans="10:22" s="1" customFormat="1" x14ac:dyDescent="0.2">
      <c r="J646"/>
      <c r="K646"/>
      <c r="L646"/>
      <c r="M646"/>
      <c r="N646"/>
      <c r="O646" s="2"/>
      <c r="R646"/>
      <c r="S646"/>
      <c r="T646"/>
      <c r="V646"/>
    </row>
    <row r="647" spans="10:22" s="1" customFormat="1" x14ac:dyDescent="0.2">
      <c r="J647"/>
      <c r="K647"/>
      <c r="L647"/>
      <c r="M647"/>
      <c r="N647"/>
      <c r="O647" s="2"/>
      <c r="R647"/>
      <c r="S647"/>
      <c r="T647"/>
      <c r="V647"/>
    </row>
    <row r="648" spans="10:22" s="1" customFormat="1" x14ac:dyDescent="0.2">
      <c r="J648"/>
      <c r="K648"/>
      <c r="L648"/>
      <c r="M648"/>
      <c r="N648"/>
      <c r="O648" s="2"/>
      <c r="R648"/>
      <c r="S648"/>
      <c r="T648"/>
      <c r="V648"/>
    </row>
    <row r="649" spans="10:22" s="1" customFormat="1" x14ac:dyDescent="0.2">
      <c r="J649"/>
      <c r="K649"/>
      <c r="L649"/>
      <c r="M649"/>
      <c r="N649"/>
      <c r="O649" s="2"/>
      <c r="R649"/>
      <c r="S649"/>
      <c r="T649"/>
      <c r="V649"/>
    </row>
    <row r="650" spans="10:22" s="1" customFormat="1" x14ac:dyDescent="0.2">
      <c r="J650"/>
      <c r="K650"/>
      <c r="L650"/>
      <c r="M650"/>
      <c r="N650"/>
      <c r="O650" s="2"/>
      <c r="R650"/>
      <c r="S650"/>
      <c r="T650"/>
      <c r="V650"/>
    </row>
    <row r="651" spans="10:22" s="1" customFormat="1" x14ac:dyDescent="0.2">
      <c r="J651"/>
      <c r="K651"/>
      <c r="L651"/>
      <c r="M651"/>
      <c r="N651"/>
      <c r="O651" s="2"/>
      <c r="R651"/>
      <c r="S651"/>
      <c r="T651"/>
      <c r="V651"/>
    </row>
    <row r="652" spans="10:22" s="1" customFormat="1" x14ac:dyDescent="0.2">
      <c r="J652"/>
      <c r="K652"/>
      <c r="L652"/>
      <c r="M652"/>
      <c r="N652"/>
      <c r="O652" s="2"/>
      <c r="R652"/>
      <c r="S652"/>
      <c r="T652"/>
      <c r="V652"/>
    </row>
    <row r="653" spans="10:22" s="1" customFormat="1" x14ac:dyDescent="0.2">
      <c r="J653"/>
      <c r="K653"/>
      <c r="L653"/>
      <c r="M653"/>
      <c r="N653"/>
      <c r="O653" s="2"/>
      <c r="R653"/>
      <c r="S653"/>
      <c r="T653"/>
      <c r="V653"/>
    </row>
    <row r="654" spans="10:22" s="1" customFormat="1" x14ac:dyDescent="0.2">
      <c r="J654"/>
      <c r="K654"/>
      <c r="L654"/>
      <c r="M654"/>
      <c r="N654"/>
      <c r="O654" s="2"/>
      <c r="R654"/>
      <c r="S654"/>
      <c r="T654"/>
      <c r="V654"/>
    </row>
    <row r="655" spans="10:22" s="1" customFormat="1" x14ac:dyDescent="0.2">
      <c r="J655"/>
      <c r="K655"/>
      <c r="L655"/>
      <c r="M655"/>
      <c r="N655"/>
      <c r="O655" s="2"/>
      <c r="R655"/>
      <c r="S655"/>
      <c r="T655"/>
      <c r="V655"/>
    </row>
    <row r="656" spans="10:22" s="1" customFormat="1" x14ac:dyDescent="0.2">
      <c r="J656"/>
      <c r="K656"/>
      <c r="L656"/>
      <c r="M656"/>
      <c r="N656"/>
      <c r="O656" s="2"/>
      <c r="R656"/>
      <c r="S656"/>
      <c r="T656"/>
      <c r="V656"/>
    </row>
    <row r="657" spans="10:22" s="1" customFormat="1" x14ac:dyDescent="0.2">
      <c r="J657"/>
      <c r="K657"/>
      <c r="L657"/>
      <c r="M657"/>
      <c r="N657"/>
      <c r="O657" s="2"/>
      <c r="R657"/>
      <c r="S657"/>
      <c r="T657"/>
      <c r="V657"/>
    </row>
    <row r="658" spans="10:22" s="1" customFormat="1" x14ac:dyDescent="0.2">
      <c r="J658"/>
      <c r="K658"/>
      <c r="L658"/>
      <c r="M658"/>
      <c r="N658"/>
      <c r="O658" s="2"/>
      <c r="R658"/>
      <c r="S658"/>
      <c r="T658"/>
      <c r="V658"/>
    </row>
    <row r="659" spans="10:22" s="1" customFormat="1" x14ac:dyDescent="0.2">
      <c r="J659"/>
      <c r="K659"/>
      <c r="L659"/>
      <c r="M659"/>
      <c r="N659"/>
      <c r="O659" s="2"/>
      <c r="R659"/>
      <c r="S659"/>
      <c r="T659"/>
      <c r="V659"/>
    </row>
    <row r="660" spans="10:22" s="1" customFormat="1" x14ac:dyDescent="0.2">
      <c r="J660"/>
      <c r="K660"/>
      <c r="L660"/>
      <c r="M660"/>
      <c r="N660"/>
      <c r="O660" s="2"/>
      <c r="R660"/>
      <c r="S660"/>
      <c r="T660"/>
      <c r="V660"/>
    </row>
    <row r="661" spans="10:22" s="1" customFormat="1" x14ac:dyDescent="0.2">
      <c r="J661"/>
      <c r="K661"/>
      <c r="L661"/>
      <c r="M661"/>
      <c r="N661"/>
      <c r="O661" s="2"/>
      <c r="R661"/>
      <c r="S661"/>
      <c r="T661"/>
      <c r="V661"/>
    </row>
    <row r="662" spans="10:22" s="1" customFormat="1" x14ac:dyDescent="0.2">
      <c r="J662"/>
      <c r="K662"/>
      <c r="L662"/>
      <c r="M662"/>
      <c r="N662"/>
      <c r="O662" s="2"/>
      <c r="R662"/>
      <c r="S662"/>
      <c r="T662"/>
      <c r="V662"/>
    </row>
    <row r="663" spans="10:22" s="1" customFormat="1" x14ac:dyDescent="0.2">
      <c r="J663"/>
      <c r="K663"/>
      <c r="L663"/>
      <c r="M663"/>
      <c r="N663"/>
      <c r="O663" s="2"/>
      <c r="R663"/>
      <c r="S663"/>
      <c r="T663"/>
      <c r="V663"/>
    </row>
    <row r="664" spans="10:22" s="1" customFormat="1" x14ac:dyDescent="0.2">
      <c r="J664"/>
      <c r="K664"/>
      <c r="L664"/>
      <c r="M664"/>
      <c r="N664"/>
      <c r="O664" s="2"/>
      <c r="R664"/>
      <c r="S664"/>
      <c r="T664"/>
      <c r="V664"/>
    </row>
    <row r="665" spans="10:22" s="1" customFormat="1" x14ac:dyDescent="0.2">
      <c r="J665"/>
      <c r="K665"/>
      <c r="L665"/>
      <c r="M665"/>
      <c r="N665"/>
      <c r="O665" s="2"/>
      <c r="R665"/>
      <c r="S665"/>
      <c r="T665"/>
      <c r="V665"/>
    </row>
    <row r="666" spans="10:22" s="1" customFormat="1" x14ac:dyDescent="0.2">
      <c r="J666"/>
      <c r="K666"/>
      <c r="L666"/>
      <c r="M666"/>
      <c r="N666"/>
      <c r="O666" s="2"/>
      <c r="R666"/>
      <c r="S666"/>
      <c r="T666"/>
      <c r="V666"/>
    </row>
    <row r="667" spans="10:22" s="1" customFormat="1" x14ac:dyDescent="0.2">
      <c r="J667"/>
      <c r="K667"/>
      <c r="L667"/>
      <c r="M667"/>
      <c r="N667"/>
      <c r="O667" s="2"/>
      <c r="R667"/>
      <c r="S667"/>
      <c r="T667"/>
      <c r="V667"/>
    </row>
    <row r="668" spans="10:22" s="1" customFormat="1" x14ac:dyDescent="0.2">
      <c r="J668"/>
      <c r="K668"/>
      <c r="L668"/>
      <c r="M668"/>
      <c r="N668"/>
      <c r="O668" s="2"/>
      <c r="R668"/>
      <c r="S668"/>
      <c r="T668"/>
      <c r="V668"/>
    </row>
    <row r="669" spans="10:22" s="1" customFormat="1" x14ac:dyDescent="0.2">
      <c r="J669"/>
      <c r="K669"/>
      <c r="L669"/>
      <c r="M669"/>
      <c r="N669"/>
      <c r="O669" s="2"/>
      <c r="R669"/>
      <c r="S669"/>
      <c r="T669"/>
      <c r="V669"/>
    </row>
    <row r="670" spans="10:22" s="1" customFormat="1" x14ac:dyDescent="0.2">
      <c r="J670"/>
      <c r="K670"/>
      <c r="L670"/>
      <c r="M670"/>
      <c r="N670"/>
      <c r="O670" s="2"/>
      <c r="R670"/>
      <c r="S670"/>
      <c r="T670"/>
      <c r="V670"/>
    </row>
    <row r="671" spans="10:22" s="1" customFormat="1" x14ac:dyDescent="0.2">
      <c r="J671"/>
      <c r="K671"/>
      <c r="L671"/>
      <c r="M671"/>
      <c r="N671"/>
      <c r="O671" s="2"/>
      <c r="R671"/>
      <c r="S671"/>
      <c r="T671"/>
      <c r="V671"/>
    </row>
    <row r="672" spans="10:22" s="1" customFormat="1" x14ac:dyDescent="0.2">
      <c r="J672"/>
      <c r="K672"/>
      <c r="L672"/>
      <c r="M672"/>
      <c r="N672"/>
      <c r="O672" s="2"/>
      <c r="R672"/>
      <c r="S672"/>
      <c r="T672"/>
      <c r="V672"/>
    </row>
    <row r="673" spans="10:22" s="1" customFormat="1" x14ac:dyDescent="0.2">
      <c r="J673"/>
      <c r="K673"/>
      <c r="L673"/>
      <c r="M673"/>
      <c r="N673"/>
      <c r="O673" s="2"/>
      <c r="R673"/>
      <c r="S673"/>
      <c r="T673"/>
      <c r="V673"/>
    </row>
    <row r="674" spans="10:22" s="1" customFormat="1" x14ac:dyDescent="0.2">
      <c r="J674"/>
      <c r="K674"/>
      <c r="L674"/>
      <c r="M674"/>
      <c r="N674"/>
      <c r="O674" s="2"/>
      <c r="R674"/>
      <c r="S674"/>
      <c r="T674"/>
      <c r="V674"/>
    </row>
    <row r="675" spans="10:22" s="1" customFormat="1" x14ac:dyDescent="0.2">
      <c r="J675"/>
      <c r="K675"/>
      <c r="L675"/>
      <c r="M675"/>
      <c r="N675"/>
      <c r="O675" s="2"/>
      <c r="R675"/>
      <c r="S675"/>
      <c r="T675"/>
      <c r="V675"/>
    </row>
    <row r="676" spans="10:22" s="1" customFormat="1" x14ac:dyDescent="0.2">
      <c r="J676"/>
      <c r="K676"/>
      <c r="L676"/>
      <c r="M676"/>
      <c r="N676"/>
      <c r="O676" s="2"/>
      <c r="R676"/>
      <c r="S676"/>
      <c r="T676"/>
      <c r="V676"/>
    </row>
    <row r="677" spans="10:22" s="1" customFormat="1" x14ac:dyDescent="0.2">
      <c r="J677"/>
      <c r="K677"/>
      <c r="L677"/>
      <c r="M677"/>
      <c r="N677"/>
      <c r="O677" s="2"/>
      <c r="R677"/>
      <c r="S677"/>
      <c r="T677"/>
      <c r="V677"/>
    </row>
    <row r="678" spans="10:22" s="1" customFormat="1" x14ac:dyDescent="0.2">
      <c r="J678"/>
      <c r="K678"/>
      <c r="L678"/>
      <c r="M678"/>
      <c r="N678"/>
      <c r="O678" s="2"/>
      <c r="R678"/>
      <c r="S678"/>
      <c r="T678"/>
      <c r="V678"/>
    </row>
    <row r="679" spans="10:22" s="1" customFormat="1" x14ac:dyDescent="0.2">
      <c r="J679"/>
      <c r="K679"/>
      <c r="L679"/>
      <c r="M679"/>
      <c r="N679"/>
      <c r="O679" s="2"/>
      <c r="R679"/>
      <c r="S679"/>
      <c r="T679"/>
      <c r="V679"/>
    </row>
    <row r="680" spans="10:22" s="1" customFormat="1" x14ac:dyDescent="0.2">
      <c r="J680"/>
      <c r="K680"/>
      <c r="L680"/>
      <c r="M680"/>
      <c r="N680"/>
      <c r="O680" s="2"/>
      <c r="R680"/>
      <c r="S680"/>
      <c r="T680"/>
      <c r="V680"/>
    </row>
    <row r="681" spans="10:22" s="1" customFormat="1" x14ac:dyDescent="0.2">
      <c r="J681"/>
      <c r="K681"/>
      <c r="L681"/>
      <c r="M681"/>
      <c r="N681"/>
      <c r="O681" s="2"/>
      <c r="R681"/>
      <c r="S681"/>
      <c r="T681"/>
      <c r="V681"/>
    </row>
    <row r="682" spans="10:22" s="1" customFormat="1" x14ac:dyDescent="0.2">
      <c r="J682"/>
      <c r="K682"/>
      <c r="L682"/>
      <c r="M682"/>
      <c r="N682"/>
      <c r="O682" s="2"/>
      <c r="R682"/>
      <c r="S682"/>
      <c r="T682"/>
      <c r="V682"/>
    </row>
    <row r="683" spans="10:22" s="1" customFormat="1" x14ac:dyDescent="0.2">
      <c r="J683"/>
      <c r="K683"/>
      <c r="L683"/>
      <c r="M683"/>
      <c r="N683"/>
      <c r="O683" s="2"/>
      <c r="R683"/>
      <c r="S683"/>
      <c r="T683"/>
      <c r="V683"/>
    </row>
    <row r="684" spans="10:22" s="1" customFormat="1" x14ac:dyDescent="0.2">
      <c r="J684"/>
      <c r="K684"/>
      <c r="L684"/>
      <c r="M684"/>
      <c r="N684"/>
      <c r="O684" s="2"/>
      <c r="R684"/>
      <c r="S684"/>
      <c r="T684"/>
      <c r="V684"/>
    </row>
    <row r="685" spans="10:22" s="1" customFormat="1" x14ac:dyDescent="0.2">
      <c r="J685"/>
      <c r="K685"/>
      <c r="L685"/>
      <c r="M685"/>
      <c r="N685"/>
      <c r="O685" s="2"/>
      <c r="R685"/>
      <c r="S685"/>
      <c r="T685"/>
      <c r="V685"/>
    </row>
    <row r="686" spans="10:22" s="1" customFormat="1" x14ac:dyDescent="0.2">
      <c r="J686"/>
      <c r="K686"/>
      <c r="L686"/>
      <c r="M686"/>
      <c r="N686"/>
      <c r="O686" s="2"/>
      <c r="R686"/>
      <c r="S686"/>
      <c r="T686"/>
      <c r="V686"/>
    </row>
    <row r="687" spans="10:22" s="1" customFormat="1" x14ac:dyDescent="0.2">
      <c r="J687"/>
      <c r="K687"/>
      <c r="L687"/>
      <c r="M687"/>
      <c r="N687"/>
      <c r="O687" s="2"/>
      <c r="R687"/>
      <c r="S687"/>
      <c r="T687"/>
      <c r="V687"/>
    </row>
    <row r="688" spans="10:22" s="1" customFormat="1" x14ac:dyDescent="0.2">
      <c r="J688"/>
      <c r="K688"/>
      <c r="L688"/>
      <c r="M688"/>
      <c r="N688"/>
      <c r="O688" s="2"/>
      <c r="R688"/>
      <c r="S688"/>
      <c r="T688"/>
      <c r="V688"/>
    </row>
    <row r="689" spans="10:22" s="1" customFormat="1" x14ac:dyDescent="0.2">
      <c r="J689"/>
      <c r="K689"/>
      <c r="L689"/>
      <c r="M689"/>
      <c r="N689"/>
      <c r="O689" s="2"/>
      <c r="R689"/>
      <c r="S689"/>
      <c r="T689"/>
      <c r="V689"/>
    </row>
    <row r="690" spans="10:22" s="1" customFormat="1" x14ac:dyDescent="0.2">
      <c r="J690"/>
      <c r="K690"/>
      <c r="L690"/>
      <c r="M690"/>
      <c r="N690"/>
      <c r="O690" s="2"/>
      <c r="R690"/>
      <c r="S690"/>
      <c r="T690"/>
      <c r="V690"/>
    </row>
    <row r="691" spans="10:22" s="1" customFormat="1" x14ac:dyDescent="0.2">
      <c r="J691"/>
      <c r="K691"/>
      <c r="L691"/>
      <c r="M691"/>
      <c r="N691"/>
      <c r="O691" s="2"/>
      <c r="R691"/>
      <c r="S691"/>
      <c r="T691"/>
      <c r="V691"/>
    </row>
    <row r="692" spans="10:22" s="1" customFormat="1" x14ac:dyDescent="0.2">
      <c r="J692"/>
      <c r="K692"/>
      <c r="L692"/>
      <c r="M692"/>
      <c r="N692"/>
      <c r="O692" s="2"/>
      <c r="R692"/>
      <c r="S692"/>
      <c r="T692"/>
      <c r="V692"/>
    </row>
    <row r="693" spans="10:22" s="1" customFormat="1" x14ac:dyDescent="0.2">
      <c r="J693"/>
      <c r="K693"/>
      <c r="L693"/>
      <c r="M693"/>
      <c r="N693"/>
      <c r="O693" s="2"/>
      <c r="R693"/>
      <c r="S693"/>
      <c r="T693"/>
      <c r="V693"/>
    </row>
    <row r="694" spans="10:22" s="1" customFormat="1" x14ac:dyDescent="0.2">
      <c r="J694"/>
      <c r="K694"/>
      <c r="L694"/>
      <c r="M694"/>
      <c r="N694"/>
      <c r="O694" s="2"/>
      <c r="R694"/>
      <c r="S694"/>
      <c r="T694"/>
      <c r="V694"/>
    </row>
    <row r="695" spans="10:22" s="1" customFormat="1" x14ac:dyDescent="0.2">
      <c r="J695"/>
      <c r="K695"/>
      <c r="L695"/>
      <c r="M695"/>
      <c r="N695"/>
      <c r="O695" s="2"/>
      <c r="R695"/>
      <c r="S695"/>
      <c r="T695"/>
      <c r="V695"/>
    </row>
    <row r="696" spans="10:22" s="1" customFormat="1" x14ac:dyDescent="0.2">
      <c r="J696"/>
      <c r="K696"/>
      <c r="L696"/>
      <c r="M696"/>
      <c r="N696"/>
      <c r="O696" s="2"/>
      <c r="R696"/>
      <c r="S696"/>
      <c r="T696"/>
      <c r="V696"/>
    </row>
    <row r="697" spans="10:22" s="1" customFormat="1" x14ac:dyDescent="0.2">
      <c r="J697"/>
      <c r="K697"/>
      <c r="L697"/>
      <c r="M697"/>
      <c r="N697"/>
      <c r="O697" s="2"/>
      <c r="R697"/>
      <c r="S697"/>
      <c r="T697"/>
      <c r="V697"/>
    </row>
    <row r="698" spans="10:22" s="1" customFormat="1" x14ac:dyDescent="0.2">
      <c r="J698"/>
      <c r="K698"/>
      <c r="L698"/>
      <c r="M698"/>
      <c r="N698"/>
      <c r="O698" s="2"/>
      <c r="R698"/>
      <c r="S698"/>
      <c r="T698"/>
      <c r="V698"/>
    </row>
    <row r="699" spans="10:22" s="1" customFormat="1" x14ac:dyDescent="0.2">
      <c r="J699"/>
      <c r="K699"/>
      <c r="L699"/>
      <c r="M699"/>
      <c r="N699"/>
      <c r="O699" s="2"/>
      <c r="R699"/>
      <c r="S699"/>
      <c r="T699"/>
      <c r="V699"/>
    </row>
    <row r="700" spans="10:22" s="1" customFormat="1" x14ac:dyDescent="0.2">
      <c r="J700"/>
      <c r="K700"/>
      <c r="L700"/>
      <c r="M700"/>
      <c r="N700"/>
      <c r="O700" s="2"/>
      <c r="R700"/>
      <c r="S700"/>
      <c r="T700"/>
      <c r="V700"/>
    </row>
    <row r="701" spans="10:22" s="1" customFormat="1" x14ac:dyDescent="0.2">
      <c r="J701"/>
      <c r="K701"/>
      <c r="L701"/>
      <c r="M701"/>
      <c r="N701"/>
      <c r="O701" s="2"/>
      <c r="R701"/>
      <c r="S701"/>
      <c r="T701"/>
      <c r="V701"/>
    </row>
    <row r="702" spans="10:22" s="1" customFormat="1" x14ac:dyDescent="0.2">
      <c r="J702"/>
      <c r="K702"/>
      <c r="L702"/>
      <c r="M702"/>
      <c r="N702"/>
      <c r="O702" s="2"/>
      <c r="R702"/>
      <c r="S702"/>
      <c r="T702"/>
      <c r="V702"/>
    </row>
    <row r="703" spans="10:22" s="1" customFormat="1" x14ac:dyDescent="0.2">
      <c r="J703"/>
      <c r="K703"/>
      <c r="L703"/>
      <c r="M703"/>
      <c r="N703"/>
      <c r="O703" s="2"/>
      <c r="R703"/>
      <c r="S703"/>
      <c r="T703"/>
      <c r="V703"/>
    </row>
    <row r="704" spans="10:22" s="1" customFormat="1" x14ac:dyDescent="0.2">
      <c r="J704"/>
      <c r="K704"/>
      <c r="L704"/>
      <c r="M704"/>
      <c r="N704"/>
      <c r="O704" s="2"/>
      <c r="R704"/>
      <c r="S704"/>
      <c r="T704"/>
      <c r="V704"/>
    </row>
    <row r="705" spans="10:22" s="1" customFormat="1" x14ac:dyDescent="0.2">
      <c r="J705"/>
      <c r="K705"/>
      <c r="L705"/>
      <c r="M705"/>
      <c r="N705"/>
      <c r="O705" s="2"/>
      <c r="R705"/>
      <c r="S705"/>
      <c r="T705"/>
      <c r="V705"/>
    </row>
    <row r="706" spans="10:22" s="1" customFormat="1" x14ac:dyDescent="0.2">
      <c r="J706"/>
      <c r="K706"/>
      <c r="L706"/>
      <c r="M706"/>
      <c r="N706"/>
      <c r="O706" s="2"/>
      <c r="R706"/>
      <c r="S706"/>
      <c r="T706"/>
      <c r="V706"/>
    </row>
    <row r="707" spans="10:22" s="1" customFormat="1" x14ac:dyDescent="0.2">
      <c r="J707"/>
      <c r="K707"/>
      <c r="L707"/>
      <c r="M707"/>
      <c r="N707"/>
      <c r="O707" s="2"/>
      <c r="R707"/>
      <c r="S707"/>
      <c r="T707"/>
      <c r="V707"/>
    </row>
    <row r="708" spans="10:22" s="1" customFormat="1" x14ac:dyDescent="0.2">
      <c r="J708"/>
      <c r="K708"/>
      <c r="L708"/>
      <c r="M708"/>
      <c r="N708"/>
      <c r="O708" s="2"/>
      <c r="R708"/>
      <c r="S708"/>
      <c r="T708"/>
      <c r="V708"/>
    </row>
    <row r="709" spans="10:22" s="1" customFormat="1" x14ac:dyDescent="0.2">
      <c r="J709"/>
      <c r="K709"/>
      <c r="L709"/>
      <c r="M709"/>
      <c r="N709"/>
      <c r="O709" s="2"/>
      <c r="R709"/>
      <c r="S709"/>
      <c r="T709"/>
      <c r="V709"/>
    </row>
    <row r="710" spans="10:22" s="1" customFormat="1" x14ac:dyDescent="0.2">
      <c r="J710"/>
      <c r="K710"/>
      <c r="L710"/>
      <c r="M710"/>
      <c r="N710"/>
      <c r="O710" s="2"/>
      <c r="R710"/>
      <c r="S710"/>
      <c r="T710"/>
      <c r="V710"/>
    </row>
    <row r="711" spans="10:22" s="1" customFormat="1" x14ac:dyDescent="0.2">
      <c r="J711"/>
      <c r="K711"/>
      <c r="L711"/>
      <c r="M711"/>
      <c r="N711"/>
      <c r="O711" s="2"/>
      <c r="R711"/>
      <c r="S711"/>
      <c r="T711"/>
      <c r="V711"/>
    </row>
    <row r="712" spans="10:22" s="1" customFormat="1" x14ac:dyDescent="0.2">
      <c r="J712"/>
      <c r="K712"/>
      <c r="L712"/>
      <c r="M712"/>
      <c r="N712"/>
      <c r="O712" s="2"/>
      <c r="R712"/>
      <c r="S712"/>
      <c r="T712"/>
      <c r="V712"/>
    </row>
    <row r="713" spans="10:22" s="1" customFormat="1" x14ac:dyDescent="0.2">
      <c r="J713"/>
      <c r="K713"/>
      <c r="L713"/>
      <c r="M713"/>
      <c r="N713"/>
      <c r="O713" s="2"/>
      <c r="R713"/>
      <c r="S713"/>
      <c r="T713"/>
      <c r="V713"/>
    </row>
    <row r="714" spans="10:22" s="1" customFormat="1" x14ac:dyDescent="0.2">
      <c r="J714"/>
      <c r="K714"/>
      <c r="L714"/>
      <c r="M714"/>
      <c r="N714"/>
      <c r="O714" s="2"/>
      <c r="R714"/>
      <c r="S714"/>
      <c r="T714"/>
      <c r="V714"/>
    </row>
    <row r="715" spans="10:22" s="1" customFormat="1" x14ac:dyDescent="0.2">
      <c r="J715"/>
      <c r="K715"/>
      <c r="L715"/>
      <c r="M715"/>
      <c r="N715"/>
      <c r="O715" s="2"/>
      <c r="R715"/>
      <c r="S715"/>
      <c r="T715"/>
      <c r="V715"/>
    </row>
    <row r="716" spans="10:22" s="1" customFormat="1" x14ac:dyDescent="0.2">
      <c r="J716"/>
      <c r="K716"/>
      <c r="L716"/>
      <c r="M716"/>
      <c r="N716"/>
      <c r="O716" s="2"/>
      <c r="R716"/>
      <c r="S716"/>
      <c r="T716"/>
      <c r="V716"/>
    </row>
    <row r="717" spans="10:22" s="1" customFormat="1" x14ac:dyDescent="0.2">
      <c r="J717"/>
      <c r="K717"/>
      <c r="L717"/>
      <c r="M717"/>
      <c r="N717"/>
      <c r="O717" s="2"/>
      <c r="R717"/>
      <c r="S717"/>
      <c r="T717"/>
      <c r="V717"/>
    </row>
    <row r="718" spans="10:22" s="1" customFormat="1" x14ac:dyDescent="0.2">
      <c r="J718"/>
      <c r="K718"/>
      <c r="L718"/>
      <c r="M718"/>
      <c r="N718"/>
      <c r="O718" s="2"/>
      <c r="R718"/>
      <c r="S718"/>
      <c r="T718"/>
      <c r="V718"/>
    </row>
    <row r="719" spans="10:22" s="1" customFormat="1" x14ac:dyDescent="0.2">
      <c r="J719"/>
      <c r="K719"/>
      <c r="L719"/>
      <c r="M719"/>
      <c r="N719"/>
      <c r="O719" s="2"/>
      <c r="R719"/>
      <c r="S719"/>
      <c r="T719"/>
      <c r="V719"/>
    </row>
    <row r="720" spans="10:22" s="1" customFormat="1" x14ac:dyDescent="0.2">
      <c r="J720"/>
      <c r="K720"/>
      <c r="L720"/>
      <c r="M720"/>
      <c r="N720"/>
      <c r="O720" s="2"/>
      <c r="R720"/>
      <c r="S720"/>
      <c r="T720"/>
      <c r="V720"/>
    </row>
    <row r="721" spans="10:22" s="1" customFormat="1" x14ac:dyDescent="0.2">
      <c r="J721"/>
      <c r="K721"/>
      <c r="L721"/>
      <c r="M721"/>
      <c r="N721"/>
      <c r="O721" s="2"/>
      <c r="R721"/>
      <c r="S721"/>
      <c r="T721"/>
      <c r="V721"/>
    </row>
    <row r="722" spans="10:22" s="1" customFormat="1" x14ac:dyDescent="0.2">
      <c r="J722"/>
      <c r="K722"/>
      <c r="L722"/>
      <c r="M722"/>
      <c r="N722"/>
      <c r="O722" s="2"/>
      <c r="R722"/>
      <c r="S722"/>
      <c r="T722"/>
      <c r="V722"/>
    </row>
    <row r="723" spans="10:22" s="1" customFormat="1" x14ac:dyDescent="0.2">
      <c r="J723"/>
      <c r="K723"/>
      <c r="L723"/>
      <c r="M723"/>
      <c r="N723"/>
      <c r="O723" s="2"/>
      <c r="R723"/>
      <c r="S723"/>
      <c r="T723"/>
      <c r="V723"/>
    </row>
    <row r="724" spans="10:22" s="1" customFormat="1" x14ac:dyDescent="0.2">
      <c r="J724"/>
      <c r="K724"/>
      <c r="L724"/>
      <c r="M724"/>
      <c r="N724"/>
      <c r="O724" s="2"/>
      <c r="R724"/>
      <c r="S724"/>
      <c r="T724"/>
      <c r="V724"/>
    </row>
    <row r="725" spans="10:22" s="1" customFormat="1" x14ac:dyDescent="0.2">
      <c r="J725"/>
      <c r="K725"/>
      <c r="L725"/>
      <c r="M725"/>
      <c r="N725"/>
      <c r="O725" s="2"/>
      <c r="R725"/>
      <c r="S725"/>
      <c r="T725"/>
      <c r="V725"/>
    </row>
    <row r="726" spans="10:22" s="1" customFormat="1" x14ac:dyDescent="0.2">
      <c r="J726"/>
      <c r="K726"/>
      <c r="L726"/>
      <c r="M726"/>
      <c r="N726"/>
      <c r="O726" s="2"/>
      <c r="R726"/>
      <c r="S726"/>
      <c r="T726"/>
      <c r="V726"/>
    </row>
    <row r="727" spans="10:22" s="1" customFormat="1" x14ac:dyDescent="0.2">
      <c r="J727"/>
      <c r="K727"/>
      <c r="L727"/>
      <c r="M727"/>
      <c r="N727"/>
      <c r="O727" s="2"/>
      <c r="R727"/>
      <c r="S727"/>
      <c r="T727"/>
      <c r="V727"/>
    </row>
    <row r="728" spans="10:22" s="1" customFormat="1" x14ac:dyDescent="0.2">
      <c r="J728"/>
      <c r="K728"/>
      <c r="L728"/>
      <c r="M728"/>
      <c r="N728"/>
      <c r="O728" s="2"/>
      <c r="R728"/>
      <c r="S728"/>
      <c r="T728"/>
      <c r="V728"/>
    </row>
    <row r="729" spans="10:22" s="1" customFormat="1" x14ac:dyDescent="0.2">
      <c r="J729"/>
      <c r="K729"/>
      <c r="L729"/>
      <c r="M729"/>
      <c r="N729"/>
      <c r="O729" s="2"/>
      <c r="R729"/>
      <c r="S729"/>
      <c r="T729"/>
      <c r="V729"/>
    </row>
    <row r="730" spans="10:22" s="1" customFormat="1" x14ac:dyDescent="0.2">
      <c r="J730"/>
      <c r="K730"/>
      <c r="L730"/>
      <c r="M730"/>
      <c r="N730"/>
      <c r="O730" s="2"/>
      <c r="R730"/>
      <c r="S730"/>
      <c r="T730"/>
      <c r="V730"/>
    </row>
    <row r="731" spans="10:22" s="1" customFormat="1" x14ac:dyDescent="0.2">
      <c r="J731"/>
      <c r="K731"/>
      <c r="L731"/>
      <c r="M731"/>
      <c r="N731"/>
      <c r="O731" s="2"/>
      <c r="R731"/>
      <c r="S731"/>
      <c r="T731"/>
      <c r="V731"/>
    </row>
    <row r="732" spans="10:22" s="1" customFormat="1" x14ac:dyDescent="0.2">
      <c r="J732"/>
      <c r="K732"/>
      <c r="L732"/>
      <c r="M732"/>
      <c r="N732"/>
      <c r="O732" s="2"/>
      <c r="R732"/>
      <c r="S732"/>
      <c r="T732"/>
      <c r="V732"/>
    </row>
    <row r="733" spans="10:22" s="1" customFormat="1" x14ac:dyDescent="0.2">
      <c r="J733"/>
      <c r="K733"/>
      <c r="L733"/>
      <c r="M733"/>
      <c r="N733"/>
      <c r="O733" s="2"/>
      <c r="R733"/>
      <c r="S733"/>
      <c r="T733"/>
      <c r="V733"/>
    </row>
    <row r="734" spans="10:22" s="1" customFormat="1" x14ac:dyDescent="0.2">
      <c r="J734"/>
      <c r="K734"/>
      <c r="L734"/>
      <c r="M734"/>
      <c r="N734"/>
      <c r="O734" s="2"/>
      <c r="R734"/>
      <c r="S734"/>
      <c r="T734"/>
      <c r="V734"/>
    </row>
  </sheetData>
  <mergeCells count="166">
    <mergeCell ref="J37:J38"/>
    <mergeCell ref="K37:K38"/>
    <mergeCell ref="L37:L38"/>
    <mergeCell ref="V45:AB45"/>
    <mergeCell ref="J31:J34"/>
    <mergeCell ref="V16:AB16"/>
    <mergeCell ref="V17:AB17"/>
    <mergeCell ref="L23:L24"/>
    <mergeCell ref="V19:AB19"/>
    <mergeCell ref="V20:AB20"/>
    <mergeCell ref="U31:U34"/>
    <mergeCell ref="K31:K34"/>
    <mergeCell ref="T23:T24"/>
    <mergeCell ref="U23:U24"/>
    <mergeCell ref="S26:S29"/>
    <mergeCell ref="V26:AB27"/>
    <mergeCell ref="V39:AB39"/>
    <mergeCell ref="V32:AB32"/>
    <mergeCell ref="V38:AB38"/>
    <mergeCell ref="V33:AB33"/>
    <mergeCell ref="V34:AB34"/>
    <mergeCell ref="V35:AB35"/>
    <mergeCell ref="V36:AB36"/>
    <mergeCell ref="U21:U22"/>
    <mergeCell ref="B31:B34"/>
    <mergeCell ref="E31:E34"/>
    <mergeCell ref="L31:L34"/>
    <mergeCell ref="Q31:Q34"/>
    <mergeCell ref="S31:S34"/>
    <mergeCell ref="T31:T34"/>
    <mergeCell ref="E63:F63"/>
    <mergeCell ref="J4:J6"/>
    <mergeCell ref="K4:K6"/>
    <mergeCell ref="Q4:Q6"/>
    <mergeCell ref="S4:S6"/>
    <mergeCell ref="J9:J10"/>
    <mergeCell ref="J14:J15"/>
    <mergeCell ref="B9:B10"/>
    <mergeCell ref="E9:E10"/>
    <mergeCell ref="B14:B15"/>
    <mergeCell ref="E14:E15"/>
    <mergeCell ref="F14:F15"/>
    <mergeCell ref="H14:H15"/>
    <mergeCell ref="B23:B24"/>
    <mergeCell ref="E23:E24"/>
    <mergeCell ref="J23:J24"/>
    <mergeCell ref="K23:K24"/>
    <mergeCell ref="M14:M15"/>
    <mergeCell ref="V59:AB59"/>
    <mergeCell ref="V60:AB60"/>
    <mergeCell ref="E61:F61"/>
    <mergeCell ref="E62:F62"/>
    <mergeCell ref="V53:AB53"/>
    <mergeCell ref="V12:AB12"/>
    <mergeCell ref="V13:AB13"/>
    <mergeCell ref="V21:AB21"/>
    <mergeCell ref="V22:AB22"/>
    <mergeCell ref="V41:AB41"/>
    <mergeCell ref="V42:AB42"/>
    <mergeCell ref="V37:AB37"/>
    <mergeCell ref="V28:AB28"/>
    <mergeCell ref="V29:AB29"/>
    <mergeCell ref="V18:AB18"/>
    <mergeCell ref="V56:AB56"/>
    <mergeCell ref="V46:AB46"/>
    <mergeCell ref="V43:AB43"/>
    <mergeCell ref="V44:AB44"/>
    <mergeCell ref="V40:AB40"/>
    <mergeCell ref="V24:AB24"/>
    <mergeCell ref="V25:AB25"/>
    <mergeCell ref="V30:AB30"/>
    <mergeCell ref="V31:AB31"/>
    <mergeCell ref="V57:AB57"/>
    <mergeCell ref="V58:AB58"/>
    <mergeCell ref="V47:AB47"/>
    <mergeCell ref="V48:AB48"/>
    <mergeCell ref="V49:AB49"/>
    <mergeCell ref="V50:AB50"/>
    <mergeCell ref="V51:AB51"/>
    <mergeCell ref="V52:AB52"/>
    <mergeCell ref="V54:AB54"/>
    <mergeCell ref="V55:AB55"/>
    <mergeCell ref="B2:V2"/>
    <mergeCell ref="V3:AB3"/>
    <mergeCell ref="V4:AB4"/>
    <mergeCell ref="V5:AB5"/>
    <mergeCell ref="V6:AB6"/>
    <mergeCell ref="B4:B6"/>
    <mergeCell ref="E4:E6"/>
    <mergeCell ref="R4:R6"/>
    <mergeCell ref="V23:AB23"/>
    <mergeCell ref="B7:B8"/>
    <mergeCell ref="E7:E8"/>
    <mergeCell ref="L7:L8"/>
    <mergeCell ref="J7:J8"/>
    <mergeCell ref="K7:K8"/>
    <mergeCell ref="Q7:Q8"/>
    <mergeCell ref="S7:S8"/>
    <mergeCell ref="T7:T8"/>
    <mergeCell ref="F7:F8"/>
    <mergeCell ref="M7:M8"/>
    <mergeCell ref="I7:I8"/>
    <mergeCell ref="P7:P8"/>
    <mergeCell ref="H7:H8"/>
    <mergeCell ref="T9:T10"/>
    <mergeCell ref="K9:K10"/>
    <mergeCell ref="V7:AB8"/>
    <mergeCell ref="T4:T6"/>
    <mergeCell ref="L4:L6"/>
    <mergeCell ref="T14:T15"/>
    <mergeCell ref="V14:AB15"/>
    <mergeCell ref="K14:K15"/>
    <mergeCell ref="L14:L15"/>
    <mergeCell ref="V9:AB9"/>
    <mergeCell ref="V10:AB10"/>
    <mergeCell ref="V11:AB11"/>
    <mergeCell ref="N7:N8"/>
    <mergeCell ref="L9:L10"/>
    <mergeCell ref="Q9:Q10"/>
    <mergeCell ref="S9:S10"/>
    <mergeCell ref="U4:U6"/>
    <mergeCell ref="U7:U8"/>
    <mergeCell ref="U9:U10"/>
    <mergeCell ref="U14:U15"/>
    <mergeCell ref="P14:P15"/>
    <mergeCell ref="Q14:Q15"/>
    <mergeCell ref="S14:S15"/>
    <mergeCell ref="N14:N15"/>
    <mergeCell ref="U26:U29"/>
    <mergeCell ref="J26:J29"/>
    <mergeCell ref="B21:B22"/>
    <mergeCell ref="Q21:Q22"/>
    <mergeCell ref="S21:S22"/>
    <mergeCell ref="T21:T22"/>
    <mergeCell ref="E21:E22"/>
    <mergeCell ref="K21:K22"/>
    <mergeCell ref="J21:J22"/>
    <mergeCell ref="L21:L22"/>
    <mergeCell ref="L26:L29"/>
    <mergeCell ref="R21:R22"/>
    <mergeCell ref="Q23:Q24"/>
    <mergeCell ref="S23:S24"/>
    <mergeCell ref="U37:U38"/>
    <mergeCell ref="B37:B38"/>
    <mergeCell ref="Q37:Q38"/>
    <mergeCell ref="S37:S38"/>
    <mergeCell ref="R37:R38"/>
    <mergeCell ref="R7:R8"/>
    <mergeCell ref="R9:R10"/>
    <mergeCell ref="R14:R15"/>
    <mergeCell ref="R23:R24"/>
    <mergeCell ref="R26:R29"/>
    <mergeCell ref="K26:K29"/>
    <mergeCell ref="M26:M27"/>
    <mergeCell ref="N26:N27"/>
    <mergeCell ref="P26:P27"/>
    <mergeCell ref="Q26:Q29"/>
    <mergeCell ref="T37:T38"/>
    <mergeCell ref="R31:R34"/>
    <mergeCell ref="T26:T29"/>
    <mergeCell ref="F26:F27"/>
    <mergeCell ref="H26:H27"/>
    <mergeCell ref="I26:I27"/>
    <mergeCell ref="I14:I15"/>
    <mergeCell ref="B26:B29"/>
    <mergeCell ref="E26:E29"/>
  </mergeCells>
  <conditionalFormatting sqref="I65:I71">
    <cfRule type="cellIs" dxfId="1990" priority="546" stopIfTrue="1" operator="greaterThan">
      <formula>1.5%</formula>
    </cfRule>
    <cfRule type="cellIs" dxfId="1989" priority="547" stopIfTrue="1" operator="lessThan">
      <formula>0%</formula>
    </cfRule>
  </conditionalFormatting>
  <conditionalFormatting sqref="I73">
    <cfRule type="cellIs" dxfId="1988" priority="1051" stopIfTrue="1" operator="lessThan">
      <formula>438</formula>
    </cfRule>
  </conditionalFormatting>
  <conditionalFormatting sqref="J3 B2 J72:J65536">
    <cfRule type="cellIs" dxfId="1987" priority="1072" stopIfTrue="1" operator="lessThan">
      <formula>438</formula>
    </cfRule>
  </conditionalFormatting>
  <conditionalFormatting sqref="J3">
    <cfRule type="cellIs" dxfId="1986" priority="1069" stopIfTrue="1" operator="lessThan">
      <formula>456.25</formula>
    </cfRule>
  </conditionalFormatting>
  <conditionalFormatting sqref="J4:J60">
    <cfRule type="cellIs" dxfId="1985" priority="3" stopIfTrue="1" operator="lessThan">
      <formula>524</formula>
    </cfRule>
  </conditionalFormatting>
  <conditionalFormatting sqref="J65:J71">
    <cfRule type="cellIs" dxfId="1984" priority="1067" stopIfTrue="1" operator="lessThan">
      <formula>73%</formula>
    </cfRule>
  </conditionalFormatting>
  <conditionalFormatting sqref="K4">
    <cfRule type="cellIs" dxfId="1983" priority="980" stopIfTrue="1" operator="lessThan">
      <formula>540</formula>
    </cfRule>
  </conditionalFormatting>
  <conditionalFormatting sqref="K7 K9">
    <cfRule type="cellIs" dxfId="1982" priority="548" stopIfTrue="1" operator="lessThan">
      <formula>540</formula>
    </cfRule>
  </conditionalFormatting>
  <conditionalFormatting sqref="K11:K14">
    <cfRule type="cellIs" dxfId="1981" priority="350" stopIfTrue="1" operator="lessThan">
      <formula>540</formula>
    </cfRule>
  </conditionalFormatting>
  <conditionalFormatting sqref="K16:K21 K23">
    <cfRule type="cellIs" dxfId="1980" priority="268" stopIfTrue="1" operator="lessThan">
      <formula>540</formula>
    </cfRule>
  </conditionalFormatting>
  <conditionalFormatting sqref="K25:K26">
    <cfRule type="cellIs" dxfId="1979" priority="149" stopIfTrue="1" operator="lessThan">
      <formula>540</formula>
    </cfRule>
  </conditionalFormatting>
  <conditionalFormatting sqref="K30:K31">
    <cfRule type="cellIs" dxfId="1978" priority="98" stopIfTrue="1" operator="lessThan">
      <formula>540</formula>
    </cfRule>
  </conditionalFormatting>
  <conditionalFormatting sqref="K35:K37">
    <cfRule type="cellIs" dxfId="1977" priority="41" stopIfTrue="1" operator="lessThan">
      <formula>540</formula>
    </cfRule>
  </conditionalFormatting>
  <conditionalFormatting sqref="K39:K59">
    <cfRule type="cellIs" dxfId="1976" priority="476" stopIfTrue="1" operator="lessThan">
      <formula>540</formula>
    </cfRule>
  </conditionalFormatting>
  <conditionalFormatting sqref="P4:P7">
    <cfRule type="cellIs" dxfId="1975" priority="1000" stopIfTrue="1" operator="greaterThan">
      <formula>1.1</formula>
    </cfRule>
  </conditionalFormatting>
  <conditionalFormatting sqref="P9:P14">
    <cfRule type="cellIs" dxfId="1974" priority="414" stopIfTrue="1" operator="greaterThan">
      <formula>1.1</formula>
    </cfRule>
  </conditionalFormatting>
  <conditionalFormatting sqref="P16:P26">
    <cfRule type="cellIs" dxfId="1973" priority="197" stopIfTrue="1" operator="greaterThan">
      <formula>1.1</formula>
    </cfRule>
  </conditionalFormatting>
  <conditionalFormatting sqref="P28:P61">
    <cfRule type="cellIs" dxfId="1972" priority="147" stopIfTrue="1" operator="greaterThan">
      <formula>1.1</formula>
    </cfRule>
  </conditionalFormatting>
  <conditionalFormatting sqref="P61:P62">
    <cfRule type="cellIs" dxfId="1971" priority="1066" stopIfTrue="1" operator="lessThan">
      <formula>0%</formula>
    </cfRule>
    <cfRule type="cellIs" dxfId="1970" priority="1065" stopIfTrue="1" operator="greaterThan">
      <formula>1.5%</formula>
    </cfRule>
  </conditionalFormatting>
  <conditionalFormatting sqref="P65">
    <cfRule type="cellIs" dxfId="1969" priority="752" stopIfTrue="1" operator="greaterThan">
      <formula>1.1</formula>
    </cfRule>
  </conditionalFormatting>
  <conditionalFormatting sqref="Q39:Q59">
    <cfRule type="cellIs" dxfId="1968" priority="500" stopIfTrue="1" operator="lessThan">
      <formula>0.6</formula>
    </cfRule>
  </conditionalFormatting>
  <conditionalFormatting sqref="Q4:R4 Q60:R60">
    <cfRule type="cellIs" dxfId="1967" priority="755" stopIfTrue="1" operator="lessThan">
      <formula>0.6</formula>
    </cfRule>
  </conditionalFormatting>
  <conditionalFormatting sqref="Q7:R7">
    <cfRule type="cellIs" dxfId="1966" priority="467" stopIfTrue="1" operator="lessThan">
      <formula>0.6</formula>
    </cfRule>
  </conditionalFormatting>
  <conditionalFormatting sqref="Q9:R9">
    <cfRule type="cellIs" dxfId="1965" priority="416" stopIfTrue="1" operator="lessThan">
      <formula>0.6</formula>
    </cfRule>
  </conditionalFormatting>
  <conditionalFormatting sqref="Q11:R14">
    <cfRule type="cellIs" dxfId="1964" priority="316" stopIfTrue="1" operator="lessThan">
      <formula>0.6</formula>
    </cfRule>
  </conditionalFormatting>
  <conditionalFormatting sqref="Q16:R21 Q23:R23">
    <cfRule type="cellIs" dxfId="1963" priority="259" stopIfTrue="1" operator="lessThan">
      <formula>0.6</formula>
    </cfRule>
  </conditionalFormatting>
  <conditionalFormatting sqref="Q25:R26">
    <cfRule type="cellIs" dxfId="1962" priority="199" stopIfTrue="1" operator="lessThan">
      <formula>0.6</formula>
    </cfRule>
  </conditionalFormatting>
  <conditionalFormatting sqref="Q30:R31">
    <cfRule type="cellIs" dxfId="1961" priority="89" stopIfTrue="1" operator="lessThan">
      <formula>0.6</formula>
    </cfRule>
  </conditionalFormatting>
  <conditionalFormatting sqref="Q35:R37">
    <cfRule type="cellIs" dxfId="1960" priority="6" stopIfTrue="1" operator="lessThan">
      <formula>0.6</formula>
    </cfRule>
  </conditionalFormatting>
  <conditionalFormatting sqref="Q65:R65">
    <cfRule type="cellIs" dxfId="1959" priority="4" stopIfTrue="1" operator="lessThan">
      <formula>0.6</formula>
    </cfRule>
  </conditionalFormatting>
  <conditionalFormatting sqref="S61:S62">
    <cfRule type="cellIs" dxfId="1958" priority="1068" stopIfTrue="1" operator="lessThan">
      <formula>73%</formula>
    </cfRule>
  </conditionalFormatting>
  <conditionalFormatting sqref="S79">
    <cfRule type="cellIs" dxfId="1957" priority="1013" stopIfTrue="1" operator="greaterThan">
      <formula>1.1</formula>
    </cfRule>
  </conditionalFormatting>
  <conditionalFormatting sqref="S4:T4 S7:T7 S9:T9 S11:T14 S16:T21 S23:T23 S25:T26 S30:T31 S35:T37 S39:T60">
    <cfRule type="cellIs" dxfId="1956" priority="1060" stopIfTrue="1" operator="lessThan">
      <formula>0.74</formula>
    </cfRule>
  </conditionalFormatting>
  <conditionalFormatting sqref="S65:T65">
    <cfRule type="cellIs" dxfId="1955" priority="753" stopIfTrue="1" operator="lessThan">
      <formula>0.74</formula>
    </cfRule>
  </conditionalFormatting>
  <conditionalFormatting sqref="S3:U3">
    <cfRule type="cellIs" dxfId="1954" priority="1047" stopIfTrue="1" operator="lessThan">
      <formula>0.65</formula>
    </cfRule>
  </conditionalFormatting>
  <conditionalFormatting sqref="S78:U78">
    <cfRule type="cellIs" dxfId="1953" priority="1014" stopIfTrue="1" operator="lessThan">
      <formula>0.74</formula>
    </cfRule>
  </conditionalFormatting>
  <conditionalFormatting sqref="T61:U62">
    <cfRule type="cellIs" dxfId="1952" priority="1071" stopIfTrue="1" operator="lessThan">
      <formula>75%</formula>
    </cfRule>
  </conditionalFormatting>
  <conditionalFormatting sqref="U4:U26">
    <cfRule type="cellIs" dxfId="1951" priority="256" stopIfTrue="1" operator="lessThan">
      <formula>0.95</formula>
    </cfRule>
  </conditionalFormatting>
  <conditionalFormatting sqref="U30:U31">
    <cfRule type="cellIs" dxfId="1950" priority="146" stopIfTrue="1" operator="lessThan">
      <formula>0.95</formula>
    </cfRule>
  </conditionalFormatting>
  <conditionalFormatting sqref="U35:U60">
    <cfRule type="cellIs" dxfId="1949" priority="5" stopIfTrue="1" operator="lessThan">
      <formula>0.95</formula>
    </cfRule>
  </conditionalFormatting>
  <conditionalFormatting sqref="U64">
    <cfRule type="cellIs" dxfId="1948" priority="2" stopIfTrue="1" operator="lessThan">
      <formula>0.65</formula>
    </cfRule>
  </conditionalFormatting>
  <conditionalFormatting sqref="U65">
    <cfRule type="cellIs" dxfId="1947" priority="1" stopIfTrue="1" operator="lessThan">
      <formula>0.95</formula>
    </cfRule>
  </conditionalFormatting>
  <printOptions horizontalCentered="1"/>
  <pageMargins left="0.10312499999999999" right="0.5" top="0.25" bottom="0.27" header="0.25" footer="0.27"/>
  <pageSetup paperSize="5" scale="30" orientation="landscape"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E4F30-D9F5-408C-8C87-E5F8D828DD38}">
  <sheetPr codeName="Sheet9">
    <pageSetUpPr fitToPage="1"/>
  </sheetPr>
  <dimension ref="B2:AF734"/>
  <sheetViews>
    <sheetView showZeros="0" showWhiteSpace="0" zoomScale="70" zoomScaleNormal="70" workbookViewId="0">
      <pane xSplit="3" ySplit="3" topLeftCell="D22" activePane="bottomRight" state="frozen"/>
      <selection activeCell="M66" sqref="M66"/>
      <selection pane="topRight" activeCell="M66" sqref="M66"/>
      <selection pane="bottomLeft" activeCell="M66" sqref="M66"/>
      <selection pane="bottomRight" activeCell="M66" sqref="M66"/>
    </sheetView>
  </sheetViews>
  <sheetFormatPr defaultColWidth="9.42578125" defaultRowHeight="12.75" x14ac:dyDescent="0.2"/>
  <cols>
    <col min="1" max="1" width="3.42578125" customWidth="1"/>
    <col min="2" max="2" width="10.42578125" style="1" customWidth="1"/>
    <col min="3" max="3" width="28" style="1" customWidth="1"/>
    <col min="4" max="4" width="14.42578125" style="1" customWidth="1"/>
    <col min="5" max="5" width="12.5703125" style="1" customWidth="1"/>
    <col min="6" max="6" width="13.42578125" style="1" customWidth="1"/>
    <col min="7" max="7" width="12.42578125" customWidth="1"/>
    <col min="8" max="8" width="13.5703125" customWidth="1"/>
    <col min="9" max="9" width="11.42578125" style="1" customWidth="1"/>
    <col min="10" max="10" width="12" customWidth="1"/>
    <col min="11" max="11" width="10.42578125" customWidth="1"/>
    <col min="12" max="12" width="10.5703125" customWidth="1"/>
    <col min="13" max="13" width="10.42578125" customWidth="1"/>
    <col min="14" max="14" width="9.5703125" customWidth="1"/>
    <col min="15" max="15" width="11.42578125" style="2" customWidth="1"/>
    <col min="16" max="16" width="12.5703125" style="1" customWidth="1"/>
    <col min="17" max="17" width="7.5703125" style="1" hidden="1" customWidth="1"/>
    <col min="18" max="18" width="12.5703125" style="1" customWidth="1"/>
    <col min="19" max="19" width="13.42578125" customWidth="1"/>
    <col min="20" max="20" width="12.42578125" customWidth="1"/>
    <col min="21" max="21" width="10.42578125" hidden="1" customWidth="1"/>
    <col min="22" max="22" width="12" customWidth="1"/>
    <col min="23" max="23" width="12.5703125" style="1" customWidth="1"/>
    <col min="24" max="24" width="12" customWidth="1"/>
    <col min="25" max="25" width="17" customWidth="1"/>
    <col min="26" max="26" width="15.42578125" customWidth="1"/>
    <col min="27" max="27" width="15.5703125" customWidth="1"/>
    <col min="28" max="28" width="14" customWidth="1"/>
    <col min="29" max="29" width="25.5703125" customWidth="1"/>
    <col min="30" max="30" width="20.5703125" customWidth="1"/>
  </cols>
  <sheetData>
    <row r="2" spans="2:32" ht="24" thickBot="1" x14ac:dyDescent="0.4">
      <c r="B2" s="1022" t="s">
        <v>406</v>
      </c>
      <c r="C2" s="1022"/>
      <c r="D2" s="1022"/>
      <c r="E2" s="1022"/>
      <c r="F2" s="1022"/>
      <c r="G2" s="1022"/>
      <c r="H2" s="1022"/>
      <c r="I2" s="1022"/>
      <c r="J2" s="1022"/>
      <c r="K2" s="1022"/>
      <c r="L2" s="1022"/>
      <c r="M2" s="1022"/>
      <c r="N2" s="1022"/>
      <c r="O2" s="1022"/>
      <c r="P2" s="1022"/>
      <c r="Q2" s="1022"/>
      <c r="R2" s="1022"/>
      <c r="S2" s="1022"/>
      <c r="T2" s="1022"/>
      <c r="U2" s="1022"/>
      <c r="V2" s="1022"/>
      <c r="W2" s="1065"/>
      <c r="X2" s="1065"/>
    </row>
    <row r="3" spans="2:32" ht="80.25" thickTop="1" thickBot="1" x14ac:dyDescent="0.25">
      <c r="B3" s="37" t="s">
        <v>0</v>
      </c>
      <c r="C3" s="38" t="s">
        <v>2</v>
      </c>
      <c r="D3" s="38" t="s">
        <v>12</v>
      </c>
      <c r="E3" s="38" t="s">
        <v>11</v>
      </c>
      <c r="F3" s="38" t="s">
        <v>15</v>
      </c>
      <c r="G3" s="38" t="s">
        <v>9</v>
      </c>
      <c r="H3" s="38" t="s">
        <v>17</v>
      </c>
      <c r="I3" s="38" t="s">
        <v>5</v>
      </c>
      <c r="J3" s="38" t="s">
        <v>494</v>
      </c>
      <c r="K3" s="38" t="s">
        <v>4</v>
      </c>
      <c r="L3" s="38" t="s">
        <v>161</v>
      </c>
      <c r="M3" s="38" t="s">
        <v>10</v>
      </c>
      <c r="N3" s="38" t="s">
        <v>428</v>
      </c>
      <c r="O3" s="39" t="s">
        <v>34</v>
      </c>
      <c r="P3" s="40" t="s">
        <v>55</v>
      </c>
      <c r="Q3" s="40" t="s">
        <v>8</v>
      </c>
      <c r="R3" s="41" t="s">
        <v>464</v>
      </c>
      <c r="S3" s="41" t="s">
        <v>465</v>
      </c>
      <c r="T3" s="41" t="s">
        <v>307</v>
      </c>
      <c r="U3" s="41" t="s">
        <v>47</v>
      </c>
      <c r="V3" s="231" t="s">
        <v>308</v>
      </c>
      <c r="W3" s="232" t="s">
        <v>425</v>
      </c>
      <c r="X3" s="1066" t="s">
        <v>1</v>
      </c>
      <c r="Y3" s="1067"/>
      <c r="Z3" s="1067"/>
      <c r="AA3" s="1067"/>
      <c r="AB3" s="1067"/>
      <c r="AC3" s="1067"/>
      <c r="AD3" s="1068"/>
      <c r="AE3">
        <v>15000</v>
      </c>
      <c r="AF3">
        <v>17000</v>
      </c>
    </row>
    <row r="4" spans="2:32" s="19" customFormat="1" ht="36.75" customHeight="1" thickTop="1" x14ac:dyDescent="0.2">
      <c r="B4" s="1037">
        <v>42767</v>
      </c>
      <c r="C4" s="26" t="s">
        <v>27</v>
      </c>
      <c r="D4" s="27">
        <v>2200</v>
      </c>
      <c r="E4" s="1051">
        <v>0.34027777777777773</v>
      </c>
      <c r="F4" s="29">
        <f>SUM([3]February_2017!$J8)</f>
        <v>145</v>
      </c>
      <c r="G4" s="30">
        <f>SUM([3]February_2017!$F8)</f>
        <v>2121</v>
      </c>
      <c r="H4" s="29">
        <f>SUM([3]February_2017!$K8)</f>
        <v>143.78600000000003</v>
      </c>
      <c r="I4" s="31">
        <f>SUM([3]February_2017!$N8)</f>
        <v>12.5</v>
      </c>
      <c r="J4" s="991">
        <f>SUM([3]February_2017!$Q8:$Q9)</f>
        <v>488.87272727272727</v>
      </c>
      <c r="K4" s="991">
        <f>SUM([3]February_2017!$E8)</f>
        <v>825</v>
      </c>
      <c r="L4" s="1017">
        <v>0.94097222222222221</v>
      </c>
      <c r="M4" s="32">
        <f>SUM([3]February_2017!$M8)</f>
        <v>57</v>
      </c>
      <c r="N4" s="237"/>
      <c r="O4" s="170">
        <f>SUM([3]February_2017!$H8)</f>
        <v>0</v>
      </c>
      <c r="P4" s="33">
        <f>SUM([3]February_2017!$P8)</f>
        <v>0.83724137931032427</v>
      </c>
      <c r="Q4" s="32"/>
      <c r="R4" s="1039">
        <f>($G4+$G5)/(($K4/60)*AE$3*(1/24))</f>
        <v>0.78219636363636369</v>
      </c>
      <c r="S4" s="1039">
        <f>($G4+$G5)/(($K4/60)*AF$3*(1/24))</f>
        <v>0.69017326203208562</v>
      </c>
      <c r="T4" s="1039">
        <f>(G4+G5)*24/(K4/60)/15000</f>
        <v>0.78219636363636358</v>
      </c>
      <c r="U4" s="129">
        <f>(H4+H7)*24/(M4/60)/15000</f>
        <v>0.24216589473684216</v>
      </c>
      <c r="V4" s="1047">
        <f>(G4+G5)*24/(K4/60)/17000</f>
        <v>0.69017326203208551</v>
      </c>
      <c r="W4" s="1035">
        <f>(929-(M4+M5))/929</f>
        <v>0.82454251883745966</v>
      </c>
      <c r="X4" s="1013" t="s">
        <v>446</v>
      </c>
      <c r="Y4" s="1014"/>
      <c r="Z4" s="1014"/>
      <c r="AA4" s="1014"/>
      <c r="AB4" s="1014"/>
      <c r="AC4" s="1014"/>
      <c r="AD4" s="1015"/>
      <c r="AE4" s="19">
        <v>15000</v>
      </c>
      <c r="AF4" s="19">
        <v>17000</v>
      </c>
    </row>
    <row r="5" spans="2:32" s="19" customFormat="1" ht="70.5" customHeight="1" x14ac:dyDescent="0.2">
      <c r="B5" s="1038"/>
      <c r="C5" s="26" t="s">
        <v>42</v>
      </c>
      <c r="D5" s="27">
        <v>2700</v>
      </c>
      <c r="E5" s="1053"/>
      <c r="F5" s="29">
        <f>SUM([3]February_2017!$J9)</f>
        <v>307.70000000000005</v>
      </c>
      <c r="G5" s="30">
        <f>SUM([3]February_2017!$F9)</f>
        <v>4601</v>
      </c>
      <c r="H5" s="29">
        <f>SUM([3]February_2017!$K9)</f>
        <v>303.666</v>
      </c>
      <c r="I5" s="31">
        <f>SUM([3]February_2017!$N9)</f>
        <v>14.5</v>
      </c>
      <c r="J5" s="992"/>
      <c r="K5" s="992"/>
      <c r="L5" s="1018"/>
      <c r="M5" s="32">
        <f>SUM([3]February_2017!$M9)</f>
        <v>106</v>
      </c>
      <c r="N5" s="237">
        <f>[4]Feb!$I$9/K4</f>
        <v>4.8484848484848485E-2</v>
      </c>
      <c r="O5" s="32">
        <f>SUM([3]February_2017!$H9)</f>
        <v>210</v>
      </c>
      <c r="P5" s="33">
        <f>SUM([3]February_2017!$P9)</f>
        <v>1.3110172245694014</v>
      </c>
      <c r="Q5" s="32"/>
      <c r="R5" s="1040"/>
      <c r="S5" s="1040"/>
      <c r="T5" s="1040"/>
      <c r="U5" s="129"/>
      <c r="V5" s="1048"/>
      <c r="W5" s="1036"/>
      <c r="X5" s="1013" t="s">
        <v>445</v>
      </c>
      <c r="Y5" s="1014"/>
      <c r="Z5" s="1014"/>
      <c r="AA5" s="1014"/>
      <c r="AB5" s="1014"/>
      <c r="AC5" s="1014"/>
      <c r="AD5" s="1015"/>
      <c r="AE5" s="19">
        <v>15000</v>
      </c>
      <c r="AF5" s="19">
        <v>17000</v>
      </c>
    </row>
    <row r="6" spans="2:32" s="19" customFormat="1" ht="27.75" customHeight="1" x14ac:dyDescent="0.2">
      <c r="B6" s="1037">
        <v>42774</v>
      </c>
      <c r="C6" s="26" t="str">
        <f>[3]February_2017!$D10</f>
        <v>CARIB (FLINT)</v>
      </c>
      <c r="D6" s="27">
        <v>2650</v>
      </c>
      <c r="E6" s="1051">
        <v>0.37777777777777777</v>
      </c>
      <c r="F6" s="989">
        <f>SUM([3]February_2017!$J10)</f>
        <v>229.59999999999997</v>
      </c>
      <c r="G6" s="30">
        <f>SUM([3]February_2017!$F10)</f>
        <v>3069</v>
      </c>
      <c r="H6" s="989">
        <f>SUM([3]February_2017!$K10)</f>
        <v>228.62400000000002</v>
      </c>
      <c r="I6" s="1004">
        <f>SUM([3]February_2017!$N10)</f>
        <v>22</v>
      </c>
      <c r="J6" s="991">
        <f>SUM([3]February_2017!$Q10)</f>
        <v>330.95541401273886</v>
      </c>
      <c r="K6" s="991">
        <f>SUM([3]February_2017!$E10)</f>
        <v>628</v>
      </c>
      <c r="L6" s="1017">
        <v>0.81527777777777777</v>
      </c>
      <c r="M6" s="991">
        <f>SUM([3]February_2017!$M10)</f>
        <v>147</v>
      </c>
      <c r="N6" s="1043">
        <f>[4]Feb!$I$10/K6</f>
        <v>4.2993630573248405E-2</v>
      </c>
      <c r="O6" s="991">
        <f>SUM([3]February_2017!$H10)</f>
        <v>2</v>
      </c>
      <c r="P6" s="1045">
        <f>SUM([3]February_2017!$P10)</f>
        <v>0.4250871080139122</v>
      </c>
      <c r="Q6" s="32"/>
      <c r="R6" s="1039">
        <f>($G6+$G7)/(($K6/60)*AE$3*(1/24))</f>
        <v>0.52952866242038221</v>
      </c>
      <c r="S6" s="1039">
        <f>($G6+$G7)/(($K6/60)*AF$3*(1/24))</f>
        <v>0.46723117272386661</v>
      </c>
      <c r="T6" s="1039">
        <f>(G6+G7)*24/(K6/60)/15000</f>
        <v>0.52952866242038221</v>
      </c>
      <c r="U6" s="129">
        <f>(H6+H9)*24/(M6/60)/15000</f>
        <v>0.21009502040816327</v>
      </c>
      <c r="V6" s="1047">
        <f>(G6+G7)*24/(K6/60)/17000</f>
        <v>0.46723117272386661</v>
      </c>
      <c r="W6" s="1035">
        <f>(753-(M6))/753</f>
        <v>0.80478087649402386</v>
      </c>
      <c r="X6" s="1056" t="s">
        <v>447</v>
      </c>
      <c r="Y6" s="1057"/>
      <c r="Z6" s="1057"/>
      <c r="AA6" s="1057"/>
      <c r="AB6" s="1057"/>
      <c r="AC6" s="1057"/>
      <c r="AD6" s="1058"/>
      <c r="AE6" s="19">
        <v>15000</v>
      </c>
      <c r="AF6" s="19">
        <v>17000</v>
      </c>
    </row>
    <row r="7" spans="2:32" s="19" customFormat="1" ht="26.25" customHeight="1" x14ac:dyDescent="0.2">
      <c r="B7" s="1038"/>
      <c r="C7" s="26" t="str">
        <f>[3]February_2017!$D11</f>
        <v>CARIB (AMBER)</v>
      </c>
      <c r="D7" s="27">
        <v>2255</v>
      </c>
      <c r="E7" s="1053"/>
      <c r="F7" s="990"/>
      <c r="G7" s="30">
        <f>SUM([3]February_2017!$F11)</f>
        <v>395</v>
      </c>
      <c r="H7" s="990"/>
      <c r="I7" s="1005"/>
      <c r="J7" s="992"/>
      <c r="K7" s="992"/>
      <c r="L7" s="1018"/>
      <c r="M7" s="992"/>
      <c r="N7" s="1044"/>
      <c r="O7" s="992"/>
      <c r="P7" s="1046"/>
      <c r="Q7" s="32"/>
      <c r="R7" s="1040"/>
      <c r="S7" s="1040"/>
      <c r="T7" s="1040"/>
      <c r="U7" s="129"/>
      <c r="V7" s="1048"/>
      <c r="W7" s="1036"/>
      <c r="X7" s="1059"/>
      <c r="Y7" s="1060"/>
      <c r="Z7" s="1060"/>
      <c r="AA7" s="1060"/>
      <c r="AB7" s="1060"/>
      <c r="AC7" s="1060"/>
      <c r="AD7" s="1061"/>
      <c r="AE7" s="19">
        <v>15000</v>
      </c>
      <c r="AF7" s="19">
        <v>17000</v>
      </c>
    </row>
    <row r="8" spans="2:32" s="19" customFormat="1" ht="36" customHeight="1" x14ac:dyDescent="0.2">
      <c r="B8" s="1037">
        <v>42775</v>
      </c>
      <c r="C8" s="26" t="str">
        <f>[3]February_2017!$D12</f>
        <v>CARIB (AMBER)</v>
      </c>
      <c r="D8" s="27">
        <v>2800</v>
      </c>
      <c r="E8" s="1051">
        <v>0.31597222222222221</v>
      </c>
      <c r="F8" s="29">
        <f>SUM([3]February_2017!$J12)</f>
        <v>286.20000000000005</v>
      </c>
      <c r="G8" s="30">
        <f>SUM([3]February_2017!$F12)</f>
        <v>4322</v>
      </c>
      <c r="H8" s="29">
        <f>SUM([3]February_2017!$K12)</f>
        <v>285.25200000000001</v>
      </c>
      <c r="I8" s="31">
        <f>SUM([3]February_2017!$N12)</f>
        <v>15.25</v>
      </c>
      <c r="J8" s="991">
        <f>SUM([3]February_2017!$Q12)</f>
        <v>557.17105263157896</v>
      </c>
      <c r="K8" s="991">
        <f>SUM([3]February_2017!$E12)</f>
        <v>608</v>
      </c>
      <c r="L8" s="1017">
        <v>0.79166666666666663</v>
      </c>
      <c r="M8" s="32">
        <f>SUM([3]February_2017!$M12)</f>
        <v>23</v>
      </c>
      <c r="N8" s="237"/>
      <c r="O8" s="32">
        <f>SUM([3]February_2017!$H12)</f>
        <v>0</v>
      </c>
      <c r="P8" s="33">
        <f>SUM([3]February_2017!$P12)</f>
        <v>0.33123689727464561</v>
      </c>
      <c r="Q8" s="32"/>
      <c r="R8" s="1039">
        <f>($G8+$G9)/(($K8/60)*AE$3*(1/24))</f>
        <v>0.89147368421052631</v>
      </c>
      <c r="S8" s="1039">
        <f>($G8+$G9)/(($K8/60)*AF$3*(1/24))</f>
        <v>0.78659442724458206</v>
      </c>
      <c r="T8" s="1039">
        <f>(G8+G9)*24/(K8/60)/15000</f>
        <v>0.89147368421052631</v>
      </c>
      <c r="U8" s="129">
        <f>(H8+H11)*24/(M8/60)/15000</f>
        <v>2.599688347826087</v>
      </c>
      <c r="V8" s="1047">
        <f>(G8+G9)*24/(K8/60)/17000</f>
        <v>0.78659442724458206</v>
      </c>
      <c r="W8" s="1035">
        <f>(597-(M8+M9))/597</f>
        <v>0.91792294807370189</v>
      </c>
      <c r="X8" s="1013" t="s">
        <v>449</v>
      </c>
      <c r="Y8" s="1014"/>
      <c r="Z8" s="1014"/>
      <c r="AA8" s="1014"/>
      <c r="AB8" s="1014"/>
      <c r="AC8" s="1014"/>
      <c r="AD8" s="1015"/>
      <c r="AE8" s="19">
        <v>15000</v>
      </c>
      <c r="AF8" s="19">
        <v>17000</v>
      </c>
    </row>
    <row r="9" spans="2:32" s="19" customFormat="1" ht="35.25" customHeight="1" x14ac:dyDescent="0.2">
      <c r="B9" s="1038"/>
      <c r="C9" s="26" t="s">
        <v>27</v>
      </c>
      <c r="D9" s="27">
        <v>1400</v>
      </c>
      <c r="E9" s="1053"/>
      <c r="F9" s="29">
        <f>SUM([3]February_2017!$J13)</f>
        <v>95.6</v>
      </c>
      <c r="G9" s="30">
        <f>SUM([3]February_2017!$F13)</f>
        <v>1324</v>
      </c>
      <c r="H9" s="29">
        <f>SUM([3]February_2017!$K13)</f>
        <v>93.084000000000003</v>
      </c>
      <c r="I9" s="31">
        <f>SUM([3]February_2017!$N13)</f>
        <v>6.25</v>
      </c>
      <c r="J9" s="992"/>
      <c r="K9" s="992"/>
      <c r="L9" s="1018"/>
      <c r="M9" s="32">
        <f>SUM([3]February_2017!$M13)</f>
        <v>26</v>
      </c>
      <c r="N9" s="237">
        <f>[4]Feb!$I$9/K8</f>
        <v>6.5789473684210523E-2</v>
      </c>
      <c r="O9" s="32">
        <f>SUM([3]February_2017!$H13)</f>
        <v>0</v>
      </c>
      <c r="P9" s="33">
        <f>SUM([3]February_2017!$P13)</f>
        <v>2.6317991631799069</v>
      </c>
      <c r="Q9" s="32"/>
      <c r="R9" s="1040"/>
      <c r="S9" s="1040"/>
      <c r="T9" s="1040"/>
      <c r="U9" s="129"/>
      <c r="V9" s="1048"/>
      <c r="W9" s="1036"/>
      <c r="X9" s="1013" t="s">
        <v>448</v>
      </c>
      <c r="Y9" s="1014"/>
      <c r="Z9" s="1014"/>
      <c r="AA9" s="1014"/>
      <c r="AB9" s="1014"/>
      <c r="AC9" s="1014"/>
      <c r="AD9" s="1015"/>
      <c r="AE9" s="19">
        <v>15000</v>
      </c>
      <c r="AF9" s="19">
        <v>17000</v>
      </c>
    </row>
    <row r="10" spans="2:32" s="19" customFormat="1" ht="73.5" customHeight="1" x14ac:dyDescent="0.2">
      <c r="B10" s="168">
        <v>42776</v>
      </c>
      <c r="C10" s="26" t="s">
        <v>27</v>
      </c>
      <c r="D10" s="27">
        <v>4200</v>
      </c>
      <c r="E10" s="28">
        <v>0.30833333333333335</v>
      </c>
      <c r="F10" s="29">
        <f>SUM([3]February_2017!$J14)</f>
        <v>284</v>
      </c>
      <c r="G10" s="30">
        <f>SUM([3]February_2017!$F14)</f>
        <v>4287</v>
      </c>
      <c r="H10" s="29">
        <f>SUM([3]February_2017!$K14)</f>
        <v>282.94200000000001</v>
      </c>
      <c r="I10" s="31">
        <f>SUM([3]February_2017!$N14)</f>
        <v>21.5</v>
      </c>
      <c r="J10" s="32">
        <f>SUM([3]February_2017!$Q14)</f>
        <v>546.1146496815287</v>
      </c>
      <c r="K10" s="32">
        <f>SUM([3]February_2017!$E14)</f>
        <v>471</v>
      </c>
      <c r="L10" s="169">
        <v>0.69652777777777775</v>
      </c>
      <c r="M10" s="32">
        <f>SUM([3]February_2017!$M14)</f>
        <v>62</v>
      </c>
      <c r="N10" s="236">
        <f>[4]Feb!$I$13/K10</f>
        <v>1.4861995753715499E-2</v>
      </c>
      <c r="O10" s="32"/>
      <c r="P10" s="33">
        <f>SUM([3]February_2017!$P14)</f>
        <v>0.37253521126760308</v>
      </c>
      <c r="Q10" s="32"/>
      <c r="R10" s="224">
        <f>($G10)/(($K10/60)*AE$3*(1/24))</f>
        <v>0.8737834394904459</v>
      </c>
      <c r="S10" s="224">
        <f>($G10)/(($K10/60)*AF$3*(1/24))</f>
        <v>0.77098538778568759</v>
      </c>
      <c r="T10" s="224">
        <f>(G10)*24/(K10/60)/15000</f>
        <v>0.8737834394904459</v>
      </c>
      <c r="U10" s="129">
        <f>(H10+H13)*24/(M10/60)/15000</f>
        <v>0.49533212903225793</v>
      </c>
      <c r="V10" s="225">
        <f>(G10)*24/(K10/60)/17000</f>
        <v>0.77098538778568748</v>
      </c>
      <c r="W10" s="233">
        <f>(591-M10)/591</f>
        <v>0.89509306260575294</v>
      </c>
      <c r="X10" s="1013" t="s">
        <v>450</v>
      </c>
      <c r="Y10" s="1014"/>
      <c r="Z10" s="1014"/>
      <c r="AA10" s="1014"/>
      <c r="AB10" s="1014"/>
      <c r="AC10" s="1014"/>
      <c r="AD10" s="1015"/>
      <c r="AE10" s="19">
        <v>15000</v>
      </c>
      <c r="AF10" s="19">
        <v>17000</v>
      </c>
    </row>
    <row r="11" spans="2:32" s="19" customFormat="1" ht="72.75" customHeight="1" x14ac:dyDescent="0.2">
      <c r="B11" s="168">
        <v>42779</v>
      </c>
      <c r="C11" s="26" t="s">
        <v>29</v>
      </c>
      <c r="D11" s="27">
        <v>4900</v>
      </c>
      <c r="E11" s="28">
        <v>0.33333333333333331</v>
      </c>
      <c r="F11" s="29">
        <f>SUM([3]February_2017!$J15)</f>
        <v>339.90000000000003</v>
      </c>
      <c r="G11" s="30">
        <f>SUM([3]February_2017!$F15)</f>
        <v>5115</v>
      </c>
      <c r="H11" s="29">
        <f>SUM([3]February_2017!$K15)</f>
        <v>337.59000000000003</v>
      </c>
      <c r="I11" s="31">
        <f>SUM([3]February_2017!$N15)</f>
        <v>11.25</v>
      </c>
      <c r="J11" s="32">
        <f>SUM([3]February_2017!$Q15)</f>
        <v>514.93288590604027</v>
      </c>
      <c r="K11" s="32">
        <f>SUM([3]February_2017!$E15)</f>
        <v>596</v>
      </c>
      <c r="L11" s="169">
        <v>0.78194444444444444</v>
      </c>
      <c r="M11" s="32">
        <f>SUM([3]February_2017!$M15)</f>
        <v>49</v>
      </c>
      <c r="N11" s="236"/>
      <c r="O11" s="32"/>
      <c r="P11" s="33">
        <f>SUM([3]February_2017!$P15)</f>
        <v>0.67961165048543748</v>
      </c>
      <c r="Q11" s="32"/>
      <c r="R11" s="224">
        <f>($G11)/(($K11/60)*AE$3*(1/24))</f>
        <v>0.82389261744966447</v>
      </c>
      <c r="S11" s="224">
        <f>($G11)/(($K11/60)*AF$3*(1/24))</f>
        <v>0.72696407422029219</v>
      </c>
      <c r="T11" s="224">
        <f>(G11)*24/(K11/60)/15000</f>
        <v>0.82389261744966436</v>
      </c>
      <c r="U11" s="129">
        <f>(H11+H14)*24/(M11/60)/15000</f>
        <v>1.3389648979591837</v>
      </c>
      <c r="V11" s="225">
        <f>(G11)*24/(K11/60)/17000</f>
        <v>0.72696407422029208</v>
      </c>
      <c r="W11" s="233">
        <f>(686-M11)/686</f>
        <v>0.9285714285714286</v>
      </c>
      <c r="X11" s="1013" t="s">
        <v>451</v>
      </c>
      <c r="Y11" s="1014"/>
      <c r="Z11" s="1014"/>
      <c r="AA11" s="1014"/>
      <c r="AB11" s="1014"/>
      <c r="AC11" s="1014"/>
      <c r="AD11" s="1015"/>
      <c r="AE11" s="19">
        <v>15000</v>
      </c>
      <c r="AF11" s="19">
        <v>17000</v>
      </c>
    </row>
    <row r="12" spans="2:32" s="19" customFormat="1" ht="54" customHeight="1" x14ac:dyDescent="0.2">
      <c r="B12" s="1037">
        <v>42780</v>
      </c>
      <c r="C12" s="26" t="s">
        <v>29</v>
      </c>
      <c r="D12" s="27">
        <v>4900</v>
      </c>
      <c r="E12" s="1051">
        <v>0.31319444444444444</v>
      </c>
      <c r="F12" s="29">
        <f>SUM([3]February_2017!$J16)</f>
        <v>320.59999999999997</v>
      </c>
      <c r="G12" s="30">
        <f>SUM([3]February_2017!$F16)</f>
        <v>4707</v>
      </c>
      <c r="H12" s="29">
        <f>SUM([3]February_2017!$K16)</f>
        <v>320.16200000000003</v>
      </c>
      <c r="I12" s="31">
        <f>SUM([3]February_2017!$N16)</f>
        <v>38.75</v>
      </c>
      <c r="J12" s="991">
        <f>SUM([3]February_2017!$Q16)</f>
        <v>531.1260504201681</v>
      </c>
      <c r="K12" s="991">
        <f>SUM([3]February_2017!$E16)</f>
        <v>595</v>
      </c>
      <c r="L12" s="1017">
        <v>0.78402777777777777</v>
      </c>
      <c r="M12" s="32">
        <f>SUM([3]February_2017!$M16)</f>
        <v>71</v>
      </c>
      <c r="N12" s="236"/>
      <c r="O12" s="32"/>
      <c r="P12" s="33">
        <f>SUM([3]February_2017!$P16)</f>
        <v>0.13661883967558683</v>
      </c>
      <c r="Q12" s="32"/>
      <c r="R12" s="1039">
        <f>($G12+$G13)/(($K12/60)*AE$3*(1/24))</f>
        <v>0.84980168067226902</v>
      </c>
      <c r="S12" s="1039">
        <f>($G12+$G13)/(($K12/60)*AF$3*(1/24))</f>
        <v>0.74982501235788446</v>
      </c>
      <c r="T12" s="1039">
        <f>(G12+G13)*24/(K12/60)/15000</f>
        <v>0.84980168067226902</v>
      </c>
      <c r="U12" s="129">
        <f>(H12+H15)*24/(M12/60)/15000</f>
        <v>0.82304991549295781</v>
      </c>
      <c r="V12" s="1047">
        <f>(G12+G13)*24/(K12/60)/17000</f>
        <v>0.74982501235788446</v>
      </c>
      <c r="W12" s="1035">
        <f>(709-(M12+M13))/709</f>
        <v>0.87447108603667134</v>
      </c>
      <c r="X12" s="1013" t="s">
        <v>453</v>
      </c>
      <c r="Y12" s="1014"/>
      <c r="Z12" s="1014"/>
      <c r="AA12" s="1014"/>
      <c r="AB12" s="1014"/>
      <c r="AC12" s="1014"/>
      <c r="AD12" s="1015"/>
      <c r="AE12" s="19">
        <v>15000</v>
      </c>
      <c r="AF12" s="19">
        <v>17000</v>
      </c>
    </row>
    <row r="13" spans="2:32" s="19" customFormat="1" ht="27" customHeight="1" x14ac:dyDescent="0.2">
      <c r="B13" s="1038"/>
      <c r="C13" s="26" t="s">
        <v>27</v>
      </c>
      <c r="D13" s="27"/>
      <c r="E13" s="1053"/>
      <c r="F13" s="29">
        <f>SUM([3]February_2017!$J17)</f>
        <v>37.900000000000006</v>
      </c>
      <c r="G13" s="30">
        <f>SUM([3]February_2017!$F17)</f>
        <v>560</v>
      </c>
      <c r="H13" s="29">
        <f>SUM([3]February_2017!$K17)</f>
        <v>36.96</v>
      </c>
      <c r="I13" s="31">
        <f>SUM([3]February_2017!$N17)</f>
        <v>1.5</v>
      </c>
      <c r="J13" s="992"/>
      <c r="K13" s="992"/>
      <c r="L13" s="1018"/>
      <c r="M13" s="32">
        <f>SUM([3]February_2017!$M17)</f>
        <v>18</v>
      </c>
      <c r="N13" s="236">
        <f>[4]Feb!$I$16/K12</f>
        <v>2.1848739495798318E-2</v>
      </c>
      <c r="O13" s="32"/>
      <c r="P13" s="33">
        <f>SUM([3]February_2017!$P17)</f>
        <v>2.4802110817942076</v>
      </c>
      <c r="Q13" s="32"/>
      <c r="R13" s="1040"/>
      <c r="S13" s="1040"/>
      <c r="T13" s="1040"/>
      <c r="U13" s="129"/>
      <c r="V13" s="1048"/>
      <c r="W13" s="1036"/>
      <c r="X13" s="1013" t="s">
        <v>452</v>
      </c>
      <c r="Y13" s="1014"/>
      <c r="Z13" s="1014"/>
      <c r="AA13" s="1014"/>
      <c r="AB13" s="1014"/>
      <c r="AC13" s="1014"/>
      <c r="AD13" s="1015"/>
      <c r="AE13" s="19">
        <v>15000</v>
      </c>
      <c r="AF13" s="19">
        <v>17000</v>
      </c>
    </row>
    <row r="14" spans="2:32" s="19" customFormat="1" ht="39.75" customHeight="1" x14ac:dyDescent="0.2">
      <c r="B14" s="168">
        <v>42781</v>
      </c>
      <c r="C14" s="26" t="s">
        <v>27</v>
      </c>
      <c r="D14" s="27">
        <v>5600</v>
      </c>
      <c r="E14" s="28">
        <v>0.3215277777777778</v>
      </c>
      <c r="F14" s="29">
        <f>SUM([3]February_2017!$J18)</f>
        <v>347</v>
      </c>
      <c r="G14" s="30">
        <f>SUM([3]February_2017!$F18)</f>
        <v>5240</v>
      </c>
      <c r="H14" s="29">
        <f>SUM([3]February_2017!$K18)</f>
        <v>345.84000000000003</v>
      </c>
      <c r="I14" s="31">
        <f>SUM([3]February_2017!$N18)</f>
        <v>33.75</v>
      </c>
      <c r="J14" s="32">
        <f>SUM([3]February_2017!$Q18)</f>
        <v>583.30241187384047</v>
      </c>
      <c r="K14" s="32">
        <f>SUM([3]February_2017!$E18)</f>
        <v>539</v>
      </c>
      <c r="L14" s="169">
        <v>0.75</v>
      </c>
      <c r="M14" s="32">
        <f>SUM([3]February_2017!$M18)</f>
        <v>49</v>
      </c>
      <c r="N14" s="236"/>
      <c r="O14" s="32"/>
      <c r="P14" s="33">
        <f>SUM([3]February_2017!$P18)</f>
        <v>0.33429394812679197</v>
      </c>
      <c r="Q14" s="32"/>
      <c r="R14" s="224">
        <f>($G14)/(($K14/60)*AE$3*(1/24))</f>
        <v>0.93328385899814481</v>
      </c>
      <c r="S14" s="224">
        <f>($G14)/(($K14/60)*AF$3*(1/24))</f>
        <v>0.8234857579395396</v>
      </c>
      <c r="T14" s="224">
        <f>(G14)*24/(K14/60)/15000</f>
        <v>0.93328385899814481</v>
      </c>
      <c r="U14" s="129">
        <f>(H14+H17)*24/(M14/60)/15000</f>
        <v>0.84317387755102047</v>
      </c>
      <c r="V14" s="225">
        <f>(G14)*24/(K14/60)/17000</f>
        <v>0.82348575793953949</v>
      </c>
      <c r="W14" s="233">
        <f>(654-M14)/654</f>
        <v>0.92507645259938842</v>
      </c>
      <c r="X14" s="1013" t="s">
        <v>454</v>
      </c>
      <c r="Y14" s="1014"/>
      <c r="Z14" s="1014"/>
      <c r="AA14" s="1014"/>
      <c r="AB14" s="1014"/>
      <c r="AC14" s="1014"/>
      <c r="AD14" s="1015"/>
      <c r="AE14" s="19">
        <v>15000</v>
      </c>
      <c r="AF14" s="19">
        <v>17000</v>
      </c>
    </row>
    <row r="15" spans="2:32" s="19" customFormat="1" ht="74.25" customHeight="1" x14ac:dyDescent="0.2">
      <c r="B15" s="168">
        <v>42782</v>
      </c>
      <c r="C15" s="26" t="s">
        <v>33</v>
      </c>
      <c r="D15" s="27">
        <v>4200</v>
      </c>
      <c r="E15" s="28">
        <v>0.31458333333333333</v>
      </c>
      <c r="F15" s="29">
        <f>SUM([3]February_2017!$J19)</f>
        <v>289.5</v>
      </c>
      <c r="G15" s="30">
        <f>SUM([3]February_2017!$F19)</f>
        <v>4372</v>
      </c>
      <c r="H15" s="29">
        <f>SUM([3]February_2017!$K19)</f>
        <v>288.55200000000002</v>
      </c>
      <c r="I15" s="31">
        <f>SUM([3]February_2017!$N19)</f>
        <v>16.75</v>
      </c>
      <c r="J15" s="32">
        <f>SUM([3]February_2017!$Q19)</f>
        <v>484.87985212569311</v>
      </c>
      <c r="K15" s="32">
        <f>SUM([3]February_2017!$E19)</f>
        <v>541</v>
      </c>
      <c r="L15" s="169">
        <v>0.75</v>
      </c>
      <c r="M15" s="32">
        <f>SUM([3]February_2017!$M19)</f>
        <v>121</v>
      </c>
      <c r="N15" s="236"/>
      <c r="O15" s="32"/>
      <c r="P15" s="33">
        <f>SUM([3]February_2017!$P19)</f>
        <v>0.32746113989636583</v>
      </c>
      <c r="Q15" s="32"/>
      <c r="R15" s="224">
        <f>($G15)/(($K15/60)*AE$3*(1/24))</f>
        <v>0.77580776340110913</v>
      </c>
      <c r="S15" s="224">
        <f>($G15)/(($K15/60)*AF$3*(1/24))</f>
        <v>0.684536261824508</v>
      </c>
      <c r="T15" s="224">
        <f>(G15)*24/(K15/60)/15000</f>
        <v>0.77580776340110902</v>
      </c>
      <c r="U15" s="129">
        <f>(H15+H18)*24/(M15/60)/15000</f>
        <v>0.2974405289256199</v>
      </c>
      <c r="V15" s="225">
        <f>(G15)*24/(K15/60)/17000</f>
        <v>0.68453626182450789</v>
      </c>
      <c r="W15" s="233">
        <f>(652-M15)/652</f>
        <v>0.81441717791411039</v>
      </c>
      <c r="X15" s="1013" t="s">
        <v>455</v>
      </c>
      <c r="Y15" s="1014"/>
      <c r="Z15" s="1014"/>
      <c r="AA15" s="1014"/>
      <c r="AB15" s="1014"/>
      <c r="AC15" s="1014"/>
      <c r="AD15" s="1015"/>
      <c r="AE15" s="19">
        <v>15000</v>
      </c>
      <c r="AF15" s="19">
        <v>17000</v>
      </c>
    </row>
    <row r="16" spans="2:32" s="19" customFormat="1" ht="59.25" customHeight="1" x14ac:dyDescent="0.2">
      <c r="B16" s="1037">
        <v>42783</v>
      </c>
      <c r="C16" s="26" t="str">
        <f>[3]February_2017!$D20</f>
        <v>GINGER</v>
      </c>
      <c r="D16" s="27">
        <v>1200</v>
      </c>
      <c r="E16" s="1051">
        <v>0.32291666666666669</v>
      </c>
      <c r="F16" s="29">
        <f>SUM([3]February_2017!$J20)</f>
        <v>90.4</v>
      </c>
      <c r="G16" s="30">
        <f>SUM([3]February_2017!$F20)</f>
        <v>1126</v>
      </c>
      <c r="H16" s="29">
        <f>SUM([3]February_2017!$K20)</f>
        <v>88.954000000000008</v>
      </c>
      <c r="I16" s="31">
        <f>SUM([3]February_2017!$N20)</f>
        <v>1.75</v>
      </c>
      <c r="J16" s="991">
        <f>SUM([3]February_2017!$Q20)</f>
        <v>401.09756097560978</v>
      </c>
      <c r="K16" s="991">
        <f>SUM([3]February_2017!$E20)</f>
        <v>492</v>
      </c>
      <c r="L16" s="1017">
        <v>0.70833333333333337</v>
      </c>
      <c r="M16" s="32">
        <f>SUM([3]February_2017!$M20)</f>
        <v>49</v>
      </c>
      <c r="N16" s="237"/>
      <c r="O16" s="32"/>
      <c r="P16" s="33">
        <f>SUM([3]February_2017!$P20)</f>
        <v>1.5995575221238914</v>
      </c>
      <c r="Q16" s="32"/>
      <c r="R16" s="1039">
        <f>($G$16+$G$17+$G$18)/(($K$16/60)*AE3*(1/24))</f>
        <v>0.64175609756097574</v>
      </c>
      <c r="S16" s="1039">
        <f>($G$16+$G$17+$G$18)/(($K$16/60)*AF3*(1/24))</f>
        <v>0.56625538020086086</v>
      </c>
      <c r="T16" s="1039">
        <f>(G16+G17+G18)*24/(K16/60)/15000</f>
        <v>0.64175609756097574</v>
      </c>
      <c r="U16" s="129">
        <f>(H16+H19)*24/(M16/60)/15000</f>
        <v>0.72678661224489804</v>
      </c>
      <c r="V16" s="1047">
        <f>(G16+G17+G18)*24/(K16/60)/17000</f>
        <v>0.56625538020086097</v>
      </c>
      <c r="W16" s="1035">
        <f>(590-M16)/590</f>
        <v>0.91694915254237286</v>
      </c>
      <c r="X16" s="1013" t="s">
        <v>456</v>
      </c>
      <c r="Y16" s="1014"/>
      <c r="Z16" s="1014"/>
      <c r="AA16" s="1014"/>
      <c r="AB16" s="1014"/>
      <c r="AC16" s="1014"/>
      <c r="AD16" s="1015"/>
      <c r="AE16" s="19">
        <v>15000</v>
      </c>
      <c r="AF16" s="19">
        <v>17000</v>
      </c>
    </row>
    <row r="17" spans="2:32" s="19" customFormat="1" ht="39.75" customHeight="1" x14ac:dyDescent="0.2">
      <c r="B17" s="1050"/>
      <c r="C17" s="26" t="str">
        <f>[3]February_2017!$D21</f>
        <v>BANANA</v>
      </c>
      <c r="D17" s="27">
        <v>1200</v>
      </c>
      <c r="E17" s="1052"/>
      <c r="F17" s="29">
        <f>SUM([3]February_2017!$J21)</f>
        <v>90.4</v>
      </c>
      <c r="G17" s="30">
        <f>SUM([3]February_2017!$F21)</f>
        <v>1070</v>
      </c>
      <c r="H17" s="29">
        <f>SUM([3]February_2017!$K21)</f>
        <v>84.53</v>
      </c>
      <c r="I17" s="31">
        <f>SUM([3]February_2017!$N21)</f>
        <v>0.5</v>
      </c>
      <c r="J17" s="1042"/>
      <c r="K17" s="1042"/>
      <c r="L17" s="1055"/>
      <c r="M17" s="32">
        <f>SUM([3]February_2017!$M21)</f>
        <v>43</v>
      </c>
      <c r="N17" s="237">
        <f>[4]Feb!$I$20/K16</f>
        <v>5.4878048780487805E-2</v>
      </c>
      <c r="O17" s="32"/>
      <c r="P17" s="33">
        <f>SUM([3]February_2017!$P21)</f>
        <v>6.4933628318584109</v>
      </c>
      <c r="Q17" s="32"/>
      <c r="R17" s="1041"/>
      <c r="S17" s="1041"/>
      <c r="T17" s="1041"/>
      <c r="U17" s="129"/>
      <c r="V17" s="1049"/>
      <c r="W17" s="1054"/>
      <c r="X17" s="1013" t="s">
        <v>457</v>
      </c>
      <c r="Y17" s="1014"/>
      <c r="Z17" s="1014"/>
      <c r="AA17" s="1014"/>
      <c r="AB17" s="1014"/>
      <c r="AC17" s="1014"/>
      <c r="AD17" s="1015"/>
      <c r="AE17" s="19">
        <v>15000</v>
      </c>
      <c r="AF17" s="19">
        <v>17000</v>
      </c>
    </row>
    <row r="18" spans="2:32" s="19" customFormat="1" ht="55.5" customHeight="1" x14ac:dyDescent="0.2">
      <c r="B18" s="1038"/>
      <c r="C18" s="26" t="str">
        <f>[3]February_2017!$D22</f>
        <v>GRAPE</v>
      </c>
      <c r="D18" s="27">
        <v>1200</v>
      </c>
      <c r="E18" s="1053"/>
      <c r="F18" s="29">
        <f>SUM([3]February_2017!$J22)</f>
        <v>90.4</v>
      </c>
      <c r="G18" s="30">
        <f>SUM([3]February_2017!$F22)</f>
        <v>1093</v>
      </c>
      <c r="H18" s="29">
        <f>SUM([3]February_2017!$K22)</f>
        <v>86.346999999999994</v>
      </c>
      <c r="I18" s="31">
        <f>SUM([3]February_2017!$N22)</f>
        <v>6.75</v>
      </c>
      <c r="J18" s="992"/>
      <c r="K18" s="992"/>
      <c r="L18" s="1018"/>
      <c r="M18" s="32">
        <f>SUM([3]February_2017!$M22)</f>
        <v>90</v>
      </c>
      <c r="N18" s="237">
        <f>[4]Feb!$I$21/K16</f>
        <v>3.8617886178861791E-2</v>
      </c>
      <c r="O18" s="32"/>
      <c r="P18" s="33">
        <f>SUM([3]February_2017!$P22)</f>
        <v>4.4834070796460308</v>
      </c>
      <c r="Q18" s="32"/>
      <c r="R18" s="1040"/>
      <c r="S18" s="1040"/>
      <c r="T18" s="1040"/>
      <c r="U18" s="129"/>
      <c r="V18" s="1048"/>
      <c r="W18" s="1036"/>
      <c r="X18" s="1013" t="s">
        <v>458</v>
      </c>
      <c r="Y18" s="1014"/>
      <c r="Z18" s="1014"/>
      <c r="AA18" s="1014"/>
      <c r="AB18" s="1014"/>
      <c r="AC18" s="1014"/>
      <c r="AD18" s="1015"/>
      <c r="AE18" s="19">
        <v>15000</v>
      </c>
      <c r="AF18" s="19">
        <v>17000</v>
      </c>
    </row>
    <row r="19" spans="2:32" s="19" customFormat="1" ht="55.5" customHeight="1" x14ac:dyDescent="0.2">
      <c r="B19" s="168">
        <v>42786</v>
      </c>
      <c r="C19" s="26" t="s">
        <v>29</v>
      </c>
      <c r="D19" s="27">
        <v>4200</v>
      </c>
      <c r="E19" s="28">
        <v>0.38194444444444442</v>
      </c>
      <c r="F19" s="29">
        <f>SUM([3]February_2017!$J23)</f>
        <v>284.5</v>
      </c>
      <c r="G19" s="30">
        <f>SUM([3]February_2017!$F23)</f>
        <v>3985</v>
      </c>
      <c r="H19" s="29">
        <f>SUM([3]February_2017!$K23)</f>
        <v>282.01</v>
      </c>
      <c r="I19" s="31">
        <f>SUM([3]February_2017!$N23)</f>
        <v>27.75</v>
      </c>
      <c r="J19" s="32">
        <f>SUM([3]February_2017!$Q23)</f>
        <v>496.05809128630705</v>
      </c>
      <c r="K19" s="32">
        <f>SUM([3]February_2017!$E23)</f>
        <v>482</v>
      </c>
      <c r="L19" s="169">
        <v>0.71111111111111114</v>
      </c>
      <c r="M19" s="32">
        <f>SUM([3]February_2017!$M23)</f>
        <v>114</v>
      </c>
      <c r="N19" s="236"/>
      <c r="O19" s="32"/>
      <c r="P19" s="33">
        <f>SUM([3]February_2017!$P23)</f>
        <v>0.87521968365553926</v>
      </c>
      <c r="Q19" s="32"/>
      <c r="R19" s="224">
        <f>($G$19)/(($K$19/60)*15000*(1/24))</f>
        <v>0.79369294605809138</v>
      </c>
      <c r="S19" s="224">
        <f>($G$19)/(($K$19/60)*17000*(1/24))</f>
        <v>0.70031730534537473</v>
      </c>
      <c r="T19" s="224">
        <f>(G19)*24/(K19/60)/15000</f>
        <v>0.79369294605809126</v>
      </c>
      <c r="U19" s="129">
        <f>(H19+H22)*24/(M19/60)/15000</f>
        <v>0.46919073684210527</v>
      </c>
      <c r="V19" s="225">
        <f>(G19)*24/(K19/60)/17000</f>
        <v>0.70031730534537473</v>
      </c>
      <c r="W19" s="233">
        <f>(532-M19)/532</f>
        <v>0.7857142857142857</v>
      </c>
      <c r="X19" s="1013" t="s">
        <v>459</v>
      </c>
      <c r="Y19" s="1014"/>
      <c r="Z19" s="1014"/>
      <c r="AA19" s="1014"/>
      <c r="AB19" s="1014"/>
      <c r="AC19" s="1014"/>
      <c r="AD19" s="1015"/>
      <c r="AE19" s="19">
        <v>15000</v>
      </c>
      <c r="AF19" s="19">
        <v>17000</v>
      </c>
    </row>
    <row r="20" spans="2:32" s="19" customFormat="1" ht="34.5" customHeight="1" x14ac:dyDescent="0.2">
      <c r="B20" s="1037">
        <v>42787</v>
      </c>
      <c r="C20" s="26" t="str">
        <f>[3]February_2017!$D24</f>
        <v>CARIB (FLINT)</v>
      </c>
      <c r="D20" s="27">
        <v>500</v>
      </c>
      <c r="E20" s="1051">
        <v>0.31111111111111112</v>
      </c>
      <c r="F20" s="989">
        <f>SUM([3]February_2017!$J24)</f>
        <v>263.29999999999995</v>
      </c>
      <c r="G20" s="30">
        <f>SUM([3]February_2017!$F24)</f>
        <v>992</v>
      </c>
      <c r="H20" s="989">
        <f>SUM([3]February_2017!$K24)</f>
        <v>262.03000000000003</v>
      </c>
      <c r="I20" s="1004">
        <f>SUM([3]February_2017!$N24)</f>
        <v>17.5</v>
      </c>
      <c r="J20" s="991">
        <f>SUM([3]February_2017!$Q24)</f>
        <v>539.16083916083915</v>
      </c>
      <c r="K20" s="991">
        <f>SUM([3]February_2017!$E24)</f>
        <v>429</v>
      </c>
      <c r="L20" s="1017">
        <v>0.66805555555555562</v>
      </c>
      <c r="M20" s="991">
        <f>SUM([3]February_2017!$M24)</f>
        <v>39</v>
      </c>
      <c r="N20" s="1043">
        <f>[4]Feb!$I$23/K20</f>
        <v>1.1655011655011656E-2</v>
      </c>
      <c r="O20" s="32"/>
      <c r="P20" s="1045">
        <f>SUM([3]February_2017!$P24)</f>
        <v>0.48233953665018048</v>
      </c>
      <c r="Q20" s="32"/>
      <c r="R20" s="1039">
        <f>($G$20+$G$21)/(($K$20/60)*15000*(1/24))</f>
        <v>0.86265734265734262</v>
      </c>
      <c r="S20" s="1039">
        <f>($G$20+$G$21)/(($K$20/60)*17000*(1/24))</f>
        <v>0.76116824352118473</v>
      </c>
      <c r="T20" s="1039">
        <f>(G20+G21)*24/(K20/60)/15000</f>
        <v>0.86265734265734262</v>
      </c>
      <c r="U20" s="129">
        <f>(H20+H23)*24/(M20/60)/15000</f>
        <v>1.326848</v>
      </c>
      <c r="V20" s="1047">
        <f>(G20+G21)*24/(K20/60)/17000</f>
        <v>0.76116824352118462</v>
      </c>
      <c r="W20" s="1035">
        <f>(542-M20)/542</f>
        <v>0.9280442804428044</v>
      </c>
      <c r="X20" s="1056" t="s">
        <v>463</v>
      </c>
      <c r="Y20" s="1057"/>
      <c r="Z20" s="1057"/>
      <c r="AA20" s="1057"/>
      <c r="AB20" s="1057"/>
      <c r="AC20" s="1057"/>
      <c r="AD20" s="1058"/>
      <c r="AE20" s="19">
        <v>15000</v>
      </c>
      <c r="AF20" s="19">
        <v>17000</v>
      </c>
    </row>
    <row r="21" spans="2:32" s="19" customFormat="1" ht="36" customHeight="1" x14ac:dyDescent="0.2">
      <c r="B21" s="1038"/>
      <c r="C21" s="26" t="str">
        <f>[3]February_2017!$D25</f>
        <v>CARIB (AMBER)</v>
      </c>
      <c r="D21" s="27">
        <v>3700</v>
      </c>
      <c r="E21" s="1053"/>
      <c r="F21" s="990"/>
      <c r="G21" s="30">
        <f>SUM([3]February_2017!$F25)</f>
        <v>2863</v>
      </c>
      <c r="H21" s="990"/>
      <c r="I21" s="1005"/>
      <c r="J21" s="992"/>
      <c r="K21" s="992"/>
      <c r="L21" s="1018"/>
      <c r="M21" s="992"/>
      <c r="N21" s="1044"/>
      <c r="O21" s="32"/>
      <c r="P21" s="1046"/>
      <c r="Q21" s="32"/>
      <c r="R21" s="1040"/>
      <c r="S21" s="1040"/>
      <c r="T21" s="1040"/>
      <c r="U21" s="129"/>
      <c r="V21" s="1048"/>
      <c r="W21" s="1036"/>
      <c r="X21" s="1059"/>
      <c r="Y21" s="1060"/>
      <c r="Z21" s="1060"/>
      <c r="AA21" s="1060"/>
      <c r="AB21" s="1060"/>
      <c r="AC21" s="1060"/>
      <c r="AD21" s="1061"/>
      <c r="AE21" s="19">
        <v>15000</v>
      </c>
      <c r="AF21" s="19">
        <v>17000</v>
      </c>
    </row>
    <row r="22" spans="2:32" s="19" customFormat="1" ht="57" customHeight="1" x14ac:dyDescent="0.2">
      <c r="B22" s="168">
        <v>42789</v>
      </c>
      <c r="C22" s="26" t="str">
        <f>[3]February_2017!$D26</f>
        <v>STAG</v>
      </c>
      <c r="D22" s="27">
        <v>4900</v>
      </c>
      <c r="E22" s="28">
        <v>0.31597222222222221</v>
      </c>
      <c r="F22" s="29">
        <f>SUM([3]February_2017!$J26)</f>
        <v>276.95000000000005</v>
      </c>
      <c r="G22" s="30">
        <f>SUM([3]February_2017!$F26)</f>
        <v>4169</v>
      </c>
      <c r="H22" s="29">
        <f>SUM([3]February_2017!$K26)</f>
        <v>275.154</v>
      </c>
      <c r="I22" s="31">
        <f>SUM([3]February_2017!$N26)</f>
        <v>12</v>
      </c>
      <c r="J22" s="32">
        <f>SUM([3]February_2017!$Q26)</f>
        <v>535.63169164882231</v>
      </c>
      <c r="K22" s="32">
        <f>SUM([3]February_2017!$E26)</f>
        <v>467</v>
      </c>
      <c r="L22" s="169">
        <v>0.69791666666666663</v>
      </c>
      <c r="M22" s="32">
        <f>SUM([3]February_2017!$M26)</f>
        <v>43</v>
      </c>
      <c r="N22" s="236"/>
      <c r="O22" s="32"/>
      <c r="P22" s="33">
        <f>SUM([3]February_2017!$P26)</f>
        <v>0.6484925076728828</v>
      </c>
      <c r="Q22" s="32"/>
      <c r="R22" s="224">
        <f>($G22)/(($K$22/60)*15000*(1/24))</f>
        <v>0.85701070663811574</v>
      </c>
      <c r="S22" s="224">
        <f>($G22)/(($K$22/60)*17000*(1/24))</f>
        <v>0.75618591762186682</v>
      </c>
      <c r="T22" s="224">
        <f>(G22)*24/(K22/60)/15000</f>
        <v>0.85701070663811563</v>
      </c>
      <c r="U22" s="129">
        <f>(H22+H25)*24/(M22/60)/15000</f>
        <v>1.533312</v>
      </c>
      <c r="V22" s="225">
        <f>(G22)*24/(K22/60)/17000</f>
        <v>0.75618591762186671</v>
      </c>
      <c r="W22" s="233">
        <f>(582-M22)/582</f>
        <v>0.92611683848797255</v>
      </c>
      <c r="X22" s="1013" t="s">
        <v>468</v>
      </c>
      <c r="Y22" s="1014"/>
      <c r="Z22" s="1014"/>
      <c r="AA22" s="1014"/>
      <c r="AB22" s="1014"/>
      <c r="AC22" s="1014"/>
      <c r="AD22" s="1015"/>
      <c r="AE22" s="19">
        <v>15000</v>
      </c>
      <c r="AF22" s="19">
        <v>17000</v>
      </c>
    </row>
    <row r="23" spans="2:32" s="19" customFormat="1" ht="80.25" customHeight="1" x14ac:dyDescent="0.2">
      <c r="B23" s="168">
        <v>42790</v>
      </c>
      <c r="C23" s="26" t="str">
        <f>[3]February_2017!$D27</f>
        <v>GUINNESS</v>
      </c>
      <c r="D23" s="27">
        <v>4200</v>
      </c>
      <c r="E23" s="28">
        <v>0.32291666666666669</v>
      </c>
      <c r="F23" s="29">
        <f>SUM([3]February_2017!$J27)</f>
        <v>278.10000000000002</v>
      </c>
      <c r="G23" s="30">
        <f>SUM([3]February_2017!$F27)</f>
        <v>4197</v>
      </c>
      <c r="H23" s="29">
        <f>SUM([3]February_2017!$K27)</f>
        <v>277.00200000000001</v>
      </c>
      <c r="I23" s="31">
        <f>SUM([3]February_2017!$N27)</f>
        <v>26</v>
      </c>
      <c r="J23" s="32">
        <f>SUM([3]February_2017!$Q27)</f>
        <v>369.77973568281942</v>
      </c>
      <c r="K23" s="32">
        <f>SUM([3]February_2017!$E27)</f>
        <v>681</v>
      </c>
      <c r="L23" s="169">
        <v>0.84861111111111109</v>
      </c>
      <c r="M23" s="32">
        <f>SUM([3]February_2017!$M27)</f>
        <v>239</v>
      </c>
      <c r="N23" s="236"/>
      <c r="O23" s="32"/>
      <c r="P23" s="33">
        <f>SUM([3]February_2017!$P27)</f>
        <v>0.39482200647249666</v>
      </c>
      <c r="Q23" s="32"/>
      <c r="R23" s="224">
        <f>($G23)/(($K$23/60)*15000*(1/24))</f>
        <v>0.59164757709251103</v>
      </c>
      <c r="S23" s="224">
        <f>($G23)/(($K$23/60)*17000*(1/24))</f>
        <v>0.52204197978750977</v>
      </c>
      <c r="T23" s="224">
        <f>(G23)*24/(K23/60)/15000</f>
        <v>0.59164757709251103</v>
      </c>
      <c r="U23" s="129">
        <f>(H23+H26)*24/(M23/60)/15000</f>
        <v>0.11126440167364018</v>
      </c>
      <c r="V23" s="225">
        <f>(G23)*24/(K23/60)/17000</f>
        <v>0.52204197978750966</v>
      </c>
      <c r="W23" s="233">
        <f>(795-M23)/795</f>
        <v>0.69937106918238989</v>
      </c>
      <c r="X23" s="1013" t="s">
        <v>469</v>
      </c>
      <c r="Y23" s="1014"/>
      <c r="Z23" s="1014"/>
      <c r="AA23" s="1014"/>
      <c r="AB23" s="1014"/>
      <c r="AC23" s="1014"/>
      <c r="AD23" s="1015"/>
      <c r="AE23" s="19">
        <v>15000</v>
      </c>
      <c r="AF23" s="19">
        <v>17000</v>
      </c>
    </row>
    <row r="24" spans="2:32" s="19" customFormat="1" ht="54.75" customHeight="1" x14ac:dyDescent="0.2">
      <c r="B24" s="168">
        <v>42793</v>
      </c>
      <c r="C24" s="26" t="str">
        <f>[3]February_2017!$D28</f>
        <v>CARIB (AMBER)</v>
      </c>
      <c r="D24" s="27">
        <v>4900</v>
      </c>
      <c r="E24" s="28">
        <v>0.31597222222222221</v>
      </c>
      <c r="F24" s="29">
        <f>SUM([3]February_2017!$J28)</f>
        <v>348.1</v>
      </c>
      <c r="G24" s="30">
        <f>SUM([3]February_2017!$F28)</f>
        <v>5036</v>
      </c>
      <c r="H24" s="29">
        <f>SUM([3]February_2017!$K28)</f>
        <v>345.67600000000004</v>
      </c>
      <c r="I24" s="31">
        <f>SUM([3]February_2017!$N28)</f>
        <v>31.25</v>
      </c>
      <c r="J24" s="32">
        <f>SUM([3]February_2017!$Q28)</f>
        <v>543.45323741007189</v>
      </c>
      <c r="K24" s="32">
        <f>SUM([3]February_2017!$E28)</f>
        <v>556</v>
      </c>
      <c r="L24" s="169">
        <v>0.75486111111111109</v>
      </c>
      <c r="M24" s="32">
        <f>SUM([3]February_2017!$M28)</f>
        <v>117</v>
      </c>
      <c r="N24" s="236"/>
      <c r="O24" s="32"/>
      <c r="P24" s="33">
        <f>SUM([3]February_2017!$P28)</f>
        <v>0.69635162309680498</v>
      </c>
      <c r="Q24" s="32"/>
      <c r="R24" s="224">
        <f>($G24)/(($K$24/60)*15000*(1/24))</f>
        <v>0.86952517985611522</v>
      </c>
      <c r="S24" s="224">
        <f>($G24)/(($K$24/60)*17000*(1/24))</f>
        <v>0.76722809987304275</v>
      </c>
      <c r="T24" s="224">
        <f>(G24)*24/(K24/60)/15000</f>
        <v>0.8695251798561151</v>
      </c>
      <c r="U24" s="129">
        <f>(H24+H27)*24/(M24/60)/15000</f>
        <v>0.28363158974358982</v>
      </c>
      <c r="V24" s="225">
        <f>(G24)*24/(K24/60)/17000</f>
        <v>0.76722809987304275</v>
      </c>
      <c r="W24" s="233">
        <f>(658-M24)/658</f>
        <v>0.82218844984802431</v>
      </c>
      <c r="X24" s="1013" t="s">
        <v>470</v>
      </c>
      <c r="Y24" s="1014"/>
      <c r="Z24" s="1014"/>
      <c r="AA24" s="1014"/>
      <c r="AB24" s="1014"/>
      <c r="AC24" s="1014"/>
      <c r="AD24" s="1015"/>
      <c r="AE24" s="19">
        <v>15000</v>
      </c>
      <c r="AF24" s="19">
        <v>17000</v>
      </c>
    </row>
    <row r="25" spans="2:32" s="19" customFormat="1" ht="57" customHeight="1" x14ac:dyDescent="0.2">
      <c r="B25" s="168">
        <v>42794</v>
      </c>
      <c r="C25" s="26" t="s">
        <v>27</v>
      </c>
      <c r="D25" s="27">
        <v>4900</v>
      </c>
      <c r="E25" s="28">
        <v>0.33680555555555558</v>
      </c>
      <c r="F25" s="29">
        <f>SUM([3]February_2017!$J29)</f>
        <v>412.90000000000003</v>
      </c>
      <c r="G25" s="30">
        <f>SUM([3]February_2017!$F29)</f>
        <v>6237</v>
      </c>
      <c r="H25" s="29">
        <f>SUM([3]February_2017!$K29)</f>
        <v>411.642</v>
      </c>
      <c r="I25" s="31">
        <f>SUM([3]February_2017!$N29)</f>
        <v>38.25</v>
      </c>
      <c r="J25" s="32">
        <f>SUM([3]February_2017!$Q29)</f>
        <v>591.18483412322269</v>
      </c>
      <c r="K25" s="32">
        <f>SUM([3]February_2017!$E29)</f>
        <v>633</v>
      </c>
      <c r="L25" s="169">
        <v>0.80763888888888891</v>
      </c>
      <c r="M25" s="32">
        <f>SUM([3]February_2017!$M29)</f>
        <v>65</v>
      </c>
      <c r="N25" s="236"/>
      <c r="O25" s="32"/>
      <c r="P25" s="33">
        <f>SUM([3]February_2017!$P29)</f>
        <v>0.30467425526762854</v>
      </c>
      <c r="Q25" s="32"/>
      <c r="R25" s="224">
        <f>($G25)/(($K$25/60)*15000*(1/24))</f>
        <v>0.94589573459715637</v>
      </c>
      <c r="S25" s="224">
        <f>($G25)/(($K$25/60)*17000*(1/24))</f>
        <v>0.83461388346807919</v>
      </c>
      <c r="T25" s="224">
        <f>(G25)*24/(K25/60)/15000</f>
        <v>0.94589573459715637</v>
      </c>
      <c r="U25" s="129">
        <f>(H25+H28)*24/(M25/60)/15000</f>
        <v>0.60796356923076933</v>
      </c>
      <c r="V25" s="225">
        <f>(G25)*24/(K25/60)/17000</f>
        <v>0.83461388346807919</v>
      </c>
      <c r="W25" s="233">
        <f>(736-M25)/736</f>
        <v>0.91168478260869568</v>
      </c>
      <c r="X25" s="1013" t="s">
        <v>471</v>
      </c>
      <c r="Y25" s="1014"/>
      <c r="Z25" s="1014"/>
      <c r="AA25" s="1014"/>
      <c r="AB25" s="1014"/>
      <c r="AC25" s="1014"/>
      <c r="AD25" s="1015"/>
      <c r="AE25" s="19">
        <v>15000</v>
      </c>
      <c r="AF25" s="19">
        <v>17000</v>
      </c>
    </row>
    <row r="26" spans="2:32" s="19" customFormat="1" ht="19.5" customHeight="1" thickBot="1" x14ac:dyDescent="0.25">
      <c r="B26" s="168"/>
      <c r="C26" s="26"/>
      <c r="D26" s="27"/>
      <c r="E26" s="28"/>
      <c r="F26" s="29"/>
      <c r="G26" s="30"/>
      <c r="H26" s="29"/>
      <c r="I26" s="31"/>
      <c r="J26" s="32"/>
      <c r="K26" s="32"/>
      <c r="L26" s="169"/>
      <c r="M26" s="32"/>
      <c r="N26" s="236"/>
      <c r="O26" s="32"/>
      <c r="P26" s="33"/>
      <c r="Q26" s="32"/>
      <c r="R26" s="129"/>
      <c r="S26" s="171"/>
      <c r="T26" s="129"/>
      <c r="U26" s="129"/>
      <c r="V26" s="227"/>
      <c r="W26" s="233"/>
      <c r="X26" s="1013"/>
      <c r="Y26" s="1014"/>
      <c r="Z26" s="1014"/>
      <c r="AA26" s="1014"/>
      <c r="AB26" s="1014"/>
      <c r="AC26" s="1014"/>
      <c r="AD26" s="1015"/>
      <c r="AE26" s="19">
        <v>15000</v>
      </c>
      <c r="AF26" s="19">
        <v>17000</v>
      </c>
    </row>
    <row r="27" spans="2:32" s="19" customFormat="1" ht="19.5" hidden="1" customHeight="1" x14ac:dyDescent="0.2">
      <c r="B27" s="168"/>
      <c r="C27" s="26"/>
      <c r="D27" s="27"/>
      <c r="E27" s="28"/>
      <c r="F27" s="29"/>
      <c r="G27" s="30"/>
      <c r="H27" s="29"/>
      <c r="I27" s="31"/>
      <c r="J27" s="32"/>
      <c r="K27" s="32"/>
      <c r="L27" s="169"/>
      <c r="M27" s="32"/>
      <c r="N27" s="236"/>
      <c r="O27" s="32"/>
      <c r="P27" s="33"/>
      <c r="Q27" s="32"/>
      <c r="R27" s="129"/>
      <c r="S27" s="171"/>
      <c r="T27" s="129"/>
      <c r="U27" s="129"/>
      <c r="V27" s="227"/>
      <c r="W27" s="233"/>
      <c r="X27" s="1013"/>
      <c r="Y27" s="1014"/>
      <c r="Z27" s="1014"/>
      <c r="AA27" s="1014"/>
      <c r="AB27" s="1014"/>
      <c r="AC27" s="1014"/>
      <c r="AD27" s="1015"/>
      <c r="AE27" s="19">
        <v>15000</v>
      </c>
      <c r="AF27" s="19">
        <v>17000</v>
      </c>
    </row>
    <row r="28" spans="2:32" s="19" customFormat="1" ht="19.5" hidden="1" customHeight="1" x14ac:dyDescent="0.2">
      <c r="B28" s="168"/>
      <c r="C28" s="26"/>
      <c r="D28" s="27"/>
      <c r="E28" s="28"/>
      <c r="F28" s="29"/>
      <c r="G28" s="30"/>
      <c r="H28" s="29"/>
      <c r="I28" s="31"/>
      <c r="J28" s="32"/>
      <c r="K28" s="32"/>
      <c r="L28" s="169"/>
      <c r="M28" s="32"/>
      <c r="N28" s="236"/>
      <c r="O28" s="32"/>
      <c r="P28" s="33"/>
      <c r="Q28" s="32"/>
      <c r="R28" s="129"/>
      <c r="S28" s="171"/>
      <c r="T28" s="129"/>
      <c r="U28" s="129"/>
      <c r="V28" s="227"/>
      <c r="W28" s="233"/>
      <c r="X28" s="1013"/>
      <c r="Y28" s="1014"/>
      <c r="Z28" s="1014"/>
      <c r="AA28" s="1014"/>
      <c r="AB28" s="1014"/>
      <c r="AC28" s="1014"/>
      <c r="AD28" s="1015"/>
      <c r="AE28" s="19">
        <v>15000</v>
      </c>
      <c r="AF28" s="19">
        <v>17000</v>
      </c>
    </row>
    <row r="29" spans="2:32" s="19" customFormat="1" ht="19.5" hidden="1" customHeight="1" x14ac:dyDescent="0.2">
      <c r="B29" s="168"/>
      <c r="C29" s="26"/>
      <c r="D29" s="27"/>
      <c r="E29" s="28"/>
      <c r="F29" s="29"/>
      <c r="G29" s="30"/>
      <c r="H29" s="29"/>
      <c r="I29" s="31"/>
      <c r="J29" s="32"/>
      <c r="K29" s="32"/>
      <c r="L29" s="169"/>
      <c r="M29" s="32"/>
      <c r="N29" s="236"/>
      <c r="O29" s="32"/>
      <c r="P29" s="33"/>
      <c r="Q29" s="32"/>
      <c r="R29" s="129"/>
      <c r="S29" s="171"/>
      <c r="T29" s="129"/>
      <c r="U29" s="129"/>
      <c r="V29" s="227"/>
      <c r="W29" s="233"/>
      <c r="X29" s="1013"/>
      <c r="Y29" s="1014"/>
      <c r="Z29" s="1014"/>
      <c r="AA29" s="1014"/>
      <c r="AB29" s="1014"/>
      <c r="AC29" s="1014"/>
      <c r="AD29" s="1015"/>
      <c r="AE29" s="19">
        <v>15000</v>
      </c>
      <c r="AF29" s="19">
        <v>17000</v>
      </c>
    </row>
    <row r="30" spans="2:32" s="19" customFormat="1" ht="19.5" hidden="1" customHeight="1" x14ac:dyDescent="0.2">
      <c r="B30" s="168"/>
      <c r="C30" s="26"/>
      <c r="D30" s="27"/>
      <c r="E30" s="28"/>
      <c r="F30" s="29"/>
      <c r="G30" s="30"/>
      <c r="H30" s="29"/>
      <c r="I30" s="31"/>
      <c r="J30" s="32"/>
      <c r="K30" s="32"/>
      <c r="L30" s="169"/>
      <c r="M30" s="32"/>
      <c r="N30" s="236"/>
      <c r="O30" s="32"/>
      <c r="P30" s="33"/>
      <c r="Q30" s="32"/>
      <c r="R30" s="129"/>
      <c r="S30" s="171"/>
      <c r="T30" s="129"/>
      <c r="U30" s="129"/>
      <c r="V30" s="227"/>
      <c r="W30" s="233"/>
      <c r="X30" s="1013"/>
      <c r="Y30" s="1014"/>
      <c r="Z30" s="1014"/>
      <c r="AA30" s="1014"/>
      <c r="AB30" s="1014"/>
      <c r="AC30" s="1014"/>
      <c r="AD30" s="1015"/>
      <c r="AE30" s="19">
        <v>15000</v>
      </c>
      <c r="AF30" s="19">
        <v>17000</v>
      </c>
    </row>
    <row r="31" spans="2:32" s="19" customFormat="1" ht="19.5" hidden="1" customHeight="1" x14ac:dyDescent="0.2">
      <c r="B31" s="168"/>
      <c r="C31" s="26"/>
      <c r="D31" s="27"/>
      <c r="E31" s="28"/>
      <c r="F31" s="29"/>
      <c r="G31" s="30"/>
      <c r="H31" s="29"/>
      <c r="I31" s="31"/>
      <c r="J31" s="32"/>
      <c r="K31" s="32"/>
      <c r="L31" s="169"/>
      <c r="M31" s="32"/>
      <c r="N31" s="236"/>
      <c r="O31" s="32"/>
      <c r="P31" s="33"/>
      <c r="Q31" s="32"/>
      <c r="R31" s="129"/>
      <c r="S31" s="171"/>
      <c r="T31" s="129"/>
      <c r="U31" s="129"/>
      <c r="V31" s="227"/>
      <c r="W31" s="233"/>
      <c r="X31" s="1013"/>
      <c r="Y31" s="1014"/>
      <c r="Z31" s="1014"/>
      <c r="AA31" s="1014"/>
      <c r="AB31" s="1014"/>
      <c r="AC31" s="1014"/>
      <c r="AD31" s="1015"/>
      <c r="AE31" s="19">
        <v>15000</v>
      </c>
      <c r="AF31" s="19">
        <v>17000</v>
      </c>
    </row>
    <row r="32" spans="2:32" s="19" customFormat="1" ht="19.5" hidden="1" customHeight="1" x14ac:dyDescent="0.2">
      <c r="B32" s="168"/>
      <c r="C32" s="26"/>
      <c r="D32" s="27"/>
      <c r="E32" s="28"/>
      <c r="F32" s="29"/>
      <c r="G32" s="30"/>
      <c r="H32" s="29"/>
      <c r="I32" s="31"/>
      <c r="J32" s="32"/>
      <c r="K32" s="32"/>
      <c r="L32" s="169"/>
      <c r="M32" s="32"/>
      <c r="N32" s="236"/>
      <c r="O32" s="32"/>
      <c r="P32" s="33"/>
      <c r="Q32" s="32"/>
      <c r="R32" s="129"/>
      <c r="S32" s="171"/>
      <c r="T32" s="129"/>
      <c r="U32" s="129"/>
      <c r="V32" s="227"/>
      <c r="W32" s="233"/>
      <c r="X32" s="1013"/>
      <c r="Y32" s="1014"/>
      <c r="Z32" s="1014"/>
      <c r="AA32" s="1014"/>
      <c r="AB32" s="1014"/>
      <c r="AC32" s="1014"/>
      <c r="AD32" s="1015"/>
      <c r="AE32" s="19">
        <v>15000</v>
      </c>
      <c r="AF32" s="19">
        <v>17000</v>
      </c>
    </row>
    <row r="33" spans="2:32" s="19" customFormat="1" ht="19.5" hidden="1" customHeight="1" x14ac:dyDescent="0.2">
      <c r="B33" s="168"/>
      <c r="C33" s="26"/>
      <c r="D33" s="27"/>
      <c r="E33" s="28"/>
      <c r="F33" s="29"/>
      <c r="G33" s="30"/>
      <c r="H33" s="29"/>
      <c r="I33" s="31"/>
      <c r="J33" s="32"/>
      <c r="K33" s="32"/>
      <c r="L33" s="169"/>
      <c r="M33" s="32"/>
      <c r="N33" s="236"/>
      <c r="O33" s="32"/>
      <c r="P33" s="33"/>
      <c r="Q33" s="32"/>
      <c r="R33" s="129"/>
      <c r="S33" s="171"/>
      <c r="T33" s="129"/>
      <c r="U33" s="129"/>
      <c r="V33" s="227"/>
      <c r="W33" s="233"/>
      <c r="X33" s="1013"/>
      <c r="Y33" s="1014"/>
      <c r="Z33" s="1014"/>
      <c r="AA33" s="1014"/>
      <c r="AB33" s="1014"/>
      <c r="AC33" s="1014"/>
      <c r="AD33" s="1015"/>
      <c r="AE33" s="19">
        <v>15000</v>
      </c>
      <c r="AF33" s="19">
        <v>17000</v>
      </c>
    </row>
    <row r="34" spans="2:32" s="19" customFormat="1" ht="19.5" hidden="1" customHeight="1" x14ac:dyDescent="0.2">
      <c r="B34" s="168"/>
      <c r="C34" s="26"/>
      <c r="D34" s="27"/>
      <c r="E34" s="28"/>
      <c r="F34" s="29"/>
      <c r="G34" s="30"/>
      <c r="H34" s="29"/>
      <c r="I34" s="31"/>
      <c r="J34" s="32"/>
      <c r="K34" s="32"/>
      <c r="L34" s="169"/>
      <c r="M34" s="32"/>
      <c r="N34" s="236"/>
      <c r="O34" s="32"/>
      <c r="P34" s="33"/>
      <c r="Q34" s="32"/>
      <c r="R34" s="129"/>
      <c r="S34" s="171"/>
      <c r="T34" s="129"/>
      <c r="U34" s="129"/>
      <c r="V34" s="227"/>
      <c r="W34" s="233"/>
      <c r="X34" s="1013"/>
      <c r="Y34" s="1014"/>
      <c r="Z34" s="1014"/>
      <c r="AA34" s="1014"/>
      <c r="AB34" s="1014"/>
      <c r="AC34" s="1014"/>
      <c r="AD34" s="1015"/>
      <c r="AE34" s="19">
        <v>15000</v>
      </c>
      <c r="AF34" s="19">
        <v>17000</v>
      </c>
    </row>
    <row r="35" spans="2:32" s="19" customFormat="1" ht="19.5" hidden="1" customHeight="1" x14ac:dyDescent="0.2">
      <c r="B35" s="168"/>
      <c r="C35" s="26"/>
      <c r="D35" s="27"/>
      <c r="E35" s="28"/>
      <c r="F35" s="29"/>
      <c r="G35" s="30"/>
      <c r="H35" s="29"/>
      <c r="I35" s="31"/>
      <c r="J35" s="32"/>
      <c r="K35" s="32"/>
      <c r="L35" s="169"/>
      <c r="M35" s="32"/>
      <c r="N35" s="236"/>
      <c r="O35" s="32"/>
      <c r="P35" s="33"/>
      <c r="Q35" s="32"/>
      <c r="R35" s="129"/>
      <c r="S35" s="171"/>
      <c r="T35" s="129"/>
      <c r="U35" s="129"/>
      <c r="V35" s="227"/>
      <c r="W35" s="233"/>
      <c r="X35" s="1013"/>
      <c r="Y35" s="1014"/>
      <c r="Z35" s="1014"/>
      <c r="AA35" s="1014"/>
      <c r="AB35" s="1014"/>
      <c r="AC35" s="1014"/>
      <c r="AD35" s="1015"/>
      <c r="AE35" s="19">
        <v>15000</v>
      </c>
      <c r="AF35" s="19">
        <v>17000</v>
      </c>
    </row>
    <row r="36" spans="2:32" s="19" customFormat="1" ht="19.5" hidden="1" customHeight="1" x14ac:dyDescent="0.2">
      <c r="B36" s="168"/>
      <c r="C36" s="26"/>
      <c r="D36" s="27"/>
      <c r="E36" s="28"/>
      <c r="F36" s="29"/>
      <c r="G36" s="30"/>
      <c r="H36" s="29"/>
      <c r="I36" s="31"/>
      <c r="J36" s="32"/>
      <c r="K36" s="32"/>
      <c r="L36" s="169"/>
      <c r="M36" s="32"/>
      <c r="N36" s="236"/>
      <c r="O36" s="32"/>
      <c r="P36" s="33"/>
      <c r="Q36" s="32"/>
      <c r="R36" s="129"/>
      <c r="S36" s="171"/>
      <c r="T36" s="129"/>
      <c r="U36" s="129"/>
      <c r="V36" s="227"/>
      <c r="W36" s="233"/>
      <c r="X36" s="1013"/>
      <c r="Y36" s="1014"/>
      <c r="Z36" s="1014"/>
      <c r="AA36" s="1014"/>
      <c r="AB36" s="1014"/>
      <c r="AC36" s="1014"/>
      <c r="AD36" s="1015"/>
      <c r="AE36" s="19">
        <v>15000</v>
      </c>
      <c r="AF36" s="19">
        <v>17000</v>
      </c>
    </row>
    <row r="37" spans="2:32" s="19" customFormat="1" ht="19.5" hidden="1" customHeight="1" x14ac:dyDescent="0.2">
      <c r="B37" s="168"/>
      <c r="C37" s="26"/>
      <c r="D37" s="27"/>
      <c r="E37" s="28"/>
      <c r="F37" s="29"/>
      <c r="G37" s="30"/>
      <c r="H37" s="29"/>
      <c r="I37" s="31"/>
      <c r="J37" s="32"/>
      <c r="K37" s="32"/>
      <c r="L37" s="169"/>
      <c r="M37" s="32"/>
      <c r="N37" s="236"/>
      <c r="O37" s="32"/>
      <c r="P37" s="33"/>
      <c r="Q37" s="32"/>
      <c r="R37" s="129"/>
      <c r="S37" s="171"/>
      <c r="T37" s="129"/>
      <c r="U37" s="129"/>
      <c r="V37" s="227"/>
      <c r="W37" s="233"/>
      <c r="X37" s="1013"/>
      <c r="Y37" s="1014"/>
      <c r="Z37" s="1014"/>
      <c r="AA37" s="1014"/>
      <c r="AB37" s="1014"/>
      <c r="AC37" s="1014"/>
      <c r="AD37" s="1015"/>
      <c r="AE37" s="19">
        <v>15000</v>
      </c>
      <c r="AF37" s="19">
        <v>17000</v>
      </c>
    </row>
    <row r="38" spans="2:32" s="19" customFormat="1" ht="19.5" hidden="1" customHeight="1" x14ac:dyDescent="0.2">
      <c r="B38" s="168"/>
      <c r="C38" s="26"/>
      <c r="D38" s="27"/>
      <c r="E38" s="28"/>
      <c r="F38" s="29"/>
      <c r="G38" s="30"/>
      <c r="H38" s="29"/>
      <c r="I38" s="31"/>
      <c r="J38" s="32"/>
      <c r="K38" s="32"/>
      <c r="L38" s="169"/>
      <c r="M38" s="32"/>
      <c r="N38" s="236"/>
      <c r="O38" s="32"/>
      <c r="P38" s="33"/>
      <c r="Q38" s="32"/>
      <c r="R38" s="129"/>
      <c r="S38" s="171"/>
      <c r="T38" s="129"/>
      <c r="U38" s="129"/>
      <c r="V38" s="227"/>
      <c r="W38" s="233"/>
      <c r="X38" s="1013"/>
      <c r="Y38" s="1014"/>
      <c r="Z38" s="1014"/>
      <c r="AA38" s="1014"/>
      <c r="AB38" s="1014"/>
      <c r="AC38" s="1014"/>
      <c r="AD38" s="1015"/>
      <c r="AE38" s="19">
        <v>15000</v>
      </c>
      <c r="AF38" s="19">
        <v>17000</v>
      </c>
    </row>
    <row r="39" spans="2:32" s="19" customFormat="1" ht="19.5" hidden="1" customHeight="1" x14ac:dyDescent="0.2">
      <c r="B39" s="168"/>
      <c r="C39" s="26"/>
      <c r="D39" s="27"/>
      <c r="E39" s="28"/>
      <c r="F39" s="29"/>
      <c r="G39" s="30"/>
      <c r="H39" s="29"/>
      <c r="I39" s="31"/>
      <c r="J39" s="32"/>
      <c r="K39" s="32"/>
      <c r="L39" s="169"/>
      <c r="M39" s="32"/>
      <c r="N39" s="236"/>
      <c r="O39" s="32"/>
      <c r="P39" s="33"/>
      <c r="Q39" s="32"/>
      <c r="R39" s="129"/>
      <c r="S39" s="171"/>
      <c r="T39" s="129"/>
      <c r="U39" s="129"/>
      <c r="V39" s="227"/>
      <c r="W39" s="233"/>
      <c r="X39" s="1013"/>
      <c r="Y39" s="1014"/>
      <c r="Z39" s="1014"/>
      <c r="AA39" s="1014"/>
      <c r="AB39" s="1014"/>
      <c r="AC39" s="1014"/>
      <c r="AD39" s="1015"/>
      <c r="AE39" s="19">
        <v>15000</v>
      </c>
      <c r="AF39" s="19">
        <v>17000</v>
      </c>
    </row>
    <row r="40" spans="2:32" s="19" customFormat="1" ht="19.5" hidden="1" customHeight="1" x14ac:dyDescent="0.2">
      <c r="B40" s="168"/>
      <c r="C40" s="26"/>
      <c r="D40" s="27"/>
      <c r="E40" s="28"/>
      <c r="F40" s="29"/>
      <c r="G40" s="30"/>
      <c r="H40" s="29"/>
      <c r="I40" s="31"/>
      <c r="J40" s="32"/>
      <c r="K40" s="32"/>
      <c r="L40" s="169"/>
      <c r="M40" s="32"/>
      <c r="N40" s="236"/>
      <c r="O40" s="32"/>
      <c r="P40" s="33"/>
      <c r="Q40" s="32"/>
      <c r="R40" s="129"/>
      <c r="S40" s="171"/>
      <c r="T40" s="129"/>
      <c r="U40" s="129"/>
      <c r="V40" s="227"/>
      <c r="W40" s="233"/>
      <c r="X40" s="1013"/>
      <c r="Y40" s="1014"/>
      <c r="Z40" s="1014"/>
      <c r="AA40" s="1014"/>
      <c r="AB40" s="1014"/>
      <c r="AC40" s="1014"/>
      <c r="AD40" s="1015"/>
      <c r="AE40" s="19">
        <v>15000</v>
      </c>
      <c r="AF40" s="19">
        <v>17000</v>
      </c>
    </row>
    <row r="41" spans="2:32" s="19" customFormat="1" ht="19.5" hidden="1" customHeight="1" x14ac:dyDescent="0.2">
      <c r="B41" s="168"/>
      <c r="C41" s="26"/>
      <c r="D41" s="27"/>
      <c r="E41" s="28"/>
      <c r="F41" s="29"/>
      <c r="G41" s="30"/>
      <c r="H41" s="29"/>
      <c r="I41" s="31"/>
      <c r="J41" s="32"/>
      <c r="K41" s="32"/>
      <c r="L41" s="169"/>
      <c r="M41" s="32"/>
      <c r="N41" s="236"/>
      <c r="O41" s="32"/>
      <c r="P41" s="33"/>
      <c r="Q41" s="32"/>
      <c r="R41" s="129"/>
      <c r="S41" s="171"/>
      <c r="T41" s="129"/>
      <c r="U41" s="129"/>
      <c r="V41" s="227"/>
      <c r="W41" s="233"/>
      <c r="X41" s="1013"/>
      <c r="Y41" s="1014"/>
      <c r="Z41" s="1014"/>
      <c r="AA41" s="1014"/>
      <c r="AB41" s="1014"/>
      <c r="AC41" s="1014"/>
      <c r="AD41" s="1015"/>
      <c r="AE41" s="19">
        <v>15000</v>
      </c>
      <c r="AF41" s="19">
        <v>17000</v>
      </c>
    </row>
    <row r="42" spans="2:32" s="19" customFormat="1" ht="19.5" hidden="1" customHeight="1" x14ac:dyDescent="0.2">
      <c r="B42" s="168"/>
      <c r="C42" s="26"/>
      <c r="D42" s="27"/>
      <c r="E42" s="28"/>
      <c r="F42" s="29"/>
      <c r="G42" s="30"/>
      <c r="H42" s="29"/>
      <c r="I42" s="31"/>
      <c r="J42" s="32"/>
      <c r="K42" s="32"/>
      <c r="L42" s="169"/>
      <c r="M42" s="32"/>
      <c r="N42" s="236"/>
      <c r="O42" s="32"/>
      <c r="P42" s="33"/>
      <c r="Q42" s="32"/>
      <c r="R42" s="129"/>
      <c r="S42" s="171"/>
      <c r="T42" s="129"/>
      <c r="U42" s="129"/>
      <c r="V42" s="227"/>
      <c r="W42" s="233"/>
      <c r="X42" s="1013"/>
      <c r="Y42" s="1014"/>
      <c r="Z42" s="1014"/>
      <c r="AA42" s="1014"/>
      <c r="AB42" s="1014"/>
      <c r="AC42" s="1014"/>
      <c r="AD42" s="1015"/>
      <c r="AE42" s="19">
        <v>15000</v>
      </c>
      <c r="AF42" s="19">
        <v>17000</v>
      </c>
    </row>
    <row r="43" spans="2:32" s="19" customFormat="1" ht="19.5" hidden="1" customHeight="1" x14ac:dyDescent="0.2">
      <c r="B43" s="168"/>
      <c r="C43" s="26"/>
      <c r="D43" s="27"/>
      <c r="E43" s="28"/>
      <c r="F43" s="29"/>
      <c r="G43" s="30"/>
      <c r="H43" s="29"/>
      <c r="I43" s="31"/>
      <c r="J43" s="32"/>
      <c r="K43" s="32"/>
      <c r="L43" s="169"/>
      <c r="M43" s="32"/>
      <c r="N43" s="236"/>
      <c r="O43" s="32"/>
      <c r="P43" s="33"/>
      <c r="Q43" s="32"/>
      <c r="R43" s="129"/>
      <c r="S43" s="171"/>
      <c r="T43" s="129"/>
      <c r="U43" s="129"/>
      <c r="V43" s="227"/>
      <c r="W43" s="233"/>
      <c r="X43" s="1013"/>
      <c r="Y43" s="1014"/>
      <c r="Z43" s="1014"/>
      <c r="AA43" s="1014"/>
      <c r="AB43" s="1014"/>
      <c r="AC43" s="1014"/>
      <c r="AD43" s="1015"/>
      <c r="AE43" s="19">
        <v>15000</v>
      </c>
      <c r="AF43" s="19">
        <v>17000</v>
      </c>
    </row>
    <row r="44" spans="2:32" s="19" customFormat="1" ht="19.5" hidden="1" customHeight="1" x14ac:dyDescent="0.2">
      <c r="B44" s="168"/>
      <c r="C44" s="26"/>
      <c r="D44" s="27"/>
      <c r="E44" s="28"/>
      <c r="F44" s="29"/>
      <c r="G44" s="30"/>
      <c r="H44" s="29"/>
      <c r="I44" s="31"/>
      <c r="J44" s="32"/>
      <c r="K44" s="32"/>
      <c r="L44" s="169"/>
      <c r="M44" s="32"/>
      <c r="N44" s="236"/>
      <c r="O44" s="32"/>
      <c r="P44" s="33"/>
      <c r="Q44" s="32"/>
      <c r="R44" s="129"/>
      <c r="S44" s="171"/>
      <c r="T44" s="129"/>
      <c r="U44" s="129"/>
      <c r="V44" s="227"/>
      <c r="W44" s="233"/>
      <c r="X44" s="1013"/>
      <c r="Y44" s="1014"/>
      <c r="Z44" s="1014"/>
      <c r="AA44" s="1014"/>
      <c r="AB44" s="1014"/>
      <c r="AC44" s="1014"/>
      <c r="AD44" s="1015"/>
      <c r="AE44" s="19">
        <v>15000</v>
      </c>
      <c r="AF44" s="19">
        <v>17000</v>
      </c>
    </row>
    <row r="45" spans="2:32" s="19" customFormat="1" ht="19.5" hidden="1" customHeight="1" x14ac:dyDescent="0.2">
      <c r="B45" s="168"/>
      <c r="C45" s="26"/>
      <c r="D45" s="27"/>
      <c r="E45" s="28"/>
      <c r="F45" s="29"/>
      <c r="G45" s="30"/>
      <c r="H45" s="29"/>
      <c r="I45" s="31"/>
      <c r="J45" s="32"/>
      <c r="K45" s="32"/>
      <c r="L45" s="169"/>
      <c r="M45" s="32"/>
      <c r="N45" s="236"/>
      <c r="O45" s="32"/>
      <c r="P45" s="33"/>
      <c r="Q45" s="32"/>
      <c r="R45" s="129"/>
      <c r="S45" s="171"/>
      <c r="T45" s="129"/>
      <c r="U45" s="129"/>
      <c r="V45" s="227"/>
      <c r="W45" s="233"/>
      <c r="X45" s="1013"/>
      <c r="Y45" s="1014"/>
      <c r="Z45" s="1014"/>
      <c r="AA45" s="1014"/>
      <c r="AB45" s="1014"/>
      <c r="AC45" s="1014"/>
      <c r="AD45" s="1015"/>
      <c r="AE45" s="19">
        <v>15000</v>
      </c>
      <c r="AF45" s="19">
        <v>17000</v>
      </c>
    </row>
    <row r="46" spans="2:32" s="19" customFormat="1" ht="19.5" hidden="1" customHeight="1" x14ac:dyDescent="0.2">
      <c r="B46" s="168"/>
      <c r="C46" s="26"/>
      <c r="D46" s="27"/>
      <c r="E46" s="28"/>
      <c r="F46" s="29"/>
      <c r="G46" s="30"/>
      <c r="H46" s="29"/>
      <c r="I46" s="31"/>
      <c r="J46" s="32"/>
      <c r="K46" s="32"/>
      <c r="L46" s="169"/>
      <c r="M46" s="32"/>
      <c r="N46" s="236"/>
      <c r="O46" s="32"/>
      <c r="P46" s="33"/>
      <c r="Q46" s="32"/>
      <c r="R46" s="129"/>
      <c r="S46" s="171"/>
      <c r="T46" s="129"/>
      <c r="U46" s="129"/>
      <c r="V46" s="227"/>
      <c r="W46" s="233"/>
      <c r="X46" s="1013"/>
      <c r="Y46" s="1014"/>
      <c r="Z46" s="1014"/>
      <c r="AA46" s="1014"/>
      <c r="AB46" s="1014"/>
      <c r="AC46" s="1014"/>
      <c r="AD46" s="1015"/>
      <c r="AE46" s="19">
        <v>15000</v>
      </c>
      <c r="AF46" s="19">
        <v>17000</v>
      </c>
    </row>
    <row r="47" spans="2:32" s="19" customFormat="1" ht="19.5" hidden="1" customHeight="1" x14ac:dyDescent="0.2">
      <c r="B47" s="168"/>
      <c r="C47" s="26"/>
      <c r="D47" s="27"/>
      <c r="E47" s="28"/>
      <c r="F47" s="29"/>
      <c r="G47" s="30"/>
      <c r="H47" s="29"/>
      <c r="I47" s="31"/>
      <c r="J47" s="32"/>
      <c r="K47" s="32"/>
      <c r="L47" s="169"/>
      <c r="M47" s="32"/>
      <c r="N47" s="236"/>
      <c r="O47" s="32"/>
      <c r="P47" s="33"/>
      <c r="Q47" s="32"/>
      <c r="R47" s="129"/>
      <c r="S47" s="171"/>
      <c r="T47" s="129"/>
      <c r="U47" s="129"/>
      <c r="V47" s="227"/>
      <c r="W47" s="233"/>
      <c r="X47" s="1013"/>
      <c r="Y47" s="1014"/>
      <c r="Z47" s="1014"/>
      <c r="AA47" s="1014"/>
      <c r="AB47" s="1014"/>
      <c r="AC47" s="1014"/>
      <c r="AD47" s="1015"/>
      <c r="AE47" s="19">
        <v>15000</v>
      </c>
      <c r="AF47" s="19">
        <v>17000</v>
      </c>
    </row>
    <row r="48" spans="2:32" s="19" customFormat="1" ht="19.5" hidden="1" customHeight="1" x14ac:dyDescent="0.2">
      <c r="B48" s="168"/>
      <c r="C48" s="26"/>
      <c r="D48" s="27"/>
      <c r="E48" s="28"/>
      <c r="F48" s="29"/>
      <c r="G48" s="30"/>
      <c r="H48" s="29"/>
      <c r="I48" s="31"/>
      <c r="J48" s="32"/>
      <c r="K48" s="32"/>
      <c r="L48" s="169"/>
      <c r="M48" s="32"/>
      <c r="N48" s="236"/>
      <c r="O48" s="32"/>
      <c r="P48" s="33"/>
      <c r="Q48" s="32"/>
      <c r="R48" s="129"/>
      <c r="S48" s="171"/>
      <c r="T48" s="129"/>
      <c r="U48" s="129"/>
      <c r="V48" s="227"/>
      <c r="W48" s="233"/>
      <c r="X48" s="1013"/>
      <c r="Y48" s="1014"/>
      <c r="Z48" s="1014"/>
      <c r="AA48" s="1014"/>
      <c r="AB48" s="1014"/>
      <c r="AC48" s="1014"/>
      <c r="AD48" s="1015"/>
      <c r="AE48" s="19">
        <v>15000</v>
      </c>
      <c r="AF48" s="19">
        <v>17000</v>
      </c>
    </row>
    <row r="49" spans="2:32" s="19" customFormat="1" ht="19.5" hidden="1" customHeight="1" x14ac:dyDescent="0.2">
      <c r="B49" s="168"/>
      <c r="C49" s="26"/>
      <c r="D49" s="27"/>
      <c r="E49" s="28"/>
      <c r="F49" s="29"/>
      <c r="G49" s="30"/>
      <c r="H49" s="29"/>
      <c r="I49" s="31"/>
      <c r="J49" s="32"/>
      <c r="K49" s="32"/>
      <c r="L49" s="169"/>
      <c r="M49" s="32"/>
      <c r="N49" s="236"/>
      <c r="O49" s="32"/>
      <c r="P49" s="33"/>
      <c r="Q49" s="32"/>
      <c r="R49" s="129"/>
      <c r="S49" s="171"/>
      <c r="T49" s="129"/>
      <c r="U49" s="129"/>
      <c r="V49" s="227"/>
      <c r="W49" s="233"/>
      <c r="X49" s="1013"/>
      <c r="Y49" s="1014"/>
      <c r="Z49" s="1014"/>
      <c r="AA49" s="1014"/>
      <c r="AB49" s="1014"/>
      <c r="AC49" s="1014"/>
      <c r="AD49" s="1015"/>
      <c r="AE49" s="19">
        <v>15000</v>
      </c>
      <c r="AF49" s="19">
        <v>17000</v>
      </c>
    </row>
    <row r="50" spans="2:32" s="19" customFormat="1" ht="19.5" hidden="1" customHeight="1" x14ac:dyDescent="0.2">
      <c r="B50" s="168"/>
      <c r="C50" s="26"/>
      <c r="D50" s="27"/>
      <c r="E50" s="28"/>
      <c r="F50" s="29"/>
      <c r="G50" s="30"/>
      <c r="H50" s="29"/>
      <c r="I50" s="31"/>
      <c r="J50" s="32"/>
      <c r="K50" s="32"/>
      <c r="L50" s="169"/>
      <c r="M50" s="32"/>
      <c r="N50" s="236"/>
      <c r="O50" s="32"/>
      <c r="P50" s="33"/>
      <c r="Q50" s="32"/>
      <c r="R50" s="129"/>
      <c r="S50" s="171"/>
      <c r="T50" s="129"/>
      <c r="U50" s="129"/>
      <c r="V50" s="227"/>
      <c r="W50" s="233"/>
      <c r="X50" s="1013"/>
      <c r="Y50" s="1014"/>
      <c r="Z50" s="1014"/>
      <c r="AA50" s="1014"/>
      <c r="AB50" s="1014"/>
      <c r="AC50" s="1014"/>
      <c r="AD50" s="1015"/>
      <c r="AE50" s="19">
        <v>15000</v>
      </c>
      <c r="AF50" s="19">
        <v>17000</v>
      </c>
    </row>
    <row r="51" spans="2:32" s="19" customFormat="1" ht="19.5" hidden="1" customHeight="1" x14ac:dyDescent="0.2">
      <c r="B51" s="168"/>
      <c r="C51" s="26"/>
      <c r="D51" s="27"/>
      <c r="E51" s="28"/>
      <c r="F51" s="29"/>
      <c r="G51" s="30"/>
      <c r="H51" s="29"/>
      <c r="I51" s="31"/>
      <c r="J51" s="32"/>
      <c r="K51" s="32"/>
      <c r="L51" s="169"/>
      <c r="M51" s="32"/>
      <c r="N51" s="236"/>
      <c r="O51" s="32"/>
      <c r="P51" s="33"/>
      <c r="Q51" s="32"/>
      <c r="R51" s="129"/>
      <c r="S51" s="171"/>
      <c r="T51" s="129"/>
      <c r="U51" s="129"/>
      <c r="V51" s="227"/>
      <c r="W51" s="233"/>
      <c r="X51" s="1013"/>
      <c r="Y51" s="1014"/>
      <c r="Z51" s="1014"/>
      <c r="AA51" s="1014"/>
      <c r="AB51" s="1014"/>
      <c r="AC51" s="1014"/>
      <c r="AD51" s="1015"/>
      <c r="AE51" s="19">
        <v>15000</v>
      </c>
      <c r="AF51" s="19">
        <v>17000</v>
      </c>
    </row>
    <row r="52" spans="2:32" s="19" customFormat="1" ht="19.5" hidden="1" customHeight="1" x14ac:dyDescent="0.2">
      <c r="B52" s="168"/>
      <c r="C52" s="26"/>
      <c r="D52" s="27"/>
      <c r="E52" s="28"/>
      <c r="F52" s="29"/>
      <c r="G52" s="30"/>
      <c r="H52" s="29"/>
      <c r="I52" s="31"/>
      <c r="J52" s="32"/>
      <c r="K52" s="32"/>
      <c r="L52" s="169"/>
      <c r="M52" s="32"/>
      <c r="N52" s="236"/>
      <c r="O52" s="32"/>
      <c r="P52" s="33"/>
      <c r="Q52" s="32"/>
      <c r="R52" s="129"/>
      <c r="S52" s="171"/>
      <c r="T52" s="129"/>
      <c r="U52" s="129"/>
      <c r="V52" s="227"/>
      <c r="W52" s="233"/>
      <c r="X52" s="1013"/>
      <c r="Y52" s="1014"/>
      <c r="Z52" s="1014"/>
      <c r="AA52" s="1014"/>
      <c r="AB52" s="1014"/>
      <c r="AC52" s="1014"/>
      <c r="AD52" s="1015"/>
      <c r="AE52" s="19">
        <v>15000</v>
      </c>
      <c r="AF52" s="19">
        <v>17000</v>
      </c>
    </row>
    <row r="53" spans="2:32" s="19" customFormat="1" ht="19.5" hidden="1" customHeight="1" x14ac:dyDescent="0.2">
      <c r="B53" s="168"/>
      <c r="C53" s="26"/>
      <c r="D53" s="27"/>
      <c r="E53" s="28"/>
      <c r="F53" s="29"/>
      <c r="G53" s="30"/>
      <c r="H53" s="29"/>
      <c r="I53" s="31"/>
      <c r="J53" s="32"/>
      <c r="K53" s="32"/>
      <c r="L53" s="169"/>
      <c r="M53" s="32"/>
      <c r="N53" s="236"/>
      <c r="O53" s="32"/>
      <c r="P53" s="33"/>
      <c r="Q53" s="32"/>
      <c r="R53" s="129"/>
      <c r="S53" s="171"/>
      <c r="T53" s="129"/>
      <c r="U53" s="129"/>
      <c r="V53" s="227"/>
      <c r="W53" s="233"/>
      <c r="X53" s="1013"/>
      <c r="Y53" s="1014"/>
      <c r="Z53" s="1014"/>
      <c r="AA53" s="1014"/>
      <c r="AB53" s="1014"/>
      <c r="AC53" s="1014"/>
      <c r="AD53" s="1015"/>
      <c r="AE53" s="19">
        <v>15000</v>
      </c>
      <c r="AF53" s="19">
        <v>17000</v>
      </c>
    </row>
    <row r="54" spans="2:32" s="19" customFormat="1" ht="19.5" hidden="1" customHeight="1" x14ac:dyDescent="0.2">
      <c r="B54" s="168"/>
      <c r="C54" s="26"/>
      <c r="D54" s="27"/>
      <c r="E54" s="28"/>
      <c r="F54" s="29"/>
      <c r="G54" s="30"/>
      <c r="H54" s="29"/>
      <c r="I54" s="31"/>
      <c r="J54" s="32"/>
      <c r="K54" s="32"/>
      <c r="L54" s="169"/>
      <c r="M54" s="32"/>
      <c r="N54" s="236"/>
      <c r="O54" s="32"/>
      <c r="P54" s="33"/>
      <c r="Q54" s="32"/>
      <c r="R54" s="129"/>
      <c r="S54" s="171"/>
      <c r="T54" s="129"/>
      <c r="U54" s="129"/>
      <c r="V54" s="227"/>
      <c r="W54" s="233"/>
      <c r="X54" s="1013"/>
      <c r="Y54" s="1014"/>
      <c r="Z54" s="1014"/>
      <c r="AA54" s="1014"/>
      <c r="AB54" s="1014"/>
      <c r="AC54" s="1014"/>
      <c r="AD54" s="1015"/>
      <c r="AE54" s="19">
        <v>15000</v>
      </c>
      <c r="AF54" s="19">
        <v>17000</v>
      </c>
    </row>
    <row r="55" spans="2:32" s="19" customFormat="1" ht="19.5" hidden="1" customHeight="1" x14ac:dyDescent="0.2">
      <c r="B55" s="168"/>
      <c r="C55" s="26"/>
      <c r="D55" s="27"/>
      <c r="E55" s="28"/>
      <c r="F55" s="29"/>
      <c r="G55" s="30"/>
      <c r="H55" s="29"/>
      <c r="I55" s="31"/>
      <c r="J55" s="32"/>
      <c r="K55" s="32"/>
      <c r="L55" s="169"/>
      <c r="M55" s="32"/>
      <c r="N55" s="236"/>
      <c r="O55" s="32"/>
      <c r="P55" s="33"/>
      <c r="Q55" s="32"/>
      <c r="R55" s="129"/>
      <c r="S55" s="171"/>
      <c r="T55" s="129"/>
      <c r="U55" s="129" t="e">
        <f>G55*24/(K55/60)/15400</f>
        <v>#DIV/0!</v>
      </c>
      <c r="V55" s="227"/>
      <c r="W55" s="233"/>
      <c r="X55" s="1013"/>
      <c r="Y55" s="1014"/>
      <c r="Z55" s="1014"/>
      <c r="AA55" s="1014"/>
      <c r="AB55" s="1014"/>
      <c r="AC55" s="1014"/>
      <c r="AD55" s="1015"/>
      <c r="AE55" s="19">
        <v>15000</v>
      </c>
      <c r="AF55" s="19">
        <v>17000</v>
      </c>
    </row>
    <row r="56" spans="2:32" s="19" customFormat="1" ht="19.5" hidden="1" customHeight="1" x14ac:dyDescent="0.2">
      <c r="B56" s="168"/>
      <c r="C56" s="26"/>
      <c r="D56" s="27"/>
      <c r="E56" s="28"/>
      <c r="F56" s="29"/>
      <c r="G56" s="30"/>
      <c r="H56" s="29"/>
      <c r="I56" s="31"/>
      <c r="J56" s="32"/>
      <c r="K56" s="32"/>
      <c r="L56" s="169"/>
      <c r="M56" s="32"/>
      <c r="N56" s="236"/>
      <c r="O56" s="32"/>
      <c r="P56" s="33"/>
      <c r="Q56" s="32"/>
      <c r="R56" s="129"/>
      <c r="S56" s="171"/>
      <c r="T56" s="129"/>
      <c r="U56" s="129" t="e">
        <f>G56*24/(K56/60)/15400</f>
        <v>#DIV/0!</v>
      </c>
      <c r="V56" s="227"/>
      <c r="W56" s="233"/>
      <c r="X56" s="1013"/>
      <c r="Y56" s="1014"/>
      <c r="Z56" s="1014"/>
      <c r="AA56" s="1014"/>
      <c r="AB56" s="1014"/>
      <c r="AC56" s="1014"/>
      <c r="AD56" s="1015"/>
      <c r="AE56" s="19">
        <v>15000</v>
      </c>
      <c r="AF56" s="19">
        <v>17000</v>
      </c>
    </row>
    <row r="57" spans="2:32" s="19" customFormat="1" ht="19.5" hidden="1" customHeight="1" x14ac:dyDescent="0.2">
      <c r="B57" s="168"/>
      <c r="C57" s="26"/>
      <c r="D57" s="27"/>
      <c r="E57" s="28"/>
      <c r="F57" s="29"/>
      <c r="G57" s="30"/>
      <c r="H57" s="29"/>
      <c r="I57" s="31"/>
      <c r="J57" s="32"/>
      <c r="K57" s="32"/>
      <c r="L57" s="169"/>
      <c r="M57" s="32"/>
      <c r="N57" s="236"/>
      <c r="O57" s="32"/>
      <c r="P57" s="33"/>
      <c r="Q57" s="32"/>
      <c r="R57" s="129"/>
      <c r="S57" s="171"/>
      <c r="T57" s="129"/>
      <c r="U57" s="129"/>
      <c r="V57" s="227"/>
      <c r="W57" s="233"/>
      <c r="X57" s="1013"/>
      <c r="Y57" s="1014"/>
      <c r="Z57" s="1014"/>
      <c r="AA57" s="1014"/>
      <c r="AB57" s="1014"/>
      <c r="AC57" s="1014"/>
      <c r="AD57" s="1015"/>
      <c r="AE57" s="19">
        <v>15000</v>
      </c>
      <c r="AF57" s="19">
        <v>17000</v>
      </c>
    </row>
    <row r="58" spans="2:32" s="19" customFormat="1" ht="19.5" hidden="1" customHeight="1" x14ac:dyDescent="0.2">
      <c r="B58" s="168"/>
      <c r="C58" s="26"/>
      <c r="D58" s="27"/>
      <c r="E58" s="28"/>
      <c r="F58" s="29"/>
      <c r="G58" s="30"/>
      <c r="H58" s="29"/>
      <c r="I58" s="31"/>
      <c r="J58" s="32"/>
      <c r="K58" s="32"/>
      <c r="L58" s="169"/>
      <c r="M58" s="32"/>
      <c r="N58" s="236"/>
      <c r="O58" s="32"/>
      <c r="P58" s="33"/>
      <c r="Q58" s="32"/>
      <c r="R58" s="129"/>
      <c r="S58" s="171"/>
      <c r="T58" s="129"/>
      <c r="U58" s="129"/>
      <c r="V58" s="227"/>
      <c r="W58" s="233"/>
      <c r="X58" s="1013"/>
      <c r="Y58" s="1014"/>
      <c r="Z58" s="1014"/>
      <c r="AA58" s="1014"/>
      <c r="AB58" s="1014"/>
      <c r="AC58" s="1014"/>
      <c r="AD58" s="1015"/>
      <c r="AE58" s="19">
        <v>15000</v>
      </c>
      <c r="AF58" s="19">
        <v>17000</v>
      </c>
    </row>
    <row r="59" spans="2:32" s="19" customFormat="1" ht="19.5" hidden="1" customHeight="1" thickBot="1" x14ac:dyDescent="0.25">
      <c r="B59" s="168"/>
      <c r="C59" s="26"/>
      <c r="D59" s="27"/>
      <c r="E59" s="28"/>
      <c r="F59" s="29"/>
      <c r="G59" s="30"/>
      <c r="H59" s="29"/>
      <c r="I59" s="31"/>
      <c r="J59" s="32"/>
      <c r="K59" s="32"/>
      <c r="L59" s="169"/>
      <c r="M59" s="32"/>
      <c r="N59" s="236"/>
      <c r="O59" s="32"/>
      <c r="P59" s="33"/>
      <c r="Q59" s="32"/>
      <c r="R59" s="129"/>
      <c r="S59" s="171"/>
      <c r="T59" s="129"/>
      <c r="U59" s="129"/>
      <c r="V59" s="227"/>
      <c r="W59" s="233"/>
      <c r="X59" s="1013"/>
      <c r="Y59" s="1014"/>
      <c r="Z59" s="1014"/>
      <c r="AA59" s="1014"/>
      <c r="AB59" s="1014"/>
      <c r="AC59" s="1014"/>
      <c r="AD59" s="1015"/>
      <c r="AE59" s="19">
        <v>15000</v>
      </c>
      <c r="AF59" s="19">
        <v>17000</v>
      </c>
    </row>
    <row r="60" spans="2:32" s="19" customFormat="1" ht="21" customHeight="1" thickBot="1" x14ac:dyDescent="0.35">
      <c r="B60" s="240" t="s">
        <v>3</v>
      </c>
      <c r="C60" s="241"/>
      <c r="D60" s="242">
        <f>SUM(D4:D58)</f>
        <v>68705</v>
      </c>
      <c r="E60" s="243">
        <f>AVERAGE(E4:E58)</f>
        <v>0.32884259259259258</v>
      </c>
      <c r="F60" s="244">
        <f>SUM(F4:F58)</f>
        <v>4818.0499999999993</v>
      </c>
      <c r="G60" s="242">
        <f>SUM(G4:G58)</f>
        <v>70881</v>
      </c>
      <c r="H60" s="244">
        <f>SUM(H4:H58)</f>
        <v>4779.8030000000008</v>
      </c>
      <c r="I60" s="245">
        <f>SUM(I4:I58)</f>
        <v>355.75</v>
      </c>
      <c r="J60" s="245">
        <f>G60/(K60/60)</f>
        <v>497.81809668734638</v>
      </c>
      <c r="K60" s="242">
        <f>SUM(K4:K58)</f>
        <v>8543</v>
      </c>
      <c r="L60" s="246">
        <f>AVERAGE(L4:L59)</f>
        <v>0.76712962962962961</v>
      </c>
      <c r="M60" s="242">
        <f>SUM(M4:M58)</f>
        <v>1528</v>
      </c>
      <c r="N60" s="247">
        <f>[4]Feb!$I$54/K60</f>
        <v>1.7324125014631861E-2</v>
      </c>
      <c r="O60" s="245">
        <f>SUM(O4:O59)</f>
        <v>212</v>
      </c>
      <c r="P60" s="248">
        <f>(F60-H60)/F60</f>
        <v>7.9382737829616721E-3</v>
      </c>
      <c r="Q60" s="249">
        <f>SUM(Q4:Q58)</f>
        <v>0</v>
      </c>
      <c r="R60" s="250">
        <f>((R4*($G$4+$G$5))+(R6*($G$6+$G$7))+(R8*($G$8+$G$9))+(R10*$G$10)+(R11+$G$11)+(R12*($G$12+$G$13))+(R14*$G$14)+(R15*$G$15)+(R16*($G$16+$G$17+$G$18))+(R19*$G$19)+(R20*($G$20+$G$21))+(R22*$G$22)+(R23*$G$23)+(R24*$G$24)+(R25*$G$25))/($G$60)</f>
        <v>0.82785229958560491</v>
      </c>
      <c r="S60" s="250">
        <f>((S4*($G$4+$G$5))+(S6*($G$6+$G$7))+(S8*($G$8+$G$9))+(S10*$G$10)+(S11+$G$11)+(S12*($G$12+$G$13))+(S14*$G$14)+(S15*$G$15)+(S16*($G$16+$G$17+$G$18))+(S19*$G$19)+(S20*($G$20+$G$21))+(S22*$G$22)+(S23*$G$23)+(S24*$G$24)+(S25*$G$25))/($G$60)</f>
        <v>0.73894770000083732</v>
      </c>
      <c r="T60" s="250">
        <f>(G60)*24/(K60/60)/15000</f>
        <v>0.79650895469975425</v>
      </c>
      <c r="U60" s="250">
        <f>H60*24/(M60/60)/15000</f>
        <v>0.30030175916230378</v>
      </c>
      <c r="V60" s="251">
        <f>(G60)*24/(K60/60)/17000</f>
        <v>0.70280201885272431</v>
      </c>
      <c r="W60" s="252">
        <f>(10006-(M60-350))/10006</f>
        <v>0.88227063761742952</v>
      </c>
      <c r="X60" s="1084"/>
      <c r="Y60" s="1085"/>
      <c r="Z60" s="1085"/>
      <c r="AA60" s="1085"/>
      <c r="AB60" s="1085"/>
      <c r="AC60" s="1085"/>
      <c r="AD60" s="1086"/>
      <c r="AE60" s="19">
        <v>15000</v>
      </c>
      <c r="AF60" s="19">
        <v>17000</v>
      </c>
    </row>
    <row r="61" spans="2:32" ht="21.75" customHeight="1" thickTop="1" x14ac:dyDescent="0.25">
      <c r="B61" s="11"/>
      <c r="C61" s="150" t="s">
        <v>35</v>
      </c>
      <c r="D61" s="210">
        <v>65590</v>
      </c>
      <c r="E61" s="1081" t="s">
        <v>444</v>
      </c>
      <c r="F61" s="1081"/>
      <c r="G61" s="210">
        <f>D61-G60</f>
        <v>-5291</v>
      </c>
      <c r="H61" s="150" t="s">
        <v>327</v>
      </c>
      <c r="I61" s="211">
        <f>G60/D61</f>
        <v>1.0806677847232811</v>
      </c>
      <c r="J61" s="151">
        <v>0</v>
      </c>
      <c r="K61" s="12"/>
      <c r="L61" s="12"/>
      <c r="M61" s="12"/>
      <c r="N61" s="12"/>
      <c r="O61" s="13"/>
      <c r="P61" s="14"/>
      <c r="Q61" s="12"/>
      <c r="R61" s="15"/>
      <c r="S61" s="16"/>
      <c r="T61" s="15"/>
      <c r="U61" s="15"/>
      <c r="V61" s="15"/>
      <c r="W61" s="15"/>
      <c r="X61" s="17" t="s">
        <v>48</v>
      </c>
    </row>
    <row r="62" spans="2:32" ht="20.25" customHeight="1" x14ac:dyDescent="0.25">
      <c r="B62" s="11"/>
      <c r="C62" s="150" t="s">
        <v>37</v>
      </c>
      <c r="D62" s="210">
        <f>January_17!D62+February_17!D61</f>
        <v>160530</v>
      </c>
      <c r="E62" s="1081" t="s">
        <v>36</v>
      </c>
      <c r="F62" s="1081"/>
      <c r="G62" s="210">
        <f>January_17!G62+February_17!G60</f>
        <v>158788</v>
      </c>
      <c r="H62" s="150" t="s">
        <v>326</v>
      </c>
      <c r="I62" s="212">
        <v>0</v>
      </c>
      <c r="J62" s="152"/>
      <c r="K62" s="12">
        <v>0</v>
      </c>
      <c r="L62" s="12"/>
      <c r="M62" s="12"/>
      <c r="N62" s="12"/>
      <c r="O62" s="13"/>
      <c r="P62" s="14"/>
      <c r="Q62" s="12"/>
      <c r="R62" s="15"/>
      <c r="S62" s="16"/>
      <c r="T62" s="15"/>
      <c r="U62" s="15"/>
      <c r="V62" s="15"/>
      <c r="W62" s="15"/>
      <c r="X62" s="17"/>
    </row>
    <row r="63" spans="2:32" ht="6.75" customHeight="1" thickBot="1" x14ac:dyDescent="0.3">
      <c r="C63" s="23"/>
      <c r="D63" s="42"/>
      <c r="E63" s="1082"/>
      <c r="F63" s="1082"/>
      <c r="G63" s="42"/>
      <c r="H63" s="44"/>
      <c r="I63" s="44"/>
      <c r="J63" s="149"/>
      <c r="O63"/>
      <c r="R63" s="10"/>
      <c r="X63" s="17"/>
    </row>
    <row r="64" spans="2:32" ht="48.75" customHeight="1" thickTop="1" thickBot="1" x14ac:dyDescent="0.25">
      <c r="B64" s="7"/>
      <c r="C64" s="206" t="s">
        <v>19</v>
      </c>
      <c r="D64" s="207" t="s">
        <v>14</v>
      </c>
      <c r="E64" s="207" t="s">
        <v>23</v>
      </c>
      <c r="F64" s="207" t="s">
        <v>24</v>
      </c>
      <c r="G64" s="208" t="s">
        <v>15</v>
      </c>
      <c r="H64" s="207" t="s">
        <v>17</v>
      </c>
      <c r="I64" s="207" t="s">
        <v>16</v>
      </c>
      <c r="J64" s="209" t="s">
        <v>316</v>
      </c>
      <c r="O64"/>
      <c r="P64" s="141" t="s">
        <v>325</v>
      </c>
      <c r="Q64" s="90" t="s">
        <v>320</v>
      </c>
      <c r="R64" s="90" t="s">
        <v>466</v>
      </c>
      <c r="S64" s="90" t="s">
        <v>467</v>
      </c>
      <c r="T64" s="90" t="s">
        <v>323</v>
      </c>
      <c r="U64" s="142"/>
      <c r="V64" s="143" t="s">
        <v>324</v>
      </c>
      <c r="W64" s="228"/>
      <c r="Y64" s="165" t="s">
        <v>375</v>
      </c>
      <c r="Z64" s="166" t="s">
        <v>376</v>
      </c>
      <c r="AA64" s="166" t="s">
        <v>377</v>
      </c>
      <c r="AB64" s="167" t="s">
        <v>378</v>
      </c>
    </row>
    <row r="65" spans="2:29" ht="21" thickBot="1" x14ac:dyDescent="0.35">
      <c r="B65" s="8"/>
      <c r="C65" s="201">
        <v>1</v>
      </c>
      <c r="D65" s="202" t="s">
        <v>20</v>
      </c>
      <c r="E65" s="182">
        <f>SUM(G4,G6:G7,G8:G9,G10,G11,G12,G13,G14,G19,G20:G21,G22,G24,G25)</f>
        <v>54422</v>
      </c>
      <c r="F65" s="183">
        <f>SUM(K4,K6,K8,K10,K11,K12,K14,K19,K20,K22,K24,K25)</f>
        <v>6829</v>
      </c>
      <c r="G65" s="184">
        <f>SUM(F4,F6,F8:F9,F10,F11,F12,F13,F14,F19,F20,F22,F24,F25)</f>
        <v>3671.55</v>
      </c>
      <c r="H65" s="184">
        <f>SUM(H4,H6,H8:H9,H10,H11,H12,H13,H14,H19,H20,H22,H24,H25)</f>
        <v>3650.752</v>
      </c>
      <c r="I65" s="97">
        <f t="shared" ref="I65:I70" si="0">(G65-H65)/G65</f>
        <v>5.664637550898184E-3</v>
      </c>
      <c r="J65" s="186">
        <f>(E65+G5)*24/(F65/60)/17000</f>
        <v>0.73211235819558462</v>
      </c>
      <c r="O65"/>
      <c r="P65" s="253">
        <f>T79</f>
        <v>8.5701692095337401E-3</v>
      </c>
      <c r="Q65" s="254"/>
      <c r="R65" s="255">
        <f>((January_17!$Q$60*January_17!$G$60)+(February_17!$R$60*February_17!$G$60))/($G$62)</f>
        <v>0.79364750686225505</v>
      </c>
      <c r="S65" s="255">
        <f>((January_17!$R$60*January_17!$G$60)+(February_17!$S$60*February_17!$G$60))/($G$62)</f>
        <v>0.7040669486043013</v>
      </c>
      <c r="T65" s="254">
        <f>T78</f>
        <v>0.76732346723044398</v>
      </c>
      <c r="U65" s="256"/>
      <c r="V65" s="257">
        <f>V78</f>
        <v>0.67705011814450933</v>
      </c>
      <c r="W65" s="229"/>
      <c r="Y65" s="176" t="s">
        <v>370</v>
      </c>
      <c r="Z65" s="178"/>
      <c r="AA65" s="178">
        <f>[5]Feb_2017!F85</f>
        <v>6.3781693371767909E-2</v>
      </c>
      <c r="AB65" s="179">
        <f>[5]YearToDate!F5</f>
        <v>5.7508070397275124E-2</v>
      </c>
    </row>
    <row r="66" spans="2:29" s="1" customFormat="1" ht="18.75" thickTop="1" x14ac:dyDescent="0.25">
      <c r="B66" s="8"/>
      <c r="C66" s="203">
        <v>2</v>
      </c>
      <c r="D66" s="204" t="s">
        <v>21</v>
      </c>
      <c r="E66" s="182">
        <f>SUM(G15,G23)</f>
        <v>8569</v>
      </c>
      <c r="F66" s="183">
        <f>SUM(K15,K23)</f>
        <v>1222</v>
      </c>
      <c r="G66" s="184">
        <f>SUM(F15,F23)</f>
        <v>567.6</v>
      </c>
      <c r="H66" s="184">
        <f>SUM(H15,H23)</f>
        <v>565.55400000000009</v>
      </c>
      <c r="I66" s="97">
        <f t="shared" si="0"/>
        <v>3.6046511627905839E-3</v>
      </c>
      <c r="J66" s="186">
        <f>(E66)*24/(F66/60)/17000</f>
        <v>0.59398093771059979</v>
      </c>
      <c r="K66"/>
      <c r="L66"/>
      <c r="M66"/>
      <c r="N66"/>
      <c r="O66" s="2"/>
      <c r="S66"/>
      <c r="T66"/>
      <c r="U66"/>
      <c r="V66"/>
      <c r="X66"/>
      <c r="Y66" s="213" t="s">
        <v>371</v>
      </c>
      <c r="Z66" s="216"/>
      <c r="AA66" s="215">
        <f>[5]Feb_2017!F86</f>
        <v>7.8237021084697725E-2</v>
      </c>
      <c r="AB66" s="214">
        <f>[5]YearToDate!F6</f>
        <v>7.4495145412179109E-2</v>
      </c>
      <c r="AC66"/>
    </row>
    <row r="67" spans="2:29" s="1" customFormat="1" ht="18" x14ac:dyDescent="0.25">
      <c r="B67" s="8"/>
      <c r="C67" s="201">
        <v>3</v>
      </c>
      <c r="D67" s="204" t="s">
        <v>124</v>
      </c>
      <c r="E67" s="187"/>
      <c r="F67" s="188"/>
      <c r="G67" s="189"/>
      <c r="H67" s="189"/>
      <c r="I67" s="109" t="e">
        <f t="shared" si="0"/>
        <v>#DIV/0!</v>
      </c>
      <c r="J67" s="191"/>
      <c r="K67"/>
      <c r="L67"/>
      <c r="M67"/>
      <c r="N67"/>
      <c r="O67" s="2"/>
      <c r="S67"/>
      <c r="T67"/>
      <c r="U67"/>
      <c r="V67"/>
      <c r="X67"/>
      <c r="Y67" s="177" t="s">
        <v>372</v>
      </c>
      <c r="Z67" s="217">
        <f>[5]Feb_2017!$F$25</f>
        <v>8.3948445097885627E-2</v>
      </c>
      <c r="AA67" s="180">
        <f>[5]Feb_2017!F87</f>
        <v>8.0274722847930746E-2</v>
      </c>
      <c r="AB67" s="181">
        <f>[5]YearToDate!F7</f>
        <v>5.2359214885581859E-2</v>
      </c>
      <c r="AC67"/>
    </row>
    <row r="68" spans="2:29" s="1" customFormat="1" ht="18" x14ac:dyDescent="0.25">
      <c r="B68" s="8"/>
      <c r="C68" s="203">
        <v>4</v>
      </c>
      <c r="D68" s="204" t="s">
        <v>18</v>
      </c>
      <c r="E68" s="182">
        <f>SUM(G5)</f>
        <v>4601</v>
      </c>
      <c r="F68" s="183">
        <f>SUM(K4)</f>
        <v>825</v>
      </c>
      <c r="G68" s="182">
        <f>SUM(F5)</f>
        <v>307.70000000000005</v>
      </c>
      <c r="H68" s="182">
        <f>SUM(H5)</f>
        <v>303.666</v>
      </c>
      <c r="I68" s="97">
        <f t="shared" si="0"/>
        <v>1.3110172245694014E-2</v>
      </c>
      <c r="J68" s="186">
        <f>(E68+G4)*24/(F68/60)/17000</f>
        <v>0.69017326203208551</v>
      </c>
      <c r="K68"/>
      <c r="L68"/>
      <c r="M68"/>
      <c r="N68"/>
      <c r="O68" s="2"/>
      <c r="P68" s="159"/>
      <c r="Q68" s="159"/>
      <c r="R68" s="159"/>
      <c r="S68" s="160"/>
      <c r="T68" s="160"/>
      <c r="U68" s="161"/>
      <c r="V68" s="161"/>
      <c r="W68" s="234"/>
      <c r="X68"/>
      <c r="Y68" s="213" t="s">
        <v>373</v>
      </c>
      <c r="Z68" s="216"/>
      <c r="AA68" s="215">
        <f>[5]Feb_2017!F88</f>
        <v>3.7307674429414774E-2</v>
      </c>
      <c r="AB68" s="214">
        <f>[5]YearToDate!F8</f>
        <v>5.4903170815414681E-2</v>
      </c>
    </row>
    <row r="69" spans="2:29" s="1" customFormat="1" ht="18" x14ac:dyDescent="0.25">
      <c r="B69" s="8"/>
      <c r="C69" s="201">
        <v>5</v>
      </c>
      <c r="D69" s="205" t="s">
        <v>26</v>
      </c>
      <c r="E69" s="192"/>
      <c r="F69" s="193"/>
      <c r="G69" s="194"/>
      <c r="H69" s="194"/>
      <c r="I69" s="109" t="e">
        <f t="shared" si="0"/>
        <v>#DIV/0!</v>
      </c>
      <c r="J69" s="191"/>
      <c r="K69"/>
      <c r="L69"/>
      <c r="M69"/>
      <c r="N69"/>
      <c r="O69" s="2"/>
      <c r="P69" s="159"/>
      <c r="S69"/>
      <c r="T69" s="284">
        <f>((13709+10006)-(2288+1528))/(13709+10006)</f>
        <v>0.83908918406072108</v>
      </c>
      <c r="U69" s="6"/>
      <c r="V69" s="6"/>
      <c r="W69" s="10"/>
      <c r="X69"/>
      <c r="Y69" s="177" t="s">
        <v>374</v>
      </c>
      <c r="Z69" s="217"/>
      <c r="AA69" s="239" t="e">
        <f>[5]Feb_2017!F89</f>
        <v>#DIV/0!</v>
      </c>
      <c r="AB69" s="181">
        <f>[5]YearToDate!F9</f>
        <v>7.6171674114030377E-2</v>
      </c>
    </row>
    <row r="70" spans="2:29" s="1" customFormat="1" ht="18.75" thickBot="1" x14ac:dyDescent="0.3">
      <c r="B70" s="8"/>
      <c r="C70" s="203">
        <v>6</v>
      </c>
      <c r="D70" s="205" t="s">
        <v>25</v>
      </c>
      <c r="E70" s="192">
        <f>SUM(G16:G18)</f>
        <v>3289</v>
      </c>
      <c r="F70" s="193">
        <f>SUM(K16)</f>
        <v>492</v>
      </c>
      <c r="G70" s="194">
        <f>SUM(F16:F18)</f>
        <v>271.20000000000005</v>
      </c>
      <c r="H70" s="194">
        <f>SUM(H16:H18)</f>
        <v>259.83100000000002</v>
      </c>
      <c r="I70" s="97">
        <f t="shared" si="0"/>
        <v>4.1921091445427827E-2</v>
      </c>
      <c r="J70" s="186">
        <f>(E70)*24/(F70/60)/17000</f>
        <v>0.56625538020086097</v>
      </c>
      <c r="K70"/>
      <c r="L70"/>
      <c r="M70"/>
      <c r="N70"/>
      <c r="O70" s="2"/>
      <c r="P70" s="159"/>
      <c r="S70"/>
      <c r="T70"/>
      <c r="U70"/>
      <c r="V70"/>
      <c r="X70"/>
      <c r="Y70" s="218" t="s">
        <v>25</v>
      </c>
      <c r="Z70" s="219"/>
      <c r="AA70" s="219">
        <f>[5]Feb_2017!F90</f>
        <v>7.9349505751919354E-3</v>
      </c>
      <c r="AB70" s="220">
        <f>[5]YearToDate!F10</f>
        <v>4.5790074270967041E-2</v>
      </c>
    </row>
    <row r="71" spans="2:29" s="1" customFormat="1" ht="19.5" thickTop="1" thickBot="1" x14ac:dyDescent="0.3">
      <c r="C71" s="112"/>
      <c r="D71" s="195" t="s">
        <v>22</v>
      </c>
      <c r="E71" s="196">
        <f>SUM(E65:E70)</f>
        <v>70881</v>
      </c>
      <c r="F71" s="197">
        <f>K60</f>
        <v>8543</v>
      </c>
      <c r="G71" s="198">
        <f>SUM(G65:G70)</f>
        <v>4818.05</v>
      </c>
      <c r="H71" s="198">
        <f>SUM(H65:H70)</f>
        <v>4779.8030000000008</v>
      </c>
      <c r="I71" s="199">
        <f>((G71)-(H71))/(G71)</f>
        <v>7.9382737829618594E-3</v>
      </c>
      <c r="J71" s="200">
        <f>E71*24/(F71/60)/17000</f>
        <v>0.70280201885272431</v>
      </c>
      <c r="K71"/>
      <c r="L71"/>
      <c r="M71"/>
      <c r="N71"/>
      <c r="O71" s="139"/>
      <c r="P71" s="159"/>
      <c r="S71"/>
      <c r="T71"/>
      <c r="U71"/>
      <c r="V71"/>
      <c r="X71"/>
      <c r="Y71" s="221" t="s">
        <v>379</v>
      </c>
      <c r="Z71" s="222"/>
      <c r="AA71" s="222">
        <f>[5]Feb_2017!$F$92</f>
        <v>6.6273824328780581E-2</v>
      </c>
      <c r="AB71" s="223">
        <f>[5]YearToDate!$F$12</f>
        <v>5.7449685942507892E-2</v>
      </c>
    </row>
    <row r="72" spans="2:29" s="1" customFormat="1" ht="16.5" thickTop="1" x14ac:dyDescent="0.25">
      <c r="J72"/>
      <c r="K72"/>
      <c r="L72"/>
      <c r="M72"/>
      <c r="N72"/>
      <c r="O72" s="2"/>
      <c r="P72" s="159"/>
      <c r="S72"/>
      <c r="T72"/>
      <c r="U72"/>
      <c r="V72"/>
      <c r="X72"/>
    </row>
    <row r="73" spans="2:29" s="1" customFormat="1" ht="15.75" x14ac:dyDescent="0.25">
      <c r="E73" s="3"/>
      <c r="F73" s="119"/>
      <c r="G73" s="120"/>
      <c r="H73" s="120"/>
      <c r="I73"/>
      <c r="J73"/>
      <c r="K73"/>
      <c r="L73"/>
      <c r="M73"/>
      <c r="N73"/>
      <c r="O73" s="2"/>
      <c r="P73" s="159"/>
      <c r="S73"/>
      <c r="T73"/>
      <c r="U73"/>
      <c r="V73"/>
      <c r="X73"/>
    </row>
    <row r="74" spans="2:29" s="1" customFormat="1" ht="13.5" customHeight="1" x14ac:dyDescent="0.25">
      <c r="J74"/>
      <c r="K74"/>
      <c r="L74"/>
      <c r="M74"/>
      <c r="N74"/>
      <c r="O74" s="2"/>
      <c r="P74" s="159"/>
      <c r="S74"/>
      <c r="T74"/>
      <c r="U74"/>
      <c r="V74"/>
      <c r="X74" s="9"/>
    </row>
    <row r="75" spans="2:29" s="1" customFormat="1" x14ac:dyDescent="0.2">
      <c r="J75"/>
      <c r="K75"/>
      <c r="L75"/>
      <c r="M75"/>
      <c r="N75"/>
      <c r="O75" s="2"/>
      <c r="X75" s="9"/>
    </row>
    <row r="76" spans="2:29" s="1" customFormat="1" x14ac:dyDescent="0.2">
      <c r="J76"/>
      <c r="K76"/>
      <c r="L76"/>
      <c r="M76"/>
      <c r="N76"/>
      <c r="O76" s="2"/>
      <c r="X76" s="9"/>
    </row>
    <row r="77" spans="2:29" s="1" customFormat="1" ht="12.75" customHeight="1" x14ac:dyDescent="0.2">
      <c r="J77"/>
      <c r="K77"/>
      <c r="L77"/>
      <c r="M77"/>
      <c r="N77"/>
      <c r="O77" s="2"/>
      <c r="S77"/>
      <c r="T77"/>
      <c r="U77"/>
      <c r="V77"/>
      <c r="X77" s="9"/>
    </row>
    <row r="78" spans="2:29" s="1" customFormat="1" ht="21" hidden="1" thickBot="1" x14ac:dyDescent="0.25">
      <c r="J78"/>
      <c r="K78"/>
      <c r="L78"/>
      <c r="M78"/>
      <c r="N78"/>
      <c r="O78" s="2"/>
      <c r="P78" s="3">
        <f>SUM(January_17!G60,February_17!G60)</f>
        <v>158788</v>
      </c>
      <c r="R78" s="3">
        <f>SUM(January_17!K60,February_17!K60)</f>
        <v>19866</v>
      </c>
      <c r="S78"/>
      <c r="T78" s="63">
        <f>(P78)*24/(R78/60)/15000</f>
        <v>0.76732346723044398</v>
      </c>
      <c r="U78"/>
      <c r="V78" s="128">
        <f>(P78)*24/(R78/60)/17000</f>
        <v>0.67705011814450933</v>
      </c>
      <c r="W78" s="230"/>
      <c r="X78" s="9"/>
    </row>
    <row r="79" spans="2:29" s="1" customFormat="1" ht="21.75" hidden="1" thickTop="1" thickBot="1" x14ac:dyDescent="0.35">
      <c r="J79"/>
      <c r="K79"/>
      <c r="L79"/>
      <c r="M79"/>
      <c r="N79"/>
      <c r="O79" s="2"/>
      <c r="P79" s="140">
        <f>SUM(January_17!F60,February_17!F60)</f>
        <v>10851.763448979589</v>
      </c>
      <c r="R79" s="140">
        <f>SUM(January_17!H60,February_17!H60)</f>
        <v>10758.762000000001</v>
      </c>
      <c r="S79"/>
      <c r="T79" s="87">
        <f>(P79-R79)/P79</f>
        <v>8.5701692095337401E-3</v>
      </c>
      <c r="U79"/>
      <c r="V79"/>
      <c r="X79" s="9"/>
    </row>
    <row r="80" spans="2:29" s="1" customFormat="1" x14ac:dyDescent="0.2">
      <c r="J80"/>
      <c r="K80"/>
      <c r="L80"/>
      <c r="M80"/>
      <c r="N80"/>
      <c r="O80" s="2"/>
      <c r="S80"/>
      <c r="T80"/>
      <c r="U80"/>
      <c r="V80"/>
      <c r="X80" s="9"/>
    </row>
    <row r="81" spans="10:24" s="1" customFormat="1" x14ac:dyDescent="0.2">
      <c r="J81"/>
      <c r="K81"/>
      <c r="L81"/>
      <c r="M81"/>
      <c r="N81"/>
      <c r="O81" s="2"/>
      <c r="S81"/>
      <c r="T81"/>
      <c r="U81"/>
      <c r="V81"/>
      <c r="X81" s="9"/>
    </row>
    <row r="82" spans="10:24" s="1" customFormat="1" ht="12.75" customHeight="1" x14ac:dyDescent="0.2">
      <c r="J82"/>
      <c r="K82"/>
      <c r="L82"/>
      <c r="M82"/>
      <c r="N82"/>
      <c r="O82" s="2"/>
      <c r="S82"/>
      <c r="T82"/>
      <c r="U82"/>
      <c r="V82"/>
      <c r="X82" s="9"/>
    </row>
    <row r="83" spans="10:24" s="1" customFormat="1" ht="12.75" customHeight="1" x14ac:dyDescent="0.2">
      <c r="J83"/>
      <c r="K83"/>
      <c r="L83"/>
      <c r="M83"/>
      <c r="N83"/>
      <c r="O83" s="2"/>
      <c r="S83"/>
      <c r="T83"/>
      <c r="U83"/>
      <c r="V83"/>
      <c r="X83" s="9"/>
    </row>
    <row r="84" spans="10:24" s="1" customFormat="1" ht="12.75" customHeight="1" x14ac:dyDescent="0.2">
      <c r="J84"/>
      <c r="K84"/>
      <c r="L84"/>
      <c r="M84"/>
      <c r="N84"/>
      <c r="O84" s="2"/>
      <c r="S84"/>
      <c r="T84"/>
      <c r="U84"/>
      <c r="V84"/>
      <c r="X84" s="9"/>
    </row>
    <row r="85" spans="10:24" s="1" customFormat="1" ht="12.75" customHeight="1" x14ac:dyDescent="0.2">
      <c r="J85"/>
      <c r="K85"/>
      <c r="L85"/>
      <c r="M85"/>
      <c r="N85"/>
      <c r="O85" s="2"/>
      <c r="S85"/>
      <c r="T85"/>
      <c r="U85"/>
      <c r="V85"/>
      <c r="X85" s="9"/>
    </row>
    <row r="86" spans="10:24" s="1" customFormat="1" ht="12.75" customHeight="1" x14ac:dyDescent="0.2">
      <c r="J86"/>
      <c r="K86"/>
      <c r="L86"/>
      <c r="M86"/>
      <c r="N86"/>
      <c r="O86" s="2"/>
      <c r="S86"/>
      <c r="T86"/>
      <c r="U86"/>
      <c r="V86"/>
      <c r="X86" s="9"/>
    </row>
    <row r="87" spans="10:24" s="1" customFormat="1" x14ac:dyDescent="0.2">
      <c r="J87"/>
      <c r="K87"/>
      <c r="L87"/>
      <c r="M87"/>
      <c r="N87"/>
      <c r="O87" s="2"/>
      <c r="S87"/>
      <c r="T87"/>
      <c r="U87"/>
      <c r="V87"/>
      <c r="X87"/>
    </row>
    <row r="88" spans="10:24" s="1" customFormat="1" x14ac:dyDescent="0.2">
      <c r="J88"/>
      <c r="K88"/>
      <c r="L88"/>
      <c r="M88"/>
      <c r="N88"/>
      <c r="O88" s="2"/>
      <c r="S88"/>
      <c r="T88"/>
      <c r="U88"/>
      <c r="V88"/>
      <c r="X88"/>
    </row>
    <row r="89" spans="10:24" s="1" customFormat="1" x14ac:dyDescent="0.2">
      <c r="J89"/>
      <c r="K89"/>
      <c r="L89"/>
      <c r="M89"/>
      <c r="N89"/>
      <c r="O89" s="2"/>
      <c r="S89"/>
      <c r="T89"/>
      <c r="U89"/>
      <c r="V89"/>
      <c r="X89"/>
    </row>
    <row r="90" spans="10:24" s="1" customFormat="1" x14ac:dyDescent="0.2">
      <c r="J90"/>
      <c r="K90"/>
      <c r="L90"/>
      <c r="M90"/>
      <c r="N90"/>
      <c r="O90" s="2"/>
      <c r="S90"/>
      <c r="T90"/>
      <c r="U90"/>
      <c r="V90"/>
      <c r="X90"/>
    </row>
    <row r="91" spans="10:24" s="1" customFormat="1" x14ac:dyDescent="0.2">
      <c r="J91"/>
      <c r="K91"/>
      <c r="L91"/>
      <c r="M91"/>
      <c r="N91"/>
      <c r="O91" s="2"/>
      <c r="S91"/>
      <c r="T91"/>
      <c r="U91"/>
      <c r="V91"/>
      <c r="X91"/>
    </row>
    <row r="92" spans="10:24" s="1" customFormat="1" x14ac:dyDescent="0.2">
      <c r="J92"/>
      <c r="K92"/>
      <c r="L92"/>
      <c r="M92"/>
      <c r="N92"/>
      <c r="O92" s="2"/>
      <c r="S92"/>
      <c r="T92"/>
      <c r="U92"/>
      <c r="V92"/>
      <c r="X92"/>
    </row>
    <row r="93" spans="10:24" s="1" customFormat="1" x14ac:dyDescent="0.2">
      <c r="J93"/>
      <c r="K93"/>
      <c r="L93"/>
      <c r="M93"/>
      <c r="N93"/>
      <c r="O93" s="2"/>
      <c r="S93"/>
      <c r="T93"/>
      <c r="U93"/>
      <c r="V93"/>
      <c r="X93"/>
    </row>
    <row r="94" spans="10:24" s="1" customFormat="1" x14ac:dyDescent="0.2">
      <c r="J94"/>
      <c r="K94"/>
      <c r="L94"/>
      <c r="M94"/>
      <c r="N94"/>
      <c r="O94" s="2"/>
      <c r="S94"/>
      <c r="T94"/>
      <c r="U94"/>
      <c r="V94"/>
      <c r="X94"/>
    </row>
    <row r="95" spans="10:24" s="1" customFormat="1" x14ac:dyDescent="0.2">
      <c r="J95"/>
      <c r="K95"/>
      <c r="L95"/>
      <c r="M95"/>
      <c r="N95"/>
      <c r="O95" s="2"/>
      <c r="S95"/>
      <c r="T95"/>
      <c r="U95"/>
      <c r="V95"/>
      <c r="X95"/>
    </row>
    <row r="96" spans="10:24" s="1" customFormat="1" x14ac:dyDescent="0.2">
      <c r="J96"/>
      <c r="K96"/>
      <c r="L96"/>
      <c r="M96"/>
      <c r="N96"/>
      <c r="O96" s="2"/>
      <c r="S96"/>
      <c r="T96"/>
      <c r="U96"/>
      <c r="V96"/>
      <c r="X96"/>
    </row>
    <row r="97" spans="10:24" s="1" customFormat="1" x14ac:dyDescent="0.2">
      <c r="J97"/>
      <c r="K97"/>
      <c r="L97"/>
      <c r="M97"/>
      <c r="N97"/>
      <c r="O97" s="2"/>
      <c r="S97"/>
      <c r="T97"/>
      <c r="U97"/>
      <c r="V97"/>
      <c r="X97"/>
    </row>
    <row r="98" spans="10:24" s="1" customFormat="1" x14ac:dyDescent="0.2">
      <c r="J98"/>
      <c r="K98"/>
      <c r="L98"/>
      <c r="M98"/>
      <c r="N98"/>
      <c r="O98" s="2"/>
      <c r="S98"/>
      <c r="T98"/>
      <c r="U98"/>
      <c r="V98"/>
      <c r="X98"/>
    </row>
    <row r="99" spans="10:24" s="1" customFormat="1" x14ac:dyDescent="0.2">
      <c r="J99"/>
      <c r="K99"/>
      <c r="L99"/>
      <c r="M99"/>
      <c r="N99"/>
      <c r="O99" s="2"/>
      <c r="S99"/>
      <c r="T99"/>
      <c r="U99"/>
      <c r="V99"/>
      <c r="X99"/>
    </row>
    <row r="100" spans="10:24" s="1" customFormat="1" x14ac:dyDescent="0.2">
      <c r="J100"/>
      <c r="K100"/>
      <c r="L100"/>
      <c r="M100"/>
      <c r="N100"/>
      <c r="O100" s="2"/>
      <c r="S100"/>
      <c r="T100"/>
      <c r="U100"/>
      <c r="V100"/>
      <c r="X100"/>
    </row>
    <row r="101" spans="10:24" s="1" customFormat="1" x14ac:dyDescent="0.2">
      <c r="J101"/>
      <c r="K101"/>
      <c r="L101"/>
      <c r="M101"/>
      <c r="N101"/>
      <c r="O101" s="2"/>
      <c r="S101"/>
      <c r="T101"/>
      <c r="U101"/>
      <c r="V101"/>
      <c r="X101"/>
    </row>
    <row r="102" spans="10:24" s="1" customFormat="1" x14ac:dyDescent="0.2">
      <c r="J102"/>
      <c r="K102"/>
      <c r="L102"/>
      <c r="M102"/>
      <c r="N102"/>
      <c r="O102" s="2"/>
      <c r="S102"/>
      <c r="T102"/>
      <c r="U102"/>
      <c r="V102"/>
      <c r="X102"/>
    </row>
    <row r="103" spans="10:24" s="1" customFormat="1" x14ac:dyDescent="0.2">
      <c r="J103"/>
      <c r="K103"/>
      <c r="L103"/>
      <c r="M103"/>
      <c r="N103"/>
      <c r="O103" s="2"/>
      <c r="S103"/>
      <c r="T103"/>
      <c r="U103"/>
      <c r="V103"/>
      <c r="X103"/>
    </row>
    <row r="104" spans="10:24" s="1" customFormat="1" x14ac:dyDescent="0.2">
      <c r="J104"/>
      <c r="K104"/>
      <c r="L104"/>
      <c r="M104"/>
      <c r="N104"/>
      <c r="O104" s="2"/>
      <c r="S104"/>
      <c r="T104"/>
      <c r="U104"/>
      <c r="V104"/>
      <c r="X104"/>
    </row>
    <row r="105" spans="10:24" s="1" customFormat="1" x14ac:dyDescent="0.2">
      <c r="J105"/>
      <c r="K105"/>
      <c r="L105"/>
      <c r="M105"/>
      <c r="N105"/>
      <c r="O105" s="2"/>
      <c r="S105"/>
      <c r="T105"/>
      <c r="U105"/>
      <c r="V105"/>
      <c r="X105"/>
    </row>
    <row r="106" spans="10:24" s="1" customFormat="1" x14ac:dyDescent="0.2">
      <c r="J106"/>
      <c r="K106"/>
      <c r="L106"/>
      <c r="M106"/>
      <c r="N106"/>
      <c r="O106" s="2"/>
      <c r="S106"/>
      <c r="T106"/>
      <c r="U106"/>
      <c r="V106"/>
      <c r="X106"/>
    </row>
    <row r="107" spans="10:24" s="1" customFormat="1" x14ac:dyDescent="0.2">
      <c r="J107"/>
      <c r="K107"/>
      <c r="L107"/>
      <c r="M107"/>
      <c r="N107"/>
      <c r="O107" s="2"/>
      <c r="S107"/>
      <c r="T107"/>
      <c r="U107"/>
      <c r="V107"/>
      <c r="X107"/>
    </row>
    <row r="108" spans="10:24" s="1" customFormat="1" x14ac:dyDescent="0.2">
      <c r="J108"/>
      <c r="K108"/>
      <c r="L108"/>
      <c r="M108"/>
      <c r="N108"/>
      <c r="O108" s="2"/>
      <c r="S108"/>
      <c r="T108"/>
      <c r="U108"/>
      <c r="V108"/>
      <c r="X108"/>
    </row>
    <row r="109" spans="10:24" s="1" customFormat="1" x14ac:dyDescent="0.2">
      <c r="J109"/>
      <c r="K109"/>
      <c r="L109"/>
      <c r="M109"/>
      <c r="N109"/>
      <c r="O109" s="2"/>
      <c r="S109"/>
      <c r="T109"/>
      <c r="U109"/>
      <c r="V109"/>
      <c r="X109"/>
    </row>
    <row r="110" spans="10:24" s="1" customFormat="1" x14ac:dyDescent="0.2">
      <c r="J110"/>
      <c r="K110"/>
      <c r="L110"/>
      <c r="M110"/>
      <c r="N110"/>
      <c r="O110" s="2"/>
      <c r="S110"/>
      <c r="T110"/>
      <c r="U110"/>
      <c r="V110"/>
      <c r="X110"/>
    </row>
    <row r="111" spans="10:24" s="1" customFormat="1" x14ac:dyDescent="0.2">
      <c r="J111"/>
      <c r="K111"/>
      <c r="L111"/>
      <c r="M111"/>
      <c r="N111"/>
      <c r="O111" s="2"/>
      <c r="S111"/>
      <c r="T111"/>
      <c r="U111"/>
      <c r="V111"/>
      <c r="X111"/>
    </row>
    <row r="112" spans="10:24" s="1" customFormat="1" x14ac:dyDescent="0.2">
      <c r="J112"/>
      <c r="K112"/>
      <c r="L112"/>
      <c r="M112"/>
      <c r="N112"/>
      <c r="O112" s="2"/>
      <c r="S112"/>
      <c r="T112"/>
      <c r="U112"/>
      <c r="V112"/>
      <c r="X112"/>
    </row>
    <row r="113" spans="10:24" s="1" customFormat="1" x14ac:dyDescent="0.2">
      <c r="J113"/>
      <c r="K113"/>
      <c r="L113"/>
      <c r="M113"/>
      <c r="N113"/>
      <c r="O113" s="2"/>
      <c r="S113"/>
      <c r="T113"/>
      <c r="U113"/>
      <c r="V113"/>
      <c r="X113"/>
    </row>
    <row r="114" spans="10:24" s="1" customFormat="1" x14ac:dyDescent="0.2">
      <c r="J114"/>
      <c r="K114"/>
      <c r="L114"/>
      <c r="M114"/>
      <c r="N114"/>
      <c r="O114" s="2"/>
      <c r="S114"/>
      <c r="T114"/>
      <c r="U114"/>
      <c r="V114"/>
      <c r="X114"/>
    </row>
    <row r="115" spans="10:24" s="1" customFormat="1" x14ac:dyDescent="0.2">
      <c r="J115"/>
      <c r="K115"/>
      <c r="L115"/>
      <c r="M115"/>
      <c r="N115"/>
      <c r="O115" s="2"/>
      <c r="S115"/>
      <c r="T115"/>
      <c r="U115"/>
      <c r="V115"/>
      <c r="X115"/>
    </row>
    <row r="116" spans="10:24" s="1" customFormat="1" x14ac:dyDescent="0.2">
      <c r="J116"/>
      <c r="K116"/>
      <c r="L116"/>
      <c r="M116"/>
      <c r="N116"/>
      <c r="O116" s="2"/>
      <c r="S116"/>
      <c r="T116"/>
      <c r="U116"/>
      <c r="V116"/>
      <c r="X116"/>
    </row>
    <row r="117" spans="10:24" s="1" customFormat="1" x14ac:dyDescent="0.2">
      <c r="J117"/>
      <c r="K117"/>
      <c r="L117"/>
      <c r="M117"/>
      <c r="N117"/>
      <c r="O117" s="2"/>
      <c r="S117"/>
      <c r="T117"/>
      <c r="U117"/>
      <c r="V117"/>
      <c r="X117"/>
    </row>
    <row r="118" spans="10:24" s="1" customFormat="1" x14ac:dyDescent="0.2">
      <c r="J118"/>
      <c r="K118"/>
      <c r="L118"/>
      <c r="M118"/>
      <c r="N118"/>
      <c r="O118" s="2"/>
      <c r="S118"/>
      <c r="T118"/>
      <c r="U118"/>
      <c r="V118"/>
      <c r="X118"/>
    </row>
    <row r="119" spans="10:24" s="1" customFormat="1" x14ac:dyDescent="0.2">
      <c r="J119"/>
      <c r="K119"/>
      <c r="L119"/>
      <c r="M119"/>
      <c r="N119"/>
      <c r="O119" s="2"/>
      <c r="S119"/>
      <c r="T119"/>
      <c r="U119"/>
      <c r="V119"/>
      <c r="X119"/>
    </row>
    <row r="120" spans="10:24" s="1" customFormat="1" x14ac:dyDescent="0.2">
      <c r="J120"/>
      <c r="K120"/>
      <c r="L120"/>
      <c r="M120"/>
      <c r="N120"/>
      <c r="O120" s="2"/>
      <c r="S120"/>
      <c r="T120"/>
      <c r="U120"/>
      <c r="V120"/>
      <c r="X120"/>
    </row>
    <row r="121" spans="10:24" s="1" customFormat="1" x14ac:dyDescent="0.2">
      <c r="J121"/>
      <c r="K121"/>
      <c r="L121"/>
      <c r="M121"/>
      <c r="N121"/>
      <c r="O121" s="2"/>
      <c r="S121"/>
      <c r="T121"/>
      <c r="U121"/>
      <c r="V121"/>
      <c r="X121"/>
    </row>
    <row r="122" spans="10:24" s="1" customFormat="1" x14ac:dyDescent="0.2">
      <c r="J122"/>
      <c r="K122"/>
      <c r="L122"/>
      <c r="M122"/>
      <c r="N122"/>
      <c r="O122" s="2"/>
      <c r="S122"/>
      <c r="T122"/>
      <c r="U122"/>
      <c r="V122"/>
      <c r="X122"/>
    </row>
    <row r="123" spans="10:24" s="1" customFormat="1" x14ac:dyDescent="0.2">
      <c r="J123"/>
      <c r="K123"/>
      <c r="L123"/>
      <c r="M123"/>
      <c r="N123"/>
      <c r="O123" s="2"/>
      <c r="S123"/>
      <c r="T123"/>
      <c r="U123"/>
      <c r="V123"/>
      <c r="X123"/>
    </row>
    <row r="124" spans="10:24" s="1" customFormat="1" x14ac:dyDescent="0.2">
      <c r="J124"/>
      <c r="K124"/>
      <c r="L124"/>
      <c r="M124"/>
      <c r="N124"/>
      <c r="O124" s="2"/>
      <c r="S124"/>
      <c r="T124"/>
      <c r="U124"/>
      <c r="V124"/>
      <c r="X124"/>
    </row>
    <row r="125" spans="10:24" s="1" customFormat="1" x14ac:dyDescent="0.2">
      <c r="J125"/>
      <c r="K125"/>
      <c r="L125"/>
      <c r="M125"/>
      <c r="N125"/>
      <c r="O125" s="2"/>
      <c r="S125"/>
      <c r="T125"/>
      <c r="U125"/>
      <c r="V125"/>
      <c r="X125"/>
    </row>
    <row r="126" spans="10:24" s="1" customFormat="1" x14ac:dyDescent="0.2">
      <c r="J126"/>
      <c r="K126"/>
      <c r="L126"/>
      <c r="M126"/>
      <c r="N126"/>
      <c r="O126" s="2"/>
      <c r="S126"/>
      <c r="T126"/>
      <c r="U126"/>
      <c r="V126"/>
      <c r="X126"/>
    </row>
    <row r="127" spans="10:24" s="1" customFormat="1" x14ac:dyDescent="0.2">
      <c r="J127"/>
      <c r="K127"/>
      <c r="L127"/>
      <c r="M127"/>
      <c r="N127"/>
      <c r="O127" s="2"/>
      <c r="S127"/>
      <c r="T127"/>
      <c r="U127"/>
      <c r="V127"/>
      <c r="X127"/>
    </row>
    <row r="128" spans="10:24" s="1" customFormat="1" x14ac:dyDescent="0.2">
      <c r="J128"/>
      <c r="K128"/>
      <c r="L128"/>
      <c r="M128"/>
      <c r="N128"/>
      <c r="O128" s="2"/>
      <c r="S128"/>
      <c r="T128"/>
      <c r="U128"/>
      <c r="V128"/>
      <c r="X128"/>
    </row>
    <row r="129" spans="10:24" s="1" customFormat="1" x14ac:dyDescent="0.2">
      <c r="J129"/>
      <c r="K129"/>
      <c r="L129"/>
      <c r="M129"/>
      <c r="N129"/>
      <c r="O129" s="2"/>
      <c r="S129"/>
      <c r="T129"/>
      <c r="U129"/>
      <c r="V129"/>
      <c r="X129"/>
    </row>
    <row r="130" spans="10:24" s="1" customFormat="1" x14ac:dyDescent="0.2">
      <c r="J130"/>
      <c r="K130"/>
      <c r="L130"/>
      <c r="M130"/>
      <c r="N130"/>
      <c r="O130" s="2"/>
      <c r="S130"/>
      <c r="T130"/>
      <c r="U130"/>
      <c r="V130"/>
      <c r="X130"/>
    </row>
    <row r="131" spans="10:24" s="1" customFormat="1" x14ac:dyDescent="0.2">
      <c r="J131"/>
      <c r="K131"/>
      <c r="L131"/>
      <c r="M131"/>
      <c r="N131"/>
      <c r="O131" s="2"/>
      <c r="S131"/>
      <c r="T131"/>
      <c r="U131"/>
      <c r="V131"/>
      <c r="X131"/>
    </row>
    <row r="132" spans="10:24" s="1" customFormat="1" x14ac:dyDescent="0.2">
      <c r="J132"/>
      <c r="K132"/>
      <c r="L132"/>
      <c r="M132"/>
      <c r="N132"/>
      <c r="O132" s="2"/>
      <c r="S132"/>
      <c r="T132"/>
      <c r="U132"/>
      <c r="V132"/>
      <c r="X132"/>
    </row>
    <row r="133" spans="10:24" s="1" customFormat="1" x14ac:dyDescent="0.2">
      <c r="J133"/>
      <c r="K133"/>
      <c r="L133"/>
      <c r="M133"/>
      <c r="N133"/>
      <c r="O133" s="2"/>
      <c r="S133"/>
      <c r="T133"/>
      <c r="U133"/>
      <c r="V133"/>
      <c r="X133"/>
    </row>
    <row r="134" spans="10:24" s="1" customFormat="1" x14ac:dyDescent="0.2">
      <c r="J134"/>
      <c r="K134"/>
      <c r="L134"/>
      <c r="M134"/>
      <c r="N134"/>
      <c r="O134" s="2"/>
      <c r="S134"/>
      <c r="T134"/>
      <c r="U134"/>
      <c r="V134"/>
      <c r="X134"/>
    </row>
    <row r="135" spans="10:24" s="1" customFormat="1" x14ac:dyDescent="0.2">
      <c r="J135"/>
      <c r="K135"/>
      <c r="L135"/>
      <c r="M135"/>
      <c r="N135"/>
      <c r="O135" s="2"/>
      <c r="S135"/>
      <c r="T135"/>
      <c r="U135"/>
      <c r="V135"/>
      <c r="X135"/>
    </row>
    <row r="136" spans="10:24" s="1" customFormat="1" x14ac:dyDescent="0.2">
      <c r="J136"/>
      <c r="K136"/>
      <c r="L136"/>
      <c r="M136"/>
      <c r="N136"/>
      <c r="O136" s="2"/>
      <c r="S136"/>
      <c r="T136"/>
      <c r="U136"/>
      <c r="V136"/>
      <c r="X136"/>
    </row>
    <row r="137" spans="10:24" s="1" customFormat="1" x14ac:dyDescent="0.2">
      <c r="J137"/>
      <c r="K137"/>
      <c r="L137"/>
      <c r="M137"/>
      <c r="N137"/>
      <c r="O137" s="2"/>
      <c r="S137"/>
      <c r="T137"/>
      <c r="U137"/>
      <c r="V137"/>
      <c r="X137"/>
    </row>
    <row r="138" spans="10:24" s="1" customFormat="1" x14ac:dyDescent="0.2">
      <c r="J138"/>
      <c r="K138"/>
      <c r="L138"/>
      <c r="M138"/>
      <c r="N138"/>
      <c r="O138" s="2"/>
      <c r="S138"/>
      <c r="T138"/>
      <c r="U138"/>
      <c r="V138"/>
      <c r="X138"/>
    </row>
    <row r="139" spans="10:24" s="1" customFormat="1" x14ac:dyDescent="0.2">
      <c r="J139"/>
      <c r="K139"/>
      <c r="L139"/>
      <c r="M139"/>
      <c r="N139"/>
      <c r="O139" s="2"/>
      <c r="S139"/>
      <c r="T139"/>
      <c r="U139"/>
      <c r="V139"/>
      <c r="X139"/>
    </row>
    <row r="140" spans="10:24" s="1" customFormat="1" x14ac:dyDescent="0.2">
      <c r="J140"/>
      <c r="K140"/>
      <c r="L140"/>
      <c r="M140"/>
      <c r="N140"/>
      <c r="O140" s="2"/>
      <c r="S140"/>
      <c r="T140"/>
      <c r="U140"/>
      <c r="V140"/>
      <c r="X140"/>
    </row>
    <row r="141" spans="10:24" s="1" customFormat="1" x14ac:dyDescent="0.2">
      <c r="J141"/>
      <c r="K141"/>
      <c r="L141"/>
      <c r="M141"/>
      <c r="N141"/>
      <c r="O141" s="2"/>
      <c r="S141"/>
      <c r="T141"/>
      <c r="U141"/>
      <c r="V141"/>
      <c r="X141"/>
    </row>
    <row r="142" spans="10:24" s="1" customFormat="1" x14ac:dyDescent="0.2">
      <c r="J142"/>
      <c r="K142"/>
      <c r="L142"/>
      <c r="M142"/>
      <c r="N142"/>
      <c r="O142" s="2"/>
      <c r="S142"/>
      <c r="T142"/>
      <c r="U142"/>
      <c r="V142"/>
      <c r="X142"/>
    </row>
    <row r="143" spans="10:24" s="1" customFormat="1" x14ac:dyDescent="0.2">
      <c r="J143"/>
      <c r="K143"/>
      <c r="L143"/>
      <c r="M143"/>
      <c r="N143"/>
      <c r="O143" s="2"/>
      <c r="S143"/>
      <c r="T143"/>
      <c r="U143"/>
      <c r="V143"/>
      <c r="X143"/>
    </row>
    <row r="144" spans="10:24" s="1" customFormat="1" x14ac:dyDescent="0.2">
      <c r="J144"/>
      <c r="K144"/>
      <c r="L144"/>
      <c r="M144"/>
      <c r="N144"/>
      <c r="O144" s="2"/>
      <c r="S144"/>
      <c r="T144"/>
      <c r="U144"/>
      <c r="V144"/>
      <c r="X144"/>
    </row>
    <row r="145" spans="10:24" s="1" customFormat="1" x14ac:dyDescent="0.2">
      <c r="J145"/>
      <c r="K145"/>
      <c r="L145"/>
      <c r="M145"/>
      <c r="N145"/>
      <c r="O145" s="2"/>
      <c r="S145"/>
      <c r="T145"/>
      <c r="U145"/>
      <c r="V145"/>
      <c r="X145"/>
    </row>
    <row r="146" spans="10:24" s="1" customFormat="1" x14ac:dyDescent="0.2">
      <c r="J146"/>
      <c r="K146"/>
      <c r="L146"/>
      <c r="M146"/>
      <c r="N146"/>
      <c r="O146" s="2"/>
      <c r="S146"/>
      <c r="T146"/>
      <c r="U146"/>
      <c r="V146"/>
      <c r="X146"/>
    </row>
    <row r="147" spans="10:24" s="1" customFormat="1" x14ac:dyDescent="0.2">
      <c r="J147"/>
      <c r="K147"/>
      <c r="L147"/>
      <c r="M147"/>
      <c r="N147"/>
      <c r="O147" s="2"/>
      <c r="S147"/>
      <c r="T147"/>
      <c r="U147"/>
      <c r="V147"/>
      <c r="X147"/>
    </row>
    <row r="148" spans="10:24" s="1" customFormat="1" x14ac:dyDescent="0.2">
      <c r="J148"/>
      <c r="K148"/>
      <c r="L148"/>
      <c r="M148"/>
      <c r="N148"/>
      <c r="O148" s="2"/>
      <c r="S148"/>
      <c r="T148"/>
      <c r="U148"/>
      <c r="V148"/>
      <c r="X148"/>
    </row>
    <row r="149" spans="10:24" s="1" customFormat="1" x14ac:dyDescent="0.2">
      <c r="J149"/>
      <c r="K149"/>
      <c r="L149"/>
      <c r="M149"/>
      <c r="N149"/>
      <c r="O149" s="2"/>
      <c r="S149"/>
      <c r="T149"/>
      <c r="U149"/>
      <c r="V149"/>
      <c r="X149"/>
    </row>
    <row r="150" spans="10:24" s="1" customFormat="1" x14ac:dyDescent="0.2">
      <c r="J150"/>
      <c r="K150"/>
      <c r="L150"/>
      <c r="M150"/>
      <c r="N150"/>
      <c r="O150" s="2"/>
      <c r="S150"/>
      <c r="T150"/>
      <c r="U150"/>
      <c r="V150"/>
      <c r="X150"/>
    </row>
    <row r="151" spans="10:24" s="1" customFormat="1" x14ac:dyDescent="0.2">
      <c r="J151"/>
      <c r="K151"/>
      <c r="L151"/>
      <c r="M151"/>
      <c r="N151"/>
      <c r="O151" s="2"/>
      <c r="S151"/>
      <c r="T151"/>
      <c r="U151"/>
      <c r="V151"/>
      <c r="X151"/>
    </row>
    <row r="152" spans="10:24" s="1" customFormat="1" x14ac:dyDescent="0.2">
      <c r="J152"/>
      <c r="K152"/>
      <c r="L152"/>
      <c r="M152"/>
      <c r="N152"/>
      <c r="O152" s="2"/>
      <c r="S152"/>
      <c r="T152"/>
      <c r="U152"/>
      <c r="V152"/>
      <c r="X152"/>
    </row>
    <row r="153" spans="10:24" s="1" customFormat="1" x14ac:dyDescent="0.2">
      <c r="J153"/>
      <c r="K153"/>
      <c r="L153"/>
      <c r="M153"/>
      <c r="N153"/>
      <c r="O153" s="2"/>
      <c r="S153"/>
      <c r="T153"/>
      <c r="U153"/>
      <c r="V153"/>
      <c r="X153"/>
    </row>
    <row r="154" spans="10:24" s="1" customFormat="1" x14ac:dyDescent="0.2">
      <c r="J154"/>
      <c r="K154"/>
      <c r="L154"/>
      <c r="M154"/>
      <c r="N154"/>
      <c r="O154" s="2"/>
      <c r="S154"/>
      <c r="T154"/>
      <c r="U154"/>
      <c r="V154"/>
      <c r="X154"/>
    </row>
    <row r="155" spans="10:24" s="1" customFormat="1" x14ac:dyDescent="0.2">
      <c r="J155"/>
      <c r="K155"/>
      <c r="L155"/>
      <c r="M155"/>
      <c r="N155"/>
      <c r="O155" s="2"/>
      <c r="S155"/>
      <c r="T155"/>
      <c r="U155"/>
      <c r="V155"/>
      <c r="X155"/>
    </row>
    <row r="156" spans="10:24" s="1" customFormat="1" x14ac:dyDescent="0.2">
      <c r="J156"/>
      <c r="K156"/>
      <c r="L156"/>
      <c r="M156"/>
      <c r="N156"/>
      <c r="O156" s="2"/>
      <c r="S156"/>
      <c r="T156"/>
      <c r="U156"/>
      <c r="V156"/>
      <c r="X156"/>
    </row>
    <row r="157" spans="10:24" s="1" customFormat="1" x14ac:dyDescent="0.2">
      <c r="J157"/>
      <c r="K157"/>
      <c r="L157"/>
      <c r="M157"/>
      <c r="N157"/>
      <c r="O157" s="2"/>
      <c r="S157"/>
      <c r="T157"/>
      <c r="U157"/>
      <c r="V157"/>
      <c r="X157"/>
    </row>
    <row r="158" spans="10:24" s="1" customFormat="1" x14ac:dyDescent="0.2">
      <c r="J158"/>
      <c r="K158"/>
      <c r="L158"/>
      <c r="M158"/>
      <c r="N158"/>
      <c r="O158" s="2"/>
      <c r="S158"/>
      <c r="T158"/>
      <c r="U158"/>
      <c r="V158"/>
      <c r="X158"/>
    </row>
    <row r="159" spans="10:24" s="1" customFormat="1" x14ac:dyDescent="0.2">
      <c r="J159"/>
      <c r="K159"/>
      <c r="L159"/>
      <c r="M159"/>
      <c r="N159"/>
      <c r="O159" s="2"/>
      <c r="S159"/>
      <c r="T159"/>
      <c r="U159"/>
      <c r="V159"/>
      <c r="X159"/>
    </row>
    <row r="160" spans="10:24" s="1" customFormat="1" x14ac:dyDescent="0.2">
      <c r="J160"/>
      <c r="K160"/>
      <c r="L160"/>
      <c r="M160"/>
      <c r="N160"/>
      <c r="O160" s="2"/>
      <c r="S160"/>
      <c r="T160"/>
      <c r="U160"/>
      <c r="V160"/>
      <c r="X160"/>
    </row>
    <row r="161" spans="10:24" s="1" customFormat="1" x14ac:dyDescent="0.2">
      <c r="J161"/>
      <c r="K161"/>
      <c r="L161"/>
      <c r="M161"/>
      <c r="N161"/>
      <c r="O161" s="2"/>
      <c r="S161"/>
      <c r="T161"/>
      <c r="U161"/>
      <c r="V161"/>
      <c r="X161"/>
    </row>
    <row r="162" spans="10:24" s="1" customFormat="1" x14ac:dyDescent="0.2">
      <c r="J162"/>
      <c r="K162"/>
      <c r="L162"/>
      <c r="M162"/>
      <c r="N162"/>
      <c r="O162" s="2"/>
      <c r="S162"/>
      <c r="T162"/>
      <c r="U162"/>
      <c r="V162"/>
      <c r="X162"/>
    </row>
    <row r="163" spans="10:24" s="1" customFormat="1" x14ac:dyDescent="0.2">
      <c r="J163"/>
      <c r="K163"/>
      <c r="L163"/>
      <c r="M163"/>
      <c r="N163"/>
      <c r="O163" s="2"/>
      <c r="S163"/>
      <c r="T163"/>
      <c r="U163"/>
      <c r="V163"/>
      <c r="X163"/>
    </row>
    <row r="164" spans="10:24" s="1" customFormat="1" x14ac:dyDescent="0.2">
      <c r="J164"/>
      <c r="K164"/>
      <c r="L164"/>
      <c r="M164"/>
      <c r="N164"/>
      <c r="O164" s="2"/>
      <c r="S164"/>
      <c r="T164"/>
      <c r="U164"/>
      <c r="V164"/>
      <c r="X164"/>
    </row>
    <row r="165" spans="10:24" s="1" customFormat="1" x14ac:dyDescent="0.2">
      <c r="J165"/>
      <c r="K165"/>
      <c r="L165"/>
      <c r="M165"/>
      <c r="N165"/>
      <c r="O165" s="2"/>
      <c r="S165"/>
      <c r="T165"/>
      <c r="U165"/>
      <c r="V165"/>
      <c r="X165"/>
    </row>
    <row r="166" spans="10:24" s="1" customFormat="1" x14ac:dyDescent="0.2">
      <c r="J166"/>
      <c r="K166"/>
      <c r="L166"/>
      <c r="M166"/>
      <c r="N166"/>
      <c r="O166" s="2"/>
      <c r="S166"/>
      <c r="T166"/>
      <c r="U166"/>
      <c r="V166"/>
      <c r="X166"/>
    </row>
    <row r="167" spans="10:24" s="1" customFormat="1" x14ac:dyDescent="0.2">
      <c r="J167"/>
      <c r="K167"/>
      <c r="L167"/>
      <c r="M167"/>
      <c r="N167"/>
      <c r="O167" s="2"/>
      <c r="S167"/>
      <c r="T167"/>
      <c r="U167"/>
      <c r="V167"/>
      <c r="X167"/>
    </row>
    <row r="168" spans="10:24" s="1" customFormat="1" x14ac:dyDescent="0.2">
      <c r="J168"/>
      <c r="K168"/>
      <c r="L168"/>
      <c r="M168"/>
      <c r="N168"/>
      <c r="O168" s="2"/>
      <c r="S168"/>
      <c r="T168"/>
      <c r="U168"/>
      <c r="V168"/>
      <c r="X168"/>
    </row>
    <row r="169" spans="10:24" s="1" customFormat="1" x14ac:dyDescent="0.2">
      <c r="J169"/>
      <c r="K169"/>
      <c r="L169"/>
      <c r="M169"/>
      <c r="N169"/>
      <c r="O169" s="2"/>
      <c r="S169"/>
      <c r="T169"/>
      <c r="U169"/>
      <c r="V169"/>
      <c r="X169"/>
    </row>
    <row r="170" spans="10:24" s="1" customFormat="1" x14ac:dyDescent="0.2">
      <c r="J170"/>
      <c r="K170"/>
      <c r="L170"/>
      <c r="M170"/>
      <c r="N170"/>
      <c r="O170" s="2"/>
      <c r="S170"/>
      <c r="T170"/>
      <c r="U170"/>
      <c r="V170"/>
      <c r="X170"/>
    </row>
    <row r="171" spans="10:24" s="1" customFormat="1" x14ac:dyDescent="0.2">
      <c r="J171"/>
      <c r="K171"/>
      <c r="L171"/>
      <c r="M171"/>
      <c r="N171"/>
      <c r="O171" s="2"/>
      <c r="S171"/>
      <c r="T171"/>
      <c r="U171"/>
      <c r="V171"/>
      <c r="X171"/>
    </row>
    <row r="172" spans="10:24" s="1" customFormat="1" x14ac:dyDescent="0.2">
      <c r="J172"/>
      <c r="K172"/>
      <c r="L172"/>
      <c r="M172"/>
      <c r="N172"/>
      <c r="O172" s="2"/>
      <c r="S172"/>
      <c r="T172"/>
      <c r="U172"/>
      <c r="V172"/>
      <c r="X172"/>
    </row>
    <row r="173" spans="10:24" s="1" customFormat="1" x14ac:dyDescent="0.2">
      <c r="J173"/>
      <c r="K173"/>
      <c r="L173"/>
      <c r="M173"/>
      <c r="N173"/>
      <c r="O173" s="2"/>
      <c r="S173"/>
      <c r="T173"/>
      <c r="U173"/>
      <c r="V173"/>
      <c r="X173"/>
    </row>
    <row r="174" spans="10:24" s="1" customFormat="1" x14ac:dyDescent="0.2">
      <c r="J174"/>
      <c r="K174"/>
      <c r="L174"/>
      <c r="M174"/>
      <c r="N174"/>
      <c r="O174" s="2"/>
      <c r="S174"/>
      <c r="T174"/>
      <c r="U174"/>
      <c r="V174"/>
      <c r="X174"/>
    </row>
    <row r="175" spans="10:24" s="1" customFormat="1" x14ac:dyDescent="0.2">
      <c r="J175"/>
      <c r="K175"/>
      <c r="L175"/>
      <c r="M175"/>
      <c r="N175"/>
      <c r="O175" s="2"/>
      <c r="S175"/>
      <c r="T175"/>
      <c r="U175"/>
      <c r="V175"/>
      <c r="X175"/>
    </row>
    <row r="176" spans="10:24" s="1" customFormat="1" x14ac:dyDescent="0.2">
      <c r="J176"/>
      <c r="K176"/>
      <c r="L176"/>
      <c r="M176"/>
      <c r="N176"/>
      <c r="O176" s="2"/>
      <c r="S176"/>
      <c r="T176"/>
      <c r="U176"/>
      <c r="V176"/>
      <c r="X176"/>
    </row>
    <row r="177" spans="10:24" s="1" customFormat="1" x14ac:dyDescent="0.2">
      <c r="J177"/>
      <c r="K177"/>
      <c r="L177"/>
      <c r="M177"/>
      <c r="N177"/>
      <c r="O177" s="2"/>
      <c r="S177"/>
      <c r="T177"/>
      <c r="U177"/>
      <c r="V177"/>
      <c r="X177"/>
    </row>
    <row r="178" spans="10:24" s="1" customFormat="1" x14ac:dyDescent="0.2">
      <c r="J178"/>
      <c r="K178"/>
      <c r="L178"/>
      <c r="M178"/>
      <c r="N178"/>
      <c r="O178" s="2"/>
      <c r="S178"/>
      <c r="T178"/>
      <c r="U178"/>
      <c r="V178"/>
      <c r="X178"/>
    </row>
    <row r="179" spans="10:24" s="1" customFormat="1" x14ac:dyDescent="0.2">
      <c r="J179"/>
      <c r="K179"/>
      <c r="L179"/>
      <c r="M179"/>
      <c r="N179"/>
      <c r="O179" s="2"/>
      <c r="S179"/>
      <c r="T179"/>
      <c r="U179"/>
      <c r="V179"/>
      <c r="X179"/>
    </row>
    <row r="180" spans="10:24" s="1" customFormat="1" x14ac:dyDescent="0.2">
      <c r="J180"/>
      <c r="K180"/>
      <c r="L180"/>
      <c r="M180"/>
      <c r="N180"/>
      <c r="O180" s="2"/>
      <c r="S180"/>
      <c r="T180"/>
      <c r="U180"/>
      <c r="V180"/>
      <c r="X180"/>
    </row>
    <row r="181" spans="10:24" s="1" customFormat="1" x14ac:dyDescent="0.2">
      <c r="J181"/>
      <c r="K181"/>
      <c r="L181"/>
      <c r="M181"/>
      <c r="N181"/>
      <c r="O181" s="2"/>
      <c r="S181"/>
      <c r="T181"/>
      <c r="U181"/>
      <c r="V181"/>
      <c r="X181"/>
    </row>
    <row r="182" spans="10:24" s="1" customFormat="1" x14ac:dyDescent="0.2">
      <c r="J182"/>
      <c r="K182"/>
      <c r="L182"/>
      <c r="M182"/>
      <c r="N182"/>
      <c r="O182" s="2"/>
      <c r="S182"/>
      <c r="T182"/>
      <c r="U182"/>
      <c r="V182"/>
      <c r="X182"/>
    </row>
    <row r="183" spans="10:24" s="1" customFormat="1" x14ac:dyDescent="0.2">
      <c r="J183"/>
      <c r="K183"/>
      <c r="L183"/>
      <c r="M183"/>
      <c r="N183"/>
      <c r="O183" s="2"/>
      <c r="S183"/>
      <c r="T183"/>
      <c r="U183"/>
      <c r="V183"/>
      <c r="X183"/>
    </row>
    <row r="184" spans="10:24" s="1" customFormat="1" x14ac:dyDescent="0.2">
      <c r="J184"/>
      <c r="K184"/>
      <c r="L184"/>
      <c r="M184"/>
      <c r="N184"/>
      <c r="O184" s="2"/>
      <c r="S184"/>
      <c r="T184"/>
      <c r="U184"/>
      <c r="V184"/>
      <c r="X184"/>
    </row>
    <row r="185" spans="10:24" s="1" customFormat="1" x14ac:dyDescent="0.2">
      <c r="J185"/>
      <c r="K185"/>
      <c r="L185"/>
      <c r="M185"/>
      <c r="N185"/>
      <c r="O185" s="2"/>
      <c r="S185"/>
      <c r="T185"/>
      <c r="U185"/>
      <c r="V185"/>
      <c r="X185"/>
    </row>
    <row r="186" spans="10:24" s="1" customFormat="1" x14ac:dyDescent="0.2">
      <c r="J186"/>
      <c r="K186"/>
      <c r="L186"/>
      <c r="M186"/>
      <c r="N186"/>
      <c r="O186" s="2"/>
      <c r="S186"/>
      <c r="T186"/>
      <c r="U186"/>
      <c r="V186"/>
      <c r="X186"/>
    </row>
    <row r="187" spans="10:24" s="1" customFormat="1" x14ac:dyDescent="0.2">
      <c r="J187"/>
      <c r="K187"/>
      <c r="L187"/>
      <c r="M187"/>
      <c r="N187"/>
      <c r="O187" s="2"/>
      <c r="S187"/>
      <c r="T187"/>
      <c r="U187"/>
      <c r="V187"/>
      <c r="X187"/>
    </row>
    <row r="188" spans="10:24" s="1" customFormat="1" x14ac:dyDescent="0.2">
      <c r="J188"/>
      <c r="K188"/>
      <c r="L188"/>
      <c r="M188"/>
      <c r="N188"/>
      <c r="O188" s="2"/>
      <c r="S188"/>
      <c r="T188"/>
      <c r="U188"/>
      <c r="V188"/>
      <c r="X188"/>
    </row>
    <row r="189" spans="10:24" s="1" customFormat="1" x14ac:dyDescent="0.2">
      <c r="J189"/>
      <c r="K189"/>
      <c r="L189"/>
      <c r="M189"/>
      <c r="N189"/>
      <c r="O189" s="2"/>
      <c r="S189"/>
      <c r="T189"/>
      <c r="U189"/>
      <c r="V189"/>
      <c r="X189"/>
    </row>
    <row r="190" spans="10:24" s="1" customFormat="1" x14ac:dyDescent="0.2">
      <c r="J190"/>
      <c r="K190"/>
      <c r="L190"/>
      <c r="M190"/>
      <c r="N190"/>
      <c r="O190" s="2"/>
      <c r="S190"/>
      <c r="T190"/>
      <c r="U190"/>
      <c r="V190"/>
      <c r="X190"/>
    </row>
    <row r="191" spans="10:24" s="1" customFormat="1" x14ac:dyDescent="0.2">
      <c r="J191"/>
      <c r="K191"/>
      <c r="L191"/>
      <c r="M191"/>
      <c r="N191"/>
      <c r="O191" s="2"/>
      <c r="S191"/>
      <c r="T191"/>
      <c r="U191"/>
      <c r="V191"/>
      <c r="X191"/>
    </row>
    <row r="192" spans="10:24" s="1" customFormat="1" x14ac:dyDescent="0.2">
      <c r="J192"/>
      <c r="K192"/>
      <c r="L192"/>
      <c r="M192"/>
      <c r="N192"/>
      <c r="O192" s="2"/>
      <c r="S192"/>
      <c r="T192"/>
      <c r="U192"/>
      <c r="V192"/>
      <c r="X192"/>
    </row>
    <row r="193" spans="10:24" s="1" customFormat="1" x14ac:dyDescent="0.2">
      <c r="J193"/>
      <c r="K193"/>
      <c r="L193"/>
      <c r="M193"/>
      <c r="N193"/>
      <c r="O193" s="2"/>
      <c r="S193"/>
      <c r="T193"/>
      <c r="U193"/>
      <c r="V193"/>
      <c r="X193"/>
    </row>
    <row r="194" spans="10:24" s="1" customFormat="1" x14ac:dyDescent="0.2">
      <c r="J194"/>
      <c r="K194"/>
      <c r="L194"/>
      <c r="M194"/>
      <c r="N194"/>
      <c r="O194" s="2"/>
      <c r="S194"/>
      <c r="T194"/>
      <c r="U194"/>
      <c r="V194"/>
      <c r="X194"/>
    </row>
    <row r="195" spans="10:24" s="1" customFormat="1" x14ac:dyDescent="0.2">
      <c r="J195"/>
      <c r="K195"/>
      <c r="L195"/>
      <c r="M195"/>
      <c r="N195"/>
      <c r="O195" s="2"/>
      <c r="S195"/>
      <c r="T195"/>
      <c r="U195"/>
      <c r="V195"/>
      <c r="X195"/>
    </row>
    <row r="196" spans="10:24" s="1" customFormat="1" x14ac:dyDescent="0.2">
      <c r="J196"/>
      <c r="K196"/>
      <c r="L196"/>
      <c r="M196"/>
      <c r="N196"/>
      <c r="O196" s="2"/>
      <c r="S196"/>
      <c r="T196"/>
      <c r="U196"/>
      <c r="V196"/>
      <c r="X196"/>
    </row>
    <row r="197" spans="10:24" s="1" customFormat="1" x14ac:dyDescent="0.2">
      <c r="J197"/>
      <c r="K197"/>
      <c r="L197"/>
      <c r="M197"/>
      <c r="N197"/>
      <c r="O197" s="2"/>
      <c r="S197"/>
      <c r="T197"/>
      <c r="U197"/>
      <c r="V197"/>
      <c r="X197"/>
    </row>
    <row r="198" spans="10:24" s="1" customFormat="1" x14ac:dyDescent="0.2">
      <c r="J198"/>
      <c r="K198"/>
      <c r="L198"/>
      <c r="M198"/>
      <c r="N198"/>
      <c r="O198" s="2"/>
      <c r="S198"/>
      <c r="T198"/>
      <c r="U198"/>
      <c r="V198"/>
      <c r="X198"/>
    </row>
    <row r="199" spans="10:24" s="1" customFormat="1" x14ac:dyDescent="0.2">
      <c r="J199"/>
      <c r="K199"/>
      <c r="L199"/>
      <c r="M199"/>
      <c r="N199"/>
      <c r="O199" s="2"/>
      <c r="S199"/>
      <c r="T199"/>
      <c r="U199"/>
      <c r="V199"/>
      <c r="X199"/>
    </row>
    <row r="200" spans="10:24" s="1" customFormat="1" x14ac:dyDescent="0.2">
      <c r="J200"/>
      <c r="K200"/>
      <c r="L200"/>
      <c r="M200"/>
      <c r="N200"/>
      <c r="O200" s="2"/>
      <c r="S200"/>
      <c r="T200"/>
      <c r="U200"/>
      <c r="V200"/>
      <c r="X200"/>
    </row>
    <row r="201" spans="10:24" s="1" customFormat="1" x14ac:dyDescent="0.2">
      <c r="J201"/>
      <c r="K201"/>
      <c r="L201"/>
      <c r="M201"/>
      <c r="N201"/>
      <c r="O201" s="2"/>
      <c r="S201"/>
      <c r="T201"/>
      <c r="U201"/>
      <c r="V201"/>
      <c r="X201"/>
    </row>
    <row r="202" spans="10:24" s="1" customFormat="1" x14ac:dyDescent="0.2">
      <c r="J202"/>
      <c r="K202"/>
      <c r="L202"/>
      <c r="M202"/>
      <c r="N202"/>
      <c r="O202" s="2"/>
      <c r="S202"/>
      <c r="T202"/>
      <c r="U202"/>
      <c r="V202"/>
      <c r="X202"/>
    </row>
    <row r="203" spans="10:24" s="1" customFormat="1" x14ac:dyDescent="0.2">
      <c r="J203"/>
      <c r="K203"/>
      <c r="L203"/>
      <c r="M203"/>
      <c r="N203"/>
      <c r="O203" s="2"/>
      <c r="S203"/>
      <c r="T203"/>
      <c r="U203"/>
      <c r="V203"/>
      <c r="X203"/>
    </row>
    <row r="204" spans="10:24" s="1" customFormat="1" x14ac:dyDescent="0.2">
      <c r="J204"/>
      <c r="K204"/>
      <c r="L204"/>
      <c r="M204"/>
      <c r="N204"/>
      <c r="O204" s="2"/>
      <c r="S204"/>
      <c r="T204"/>
      <c r="U204"/>
      <c r="V204"/>
      <c r="X204"/>
    </row>
    <row r="205" spans="10:24" s="1" customFormat="1" x14ac:dyDescent="0.2">
      <c r="J205"/>
      <c r="K205"/>
      <c r="L205"/>
      <c r="M205"/>
      <c r="N205"/>
      <c r="O205" s="2"/>
      <c r="S205"/>
      <c r="T205"/>
      <c r="U205"/>
      <c r="V205"/>
      <c r="X205"/>
    </row>
    <row r="206" spans="10:24" s="1" customFormat="1" x14ac:dyDescent="0.2">
      <c r="J206"/>
      <c r="K206"/>
      <c r="L206"/>
      <c r="M206"/>
      <c r="N206"/>
      <c r="O206" s="2"/>
      <c r="S206"/>
      <c r="T206"/>
      <c r="U206"/>
      <c r="V206"/>
      <c r="X206"/>
    </row>
    <row r="207" spans="10:24" s="1" customFormat="1" x14ac:dyDescent="0.2">
      <c r="J207"/>
      <c r="K207"/>
      <c r="L207"/>
      <c r="M207"/>
      <c r="N207"/>
      <c r="O207" s="2"/>
      <c r="S207"/>
      <c r="T207"/>
      <c r="U207"/>
      <c r="V207"/>
      <c r="X207"/>
    </row>
    <row r="208" spans="10:24" s="1" customFormat="1" x14ac:dyDescent="0.2">
      <c r="J208"/>
      <c r="K208"/>
      <c r="L208"/>
      <c r="M208"/>
      <c r="N208"/>
      <c r="O208" s="2"/>
      <c r="S208"/>
      <c r="T208"/>
      <c r="U208"/>
      <c r="V208"/>
      <c r="X208"/>
    </row>
    <row r="209" spans="10:24" s="1" customFormat="1" x14ac:dyDescent="0.2">
      <c r="J209"/>
      <c r="K209"/>
      <c r="L209"/>
      <c r="M209"/>
      <c r="N209"/>
      <c r="O209" s="2"/>
      <c r="S209"/>
      <c r="T209"/>
      <c r="U209"/>
      <c r="V209"/>
      <c r="X209"/>
    </row>
    <row r="210" spans="10:24" s="1" customFormat="1" x14ac:dyDescent="0.2">
      <c r="J210"/>
      <c r="K210"/>
      <c r="L210"/>
      <c r="M210"/>
      <c r="N210"/>
      <c r="O210" s="2"/>
      <c r="S210"/>
      <c r="T210"/>
      <c r="U210"/>
      <c r="V210"/>
      <c r="X210"/>
    </row>
    <row r="211" spans="10:24" s="1" customFormat="1" x14ac:dyDescent="0.2">
      <c r="J211"/>
      <c r="K211"/>
      <c r="L211"/>
      <c r="M211"/>
      <c r="N211"/>
      <c r="O211" s="2"/>
      <c r="S211"/>
      <c r="T211"/>
      <c r="U211"/>
      <c r="V211"/>
      <c r="X211"/>
    </row>
    <row r="212" spans="10:24" s="1" customFormat="1" x14ac:dyDescent="0.2">
      <c r="J212"/>
      <c r="K212"/>
      <c r="L212"/>
      <c r="M212"/>
      <c r="N212"/>
      <c r="O212" s="2"/>
      <c r="S212"/>
      <c r="T212"/>
      <c r="U212"/>
      <c r="V212"/>
      <c r="X212"/>
    </row>
    <row r="213" spans="10:24" s="1" customFormat="1" x14ac:dyDescent="0.2">
      <c r="J213"/>
      <c r="K213"/>
      <c r="L213"/>
      <c r="M213"/>
      <c r="N213"/>
      <c r="O213" s="2"/>
      <c r="S213"/>
      <c r="T213"/>
      <c r="U213"/>
      <c r="V213"/>
      <c r="X213"/>
    </row>
    <row r="214" spans="10:24" s="1" customFormat="1" x14ac:dyDescent="0.2">
      <c r="J214"/>
      <c r="K214"/>
      <c r="L214"/>
      <c r="M214"/>
      <c r="N214"/>
      <c r="O214" s="2"/>
      <c r="S214"/>
      <c r="T214"/>
      <c r="U214"/>
      <c r="V214"/>
      <c r="X214"/>
    </row>
    <row r="215" spans="10:24" s="1" customFormat="1" x14ac:dyDescent="0.2">
      <c r="J215"/>
      <c r="K215"/>
      <c r="L215"/>
      <c r="M215"/>
      <c r="N215"/>
      <c r="O215" s="2"/>
      <c r="S215"/>
      <c r="T215"/>
      <c r="U215"/>
      <c r="V215"/>
      <c r="X215"/>
    </row>
    <row r="216" spans="10:24" s="1" customFormat="1" x14ac:dyDescent="0.2">
      <c r="J216"/>
      <c r="K216"/>
      <c r="L216"/>
      <c r="M216"/>
      <c r="N216"/>
      <c r="O216" s="2"/>
      <c r="S216"/>
      <c r="T216"/>
      <c r="U216"/>
      <c r="V216"/>
      <c r="X216"/>
    </row>
    <row r="217" spans="10:24" s="1" customFormat="1" x14ac:dyDescent="0.2">
      <c r="J217"/>
      <c r="K217"/>
      <c r="L217"/>
      <c r="M217"/>
      <c r="N217"/>
      <c r="O217" s="2"/>
      <c r="S217"/>
      <c r="T217"/>
      <c r="U217"/>
      <c r="V217"/>
      <c r="X217"/>
    </row>
    <row r="218" spans="10:24" s="1" customFormat="1" x14ac:dyDescent="0.2">
      <c r="J218"/>
      <c r="K218"/>
      <c r="L218"/>
      <c r="M218"/>
      <c r="N218"/>
      <c r="O218" s="2"/>
      <c r="S218"/>
      <c r="T218"/>
      <c r="U218"/>
      <c r="V218"/>
      <c r="X218"/>
    </row>
    <row r="219" spans="10:24" s="1" customFormat="1" x14ac:dyDescent="0.2">
      <c r="J219"/>
      <c r="K219"/>
      <c r="L219"/>
      <c r="M219"/>
      <c r="N219"/>
      <c r="O219" s="2"/>
      <c r="S219"/>
      <c r="T219"/>
      <c r="U219"/>
      <c r="V219"/>
      <c r="X219"/>
    </row>
    <row r="220" spans="10:24" s="1" customFormat="1" x14ac:dyDescent="0.2">
      <c r="J220"/>
      <c r="K220"/>
      <c r="L220"/>
      <c r="M220"/>
      <c r="N220"/>
      <c r="O220" s="2"/>
      <c r="S220"/>
      <c r="T220"/>
      <c r="U220"/>
      <c r="V220"/>
      <c r="X220"/>
    </row>
    <row r="221" spans="10:24" s="1" customFormat="1" x14ac:dyDescent="0.2">
      <c r="J221"/>
      <c r="K221"/>
      <c r="L221"/>
      <c r="M221"/>
      <c r="N221"/>
      <c r="O221" s="2"/>
      <c r="S221"/>
      <c r="T221"/>
      <c r="U221"/>
      <c r="V221"/>
      <c r="X221"/>
    </row>
    <row r="222" spans="10:24" s="1" customFormat="1" x14ac:dyDescent="0.2">
      <c r="J222"/>
      <c r="K222"/>
      <c r="L222"/>
      <c r="M222"/>
      <c r="N222"/>
      <c r="O222" s="2"/>
      <c r="S222"/>
      <c r="T222"/>
      <c r="U222"/>
      <c r="V222"/>
      <c r="X222"/>
    </row>
    <row r="223" spans="10:24" s="1" customFormat="1" x14ac:dyDescent="0.2">
      <c r="J223"/>
      <c r="K223"/>
      <c r="L223"/>
      <c r="M223"/>
      <c r="N223"/>
      <c r="O223" s="2"/>
      <c r="S223"/>
      <c r="T223"/>
      <c r="U223"/>
      <c r="V223"/>
      <c r="X223"/>
    </row>
    <row r="224" spans="10:24" s="1" customFormat="1" x14ac:dyDescent="0.2">
      <c r="J224"/>
      <c r="K224"/>
      <c r="L224"/>
      <c r="M224"/>
      <c r="N224"/>
      <c r="O224" s="2"/>
      <c r="S224"/>
      <c r="T224"/>
      <c r="U224"/>
      <c r="V224"/>
      <c r="X224"/>
    </row>
    <row r="225" spans="10:24" s="1" customFormat="1" x14ac:dyDescent="0.2">
      <c r="J225"/>
      <c r="K225"/>
      <c r="L225"/>
      <c r="M225"/>
      <c r="N225"/>
      <c r="O225" s="2"/>
      <c r="S225"/>
      <c r="T225"/>
      <c r="U225"/>
      <c r="V225"/>
      <c r="X225"/>
    </row>
    <row r="226" spans="10:24" s="1" customFormat="1" x14ac:dyDescent="0.2">
      <c r="J226"/>
      <c r="K226"/>
      <c r="L226"/>
      <c r="M226"/>
      <c r="N226"/>
      <c r="O226" s="2"/>
      <c r="S226"/>
      <c r="T226"/>
      <c r="U226"/>
      <c r="V226"/>
      <c r="X226"/>
    </row>
    <row r="227" spans="10:24" s="1" customFormat="1" x14ac:dyDescent="0.2">
      <c r="J227"/>
      <c r="K227"/>
      <c r="L227"/>
      <c r="M227"/>
      <c r="N227"/>
      <c r="O227" s="2"/>
      <c r="S227"/>
      <c r="T227"/>
      <c r="U227"/>
      <c r="V227"/>
      <c r="X227"/>
    </row>
    <row r="228" spans="10:24" s="1" customFormat="1" x14ac:dyDescent="0.2">
      <c r="J228"/>
      <c r="K228"/>
      <c r="L228"/>
      <c r="M228"/>
      <c r="N228"/>
      <c r="O228" s="2"/>
      <c r="S228"/>
      <c r="T228"/>
      <c r="U228"/>
      <c r="V228"/>
      <c r="X228"/>
    </row>
    <row r="229" spans="10:24" s="1" customFormat="1" x14ac:dyDescent="0.2">
      <c r="J229"/>
      <c r="K229"/>
      <c r="L229"/>
      <c r="M229"/>
      <c r="N229"/>
      <c r="O229" s="2"/>
      <c r="S229"/>
      <c r="T229"/>
      <c r="U229"/>
      <c r="V229"/>
      <c r="X229"/>
    </row>
    <row r="230" spans="10:24" s="1" customFormat="1" x14ac:dyDescent="0.2">
      <c r="J230"/>
      <c r="K230"/>
      <c r="L230"/>
      <c r="M230"/>
      <c r="N230"/>
      <c r="O230" s="2"/>
      <c r="S230"/>
      <c r="T230"/>
      <c r="U230"/>
      <c r="V230"/>
      <c r="X230"/>
    </row>
    <row r="231" spans="10:24" s="1" customFormat="1" x14ac:dyDescent="0.2">
      <c r="J231"/>
      <c r="K231"/>
      <c r="L231"/>
      <c r="M231"/>
      <c r="N231"/>
      <c r="O231" s="2"/>
      <c r="S231"/>
      <c r="T231"/>
      <c r="U231"/>
      <c r="V231"/>
      <c r="X231"/>
    </row>
    <row r="232" spans="10:24" s="1" customFormat="1" x14ac:dyDescent="0.2">
      <c r="J232"/>
      <c r="K232"/>
      <c r="L232"/>
      <c r="M232"/>
      <c r="N232"/>
      <c r="O232" s="2"/>
      <c r="S232"/>
      <c r="T232"/>
      <c r="U232"/>
      <c r="V232"/>
      <c r="X232"/>
    </row>
    <row r="233" spans="10:24" s="1" customFormat="1" x14ac:dyDescent="0.2">
      <c r="J233"/>
      <c r="K233"/>
      <c r="L233"/>
      <c r="M233"/>
      <c r="N233"/>
      <c r="O233" s="2"/>
      <c r="S233"/>
      <c r="T233"/>
      <c r="U233"/>
      <c r="V233"/>
      <c r="X233"/>
    </row>
    <row r="234" spans="10:24" s="1" customFormat="1" x14ac:dyDescent="0.2">
      <c r="J234"/>
      <c r="K234"/>
      <c r="L234"/>
      <c r="M234"/>
      <c r="N234"/>
      <c r="O234" s="2"/>
      <c r="S234"/>
      <c r="T234"/>
      <c r="U234"/>
      <c r="V234"/>
      <c r="X234"/>
    </row>
    <row r="235" spans="10:24" s="1" customFormat="1" x14ac:dyDescent="0.2">
      <c r="J235"/>
      <c r="K235"/>
      <c r="L235"/>
      <c r="M235"/>
      <c r="N235"/>
      <c r="O235" s="2"/>
      <c r="S235"/>
      <c r="T235"/>
      <c r="U235"/>
      <c r="V235"/>
      <c r="X235"/>
    </row>
    <row r="236" spans="10:24" s="1" customFormat="1" x14ac:dyDescent="0.2">
      <c r="J236"/>
      <c r="K236"/>
      <c r="L236"/>
      <c r="M236"/>
      <c r="N236"/>
      <c r="O236" s="2"/>
      <c r="S236"/>
      <c r="T236"/>
      <c r="U236"/>
      <c r="V236"/>
      <c r="X236"/>
    </row>
    <row r="237" spans="10:24" s="1" customFormat="1" x14ac:dyDescent="0.2">
      <c r="J237"/>
      <c r="K237"/>
      <c r="L237"/>
      <c r="M237"/>
      <c r="N237"/>
      <c r="O237" s="2"/>
      <c r="S237"/>
      <c r="T237"/>
      <c r="U237"/>
      <c r="V237"/>
      <c r="X237"/>
    </row>
    <row r="238" spans="10:24" s="1" customFormat="1" x14ac:dyDescent="0.2">
      <c r="J238"/>
      <c r="K238"/>
      <c r="L238"/>
      <c r="M238"/>
      <c r="N238"/>
      <c r="O238" s="2"/>
      <c r="S238"/>
      <c r="T238"/>
      <c r="U238"/>
      <c r="V238"/>
      <c r="X238"/>
    </row>
    <row r="239" spans="10:24" s="1" customFormat="1" x14ac:dyDescent="0.2">
      <c r="J239"/>
      <c r="K239"/>
      <c r="L239"/>
      <c r="M239"/>
      <c r="N239"/>
      <c r="O239" s="2"/>
      <c r="S239"/>
      <c r="T239"/>
      <c r="U239"/>
      <c r="V239"/>
      <c r="X239"/>
    </row>
    <row r="240" spans="10:24" s="1" customFormat="1" x14ac:dyDescent="0.2">
      <c r="J240"/>
      <c r="K240"/>
      <c r="L240"/>
      <c r="M240"/>
      <c r="N240"/>
      <c r="O240" s="2"/>
      <c r="S240"/>
      <c r="T240"/>
      <c r="U240"/>
      <c r="V240"/>
      <c r="X240"/>
    </row>
    <row r="241" spans="10:24" s="1" customFormat="1" x14ac:dyDescent="0.2">
      <c r="J241"/>
      <c r="K241"/>
      <c r="L241"/>
      <c r="M241"/>
      <c r="N241"/>
      <c r="O241" s="2"/>
      <c r="S241"/>
      <c r="T241"/>
      <c r="U241"/>
      <c r="V241"/>
      <c r="X241"/>
    </row>
    <row r="242" spans="10:24" s="1" customFormat="1" x14ac:dyDescent="0.2">
      <c r="J242"/>
      <c r="K242"/>
      <c r="L242"/>
      <c r="M242"/>
      <c r="N242"/>
      <c r="O242" s="2"/>
      <c r="S242"/>
      <c r="T242"/>
      <c r="U242"/>
      <c r="V242"/>
      <c r="X242"/>
    </row>
    <row r="243" spans="10:24" s="1" customFormat="1" x14ac:dyDescent="0.2">
      <c r="J243"/>
      <c r="K243"/>
      <c r="L243"/>
      <c r="M243"/>
      <c r="N243"/>
      <c r="O243" s="2"/>
      <c r="S243"/>
      <c r="T243"/>
      <c r="U243"/>
      <c r="V243"/>
      <c r="X243"/>
    </row>
    <row r="244" spans="10:24" s="1" customFormat="1" x14ac:dyDescent="0.2">
      <c r="J244"/>
      <c r="K244"/>
      <c r="L244"/>
      <c r="M244"/>
      <c r="N244"/>
      <c r="O244" s="2"/>
      <c r="S244"/>
      <c r="T244"/>
      <c r="U244"/>
      <c r="V244"/>
      <c r="X244"/>
    </row>
    <row r="245" spans="10:24" s="1" customFormat="1" x14ac:dyDescent="0.2">
      <c r="J245"/>
      <c r="K245"/>
      <c r="L245"/>
      <c r="M245"/>
      <c r="N245"/>
      <c r="O245" s="2"/>
      <c r="S245"/>
      <c r="T245"/>
      <c r="U245"/>
      <c r="V245"/>
      <c r="X245"/>
    </row>
    <row r="246" spans="10:24" s="1" customFormat="1" x14ac:dyDescent="0.2">
      <c r="J246"/>
      <c r="K246"/>
      <c r="L246"/>
      <c r="M246"/>
      <c r="N246"/>
      <c r="O246" s="2"/>
      <c r="S246"/>
      <c r="T246"/>
      <c r="U246"/>
      <c r="V246"/>
      <c r="X246"/>
    </row>
    <row r="247" spans="10:24" s="1" customFormat="1" x14ac:dyDescent="0.2">
      <c r="J247"/>
      <c r="K247"/>
      <c r="L247"/>
      <c r="M247"/>
      <c r="N247"/>
      <c r="O247" s="2"/>
      <c r="S247"/>
      <c r="T247"/>
      <c r="U247"/>
      <c r="V247"/>
      <c r="X247"/>
    </row>
    <row r="248" spans="10:24" s="1" customFormat="1" x14ac:dyDescent="0.2">
      <c r="J248"/>
      <c r="K248"/>
      <c r="L248"/>
      <c r="M248"/>
      <c r="N248"/>
      <c r="O248" s="2"/>
      <c r="S248"/>
      <c r="T248"/>
      <c r="U248"/>
      <c r="V248"/>
      <c r="X248"/>
    </row>
    <row r="249" spans="10:24" s="1" customFormat="1" x14ac:dyDescent="0.2">
      <c r="J249"/>
      <c r="K249"/>
      <c r="L249"/>
      <c r="M249"/>
      <c r="N249"/>
      <c r="O249" s="2"/>
      <c r="S249"/>
      <c r="T249"/>
      <c r="U249"/>
      <c r="V249"/>
      <c r="X249"/>
    </row>
    <row r="250" spans="10:24" s="1" customFormat="1" x14ac:dyDescent="0.2">
      <c r="J250"/>
      <c r="K250"/>
      <c r="L250"/>
      <c r="M250"/>
      <c r="N250"/>
      <c r="O250" s="2"/>
      <c r="S250"/>
      <c r="T250"/>
      <c r="U250"/>
      <c r="V250"/>
      <c r="X250"/>
    </row>
    <row r="251" spans="10:24" s="1" customFormat="1" x14ac:dyDescent="0.2">
      <c r="J251"/>
      <c r="K251"/>
      <c r="L251"/>
      <c r="M251"/>
      <c r="N251"/>
      <c r="O251" s="2"/>
      <c r="S251"/>
      <c r="T251"/>
      <c r="U251"/>
      <c r="V251"/>
      <c r="X251"/>
    </row>
    <row r="252" spans="10:24" s="1" customFormat="1" x14ac:dyDescent="0.2">
      <c r="J252"/>
      <c r="K252"/>
      <c r="L252"/>
      <c r="M252"/>
      <c r="N252"/>
      <c r="O252" s="2"/>
      <c r="S252"/>
      <c r="T252"/>
      <c r="U252"/>
      <c r="V252"/>
      <c r="X252"/>
    </row>
    <row r="253" spans="10:24" s="1" customFormat="1" x14ac:dyDescent="0.2">
      <c r="J253"/>
      <c r="K253"/>
      <c r="L253"/>
      <c r="M253"/>
      <c r="N253"/>
      <c r="O253" s="2"/>
      <c r="S253"/>
      <c r="T253"/>
      <c r="U253"/>
      <c r="V253"/>
      <c r="X253"/>
    </row>
    <row r="254" spans="10:24" s="1" customFormat="1" x14ac:dyDescent="0.2">
      <c r="J254"/>
      <c r="K254"/>
      <c r="L254"/>
      <c r="M254"/>
      <c r="N254"/>
      <c r="O254" s="2"/>
      <c r="S254"/>
      <c r="T254"/>
      <c r="U254"/>
      <c r="V254"/>
      <c r="X254"/>
    </row>
    <row r="255" spans="10:24" s="1" customFormat="1" x14ac:dyDescent="0.2">
      <c r="J255"/>
      <c r="K255"/>
      <c r="L255"/>
      <c r="M255"/>
      <c r="N255"/>
      <c r="O255" s="2"/>
      <c r="S255"/>
      <c r="T255"/>
      <c r="U255"/>
      <c r="V255"/>
      <c r="X255"/>
    </row>
    <row r="256" spans="10:24" s="1" customFormat="1" x14ac:dyDescent="0.2">
      <c r="J256"/>
      <c r="K256"/>
      <c r="L256"/>
      <c r="M256"/>
      <c r="N256"/>
      <c r="O256" s="2"/>
      <c r="S256"/>
      <c r="T256"/>
      <c r="U256"/>
      <c r="V256"/>
      <c r="X256"/>
    </row>
    <row r="257" spans="10:24" s="1" customFormat="1" x14ac:dyDescent="0.2">
      <c r="J257"/>
      <c r="K257"/>
      <c r="L257"/>
      <c r="M257"/>
      <c r="N257"/>
      <c r="O257" s="2"/>
      <c r="S257"/>
      <c r="T257"/>
      <c r="U257"/>
      <c r="V257"/>
      <c r="X257"/>
    </row>
    <row r="258" spans="10:24" s="1" customFormat="1" x14ac:dyDescent="0.2">
      <c r="J258"/>
      <c r="K258"/>
      <c r="L258"/>
      <c r="M258"/>
      <c r="N258"/>
      <c r="O258" s="2"/>
      <c r="S258"/>
      <c r="T258"/>
      <c r="U258"/>
      <c r="V258"/>
      <c r="X258"/>
    </row>
    <row r="259" spans="10:24" s="1" customFormat="1" x14ac:dyDescent="0.2">
      <c r="J259"/>
      <c r="K259"/>
      <c r="L259"/>
      <c r="M259"/>
      <c r="N259"/>
      <c r="O259" s="2"/>
      <c r="S259"/>
      <c r="T259"/>
      <c r="U259"/>
      <c r="V259"/>
      <c r="X259"/>
    </row>
    <row r="260" spans="10:24" s="1" customFormat="1" x14ac:dyDescent="0.2">
      <c r="J260"/>
      <c r="K260"/>
      <c r="L260"/>
      <c r="M260"/>
      <c r="N260"/>
      <c r="O260" s="2"/>
      <c r="S260"/>
      <c r="T260"/>
      <c r="U260"/>
      <c r="V260"/>
      <c r="X260"/>
    </row>
    <row r="261" spans="10:24" s="1" customFormat="1" x14ac:dyDescent="0.2">
      <c r="J261"/>
      <c r="K261"/>
      <c r="L261"/>
      <c r="M261"/>
      <c r="N261"/>
      <c r="O261" s="2"/>
      <c r="S261"/>
      <c r="T261"/>
      <c r="U261"/>
      <c r="V261"/>
      <c r="X261"/>
    </row>
    <row r="262" spans="10:24" s="1" customFormat="1" x14ac:dyDescent="0.2">
      <c r="J262"/>
      <c r="K262"/>
      <c r="L262"/>
      <c r="M262"/>
      <c r="N262"/>
      <c r="O262" s="2"/>
      <c r="S262"/>
      <c r="T262"/>
      <c r="U262"/>
      <c r="V262"/>
      <c r="X262"/>
    </row>
    <row r="263" spans="10:24" s="1" customFormat="1" x14ac:dyDescent="0.2">
      <c r="J263"/>
      <c r="K263"/>
      <c r="L263"/>
      <c r="M263"/>
      <c r="N263"/>
      <c r="O263" s="2"/>
      <c r="S263"/>
      <c r="T263"/>
      <c r="U263"/>
      <c r="V263"/>
      <c r="X263"/>
    </row>
    <row r="264" spans="10:24" s="1" customFormat="1" x14ac:dyDescent="0.2">
      <c r="J264"/>
      <c r="K264"/>
      <c r="L264"/>
      <c r="M264"/>
      <c r="N264"/>
      <c r="O264" s="2"/>
      <c r="S264"/>
      <c r="T264"/>
      <c r="U264"/>
      <c r="V264"/>
      <c r="X264"/>
    </row>
    <row r="265" spans="10:24" s="1" customFormat="1" x14ac:dyDescent="0.2">
      <c r="J265"/>
      <c r="K265"/>
      <c r="L265"/>
      <c r="M265"/>
      <c r="N265"/>
      <c r="O265" s="2"/>
      <c r="S265"/>
      <c r="T265"/>
      <c r="U265"/>
      <c r="V265"/>
      <c r="X265"/>
    </row>
    <row r="266" spans="10:24" s="1" customFormat="1" x14ac:dyDescent="0.2">
      <c r="J266"/>
      <c r="K266"/>
      <c r="L266"/>
      <c r="M266"/>
      <c r="N266"/>
      <c r="O266" s="2"/>
      <c r="S266"/>
      <c r="T266"/>
      <c r="U266"/>
      <c r="V266"/>
      <c r="X266"/>
    </row>
    <row r="267" spans="10:24" s="1" customFormat="1" x14ac:dyDescent="0.2">
      <c r="J267"/>
      <c r="K267"/>
      <c r="L267"/>
      <c r="M267"/>
      <c r="N267"/>
      <c r="O267" s="2"/>
      <c r="S267"/>
      <c r="T267"/>
      <c r="U267"/>
      <c r="V267"/>
      <c r="X267"/>
    </row>
    <row r="268" spans="10:24" s="1" customFormat="1" x14ac:dyDescent="0.2">
      <c r="J268"/>
      <c r="K268"/>
      <c r="L268"/>
      <c r="M268"/>
      <c r="N268"/>
      <c r="O268" s="2"/>
      <c r="S268"/>
      <c r="T268"/>
      <c r="U268"/>
      <c r="V268"/>
      <c r="X268"/>
    </row>
    <row r="269" spans="10:24" s="1" customFormat="1" x14ac:dyDescent="0.2">
      <c r="J269"/>
      <c r="K269"/>
      <c r="L269"/>
      <c r="M269"/>
      <c r="N269"/>
      <c r="O269" s="2"/>
      <c r="S269"/>
      <c r="T269"/>
      <c r="U269"/>
      <c r="V269"/>
      <c r="X269"/>
    </row>
    <row r="270" spans="10:24" s="1" customFormat="1" x14ac:dyDescent="0.2">
      <c r="J270"/>
      <c r="K270"/>
      <c r="L270"/>
      <c r="M270"/>
      <c r="N270"/>
      <c r="O270" s="2"/>
      <c r="S270"/>
      <c r="T270"/>
      <c r="U270"/>
      <c r="V270"/>
      <c r="X270"/>
    </row>
    <row r="271" spans="10:24" s="1" customFormat="1" x14ac:dyDescent="0.2">
      <c r="J271"/>
      <c r="K271"/>
      <c r="L271"/>
      <c r="M271"/>
      <c r="N271"/>
      <c r="O271" s="2"/>
      <c r="S271"/>
      <c r="T271"/>
      <c r="U271"/>
      <c r="V271"/>
      <c r="X271"/>
    </row>
    <row r="272" spans="10:24" s="1" customFormat="1" x14ac:dyDescent="0.2">
      <c r="J272"/>
      <c r="K272"/>
      <c r="L272"/>
      <c r="M272"/>
      <c r="N272"/>
      <c r="O272" s="2"/>
      <c r="S272"/>
      <c r="T272"/>
      <c r="U272"/>
      <c r="V272"/>
      <c r="X272"/>
    </row>
    <row r="273" spans="10:24" s="1" customFormat="1" x14ac:dyDescent="0.2">
      <c r="J273"/>
      <c r="K273"/>
      <c r="L273"/>
      <c r="M273"/>
      <c r="N273"/>
      <c r="O273" s="2"/>
      <c r="S273"/>
      <c r="T273"/>
      <c r="U273"/>
      <c r="V273"/>
      <c r="X273"/>
    </row>
    <row r="274" spans="10:24" s="1" customFormat="1" x14ac:dyDescent="0.2">
      <c r="J274"/>
      <c r="K274"/>
      <c r="L274"/>
      <c r="M274"/>
      <c r="N274"/>
      <c r="O274" s="2"/>
      <c r="S274"/>
      <c r="T274"/>
      <c r="U274"/>
      <c r="V274"/>
      <c r="X274"/>
    </row>
    <row r="275" spans="10:24" s="1" customFormat="1" x14ac:dyDescent="0.2">
      <c r="J275"/>
      <c r="K275"/>
      <c r="L275"/>
      <c r="M275"/>
      <c r="N275"/>
      <c r="O275" s="2"/>
      <c r="S275"/>
      <c r="T275"/>
      <c r="U275"/>
      <c r="V275"/>
      <c r="X275"/>
    </row>
    <row r="276" spans="10:24" s="1" customFormat="1" x14ac:dyDescent="0.2">
      <c r="J276"/>
      <c r="K276"/>
      <c r="L276"/>
      <c r="M276"/>
      <c r="N276"/>
      <c r="O276" s="2"/>
      <c r="S276"/>
      <c r="T276"/>
      <c r="U276"/>
      <c r="V276"/>
      <c r="X276"/>
    </row>
    <row r="277" spans="10:24" s="1" customFormat="1" x14ac:dyDescent="0.2">
      <c r="J277"/>
      <c r="K277"/>
      <c r="L277"/>
      <c r="M277"/>
      <c r="N277"/>
      <c r="O277" s="2"/>
      <c r="S277"/>
      <c r="T277"/>
      <c r="U277"/>
      <c r="V277"/>
      <c r="X277"/>
    </row>
    <row r="278" spans="10:24" s="1" customFormat="1" x14ac:dyDescent="0.2">
      <c r="J278"/>
      <c r="K278"/>
      <c r="L278"/>
      <c r="M278"/>
      <c r="N278"/>
      <c r="O278" s="2"/>
      <c r="S278"/>
      <c r="T278"/>
      <c r="U278"/>
      <c r="V278"/>
      <c r="X278"/>
    </row>
    <row r="279" spans="10:24" s="1" customFormat="1" x14ac:dyDescent="0.2">
      <c r="J279"/>
      <c r="K279"/>
      <c r="L279"/>
      <c r="M279"/>
      <c r="N279"/>
      <c r="O279" s="2"/>
      <c r="S279"/>
      <c r="T279"/>
      <c r="U279"/>
      <c r="V279"/>
      <c r="X279"/>
    </row>
    <row r="280" spans="10:24" s="1" customFormat="1" x14ac:dyDescent="0.2">
      <c r="J280"/>
      <c r="K280"/>
      <c r="L280"/>
      <c r="M280"/>
      <c r="N280"/>
      <c r="O280" s="2"/>
      <c r="S280"/>
      <c r="T280"/>
      <c r="U280"/>
      <c r="V280"/>
      <c r="X280"/>
    </row>
    <row r="281" spans="10:24" s="1" customFormat="1" x14ac:dyDescent="0.2">
      <c r="J281"/>
      <c r="K281"/>
      <c r="L281"/>
      <c r="M281"/>
      <c r="N281"/>
      <c r="O281" s="2"/>
      <c r="S281"/>
      <c r="T281"/>
      <c r="U281"/>
      <c r="V281"/>
      <c r="X281"/>
    </row>
    <row r="282" spans="10:24" s="1" customFormat="1" x14ac:dyDescent="0.2">
      <c r="J282"/>
      <c r="K282"/>
      <c r="L282"/>
      <c r="M282"/>
      <c r="N282"/>
      <c r="O282" s="2"/>
      <c r="S282"/>
      <c r="T282"/>
      <c r="U282"/>
      <c r="V282"/>
      <c r="X282"/>
    </row>
    <row r="283" spans="10:24" s="1" customFormat="1" x14ac:dyDescent="0.2">
      <c r="J283"/>
      <c r="K283"/>
      <c r="L283"/>
      <c r="M283"/>
      <c r="N283"/>
      <c r="O283" s="2"/>
      <c r="S283"/>
      <c r="T283"/>
      <c r="U283"/>
      <c r="V283"/>
      <c r="X283"/>
    </row>
    <row r="284" spans="10:24" s="1" customFormat="1" x14ac:dyDescent="0.2">
      <c r="J284"/>
      <c r="K284"/>
      <c r="L284"/>
      <c r="M284"/>
      <c r="N284"/>
      <c r="O284" s="2"/>
      <c r="S284"/>
      <c r="T284"/>
      <c r="U284"/>
      <c r="V284"/>
      <c r="X284"/>
    </row>
    <row r="285" spans="10:24" s="1" customFormat="1" x14ac:dyDescent="0.2">
      <c r="J285"/>
      <c r="K285"/>
      <c r="L285"/>
      <c r="M285"/>
      <c r="N285"/>
      <c r="O285" s="2"/>
      <c r="S285"/>
      <c r="T285"/>
      <c r="U285"/>
      <c r="V285"/>
      <c r="X285"/>
    </row>
    <row r="286" spans="10:24" s="1" customFormat="1" x14ac:dyDescent="0.2">
      <c r="J286"/>
      <c r="K286"/>
      <c r="L286"/>
      <c r="M286"/>
      <c r="N286"/>
      <c r="O286" s="2"/>
      <c r="S286"/>
      <c r="T286"/>
      <c r="U286"/>
      <c r="V286"/>
      <c r="X286"/>
    </row>
    <row r="287" spans="10:24" s="1" customFormat="1" x14ac:dyDescent="0.2">
      <c r="J287"/>
      <c r="K287"/>
      <c r="L287"/>
      <c r="M287"/>
      <c r="N287"/>
      <c r="O287" s="2"/>
      <c r="S287"/>
      <c r="T287"/>
      <c r="U287"/>
      <c r="V287"/>
      <c r="X287"/>
    </row>
    <row r="288" spans="10:24" s="1" customFormat="1" x14ac:dyDescent="0.2">
      <c r="J288"/>
      <c r="K288"/>
      <c r="L288"/>
      <c r="M288"/>
      <c r="N288"/>
      <c r="O288" s="2"/>
      <c r="S288"/>
      <c r="T288"/>
      <c r="U288"/>
      <c r="V288"/>
      <c r="X288"/>
    </row>
    <row r="289" spans="10:24" s="1" customFormat="1" x14ac:dyDescent="0.2">
      <c r="J289"/>
      <c r="K289"/>
      <c r="L289"/>
      <c r="M289"/>
      <c r="N289"/>
      <c r="O289" s="2"/>
      <c r="S289"/>
      <c r="T289"/>
      <c r="U289"/>
      <c r="V289"/>
      <c r="X289"/>
    </row>
    <row r="290" spans="10:24" s="1" customFormat="1" x14ac:dyDescent="0.2">
      <c r="J290"/>
      <c r="K290"/>
      <c r="L290"/>
      <c r="M290"/>
      <c r="N290"/>
      <c r="O290" s="2"/>
      <c r="S290"/>
      <c r="T290"/>
      <c r="U290"/>
      <c r="V290"/>
      <c r="X290"/>
    </row>
    <row r="291" spans="10:24" s="1" customFormat="1" x14ac:dyDescent="0.2">
      <c r="J291"/>
      <c r="K291"/>
      <c r="L291"/>
      <c r="M291"/>
      <c r="N291"/>
      <c r="O291" s="2"/>
      <c r="S291"/>
      <c r="T291"/>
      <c r="U291"/>
      <c r="V291"/>
      <c r="X291"/>
    </row>
    <row r="292" spans="10:24" s="1" customFormat="1" x14ac:dyDescent="0.2">
      <c r="J292"/>
      <c r="K292"/>
      <c r="L292"/>
      <c r="M292"/>
      <c r="N292"/>
      <c r="O292" s="2"/>
      <c r="S292"/>
      <c r="T292"/>
      <c r="U292"/>
      <c r="V292"/>
      <c r="X292"/>
    </row>
    <row r="293" spans="10:24" s="1" customFormat="1" x14ac:dyDescent="0.2">
      <c r="J293"/>
      <c r="K293"/>
      <c r="L293"/>
      <c r="M293"/>
      <c r="N293"/>
      <c r="O293" s="2"/>
      <c r="S293"/>
      <c r="T293"/>
      <c r="U293"/>
      <c r="V293"/>
      <c r="X293"/>
    </row>
    <row r="294" spans="10:24" s="1" customFormat="1" x14ac:dyDescent="0.2">
      <c r="J294"/>
      <c r="K294"/>
      <c r="L294"/>
      <c r="M294"/>
      <c r="N294"/>
      <c r="O294" s="2"/>
      <c r="S294"/>
      <c r="T294"/>
      <c r="U294"/>
      <c r="V294"/>
      <c r="X294"/>
    </row>
    <row r="295" spans="10:24" s="1" customFormat="1" x14ac:dyDescent="0.2">
      <c r="J295"/>
      <c r="K295"/>
      <c r="L295"/>
      <c r="M295"/>
      <c r="N295"/>
      <c r="O295" s="2"/>
      <c r="S295"/>
      <c r="T295"/>
      <c r="U295"/>
      <c r="V295"/>
      <c r="X295"/>
    </row>
    <row r="296" spans="10:24" s="1" customFormat="1" x14ac:dyDescent="0.2">
      <c r="J296"/>
      <c r="K296"/>
      <c r="L296"/>
      <c r="M296"/>
      <c r="N296"/>
      <c r="O296" s="2"/>
      <c r="S296"/>
      <c r="T296"/>
      <c r="U296"/>
      <c r="V296"/>
      <c r="X296"/>
    </row>
    <row r="297" spans="10:24" s="1" customFormat="1" x14ac:dyDescent="0.2">
      <c r="J297"/>
      <c r="K297"/>
      <c r="L297"/>
      <c r="M297"/>
      <c r="N297"/>
      <c r="O297" s="2"/>
      <c r="S297"/>
      <c r="T297"/>
      <c r="U297"/>
      <c r="V297"/>
      <c r="X297"/>
    </row>
    <row r="298" spans="10:24" s="1" customFormat="1" x14ac:dyDescent="0.2">
      <c r="J298"/>
      <c r="K298"/>
      <c r="L298"/>
      <c r="M298"/>
      <c r="N298"/>
      <c r="O298" s="2"/>
      <c r="S298"/>
      <c r="T298"/>
      <c r="U298"/>
      <c r="V298"/>
      <c r="X298"/>
    </row>
    <row r="299" spans="10:24" s="1" customFormat="1" x14ac:dyDescent="0.2">
      <c r="J299"/>
      <c r="K299"/>
      <c r="L299"/>
      <c r="M299"/>
      <c r="N299"/>
      <c r="O299" s="2"/>
      <c r="S299"/>
      <c r="T299"/>
      <c r="U299"/>
      <c r="V299"/>
      <c r="X299"/>
    </row>
    <row r="300" spans="10:24" s="1" customFormat="1" x14ac:dyDescent="0.2">
      <c r="J300"/>
      <c r="K300"/>
      <c r="L300"/>
      <c r="M300"/>
      <c r="N300"/>
      <c r="O300" s="2"/>
      <c r="S300"/>
      <c r="T300"/>
      <c r="U300"/>
      <c r="V300"/>
      <c r="X300"/>
    </row>
    <row r="301" spans="10:24" s="1" customFormat="1" x14ac:dyDescent="0.2">
      <c r="J301"/>
      <c r="K301"/>
      <c r="L301"/>
      <c r="M301"/>
      <c r="N301"/>
      <c r="O301" s="2"/>
      <c r="S301"/>
      <c r="T301"/>
      <c r="U301"/>
      <c r="V301"/>
      <c r="X301"/>
    </row>
    <row r="302" spans="10:24" s="1" customFormat="1" x14ac:dyDescent="0.2">
      <c r="J302"/>
      <c r="K302"/>
      <c r="L302"/>
      <c r="M302"/>
      <c r="N302"/>
      <c r="O302" s="2"/>
      <c r="S302"/>
      <c r="T302"/>
      <c r="U302"/>
      <c r="V302"/>
      <c r="X302"/>
    </row>
    <row r="303" spans="10:24" s="1" customFormat="1" x14ac:dyDescent="0.2">
      <c r="J303"/>
      <c r="K303"/>
      <c r="L303"/>
      <c r="M303"/>
      <c r="N303"/>
      <c r="O303" s="2"/>
      <c r="S303"/>
      <c r="T303"/>
      <c r="U303"/>
      <c r="V303"/>
      <c r="X303"/>
    </row>
    <row r="304" spans="10:24" s="1" customFormat="1" x14ac:dyDescent="0.2">
      <c r="J304"/>
      <c r="K304"/>
      <c r="L304"/>
      <c r="M304"/>
      <c r="N304"/>
      <c r="O304" s="2"/>
      <c r="S304"/>
      <c r="T304"/>
      <c r="U304"/>
      <c r="V304"/>
      <c r="X304"/>
    </row>
    <row r="305" spans="10:24" s="1" customFormat="1" x14ac:dyDescent="0.2">
      <c r="J305"/>
      <c r="K305"/>
      <c r="L305"/>
      <c r="M305"/>
      <c r="N305"/>
      <c r="O305" s="2"/>
      <c r="S305"/>
      <c r="T305"/>
      <c r="U305"/>
      <c r="V305"/>
      <c r="X305"/>
    </row>
    <row r="306" spans="10:24" s="1" customFormat="1" x14ac:dyDescent="0.2">
      <c r="J306"/>
      <c r="K306"/>
      <c r="L306"/>
      <c r="M306"/>
      <c r="N306"/>
      <c r="O306" s="2"/>
      <c r="S306"/>
      <c r="T306"/>
      <c r="U306"/>
      <c r="V306"/>
      <c r="X306"/>
    </row>
    <row r="307" spans="10:24" s="1" customFormat="1" x14ac:dyDescent="0.2">
      <c r="J307"/>
      <c r="K307"/>
      <c r="L307"/>
      <c r="M307"/>
      <c r="N307"/>
      <c r="O307" s="2"/>
      <c r="S307"/>
      <c r="T307"/>
      <c r="U307"/>
      <c r="V307"/>
      <c r="X307"/>
    </row>
    <row r="308" spans="10:24" s="1" customFormat="1" x14ac:dyDescent="0.2">
      <c r="J308"/>
      <c r="K308"/>
      <c r="L308"/>
      <c r="M308"/>
      <c r="N308"/>
      <c r="O308" s="2"/>
      <c r="S308"/>
      <c r="T308"/>
      <c r="U308"/>
      <c r="V308"/>
      <c r="X308"/>
    </row>
    <row r="309" spans="10:24" s="1" customFormat="1" x14ac:dyDescent="0.2">
      <c r="J309"/>
      <c r="K309"/>
      <c r="L309"/>
      <c r="M309"/>
      <c r="N309"/>
      <c r="O309" s="2"/>
      <c r="S309"/>
      <c r="T309"/>
      <c r="U309"/>
      <c r="V309"/>
      <c r="X309"/>
    </row>
    <row r="310" spans="10:24" s="1" customFormat="1" x14ac:dyDescent="0.2">
      <c r="J310"/>
      <c r="K310"/>
      <c r="L310"/>
      <c r="M310"/>
      <c r="N310"/>
      <c r="O310" s="2"/>
      <c r="S310"/>
      <c r="T310"/>
      <c r="U310"/>
      <c r="V310"/>
      <c r="X310"/>
    </row>
    <row r="311" spans="10:24" s="1" customFormat="1" x14ac:dyDescent="0.2">
      <c r="J311"/>
      <c r="K311"/>
      <c r="L311"/>
      <c r="M311"/>
      <c r="N311"/>
      <c r="O311" s="2"/>
      <c r="S311"/>
      <c r="T311"/>
      <c r="U311"/>
      <c r="V311"/>
      <c r="X311"/>
    </row>
    <row r="312" spans="10:24" s="1" customFormat="1" x14ac:dyDescent="0.2">
      <c r="J312"/>
      <c r="K312"/>
      <c r="L312"/>
      <c r="M312"/>
      <c r="N312"/>
      <c r="O312" s="2"/>
      <c r="S312"/>
      <c r="T312"/>
      <c r="U312"/>
      <c r="V312"/>
      <c r="X312"/>
    </row>
    <row r="313" spans="10:24" s="1" customFormat="1" x14ac:dyDescent="0.2">
      <c r="J313"/>
      <c r="K313"/>
      <c r="L313"/>
      <c r="M313"/>
      <c r="N313"/>
      <c r="O313" s="2"/>
      <c r="S313"/>
      <c r="T313"/>
      <c r="U313"/>
      <c r="V313"/>
      <c r="X313"/>
    </row>
    <row r="314" spans="10:24" s="1" customFormat="1" x14ac:dyDescent="0.2">
      <c r="J314"/>
      <c r="K314"/>
      <c r="L314"/>
      <c r="M314"/>
      <c r="N314"/>
      <c r="O314" s="2"/>
      <c r="S314"/>
      <c r="T314"/>
      <c r="U314"/>
      <c r="V314"/>
      <c r="X314"/>
    </row>
    <row r="315" spans="10:24" s="1" customFormat="1" x14ac:dyDescent="0.2">
      <c r="J315"/>
      <c r="K315"/>
      <c r="L315"/>
      <c r="M315"/>
      <c r="N315"/>
      <c r="O315" s="2"/>
      <c r="S315"/>
      <c r="T315"/>
      <c r="U315"/>
      <c r="V315"/>
      <c r="X315"/>
    </row>
    <row r="316" spans="10:24" s="1" customFormat="1" x14ac:dyDescent="0.2">
      <c r="J316"/>
      <c r="K316"/>
      <c r="L316"/>
      <c r="M316"/>
      <c r="N316"/>
      <c r="O316" s="2"/>
      <c r="S316"/>
      <c r="T316"/>
      <c r="U316"/>
      <c r="V316"/>
      <c r="X316"/>
    </row>
    <row r="317" spans="10:24" s="1" customFormat="1" x14ac:dyDescent="0.2">
      <c r="J317"/>
      <c r="K317"/>
      <c r="L317"/>
      <c r="M317"/>
      <c r="N317"/>
      <c r="O317" s="2"/>
      <c r="S317"/>
      <c r="T317"/>
      <c r="U317"/>
      <c r="V317"/>
      <c r="X317"/>
    </row>
    <row r="318" spans="10:24" s="1" customFormat="1" x14ac:dyDescent="0.2">
      <c r="J318"/>
      <c r="K318"/>
      <c r="L318"/>
      <c r="M318"/>
      <c r="N318"/>
      <c r="O318" s="2"/>
      <c r="S318"/>
      <c r="T318"/>
      <c r="U318"/>
      <c r="V318"/>
      <c r="X318"/>
    </row>
    <row r="319" spans="10:24" s="1" customFormat="1" x14ac:dyDescent="0.2">
      <c r="J319"/>
      <c r="K319"/>
      <c r="L319"/>
      <c r="M319"/>
      <c r="N319"/>
      <c r="O319" s="2"/>
      <c r="S319"/>
      <c r="T319"/>
      <c r="U319"/>
      <c r="V319"/>
      <c r="X319"/>
    </row>
    <row r="320" spans="10:24" s="1" customFormat="1" x14ac:dyDescent="0.2">
      <c r="J320"/>
      <c r="K320"/>
      <c r="L320"/>
      <c r="M320"/>
      <c r="N320"/>
      <c r="O320" s="2"/>
      <c r="S320"/>
      <c r="T320"/>
      <c r="U320"/>
      <c r="V320"/>
      <c r="X320"/>
    </row>
    <row r="321" spans="10:24" s="1" customFormat="1" x14ac:dyDescent="0.2">
      <c r="J321"/>
      <c r="K321"/>
      <c r="L321"/>
      <c r="M321"/>
      <c r="N321"/>
      <c r="O321" s="2"/>
      <c r="S321"/>
      <c r="T321"/>
      <c r="U321"/>
      <c r="V321"/>
      <c r="X321"/>
    </row>
    <row r="322" spans="10:24" s="1" customFormat="1" x14ac:dyDescent="0.2">
      <c r="J322"/>
      <c r="K322"/>
      <c r="L322"/>
      <c r="M322"/>
      <c r="N322"/>
      <c r="O322" s="2"/>
      <c r="S322"/>
      <c r="T322"/>
      <c r="U322"/>
      <c r="V322"/>
      <c r="X322"/>
    </row>
    <row r="323" spans="10:24" s="1" customFormat="1" x14ac:dyDescent="0.2">
      <c r="J323"/>
      <c r="K323"/>
      <c r="L323"/>
      <c r="M323"/>
      <c r="N323"/>
      <c r="O323" s="2"/>
      <c r="S323"/>
      <c r="T323"/>
      <c r="U323"/>
      <c r="V323"/>
      <c r="X323"/>
    </row>
    <row r="324" spans="10:24" s="1" customFormat="1" x14ac:dyDescent="0.2">
      <c r="J324"/>
      <c r="K324"/>
      <c r="L324"/>
      <c r="M324"/>
      <c r="N324"/>
      <c r="O324" s="2"/>
      <c r="S324"/>
      <c r="T324"/>
      <c r="U324"/>
      <c r="V324"/>
      <c r="X324"/>
    </row>
    <row r="325" spans="10:24" s="1" customFormat="1" x14ac:dyDescent="0.2">
      <c r="J325"/>
      <c r="K325"/>
      <c r="L325"/>
      <c r="M325"/>
      <c r="N325"/>
      <c r="O325" s="2"/>
      <c r="S325"/>
      <c r="T325"/>
      <c r="U325"/>
      <c r="V325"/>
      <c r="X325"/>
    </row>
    <row r="326" spans="10:24" s="1" customFormat="1" x14ac:dyDescent="0.2">
      <c r="J326"/>
      <c r="K326"/>
      <c r="L326"/>
      <c r="M326"/>
      <c r="N326"/>
      <c r="O326" s="2"/>
      <c r="S326"/>
      <c r="T326"/>
      <c r="U326"/>
      <c r="V326"/>
      <c r="X326"/>
    </row>
    <row r="327" spans="10:24" s="1" customFormat="1" x14ac:dyDescent="0.2">
      <c r="J327"/>
      <c r="K327"/>
      <c r="L327"/>
      <c r="M327"/>
      <c r="N327"/>
      <c r="O327" s="2"/>
      <c r="S327"/>
      <c r="T327"/>
      <c r="U327"/>
      <c r="V327"/>
      <c r="X327"/>
    </row>
    <row r="328" spans="10:24" s="1" customFormat="1" x14ac:dyDescent="0.2">
      <c r="J328"/>
      <c r="K328"/>
      <c r="L328"/>
      <c r="M328"/>
      <c r="N328"/>
      <c r="O328" s="2"/>
      <c r="S328"/>
      <c r="T328"/>
      <c r="U328"/>
      <c r="V328"/>
      <c r="X328"/>
    </row>
    <row r="329" spans="10:24" s="1" customFormat="1" x14ac:dyDescent="0.2">
      <c r="J329"/>
      <c r="K329"/>
      <c r="L329"/>
      <c r="M329"/>
      <c r="N329"/>
      <c r="O329" s="2"/>
      <c r="S329"/>
      <c r="T329"/>
      <c r="U329"/>
      <c r="V329"/>
      <c r="X329"/>
    </row>
    <row r="330" spans="10:24" s="1" customFormat="1" x14ac:dyDescent="0.2">
      <c r="J330"/>
      <c r="K330"/>
      <c r="L330"/>
      <c r="M330"/>
      <c r="N330"/>
      <c r="O330" s="2"/>
      <c r="S330"/>
      <c r="T330"/>
      <c r="U330"/>
      <c r="V330"/>
      <c r="X330"/>
    </row>
    <row r="331" spans="10:24" s="1" customFormat="1" x14ac:dyDescent="0.2">
      <c r="J331"/>
      <c r="K331"/>
      <c r="L331"/>
      <c r="M331"/>
      <c r="N331"/>
      <c r="O331" s="2"/>
      <c r="S331"/>
      <c r="T331"/>
      <c r="U331"/>
      <c r="V331"/>
      <c r="X331"/>
    </row>
    <row r="332" spans="10:24" s="1" customFormat="1" x14ac:dyDescent="0.2">
      <c r="J332"/>
      <c r="K332"/>
      <c r="L332"/>
      <c r="M332"/>
      <c r="N332"/>
      <c r="O332" s="2"/>
      <c r="S332"/>
      <c r="T332"/>
      <c r="U332"/>
      <c r="V332"/>
      <c r="X332"/>
    </row>
    <row r="333" spans="10:24" s="1" customFormat="1" x14ac:dyDescent="0.2">
      <c r="J333"/>
      <c r="K333"/>
      <c r="L333"/>
      <c r="M333"/>
      <c r="N333"/>
      <c r="O333" s="2"/>
      <c r="S333"/>
      <c r="T333"/>
      <c r="U333"/>
      <c r="V333"/>
      <c r="X333"/>
    </row>
    <row r="334" spans="10:24" s="1" customFormat="1" x14ac:dyDescent="0.2">
      <c r="J334"/>
      <c r="K334"/>
      <c r="L334"/>
      <c r="M334"/>
      <c r="N334"/>
      <c r="O334" s="2"/>
      <c r="S334"/>
      <c r="T334"/>
      <c r="U334"/>
      <c r="V334"/>
      <c r="X334"/>
    </row>
    <row r="335" spans="10:24" s="1" customFormat="1" x14ac:dyDescent="0.2">
      <c r="J335"/>
      <c r="K335"/>
      <c r="L335"/>
      <c r="M335"/>
      <c r="N335"/>
      <c r="O335" s="2"/>
      <c r="S335"/>
      <c r="T335"/>
      <c r="U335"/>
      <c r="V335"/>
      <c r="X335"/>
    </row>
    <row r="336" spans="10:24" s="1" customFormat="1" x14ac:dyDescent="0.2">
      <c r="J336"/>
      <c r="K336"/>
      <c r="L336"/>
      <c r="M336"/>
      <c r="N336"/>
      <c r="O336" s="2"/>
      <c r="S336"/>
      <c r="T336"/>
      <c r="U336"/>
      <c r="V336"/>
      <c r="X336"/>
    </row>
    <row r="337" spans="10:24" s="1" customFormat="1" x14ac:dyDescent="0.2">
      <c r="J337"/>
      <c r="K337"/>
      <c r="L337"/>
      <c r="M337"/>
      <c r="N337"/>
      <c r="O337" s="2"/>
      <c r="S337"/>
      <c r="T337"/>
      <c r="U337"/>
      <c r="V337"/>
      <c r="X337"/>
    </row>
    <row r="338" spans="10:24" s="1" customFormat="1" x14ac:dyDescent="0.2">
      <c r="J338"/>
      <c r="K338"/>
      <c r="L338"/>
      <c r="M338"/>
      <c r="N338"/>
      <c r="O338" s="2"/>
      <c r="S338"/>
      <c r="T338"/>
      <c r="U338"/>
      <c r="V338"/>
      <c r="X338"/>
    </row>
    <row r="339" spans="10:24" s="1" customFormat="1" x14ac:dyDescent="0.2">
      <c r="J339"/>
      <c r="K339"/>
      <c r="L339"/>
      <c r="M339"/>
      <c r="N339"/>
      <c r="O339" s="2"/>
      <c r="S339"/>
      <c r="T339"/>
      <c r="U339"/>
      <c r="V339"/>
      <c r="X339"/>
    </row>
    <row r="340" spans="10:24" s="1" customFormat="1" x14ac:dyDescent="0.2">
      <c r="J340"/>
      <c r="K340"/>
      <c r="L340"/>
      <c r="M340"/>
      <c r="N340"/>
      <c r="O340" s="2"/>
      <c r="S340"/>
      <c r="T340"/>
      <c r="U340"/>
      <c r="V340"/>
      <c r="X340"/>
    </row>
    <row r="341" spans="10:24" s="1" customFormat="1" x14ac:dyDescent="0.2">
      <c r="J341"/>
      <c r="K341"/>
      <c r="L341"/>
      <c r="M341"/>
      <c r="N341"/>
      <c r="O341" s="2"/>
      <c r="S341"/>
      <c r="T341"/>
      <c r="U341"/>
      <c r="V341"/>
      <c r="X341"/>
    </row>
    <row r="342" spans="10:24" s="1" customFormat="1" x14ac:dyDescent="0.2">
      <c r="J342"/>
      <c r="K342"/>
      <c r="L342"/>
      <c r="M342"/>
      <c r="N342"/>
      <c r="O342" s="2"/>
      <c r="S342"/>
      <c r="T342"/>
      <c r="U342"/>
      <c r="V342"/>
      <c r="X342"/>
    </row>
    <row r="343" spans="10:24" s="1" customFormat="1" x14ac:dyDescent="0.2">
      <c r="J343"/>
      <c r="K343"/>
      <c r="L343"/>
      <c r="M343"/>
      <c r="N343"/>
      <c r="O343" s="2"/>
      <c r="S343"/>
      <c r="T343"/>
      <c r="U343"/>
      <c r="V343"/>
      <c r="X343"/>
    </row>
    <row r="344" spans="10:24" s="1" customFormat="1" x14ac:dyDescent="0.2">
      <c r="J344"/>
      <c r="K344"/>
      <c r="L344"/>
      <c r="M344"/>
      <c r="N344"/>
      <c r="O344" s="2"/>
      <c r="S344"/>
      <c r="T344"/>
      <c r="U344"/>
      <c r="V344"/>
      <c r="X344"/>
    </row>
    <row r="345" spans="10:24" s="1" customFormat="1" x14ac:dyDescent="0.2">
      <c r="J345"/>
      <c r="K345"/>
      <c r="L345"/>
      <c r="M345"/>
      <c r="N345"/>
      <c r="O345" s="2"/>
      <c r="S345"/>
      <c r="T345"/>
      <c r="U345"/>
      <c r="V345"/>
      <c r="X345"/>
    </row>
    <row r="346" spans="10:24" s="1" customFormat="1" x14ac:dyDescent="0.2">
      <c r="J346"/>
      <c r="K346"/>
      <c r="L346"/>
      <c r="M346"/>
      <c r="N346"/>
      <c r="O346" s="2"/>
      <c r="S346"/>
      <c r="T346"/>
      <c r="U346"/>
      <c r="V346"/>
      <c r="X346"/>
    </row>
    <row r="347" spans="10:24" s="1" customFormat="1" x14ac:dyDescent="0.2">
      <c r="J347"/>
      <c r="K347"/>
      <c r="L347"/>
      <c r="M347"/>
      <c r="N347"/>
      <c r="O347" s="2"/>
      <c r="S347"/>
      <c r="T347"/>
      <c r="U347"/>
      <c r="V347"/>
      <c r="X347"/>
    </row>
    <row r="348" spans="10:24" s="1" customFormat="1" x14ac:dyDescent="0.2">
      <c r="J348"/>
      <c r="K348"/>
      <c r="L348"/>
      <c r="M348"/>
      <c r="N348"/>
      <c r="O348" s="2"/>
      <c r="S348"/>
      <c r="T348"/>
      <c r="U348"/>
      <c r="V348"/>
      <c r="X348"/>
    </row>
    <row r="349" spans="10:24" s="1" customFormat="1" x14ac:dyDescent="0.2">
      <c r="J349"/>
      <c r="K349"/>
      <c r="L349"/>
      <c r="M349"/>
      <c r="N349"/>
      <c r="O349" s="2"/>
      <c r="S349"/>
      <c r="T349"/>
      <c r="U349"/>
      <c r="V349"/>
      <c r="X349"/>
    </row>
    <row r="350" spans="10:24" s="1" customFormat="1" x14ac:dyDescent="0.2">
      <c r="J350"/>
      <c r="K350"/>
      <c r="L350"/>
      <c r="M350"/>
      <c r="N350"/>
      <c r="O350" s="2"/>
      <c r="S350"/>
      <c r="T350"/>
      <c r="U350"/>
      <c r="V350"/>
      <c r="X350"/>
    </row>
    <row r="351" spans="10:24" s="1" customFormat="1" x14ac:dyDescent="0.2">
      <c r="J351"/>
      <c r="K351"/>
      <c r="L351"/>
      <c r="M351"/>
      <c r="N351"/>
      <c r="O351" s="2"/>
      <c r="S351"/>
      <c r="T351"/>
      <c r="U351"/>
      <c r="V351"/>
      <c r="X351"/>
    </row>
    <row r="352" spans="10:24" s="1" customFormat="1" x14ac:dyDescent="0.2">
      <c r="J352"/>
      <c r="K352"/>
      <c r="L352"/>
      <c r="M352"/>
      <c r="N352"/>
      <c r="O352" s="2"/>
      <c r="S352"/>
      <c r="T352"/>
      <c r="U352"/>
      <c r="V352"/>
      <c r="X352"/>
    </row>
    <row r="353" spans="10:24" s="1" customFormat="1" x14ac:dyDescent="0.2">
      <c r="J353"/>
      <c r="K353"/>
      <c r="L353"/>
      <c r="M353"/>
      <c r="N353"/>
      <c r="O353" s="2"/>
      <c r="S353"/>
      <c r="T353"/>
      <c r="U353"/>
      <c r="V353"/>
      <c r="X353"/>
    </row>
    <row r="354" spans="10:24" s="1" customFormat="1" x14ac:dyDescent="0.2">
      <c r="J354"/>
      <c r="K354"/>
      <c r="L354"/>
      <c r="M354"/>
      <c r="N354"/>
      <c r="O354" s="2"/>
      <c r="S354"/>
      <c r="T354"/>
      <c r="U354"/>
      <c r="V354"/>
      <c r="X354"/>
    </row>
    <row r="355" spans="10:24" s="1" customFormat="1" x14ac:dyDescent="0.2">
      <c r="J355"/>
      <c r="K355"/>
      <c r="L355"/>
      <c r="M355"/>
      <c r="N355"/>
      <c r="O355" s="2"/>
      <c r="S355"/>
      <c r="T355"/>
      <c r="U355"/>
      <c r="V355"/>
      <c r="X355"/>
    </row>
    <row r="356" spans="10:24" s="1" customFormat="1" x14ac:dyDescent="0.2">
      <c r="J356"/>
      <c r="K356"/>
      <c r="L356"/>
      <c r="M356"/>
      <c r="N356"/>
      <c r="O356" s="2"/>
      <c r="S356"/>
      <c r="T356"/>
      <c r="U356"/>
      <c r="V356"/>
      <c r="X356"/>
    </row>
    <row r="357" spans="10:24" s="1" customFormat="1" x14ac:dyDescent="0.2">
      <c r="J357"/>
      <c r="K357"/>
      <c r="L357"/>
      <c r="M357"/>
      <c r="N357"/>
      <c r="O357" s="2"/>
      <c r="S357"/>
      <c r="T357"/>
      <c r="U357"/>
      <c r="V357"/>
      <c r="X357"/>
    </row>
    <row r="358" spans="10:24" s="1" customFormat="1" x14ac:dyDescent="0.2">
      <c r="J358"/>
      <c r="K358"/>
      <c r="L358"/>
      <c r="M358"/>
      <c r="N358"/>
      <c r="O358" s="2"/>
      <c r="S358"/>
      <c r="T358"/>
      <c r="U358"/>
      <c r="V358"/>
      <c r="X358"/>
    </row>
    <row r="359" spans="10:24" s="1" customFormat="1" x14ac:dyDescent="0.2">
      <c r="J359"/>
      <c r="K359"/>
      <c r="L359"/>
      <c r="M359"/>
      <c r="N359"/>
      <c r="O359" s="2"/>
      <c r="S359"/>
      <c r="T359"/>
      <c r="U359"/>
      <c r="V359"/>
      <c r="X359"/>
    </row>
    <row r="360" spans="10:24" s="1" customFormat="1" x14ac:dyDescent="0.2">
      <c r="J360"/>
      <c r="K360"/>
      <c r="L360"/>
      <c r="M360"/>
      <c r="N360"/>
      <c r="O360" s="2"/>
      <c r="S360"/>
      <c r="T360"/>
      <c r="U360"/>
      <c r="V360"/>
      <c r="X360"/>
    </row>
    <row r="361" spans="10:24" s="1" customFormat="1" x14ac:dyDescent="0.2">
      <c r="J361"/>
      <c r="K361"/>
      <c r="L361"/>
      <c r="M361"/>
      <c r="N361"/>
      <c r="O361" s="2"/>
      <c r="S361"/>
      <c r="T361"/>
      <c r="U361"/>
      <c r="V361"/>
      <c r="X361"/>
    </row>
    <row r="362" spans="10:24" s="1" customFormat="1" x14ac:dyDescent="0.2">
      <c r="J362"/>
      <c r="K362"/>
      <c r="L362"/>
      <c r="M362"/>
      <c r="N362"/>
      <c r="O362" s="2"/>
      <c r="S362"/>
      <c r="T362"/>
      <c r="U362"/>
      <c r="V362"/>
      <c r="X362"/>
    </row>
    <row r="363" spans="10:24" s="1" customFormat="1" x14ac:dyDescent="0.2">
      <c r="J363"/>
      <c r="K363"/>
      <c r="L363"/>
      <c r="M363"/>
      <c r="N363"/>
      <c r="O363" s="2"/>
      <c r="S363"/>
      <c r="T363"/>
      <c r="U363"/>
      <c r="V363"/>
      <c r="X363"/>
    </row>
    <row r="364" spans="10:24" s="1" customFormat="1" x14ac:dyDescent="0.2">
      <c r="J364"/>
      <c r="K364"/>
      <c r="L364"/>
      <c r="M364"/>
      <c r="N364"/>
      <c r="O364" s="2"/>
      <c r="S364"/>
      <c r="T364"/>
      <c r="U364"/>
      <c r="V364"/>
      <c r="X364"/>
    </row>
    <row r="365" spans="10:24" s="1" customFormat="1" x14ac:dyDescent="0.2">
      <c r="J365"/>
      <c r="K365"/>
      <c r="L365"/>
      <c r="M365"/>
      <c r="N365"/>
      <c r="O365" s="2"/>
      <c r="S365"/>
      <c r="T365"/>
      <c r="U365"/>
      <c r="V365"/>
      <c r="X365"/>
    </row>
    <row r="366" spans="10:24" s="1" customFormat="1" x14ac:dyDescent="0.2">
      <c r="J366"/>
      <c r="K366"/>
      <c r="L366"/>
      <c r="M366"/>
      <c r="N366"/>
      <c r="O366" s="2"/>
      <c r="S366"/>
      <c r="T366"/>
      <c r="U366"/>
      <c r="V366"/>
      <c r="X366"/>
    </row>
    <row r="367" spans="10:24" s="1" customFormat="1" x14ac:dyDescent="0.2">
      <c r="J367"/>
      <c r="K367"/>
      <c r="L367"/>
      <c r="M367"/>
      <c r="N367"/>
      <c r="O367" s="2"/>
      <c r="S367"/>
      <c r="T367"/>
      <c r="U367"/>
      <c r="V367"/>
      <c r="X367"/>
    </row>
    <row r="368" spans="10:24" s="1" customFormat="1" x14ac:dyDescent="0.2">
      <c r="J368"/>
      <c r="K368"/>
      <c r="L368"/>
      <c r="M368"/>
      <c r="N368"/>
      <c r="O368" s="2"/>
      <c r="S368"/>
      <c r="T368"/>
      <c r="U368"/>
      <c r="V368"/>
      <c r="X368"/>
    </row>
    <row r="369" spans="10:24" s="1" customFormat="1" x14ac:dyDescent="0.2">
      <c r="J369"/>
      <c r="K369"/>
      <c r="L369"/>
      <c r="M369"/>
      <c r="N369"/>
      <c r="O369" s="2"/>
      <c r="S369"/>
      <c r="T369"/>
      <c r="U369"/>
      <c r="V369"/>
      <c r="X369"/>
    </row>
    <row r="370" spans="10:24" s="1" customFormat="1" x14ac:dyDescent="0.2">
      <c r="J370"/>
      <c r="K370"/>
      <c r="L370"/>
      <c r="M370"/>
      <c r="N370"/>
      <c r="O370" s="2"/>
      <c r="S370"/>
      <c r="T370"/>
      <c r="U370"/>
      <c r="V370"/>
      <c r="X370"/>
    </row>
    <row r="371" spans="10:24" s="1" customFormat="1" x14ac:dyDescent="0.2">
      <c r="J371"/>
      <c r="K371"/>
      <c r="L371"/>
      <c r="M371"/>
      <c r="N371"/>
      <c r="O371" s="2"/>
      <c r="S371"/>
      <c r="T371"/>
      <c r="U371"/>
      <c r="V371"/>
      <c r="X371"/>
    </row>
    <row r="372" spans="10:24" s="1" customFormat="1" x14ac:dyDescent="0.2">
      <c r="J372"/>
      <c r="K372"/>
      <c r="L372"/>
      <c r="M372"/>
      <c r="N372"/>
      <c r="O372" s="2"/>
      <c r="S372"/>
      <c r="T372"/>
      <c r="U372"/>
      <c r="V372"/>
      <c r="X372"/>
    </row>
    <row r="373" spans="10:24" s="1" customFormat="1" x14ac:dyDescent="0.2">
      <c r="J373"/>
      <c r="K373"/>
      <c r="L373"/>
      <c r="M373"/>
      <c r="N373"/>
      <c r="O373" s="2"/>
      <c r="S373"/>
      <c r="T373"/>
      <c r="U373"/>
      <c r="V373"/>
      <c r="X373"/>
    </row>
    <row r="374" spans="10:24" s="1" customFormat="1" x14ac:dyDescent="0.2">
      <c r="J374"/>
      <c r="K374"/>
      <c r="L374"/>
      <c r="M374"/>
      <c r="N374"/>
      <c r="O374" s="2"/>
      <c r="S374"/>
      <c r="T374"/>
      <c r="U374"/>
      <c r="V374"/>
      <c r="X374"/>
    </row>
    <row r="375" spans="10:24" s="1" customFormat="1" x14ac:dyDescent="0.2">
      <c r="J375"/>
      <c r="K375"/>
      <c r="L375"/>
      <c r="M375"/>
      <c r="N375"/>
      <c r="O375" s="2"/>
      <c r="S375"/>
      <c r="T375"/>
      <c r="U375"/>
      <c r="V375"/>
      <c r="X375"/>
    </row>
    <row r="376" spans="10:24" s="1" customFormat="1" x14ac:dyDescent="0.2">
      <c r="J376"/>
      <c r="K376"/>
      <c r="L376"/>
      <c r="M376"/>
      <c r="N376"/>
      <c r="O376" s="2"/>
      <c r="S376"/>
      <c r="T376"/>
      <c r="U376"/>
      <c r="V376"/>
      <c r="X376"/>
    </row>
    <row r="377" spans="10:24" s="1" customFormat="1" x14ac:dyDescent="0.2">
      <c r="J377"/>
      <c r="K377"/>
      <c r="L377"/>
      <c r="M377"/>
      <c r="N377"/>
      <c r="O377" s="2"/>
      <c r="S377"/>
      <c r="T377"/>
      <c r="U377"/>
      <c r="V377"/>
      <c r="X377"/>
    </row>
    <row r="378" spans="10:24" s="1" customFormat="1" x14ac:dyDescent="0.2">
      <c r="J378"/>
      <c r="K378"/>
      <c r="L378"/>
      <c r="M378"/>
      <c r="N378"/>
      <c r="O378" s="2"/>
      <c r="S378"/>
      <c r="T378"/>
      <c r="U378"/>
      <c r="V378"/>
      <c r="X378"/>
    </row>
    <row r="379" spans="10:24" s="1" customFormat="1" x14ac:dyDescent="0.2">
      <c r="J379"/>
      <c r="K379"/>
      <c r="L379"/>
      <c r="M379"/>
      <c r="N379"/>
      <c r="O379" s="2"/>
      <c r="S379"/>
      <c r="T379"/>
      <c r="U379"/>
      <c r="V379"/>
      <c r="X379"/>
    </row>
    <row r="380" spans="10:24" s="1" customFormat="1" x14ac:dyDescent="0.2">
      <c r="J380"/>
      <c r="K380"/>
      <c r="L380"/>
      <c r="M380"/>
      <c r="N380"/>
      <c r="O380" s="2"/>
      <c r="S380"/>
      <c r="T380"/>
      <c r="U380"/>
      <c r="V380"/>
      <c r="X380"/>
    </row>
    <row r="381" spans="10:24" s="1" customFormat="1" x14ac:dyDescent="0.2">
      <c r="J381"/>
      <c r="K381"/>
      <c r="L381"/>
      <c r="M381"/>
      <c r="N381"/>
      <c r="O381" s="2"/>
      <c r="S381"/>
      <c r="T381"/>
      <c r="U381"/>
      <c r="V381"/>
      <c r="X381"/>
    </row>
    <row r="382" spans="10:24" s="1" customFormat="1" x14ac:dyDescent="0.2">
      <c r="J382"/>
      <c r="K382"/>
      <c r="L382"/>
      <c r="M382"/>
      <c r="N382"/>
      <c r="O382" s="2"/>
      <c r="S382"/>
      <c r="T382"/>
      <c r="U382"/>
      <c r="V382"/>
      <c r="X382"/>
    </row>
    <row r="383" spans="10:24" s="1" customFormat="1" x14ac:dyDescent="0.2">
      <c r="J383"/>
      <c r="K383"/>
      <c r="L383"/>
      <c r="M383"/>
      <c r="N383"/>
      <c r="O383" s="2"/>
      <c r="S383"/>
      <c r="T383"/>
      <c r="U383"/>
      <c r="V383"/>
      <c r="X383"/>
    </row>
    <row r="384" spans="10:24" s="1" customFormat="1" x14ac:dyDescent="0.2">
      <c r="J384"/>
      <c r="K384"/>
      <c r="L384"/>
      <c r="M384"/>
      <c r="N384"/>
      <c r="O384" s="2"/>
      <c r="S384"/>
      <c r="T384"/>
      <c r="U384"/>
      <c r="V384"/>
      <c r="X384"/>
    </row>
    <row r="385" spans="10:24" s="1" customFormat="1" x14ac:dyDescent="0.2">
      <c r="J385"/>
      <c r="K385"/>
      <c r="L385"/>
      <c r="M385"/>
      <c r="N385"/>
      <c r="O385" s="2"/>
      <c r="S385"/>
      <c r="T385"/>
      <c r="U385"/>
      <c r="V385"/>
      <c r="X385"/>
    </row>
    <row r="386" spans="10:24" s="1" customFormat="1" x14ac:dyDescent="0.2">
      <c r="J386"/>
      <c r="K386"/>
      <c r="L386"/>
      <c r="M386"/>
      <c r="N386"/>
      <c r="O386" s="2"/>
      <c r="S386"/>
      <c r="T386"/>
      <c r="U386"/>
      <c r="V386"/>
      <c r="X386"/>
    </row>
    <row r="387" spans="10:24" s="1" customFormat="1" x14ac:dyDescent="0.2">
      <c r="J387"/>
      <c r="K387"/>
      <c r="L387"/>
      <c r="M387"/>
      <c r="N387"/>
      <c r="O387" s="2"/>
      <c r="S387"/>
      <c r="T387"/>
      <c r="U387"/>
      <c r="V387"/>
      <c r="X387"/>
    </row>
    <row r="388" spans="10:24" s="1" customFormat="1" x14ac:dyDescent="0.2">
      <c r="J388"/>
      <c r="K388"/>
      <c r="L388"/>
      <c r="M388"/>
      <c r="N388"/>
      <c r="O388" s="2"/>
      <c r="S388"/>
      <c r="T388"/>
      <c r="U388"/>
      <c r="V388"/>
      <c r="X388"/>
    </row>
    <row r="389" spans="10:24" s="1" customFormat="1" x14ac:dyDescent="0.2">
      <c r="J389"/>
      <c r="K389"/>
      <c r="L389"/>
      <c r="M389"/>
      <c r="N389"/>
      <c r="O389" s="2"/>
      <c r="S389"/>
      <c r="T389"/>
      <c r="U389"/>
      <c r="V389"/>
      <c r="X389"/>
    </row>
    <row r="390" spans="10:24" s="1" customFormat="1" x14ac:dyDescent="0.2">
      <c r="J390"/>
      <c r="K390"/>
      <c r="L390"/>
      <c r="M390"/>
      <c r="N390"/>
      <c r="O390" s="2"/>
      <c r="S390"/>
      <c r="T390"/>
      <c r="U390"/>
      <c r="V390"/>
      <c r="X390"/>
    </row>
    <row r="391" spans="10:24" s="1" customFormat="1" x14ac:dyDescent="0.2">
      <c r="J391"/>
      <c r="K391"/>
      <c r="L391"/>
      <c r="M391"/>
      <c r="N391"/>
      <c r="O391" s="2"/>
      <c r="S391"/>
      <c r="T391"/>
      <c r="U391"/>
      <c r="V391"/>
      <c r="X391"/>
    </row>
    <row r="392" spans="10:24" s="1" customFormat="1" x14ac:dyDescent="0.2">
      <c r="J392"/>
      <c r="K392"/>
      <c r="L392"/>
      <c r="M392"/>
      <c r="N392"/>
      <c r="O392" s="2"/>
      <c r="S392"/>
      <c r="T392"/>
      <c r="U392"/>
      <c r="V392"/>
      <c r="X392"/>
    </row>
    <row r="393" spans="10:24" s="1" customFormat="1" x14ac:dyDescent="0.2">
      <c r="J393"/>
      <c r="K393"/>
      <c r="L393"/>
      <c r="M393"/>
      <c r="N393"/>
      <c r="O393" s="2"/>
      <c r="S393"/>
      <c r="T393"/>
      <c r="U393"/>
      <c r="V393"/>
      <c r="X393"/>
    </row>
    <row r="394" spans="10:24" s="1" customFormat="1" x14ac:dyDescent="0.2">
      <c r="J394"/>
      <c r="K394"/>
      <c r="L394"/>
      <c r="M394"/>
      <c r="N394"/>
      <c r="O394" s="2"/>
      <c r="S394"/>
      <c r="T394"/>
      <c r="U394"/>
      <c r="V394"/>
      <c r="X394"/>
    </row>
    <row r="395" spans="10:24" s="1" customFormat="1" x14ac:dyDescent="0.2">
      <c r="J395"/>
      <c r="K395"/>
      <c r="L395"/>
      <c r="M395"/>
      <c r="N395"/>
      <c r="O395" s="2"/>
      <c r="S395"/>
      <c r="T395"/>
      <c r="U395"/>
      <c r="V395"/>
      <c r="X395"/>
    </row>
    <row r="396" spans="10:24" s="1" customFormat="1" x14ac:dyDescent="0.2">
      <c r="J396"/>
      <c r="K396"/>
      <c r="L396"/>
      <c r="M396"/>
      <c r="N396"/>
      <c r="O396" s="2"/>
      <c r="S396"/>
      <c r="T396"/>
      <c r="U396"/>
      <c r="V396"/>
      <c r="X396"/>
    </row>
    <row r="397" spans="10:24" s="1" customFormat="1" x14ac:dyDescent="0.2">
      <c r="J397"/>
      <c r="K397"/>
      <c r="L397"/>
      <c r="M397"/>
      <c r="N397"/>
      <c r="O397" s="2"/>
      <c r="S397"/>
      <c r="T397"/>
      <c r="U397"/>
      <c r="V397"/>
      <c r="X397"/>
    </row>
    <row r="398" spans="10:24" s="1" customFormat="1" x14ac:dyDescent="0.2">
      <c r="J398"/>
      <c r="K398"/>
      <c r="L398"/>
      <c r="M398"/>
      <c r="N398"/>
      <c r="O398" s="2"/>
      <c r="S398"/>
      <c r="T398"/>
      <c r="U398"/>
      <c r="V398"/>
      <c r="X398"/>
    </row>
    <row r="399" spans="10:24" s="1" customFormat="1" x14ac:dyDescent="0.2">
      <c r="J399"/>
      <c r="K399"/>
      <c r="L399"/>
      <c r="M399"/>
      <c r="N399"/>
      <c r="O399" s="2"/>
      <c r="S399"/>
      <c r="T399"/>
      <c r="U399"/>
      <c r="V399"/>
      <c r="X399"/>
    </row>
    <row r="400" spans="10:24" s="1" customFormat="1" x14ac:dyDescent="0.2">
      <c r="J400"/>
      <c r="K400"/>
      <c r="L400"/>
      <c r="M400"/>
      <c r="N400"/>
      <c r="O400" s="2"/>
      <c r="S400"/>
      <c r="T400"/>
      <c r="U400"/>
      <c r="V400"/>
      <c r="X400"/>
    </row>
    <row r="401" spans="10:24" s="1" customFormat="1" x14ac:dyDescent="0.2">
      <c r="J401"/>
      <c r="K401"/>
      <c r="L401"/>
      <c r="M401"/>
      <c r="N401"/>
      <c r="O401" s="2"/>
      <c r="S401"/>
      <c r="T401"/>
      <c r="U401"/>
      <c r="V401"/>
      <c r="X401"/>
    </row>
    <row r="402" spans="10:24" s="1" customFormat="1" x14ac:dyDescent="0.2">
      <c r="J402"/>
      <c r="K402"/>
      <c r="L402"/>
      <c r="M402"/>
      <c r="N402"/>
      <c r="O402" s="2"/>
      <c r="S402"/>
      <c r="T402"/>
      <c r="U402"/>
      <c r="V402"/>
      <c r="X402"/>
    </row>
    <row r="403" spans="10:24" s="1" customFormat="1" x14ac:dyDescent="0.2">
      <c r="J403"/>
      <c r="K403"/>
      <c r="L403"/>
      <c r="M403"/>
      <c r="N403"/>
      <c r="O403" s="2"/>
      <c r="S403"/>
      <c r="T403"/>
      <c r="U403"/>
      <c r="V403"/>
      <c r="X403"/>
    </row>
    <row r="404" spans="10:24" s="1" customFormat="1" x14ac:dyDescent="0.2">
      <c r="J404"/>
      <c r="K404"/>
      <c r="L404"/>
      <c r="M404"/>
      <c r="N404"/>
      <c r="O404" s="2"/>
      <c r="S404"/>
      <c r="T404"/>
      <c r="U404"/>
      <c r="V404"/>
      <c r="X404"/>
    </row>
    <row r="405" spans="10:24" s="1" customFormat="1" x14ac:dyDescent="0.2">
      <c r="J405"/>
      <c r="K405"/>
      <c r="L405"/>
      <c r="M405"/>
      <c r="N405"/>
      <c r="O405" s="2"/>
      <c r="S405"/>
      <c r="T405"/>
      <c r="U405"/>
      <c r="V405"/>
      <c r="X405"/>
    </row>
    <row r="406" spans="10:24" s="1" customFormat="1" x14ac:dyDescent="0.2">
      <c r="J406"/>
      <c r="K406"/>
      <c r="L406"/>
      <c r="M406"/>
      <c r="N406"/>
      <c r="O406" s="2"/>
      <c r="S406"/>
      <c r="T406"/>
      <c r="U406"/>
      <c r="V406"/>
      <c r="X406"/>
    </row>
    <row r="407" spans="10:24" s="1" customFormat="1" x14ac:dyDescent="0.2">
      <c r="J407"/>
      <c r="K407"/>
      <c r="L407"/>
      <c r="M407"/>
      <c r="N407"/>
      <c r="O407" s="2"/>
      <c r="S407"/>
      <c r="T407"/>
      <c r="U407"/>
      <c r="V407"/>
      <c r="X407"/>
    </row>
    <row r="408" spans="10:24" s="1" customFormat="1" x14ac:dyDescent="0.2">
      <c r="J408"/>
      <c r="K408"/>
      <c r="L408"/>
      <c r="M408"/>
      <c r="N408"/>
      <c r="O408" s="2"/>
      <c r="S408"/>
      <c r="T408"/>
      <c r="U408"/>
      <c r="V408"/>
      <c r="X408"/>
    </row>
    <row r="409" spans="10:24" s="1" customFormat="1" x14ac:dyDescent="0.2">
      <c r="J409"/>
      <c r="K409"/>
      <c r="L409"/>
      <c r="M409"/>
      <c r="N409"/>
      <c r="O409" s="2"/>
      <c r="S409"/>
      <c r="T409"/>
      <c r="U409"/>
      <c r="V409"/>
      <c r="X409"/>
    </row>
    <row r="410" spans="10:24" s="1" customFormat="1" x14ac:dyDescent="0.2">
      <c r="J410"/>
      <c r="K410"/>
      <c r="L410"/>
      <c r="M410"/>
      <c r="N410"/>
      <c r="O410" s="2"/>
      <c r="S410"/>
      <c r="T410"/>
      <c r="U410"/>
      <c r="V410"/>
      <c r="X410"/>
    </row>
    <row r="411" spans="10:24" s="1" customFormat="1" x14ac:dyDescent="0.2">
      <c r="J411"/>
      <c r="K411"/>
      <c r="L411"/>
      <c r="M411"/>
      <c r="N411"/>
      <c r="O411" s="2"/>
      <c r="S411"/>
      <c r="T411"/>
      <c r="U411"/>
      <c r="V411"/>
      <c r="X411"/>
    </row>
    <row r="412" spans="10:24" s="1" customFormat="1" x14ac:dyDescent="0.2">
      <c r="J412"/>
      <c r="K412"/>
      <c r="L412"/>
      <c r="M412"/>
      <c r="N412"/>
      <c r="O412" s="2"/>
      <c r="S412"/>
      <c r="T412"/>
      <c r="U412"/>
      <c r="V412"/>
      <c r="X412"/>
    </row>
    <row r="413" spans="10:24" s="1" customFormat="1" x14ac:dyDescent="0.2">
      <c r="J413"/>
      <c r="K413"/>
      <c r="L413"/>
      <c r="M413"/>
      <c r="N413"/>
      <c r="O413" s="2"/>
      <c r="S413"/>
      <c r="T413"/>
      <c r="U413"/>
      <c r="V413"/>
      <c r="X413"/>
    </row>
    <row r="414" spans="10:24" s="1" customFormat="1" x14ac:dyDescent="0.2">
      <c r="J414"/>
      <c r="K414"/>
      <c r="L414"/>
      <c r="M414"/>
      <c r="N414"/>
      <c r="O414" s="2"/>
      <c r="S414"/>
      <c r="T414"/>
      <c r="U414"/>
      <c r="V414"/>
      <c r="X414"/>
    </row>
    <row r="415" spans="10:24" s="1" customFormat="1" x14ac:dyDescent="0.2">
      <c r="J415"/>
      <c r="K415"/>
      <c r="L415"/>
      <c r="M415"/>
      <c r="N415"/>
      <c r="O415" s="2"/>
      <c r="S415"/>
      <c r="T415"/>
      <c r="U415"/>
      <c r="V415"/>
      <c r="X415"/>
    </row>
    <row r="416" spans="10:24" s="1" customFormat="1" x14ac:dyDescent="0.2">
      <c r="J416"/>
      <c r="K416"/>
      <c r="L416"/>
      <c r="M416"/>
      <c r="N416"/>
      <c r="O416" s="2"/>
      <c r="S416"/>
      <c r="T416"/>
      <c r="U416"/>
      <c r="V416"/>
      <c r="X416"/>
    </row>
    <row r="417" spans="10:24" s="1" customFormat="1" x14ac:dyDescent="0.2">
      <c r="J417"/>
      <c r="K417"/>
      <c r="L417"/>
      <c r="M417"/>
      <c r="N417"/>
      <c r="O417" s="2"/>
      <c r="S417"/>
      <c r="T417"/>
      <c r="U417"/>
      <c r="V417"/>
      <c r="X417"/>
    </row>
    <row r="418" spans="10:24" s="1" customFormat="1" x14ac:dyDescent="0.2">
      <c r="J418"/>
      <c r="K418"/>
      <c r="L418"/>
      <c r="M418"/>
      <c r="N418"/>
      <c r="O418" s="2"/>
      <c r="S418"/>
      <c r="T418"/>
      <c r="U418"/>
      <c r="V418"/>
      <c r="X418"/>
    </row>
    <row r="419" spans="10:24" s="1" customFormat="1" x14ac:dyDescent="0.2">
      <c r="J419"/>
      <c r="K419"/>
      <c r="L419"/>
      <c r="M419"/>
      <c r="N419"/>
      <c r="O419" s="2"/>
      <c r="S419"/>
      <c r="T419"/>
      <c r="U419"/>
      <c r="V419"/>
      <c r="X419"/>
    </row>
    <row r="420" spans="10:24" s="1" customFormat="1" x14ac:dyDescent="0.2">
      <c r="J420"/>
      <c r="K420"/>
      <c r="L420"/>
      <c r="M420"/>
      <c r="N420"/>
      <c r="O420" s="2"/>
      <c r="S420"/>
      <c r="T420"/>
      <c r="U420"/>
      <c r="V420"/>
      <c r="X420"/>
    </row>
    <row r="421" spans="10:24" s="1" customFormat="1" x14ac:dyDescent="0.2">
      <c r="J421"/>
      <c r="K421"/>
      <c r="L421"/>
      <c r="M421"/>
      <c r="N421"/>
      <c r="O421" s="2"/>
      <c r="S421"/>
      <c r="T421"/>
      <c r="U421"/>
      <c r="V421"/>
      <c r="X421"/>
    </row>
    <row r="422" spans="10:24" s="1" customFormat="1" x14ac:dyDescent="0.2">
      <c r="J422"/>
      <c r="K422"/>
      <c r="L422"/>
      <c r="M422"/>
      <c r="N422"/>
      <c r="O422" s="2"/>
      <c r="S422"/>
      <c r="T422"/>
      <c r="U422"/>
      <c r="V422"/>
      <c r="X422"/>
    </row>
    <row r="423" spans="10:24" s="1" customFormat="1" x14ac:dyDescent="0.2">
      <c r="J423"/>
      <c r="K423"/>
      <c r="L423"/>
      <c r="M423"/>
      <c r="N423"/>
      <c r="O423" s="2"/>
      <c r="S423"/>
      <c r="T423"/>
      <c r="U423"/>
      <c r="V423"/>
      <c r="X423"/>
    </row>
    <row r="424" spans="10:24" s="1" customFormat="1" x14ac:dyDescent="0.2">
      <c r="J424"/>
      <c r="K424"/>
      <c r="L424"/>
      <c r="M424"/>
      <c r="N424"/>
      <c r="O424" s="2"/>
      <c r="S424"/>
      <c r="T424"/>
      <c r="U424"/>
      <c r="V424"/>
      <c r="X424"/>
    </row>
    <row r="425" spans="10:24" s="1" customFormat="1" x14ac:dyDescent="0.2">
      <c r="J425"/>
      <c r="K425"/>
      <c r="L425"/>
      <c r="M425"/>
      <c r="N425"/>
      <c r="O425" s="2"/>
      <c r="S425"/>
      <c r="T425"/>
      <c r="U425"/>
      <c r="V425"/>
      <c r="X425"/>
    </row>
    <row r="426" spans="10:24" s="1" customFormat="1" x14ac:dyDescent="0.2">
      <c r="J426"/>
      <c r="K426"/>
      <c r="L426"/>
      <c r="M426"/>
      <c r="N426"/>
      <c r="O426" s="2"/>
      <c r="S426"/>
      <c r="T426"/>
      <c r="U426"/>
      <c r="V426"/>
      <c r="X426"/>
    </row>
    <row r="427" spans="10:24" s="1" customFormat="1" x14ac:dyDescent="0.2">
      <c r="J427"/>
      <c r="K427"/>
      <c r="L427"/>
      <c r="M427"/>
      <c r="N427"/>
      <c r="O427" s="2"/>
      <c r="S427"/>
      <c r="T427"/>
      <c r="U427"/>
      <c r="V427"/>
      <c r="X427"/>
    </row>
    <row r="428" spans="10:24" s="1" customFormat="1" x14ac:dyDescent="0.2">
      <c r="J428"/>
      <c r="K428"/>
      <c r="L428"/>
      <c r="M428"/>
      <c r="N428"/>
      <c r="O428" s="2"/>
      <c r="S428"/>
      <c r="T428"/>
      <c r="U428"/>
      <c r="V428"/>
      <c r="X428"/>
    </row>
    <row r="429" spans="10:24" s="1" customFormat="1" x14ac:dyDescent="0.2">
      <c r="J429"/>
      <c r="K429"/>
      <c r="L429"/>
      <c r="M429"/>
      <c r="N429"/>
      <c r="O429" s="2"/>
      <c r="S429"/>
      <c r="T429"/>
      <c r="U429"/>
      <c r="V429"/>
      <c r="X429"/>
    </row>
    <row r="430" spans="10:24" s="1" customFormat="1" x14ac:dyDescent="0.2">
      <c r="J430"/>
      <c r="K430"/>
      <c r="L430"/>
      <c r="M430"/>
      <c r="N430"/>
      <c r="O430" s="2"/>
      <c r="S430"/>
      <c r="T430"/>
      <c r="U430"/>
      <c r="V430"/>
      <c r="X430"/>
    </row>
    <row r="431" spans="10:24" s="1" customFormat="1" x14ac:dyDescent="0.2">
      <c r="J431"/>
      <c r="K431"/>
      <c r="L431"/>
      <c r="M431"/>
      <c r="N431"/>
      <c r="O431" s="2"/>
      <c r="S431"/>
      <c r="T431"/>
      <c r="U431"/>
      <c r="V431"/>
      <c r="X431"/>
    </row>
    <row r="432" spans="10:24" s="1" customFormat="1" x14ac:dyDescent="0.2">
      <c r="J432"/>
      <c r="K432"/>
      <c r="L432"/>
      <c r="M432"/>
      <c r="N432"/>
      <c r="O432" s="2"/>
      <c r="S432"/>
      <c r="T432"/>
      <c r="U432"/>
      <c r="V432"/>
      <c r="X432"/>
    </row>
    <row r="433" spans="10:24" s="1" customFormat="1" x14ac:dyDescent="0.2">
      <c r="J433"/>
      <c r="K433"/>
      <c r="L433"/>
      <c r="M433"/>
      <c r="N433"/>
      <c r="O433" s="2"/>
      <c r="S433"/>
      <c r="T433"/>
      <c r="U433"/>
      <c r="V433"/>
      <c r="X433"/>
    </row>
    <row r="434" spans="10:24" s="1" customFormat="1" x14ac:dyDescent="0.2">
      <c r="J434"/>
      <c r="K434"/>
      <c r="L434"/>
      <c r="M434"/>
      <c r="N434"/>
      <c r="O434" s="2"/>
      <c r="S434"/>
      <c r="T434"/>
      <c r="U434"/>
      <c r="V434"/>
      <c r="X434"/>
    </row>
    <row r="435" spans="10:24" s="1" customFormat="1" x14ac:dyDescent="0.2">
      <c r="J435"/>
      <c r="K435"/>
      <c r="L435"/>
      <c r="M435"/>
      <c r="N435"/>
      <c r="O435" s="2"/>
      <c r="S435"/>
      <c r="T435"/>
      <c r="U435"/>
      <c r="V435"/>
      <c r="X435"/>
    </row>
    <row r="436" spans="10:24" s="1" customFormat="1" x14ac:dyDescent="0.2">
      <c r="J436"/>
      <c r="K436"/>
      <c r="L436"/>
      <c r="M436"/>
      <c r="N436"/>
      <c r="O436" s="2"/>
      <c r="S436"/>
      <c r="T436"/>
      <c r="U436"/>
      <c r="V436"/>
      <c r="X436"/>
    </row>
    <row r="437" spans="10:24" s="1" customFormat="1" x14ac:dyDescent="0.2">
      <c r="J437"/>
      <c r="K437"/>
      <c r="L437"/>
      <c r="M437"/>
      <c r="N437"/>
      <c r="O437" s="2"/>
      <c r="S437"/>
      <c r="T437"/>
      <c r="U437"/>
      <c r="V437"/>
      <c r="X437"/>
    </row>
    <row r="438" spans="10:24" s="1" customFormat="1" x14ac:dyDescent="0.2">
      <c r="J438"/>
      <c r="K438"/>
      <c r="L438"/>
      <c r="M438"/>
      <c r="N438"/>
      <c r="O438" s="2"/>
      <c r="S438"/>
      <c r="T438"/>
      <c r="U438"/>
      <c r="V438"/>
      <c r="X438"/>
    </row>
    <row r="439" spans="10:24" s="1" customFormat="1" x14ac:dyDescent="0.2">
      <c r="J439"/>
      <c r="K439"/>
      <c r="L439"/>
      <c r="M439"/>
      <c r="N439"/>
      <c r="O439" s="2"/>
      <c r="S439"/>
      <c r="T439"/>
      <c r="U439"/>
      <c r="V439"/>
      <c r="X439"/>
    </row>
    <row r="440" spans="10:24" s="1" customFormat="1" x14ac:dyDescent="0.2">
      <c r="J440"/>
      <c r="K440"/>
      <c r="L440"/>
      <c r="M440"/>
      <c r="N440"/>
      <c r="O440" s="2"/>
      <c r="S440"/>
      <c r="T440"/>
      <c r="U440"/>
      <c r="V440"/>
      <c r="X440"/>
    </row>
    <row r="441" spans="10:24" s="1" customFormat="1" x14ac:dyDescent="0.2">
      <c r="J441"/>
      <c r="K441"/>
      <c r="L441"/>
      <c r="M441"/>
      <c r="N441"/>
      <c r="O441" s="2"/>
      <c r="S441"/>
      <c r="T441"/>
      <c r="U441"/>
      <c r="V441"/>
      <c r="X441"/>
    </row>
    <row r="442" spans="10:24" s="1" customFormat="1" x14ac:dyDescent="0.2">
      <c r="J442"/>
      <c r="K442"/>
      <c r="L442"/>
      <c r="M442"/>
      <c r="N442"/>
      <c r="O442" s="2"/>
      <c r="S442"/>
      <c r="T442"/>
      <c r="U442"/>
      <c r="V442"/>
      <c r="X442"/>
    </row>
    <row r="443" spans="10:24" s="1" customFormat="1" x14ac:dyDescent="0.2">
      <c r="J443"/>
      <c r="K443"/>
      <c r="L443"/>
      <c r="M443"/>
      <c r="N443"/>
      <c r="O443" s="2"/>
      <c r="S443"/>
      <c r="T443"/>
      <c r="U443"/>
      <c r="V443"/>
      <c r="X443"/>
    </row>
    <row r="444" spans="10:24" s="1" customFormat="1" x14ac:dyDescent="0.2">
      <c r="J444"/>
      <c r="K444"/>
      <c r="L444"/>
      <c r="M444"/>
      <c r="N444"/>
      <c r="O444" s="2"/>
      <c r="S444"/>
      <c r="T444"/>
      <c r="U444"/>
      <c r="V444"/>
      <c r="X444"/>
    </row>
    <row r="445" spans="10:24" s="1" customFormat="1" x14ac:dyDescent="0.2">
      <c r="J445"/>
      <c r="K445"/>
      <c r="L445"/>
      <c r="M445"/>
      <c r="N445"/>
      <c r="O445" s="2"/>
      <c r="S445"/>
      <c r="T445"/>
      <c r="U445"/>
      <c r="V445"/>
      <c r="X445"/>
    </row>
    <row r="446" spans="10:24" s="1" customFormat="1" x14ac:dyDescent="0.2">
      <c r="J446"/>
      <c r="K446"/>
      <c r="L446"/>
      <c r="M446"/>
      <c r="N446"/>
      <c r="O446" s="2"/>
      <c r="S446"/>
      <c r="T446"/>
      <c r="U446"/>
      <c r="V446"/>
      <c r="X446"/>
    </row>
    <row r="447" spans="10:24" s="1" customFormat="1" x14ac:dyDescent="0.2">
      <c r="J447"/>
      <c r="K447"/>
      <c r="L447"/>
      <c r="M447"/>
      <c r="N447"/>
      <c r="O447" s="2"/>
      <c r="S447"/>
      <c r="T447"/>
      <c r="U447"/>
      <c r="V447"/>
      <c r="X447"/>
    </row>
    <row r="448" spans="10:24" s="1" customFormat="1" x14ac:dyDescent="0.2">
      <c r="J448"/>
      <c r="K448"/>
      <c r="L448"/>
      <c r="M448"/>
      <c r="N448"/>
      <c r="O448" s="2"/>
      <c r="S448"/>
      <c r="T448"/>
      <c r="U448"/>
      <c r="V448"/>
      <c r="X448"/>
    </row>
    <row r="449" spans="10:24" s="1" customFormat="1" x14ac:dyDescent="0.2">
      <c r="J449"/>
      <c r="K449"/>
      <c r="L449"/>
      <c r="M449"/>
      <c r="N449"/>
      <c r="O449" s="2"/>
      <c r="S449"/>
      <c r="T449"/>
      <c r="U449"/>
      <c r="V449"/>
      <c r="X449"/>
    </row>
    <row r="450" spans="10:24" s="1" customFormat="1" x14ac:dyDescent="0.2">
      <c r="J450"/>
      <c r="K450"/>
      <c r="L450"/>
      <c r="M450"/>
      <c r="N450"/>
      <c r="O450" s="2"/>
      <c r="S450"/>
      <c r="T450"/>
      <c r="U450"/>
      <c r="V450"/>
      <c r="X450"/>
    </row>
    <row r="451" spans="10:24" s="1" customFormat="1" x14ac:dyDescent="0.2">
      <c r="J451"/>
      <c r="K451"/>
      <c r="L451"/>
      <c r="M451"/>
      <c r="N451"/>
      <c r="O451" s="2"/>
      <c r="S451"/>
      <c r="T451"/>
      <c r="U451"/>
      <c r="V451"/>
      <c r="X451"/>
    </row>
    <row r="452" spans="10:24" s="1" customFormat="1" x14ac:dyDescent="0.2">
      <c r="J452"/>
      <c r="K452"/>
      <c r="L452"/>
      <c r="M452"/>
      <c r="N452"/>
      <c r="O452" s="2"/>
      <c r="S452"/>
      <c r="T452"/>
      <c r="U452"/>
      <c r="V452"/>
      <c r="X452"/>
    </row>
    <row r="453" spans="10:24" s="1" customFormat="1" x14ac:dyDescent="0.2">
      <c r="J453"/>
      <c r="K453"/>
      <c r="L453"/>
      <c r="M453"/>
      <c r="N453"/>
      <c r="O453" s="2"/>
      <c r="S453"/>
      <c r="T453"/>
      <c r="U453"/>
      <c r="V453"/>
      <c r="X453"/>
    </row>
    <row r="454" spans="10:24" s="1" customFormat="1" x14ac:dyDescent="0.2">
      <c r="J454"/>
      <c r="K454"/>
      <c r="L454"/>
      <c r="M454"/>
      <c r="N454"/>
      <c r="O454" s="2"/>
      <c r="S454"/>
      <c r="T454"/>
      <c r="U454"/>
      <c r="V454"/>
      <c r="X454"/>
    </row>
    <row r="455" spans="10:24" s="1" customFormat="1" x14ac:dyDescent="0.2">
      <c r="J455"/>
      <c r="K455"/>
      <c r="L455"/>
      <c r="M455"/>
      <c r="N455"/>
      <c r="O455" s="2"/>
      <c r="S455"/>
      <c r="T455"/>
      <c r="U455"/>
      <c r="V455"/>
      <c r="X455"/>
    </row>
    <row r="456" spans="10:24" s="1" customFormat="1" x14ac:dyDescent="0.2">
      <c r="J456"/>
      <c r="K456"/>
      <c r="L456"/>
      <c r="M456"/>
      <c r="N456"/>
      <c r="O456" s="2"/>
      <c r="S456"/>
      <c r="T456"/>
      <c r="U456"/>
      <c r="V456"/>
      <c r="X456"/>
    </row>
    <row r="457" spans="10:24" s="1" customFormat="1" x14ac:dyDescent="0.2">
      <c r="J457"/>
      <c r="K457"/>
      <c r="L457"/>
      <c r="M457"/>
      <c r="N457"/>
      <c r="O457" s="2"/>
      <c r="S457"/>
      <c r="T457"/>
      <c r="U457"/>
      <c r="V457"/>
      <c r="X457"/>
    </row>
    <row r="458" spans="10:24" s="1" customFormat="1" x14ac:dyDescent="0.2">
      <c r="J458"/>
      <c r="K458"/>
      <c r="L458"/>
      <c r="M458"/>
      <c r="N458"/>
      <c r="O458" s="2"/>
      <c r="S458"/>
      <c r="T458"/>
      <c r="U458"/>
      <c r="V458"/>
      <c r="X458"/>
    </row>
    <row r="459" spans="10:24" s="1" customFormat="1" x14ac:dyDescent="0.2">
      <c r="J459"/>
      <c r="K459"/>
      <c r="L459"/>
      <c r="M459"/>
      <c r="N459"/>
      <c r="O459" s="2"/>
      <c r="S459"/>
      <c r="T459"/>
      <c r="U459"/>
      <c r="V459"/>
      <c r="X459"/>
    </row>
    <row r="460" spans="10:24" s="1" customFormat="1" x14ac:dyDescent="0.2">
      <c r="J460"/>
      <c r="K460"/>
      <c r="L460"/>
      <c r="M460"/>
      <c r="N460"/>
      <c r="O460" s="2"/>
      <c r="S460"/>
      <c r="T460"/>
      <c r="U460"/>
      <c r="V460"/>
      <c r="X460"/>
    </row>
    <row r="461" spans="10:24" s="1" customFormat="1" x14ac:dyDescent="0.2">
      <c r="J461"/>
      <c r="K461"/>
      <c r="L461"/>
      <c r="M461"/>
      <c r="N461"/>
      <c r="O461" s="2"/>
      <c r="S461"/>
      <c r="T461"/>
      <c r="U461"/>
      <c r="V461"/>
      <c r="X461"/>
    </row>
    <row r="462" spans="10:24" s="1" customFormat="1" x14ac:dyDescent="0.2">
      <c r="J462"/>
      <c r="K462"/>
      <c r="L462"/>
      <c r="M462"/>
      <c r="N462"/>
      <c r="O462" s="2"/>
      <c r="S462"/>
      <c r="T462"/>
      <c r="U462"/>
      <c r="V462"/>
      <c r="X462"/>
    </row>
    <row r="463" spans="10:24" s="1" customFormat="1" x14ac:dyDescent="0.2">
      <c r="J463"/>
      <c r="K463"/>
      <c r="L463"/>
      <c r="M463"/>
      <c r="N463"/>
      <c r="O463" s="2"/>
      <c r="S463"/>
      <c r="T463"/>
      <c r="U463"/>
      <c r="V463"/>
      <c r="X463"/>
    </row>
    <row r="464" spans="10:24" s="1" customFormat="1" x14ac:dyDescent="0.2">
      <c r="J464"/>
      <c r="K464"/>
      <c r="L464"/>
      <c r="M464"/>
      <c r="N464"/>
      <c r="O464" s="2"/>
      <c r="S464"/>
      <c r="T464"/>
      <c r="U464"/>
      <c r="V464"/>
      <c r="X464"/>
    </row>
    <row r="465" spans="10:24" s="1" customFormat="1" x14ac:dyDescent="0.2">
      <c r="J465"/>
      <c r="K465"/>
      <c r="L465"/>
      <c r="M465"/>
      <c r="N465"/>
      <c r="O465" s="2"/>
      <c r="S465"/>
      <c r="T465"/>
      <c r="U465"/>
      <c r="V465"/>
      <c r="X465"/>
    </row>
    <row r="466" spans="10:24" s="1" customFormat="1" x14ac:dyDescent="0.2">
      <c r="J466"/>
      <c r="K466"/>
      <c r="L466"/>
      <c r="M466"/>
      <c r="N466"/>
      <c r="O466" s="2"/>
      <c r="S466"/>
      <c r="T466"/>
      <c r="U466"/>
      <c r="V466"/>
      <c r="X466"/>
    </row>
    <row r="467" spans="10:24" s="1" customFormat="1" x14ac:dyDescent="0.2">
      <c r="J467"/>
      <c r="K467"/>
      <c r="L467"/>
      <c r="M467"/>
      <c r="N467"/>
      <c r="O467" s="2"/>
      <c r="S467"/>
      <c r="T467"/>
      <c r="U467"/>
      <c r="V467"/>
      <c r="X467"/>
    </row>
    <row r="468" spans="10:24" s="1" customFormat="1" x14ac:dyDescent="0.2">
      <c r="J468"/>
      <c r="K468"/>
      <c r="L468"/>
      <c r="M468"/>
      <c r="N468"/>
      <c r="O468" s="2"/>
      <c r="S468"/>
      <c r="T468"/>
      <c r="U468"/>
      <c r="V468"/>
      <c r="X468"/>
    </row>
    <row r="469" spans="10:24" s="1" customFormat="1" x14ac:dyDescent="0.2">
      <c r="J469"/>
      <c r="K469"/>
      <c r="L469"/>
      <c r="M469"/>
      <c r="N469"/>
      <c r="O469" s="2"/>
      <c r="S469"/>
      <c r="T469"/>
      <c r="U469"/>
      <c r="V469"/>
      <c r="X469"/>
    </row>
    <row r="470" spans="10:24" s="1" customFormat="1" x14ac:dyDescent="0.2">
      <c r="J470"/>
      <c r="K470"/>
      <c r="L470"/>
      <c r="M470"/>
      <c r="N470"/>
      <c r="O470" s="2"/>
      <c r="S470"/>
      <c r="T470"/>
      <c r="U470"/>
      <c r="V470"/>
      <c r="X470"/>
    </row>
    <row r="471" spans="10:24" s="1" customFormat="1" x14ac:dyDescent="0.2">
      <c r="J471"/>
      <c r="K471"/>
      <c r="L471"/>
      <c r="M471"/>
      <c r="N471"/>
      <c r="O471" s="2"/>
      <c r="S471"/>
      <c r="T471"/>
      <c r="U471"/>
      <c r="V471"/>
      <c r="X471"/>
    </row>
    <row r="472" spans="10:24" s="1" customFormat="1" x14ac:dyDescent="0.2">
      <c r="J472"/>
      <c r="K472"/>
      <c r="L472"/>
      <c r="M472"/>
      <c r="N472"/>
      <c r="O472" s="2"/>
      <c r="S472"/>
      <c r="T472"/>
      <c r="U472"/>
      <c r="V472"/>
      <c r="X472"/>
    </row>
    <row r="473" spans="10:24" s="1" customFormat="1" x14ac:dyDescent="0.2">
      <c r="J473"/>
      <c r="K473"/>
      <c r="L473"/>
      <c r="M473"/>
      <c r="N473"/>
      <c r="O473" s="2"/>
      <c r="S473"/>
      <c r="T473"/>
      <c r="U473"/>
      <c r="V473"/>
      <c r="X473"/>
    </row>
    <row r="474" spans="10:24" s="1" customFormat="1" x14ac:dyDescent="0.2">
      <c r="J474"/>
      <c r="K474"/>
      <c r="L474"/>
      <c r="M474"/>
      <c r="N474"/>
      <c r="O474" s="2"/>
      <c r="S474"/>
      <c r="T474"/>
      <c r="U474"/>
      <c r="V474"/>
      <c r="X474"/>
    </row>
    <row r="475" spans="10:24" s="1" customFormat="1" x14ac:dyDescent="0.2">
      <c r="J475"/>
      <c r="K475"/>
      <c r="L475"/>
      <c r="M475"/>
      <c r="N475"/>
      <c r="O475" s="2"/>
      <c r="S475"/>
      <c r="T475"/>
      <c r="U475"/>
      <c r="V475"/>
      <c r="X475"/>
    </row>
    <row r="476" spans="10:24" s="1" customFormat="1" x14ac:dyDescent="0.2">
      <c r="J476"/>
      <c r="K476"/>
      <c r="L476"/>
      <c r="M476"/>
      <c r="N476"/>
      <c r="O476" s="2"/>
      <c r="S476"/>
      <c r="T476"/>
      <c r="U476"/>
      <c r="V476"/>
      <c r="X476"/>
    </row>
    <row r="477" spans="10:24" s="1" customFormat="1" x14ac:dyDescent="0.2">
      <c r="J477"/>
      <c r="K477"/>
      <c r="L477"/>
      <c r="M477"/>
      <c r="N477"/>
      <c r="O477" s="2"/>
      <c r="S477"/>
      <c r="T477"/>
      <c r="U477"/>
      <c r="V477"/>
      <c r="X477"/>
    </row>
    <row r="478" spans="10:24" s="1" customFormat="1" x14ac:dyDescent="0.2">
      <c r="J478"/>
      <c r="K478"/>
      <c r="L478"/>
      <c r="M478"/>
      <c r="N478"/>
      <c r="O478" s="2"/>
      <c r="S478"/>
      <c r="T478"/>
      <c r="U478"/>
      <c r="V478"/>
      <c r="X478"/>
    </row>
    <row r="479" spans="10:24" s="1" customFormat="1" x14ac:dyDescent="0.2">
      <c r="J479"/>
      <c r="K479"/>
      <c r="L479"/>
      <c r="M479"/>
      <c r="N479"/>
      <c r="O479" s="2"/>
      <c r="S479"/>
      <c r="T479"/>
      <c r="U479"/>
      <c r="V479"/>
      <c r="X479"/>
    </row>
    <row r="480" spans="10:24" s="1" customFormat="1" x14ac:dyDescent="0.2">
      <c r="J480"/>
      <c r="K480"/>
      <c r="L480"/>
      <c r="M480"/>
      <c r="N480"/>
      <c r="O480" s="2"/>
      <c r="S480"/>
      <c r="T480"/>
      <c r="U480"/>
      <c r="V480"/>
      <c r="X480"/>
    </row>
    <row r="481" spans="10:24" s="1" customFormat="1" x14ac:dyDescent="0.2">
      <c r="J481"/>
      <c r="K481"/>
      <c r="L481"/>
      <c r="M481"/>
      <c r="N481"/>
      <c r="O481" s="2"/>
      <c r="S481"/>
      <c r="T481"/>
      <c r="U481"/>
      <c r="V481"/>
      <c r="X481"/>
    </row>
    <row r="482" spans="10:24" s="1" customFormat="1" x14ac:dyDescent="0.2">
      <c r="J482"/>
      <c r="K482"/>
      <c r="L482"/>
      <c r="M482"/>
      <c r="N482"/>
      <c r="O482" s="2"/>
      <c r="S482"/>
      <c r="T482"/>
      <c r="U482"/>
      <c r="V482"/>
      <c r="X482"/>
    </row>
    <row r="483" spans="10:24" s="1" customFormat="1" x14ac:dyDescent="0.2">
      <c r="J483"/>
      <c r="K483"/>
      <c r="L483"/>
      <c r="M483"/>
      <c r="N483"/>
      <c r="O483" s="2"/>
      <c r="S483"/>
      <c r="T483"/>
      <c r="U483"/>
      <c r="V483"/>
      <c r="X483"/>
    </row>
    <row r="484" spans="10:24" s="1" customFormat="1" x14ac:dyDescent="0.2">
      <c r="J484"/>
      <c r="K484"/>
      <c r="L484"/>
      <c r="M484"/>
      <c r="N484"/>
      <c r="O484" s="2"/>
      <c r="S484"/>
      <c r="T484"/>
      <c r="U484"/>
      <c r="V484"/>
      <c r="X484"/>
    </row>
    <row r="485" spans="10:24" s="1" customFormat="1" x14ac:dyDescent="0.2">
      <c r="J485"/>
      <c r="K485"/>
      <c r="L485"/>
      <c r="M485"/>
      <c r="N485"/>
      <c r="O485" s="2"/>
      <c r="S485"/>
      <c r="T485"/>
      <c r="U485"/>
      <c r="V485"/>
      <c r="X485"/>
    </row>
    <row r="486" spans="10:24" s="1" customFormat="1" x14ac:dyDescent="0.2">
      <c r="J486"/>
      <c r="K486"/>
      <c r="L486"/>
      <c r="M486"/>
      <c r="N486"/>
      <c r="O486" s="2"/>
      <c r="S486"/>
      <c r="T486"/>
      <c r="U486"/>
      <c r="V486"/>
      <c r="X486"/>
    </row>
    <row r="487" spans="10:24" s="1" customFormat="1" x14ac:dyDescent="0.2">
      <c r="J487"/>
      <c r="K487"/>
      <c r="L487"/>
      <c r="M487"/>
      <c r="N487"/>
      <c r="O487" s="2"/>
      <c r="S487"/>
      <c r="T487"/>
      <c r="U487"/>
      <c r="V487"/>
      <c r="X487"/>
    </row>
    <row r="488" spans="10:24" s="1" customFormat="1" x14ac:dyDescent="0.2">
      <c r="J488"/>
      <c r="K488"/>
      <c r="L488"/>
      <c r="M488"/>
      <c r="N488"/>
      <c r="O488" s="2"/>
      <c r="S488"/>
      <c r="T488"/>
      <c r="U488"/>
      <c r="V488"/>
      <c r="X488"/>
    </row>
    <row r="489" spans="10:24" s="1" customFormat="1" x14ac:dyDescent="0.2">
      <c r="J489"/>
      <c r="K489"/>
      <c r="L489"/>
      <c r="M489"/>
      <c r="N489"/>
      <c r="O489" s="2"/>
      <c r="S489"/>
      <c r="T489"/>
      <c r="U489"/>
      <c r="V489"/>
      <c r="X489"/>
    </row>
    <row r="490" spans="10:24" s="1" customFormat="1" x14ac:dyDescent="0.2">
      <c r="J490"/>
      <c r="K490"/>
      <c r="L490"/>
      <c r="M490"/>
      <c r="N490"/>
      <c r="O490" s="2"/>
      <c r="S490"/>
      <c r="T490"/>
      <c r="U490"/>
      <c r="V490"/>
      <c r="X490"/>
    </row>
    <row r="491" spans="10:24" s="1" customFormat="1" x14ac:dyDescent="0.2">
      <c r="J491"/>
      <c r="K491"/>
      <c r="L491"/>
      <c r="M491"/>
      <c r="N491"/>
      <c r="O491" s="2"/>
      <c r="S491"/>
      <c r="T491"/>
      <c r="U491"/>
      <c r="V491"/>
      <c r="X491"/>
    </row>
    <row r="492" spans="10:24" s="1" customFormat="1" x14ac:dyDescent="0.2">
      <c r="J492"/>
      <c r="K492"/>
      <c r="L492"/>
      <c r="M492"/>
      <c r="N492"/>
      <c r="O492" s="2"/>
      <c r="S492"/>
      <c r="T492"/>
      <c r="U492"/>
      <c r="V492"/>
      <c r="X492"/>
    </row>
    <row r="493" spans="10:24" s="1" customFormat="1" x14ac:dyDescent="0.2">
      <c r="J493"/>
      <c r="K493"/>
      <c r="L493"/>
      <c r="M493"/>
      <c r="N493"/>
      <c r="O493" s="2"/>
      <c r="S493"/>
      <c r="T493"/>
      <c r="U493"/>
      <c r="V493"/>
      <c r="X493"/>
    </row>
    <row r="494" spans="10:24" s="1" customFormat="1" x14ac:dyDescent="0.2">
      <c r="J494"/>
      <c r="K494"/>
      <c r="L494"/>
      <c r="M494"/>
      <c r="N494"/>
      <c r="O494" s="2"/>
      <c r="S494"/>
      <c r="T494"/>
      <c r="U494"/>
      <c r="V494"/>
      <c r="X494"/>
    </row>
    <row r="495" spans="10:24" s="1" customFormat="1" x14ac:dyDescent="0.2">
      <c r="J495"/>
      <c r="K495"/>
      <c r="L495"/>
      <c r="M495"/>
      <c r="N495"/>
      <c r="O495" s="2"/>
      <c r="S495"/>
      <c r="T495"/>
      <c r="U495"/>
      <c r="V495"/>
      <c r="X495"/>
    </row>
    <row r="496" spans="10:24" s="1" customFormat="1" x14ac:dyDescent="0.2">
      <c r="J496"/>
      <c r="K496"/>
      <c r="L496"/>
      <c r="M496"/>
      <c r="N496"/>
      <c r="O496" s="2"/>
      <c r="S496"/>
      <c r="T496"/>
      <c r="U496"/>
      <c r="V496"/>
      <c r="X496"/>
    </row>
    <row r="497" spans="10:24" s="1" customFormat="1" x14ac:dyDescent="0.2">
      <c r="J497"/>
      <c r="K497"/>
      <c r="L497"/>
      <c r="M497"/>
      <c r="N497"/>
      <c r="O497" s="2"/>
      <c r="S497"/>
      <c r="T497"/>
      <c r="U497"/>
      <c r="V497"/>
      <c r="X497"/>
    </row>
    <row r="498" spans="10:24" s="1" customFormat="1" x14ac:dyDescent="0.2">
      <c r="J498"/>
      <c r="K498"/>
      <c r="L498"/>
      <c r="M498"/>
      <c r="N498"/>
      <c r="O498" s="2"/>
      <c r="S498"/>
      <c r="T498"/>
      <c r="U498"/>
      <c r="V498"/>
      <c r="X498"/>
    </row>
    <row r="499" spans="10:24" s="1" customFormat="1" x14ac:dyDescent="0.2">
      <c r="J499"/>
      <c r="K499"/>
      <c r="L499"/>
      <c r="M499"/>
      <c r="N499"/>
      <c r="O499" s="2"/>
      <c r="S499"/>
      <c r="T499"/>
      <c r="U499"/>
      <c r="V499"/>
      <c r="X499"/>
    </row>
    <row r="500" spans="10:24" s="1" customFormat="1" x14ac:dyDescent="0.2">
      <c r="J500"/>
      <c r="K500"/>
      <c r="L500"/>
      <c r="M500"/>
      <c r="N500"/>
      <c r="O500" s="2"/>
      <c r="S500"/>
      <c r="T500"/>
      <c r="U500"/>
      <c r="V500"/>
      <c r="X500"/>
    </row>
    <row r="501" spans="10:24" s="1" customFormat="1" x14ac:dyDescent="0.2">
      <c r="J501"/>
      <c r="K501"/>
      <c r="L501"/>
      <c r="M501"/>
      <c r="N501"/>
      <c r="O501" s="2"/>
      <c r="S501"/>
      <c r="T501"/>
      <c r="U501"/>
      <c r="V501"/>
      <c r="X501"/>
    </row>
    <row r="502" spans="10:24" s="1" customFormat="1" x14ac:dyDescent="0.2">
      <c r="J502"/>
      <c r="K502"/>
      <c r="L502"/>
      <c r="M502"/>
      <c r="N502"/>
      <c r="O502" s="2"/>
      <c r="S502"/>
      <c r="T502"/>
      <c r="U502"/>
      <c r="V502"/>
      <c r="X502"/>
    </row>
    <row r="503" spans="10:24" s="1" customFormat="1" x14ac:dyDescent="0.2">
      <c r="J503"/>
      <c r="K503"/>
      <c r="L503"/>
      <c r="M503"/>
      <c r="N503"/>
      <c r="O503" s="2"/>
      <c r="S503"/>
      <c r="T503"/>
      <c r="U503"/>
      <c r="V503"/>
      <c r="X503"/>
    </row>
    <row r="504" spans="10:24" s="1" customFormat="1" x14ac:dyDescent="0.2">
      <c r="J504"/>
      <c r="K504"/>
      <c r="L504"/>
      <c r="M504"/>
      <c r="N504"/>
      <c r="O504" s="2"/>
      <c r="S504"/>
      <c r="T504"/>
      <c r="U504"/>
      <c r="V504"/>
      <c r="X504"/>
    </row>
    <row r="505" spans="10:24" s="1" customFormat="1" x14ac:dyDescent="0.2">
      <c r="J505"/>
      <c r="K505"/>
      <c r="L505"/>
      <c r="M505"/>
      <c r="N505"/>
      <c r="O505" s="2"/>
      <c r="S505"/>
      <c r="T505"/>
      <c r="U505"/>
      <c r="V505"/>
      <c r="X505"/>
    </row>
    <row r="506" spans="10:24" s="1" customFormat="1" x14ac:dyDescent="0.2">
      <c r="J506"/>
      <c r="K506"/>
      <c r="L506"/>
      <c r="M506"/>
      <c r="N506"/>
      <c r="O506" s="2"/>
      <c r="S506"/>
      <c r="T506"/>
      <c r="U506"/>
      <c r="V506"/>
      <c r="X506"/>
    </row>
    <row r="507" spans="10:24" s="1" customFormat="1" x14ac:dyDescent="0.2">
      <c r="J507"/>
      <c r="K507"/>
      <c r="L507"/>
      <c r="M507"/>
      <c r="N507"/>
      <c r="O507" s="2"/>
      <c r="S507"/>
      <c r="T507"/>
      <c r="U507"/>
      <c r="V507"/>
      <c r="X507"/>
    </row>
    <row r="508" spans="10:24" s="1" customFormat="1" x14ac:dyDescent="0.2">
      <c r="J508"/>
      <c r="K508"/>
      <c r="L508"/>
      <c r="M508"/>
      <c r="N508"/>
      <c r="O508" s="2"/>
      <c r="S508"/>
      <c r="T508"/>
      <c r="U508"/>
      <c r="V508"/>
      <c r="X508"/>
    </row>
    <row r="509" spans="10:24" s="1" customFormat="1" x14ac:dyDescent="0.2">
      <c r="J509"/>
      <c r="K509"/>
      <c r="L509"/>
      <c r="M509"/>
      <c r="N509"/>
      <c r="O509" s="2"/>
      <c r="S509"/>
      <c r="T509"/>
      <c r="U509"/>
      <c r="V509"/>
      <c r="X509"/>
    </row>
    <row r="510" spans="10:24" s="1" customFormat="1" x14ac:dyDescent="0.2">
      <c r="J510"/>
      <c r="K510"/>
      <c r="L510"/>
      <c r="M510"/>
      <c r="N510"/>
      <c r="O510" s="2"/>
      <c r="S510"/>
      <c r="T510"/>
      <c r="U510"/>
      <c r="V510"/>
      <c r="X510"/>
    </row>
    <row r="511" spans="10:24" s="1" customFormat="1" x14ac:dyDescent="0.2">
      <c r="J511"/>
      <c r="K511"/>
      <c r="L511"/>
      <c r="M511"/>
      <c r="N511"/>
      <c r="O511" s="2"/>
      <c r="S511"/>
      <c r="T511"/>
      <c r="U511"/>
      <c r="V511"/>
      <c r="X511"/>
    </row>
    <row r="512" spans="10:24" s="1" customFormat="1" x14ac:dyDescent="0.2">
      <c r="J512"/>
      <c r="K512"/>
      <c r="L512"/>
      <c r="M512"/>
      <c r="N512"/>
      <c r="O512" s="2"/>
      <c r="S512"/>
      <c r="T512"/>
      <c r="U512"/>
      <c r="V512"/>
      <c r="X512"/>
    </row>
    <row r="513" spans="10:24" s="1" customFormat="1" x14ac:dyDescent="0.2">
      <c r="J513"/>
      <c r="K513"/>
      <c r="L513"/>
      <c r="M513"/>
      <c r="N513"/>
      <c r="O513" s="2"/>
      <c r="S513"/>
      <c r="T513"/>
      <c r="U513"/>
      <c r="V513"/>
      <c r="X513"/>
    </row>
    <row r="514" spans="10:24" s="1" customFormat="1" x14ac:dyDescent="0.2">
      <c r="J514"/>
      <c r="K514"/>
      <c r="L514"/>
      <c r="M514"/>
      <c r="N514"/>
      <c r="O514" s="2"/>
      <c r="S514"/>
      <c r="T514"/>
      <c r="U514"/>
      <c r="V514"/>
      <c r="X514"/>
    </row>
    <row r="515" spans="10:24" s="1" customFormat="1" x14ac:dyDescent="0.2">
      <c r="J515"/>
      <c r="K515"/>
      <c r="L515"/>
      <c r="M515"/>
      <c r="N515"/>
      <c r="O515" s="2"/>
      <c r="S515"/>
      <c r="T515"/>
      <c r="U515"/>
      <c r="V515"/>
      <c r="X515"/>
    </row>
    <row r="516" spans="10:24" s="1" customFormat="1" x14ac:dyDescent="0.2">
      <c r="J516"/>
      <c r="K516"/>
      <c r="L516"/>
      <c r="M516"/>
      <c r="N516"/>
      <c r="O516" s="2"/>
      <c r="S516"/>
      <c r="T516"/>
      <c r="U516"/>
      <c r="V516"/>
      <c r="X516"/>
    </row>
    <row r="517" spans="10:24" s="1" customFormat="1" x14ac:dyDescent="0.2">
      <c r="J517"/>
      <c r="K517"/>
      <c r="L517"/>
      <c r="M517"/>
      <c r="N517"/>
      <c r="O517" s="2"/>
      <c r="S517"/>
      <c r="T517"/>
      <c r="U517"/>
      <c r="V517"/>
      <c r="X517"/>
    </row>
    <row r="518" spans="10:24" s="1" customFormat="1" x14ac:dyDescent="0.2">
      <c r="J518"/>
      <c r="K518"/>
      <c r="L518"/>
      <c r="M518"/>
      <c r="N518"/>
      <c r="O518" s="2"/>
      <c r="S518"/>
      <c r="T518"/>
      <c r="U518"/>
      <c r="V518"/>
      <c r="X518"/>
    </row>
    <row r="519" spans="10:24" s="1" customFormat="1" x14ac:dyDescent="0.2">
      <c r="J519"/>
      <c r="K519"/>
      <c r="L519"/>
      <c r="M519"/>
      <c r="N519"/>
      <c r="O519" s="2"/>
      <c r="S519"/>
      <c r="T519"/>
      <c r="U519"/>
      <c r="V519"/>
      <c r="X519"/>
    </row>
    <row r="520" spans="10:24" s="1" customFormat="1" x14ac:dyDescent="0.2">
      <c r="J520"/>
      <c r="K520"/>
      <c r="L520"/>
      <c r="M520"/>
      <c r="N520"/>
      <c r="O520" s="2"/>
      <c r="S520"/>
      <c r="T520"/>
      <c r="U520"/>
      <c r="V520"/>
      <c r="X520"/>
    </row>
    <row r="521" spans="10:24" s="1" customFormat="1" x14ac:dyDescent="0.2">
      <c r="J521"/>
      <c r="K521"/>
      <c r="L521"/>
      <c r="M521"/>
      <c r="N521"/>
      <c r="O521" s="2"/>
      <c r="S521"/>
      <c r="T521"/>
      <c r="U521"/>
      <c r="V521"/>
      <c r="X521"/>
    </row>
    <row r="522" spans="10:24" s="1" customFormat="1" x14ac:dyDescent="0.2">
      <c r="J522"/>
      <c r="K522"/>
      <c r="L522"/>
      <c r="M522"/>
      <c r="N522"/>
      <c r="O522" s="2"/>
      <c r="S522"/>
      <c r="T522"/>
      <c r="U522"/>
      <c r="V522"/>
      <c r="X522"/>
    </row>
    <row r="523" spans="10:24" s="1" customFormat="1" x14ac:dyDescent="0.2">
      <c r="J523"/>
      <c r="K523"/>
      <c r="L523"/>
      <c r="M523"/>
      <c r="N523"/>
      <c r="O523" s="2"/>
      <c r="S523"/>
      <c r="T523"/>
      <c r="U523"/>
      <c r="V523"/>
      <c r="X523"/>
    </row>
    <row r="524" spans="10:24" s="1" customFormat="1" x14ac:dyDescent="0.2">
      <c r="J524"/>
      <c r="K524"/>
      <c r="L524"/>
      <c r="M524"/>
      <c r="N524"/>
      <c r="O524" s="2"/>
      <c r="S524"/>
      <c r="T524"/>
      <c r="U524"/>
      <c r="V524"/>
      <c r="X524"/>
    </row>
    <row r="525" spans="10:24" s="1" customFormat="1" x14ac:dyDescent="0.2">
      <c r="J525"/>
      <c r="K525"/>
      <c r="L525"/>
      <c r="M525"/>
      <c r="N525"/>
      <c r="O525" s="2"/>
      <c r="S525"/>
      <c r="T525"/>
      <c r="U525"/>
      <c r="V525"/>
      <c r="X525"/>
    </row>
    <row r="526" spans="10:24" s="1" customFormat="1" x14ac:dyDescent="0.2">
      <c r="J526"/>
      <c r="K526"/>
      <c r="L526"/>
      <c r="M526"/>
      <c r="N526"/>
      <c r="O526" s="2"/>
      <c r="S526"/>
      <c r="T526"/>
      <c r="U526"/>
      <c r="V526"/>
      <c r="X526"/>
    </row>
    <row r="527" spans="10:24" s="1" customFormat="1" x14ac:dyDescent="0.2">
      <c r="J527"/>
      <c r="K527"/>
      <c r="L527"/>
      <c r="M527"/>
      <c r="N527"/>
      <c r="O527" s="2"/>
      <c r="S527"/>
      <c r="T527"/>
      <c r="U527"/>
      <c r="V527"/>
      <c r="X527"/>
    </row>
    <row r="528" spans="10:24" s="1" customFormat="1" x14ac:dyDescent="0.2">
      <c r="J528"/>
      <c r="K528"/>
      <c r="L528"/>
      <c r="M528"/>
      <c r="N528"/>
      <c r="O528" s="2"/>
      <c r="S528"/>
      <c r="T528"/>
      <c r="U528"/>
      <c r="V528"/>
      <c r="X528"/>
    </row>
    <row r="529" spans="10:24" s="1" customFormat="1" x14ac:dyDescent="0.2">
      <c r="J529"/>
      <c r="K529"/>
      <c r="L529"/>
      <c r="M529"/>
      <c r="N529"/>
      <c r="O529" s="2"/>
      <c r="S529"/>
      <c r="T529"/>
      <c r="U529"/>
      <c r="V529"/>
      <c r="X529"/>
    </row>
    <row r="530" spans="10:24" s="1" customFormat="1" x14ac:dyDescent="0.2">
      <c r="J530"/>
      <c r="K530"/>
      <c r="L530"/>
      <c r="M530"/>
      <c r="N530"/>
      <c r="O530" s="2"/>
      <c r="S530"/>
      <c r="T530"/>
      <c r="U530"/>
      <c r="V530"/>
      <c r="X530"/>
    </row>
    <row r="531" spans="10:24" s="1" customFormat="1" x14ac:dyDescent="0.2">
      <c r="J531"/>
      <c r="K531"/>
      <c r="L531"/>
      <c r="M531"/>
      <c r="N531"/>
      <c r="O531" s="2"/>
      <c r="S531"/>
      <c r="T531"/>
      <c r="U531"/>
      <c r="V531"/>
      <c r="X531"/>
    </row>
    <row r="532" spans="10:24" s="1" customFormat="1" x14ac:dyDescent="0.2">
      <c r="J532"/>
      <c r="K532"/>
      <c r="L532"/>
      <c r="M532"/>
      <c r="N532"/>
      <c r="O532" s="2"/>
      <c r="S532"/>
      <c r="T532"/>
      <c r="U532"/>
      <c r="V532"/>
      <c r="X532"/>
    </row>
    <row r="533" spans="10:24" s="1" customFormat="1" x14ac:dyDescent="0.2">
      <c r="J533"/>
      <c r="K533"/>
      <c r="L533"/>
      <c r="M533"/>
      <c r="N533"/>
      <c r="O533" s="2"/>
      <c r="S533"/>
      <c r="T533"/>
      <c r="U533"/>
      <c r="V533"/>
      <c r="X533"/>
    </row>
    <row r="534" spans="10:24" s="1" customFormat="1" x14ac:dyDescent="0.2">
      <c r="J534"/>
      <c r="K534"/>
      <c r="L534"/>
      <c r="M534"/>
      <c r="N534"/>
      <c r="O534" s="2"/>
      <c r="S534"/>
      <c r="T534"/>
      <c r="U534"/>
      <c r="V534"/>
      <c r="X534"/>
    </row>
    <row r="535" spans="10:24" s="1" customFormat="1" x14ac:dyDescent="0.2">
      <c r="J535"/>
      <c r="K535"/>
      <c r="L535"/>
      <c r="M535"/>
      <c r="N535"/>
      <c r="O535" s="2"/>
      <c r="S535"/>
      <c r="T535"/>
      <c r="U535"/>
      <c r="V535"/>
      <c r="X535"/>
    </row>
    <row r="536" spans="10:24" s="1" customFormat="1" x14ac:dyDescent="0.2">
      <c r="J536"/>
      <c r="K536"/>
      <c r="L536"/>
      <c r="M536"/>
      <c r="N536"/>
      <c r="O536" s="2"/>
      <c r="S536"/>
      <c r="T536"/>
      <c r="U536"/>
      <c r="V536"/>
      <c r="X536"/>
    </row>
    <row r="537" spans="10:24" s="1" customFormat="1" x14ac:dyDescent="0.2">
      <c r="J537"/>
      <c r="K537"/>
      <c r="L537"/>
      <c r="M537"/>
      <c r="N537"/>
      <c r="O537" s="2"/>
      <c r="S537"/>
      <c r="T537"/>
      <c r="U537"/>
      <c r="V537"/>
      <c r="X537"/>
    </row>
    <row r="538" spans="10:24" s="1" customFormat="1" x14ac:dyDescent="0.2">
      <c r="J538"/>
      <c r="K538"/>
      <c r="L538"/>
      <c r="M538"/>
      <c r="N538"/>
      <c r="O538" s="2"/>
      <c r="S538"/>
      <c r="T538"/>
      <c r="U538"/>
      <c r="V538"/>
      <c r="X538"/>
    </row>
    <row r="539" spans="10:24" s="1" customFormat="1" x14ac:dyDescent="0.2">
      <c r="J539"/>
      <c r="K539"/>
      <c r="L539"/>
      <c r="M539"/>
      <c r="N539"/>
      <c r="O539" s="2"/>
      <c r="S539"/>
      <c r="T539"/>
      <c r="U539"/>
      <c r="V539"/>
      <c r="X539"/>
    </row>
    <row r="540" spans="10:24" s="1" customFormat="1" x14ac:dyDescent="0.2">
      <c r="J540"/>
      <c r="K540"/>
      <c r="L540"/>
      <c r="M540"/>
      <c r="N540"/>
      <c r="O540" s="2"/>
      <c r="S540"/>
      <c r="T540"/>
      <c r="U540"/>
      <c r="V540"/>
      <c r="X540"/>
    </row>
    <row r="541" spans="10:24" s="1" customFormat="1" x14ac:dyDescent="0.2">
      <c r="J541"/>
      <c r="K541"/>
      <c r="L541"/>
      <c r="M541"/>
      <c r="N541"/>
      <c r="O541" s="2"/>
      <c r="S541"/>
      <c r="T541"/>
      <c r="U541"/>
      <c r="V541"/>
      <c r="X541"/>
    </row>
    <row r="542" spans="10:24" s="1" customFormat="1" x14ac:dyDescent="0.2">
      <c r="J542"/>
      <c r="K542"/>
      <c r="L542"/>
      <c r="M542"/>
      <c r="N542"/>
      <c r="O542" s="2"/>
      <c r="S542"/>
      <c r="T542"/>
      <c r="U542"/>
      <c r="V542"/>
      <c r="X542"/>
    </row>
    <row r="543" spans="10:24" s="1" customFormat="1" x14ac:dyDescent="0.2">
      <c r="J543"/>
      <c r="K543"/>
      <c r="L543"/>
      <c r="M543"/>
      <c r="N543"/>
      <c r="O543" s="2"/>
      <c r="S543"/>
      <c r="T543"/>
      <c r="U543"/>
      <c r="V543"/>
      <c r="X543"/>
    </row>
    <row r="544" spans="10:24" s="1" customFormat="1" x14ac:dyDescent="0.2">
      <c r="J544"/>
      <c r="K544"/>
      <c r="L544"/>
      <c r="M544"/>
      <c r="N544"/>
      <c r="O544" s="2"/>
      <c r="S544"/>
      <c r="T544"/>
      <c r="U544"/>
      <c r="V544"/>
      <c r="X544"/>
    </row>
    <row r="545" spans="10:24" s="1" customFormat="1" x14ac:dyDescent="0.2">
      <c r="J545"/>
      <c r="K545"/>
      <c r="L545"/>
      <c r="M545"/>
      <c r="N545"/>
      <c r="O545" s="2"/>
      <c r="S545"/>
      <c r="T545"/>
      <c r="U545"/>
      <c r="V545"/>
      <c r="X545"/>
    </row>
    <row r="546" spans="10:24" s="1" customFormat="1" x14ac:dyDescent="0.2">
      <c r="J546"/>
      <c r="K546"/>
      <c r="L546"/>
      <c r="M546"/>
      <c r="N546"/>
      <c r="O546" s="2"/>
      <c r="S546"/>
      <c r="T546"/>
      <c r="U546"/>
      <c r="V546"/>
      <c r="X546"/>
    </row>
    <row r="547" spans="10:24" s="1" customFormat="1" x14ac:dyDescent="0.2">
      <c r="J547"/>
      <c r="K547"/>
      <c r="L547"/>
      <c r="M547"/>
      <c r="N547"/>
      <c r="O547" s="2"/>
      <c r="S547"/>
      <c r="T547"/>
      <c r="U547"/>
      <c r="V547"/>
      <c r="X547"/>
    </row>
    <row r="548" spans="10:24" s="1" customFormat="1" x14ac:dyDescent="0.2">
      <c r="J548"/>
      <c r="K548"/>
      <c r="L548"/>
      <c r="M548"/>
      <c r="N548"/>
      <c r="O548" s="2"/>
      <c r="S548"/>
      <c r="T548"/>
      <c r="U548"/>
      <c r="V548"/>
      <c r="X548"/>
    </row>
    <row r="549" spans="10:24" s="1" customFormat="1" x14ac:dyDescent="0.2">
      <c r="J549"/>
      <c r="K549"/>
      <c r="L549"/>
      <c r="M549"/>
      <c r="N549"/>
      <c r="O549" s="2"/>
      <c r="S549"/>
      <c r="T549"/>
      <c r="U549"/>
      <c r="V549"/>
      <c r="X549"/>
    </row>
    <row r="550" spans="10:24" s="1" customFormat="1" x14ac:dyDescent="0.2">
      <c r="J550"/>
      <c r="K550"/>
      <c r="L550"/>
      <c r="M550"/>
      <c r="N550"/>
      <c r="O550" s="2"/>
      <c r="S550"/>
      <c r="T550"/>
      <c r="U550"/>
      <c r="V550"/>
      <c r="X550"/>
    </row>
    <row r="551" spans="10:24" s="1" customFormat="1" x14ac:dyDescent="0.2">
      <c r="J551"/>
      <c r="K551"/>
      <c r="L551"/>
      <c r="M551"/>
      <c r="N551"/>
      <c r="O551" s="2"/>
      <c r="S551"/>
      <c r="T551"/>
      <c r="U551"/>
      <c r="V551"/>
      <c r="X551"/>
    </row>
    <row r="552" spans="10:24" s="1" customFormat="1" x14ac:dyDescent="0.2">
      <c r="J552"/>
      <c r="K552"/>
      <c r="L552"/>
      <c r="M552"/>
      <c r="N552"/>
      <c r="O552" s="2"/>
      <c r="S552"/>
      <c r="T552"/>
      <c r="U552"/>
      <c r="V552"/>
      <c r="X552"/>
    </row>
    <row r="553" spans="10:24" s="1" customFormat="1" x14ac:dyDescent="0.2">
      <c r="J553"/>
      <c r="K553"/>
      <c r="L553"/>
      <c r="M553"/>
      <c r="N553"/>
      <c r="O553" s="2"/>
      <c r="S553"/>
      <c r="T553"/>
      <c r="U553"/>
      <c r="V553"/>
      <c r="X553"/>
    </row>
    <row r="554" spans="10:24" s="1" customFormat="1" x14ac:dyDescent="0.2">
      <c r="J554"/>
      <c r="K554"/>
      <c r="L554"/>
      <c r="M554"/>
      <c r="N554"/>
      <c r="O554" s="2"/>
      <c r="S554"/>
      <c r="T554"/>
      <c r="U554"/>
      <c r="V554"/>
      <c r="X554"/>
    </row>
    <row r="555" spans="10:24" s="1" customFormat="1" x14ac:dyDescent="0.2">
      <c r="J555"/>
      <c r="K555"/>
      <c r="L555"/>
      <c r="M555"/>
      <c r="N555"/>
      <c r="O555" s="2"/>
      <c r="S555"/>
      <c r="T555"/>
      <c r="U555"/>
      <c r="V555"/>
      <c r="X555"/>
    </row>
    <row r="556" spans="10:24" s="1" customFormat="1" x14ac:dyDescent="0.2">
      <c r="J556"/>
      <c r="K556"/>
      <c r="L556"/>
      <c r="M556"/>
      <c r="N556"/>
      <c r="O556" s="2"/>
      <c r="S556"/>
      <c r="T556"/>
      <c r="U556"/>
      <c r="V556"/>
      <c r="X556"/>
    </row>
    <row r="557" spans="10:24" s="1" customFormat="1" x14ac:dyDescent="0.2">
      <c r="J557"/>
      <c r="K557"/>
      <c r="L557"/>
      <c r="M557"/>
      <c r="N557"/>
      <c r="O557" s="2"/>
      <c r="S557"/>
      <c r="T557"/>
      <c r="U557"/>
      <c r="V557"/>
      <c r="X557"/>
    </row>
    <row r="558" spans="10:24" s="1" customFormat="1" x14ac:dyDescent="0.2">
      <c r="J558"/>
      <c r="K558"/>
      <c r="L558"/>
      <c r="M558"/>
      <c r="N558"/>
      <c r="O558" s="2"/>
      <c r="S558"/>
      <c r="T558"/>
      <c r="U558"/>
      <c r="V558"/>
      <c r="X558"/>
    </row>
    <row r="559" spans="10:24" s="1" customFormat="1" x14ac:dyDescent="0.2">
      <c r="J559"/>
      <c r="K559"/>
      <c r="L559"/>
      <c r="M559"/>
      <c r="N559"/>
      <c r="O559" s="2"/>
      <c r="S559"/>
      <c r="T559"/>
      <c r="U559"/>
      <c r="V559"/>
      <c r="X559"/>
    </row>
    <row r="560" spans="10:24" s="1" customFormat="1" x14ac:dyDescent="0.2">
      <c r="J560"/>
      <c r="K560"/>
      <c r="L560"/>
      <c r="M560"/>
      <c r="N560"/>
      <c r="O560" s="2"/>
      <c r="S560"/>
      <c r="T560"/>
      <c r="U560"/>
      <c r="V560"/>
      <c r="X560"/>
    </row>
    <row r="561" spans="10:24" s="1" customFormat="1" x14ac:dyDescent="0.2">
      <c r="J561"/>
      <c r="K561"/>
      <c r="L561"/>
      <c r="M561"/>
      <c r="N561"/>
      <c r="O561" s="2"/>
      <c r="S561"/>
      <c r="T561"/>
      <c r="U561"/>
      <c r="V561"/>
      <c r="X561"/>
    </row>
    <row r="562" spans="10:24" s="1" customFormat="1" x14ac:dyDescent="0.2">
      <c r="J562"/>
      <c r="K562"/>
      <c r="L562"/>
      <c r="M562"/>
      <c r="N562"/>
      <c r="O562" s="2"/>
      <c r="S562"/>
      <c r="T562"/>
      <c r="U562"/>
      <c r="V562"/>
      <c r="X562"/>
    </row>
    <row r="563" spans="10:24" s="1" customFormat="1" x14ac:dyDescent="0.2">
      <c r="J563"/>
      <c r="K563"/>
      <c r="L563"/>
      <c r="M563"/>
      <c r="N563"/>
      <c r="O563" s="2"/>
      <c r="S563"/>
      <c r="T563"/>
      <c r="U563"/>
      <c r="V563"/>
      <c r="X563"/>
    </row>
    <row r="564" spans="10:24" s="1" customFormat="1" x14ac:dyDescent="0.2">
      <c r="J564"/>
      <c r="K564"/>
      <c r="L564"/>
      <c r="M564"/>
      <c r="N564"/>
      <c r="O564" s="2"/>
      <c r="S564"/>
      <c r="T564"/>
      <c r="U564"/>
      <c r="V564"/>
      <c r="X564"/>
    </row>
    <row r="565" spans="10:24" s="1" customFormat="1" x14ac:dyDescent="0.2">
      <c r="J565"/>
      <c r="K565"/>
      <c r="L565"/>
      <c r="M565"/>
      <c r="N565"/>
      <c r="O565" s="2"/>
      <c r="S565"/>
      <c r="T565"/>
      <c r="U565"/>
      <c r="V565"/>
      <c r="X565"/>
    </row>
    <row r="566" spans="10:24" s="1" customFormat="1" x14ac:dyDescent="0.2">
      <c r="J566"/>
      <c r="K566"/>
      <c r="L566"/>
      <c r="M566"/>
      <c r="N566"/>
      <c r="O566" s="2"/>
      <c r="S566"/>
      <c r="T566"/>
      <c r="U566"/>
      <c r="V566"/>
      <c r="X566"/>
    </row>
    <row r="567" spans="10:24" s="1" customFormat="1" x14ac:dyDescent="0.2">
      <c r="J567"/>
      <c r="K567"/>
      <c r="L567"/>
      <c r="M567"/>
      <c r="N567"/>
      <c r="O567" s="2"/>
      <c r="S567"/>
      <c r="T567"/>
      <c r="U567"/>
      <c r="V567"/>
      <c r="X567"/>
    </row>
    <row r="568" spans="10:24" s="1" customFormat="1" x14ac:dyDescent="0.2">
      <c r="J568"/>
      <c r="K568"/>
      <c r="L568"/>
      <c r="M568"/>
      <c r="N568"/>
      <c r="O568" s="2"/>
      <c r="S568"/>
      <c r="T568"/>
      <c r="U568"/>
      <c r="V568"/>
      <c r="X568"/>
    </row>
    <row r="569" spans="10:24" s="1" customFormat="1" x14ac:dyDescent="0.2">
      <c r="J569"/>
      <c r="K569"/>
      <c r="L569"/>
      <c r="M569"/>
      <c r="N569"/>
      <c r="O569" s="2"/>
      <c r="S569"/>
      <c r="T569"/>
      <c r="U569"/>
      <c r="V569"/>
      <c r="X569"/>
    </row>
    <row r="570" spans="10:24" s="1" customFormat="1" x14ac:dyDescent="0.2">
      <c r="J570"/>
      <c r="K570"/>
      <c r="L570"/>
      <c r="M570"/>
      <c r="N570"/>
      <c r="O570" s="2"/>
      <c r="S570"/>
      <c r="T570"/>
      <c r="U570"/>
      <c r="V570"/>
      <c r="X570"/>
    </row>
    <row r="571" spans="10:24" s="1" customFormat="1" x14ac:dyDescent="0.2">
      <c r="J571"/>
      <c r="K571"/>
      <c r="L571"/>
      <c r="M571"/>
      <c r="N571"/>
      <c r="O571" s="2"/>
      <c r="S571"/>
      <c r="T571"/>
      <c r="U571"/>
      <c r="V571"/>
      <c r="X571"/>
    </row>
    <row r="572" spans="10:24" s="1" customFormat="1" x14ac:dyDescent="0.2">
      <c r="J572"/>
      <c r="K572"/>
      <c r="L572"/>
      <c r="M572"/>
      <c r="N572"/>
      <c r="O572" s="2"/>
      <c r="S572"/>
      <c r="T572"/>
      <c r="U572"/>
      <c r="V572"/>
      <c r="X572"/>
    </row>
    <row r="573" spans="10:24" s="1" customFormat="1" x14ac:dyDescent="0.2">
      <c r="J573"/>
      <c r="K573"/>
      <c r="L573"/>
      <c r="M573"/>
      <c r="N573"/>
      <c r="O573" s="2"/>
      <c r="S573"/>
      <c r="T573"/>
      <c r="U573"/>
      <c r="V573"/>
      <c r="X573"/>
    </row>
    <row r="574" spans="10:24" s="1" customFormat="1" x14ac:dyDescent="0.2">
      <c r="J574"/>
      <c r="K574"/>
      <c r="L574"/>
      <c r="M574"/>
      <c r="N574"/>
      <c r="O574" s="2"/>
      <c r="S574"/>
      <c r="T574"/>
      <c r="U574"/>
      <c r="V574"/>
      <c r="X574"/>
    </row>
    <row r="575" spans="10:24" s="1" customFormat="1" x14ac:dyDescent="0.2">
      <c r="J575"/>
      <c r="K575"/>
      <c r="L575"/>
      <c r="M575"/>
      <c r="N575"/>
      <c r="O575" s="2"/>
      <c r="S575"/>
      <c r="T575"/>
      <c r="U575"/>
      <c r="V575"/>
      <c r="X575"/>
    </row>
    <row r="576" spans="10:24" s="1" customFormat="1" x14ac:dyDescent="0.2">
      <c r="J576"/>
      <c r="K576"/>
      <c r="L576"/>
      <c r="M576"/>
      <c r="N576"/>
      <c r="O576" s="2"/>
      <c r="S576"/>
      <c r="T576"/>
      <c r="U576"/>
      <c r="V576"/>
      <c r="X576"/>
    </row>
    <row r="577" spans="10:24" s="1" customFormat="1" x14ac:dyDescent="0.2">
      <c r="J577"/>
      <c r="K577"/>
      <c r="L577"/>
      <c r="M577"/>
      <c r="N577"/>
      <c r="O577" s="2"/>
      <c r="S577"/>
      <c r="T577"/>
      <c r="U577"/>
      <c r="V577"/>
      <c r="X577"/>
    </row>
    <row r="578" spans="10:24" s="1" customFormat="1" x14ac:dyDescent="0.2">
      <c r="J578"/>
      <c r="K578"/>
      <c r="L578"/>
      <c r="M578"/>
      <c r="N578"/>
      <c r="O578" s="2"/>
      <c r="S578"/>
      <c r="T578"/>
      <c r="U578"/>
      <c r="V578"/>
      <c r="X578"/>
    </row>
    <row r="579" spans="10:24" s="1" customFormat="1" x14ac:dyDescent="0.2">
      <c r="J579"/>
      <c r="K579"/>
      <c r="L579"/>
      <c r="M579"/>
      <c r="N579"/>
      <c r="O579" s="2"/>
      <c r="S579"/>
      <c r="T579"/>
      <c r="U579"/>
      <c r="V579"/>
      <c r="X579"/>
    </row>
    <row r="580" spans="10:24" s="1" customFormat="1" x14ac:dyDescent="0.2">
      <c r="J580"/>
      <c r="K580"/>
      <c r="L580"/>
      <c r="M580"/>
      <c r="N580"/>
      <c r="O580" s="2"/>
      <c r="S580"/>
      <c r="T580"/>
      <c r="U580"/>
      <c r="V580"/>
      <c r="X580"/>
    </row>
    <row r="581" spans="10:24" s="1" customFormat="1" x14ac:dyDescent="0.2">
      <c r="J581"/>
      <c r="K581"/>
      <c r="L581"/>
      <c r="M581"/>
      <c r="N581"/>
      <c r="O581" s="2"/>
      <c r="S581"/>
      <c r="T581"/>
      <c r="U581"/>
      <c r="V581"/>
      <c r="X581"/>
    </row>
    <row r="582" spans="10:24" s="1" customFormat="1" x14ac:dyDescent="0.2">
      <c r="J582"/>
      <c r="K582"/>
      <c r="L582"/>
      <c r="M582"/>
      <c r="N582"/>
      <c r="O582" s="2"/>
      <c r="S582"/>
      <c r="T582"/>
      <c r="U582"/>
      <c r="V582"/>
      <c r="X582"/>
    </row>
    <row r="583" spans="10:24" s="1" customFormat="1" x14ac:dyDescent="0.2">
      <c r="J583"/>
      <c r="K583"/>
      <c r="L583"/>
      <c r="M583"/>
      <c r="N583"/>
      <c r="O583" s="2"/>
      <c r="S583"/>
      <c r="T583"/>
      <c r="U583"/>
      <c r="V583"/>
      <c r="X583"/>
    </row>
    <row r="584" spans="10:24" s="1" customFormat="1" x14ac:dyDescent="0.2">
      <c r="J584"/>
      <c r="K584"/>
      <c r="L584"/>
      <c r="M584"/>
      <c r="N584"/>
      <c r="O584" s="2"/>
      <c r="S584"/>
      <c r="T584"/>
      <c r="U584"/>
      <c r="V584"/>
      <c r="X584"/>
    </row>
    <row r="585" spans="10:24" s="1" customFormat="1" x14ac:dyDescent="0.2">
      <c r="J585"/>
      <c r="K585"/>
      <c r="L585"/>
      <c r="M585"/>
      <c r="N585"/>
      <c r="O585" s="2"/>
      <c r="S585"/>
      <c r="T585"/>
      <c r="U585"/>
      <c r="V585"/>
      <c r="X585"/>
    </row>
    <row r="586" spans="10:24" s="1" customFormat="1" x14ac:dyDescent="0.2">
      <c r="J586"/>
      <c r="K586"/>
      <c r="L586"/>
      <c r="M586"/>
      <c r="N586"/>
      <c r="O586" s="2"/>
      <c r="S586"/>
      <c r="T586"/>
      <c r="U586"/>
      <c r="V586"/>
      <c r="X586"/>
    </row>
    <row r="587" spans="10:24" s="1" customFormat="1" x14ac:dyDescent="0.2">
      <c r="J587"/>
      <c r="K587"/>
      <c r="L587"/>
      <c r="M587"/>
      <c r="N587"/>
      <c r="O587" s="2"/>
      <c r="S587"/>
      <c r="T587"/>
      <c r="U587"/>
      <c r="V587"/>
      <c r="X587"/>
    </row>
    <row r="588" spans="10:24" s="1" customFormat="1" x14ac:dyDescent="0.2">
      <c r="J588"/>
      <c r="K588"/>
      <c r="L588"/>
      <c r="M588"/>
      <c r="N588"/>
      <c r="O588" s="2"/>
      <c r="S588"/>
      <c r="T588"/>
      <c r="U588"/>
      <c r="V588"/>
      <c r="X588"/>
    </row>
    <row r="589" spans="10:24" s="1" customFormat="1" x14ac:dyDescent="0.2">
      <c r="J589"/>
      <c r="K589"/>
      <c r="L589"/>
      <c r="M589"/>
      <c r="N589"/>
      <c r="O589" s="2"/>
      <c r="S589"/>
      <c r="T589"/>
      <c r="U589"/>
      <c r="V589"/>
      <c r="X589"/>
    </row>
    <row r="590" spans="10:24" s="1" customFormat="1" x14ac:dyDescent="0.2">
      <c r="J590"/>
      <c r="K590"/>
      <c r="L590"/>
      <c r="M590"/>
      <c r="N590"/>
      <c r="O590" s="2"/>
      <c r="S590"/>
      <c r="T590"/>
      <c r="U590"/>
      <c r="V590"/>
      <c r="X590"/>
    </row>
    <row r="591" spans="10:24" s="1" customFormat="1" x14ac:dyDescent="0.2">
      <c r="J591"/>
      <c r="K591"/>
      <c r="L591"/>
      <c r="M591"/>
      <c r="N591"/>
      <c r="O591" s="2"/>
      <c r="S591"/>
      <c r="T591"/>
      <c r="U591"/>
      <c r="V591"/>
      <c r="X591"/>
    </row>
    <row r="592" spans="10:24" s="1" customFormat="1" x14ac:dyDescent="0.2">
      <c r="J592"/>
      <c r="K592"/>
      <c r="L592"/>
      <c r="M592"/>
      <c r="N592"/>
      <c r="O592" s="2"/>
      <c r="S592"/>
      <c r="T592"/>
      <c r="U592"/>
      <c r="V592"/>
      <c r="X592"/>
    </row>
    <row r="593" spans="10:24" s="1" customFormat="1" x14ac:dyDescent="0.2">
      <c r="J593"/>
      <c r="K593"/>
      <c r="L593"/>
      <c r="M593"/>
      <c r="N593"/>
      <c r="O593" s="2"/>
      <c r="S593"/>
      <c r="T593"/>
      <c r="U593"/>
      <c r="V593"/>
      <c r="X593"/>
    </row>
    <row r="594" spans="10:24" s="1" customFormat="1" x14ac:dyDescent="0.2">
      <c r="J594"/>
      <c r="K594"/>
      <c r="L594"/>
      <c r="M594"/>
      <c r="N594"/>
      <c r="O594" s="2"/>
      <c r="S594"/>
      <c r="T594"/>
      <c r="U594"/>
      <c r="V594"/>
      <c r="X594"/>
    </row>
    <row r="595" spans="10:24" s="1" customFormat="1" x14ac:dyDescent="0.2">
      <c r="J595"/>
      <c r="K595"/>
      <c r="L595"/>
      <c r="M595"/>
      <c r="N595"/>
      <c r="O595" s="2"/>
      <c r="S595"/>
      <c r="T595"/>
      <c r="U595"/>
      <c r="V595"/>
      <c r="X595"/>
    </row>
    <row r="596" spans="10:24" s="1" customFormat="1" x14ac:dyDescent="0.2">
      <c r="J596"/>
      <c r="K596"/>
      <c r="L596"/>
      <c r="M596"/>
      <c r="N596"/>
      <c r="O596" s="2"/>
      <c r="S596"/>
      <c r="T596"/>
      <c r="U596"/>
      <c r="V596"/>
      <c r="X596"/>
    </row>
    <row r="597" spans="10:24" s="1" customFormat="1" x14ac:dyDescent="0.2">
      <c r="J597"/>
      <c r="K597"/>
      <c r="L597"/>
      <c r="M597"/>
      <c r="N597"/>
      <c r="O597" s="2"/>
      <c r="S597"/>
      <c r="T597"/>
      <c r="U597"/>
      <c r="V597"/>
      <c r="X597"/>
    </row>
    <row r="598" spans="10:24" s="1" customFormat="1" x14ac:dyDescent="0.2">
      <c r="J598"/>
      <c r="K598"/>
      <c r="L598"/>
      <c r="M598"/>
      <c r="N598"/>
      <c r="O598" s="2"/>
      <c r="S598"/>
      <c r="T598"/>
      <c r="U598"/>
      <c r="V598"/>
      <c r="X598"/>
    </row>
    <row r="599" spans="10:24" s="1" customFormat="1" x14ac:dyDescent="0.2">
      <c r="J599"/>
      <c r="K599"/>
      <c r="L599"/>
      <c r="M599"/>
      <c r="N599"/>
      <c r="O599" s="2"/>
      <c r="S599"/>
      <c r="T599"/>
      <c r="U599"/>
      <c r="V599"/>
      <c r="X599"/>
    </row>
    <row r="600" spans="10:24" s="1" customFormat="1" x14ac:dyDescent="0.2">
      <c r="J600"/>
      <c r="K600"/>
      <c r="L600"/>
      <c r="M600"/>
      <c r="N600"/>
      <c r="O600" s="2"/>
      <c r="S600"/>
      <c r="T600"/>
      <c r="U600"/>
      <c r="V600"/>
      <c r="X600"/>
    </row>
    <row r="601" spans="10:24" s="1" customFormat="1" x14ac:dyDescent="0.2">
      <c r="J601"/>
      <c r="K601"/>
      <c r="L601"/>
      <c r="M601"/>
      <c r="N601"/>
      <c r="O601" s="2"/>
      <c r="S601"/>
      <c r="T601"/>
      <c r="U601"/>
      <c r="V601"/>
      <c r="X601"/>
    </row>
    <row r="602" spans="10:24" s="1" customFormat="1" x14ac:dyDescent="0.2">
      <c r="J602"/>
      <c r="K602"/>
      <c r="L602"/>
      <c r="M602"/>
      <c r="N602"/>
      <c r="O602" s="2"/>
      <c r="S602"/>
      <c r="T602"/>
      <c r="U602"/>
      <c r="V602"/>
      <c r="X602"/>
    </row>
    <row r="603" spans="10:24" s="1" customFormat="1" x14ac:dyDescent="0.2">
      <c r="J603"/>
      <c r="K603"/>
      <c r="L603"/>
      <c r="M603"/>
      <c r="N603"/>
      <c r="O603" s="2"/>
      <c r="S603"/>
      <c r="T603"/>
      <c r="U603"/>
      <c r="V603"/>
      <c r="X603"/>
    </row>
    <row r="604" spans="10:24" s="1" customFormat="1" x14ac:dyDescent="0.2">
      <c r="J604"/>
      <c r="K604"/>
      <c r="L604"/>
      <c r="M604"/>
      <c r="N604"/>
      <c r="O604" s="2"/>
      <c r="S604"/>
      <c r="T604"/>
      <c r="U604"/>
      <c r="V604"/>
      <c r="X604"/>
    </row>
    <row r="605" spans="10:24" s="1" customFormat="1" x14ac:dyDescent="0.2">
      <c r="J605"/>
      <c r="K605"/>
      <c r="L605"/>
      <c r="M605"/>
      <c r="N605"/>
      <c r="O605" s="2"/>
      <c r="S605"/>
      <c r="T605"/>
      <c r="U605"/>
      <c r="V605"/>
      <c r="X605"/>
    </row>
    <row r="606" spans="10:24" s="1" customFormat="1" x14ac:dyDescent="0.2">
      <c r="J606"/>
      <c r="K606"/>
      <c r="L606"/>
      <c r="M606"/>
      <c r="N606"/>
      <c r="O606" s="2"/>
      <c r="S606"/>
      <c r="T606"/>
      <c r="U606"/>
      <c r="V606"/>
      <c r="X606"/>
    </row>
    <row r="607" spans="10:24" s="1" customFormat="1" x14ac:dyDescent="0.2">
      <c r="J607"/>
      <c r="K607"/>
      <c r="L607"/>
      <c r="M607"/>
      <c r="N607"/>
      <c r="O607" s="2"/>
      <c r="S607"/>
      <c r="T607"/>
      <c r="U607"/>
      <c r="V607"/>
      <c r="X607"/>
    </row>
    <row r="608" spans="10:24" s="1" customFormat="1" x14ac:dyDescent="0.2">
      <c r="J608"/>
      <c r="K608"/>
      <c r="L608"/>
      <c r="M608"/>
      <c r="N608"/>
      <c r="O608" s="2"/>
      <c r="S608"/>
      <c r="T608"/>
      <c r="U608"/>
      <c r="V608"/>
      <c r="X608"/>
    </row>
    <row r="609" spans="10:24" s="1" customFormat="1" x14ac:dyDescent="0.2">
      <c r="J609"/>
      <c r="K609"/>
      <c r="L609"/>
      <c r="M609"/>
      <c r="N609"/>
      <c r="O609" s="2"/>
      <c r="S609"/>
      <c r="T609"/>
      <c r="U609"/>
      <c r="V609"/>
      <c r="X609"/>
    </row>
    <row r="610" spans="10:24" s="1" customFormat="1" x14ac:dyDescent="0.2">
      <c r="J610"/>
      <c r="K610"/>
      <c r="L610"/>
      <c r="M610"/>
      <c r="N610"/>
      <c r="O610" s="2"/>
      <c r="S610"/>
      <c r="T610"/>
      <c r="U610"/>
      <c r="V610"/>
      <c r="X610"/>
    </row>
    <row r="611" spans="10:24" s="1" customFormat="1" x14ac:dyDescent="0.2">
      <c r="J611"/>
      <c r="K611"/>
      <c r="L611"/>
      <c r="M611"/>
      <c r="N611"/>
      <c r="O611" s="2"/>
      <c r="S611"/>
      <c r="T611"/>
      <c r="U611"/>
      <c r="V611"/>
      <c r="X611"/>
    </row>
    <row r="612" spans="10:24" s="1" customFormat="1" x14ac:dyDescent="0.2">
      <c r="J612"/>
      <c r="K612"/>
      <c r="L612"/>
      <c r="M612"/>
      <c r="N612"/>
      <c r="O612" s="2"/>
      <c r="S612"/>
      <c r="T612"/>
      <c r="U612"/>
      <c r="V612"/>
      <c r="X612"/>
    </row>
    <row r="613" spans="10:24" s="1" customFormat="1" x14ac:dyDescent="0.2">
      <c r="J613"/>
      <c r="K613"/>
      <c r="L613"/>
      <c r="M613"/>
      <c r="N613"/>
      <c r="O613" s="2"/>
      <c r="S613"/>
      <c r="T613"/>
      <c r="U613"/>
      <c r="V613"/>
      <c r="X613"/>
    </row>
    <row r="614" spans="10:24" s="1" customFormat="1" x14ac:dyDescent="0.2">
      <c r="J614"/>
      <c r="K614"/>
      <c r="L614"/>
      <c r="M614"/>
      <c r="N614"/>
      <c r="O614" s="2"/>
      <c r="S614"/>
      <c r="T614"/>
      <c r="U614"/>
      <c r="V614"/>
      <c r="X614"/>
    </row>
    <row r="615" spans="10:24" s="1" customFormat="1" x14ac:dyDescent="0.2">
      <c r="J615"/>
      <c r="K615"/>
      <c r="L615"/>
      <c r="M615"/>
      <c r="N615"/>
      <c r="O615" s="2"/>
      <c r="S615"/>
      <c r="T615"/>
      <c r="U615"/>
      <c r="V615"/>
      <c r="X615"/>
    </row>
    <row r="616" spans="10:24" s="1" customFormat="1" x14ac:dyDescent="0.2">
      <c r="J616"/>
      <c r="K616"/>
      <c r="L616"/>
      <c r="M616"/>
      <c r="N616"/>
      <c r="O616" s="2"/>
      <c r="S616"/>
      <c r="T616"/>
      <c r="U616"/>
      <c r="V616"/>
      <c r="X616"/>
    </row>
    <row r="617" spans="10:24" s="1" customFormat="1" x14ac:dyDescent="0.2">
      <c r="J617"/>
      <c r="K617"/>
      <c r="L617"/>
      <c r="M617"/>
      <c r="N617"/>
      <c r="O617" s="2"/>
      <c r="S617"/>
      <c r="T617"/>
      <c r="U617"/>
      <c r="V617"/>
      <c r="X617"/>
    </row>
    <row r="618" spans="10:24" s="1" customFormat="1" x14ac:dyDescent="0.2">
      <c r="J618"/>
      <c r="K618"/>
      <c r="L618"/>
      <c r="M618"/>
      <c r="N618"/>
      <c r="O618" s="2"/>
      <c r="S618"/>
      <c r="T618"/>
      <c r="U618"/>
      <c r="V618"/>
      <c r="X618"/>
    </row>
    <row r="619" spans="10:24" s="1" customFormat="1" x14ac:dyDescent="0.2">
      <c r="J619"/>
      <c r="K619"/>
      <c r="L619"/>
      <c r="M619"/>
      <c r="N619"/>
      <c r="O619" s="2"/>
      <c r="S619"/>
      <c r="T619"/>
      <c r="U619"/>
      <c r="V619"/>
      <c r="X619"/>
    </row>
    <row r="620" spans="10:24" s="1" customFormat="1" x14ac:dyDescent="0.2">
      <c r="J620"/>
      <c r="K620"/>
      <c r="L620"/>
      <c r="M620"/>
      <c r="N620"/>
      <c r="O620" s="2"/>
      <c r="S620"/>
      <c r="T620"/>
      <c r="U620"/>
      <c r="V620"/>
      <c r="X620"/>
    </row>
    <row r="621" spans="10:24" s="1" customFormat="1" x14ac:dyDescent="0.2">
      <c r="J621"/>
      <c r="K621"/>
      <c r="L621"/>
      <c r="M621"/>
      <c r="N621"/>
      <c r="O621" s="2"/>
      <c r="S621"/>
      <c r="T621"/>
      <c r="U621"/>
      <c r="V621"/>
      <c r="X621"/>
    </row>
    <row r="622" spans="10:24" s="1" customFormat="1" x14ac:dyDescent="0.2">
      <c r="J622"/>
      <c r="K622"/>
      <c r="L622"/>
      <c r="M622"/>
      <c r="N622"/>
      <c r="O622" s="2"/>
      <c r="S622"/>
      <c r="T622"/>
      <c r="U622"/>
      <c r="V622"/>
      <c r="X622"/>
    </row>
    <row r="623" spans="10:24" s="1" customFormat="1" x14ac:dyDescent="0.2">
      <c r="J623"/>
      <c r="K623"/>
      <c r="L623"/>
      <c r="M623"/>
      <c r="N623"/>
      <c r="O623" s="2"/>
      <c r="S623"/>
      <c r="T623"/>
      <c r="U623"/>
      <c r="V623"/>
      <c r="X623"/>
    </row>
    <row r="624" spans="10:24" s="1" customFormat="1" x14ac:dyDescent="0.2">
      <c r="J624"/>
      <c r="K624"/>
      <c r="L624"/>
      <c r="M624"/>
      <c r="N624"/>
      <c r="O624" s="2"/>
      <c r="S624"/>
      <c r="T624"/>
      <c r="U624"/>
      <c r="V624"/>
      <c r="X624"/>
    </row>
    <row r="625" spans="10:24" s="1" customFormat="1" x14ac:dyDescent="0.2">
      <c r="J625"/>
      <c r="K625"/>
      <c r="L625"/>
      <c r="M625"/>
      <c r="N625"/>
      <c r="O625" s="2"/>
      <c r="S625"/>
      <c r="T625"/>
      <c r="U625"/>
      <c r="V625"/>
      <c r="X625"/>
    </row>
    <row r="626" spans="10:24" s="1" customFormat="1" x14ac:dyDescent="0.2">
      <c r="J626"/>
      <c r="K626"/>
      <c r="L626"/>
      <c r="M626"/>
      <c r="N626"/>
      <c r="O626" s="2"/>
      <c r="S626"/>
      <c r="T626"/>
      <c r="U626"/>
      <c r="V626"/>
      <c r="X626"/>
    </row>
    <row r="627" spans="10:24" s="1" customFormat="1" x14ac:dyDescent="0.2">
      <c r="J627"/>
      <c r="K627"/>
      <c r="L627"/>
      <c r="M627"/>
      <c r="N627"/>
      <c r="O627" s="2"/>
      <c r="S627"/>
      <c r="T627"/>
      <c r="U627"/>
      <c r="V627"/>
      <c r="X627"/>
    </row>
    <row r="628" spans="10:24" s="1" customFormat="1" x14ac:dyDescent="0.2">
      <c r="J628"/>
      <c r="K628"/>
      <c r="L628"/>
      <c r="M628"/>
      <c r="N628"/>
      <c r="O628" s="2"/>
      <c r="S628"/>
      <c r="T628"/>
      <c r="U628"/>
      <c r="V628"/>
      <c r="X628"/>
    </row>
    <row r="629" spans="10:24" s="1" customFormat="1" x14ac:dyDescent="0.2">
      <c r="J629"/>
      <c r="K629"/>
      <c r="L629"/>
      <c r="M629"/>
      <c r="N629"/>
      <c r="O629" s="2"/>
      <c r="S629"/>
      <c r="T629"/>
      <c r="U629"/>
      <c r="V629"/>
      <c r="X629"/>
    </row>
    <row r="630" spans="10:24" s="1" customFormat="1" x14ac:dyDescent="0.2">
      <c r="J630"/>
      <c r="K630"/>
      <c r="L630"/>
      <c r="M630"/>
      <c r="N630"/>
      <c r="O630" s="2"/>
      <c r="S630"/>
      <c r="T630"/>
      <c r="U630"/>
      <c r="V630"/>
      <c r="X630"/>
    </row>
    <row r="631" spans="10:24" s="1" customFormat="1" x14ac:dyDescent="0.2">
      <c r="J631"/>
      <c r="K631"/>
      <c r="L631"/>
      <c r="M631"/>
      <c r="N631"/>
      <c r="O631" s="2"/>
      <c r="S631"/>
      <c r="T631"/>
      <c r="U631"/>
      <c r="V631"/>
      <c r="X631"/>
    </row>
    <row r="632" spans="10:24" s="1" customFormat="1" x14ac:dyDescent="0.2">
      <c r="J632"/>
      <c r="K632"/>
      <c r="L632"/>
      <c r="M632"/>
      <c r="N632"/>
      <c r="O632" s="2"/>
      <c r="S632"/>
      <c r="T632"/>
      <c r="U632"/>
      <c r="V632"/>
      <c r="X632"/>
    </row>
    <row r="633" spans="10:24" s="1" customFormat="1" x14ac:dyDescent="0.2">
      <c r="J633"/>
      <c r="K633"/>
      <c r="L633"/>
      <c r="M633"/>
      <c r="N633"/>
      <c r="O633" s="2"/>
      <c r="S633"/>
      <c r="T633"/>
      <c r="U633"/>
      <c r="V633"/>
      <c r="X633"/>
    </row>
    <row r="634" spans="10:24" s="1" customFormat="1" x14ac:dyDescent="0.2">
      <c r="J634"/>
      <c r="K634"/>
      <c r="L634"/>
      <c r="M634"/>
      <c r="N634"/>
      <c r="O634" s="2"/>
      <c r="S634"/>
      <c r="T634"/>
      <c r="U634"/>
      <c r="V634"/>
      <c r="X634"/>
    </row>
    <row r="635" spans="10:24" s="1" customFormat="1" x14ac:dyDescent="0.2">
      <c r="J635"/>
      <c r="K635"/>
      <c r="L635"/>
      <c r="M635"/>
      <c r="N635"/>
      <c r="O635" s="2"/>
      <c r="S635"/>
      <c r="T635"/>
      <c r="U635"/>
      <c r="V635"/>
      <c r="X635"/>
    </row>
    <row r="636" spans="10:24" s="1" customFormat="1" x14ac:dyDescent="0.2">
      <c r="J636"/>
      <c r="K636"/>
      <c r="L636"/>
      <c r="M636"/>
      <c r="N636"/>
      <c r="O636" s="2"/>
      <c r="S636"/>
      <c r="T636"/>
      <c r="U636"/>
      <c r="V636"/>
      <c r="X636"/>
    </row>
    <row r="637" spans="10:24" s="1" customFormat="1" x14ac:dyDescent="0.2">
      <c r="J637"/>
      <c r="K637"/>
      <c r="L637"/>
      <c r="M637"/>
      <c r="N637"/>
      <c r="O637" s="2"/>
      <c r="S637"/>
      <c r="T637"/>
      <c r="U637"/>
      <c r="V637"/>
      <c r="X637"/>
    </row>
    <row r="638" spans="10:24" s="1" customFormat="1" x14ac:dyDescent="0.2">
      <c r="J638"/>
      <c r="K638"/>
      <c r="L638"/>
      <c r="M638"/>
      <c r="N638"/>
      <c r="O638" s="2"/>
      <c r="S638"/>
      <c r="T638"/>
      <c r="U638"/>
      <c r="V638"/>
      <c r="X638"/>
    </row>
    <row r="639" spans="10:24" s="1" customFormat="1" x14ac:dyDescent="0.2">
      <c r="J639"/>
      <c r="K639"/>
      <c r="L639"/>
      <c r="M639"/>
      <c r="N639"/>
      <c r="O639" s="2"/>
      <c r="S639"/>
      <c r="T639"/>
      <c r="U639"/>
      <c r="V639"/>
      <c r="X639"/>
    </row>
    <row r="640" spans="10:24" s="1" customFormat="1" x14ac:dyDescent="0.2">
      <c r="J640"/>
      <c r="K640"/>
      <c r="L640"/>
      <c r="M640"/>
      <c r="N640"/>
      <c r="O640" s="2"/>
      <c r="S640"/>
      <c r="T640"/>
      <c r="U640"/>
      <c r="V640"/>
      <c r="X640"/>
    </row>
    <row r="641" spans="10:24" s="1" customFormat="1" x14ac:dyDescent="0.2">
      <c r="J641"/>
      <c r="K641"/>
      <c r="L641"/>
      <c r="M641"/>
      <c r="N641"/>
      <c r="O641" s="2"/>
      <c r="S641"/>
      <c r="T641"/>
      <c r="U641"/>
      <c r="V641"/>
      <c r="X641"/>
    </row>
    <row r="642" spans="10:24" s="1" customFormat="1" x14ac:dyDescent="0.2">
      <c r="J642"/>
      <c r="K642"/>
      <c r="L642"/>
      <c r="M642"/>
      <c r="N642"/>
      <c r="O642" s="2"/>
      <c r="S642"/>
      <c r="T642"/>
      <c r="U642"/>
      <c r="V642"/>
      <c r="X642"/>
    </row>
    <row r="643" spans="10:24" s="1" customFormat="1" x14ac:dyDescent="0.2">
      <c r="J643"/>
      <c r="K643"/>
      <c r="L643"/>
      <c r="M643"/>
      <c r="N643"/>
      <c r="O643" s="2"/>
      <c r="S643"/>
      <c r="T643"/>
      <c r="U643"/>
      <c r="V643"/>
      <c r="X643"/>
    </row>
    <row r="644" spans="10:24" s="1" customFormat="1" x14ac:dyDescent="0.2">
      <c r="J644"/>
      <c r="K644"/>
      <c r="L644"/>
      <c r="M644"/>
      <c r="N644"/>
      <c r="O644" s="2"/>
      <c r="S644"/>
      <c r="T644"/>
      <c r="U644"/>
      <c r="V644"/>
      <c r="X644"/>
    </row>
    <row r="645" spans="10:24" s="1" customFormat="1" x14ac:dyDescent="0.2">
      <c r="J645"/>
      <c r="K645"/>
      <c r="L645"/>
      <c r="M645"/>
      <c r="N645"/>
      <c r="O645" s="2"/>
      <c r="S645"/>
      <c r="T645"/>
      <c r="U645"/>
      <c r="V645"/>
      <c r="X645"/>
    </row>
    <row r="646" spans="10:24" s="1" customFormat="1" x14ac:dyDescent="0.2">
      <c r="J646"/>
      <c r="K646"/>
      <c r="L646"/>
      <c r="M646"/>
      <c r="N646"/>
      <c r="O646" s="2"/>
      <c r="S646"/>
      <c r="T646"/>
      <c r="U646"/>
      <c r="V646"/>
      <c r="X646"/>
    </row>
    <row r="647" spans="10:24" s="1" customFormat="1" x14ac:dyDescent="0.2">
      <c r="J647"/>
      <c r="K647"/>
      <c r="L647"/>
      <c r="M647"/>
      <c r="N647"/>
      <c r="O647" s="2"/>
      <c r="S647"/>
      <c r="T647"/>
      <c r="U647"/>
      <c r="V647"/>
      <c r="X647"/>
    </row>
    <row r="648" spans="10:24" s="1" customFormat="1" x14ac:dyDescent="0.2">
      <c r="J648"/>
      <c r="K648"/>
      <c r="L648"/>
      <c r="M648"/>
      <c r="N648"/>
      <c r="O648" s="2"/>
      <c r="S648"/>
      <c r="T648"/>
      <c r="U648"/>
      <c r="V648"/>
      <c r="X648"/>
    </row>
    <row r="649" spans="10:24" s="1" customFormat="1" x14ac:dyDescent="0.2">
      <c r="J649"/>
      <c r="K649"/>
      <c r="L649"/>
      <c r="M649"/>
      <c r="N649"/>
      <c r="O649" s="2"/>
      <c r="S649"/>
      <c r="T649"/>
      <c r="U649"/>
      <c r="V649"/>
      <c r="X649"/>
    </row>
    <row r="650" spans="10:24" s="1" customFormat="1" x14ac:dyDescent="0.2">
      <c r="J650"/>
      <c r="K650"/>
      <c r="L650"/>
      <c r="M650"/>
      <c r="N650"/>
      <c r="O650" s="2"/>
      <c r="S650"/>
      <c r="T650"/>
      <c r="U650"/>
      <c r="V650"/>
      <c r="X650"/>
    </row>
    <row r="651" spans="10:24" s="1" customFormat="1" x14ac:dyDescent="0.2">
      <c r="J651"/>
      <c r="K651"/>
      <c r="L651"/>
      <c r="M651"/>
      <c r="N651"/>
      <c r="O651" s="2"/>
      <c r="S651"/>
      <c r="T651"/>
      <c r="U651"/>
      <c r="V651"/>
      <c r="X651"/>
    </row>
    <row r="652" spans="10:24" s="1" customFormat="1" x14ac:dyDescent="0.2">
      <c r="J652"/>
      <c r="K652"/>
      <c r="L652"/>
      <c r="M652"/>
      <c r="N652"/>
      <c r="O652" s="2"/>
      <c r="S652"/>
      <c r="T652"/>
      <c r="U652"/>
      <c r="V652"/>
      <c r="X652"/>
    </row>
    <row r="653" spans="10:24" s="1" customFormat="1" x14ac:dyDescent="0.2">
      <c r="J653"/>
      <c r="K653"/>
      <c r="L653"/>
      <c r="M653"/>
      <c r="N653"/>
      <c r="O653" s="2"/>
      <c r="S653"/>
      <c r="T653"/>
      <c r="U653"/>
      <c r="V653"/>
      <c r="X653"/>
    </row>
    <row r="654" spans="10:24" s="1" customFormat="1" x14ac:dyDescent="0.2">
      <c r="J654"/>
      <c r="K654"/>
      <c r="L654"/>
      <c r="M654"/>
      <c r="N654"/>
      <c r="O654" s="2"/>
      <c r="S654"/>
      <c r="T654"/>
      <c r="U654"/>
      <c r="V654"/>
      <c r="X654"/>
    </row>
    <row r="655" spans="10:24" s="1" customFormat="1" x14ac:dyDescent="0.2">
      <c r="J655"/>
      <c r="K655"/>
      <c r="L655"/>
      <c r="M655"/>
      <c r="N655"/>
      <c r="O655" s="2"/>
      <c r="S655"/>
      <c r="T655"/>
      <c r="U655"/>
      <c r="V655"/>
      <c r="X655"/>
    </row>
    <row r="656" spans="10:24" s="1" customFormat="1" x14ac:dyDescent="0.2">
      <c r="J656"/>
      <c r="K656"/>
      <c r="L656"/>
      <c r="M656"/>
      <c r="N656"/>
      <c r="O656" s="2"/>
      <c r="S656"/>
      <c r="T656"/>
      <c r="U656"/>
      <c r="V656"/>
      <c r="X656"/>
    </row>
    <row r="657" spans="10:24" s="1" customFormat="1" x14ac:dyDescent="0.2">
      <c r="J657"/>
      <c r="K657"/>
      <c r="L657"/>
      <c r="M657"/>
      <c r="N657"/>
      <c r="O657" s="2"/>
      <c r="S657"/>
      <c r="T657"/>
      <c r="U657"/>
      <c r="V657"/>
      <c r="X657"/>
    </row>
    <row r="658" spans="10:24" s="1" customFormat="1" x14ac:dyDescent="0.2">
      <c r="J658"/>
      <c r="K658"/>
      <c r="L658"/>
      <c r="M658"/>
      <c r="N658"/>
      <c r="O658" s="2"/>
      <c r="S658"/>
      <c r="T658"/>
      <c r="U658"/>
      <c r="V658"/>
      <c r="X658"/>
    </row>
    <row r="659" spans="10:24" s="1" customFormat="1" x14ac:dyDescent="0.2">
      <c r="J659"/>
      <c r="K659"/>
      <c r="L659"/>
      <c r="M659"/>
      <c r="N659"/>
      <c r="O659" s="2"/>
      <c r="S659"/>
      <c r="T659"/>
      <c r="U659"/>
      <c r="V659"/>
      <c r="X659"/>
    </row>
    <row r="660" spans="10:24" s="1" customFormat="1" x14ac:dyDescent="0.2">
      <c r="J660"/>
      <c r="K660"/>
      <c r="L660"/>
      <c r="M660"/>
      <c r="N660"/>
      <c r="O660" s="2"/>
      <c r="S660"/>
      <c r="T660"/>
      <c r="U660"/>
      <c r="V660"/>
      <c r="X660"/>
    </row>
    <row r="661" spans="10:24" s="1" customFormat="1" x14ac:dyDescent="0.2">
      <c r="J661"/>
      <c r="K661"/>
      <c r="L661"/>
      <c r="M661"/>
      <c r="N661"/>
      <c r="O661" s="2"/>
      <c r="S661"/>
      <c r="T661"/>
      <c r="U661"/>
      <c r="V661"/>
      <c r="X661"/>
    </row>
    <row r="662" spans="10:24" s="1" customFormat="1" x14ac:dyDescent="0.2">
      <c r="J662"/>
      <c r="K662"/>
      <c r="L662"/>
      <c r="M662"/>
      <c r="N662"/>
      <c r="O662" s="2"/>
      <c r="S662"/>
      <c r="T662"/>
      <c r="U662"/>
      <c r="V662"/>
      <c r="X662"/>
    </row>
    <row r="663" spans="10:24" s="1" customFormat="1" x14ac:dyDescent="0.2">
      <c r="J663"/>
      <c r="K663"/>
      <c r="L663"/>
      <c r="M663"/>
      <c r="N663"/>
      <c r="O663" s="2"/>
      <c r="S663"/>
      <c r="T663"/>
      <c r="U663"/>
      <c r="V663"/>
      <c r="X663"/>
    </row>
    <row r="664" spans="10:24" s="1" customFormat="1" x14ac:dyDescent="0.2">
      <c r="J664"/>
      <c r="K664"/>
      <c r="L664"/>
      <c r="M664"/>
      <c r="N664"/>
      <c r="O664" s="2"/>
      <c r="S664"/>
      <c r="T664"/>
      <c r="U664"/>
      <c r="V664"/>
      <c r="X664"/>
    </row>
    <row r="665" spans="10:24" s="1" customFormat="1" x14ac:dyDescent="0.2">
      <c r="J665"/>
      <c r="K665"/>
      <c r="L665"/>
      <c r="M665"/>
      <c r="N665"/>
      <c r="O665" s="2"/>
      <c r="S665"/>
      <c r="T665"/>
      <c r="U665"/>
      <c r="V665"/>
      <c r="X665"/>
    </row>
    <row r="666" spans="10:24" s="1" customFormat="1" x14ac:dyDescent="0.2">
      <c r="J666"/>
      <c r="K666"/>
      <c r="L666"/>
      <c r="M666"/>
      <c r="N666"/>
      <c r="O666" s="2"/>
      <c r="S666"/>
      <c r="T666"/>
      <c r="U666"/>
      <c r="V666"/>
      <c r="X666"/>
    </row>
    <row r="667" spans="10:24" s="1" customFormat="1" x14ac:dyDescent="0.2">
      <c r="J667"/>
      <c r="K667"/>
      <c r="L667"/>
      <c r="M667"/>
      <c r="N667"/>
      <c r="O667" s="2"/>
      <c r="S667"/>
      <c r="T667"/>
      <c r="U667"/>
      <c r="V667"/>
      <c r="X667"/>
    </row>
    <row r="668" spans="10:24" s="1" customFormat="1" x14ac:dyDescent="0.2">
      <c r="J668"/>
      <c r="K668"/>
      <c r="L668"/>
      <c r="M668"/>
      <c r="N668"/>
      <c r="O668" s="2"/>
      <c r="S668"/>
      <c r="T668"/>
      <c r="U668"/>
      <c r="V668"/>
      <c r="X668"/>
    </row>
    <row r="669" spans="10:24" s="1" customFormat="1" x14ac:dyDescent="0.2">
      <c r="J669"/>
      <c r="K669"/>
      <c r="L669"/>
      <c r="M669"/>
      <c r="N669"/>
      <c r="O669" s="2"/>
      <c r="S669"/>
      <c r="T669"/>
      <c r="U669"/>
      <c r="V669"/>
      <c r="X669"/>
    </row>
    <row r="670" spans="10:24" s="1" customFormat="1" x14ac:dyDescent="0.2">
      <c r="J670"/>
      <c r="K670"/>
      <c r="L670"/>
      <c r="M670"/>
      <c r="N670"/>
      <c r="O670" s="2"/>
      <c r="S670"/>
      <c r="T670"/>
      <c r="U670"/>
      <c r="V670"/>
      <c r="X670"/>
    </row>
    <row r="671" spans="10:24" s="1" customFormat="1" x14ac:dyDescent="0.2">
      <c r="J671"/>
      <c r="K671"/>
      <c r="L671"/>
      <c r="M671"/>
      <c r="N671"/>
      <c r="O671" s="2"/>
      <c r="S671"/>
      <c r="T671"/>
      <c r="U671"/>
      <c r="V671"/>
      <c r="X671"/>
    </row>
    <row r="672" spans="10:24" s="1" customFormat="1" x14ac:dyDescent="0.2">
      <c r="J672"/>
      <c r="K672"/>
      <c r="L672"/>
      <c r="M672"/>
      <c r="N672"/>
      <c r="O672" s="2"/>
      <c r="S672"/>
      <c r="T672"/>
      <c r="U672"/>
      <c r="V672"/>
      <c r="X672"/>
    </row>
    <row r="673" spans="10:24" s="1" customFormat="1" x14ac:dyDescent="0.2">
      <c r="J673"/>
      <c r="K673"/>
      <c r="L673"/>
      <c r="M673"/>
      <c r="N673"/>
      <c r="O673" s="2"/>
      <c r="S673"/>
      <c r="T673"/>
      <c r="U673"/>
      <c r="V673"/>
      <c r="X673"/>
    </row>
    <row r="674" spans="10:24" s="1" customFormat="1" x14ac:dyDescent="0.2">
      <c r="J674"/>
      <c r="K674"/>
      <c r="L674"/>
      <c r="M674"/>
      <c r="N674"/>
      <c r="O674" s="2"/>
      <c r="S674"/>
      <c r="T674"/>
      <c r="U674"/>
      <c r="V674"/>
      <c r="X674"/>
    </row>
    <row r="675" spans="10:24" s="1" customFormat="1" x14ac:dyDescent="0.2">
      <c r="J675"/>
      <c r="K675"/>
      <c r="L675"/>
      <c r="M675"/>
      <c r="N675"/>
      <c r="O675" s="2"/>
      <c r="S675"/>
      <c r="T675"/>
      <c r="U675"/>
      <c r="V675"/>
      <c r="X675"/>
    </row>
    <row r="676" spans="10:24" s="1" customFormat="1" x14ac:dyDescent="0.2">
      <c r="J676"/>
      <c r="K676"/>
      <c r="L676"/>
      <c r="M676"/>
      <c r="N676"/>
      <c r="O676" s="2"/>
      <c r="S676"/>
      <c r="T676"/>
      <c r="U676"/>
      <c r="V676"/>
      <c r="X676"/>
    </row>
    <row r="677" spans="10:24" s="1" customFormat="1" x14ac:dyDescent="0.2">
      <c r="J677"/>
      <c r="K677"/>
      <c r="L677"/>
      <c r="M677"/>
      <c r="N677"/>
      <c r="O677" s="2"/>
      <c r="S677"/>
      <c r="T677"/>
      <c r="U677"/>
      <c r="V677"/>
      <c r="X677"/>
    </row>
    <row r="678" spans="10:24" s="1" customFormat="1" x14ac:dyDescent="0.2">
      <c r="J678"/>
      <c r="K678"/>
      <c r="L678"/>
      <c r="M678"/>
      <c r="N678"/>
      <c r="O678" s="2"/>
      <c r="S678"/>
      <c r="T678"/>
      <c r="U678"/>
      <c r="V678"/>
      <c r="X678"/>
    </row>
    <row r="679" spans="10:24" s="1" customFormat="1" x14ac:dyDescent="0.2">
      <c r="J679"/>
      <c r="K679"/>
      <c r="L679"/>
      <c r="M679"/>
      <c r="N679"/>
      <c r="O679" s="2"/>
      <c r="S679"/>
      <c r="T679"/>
      <c r="U679"/>
      <c r="V679"/>
      <c r="X679"/>
    </row>
    <row r="680" spans="10:24" s="1" customFormat="1" x14ac:dyDescent="0.2">
      <c r="J680"/>
      <c r="K680"/>
      <c r="L680"/>
      <c r="M680"/>
      <c r="N680"/>
      <c r="O680" s="2"/>
      <c r="S680"/>
      <c r="T680"/>
      <c r="U680"/>
      <c r="V680"/>
      <c r="X680"/>
    </row>
    <row r="681" spans="10:24" s="1" customFormat="1" x14ac:dyDescent="0.2">
      <c r="J681"/>
      <c r="K681"/>
      <c r="L681"/>
      <c r="M681"/>
      <c r="N681"/>
      <c r="O681" s="2"/>
      <c r="S681"/>
      <c r="T681"/>
      <c r="U681"/>
      <c r="V681"/>
      <c r="X681"/>
    </row>
    <row r="682" spans="10:24" s="1" customFormat="1" x14ac:dyDescent="0.2">
      <c r="J682"/>
      <c r="K682"/>
      <c r="L682"/>
      <c r="M682"/>
      <c r="N682"/>
      <c r="O682" s="2"/>
      <c r="S682"/>
      <c r="T682"/>
      <c r="U682"/>
      <c r="V682"/>
      <c r="X682"/>
    </row>
    <row r="683" spans="10:24" s="1" customFormat="1" x14ac:dyDescent="0.2">
      <c r="J683"/>
      <c r="K683"/>
      <c r="L683"/>
      <c r="M683"/>
      <c r="N683"/>
      <c r="O683" s="2"/>
      <c r="S683"/>
      <c r="T683"/>
      <c r="U683"/>
      <c r="V683"/>
      <c r="X683"/>
    </row>
    <row r="684" spans="10:24" s="1" customFormat="1" x14ac:dyDescent="0.2">
      <c r="J684"/>
      <c r="K684"/>
      <c r="L684"/>
      <c r="M684"/>
      <c r="N684"/>
      <c r="O684" s="2"/>
      <c r="S684"/>
      <c r="T684"/>
      <c r="U684"/>
      <c r="V684"/>
      <c r="X684"/>
    </row>
    <row r="685" spans="10:24" s="1" customFormat="1" x14ac:dyDescent="0.2">
      <c r="J685"/>
      <c r="K685"/>
      <c r="L685"/>
      <c r="M685"/>
      <c r="N685"/>
      <c r="O685" s="2"/>
      <c r="S685"/>
      <c r="T685"/>
      <c r="U685"/>
      <c r="V685"/>
      <c r="X685"/>
    </row>
    <row r="686" spans="10:24" s="1" customFormat="1" x14ac:dyDescent="0.2">
      <c r="J686"/>
      <c r="K686"/>
      <c r="L686"/>
      <c r="M686"/>
      <c r="N686"/>
      <c r="O686" s="2"/>
      <c r="S686"/>
      <c r="T686"/>
      <c r="U686"/>
      <c r="V686"/>
      <c r="X686"/>
    </row>
    <row r="687" spans="10:24" s="1" customFormat="1" x14ac:dyDescent="0.2">
      <c r="J687"/>
      <c r="K687"/>
      <c r="L687"/>
      <c r="M687"/>
      <c r="N687"/>
      <c r="O687" s="2"/>
      <c r="S687"/>
      <c r="T687"/>
      <c r="U687"/>
      <c r="V687"/>
      <c r="X687"/>
    </row>
    <row r="688" spans="10:24" s="1" customFormat="1" x14ac:dyDescent="0.2">
      <c r="J688"/>
      <c r="K688"/>
      <c r="L688"/>
      <c r="M688"/>
      <c r="N688"/>
      <c r="O688" s="2"/>
      <c r="S688"/>
      <c r="T688"/>
      <c r="U688"/>
      <c r="V688"/>
      <c r="X688"/>
    </row>
    <row r="689" spans="10:24" s="1" customFormat="1" x14ac:dyDescent="0.2">
      <c r="J689"/>
      <c r="K689"/>
      <c r="L689"/>
      <c r="M689"/>
      <c r="N689"/>
      <c r="O689" s="2"/>
      <c r="S689"/>
      <c r="T689"/>
      <c r="U689"/>
      <c r="V689"/>
      <c r="X689"/>
    </row>
    <row r="690" spans="10:24" s="1" customFormat="1" x14ac:dyDescent="0.2">
      <c r="J690"/>
      <c r="K690"/>
      <c r="L690"/>
      <c r="M690"/>
      <c r="N690"/>
      <c r="O690" s="2"/>
      <c r="S690"/>
      <c r="T690"/>
      <c r="U690"/>
      <c r="V690"/>
      <c r="X690"/>
    </row>
    <row r="691" spans="10:24" s="1" customFormat="1" x14ac:dyDescent="0.2">
      <c r="J691"/>
      <c r="K691"/>
      <c r="L691"/>
      <c r="M691"/>
      <c r="N691"/>
      <c r="O691" s="2"/>
      <c r="S691"/>
      <c r="T691"/>
      <c r="U691"/>
      <c r="V691"/>
      <c r="X691"/>
    </row>
    <row r="692" spans="10:24" s="1" customFormat="1" x14ac:dyDescent="0.2">
      <c r="J692"/>
      <c r="K692"/>
      <c r="L692"/>
      <c r="M692"/>
      <c r="N692"/>
      <c r="O692" s="2"/>
      <c r="S692"/>
      <c r="T692"/>
      <c r="U692"/>
      <c r="V692"/>
      <c r="X692"/>
    </row>
    <row r="693" spans="10:24" s="1" customFormat="1" x14ac:dyDescent="0.2">
      <c r="J693"/>
      <c r="K693"/>
      <c r="L693"/>
      <c r="M693"/>
      <c r="N693"/>
      <c r="O693" s="2"/>
      <c r="S693"/>
      <c r="T693"/>
      <c r="U693"/>
      <c r="V693"/>
      <c r="X693"/>
    </row>
    <row r="694" spans="10:24" s="1" customFormat="1" x14ac:dyDescent="0.2">
      <c r="J694"/>
      <c r="K694"/>
      <c r="L694"/>
      <c r="M694"/>
      <c r="N694"/>
      <c r="O694" s="2"/>
      <c r="S694"/>
      <c r="T694"/>
      <c r="U694"/>
      <c r="V694"/>
      <c r="X694"/>
    </row>
    <row r="695" spans="10:24" s="1" customFormat="1" x14ac:dyDescent="0.2">
      <c r="J695"/>
      <c r="K695"/>
      <c r="L695"/>
      <c r="M695"/>
      <c r="N695"/>
      <c r="O695" s="2"/>
      <c r="S695"/>
      <c r="T695"/>
      <c r="U695"/>
      <c r="V695"/>
      <c r="X695"/>
    </row>
    <row r="696" spans="10:24" s="1" customFormat="1" x14ac:dyDescent="0.2">
      <c r="J696"/>
      <c r="K696"/>
      <c r="L696"/>
      <c r="M696"/>
      <c r="N696"/>
      <c r="O696" s="2"/>
      <c r="S696"/>
      <c r="T696"/>
      <c r="U696"/>
      <c r="V696"/>
      <c r="X696"/>
    </row>
    <row r="697" spans="10:24" s="1" customFormat="1" x14ac:dyDescent="0.2">
      <c r="J697"/>
      <c r="K697"/>
      <c r="L697"/>
      <c r="M697"/>
      <c r="N697"/>
      <c r="O697" s="2"/>
      <c r="S697"/>
      <c r="T697"/>
      <c r="U697"/>
      <c r="V697"/>
      <c r="X697"/>
    </row>
    <row r="698" spans="10:24" s="1" customFormat="1" x14ac:dyDescent="0.2">
      <c r="J698"/>
      <c r="K698"/>
      <c r="L698"/>
      <c r="M698"/>
      <c r="N698"/>
      <c r="O698" s="2"/>
      <c r="S698"/>
      <c r="T698"/>
      <c r="U698"/>
      <c r="V698"/>
      <c r="X698"/>
    </row>
    <row r="699" spans="10:24" s="1" customFormat="1" x14ac:dyDescent="0.2">
      <c r="J699"/>
      <c r="K699"/>
      <c r="L699"/>
      <c r="M699"/>
      <c r="N699"/>
      <c r="O699" s="2"/>
      <c r="S699"/>
      <c r="T699"/>
      <c r="U699"/>
      <c r="V699"/>
      <c r="X699"/>
    </row>
    <row r="700" spans="10:24" s="1" customFormat="1" x14ac:dyDescent="0.2">
      <c r="J700"/>
      <c r="K700"/>
      <c r="L700"/>
      <c r="M700"/>
      <c r="N700"/>
      <c r="O700" s="2"/>
      <c r="S700"/>
      <c r="T700"/>
      <c r="U700"/>
      <c r="V700"/>
      <c r="X700"/>
    </row>
    <row r="701" spans="10:24" s="1" customFormat="1" x14ac:dyDescent="0.2">
      <c r="J701"/>
      <c r="K701"/>
      <c r="L701"/>
      <c r="M701"/>
      <c r="N701"/>
      <c r="O701" s="2"/>
      <c r="S701"/>
      <c r="T701"/>
      <c r="U701"/>
      <c r="V701"/>
      <c r="X701"/>
    </row>
    <row r="702" spans="10:24" s="1" customFormat="1" x14ac:dyDescent="0.2">
      <c r="J702"/>
      <c r="K702"/>
      <c r="L702"/>
      <c r="M702"/>
      <c r="N702"/>
      <c r="O702" s="2"/>
      <c r="S702"/>
      <c r="T702"/>
      <c r="U702"/>
      <c r="V702"/>
      <c r="X702"/>
    </row>
    <row r="703" spans="10:24" s="1" customFormat="1" x14ac:dyDescent="0.2">
      <c r="J703"/>
      <c r="K703"/>
      <c r="L703"/>
      <c r="M703"/>
      <c r="N703"/>
      <c r="O703" s="2"/>
      <c r="S703"/>
      <c r="T703"/>
      <c r="U703"/>
      <c r="V703"/>
      <c r="X703"/>
    </row>
    <row r="704" spans="10:24" s="1" customFormat="1" x14ac:dyDescent="0.2">
      <c r="J704"/>
      <c r="K704"/>
      <c r="L704"/>
      <c r="M704"/>
      <c r="N704"/>
      <c r="O704" s="2"/>
      <c r="S704"/>
      <c r="T704"/>
      <c r="U704"/>
      <c r="V704"/>
      <c r="X704"/>
    </row>
    <row r="705" spans="10:24" s="1" customFormat="1" x14ac:dyDescent="0.2">
      <c r="J705"/>
      <c r="K705"/>
      <c r="L705"/>
      <c r="M705"/>
      <c r="N705"/>
      <c r="O705" s="2"/>
      <c r="S705"/>
      <c r="T705"/>
      <c r="U705"/>
      <c r="V705"/>
      <c r="X705"/>
    </row>
    <row r="706" spans="10:24" s="1" customFormat="1" x14ac:dyDescent="0.2">
      <c r="J706"/>
      <c r="K706"/>
      <c r="L706"/>
      <c r="M706"/>
      <c r="N706"/>
      <c r="O706" s="2"/>
      <c r="S706"/>
      <c r="T706"/>
      <c r="U706"/>
      <c r="V706"/>
      <c r="X706"/>
    </row>
    <row r="707" spans="10:24" s="1" customFormat="1" x14ac:dyDescent="0.2">
      <c r="J707"/>
      <c r="K707"/>
      <c r="L707"/>
      <c r="M707"/>
      <c r="N707"/>
      <c r="O707" s="2"/>
      <c r="S707"/>
      <c r="T707"/>
      <c r="U707"/>
      <c r="V707"/>
      <c r="X707"/>
    </row>
    <row r="708" spans="10:24" s="1" customFormat="1" x14ac:dyDescent="0.2">
      <c r="J708"/>
      <c r="K708"/>
      <c r="L708"/>
      <c r="M708"/>
      <c r="N708"/>
      <c r="O708" s="2"/>
      <c r="S708"/>
      <c r="T708"/>
      <c r="U708"/>
      <c r="V708"/>
      <c r="X708"/>
    </row>
    <row r="709" spans="10:24" s="1" customFormat="1" x14ac:dyDescent="0.2">
      <c r="J709"/>
      <c r="K709"/>
      <c r="L709"/>
      <c r="M709"/>
      <c r="N709"/>
      <c r="O709" s="2"/>
      <c r="S709"/>
      <c r="T709"/>
      <c r="U709"/>
      <c r="V709"/>
      <c r="X709"/>
    </row>
    <row r="710" spans="10:24" s="1" customFormat="1" x14ac:dyDescent="0.2">
      <c r="J710"/>
      <c r="K710"/>
      <c r="L710"/>
      <c r="M710"/>
      <c r="N710"/>
      <c r="O710" s="2"/>
      <c r="S710"/>
      <c r="T710"/>
      <c r="U710"/>
      <c r="V710"/>
      <c r="X710"/>
    </row>
    <row r="711" spans="10:24" s="1" customFormat="1" x14ac:dyDescent="0.2">
      <c r="J711"/>
      <c r="K711"/>
      <c r="L711"/>
      <c r="M711"/>
      <c r="N711"/>
      <c r="O711" s="2"/>
      <c r="S711"/>
      <c r="T711"/>
      <c r="U711"/>
      <c r="V711"/>
      <c r="X711"/>
    </row>
    <row r="712" spans="10:24" s="1" customFormat="1" x14ac:dyDescent="0.2">
      <c r="J712"/>
      <c r="K712"/>
      <c r="L712"/>
      <c r="M712"/>
      <c r="N712"/>
      <c r="O712" s="2"/>
      <c r="S712"/>
      <c r="T712"/>
      <c r="U712"/>
      <c r="V712"/>
      <c r="X712"/>
    </row>
    <row r="713" spans="10:24" s="1" customFormat="1" x14ac:dyDescent="0.2">
      <c r="J713"/>
      <c r="K713"/>
      <c r="L713"/>
      <c r="M713"/>
      <c r="N713"/>
      <c r="O713" s="2"/>
      <c r="S713"/>
      <c r="T713"/>
      <c r="U713"/>
      <c r="V713"/>
      <c r="X713"/>
    </row>
    <row r="714" spans="10:24" s="1" customFormat="1" x14ac:dyDescent="0.2">
      <c r="J714"/>
      <c r="K714"/>
      <c r="L714"/>
      <c r="M714"/>
      <c r="N714"/>
      <c r="O714" s="2"/>
      <c r="S714"/>
      <c r="T714"/>
      <c r="U714"/>
      <c r="V714"/>
      <c r="X714"/>
    </row>
    <row r="715" spans="10:24" s="1" customFormat="1" x14ac:dyDescent="0.2">
      <c r="J715"/>
      <c r="K715"/>
      <c r="L715"/>
      <c r="M715"/>
      <c r="N715"/>
      <c r="O715" s="2"/>
      <c r="S715"/>
      <c r="T715"/>
      <c r="U715"/>
      <c r="V715"/>
      <c r="X715"/>
    </row>
    <row r="716" spans="10:24" s="1" customFormat="1" x14ac:dyDescent="0.2">
      <c r="J716"/>
      <c r="K716"/>
      <c r="L716"/>
      <c r="M716"/>
      <c r="N716"/>
      <c r="O716" s="2"/>
      <c r="S716"/>
      <c r="T716"/>
      <c r="U716"/>
      <c r="V716"/>
      <c r="X716"/>
    </row>
    <row r="717" spans="10:24" s="1" customFormat="1" x14ac:dyDescent="0.2">
      <c r="J717"/>
      <c r="K717"/>
      <c r="L717"/>
      <c r="M717"/>
      <c r="N717"/>
      <c r="O717" s="2"/>
      <c r="S717"/>
      <c r="T717"/>
      <c r="U717"/>
      <c r="V717"/>
      <c r="X717"/>
    </row>
    <row r="718" spans="10:24" s="1" customFormat="1" x14ac:dyDescent="0.2">
      <c r="J718"/>
      <c r="K718"/>
      <c r="L718"/>
      <c r="M718"/>
      <c r="N718"/>
      <c r="O718" s="2"/>
      <c r="S718"/>
      <c r="T718"/>
      <c r="U718"/>
      <c r="V718"/>
      <c r="X718"/>
    </row>
    <row r="719" spans="10:24" s="1" customFormat="1" x14ac:dyDescent="0.2">
      <c r="J719"/>
      <c r="K719"/>
      <c r="L719"/>
      <c r="M719"/>
      <c r="N719"/>
      <c r="O719" s="2"/>
      <c r="S719"/>
      <c r="T719"/>
      <c r="U719"/>
      <c r="V719"/>
      <c r="X719"/>
    </row>
    <row r="720" spans="10:24" s="1" customFormat="1" x14ac:dyDescent="0.2">
      <c r="J720"/>
      <c r="K720"/>
      <c r="L720"/>
      <c r="M720"/>
      <c r="N720"/>
      <c r="O720" s="2"/>
      <c r="S720"/>
      <c r="T720"/>
      <c r="U720"/>
      <c r="V720"/>
      <c r="X720"/>
    </row>
    <row r="721" spans="10:24" s="1" customFormat="1" x14ac:dyDescent="0.2">
      <c r="J721"/>
      <c r="K721"/>
      <c r="L721"/>
      <c r="M721"/>
      <c r="N721"/>
      <c r="O721" s="2"/>
      <c r="S721"/>
      <c r="T721"/>
      <c r="U721"/>
      <c r="V721"/>
      <c r="X721"/>
    </row>
    <row r="722" spans="10:24" s="1" customFormat="1" x14ac:dyDescent="0.2">
      <c r="J722"/>
      <c r="K722"/>
      <c r="L722"/>
      <c r="M722"/>
      <c r="N722"/>
      <c r="O722" s="2"/>
      <c r="S722"/>
      <c r="T722"/>
      <c r="U722"/>
      <c r="V722"/>
      <c r="X722"/>
    </row>
    <row r="723" spans="10:24" s="1" customFormat="1" x14ac:dyDescent="0.2">
      <c r="J723"/>
      <c r="K723"/>
      <c r="L723"/>
      <c r="M723"/>
      <c r="N723"/>
      <c r="O723" s="2"/>
      <c r="S723"/>
      <c r="T723"/>
      <c r="U723"/>
      <c r="V723"/>
      <c r="X723"/>
    </row>
    <row r="724" spans="10:24" s="1" customFormat="1" x14ac:dyDescent="0.2">
      <c r="J724"/>
      <c r="K724"/>
      <c r="L724"/>
      <c r="M724"/>
      <c r="N724"/>
      <c r="O724" s="2"/>
      <c r="S724"/>
      <c r="T724"/>
      <c r="U724"/>
      <c r="V724"/>
      <c r="X724"/>
    </row>
    <row r="725" spans="10:24" s="1" customFormat="1" x14ac:dyDescent="0.2">
      <c r="J725"/>
      <c r="K725"/>
      <c r="L725"/>
      <c r="M725"/>
      <c r="N725"/>
      <c r="O725" s="2"/>
      <c r="S725"/>
      <c r="T725"/>
      <c r="U725"/>
      <c r="V725"/>
      <c r="X725"/>
    </row>
    <row r="726" spans="10:24" s="1" customFormat="1" x14ac:dyDescent="0.2">
      <c r="J726"/>
      <c r="K726"/>
      <c r="L726"/>
      <c r="M726"/>
      <c r="N726"/>
      <c r="O726" s="2"/>
      <c r="S726"/>
      <c r="T726"/>
      <c r="U726"/>
      <c r="V726"/>
      <c r="X726"/>
    </row>
    <row r="727" spans="10:24" s="1" customFormat="1" x14ac:dyDescent="0.2">
      <c r="J727"/>
      <c r="K727"/>
      <c r="L727"/>
      <c r="M727"/>
      <c r="N727"/>
      <c r="O727" s="2"/>
      <c r="S727"/>
      <c r="T727"/>
      <c r="U727"/>
      <c r="V727"/>
      <c r="X727"/>
    </row>
    <row r="728" spans="10:24" s="1" customFormat="1" x14ac:dyDescent="0.2">
      <c r="J728"/>
      <c r="K728"/>
      <c r="L728"/>
      <c r="M728"/>
      <c r="N728"/>
      <c r="O728" s="2"/>
      <c r="S728"/>
      <c r="T728"/>
      <c r="U728"/>
      <c r="V728"/>
      <c r="X728"/>
    </row>
    <row r="729" spans="10:24" s="1" customFormat="1" x14ac:dyDescent="0.2">
      <c r="J729"/>
      <c r="K729"/>
      <c r="L729"/>
      <c r="M729"/>
      <c r="N729"/>
      <c r="O729" s="2"/>
      <c r="S729"/>
      <c r="T729"/>
      <c r="U729"/>
      <c r="V729"/>
      <c r="X729"/>
    </row>
    <row r="730" spans="10:24" s="1" customFormat="1" x14ac:dyDescent="0.2">
      <c r="J730"/>
      <c r="K730"/>
      <c r="L730"/>
      <c r="M730"/>
      <c r="N730"/>
      <c r="O730" s="2"/>
      <c r="S730"/>
      <c r="T730"/>
      <c r="U730"/>
      <c r="V730"/>
      <c r="X730"/>
    </row>
    <row r="731" spans="10:24" s="1" customFormat="1" x14ac:dyDescent="0.2">
      <c r="J731"/>
      <c r="K731"/>
      <c r="L731"/>
      <c r="M731"/>
      <c r="N731"/>
      <c r="O731" s="2"/>
      <c r="S731"/>
      <c r="T731"/>
      <c r="U731"/>
      <c r="V731"/>
      <c r="X731"/>
    </row>
    <row r="732" spans="10:24" s="1" customFormat="1" x14ac:dyDescent="0.2">
      <c r="J732"/>
      <c r="K732"/>
      <c r="L732"/>
      <c r="M732"/>
      <c r="N732"/>
      <c r="O732" s="2"/>
      <c r="S732"/>
      <c r="T732"/>
      <c r="U732"/>
      <c r="V732"/>
      <c r="X732"/>
    </row>
    <row r="733" spans="10:24" s="1" customFormat="1" x14ac:dyDescent="0.2">
      <c r="J733"/>
      <c r="K733"/>
      <c r="L733"/>
      <c r="M733"/>
      <c r="N733"/>
      <c r="O733" s="2"/>
      <c r="S733"/>
      <c r="T733"/>
      <c r="U733"/>
      <c r="V733"/>
      <c r="X733"/>
    </row>
    <row r="734" spans="10:24" s="1" customFormat="1" x14ac:dyDescent="0.2">
      <c r="J734"/>
      <c r="K734"/>
      <c r="L734"/>
      <c r="M734"/>
      <c r="N734"/>
      <c r="O734" s="2"/>
      <c r="S734"/>
      <c r="T734"/>
      <c r="U734"/>
      <c r="V734"/>
      <c r="X734"/>
    </row>
  </sheetData>
  <mergeCells count="133">
    <mergeCell ref="S4:S5"/>
    <mergeCell ref="S6:S7"/>
    <mergeCell ref="S8:S9"/>
    <mergeCell ref="S12:S13"/>
    <mergeCell ref="S16:S18"/>
    <mergeCell ref="T12:T13"/>
    <mergeCell ref="V12:V13"/>
    <mergeCell ref="B20:B21"/>
    <mergeCell ref="W16:W18"/>
    <mergeCell ref="K16:K18"/>
    <mergeCell ref="J16:J18"/>
    <mergeCell ref="B16:B18"/>
    <mergeCell ref="E16:E18"/>
    <mergeCell ref="L16:L18"/>
    <mergeCell ref="R16:R18"/>
    <mergeCell ref="L20:L21"/>
    <mergeCell ref="M20:M21"/>
    <mergeCell ref="S20:S21"/>
    <mergeCell ref="T16:T18"/>
    <mergeCell ref="V16:V18"/>
    <mergeCell ref="W8:W9"/>
    <mergeCell ref="T8:T9"/>
    <mergeCell ref="W12:W13"/>
    <mergeCell ref="T20:T21"/>
    <mergeCell ref="X40:AD40"/>
    <mergeCell ref="X41:AD41"/>
    <mergeCell ref="X42:AD42"/>
    <mergeCell ref="X43:AD43"/>
    <mergeCell ref="X44:AD44"/>
    <mergeCell ref="X45:AD45"/>
    <mergeCell ref="E63:F63"/>
    <mergeCell ref="X52:AD52"/>
    <mergeCell ref="X53:AD53"/>
    <mergeCell ref="X54:AD54"/>
    <mergeCell ref="X55:AD55"/>
    <mergeCell ref="X56:AD56"/>
    <mergeCell ref="X57:AD57"/>
    <mergeCell ref="X58:AD58"/>
    <mergeCell ref="X59:AD59"/>
    <mergeCell ref="X60:AD60"/>
    <mergeCell ref="E61:F61"/>
    <mergeCell ref="E62:F62"/>
    <mergeCell ref="X46:AD46"/>
    <mergeCell ref="X47:AD47"/>
    <mergeCell ref="X48:AD48"/>
    <mergeCell ref="X49:AD49"/>
    <mergeCell ref="X50:AD50"/>
    <mergeCell ref="X51:AD51"/>
    <mergeCell ref="X37:AD37"/>
    <mergeCell ref="X38:AD38"/>
    <mergeCell ref="X39:AD39"/>
    <mergeCell ref="X31:AD31"/>
    <mergeCell ref="X32:AD32"/>
    <mergeCell ref="X33:AD33"/>
    <mergeCell ref="X34:AD34"/>
    <mergeCell ref="X35:AD35"/>
    <mergeCell ref="X36:AD36"/>
    <mergeCell ref="X22:AD22"/>
    <mergeCell ref="X16:AD16"/>
    <mergeCell ref="X17:AD17"/>
    <mergeCell ref="X18:AD18"/>
    <mergeCell ref="X19:AD19"/>
    <mergeCell ref="X20:AD21"/>
    <mergeCell ref="X30:AD30"/>
    <mergeCell ref="X28:AD28"/>
    <mergeCell ref="X29:AD29"/>
    <mergeCell ref="X26:AD26"/>
    <mergeCell ref="X27:AD27"/>
    <mergeCell ref="X23:AD23"/>
    <mergeCell ref="X24:AD24"/>
    <mergeCell ref="X25:AD25"/>
    <mergeCell ref="B2:X2"/>
    <mergeCell ref="X3:AD3"/>
    <mergeCell ref="X14:AD14"/>
    <mergeCell ref="R4:R5"/>
    <mergeCell ref="T4:T5"/>
    <mergeCell ref="V4:V5"/>
    <mergeCell ref="W4:W5"/>
    <mergeCell ref="X8:AD8"/>
    <mergeCell ref="B4:B5"/>
    <mergeCell ref="E4:E5"/>
    <mergeCell ref="X10:AD10"/>
    <mergeCell ref="X11:AD11"/>
    <mergeCell ref="J4:J5"/>
    <mergeCell ref="K4:K5"/>
    <mergeCell ref="L4:L5"/>
    <mergeCell ref="X4:AD4"/>
    <mergeCell ref="X5:AD5"/>
    <mergeCell ref="P6:P7"/>
    <mergeCell ref="R6:R7"/>
    <mergeCell ref="T6:T7"/>
    <mergeCell ref="N6:N7"/>
    <mergeCell ref="L6:L7"/>
    <mergeCell ref="E8:E9"/>
    <mergeCell ref="B8:B9"/>
    <mergeCell ref="X6:AD7"/>
    <mergeCell ref="X15:AD15"/>
    <mergeCell ref="X12:AD12"/>
    <mergeCell ref="X13:AD13"/>
    <mergeCell ref="X9:AD9"/>
    <mergeCell ref="B6:B7"/>
    <mergeCell ref="E6:E7"/>
    <mergeCell ref="J6:J7"/>
    <mergeCell ref="K6:K7"/>
    <mergeCell ref="M6:M7"/>
    <mergeCell ref="O6:O7"/>
    <mergeCell ref="J8:J9"/>
    <mergeCell ref="K8:K9"/>
    <mergeCell ref="L8:L9"/>
    <mergeCell ref="R8:R9"/>
    <mergeCell ref="L12:L13"/>
    <mergeCell ref="E12:E13"/>
    <mergeCell ref="B12:B13"/>
    <mergeCell ref="J12:J13"/>
    <mergeCell ref="K12:K13"/>
    <mergeCell ref="R12:R13"/>
    <mergeCell ref="V6:V7"/>
    <mergeCell ref="W6:W7"/>
    <mergeCell ref="V8:V9"/>
    <mergeCell ref="W20:W21"/>
    <mergeCell ref="F6:F7"/>
    <mergeCell ref="H6:H7"/>
    <mergeCell ref="I6:I7"/>
    <mergeCell ref="E20:E21"/>
    <mergeCell ref="F20:F21"/>
    <mergeCell ref="H20:H21"/>
    <mergeCell ref="I20:I21"/>
    <mergeCell ref="V20:V21"/>
    <mergeCell ref="N20:N21"/>
    <mergeCell ref="J20:J21"/>
    <mergeCell ref="K20:K21"/>
    <mergeCell ref="P20:P21"/>
    <mergeCell ref="R20:R21"/>
  </mergeCells>
  <conditionalFormatting sqref="I65:I71">
    <cfRule type="cellIs" dxfId="1946" priority="1021" stopIfTrue="1" operator="greaterThan">
      <formula>1.5%</formula>
    </cfRule>
    <cfRule type="cellIs" dxfId="1945" priority="1022" stopIfTrue="1" operator="lessThan">
      <formula>0%</formula>
    </cfRule>
  </conditionalFormatting>
  <conditionalFormatting sqref="I73">
    <cfRule type="cellIs" dxfId="1944" priority="1140" stopIfTrue="1" operator="lessThan">
      <formula>438</formula>
    </cfRule>
  </conditionalFormatting>
  <conditionalFormatting sqref="J3 B2 J72:J65536">
    <cfRule type="cellIs" dxfId="1943" priority="1151" stopIfTrue="1" operator="lessThan">
      <formula>438</formula>
    </cfRule>
  </conditionalFormatting>
  <conditionalFormatting sqref="J3">
    <cfRule type="cellIs" dxfId="1942" priority="1148" stopIfTrue="1" operator="lessThan">
      <formula>456.25</formula>
    </cfRule>
  </conditionalFormatting>
  <conditionalFormatting sqref="J4:J60">
    <cfRule type="cellIs" dxfId="1941" priority="2" stopIfTrue="1" operator="lessThan">
      <formula>524</formula>
    </cfRule>
  </conditionalFormatting>
  <conditionalFormatting sqref="J65:J71">
    <cfRule type="cellIs" dxfId="1940" priority="1146" stopIfTrue="1" operator="lessThan">
      <formula>73%</formula>
    </cfRule>
  </conditionalFormatting>
  <conditionalFormatting sqref="K4 K6 K8">
    <cfRule type="cellIs" dxfId="1939" priority="410" stopIfTrue="1" operator="lessThan">
      <formula>540</formula>
    </cfRule>
  </conditionalFormatting>
  <conditionalFormatting sqref="K10:K12">
    <cfRule type="cellIs" dxfId="1938" priority="262" stopIfTrue="1" operator="lessThan">
      <formula>540</formula>
    </cfRule>
  </conditionalFormatting>
  <conditionalFormatting sqref="K14:K16">
    <cfRule type="cellIs" dxfId="1937" priority="173" stopIfTrue="1" operator="lessThan">
      <formula>540</formula>
    </cfRule>
  </conditionalFormatting>
  <conditionalFormatting sqref="K19:K20">
    <cfRule type="cellIs" dxfId="1936" priority="113" stopIfTrue="1" operator="lessThan">
      <formula>540</formula>
    </cfRule>
  </conditionalFormatting>
  <conditionalFormatting sqref="K22:K59">
    <cfRule type="cellIs" dxfId="1935" priority="25" stopIfTrue="1" operator="lessThan">
      <formula>540</formula>
    </cfRule>
  </conditionalFormatting>
  <conditionalFormatting sqref="P4:P6">
    <cfRule type="cellIs" dxfId="1934" priority="408" stopIfTrue="1" operator="greaterThan">
      <formula>1.1</formula>
    </cfRule>
  </conditionalFormatting>
  <conditionalFormatting sqref="P8:P20">
    <cfRule type="cellIs" dxfId="1933" priority="111" stopIfTrue="1" operator="greaterThan">
      <formula>1.1</formula>
    </cfRule>
  </conditionalFormatting>
  <conditionalFormatting sqref="P22:P61">
    <cfRule type="cellIs" dxfId="1932" priority="23" stopIfTrue="1" operator="greaterThan">
      <formula>1.1</formula>
    </cfRule>
  </conditionalFormatting>
  <conditionalFormatting sqref="P61:P62">
    <cfRule type="cellIs" dxfId="1931" priority="1145" stopIfTrue="1" operator="lessThan">
      <formula>0%</formula>
    </cfRule>
    <cfRule type="cellIs" dxfId="1930" priority="1144" stopIfTrue="1" operator="greaterThan">
      <formula>1.5%</formula>
    </cfRule>
  </conditionalFormatting>
  <conditionalFormatting sqref="P65">
    <cfRule type="cellIs" dxfId="1929" priority="1095" stopIfTrue="1" operator="greaterThan">
      <formula>1.1</formula>
    </cfRule>
  </conditionalFormatting>
  <conditionalFormatting sqref="R22:R59">
    <cfRule type="cellIs" dxfId="1928" priority="7" stopIfTrue="1" operator="lessThan">
      <formula>0.6</formula>
    </cfRule>
  </conditionalFormatting>
  <conditionalFormatting sqref="R4:S4 R6:S6 R8:S8">
    <cfRule type="cellIs" dxfId="1927" priority="6" stopIfTrue="1" operator="lessThan">
      <formula>0.6</formula>
    </cfRule>
  </conditionalFormatting>
  <conditionalFormatting sqref="R10:S12">
    <cfRule type="cellIs" dxfId="1926" priority="4" stopIfTrue="1" operator="lessThan">
      <formula>0.6</formula>
    </cfRule>
  </conditionalFormatting>
  <conditionalFormatting sqref="R14:S16">
    <cfRule type="cellIs" dxfId="1925" priority="3" stopIfTrue="1" operator="lessThan">
      <formula>0.6</formula>
    </cfRule>
  </conditionalFormatting>
  <conditionalFormatting sqref="R19:S20">
    <cfRule type="cellIs" dxfId="1924" priority="8" stopIfTrue="1" operator="lessThan">
      <formula>0.6</formula>
    </cfRule>
  </conditionalFormatting>
  <conditionalFormatting sqref="R60:S60">
    <cfRule type="cellIs" dxfId="1923" priority="73" stopIfTrue="1" operator="lessThan">
      <formula>0.6</formula>
    </cfRule>
  </conditionalFormatting>
  <conditionalFormatting sqref="R65:S65">
    <cfRule type="cellIs" dxfId="1922" priority="1" stopIfTrue="1" operator="lessThan">
      <formula>0.67</formula>
    </cfRule>
  </conditionalFormatting>
  <conditionalFormatting sqref="S22:S25">
    <cfRule type="cellIs" dxfId="1921" priority="14" stopIfTrue="1" operator="lessThan">
      <formula>0.6</formula>
    </cfRule>
  </conditionalFormatting>
  <conditionalFormatting sqref="T61:T62">
    <cfRule type="cellIs" dxfId="1920" priority="1147" stopIfTrue="1" operator="lessThan">
      <formula>73%</formula>
    </cfRule>
  </conditionalFormatting>
  <conditionalFormatting sqref="T65 V65:W65">
    <cfRule type="cellIs" dxfId="1919" priority="1096" stopIfTrue="1" operator="lessThan">
      <formula>0.74</formula>
    </cfRule>
  </conditionalFormatting>
  <conditionalFormatting sqref="T78">
    <cfRule type="cellIs" dxfId="1918" priority="1122" stopIfTrue="1" operator="lessThan">
      <formula>0.74</formula>
    </cfRule>
  </conditionalFormatting>
  <conditionalFormatting sqref="T79">
    <cfRule type="cellIs" dxfId="1917" priority="1120" stopIfTrue="1" operator="greaterThan">
      <formula>1.1</formula>
    </cfRule>
  </conditionalFormatting>
  <conditionalFormatting sqref="T4:V4 T6:V6 T8:V8">
    <cfRule type="cellIs" dxfId="1916" priority="334" stopIfTrue="1" operator="lessThan">
      <formula>0.74</formula>
    </cfRule>
  </conditionalFormatting>
  <conditionalFormatting sqref="T10:V12">
    <cfRule type="cellIs" dxfId="1915" priority="223" stopIfTrue="1" operator="lessThan">
      <formula>0.74</formula>
    </cfRule>
  </conditionalFormatting>
  <conditionalFormatting sqref="T14:V16">
    <cfRule type="cellIs" dxfId="1914" priority="163" stopIfTrue="1" operator="lessThan">
      <formula>0.74</formula>
    </cfRule>
  </conditionalFormatting>
  <conditionalFormatting sqref="T19:V20">
    <cfRule type="cellIs" dxfId="1913" priority="103" stopIfTrue="1" operator="lessThan">
      <formula>0.74</formula>
    </cfRule>
  </conditionalFormatting>
  <conditionalFormatting sqref="T22:V60">
    <cfRule type="cellIs" dxfId="1912" priority="15" stopIfTrue="1" operator="lessThan">
      <formula>0.74</formula>
    </cfRule>
  </conditionalFormatting>
  <conditionalFormatting sqref="T3:W3">
    <cfRule type="cellIs" dxfId="1911" priority="1132" stopIfTrue="1" operator="lessThan">
      <formula>0.65</formula>
    </cfRule>
  </conditionalFormatting>
  <conditionalFormatting sqref="U5 U7 U9">
    <cfRule type="cellIs" dxfId="1910" priority="342" stopIfTrue="1" operator="lessThan">
      <formula>0.74</formula>
    </cfRule>
  </conditionalFormatting>
  <conditionalFormatting sqref="U13">
    <cfRule type="cellIs" dxfId="1909" priority="231" stopIfTrue="1" operator="lessThan">
      <formula>0.74</formula>
    </cfRule>
  </conditionalFormatting>
  <conditionalFormatting sqref="U17:U18 U21">
    <cfRule type="cellIs" dxfId="1908" priority="460" stopIfTrue="1" operator="lessThan">
      <formula>0.74</formula>
    </cfRule>
  </conditionalFormatting>
  <conditionalFormatting sqref="U61:W62">
    <cfRule type="cellIs" dxfId="1907" priority="1150" stopIfTrue="1" operator="lessThan">
      <formula>75%</formula>
    </cfRule>
  </conditionalFormatting>
  <conditionalFormatting sqref="V78:W78">
    <cfRule type="cellIs" dxfId="1906" priority="1121" stopIfTrue="1" operator="lessThan">
      <formula>0.74</formula>
    </cfRule>
  </conditionalFormatting>
  <conditionalFormatting sqref="W4:W16">
    <cfRule type="cellIs" dxfId="1905" priority="161" stopIfTrue="1" operator="lessThan">
      <formula>0.95</formula>
    </cfRule>
  </conditionalFormatting>
  <conditionalFormatting sqref="W19:W20">
    <cfRule type="cellIs" dxfId="1904" priority="100" stopIfTrue="1" operator="lessThan">
      <formula>0.95</formula>
    </cfRule>
  </conditionalFormatting>
  <conditionalFormatting sqref="W22:W60">
    <cfRule type="cellIs" dxfId="1903" priority="13" stopIfTrue="1" operator="lessThan">
      <formula>0.95</formula>
    </cfRule>
  </conditionalFormatting>
  <printOptions horizontalCentered="1"/>
  <pageMargins left="0.10312499999999999" right="0.5" top="0.25" bottom="0.27" header="0.25" footer="0.27"/>
  <pageSetup paperSize="5" scale="38" orientation="landscape"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2B2A7-56E2-40ED-B982-A9E33C1BCD06}">
  <sheetPr codeName="Sheet10">
    <pageSetUpPr fitToPage="1"/>
  </sheetPr>
  <dimension ref="A2:AF735"/>
  <sheetViews>
    <sheetView showZeros="0" showWhiteSpace="0" zoomScale="70" zoomScaleNormal="70" workbookViewId="0">
      <pane xSplit="3" ySplit="3" topLeftCell="D36" activePane="bottomRight" state="frozen"/>
      <selection activeCell="M66" sqref="M66"/>
      <selection pane="topRight" activeCell="M66" sqref="M66"/>
      <selection pane="bottomLeft" activeCell="M66" sqref="M66"/>
      <selection pane="bottomRight" activeCell="M66" sqref="M66"/>
    </sheetView>
  </sheetViews>
  <sheetFormatPr defaultColWidth="9.42578125" defaultRowHeight="12.75" x14ac:dyDescent="0.2"/>
  <cols>
    <col min="1" max="1" width="3.42578125" customWidth="1"/>
    <col min="2" max="2" width="10.42578125" style="1" customWidth="1"/>
    <col min="3" max="3" width="28" style="1" customWidth="1"/>
    <col min="4" max="4" width="14.42578125" style="1" customWidth="1"/>
    <col min="5" max="5" width="12.5703125" style="1" customWidth="1"/>
    <col min="6" max="6" width="13.42578125" style="1" customWidth="1"/>
    <col min="7" max="7" width="12.42578125" customWidth="1"/>
    <col min="8" max="8" width="13.5703125" customWidth="1"/>
    <col min="9" max="9" width="11.42578125" style="1" customWidth="1"/>
    <col min="10" max="10" width="12" customWidth="1"/>
    <col min="11" max="11" width="10.42578125" customWidth="1"/>
    <col min="12" max="12" width="10.5703125" customWidth="1"/>
    <col min="13" max="13" width="10.42578125" customWidth="1"/>
    <col min="14" max="14" width="8.5703125" customWidth="1"/>
    <col min="15" max="15" width="9" style="2" customWidth="1"/>
    <col min="16" max="16" width="12.42578125" style="1" customWidth="1"/>
    <col min="17" max="17" width="7.5703125" style="1" hidden="1" customWidth="1"/>
    <col min="18" max="18" width="12.5703125" style="1" customWidth="1"/>
    <col min="19" max="19" width="13.42578125" customWidth="1"/>
    <col min="20" max="20" width="12.42578125" customWidth="1"/>
    <col min="21" max="21" width="10.42578125" hidden="1" customWidth="1"/>
    <col min="22" max="22" width="12" customWidth="1"/>
    <col min="23" max="23" width="13.5703125" style="1" customWidth="1"/>
    <col min="24" max="24" width="12" customWidth="1"/>
    <col min="25" max="25" width="17" customWidth="1"/>
    <col min="26" max="26" width="15.42578125" customWidth="1"/>
    <col min="27" max="27" width="15.5703125" customWidth="1"/>
    <col min="28" max="28" width="14" customWidth="1"/>
    <col min="29" max="29" width="25.5703125" customWidth="1"/>
    <col min="30" max="30" width="98.5703125" customWidth="1"/>
  </cols>
  <sheetData>
    <row r="2" spans="2:32" ht="24" thickBot="1" x14ac:dyDescent="0.4">
      <c r="B2" s="1022" t="s">
        <v>406</v>
      </c>
      <c r="C2" s="1022"/>
      <c r="D2" s="1022"/>
      <c r="E2" s="1022"/>
      <c r="F2" s="1022"/>
      <c r="G2" s="1022"/>
      <c r="H2" s="1022"/>
      <c r="I2" s="1022"/>
      <c r="J2" s="1022"/>
      <c r="K2" s="1022"/>
      <c r="L2" s="1022"/>
      <c r="M2" s="1022"/>
      <c r="N2" s="1022"/>
      <c r="O2" s="1022"/>
      <c r="P2" s="1022"/>
      <c r="Q2" s="1022"/>
      <c r="R2" s="1022"/>
      <c r="S2" s="1022"/>
      <c r="T2" s="1022"/>
      <c r="U2" s="1022"/>
      <c r="V2" s="1022"/>
      <c r="W2" s="1065"/>
      <c r="X2" s="1065"/>
    </row>
    <row r="3" spans="2:32" ht="80.25" thickTop="1" thickBot="1" x14ac:dyDescent="0.25">
      <c r="B3" s="37" t="s">
        <v>0</v>
      </c>
      <c r="C3" s="38" t="s">
        <v>2</v>
      </c>
      <c r="D3" s="38" t="s">
        <v>12</v>
      </c>
      <c r="E3" s="38" t="s">
        <v>11</v>
      </c>
      <c r="F3" s="38" t="s">
        <v>15</v>
      </c>
      <c r="G3" s="38" t="s">
        <v>9</v>
      </c>
      <c r="H3" s="38" t="s">
        <v>17</v>
      </c>
      <c r="I3" s="38" t="s">
        <v>5</v>
      </c>
      <c r="J3" s="38" t="s">
        <v>492</v>
      </c>
      <c r="K3" s="38" t="s">
        <v>4</v>
      </c>
      <c r="L3" s="38" t="s">
        <v>161</v>
      </c>
      <c r="M3" s="38" t="s">
        <v>10</v>
      </c>
      <c r="N3" s="38" t="s">
        <v>428</v>
      </c>
      <c r="O3" s="39" t="s">
        <v>34</v>
      </c>
      <c r="P3" s="40" t="s">
        <v>55</v>
      </c>
      <c r="Q3" s="40" t="s">
        <v>8</v>
      </c>
      <c r="R3" s="41" t="s">
        <v>464</v>
      </c>
      <c r="S3" s="41" t="s">
        <v>473</v>
      </c>
      <c r="T3" s="41" t="s">
        <v>307</v>
      </c>
      <c r="U3" s="41" t="s">
        <v>47</v>
      </c>
      <c r="V3" s="282" t="s">
        <v>308</v>
      </c>
      <c r="W3" s="283" t="s">
        <v>425</v>
      </c>
      <c r="X3" s="1066" t="s">
        <v>1</v>
      </c>
      <c r="Y3" s="1067"/>
      <c r="Z3" s="1067"/>
      <c r="AA3" s="1067"/>
      <c r="AB3" s="1067"/>
      <c r="AC3" s="1067"/>
      <c r="AD3" s="1068"/>
      <c r="AE3">
        <v>15000</v>
      </c>
      <c r="AF3">
        <v>17000</v>
      </c>
    </row>
    <row r="4" spans="2:32" s="19" customFormat="1" ht="39.75" customHeight="1" thickTop="1" x14ac:dyDescent="0.2">
      <c r="B4" s="168">
        <v>42795</v>
      </c>
      <c r="C4" s="26" t="s">
        <v>131</v>
      </c>
      <c r="D4" s="27">
        <v>2800</v>
      </c>
      <c r="E4" s="28">
        <v>0.31458333333333333</v>
      </c>
      <c r="F4" s="29">
        <f>SUM([3]March_2017!$J8)</f>
        <v>171</v>
      </c>
      <c r="G4" s="30">
        <f>SUM([3]March_2017!$F8)</f>
        <v>2582</v>
      </c>
      <c r="H4" s="29">
        <f>SUM([3]March_2017!$K8)</f>
        <v>170.41200000000001</v>
      </c>
      <c r="I4" s="31">
        <f>SUM([3]March_2017!$N8)</f>
        <v>10.25</v>
      </c>
      <c r="J4" s="32">
        <f>SUM([3]March_2017!$Q8)</f>
        <v>607.52941176470586</v>
      </c>
      <c r="K4" s="32">
        <f>SUM([3]March_2017!$E8)</f>
        <v>255</v>
      </c>
      <c r="L4" s="169">
        <v>0.54513888888888895</v>
      </c>
      <c r="M4" s="32">
        <f>SUM([3]March_2017!$M8)</f>
        <v>25</v>
      </c>
      <c r="N4" s="236"/>
      <c r="O4" s="170">
        <f>SUM([3]March_2017!$H8)</f>
        <v>0</v>
      </c>
      <c r="P4" s="33">
        <f>SUM([3]March_2017!$P8)</f>
        <v>0.34385964912280342</v>
      </c>
      <c r="Q4" s="32"/>
      <c r="R4" s="224">
        <f>($G4)/(($K4/60)*AE$3*(1/24))</f>
        <v>0.97204705882352938</v>
      </c>
      <c r="S4" s="224">
        <f>($G4)/(($K4/60)*AF$3*(1/24))</f>
        <v>0.85768858131487891</v>
      </c>
      <c r="T4" s="224">
        <f>(G4)*24/(K4/60)/15000</f>
        <v>0.97204705882352938</v>
      </c>
      <c r="U4" s="129">
        <f>(H4+H7)*24/(M4/60)/15000</f>
        <v>1.0553241599999998</v>
      </c>
      <c r="V4" s="225">
        <f>(G4)*24/(K4/60)/17000</f>
        <v>0.85768858131487891</v>
      </c>
      <c r="W4" s="233">
        <f>(360-(M4))/360</f>
        <v>0.93055555555555558</v>
      </c>
      <c r="X4" s="1095" t="s">
        <v>472</v>
      </c>
      <c r="Y4" s="1096"/>
      <c r="Z4" s="1096"/>
      <c r="AA4" s="1096"/>
      <c r="AB4" s="1096"/>
      <c r="AC4" s="1096"/>
      <c r="AD4" s="1097"/>
    </row>
    <row r="5" spans="2:32" s="19" customFormat="1" ht="72" customHeight="1" x14ac:dyDescent="0.2">
      <c r="B5" s="168">
        <v>42796</v>
      </c>
      <c r="C5" s="26" t="s">
        <v>31</v>
      </c>
      <c r="D5" s="27">
        <v>4000</v>
      </c>
      <c r="E5" s="28">
        <v>0.3298611111111111</v>
      </c>
      <c r="F5" s="29">
        <f>SUM([3]March_2017!$J9)</f>
        <v>298.89999999999998</v>
      </c>
      <c r="G5" s="30">
        <f>SUM([3]March_2017!$F9)</f>
        <v>3985</v>
      </c>
      <c r="H5" s="29">
        <f>SUM([3]March_2017!$K9)</f>
        <v>296.48399999999998</v>
      </c>
      <c r="I5" s="31">
        <f>SUM([3]March_2017!$N9)</f>
        <v>22.75</v>
      </c>
      <c r="J5" s="32">
        <f>SUM([3]March_2017!$Q9)</f>
        <v>387.52025931928688</v>
      </c>
      <c r="K5" s="32">
        <f>SUM([3]March_2017!$E9)</f>
        <v>617</v>
      </c>
      <c r="L5" s="169">
        <v>0.79999999999999993</v>
      </c>
      <c r="M5" s="32">
        <f>SUM([3]March_2017!$M9)</f>
        <v>159</v>
      </c>
      <c r="N5" s="236"/>
      <c r="O5" s="172">
        <f>SUM([3]March_2017!$H9)</f>
        <v>0</v>
      </c>
      <c r="P5" s="33">
        <f>SUM([3]March_2017!$P9)</f>
        <v>0.80829708932753319</v>
      </c>
      <c r="Q5" s="32"/>
      <c r="R5" s="224">
        <f>($G5)/(($K5/60)*AE$3*(1/24))</f>
        <v>0.62003241491085903</v>
      </c>
      <c r="S5" s="224">
        <f>($G5)/(($K5/60)*AF$3*(1/24))</f>
        <v>0.54708742492134621</v>
      </c>
      <c r="T5" s="224">
        <f>(G5)*24/(K5/60)/15000</f>
        <v>0.62003241491085903</v>
      </c>
      <c r="U5" s="129">
        <f>(H5+H8)*24/(M5/60)/15000</f>
        <v>0.38899441509433957</v>
      </c>
      <c r="V5" s="225">
        <f>(G5)*24/(K5/60)/17000</f>
        <v>0.54708742492134621</v>
      </c>
      <c r="W5" s="233">
        <f>(724-(M5))/724</f>
        <v>0.78038674033149169</v>
      </c>
      <c r="X5" s="1013" t="s">
        <v>475</v>
      </c>
      <c r="Y5" s="1014"/>
      <c r="Z5" s="1014"/>
      <c r="AA5" s="1014"/>
      <c r="AB5" s="1014"/>
      <c r="AC5" s="1014"/>
      <c r="AD5" s="1015"/>
    </row>
    <row r="6" spans="2:32" s="19" customFormat="1" ht="37.5" customHeight="1" x14ac:dyDescent="0.2">
      <c r="B6" s="1037">
        <v>42797</v>
      </c>
      <c r="C6" s="26" t="s">
        <v>45</v>
      </c>
      <c r="D6" s="27">
        <v>1800</v>
      </c>
      <c r="E6" s="1051">
        <v>0.33333333333333331</v>
      </c>
      <c r="F6" s="29">
        <f>SUM([3]March_2017!$J10)</f>
        <v>122.95799999999998</v>
      </c>
      <c r="G6" s="30">
        <f>SUM([3]March_2017!$F10)</f>
        <v>1802</v>
      </c>
      <c r="H6" s="29">
        <f>SUM([3]March_2017!$K10)</f>
        <v>118.932</v>
      </c>
      <c r="I6" s="31">
        <f>SUM([3]March_2017!$N10)</f>
        <v>5.5</v>
      </c>
      <c r="J6" s="991">
        <f>SUM([3]March_2017!$Q10)</f>
        <v>345.89437819420783</v>
      </c>
      <c r="K6" s="991">
        <f>SUM([3]March_2017!$E10)</f>
        <v>587</v>
      </c>
      <c r="L6" s="1017">
        <v>0.77638888888888891</v>
      </c>
      <c r="M6" s="32">
        <f>SUM([3]March_2017!$M10)</f>
        <v>179</v>
      </c>
      <c r="N6" s="236"/>
      <c r="O6" s="172">
        <f>SUM([3]March_2017!$H10)</f>
        <v>0</v>
      </c>
      <c r="P6" s="33">
        <f>SUM([3]March_2017!$P10)</f>
        <v>3.2742887815351445</v>
      </c>
      <c r="Q6" s="32"/>
      <c r="R6" s="1039">
        <f>($G6+$G7)/(($K6/60)*AE$3*(1/24))</f>
        <v>0.55343100511073262</v>
      </c>
      <c r="S6" s="1039">
        <f>($G6+$G7)/(($K6/60)*AF$3*(1/24))</f>
        <v>0.48832147509770524</v>
      </c>
      <c r="T6" s="1039">
        <f>(G6+G7)*24/(K6/60)/15000</f>
        <v>0.55343100511073251</v>
      </c>
      <c r="U6" s="129">
        <f>(H6+H9)*24/(M6/60)/15000</f>
        <v>0.21538860335195528</v>
      </c>
      <c r="V6" s="1047">
        <f>(G6+G7)*24/(K6/60)/17000</f>
        <v>0.48832147509770518</v>
      </c>
      <c r="W6" s="1035">
        <f>(698-(M6+M7))/698</f>
        <v>0.67621776504297992</v>
      </c>
      <c r="X6" s="1013" t="s">
        <v>476</v>
      </c>
      <c r="Y6" s="1014"/>
      <c r="Z6" s="1014"/>
      <c r="AA6" s="1014"/>
      <c r="AB6" s="1014"/>
      <c r="AC6" s="1014"/>
      <c r="AD6" s="1015"/>
    </row>
    <row r="7" spans="2:32" s="19" customFormat="1" ht="39" customHeight="1" x14ac:dyDescent="0.2">
      <c r="B7" s="1038"/>
      <c r="C7" s="26" t="s">
        <v>51</v>
      </c>
      <c r="D7" s="27">
        <v>1500</v>
      </c>
      <c r="E7" s="1053"/>
      <c r="F7" s="29">
        <f>SUM([3]March_2017!$J11)</f>
        <v>104.5</v>
      </c>
      <c r="G7" s="30">
        <f>SUM([3]March_2017!$F11)</f>
        <v>1582</v>
      </c>
      <c r="H7" s="29">
        <f>SUM([3]March_2017!$K11)</f>
        <v>104.41200000000001</v>
      </c>
      <c r="I7" s="31">
        <f>SUM([3]March_2017!$N11)</f>
        <v>9.5</v>
      </c>
      <c r="J7" s="992"/>
      <c r="K7" s="992"/>
      <c r="L7" s="1018"/>
      <c r="M7" s="32">
        <f>SUM([3]March_2017!$M11)</f>
        <v>47</v>
      </c>
      <c r="N7" s="236">
        <f>[4]Mar!$I$11/K6</f>
        <v>4.2589437819420782E-2</v>
      </c>
      <c r="O7" s="172">
        <f>SUM([3]March_2017!$H11)</f>
        <v>0</v>
      </c>
      <c r="P7" s="33">
        <f>SUM([3]March_2017!$P11)</f>
        <v>8.4210526315783601E-2</v>
      </c>
      <c r="Q7" s="32"/>
      <c r="R7" s="1040"/>
      <c r="S7" s="1040"/>
      <c r="T7" s="1040"/>
      <c r="U7" s="129"/>
      <c r="V7" s="1048"/>
      <c r="W7" s="1036"/>
      <c r="X7" s="1013" t="s">
        <v>477</v>
      </c>
      <c r="Y7" s="1014"/>
      <c r="Z7" s="1014"/>
      <c r="AA7" s="1014"/>
      <c r="AB7" s="1014"/>
      <c r="AC7" s="1014"/>
      <c r="AD7" s="1015"/>
    </row>
    <row r="8" spans="2:32" s="19" customFormat="1" ht="75" customHeight="1" x14ac:dyDescent="0.2">
      <c r="B8" s="168">
        <v>42800</v>
      </c>
      <c r="C8" s="26" t="s">
        <v>29</v>
      </c>
      <c r="D8" s="27">
        <v>4900</v>
      </c>
      <c r="E8" s="28">
        <v>0.38125000000000003</v>
      </c>
      <c r="F8" s="29">
        <f>SUM([3]March_2017!$J12)</f>
        <v>349.8</v>
      </c>
      <c r="G8" s="30">
        <f>SUM([3]March_2017!$F12)</f>
        <v>5068</v>
      </c>
      <c r="H8" s="29">
        <f>SUM([3]March_2017!$K12)</f>
        <v>347.78800000000001</v>
      </c>
      <c r="I8" s="31">
        <f>SUM([3]March_2017!$N12)</f>
        <v>20</v>
      </c>
      <c r="J8" s="32">
        <f>SUM([3]March_2017!$Q12)</f>
        <v>512.78246205733558</v>
      </c>
      <c r="K8" s="32">
        <f>SUM([3]March_2017!$E12)</f>
        <v>593</v>
      </c>
      <c r="L8" s="169">
        <v>0.78055555555555556</v>
      </c>
      <c r="M8" s="32">
        <f>SUM([3]March_2017!$M12)</f>
        <v>135</v>
      </c>
      <c r="N8" s="236"/>
      <c r="O8" s="32"/>
      <c r="P8" s="33">
        <f>SUM([3]March_2017!$P12)</f>
        <v>0.57518582046883937</v>
      </c>
      <c r="Q8" s="32"/>
      <c r="R8" s="224">
        <f>($G8)/(($K8/60)*AE$3*(1/24))</f>
        <v>0.82045193929173699</v>
      </c>
      <c r="S8" s="224">
        <f>($G8)/(($K8/60)*AF$3*(1/24))</f>
        <v>0.72392818172800333</v>
      </c>
      <c r="T8" s="224">
        <f>(G8)*24/(K8/60)/15000</f>
        <v>0.82045193929173688</v>
      </c>
      <c r="U8" s="129">
        <f>(H8+H11)*24/(M8/60)/15000</f>
        <v>0.47386311111111112</v>
      </c>
      <c r="V8" s="225">
        <f>(G8)*24/(K8/60)/17000</f>
        <v>0.72392818172800322</v>
      </c>
      <c r="W8" s="233">
        <f>(594-(M8))/594</f>
        <v>0.77272727272727271</v>
      </c>
      <c r="X8" s="1013" t="s">
        <v>478</v>
      </c>
      <c r="Y8" s="1014"/>
      <c r="Z8" s="1014"/>
      <c r="AA8" s="1014"/>
      <c r="AB8" s="1014"/>
      <c r="AC8" s="1014"/>
      <c r="AD8" s="1015"/>
    </row>
    <row r="9" spans="2:32" s="19" customFormat="1" ht="73.5" customHeight="1" x14ac:dyDescent="0.2">
      <c r="B9" s="1037">
        <v>42801</v>
      </c>
      <c r="C9" s="26" t="s">
        <v>29</v>
      </c>
      <c r="D9" s="27">
        <v>4900</v>
      </c>
      <c r="E9" s="1051">
        <v>0.34375</v>
      </c>
      <c r="F9" s="29">
        <f>SUM([3]March_2017!$J13)</f>
        <v>285</v>
      </c>
      <c r="G9" s="30">
        <f>SUM([3]March_2017!$F13)</f>
        <v>4283</v>
      </c>
      <c r="H9" s="29">
        <f>SUM([3]March_2017!$K13)</f>
        <v>282.678</v>
      </c>
      <c r="I9" s="31">
        <f>SUM([3]March_2017!$N13)</f>
        <v>18</v>
      </c>
      <c r="J9" s="991">
        <f>SUM([3]March_2017!$Q13)</f>
        <v>520.87378640776694</v>
      </c>
      <c r="K9" s="991">
        <f>SUM([3]March_2017!$E13)</f>
        <v>618</v>
      </c>
      <c r="L9" s="1017">
        <v>0.78541666666666676</v>
      </c>
      <c r="M9" s="32">
        <f>SUM([3]March_2017!$M13)</f>
        <v>95</v>
      </c>
      <c r="N9" s="236"/>
      <c r="O9" s="32"/>
      <c r="P9" s="33">
        <f>SUM([3]March_2017!$P13)</f>
        <v>0.81473684210526409</v>
      </c>
      <c r="Q9" s="32"/>
      <c r="R9" s="1039">
        <f>($G9+$G10)/(($K9/60)*AE$3*(1/24))</f>
        <v>0.83339805825242719</v>
      </c>
      <c r="S9" s="1039">
        <f>($G9+$G10)/(($K9/60)*AF$3*(1/24))</f>
        <v>0.73535122786978868</v>
      </c>
      <c r="T9" s="1039">
        <f>(G9+G10)*24/(K9/60)/15000</f>
        <v>0.83339805825242719</v>
      </c>
      <c r="U9" s="129">
        <f>(H9+H12)*24/(M9/60)/15000</f>
        <v>0.64000269473684213</v>
      </c>
      <c r="V9" s="1047">
        <f>(G9+G10)*24/(K9/60)/17000</f>
        <v>0.73535122786978868</v>
      </c>
      <c r="W9" s="1035">
        <f>(707-(M9+M10))/707</f>
        <v>0.83451202263083446</v>
      </c>
      <c r="X9" s="1013" t="s">
        <v>480</v>
      </c>
      <c r="Y9" s="1014"/>
      <c r="Z9" s="1014"/>
      <c r="AA9" s="1014"/>
      <c r="AB9" s="1014"/>
      <c r="AC9" s="1014"/>
      <c r="AD9" s="1015"/>
    </row>
    <row r="10" spans="2:32" s="19" customFormat="1" ht="25.5" customHeight="1" x14ac:dyDescent="0.2">
      <c r="B10" s="1038"/>
      <c r="C10" s="26" t="s">
        <v>27</v>
      </c>
      <c r="D10" s="27">
        <v>1000</v>
      </c>
      <c r="E10" s="1053"/>
      <c r="F10" s="29">
        <f>SUM([3]March_2017!$J14)</f>
        <v>72</v>
      </c>
      <c r="G10" s="30">
        <f>SUM([3]March_2017!$F14)</f>
        <v>1082</v>
      </c>
      <c r="H10" s="29">
        <f>SUM([3]March_2017!$K14)</f>
        <v>71.412000000000006</v>
      </c>
      <c r="I10" s="31">
        <f>SUM([3]March_2017!$N14)</f>
        <v>1</v>
      </c>
      <c r="J10" s="992"/>
      <c r="K10" s="992"/>
      <c r="L10" s="1018"/>
      <c r="M10" s="32">
        <f>SUM([3]March_2017!$M14)</f>
        <v>22</v>
      </c>
      <c r="N10" s="236">
        <f>[4]Mar!$I$14/K9</f>
        <v>2.7508090614886731E-2</v>
      </c>
      <c r="O10" s="32"/>
      <c r="P10" s="33">
        <f>SUM([3]March_2017!$P14)</f>
        <v>0.8166666666666581</v>
      </c>
      <c r="Q10" s="32"/>
      <c r="R10" s="1040"/>
      <c r="S10" s="1040"/>
      <c r="T10" s="1040"/>
      <c r="U10" s="129"/>
      <c r="V10" s="1048"/>
      <c r="W10" s="1036"/>
      <c r="X10" s="1013" t="s">
        <v>479</v>
      </c>
      <c r="Y10" s="1014"/>
      <c r="Z10" s="1014"/>
      <c r="AA10" s="1014"/>
      <c r="AB10" s="1014"/>
      <c r="AC10" s="1014"/>
      <c r="AD10" s="1015"/>
    </row>
    <row r="11" spans="2:32" s="19" customFormat="1" ht="93.75" customHeight="1" x14ac:dyDescent="0.2">
      <c r="B11" s="168">
        <v>42802</v>
      </c>
      <c r="C11" s="26" t="s">
        <v>27</v>
      </c>
      <c r="D11" s="27">
        <v>4900</v>
      </c>
      <c r="E11" s="28">
        <v>0.32847222222222222</v>
      </c>
      <c r="F11" s="29">
        <f>SUM([3]March_2017!$J15)</f>
        <v>320.89999999999998</v>
      </c>
      <c r="G11" s="30">
        <f>SUM([3]March_2017!$F15)</f>
        <v>4827</v>
      </c>
      <c r="H11" s="29">
        <f>SUM([3]March_2017!$K15)</f>
        <v>318.58199999999999</v>
      </c>
      <c r="I11" s="31">
        <f>SUM([3]March_2017!$N15)</f>
        <v>44</v>
      </c>
      <c r="J11" s="32">
        <f>SUM([3]March_2017!$Q15)</f>
        <v>451.82527301092045</v>
      </c>
      <c r="K11" s="32">
        <f>SUM([3]March_2017!$E15)</f>
        <v>641</v>
      </c>
      <c r="L11" s="169">
        <v>0.80208333333333337</v>
      </c>
      <c r="M11" s="32">
        <f>SUM([3]March_2017!$M15)</f>
        <v>172</v>
      </c>
      <c r="N11" s="236"/>
      <c r="O11" s="32"/>
      <c r="P11" s="33">
        <f>SUM([3]March_2017!$P15)</f>
        <v>0.72234340916172757</v>
      </c>
      <c r="Q11" s="32"/>
      <c r="R11" s="224">
        <f>($G11)/(($K11/60)*AE$3*(1/24))</f>
        <v>0.72292043681747276</v>
      </c>
      <c r="S11" s="224">
        <f>($G11)/(($K11/60)*AF$3*(1/24))</f>
        <v>0.63787097366247592</v>
      </c>
      <c r="T11" s="224">
        <f>(G11)*24/(K11/60)/15000</f>
        <v>0.72292043681747276</v>
      </c>
      <c r="U11" s="129">
        <f>(H11+H14)*24/(M11/60)/15000</f>
        <v>0.31644725581395355</v>
      </c>
      <c r="V11" s="225">
        <f>(G11)*24/(K11/60)/17000</f>
        <v>0.63787097366247592</v>
      </c>
      <c r="W11" s="233">
        <f>(733-(M11))/733</f>
        <v>0.76534788540245569</v>
      </c>
      <c r="X11" s="1013" t="s">
        <v>482</v>
      </c>
      <c r="Y11" s="1014"/>
      <c r="Z11" s="1014"/>
      <c r="AA11" s="1014"/>
      <c r="AB11" s="1014"/>
      <c r="AC11" s="1014"/>
      <c r="AD11" s="1015"/>
    </row>
    <row r="12" spans="2:32" s="19" customFormat="1" ht="77.25" customHeight="1" x14ac:dyDescent="0.2">
      <c r="B12" s="168">
        <v>42803</v>
      </c>
      <c r="C12" s="26" t="s">
        <v>27</v>
      </c>
      <c r="D12" s="27">
        <v>5600</v>
      </c>
      <c r="E12" s="28">
        <v>0.34097222222222223</v>
      </c>
      <c r="F12" s="29">
        <f>SUM([3]March_2017!$J16)</f>
        <v>351.8</v>
      </c>
      <c r="G12" s="30">
        <f>SUM([3]March_2017!$F16)</f>
        <v>5313</v>
      </c>
      <c r="H12" s="29">
        <f>SUM([3]March_2017!$K16)</f>
        <v>350.65800000000002</v>
      </c>
      <c r="I12" s="31">
        <f>SUM([3]March_2017!$N16)</f>
        <v>13</v>
      </c>
      <c r="J12" s="32">
        <f>SUM([3]March_2017!$Q16)</f>
        <v>508.42105263157896</v>
      </c>
      <c r="K12" s="32">
        <f>SUM([3]March_2017!$E16)</f>
        <v>627</v>
      </c>
      <c r="L12" s="169">
        <v>0.79236111111111107</v>
      </c>
      <c r="M12" s="32">
        <f>SUM([3]March_2017!$M16)</f>
        <v>115</v>
      </c>
      <c r="N12" s="236"/>
      <c r="O12" s="32"/>
      <c r="P12" s="33">
        <f>SUM([3]March_2017!$P16)</f>
        <v>0.32461625923820236</v>
      </c>
      <c r="Q12" s="32"/>
      <c r="R12" s="224">
        <f>($G12)/(($K12/60)*AE$3*(1/24))</f>
        <v>0.81347368421052635</v>
      </c>
      <c r="S12" s="224">
        <f>($G12)/(($K12/60)*AF$3*(1/24))</f>
        <v>0.71777089783281733</v>
      </c>
      <c r="T12" s="224">
        <f>(G12)*24/(K12/60)/15000</f>
        <v>0.81347368421052635</v>
      </c>
      <c r="U12" s="129">
        <f>(H12+H15)*24/(M12/60)/15000</f>
        <v>0.46668855652173913</v>
      </c>
      <c r="V12" s="225">
        <f>(G12)*24/(K12/60)/17000</f>
        <v>0.71777089783281733</v>
      </c>
      <c r="W12" s="233">
        <f>(720-(M12))/720</f>
        <v>0.84027777777777779</v>
      </c>
      <c r="X12" s="1013" t="s">
        <v>483</v>
      </c>
      <c r="Y12" s="1014"/>
      <c r="Z12" s="1014"/>
      <c r="AA12" s="1014"/>
      <c r="AB12" s="1014"/>
      <c r="AC12" s="1014"/>
      <c r="AD12" s="1015"/>
    </row>
    <row r="13" spans="2:32" s="19" customFormat="1" ht="30" customHeight="1" x14ac:dyDescent="0.2">
      <c r="B13" s="1037">
        <v>42804</v>
      </c>
      <c r="C13" s="26" t="s">
        <v>27</v>
      </c>
      <c r="D13" s="27">
        <v>1100</v>
      </c>
      <c r="E13" s="1051">
        <v>0.34027777777777773</v>
      </c>
      <c r="F13" s="29">
        <f>SUM([3]March_2017!$J17)</f>
        <v>103</v>
      </c>
      <c r="G13" s="30">
        <f>SUM([3]March_2017!$F17)</f>
        <v>1467</v>
      </c>
      <c r="H13" s="29">
        <f>SUM([3]March_2017!$K17)</f>
        <v>101.572</v>
      </c>
      <c r="I13" s="31">
        <f>SUM([3]March_2017!$N17)</f>
        <v>7.25</v>
      </c>
      <c r="J13" s="991">
        <f>SUM([3]March_2017!$Q17)</f>
        <v>522.12765957446811</v>
      </c>
      <c r="K13" s="991">
        <f>SUM([3]March_2017!$E17)</f>
        <v>564</v>
      </c>
      <c r="L13" s="1017">
        <v>0.74722222222222223</v>
      </c>
      <c r="M13" s="32">
        <f>SUM([3]March_2017!$M17)</f>
        <v>42</v>
      </c>
      <c r="N13" s="236"/>
      <c r="O13" s="32"/>
      <c r="P13" s="33">
        <f>SUM([3]March_2017!$P17)</f>
        <v>1.3864077669902886</v>
      </c>
      <c r="Q13" s="32"/>
      <c r="R13" s="1039">
        <f>($G13+$G14)/(($K13/60)*AE$3*(1/24))</f>
        <v>0.83540425531914897</v>
      </c>
      <c r="S13" s="1039">
        <f>($G13+$G14)/(($K13/60)*AF$3*(1/24))</f>
        <v>0.73712140175219032</v>
      </c>
      <c r="T13" s="1039">
        <f>(G13+G14)*24/(K13/60)/15000</f>
        <v>0.83540425531914897</v>
      </c>
      <c r="U13" s="129">
        <f>(H13+H16)*24/(M13/60)/15000</f>
        <v>0.23216457142857144</v>
      </c>
      <c r="V13" s="1047">
        <f>(G13+G14)*24/(K13/60)/17000</f>
        <v>0.73712140175219021</v>
      </c>
      <c r="W13" s="1035">
        <f>(644-(M13+M14))/644</f>
        <v>0.88198757763975155</v>
      </c>
      <c r="X13" s="1013" t="s">
        <v>485</v>
      </c>
      <c r="Y13" s="1014"/>
      <c r="Z13" s="1014"/>
      <c r="AA13" s="1014"/>
      <c r="AB13" s="1014"/>
      <c r="AC13" s="1014"/>
      <c r="AD13" s="1015"/>
    </row>
    <row r="14" spans="2:32" s="19" customFormat="1" ht="38.25" customHeight="1" x14ac:dyDescent="0.2">
      <c r="B14" s="1038"/>
      <c r="C14" s="26" t="s">
        <v>29</v>
      </c>
      <c r="D14" s="27">
        <v>3500</v>
      </c>
      <c r="E14" s="1053"/>
      <c r="F14" s="29">
        <f>SUM([3]March_2017!$J18)</f>
        <v>249.3</v>
      </c>
      <c r="G14" s="30">
        <f>SUM([3]March_2017!$F18)</f>
        <v>3441</v>
      </c>
      <c r="H14" s="29">
        <f>SUM([3]March_2017!$K18)</f>
        <v>248.38600000000002</v>
      </c>
      <c r="I14" s="31">
        <f>SUM([3]March_2017!$N18)</f>
        <v>11.5</v>
      </c>
      <c r="J14" s="992"/>
      <c r="K14" s="992"/>
      <c r="L14" s="1018"/>
      <c r="M14" s="32">
        <f>SUM([3]March_2017!$M18)</f>
        <v>34</v>
      </c>
      <c r="N14" s="236">
        <f>[4]Mar!$I$18/K13</f>
        <v>1.0638297872340425E-2</v>
      </c>
      <c r="O14" s="32"/>
      <c r="P14" s="33">
        <f>SUM([3]March_2017!$P18)</f>
        <v>0.366626554352181</v>
      </c>
      <c r="Q14" s="32"/>
      <c r="R14" s="1040"/>
      <c r="S14" s="1040"/>
      <c r="T14" s="1040"/>
      <c r="U14" s="129"/>
      <c r="V14" s="1048"/>
      <c r="W14" s="1036"/>
      <c r="X14" s="1013" t="s">
        <v>484</v>
      </c>
      <c r="Y14" s="1014"/>
      <c r="Z14" s="1014"/>
      <c r="AA14" s="1014"/>
      <c r="AB14" s="1014"/>
      <c r="AC14" s="1014"/>
      <c r="AD14" s="1015"/>
    </row>
    <row r="15" spans="2:32" s="19" customFormat="1" ht="20.25" x14ac:dyDescent="0.2">
      <c r="B15" s="1037">
        <v>42807</v>
      </c>
      <c r="C15" s="26" t="s">
        <v>29</v>
      </c>
      <c r="D15" s="27">
        <v>835</v>
      </c>
      <c r="E15" s="1051">
        <v>0.3347222222222222</v>
      </c>
      <c r="F15" s="989">
        <f>SUM([3]March_2017!$J19)</f>
        <v>208.6</v>
      </c>
      <c r="G15" s="30">
        <f>SUM([3]March_2017!$F19)</f>
        <v>1464</v>
      </c>
      <c r="H15" s="989">
        <f>SUM([3]March_2017!$K19)</f>
        <v>208.39600000000002</v>
      </c>
      <c r="I15" s="1004">
        <f>SUM([3]March_2017!$N19)</f>
        <v>11</v>
      </c>
      <c r="J15" s="991">
        <f>SUM([3]March_2017!$Q19)</f>
        <v>491.54929577464787</v>
      </c>
      <c r="K15" s="991">
        <f>SUM([3]March_2017!$E19)</f>
        <v>639</v>
      </c>
      <c r="L15" s="1017">
        <v>0.80347222222222225</v>
      </c>
      <c r="M15" s="991">
        <f>SUM([3]March_2017!$M19)</f>
        <v>36</v>
      </c>
      <c r="N15" s="236"/>
      <c r="O15" s="32"/>
      <c r="P15" s="1045">
        <f>SUM([3]March_2017!$P19)</f>
        <v>9.7794822627027489E-2</v>
      </c>
      <c r="Q15" s="32"/>
      <c r="R15" s="1039">
        <f>($G15+$G16+$G17+$G18)/(($K15/60)*AE$3*(1/24))</f>
        <v>0.78647887323943666</v>
      </c>
      <c r="S15" s="1039">
        <f>($G15+$G16+$G17+$G18)/(($K15/60)*AF$3*(1/24))</f>
        <v>0.69395194697597351</v>
      </c>
      <c r="T15" s="1039">
        <f>(G15+G16+G18+G17)*24/(K15/60)/15000</f>
        <v>0.78647887323943666</v>
      </c>
      <c r="U15" s="129">
        <f>(H15+H18)*24/(M15/60)/15000</f>
        <v>0.81057066666666677</v>
      </c>
      <c r="V15" s="1047">
        <f>(G15+G16+G17+G18)*24/(K15/60)/17000</f>
        <v>0.69395194697597351</v>
      </c>
      <c r="W15" s="1035">
        <f>(728-(M15+M17+M18))/728</f>
        <v>0.87774725274725274</v>
      </c>
      <c r="X15" s="1056" t="s">
        <v>488</v>
      </c>
      <c r="Y15" s="1057"/>
      <c r="Z15" s="1057"/>
      <c r="AA15" s="1057"/>
      <c r="AB15" s="1057"/>
      <c r="AC15" s="1057"/>
      <c r="AD15" s="1058"/>
    </row>
    <row r="16" spans="2:32" s="19" customFormat="1" ht="20.25" x14ac:dyDescent="0.2">
      <c r="B16" s="1050"/>
      <c r="C16" s="26" t="s">
        <v>32</v>
      </c>
      <c r="D16" s="27">
        <v>1800</v>
      </c>
      <c r="E16" s="1052"/>
      <c r="F16" s="990"/>
      <c r="G16" s="30">
        <f>SUM([3]March_2017!$F20)</f>
        <v>1587</v>
      </c>
      <c r="H16" s="990"/>
      <c r="I16" s="1005"/>
      <c r="J16" s="1042"/>
      <c r="K16" s="1042"/>
      <c r="L16" s="1055"/>
      <c r="M16" s="992"/>
      <c r="N16" s="236"/>
      <c r="O16" s="32"/>
      <c r="P16" s="1046"/>
      <c r="Q16" s="32"/>
      <c r="R16" s="1041"/>
      <c r="S16" s="1041"/>
      <c r="T16" s="1041"/>
      <c r="U16" s="129"/>
      <c r="V16" s="1049"/>
      <c r="W16" s="1054"/>
      <c r="X16" s="1059"/>
      <c r="Y16" s="1060"/>
      <c r="Z16" s="1060"/>
      <c r="AA16" s="1060"/>
      <c r="AB16" s="1060"/>
      <c r="AC16" s="1060"/>
      <c r="AD16" s="1061"/>
    </row>
    <row r="17" spans="2:30" s="19" customFormat="1" ht="20.25" x14ac:dyDescent="0.2">
      <c r="B17" s="1050"/>
      <c r="C17" s="26" t="s">
        <v>46</v>
      </c>
      <c r="D17" s="27">
        <v>1400</v>
      </c>
      <c r="E17" s="1052"/>
      <c r="F17" s="29">
        <f>SUM([3]March_2017!$J21)</f>
        <v>50.2</v>
      </c>
      <c r="G17" s="30">
        <f>SUM([3]March_2017!$F21)</f>
        <v>736</v>
      </c>
      <c r="H17" s="29">
        <f>SUM([3]March_2017!$K21)</f>
        <v>48.576000000000001</v>
      </c>
      <c r="I17" s="31">
        <f>SUM([3]March_2017!$N21)</f>
        <v>0</v>
      </c>
      <c r="J17" s="1042"/>
      <c r="K17" s="1042"/>
      <c r="L17" s="1055"/>
      <c r="M17" s="32">
        <f>SUM([3]March_2017!$M21)</f>
        <v>22</v>
      </c>
      <c r="N17" s="236">
        <f>[4]Mar!$I$20/(K15)</f>
        <v>2.1909233176838811E-2</v>
      </c>
      <c r="O17" s="32"/>
      <c r="P17" s="33">
        <f>SUM([3]March_2017!$P21)</f>
        <v>3.23505976095618</v>
      </c>
      <c r="Q17" s="32"/>
      <c r="R17" s="1041"/>
      <c r="S17" s="1041"/>
      <c r="T17" s="1041"/>
      <c r="U17" s="129"/>
      <c r="V17" s="1049"/>
      <c r="W17" s="1054"/>
      <c r="X17" s="1013" t="s">
        <v>486</v>
      </c>
      <c r="Y17" s="1014"/>
      <c r="Z17" s="1014"/>
      <c r="AA17" s="1014"/>
      <c r="AB17" s="1014"/>
      <c r="AC17" s="1014"/>
      <c r="AD17" s="1015"/>
    </row>
    <row r="18" spans="2:30" s="19" customFormat="1" ht="20.25" x14ac:dyDescent="0.2">
      <c r="B18" s="1038"/>
      <c r="C18" s="26" t="s">
        <v>44</v>
      </c>
      <c r="D18" s="27">
        <v>700</v>
      </c>
      <c r="E18" s="1053"/>
      <c r="F18" s="29">
        <f>SUM([3]March_2017!$J22)</f>
        <v>99.7</v>
      </c>
      <c r="G18" s="30">
        <f>SUM([3]March_2017!$F22)</f>
        <v>1448</v>
      </c>
      <c r="H18" s="29">
        <f>SUM([3]March_2017!$K22)</f>
        <v>95.567999999999998</v>
      </c>
      <c r="I18" s="31">
        <f>SUM([3]March_2017!$N22)</f>
        <v>0</v>
      </c>
      <c r="J18" s="992"/>
      <c r="K18" s="992"/>
      <c r="L18" s="1018"/>
      <c r="M18" s="32">
        <f>SUM([3]March_2017!$M22)</f>
        <v>31</v>
      </c>
      <c r="N18" s="236">
        <f>[4]Mar!$I$21/K15</f>
        <v>3.4428794992175271E-2</v>
      </c>
      <c r="O18" s="32"/>
      <c r="P18" s="33">
        <f>SUM([3]March_2017!$P22)</f>
        <v>4.1444332998997035</v>
      </c>
      <c r="Q18" s="32"/>
      <c r="R18" s="1040"/>
      <c r="S18" s="1040"/>
      <c r="T18" s="1040"/>
      <c r="U18" s="129"/>
      <c r="V18" s="1048"/>
      <c r="W18" s="1036"/>
      <c r="X18" s="1013" t="s">
        <v>487</v>
      </c>
      <c r="Y18" s="1014"/>
      <c r="Z18" s="1014"/>
      <c r="AA18" s="1014"/>
      <c r="AB18" s="1014"/>
      <c r="AC18" s="1014"/>
      <c r="AD18" s="1015"/>
    </row>
    <row r="19" spans="2:30" s="19" customFormat="1" ht="57.75" customHeight="1" x14ac:dyDescent="0.2">
      <c r="B19" s="168">
        <v>42808</v>
      </c>
      <c r="C19" s="26" t="s">
        <v>30</v>
      </c>
      <c r="D19" s="27">
        <v>4900</v>
      </c>
      <c r="E19" s="28">
        <v>0.3298611111111111</v>
      </c>
      <c r="F19" s="29">
        <f>SUM([3]March_2017!$J23)</f>
        <v>310.7</v>
      </c>
      <c r="G19" s="30">
        <f>SUM([3]March_2017!$F23)</f>
        <v>4671</v>
      </c>
      <c r="H19" s="29">
        <f>SUM([3]March_2017!$K23)</f>
        <v>308.286</v>
      </c>
      <c r="I19" s="31">
        <f>SUM([3]March_2017!$N23)</f>
        <v>19</v>
      </c>
      <c r="J19" s="32">
        <f>SUM([3]March_2017!$Q23)</f>
        <v>495.15901060070672</v>
      </c>
      <c r="K19" s="32">
        <f>SUM([3]March_2017!$E23)</f>
        <v>566</v>
      </c>
      <c r="L19" s="169">
        <v>0.75763888888888886</v>
      </c>
      <c r="M19" s="32">
        <f>SUM([3]March_2017!$M23)</f>
        <v>94</v>
      </c>
      <c r="N19" s="236"/>
      <c r="O19" s="32"/>
      <c r="P19" s="33">
        <f>SUM([3]March_2017!$P23)</f>
        <v>0.77695526231090672</v>
      </c>
      <c r="Q19" s="32"/>
      <c r="R19" s="224">
        <f t="shared" ref="R19:S21" si="0">($G19)/(($K19/60)*AE$3*(1/24))</f>
        <v>0.79225441696113075</v>
      </c>
      <c r="S19" s="224">
        <f t="shared" si="0"/>
        <v>0.69904801496570368</v>
      </c>
      <c r="T19" s="224">
        <f>(G19)*24/(K19/60)/15000</f>
        <v>0.79225441696113075</v>
      </c>
      <c r="U19" s="129">
        <f>(H19+H22)*24/(M19/60)/15000</f>
        <v>0.40440102127659566</v>
      </c>
      <c r="V19" s="225">
        <f>(G19)*24/(K19/60)/17000</f>
        <v>0.69904801496570357</v>
      </c>
      <c r="W19" s="233">
        <f>(665-(M19))/665</f>
        <v>0.85864661654135344</v>
      </c>
      <c r="X19" s="1013" t="s">
        <v>489</v>
      </c>
      <c r="Y19" s="1014"/>
      <c r="Z19" s="1014"/>
      <c r="AA19" s="1014"/>
      <c r="AB19" s="1014"/>
      <c r="AC19" s="1014"/>
      <c r="AD19" s="1015"/>
    </row>
    <row r="20" spans="2:30" s="19" customFormat="1" ht="73.5" customHeight="1" x14ac:dyDescent="0.2">
      <c r="B20" s="168">
        <v>42809</v>
      </c>
      <c r="C20" s="26" t="s">
        <v>42</v>
      </c>
      <c r="D20" s="27">
        <v>4900</v>
      </c>
      <c r="E20" s="28">
        <v>0.3347222222222222</v>
      </c>
      <c r="F20" s="29">
        <f>SUM([3]March_2017!$J24)</f>
        <v>344.7</v>
      </c>
      <c r="G20" s="30">
        <f>SUM([3]March_2017!$F24)</f>
        <v>5197</v>
      </c>
      <c r="H20" s="29">
        <f>SUM([3]March_2017!$K24)</f>
        <v>343.00200000000001</v>
      </c>
      <c r="I20" s="31">
        <f>SUM([3]March_2017!$N24)</f>
        <v>10</v>
      </c>
      <c r="J20" s="32">
        <f>SUM([3]March_2017!$Q24)</f>
        <v>564.89130434782612</v>
      </c>
      <c r="K20" s="32">
        <f>SUM([3]March_2017!$E24)</f>
        <v>552</v>
      </c>
      <c r="L20" s="169">
        <v>0.7368055555555556</v>
      </c>
      <c r="M20" s="32">
        <f>SUM([3]March_2017!$M24)</f>
        <v>60</v>
      </c>
      <c r="N20" s="236"/>
      <c r="O20" s="32"/>
      <c r="P20" s="33">
        <f>SUM([3]March_2017!$P24)</f>
        <v>0.49260226283724368</v>
      </c>
      <c r="Q20" s="32"/>
      <c r="R20" s="224">
        <f t="shared" si="0"/>
        <v>0.90382608695652178</v>
      </c>
      <c r="S20" s="224">
        <f t="shared" si="0"/>
        <v>0.79749360613810749</v>
      </c>
      <c r="T20" s="224">
        <f>(G20)*24/(K20/60)/15000</f>
        <v>0.90382608695652189</v>
      </c>
      <c r="U20" s="129">
        <f>(H20+H23)*24/(M20/60)/15000</f>
        <v>0.68872800000000012</v>
      </c>
      <c r="V20" s="225">
        <f>(G20)*24/(K20/60)/17000</f>
        <v>0.79749360613810749</v>
      </c>
      <c r="W20" s="233">
        <f>(641-(M20))/641</f>
        <v>0.90639625585023398</v>
      </c>
      <c r="X20" s="1013" t="s">
        <v>490</v>
      </c>
      <c r="Y20" s="1014"/>
      <c r="Z20" s="1014"/>
      <c r="AA20" s="1014"/>
      <c r="AB20" s="1014"/>
      <c r="AC20" s="1014"/>
      <c r="AD20" s="1015"/>
    </row>
    <row r="21" spans="2:30" s="19" customFormat="1" ht="93" customHeight="1" x14ac:dyDescent="0.2">
      <c r="B21" s="168">
        <v>42810</v>
      </c>
      <c r="C21" s="26" t="s">
        <v>27</v>
      </c>
      <c r="D21" s="27">
        <v>4900</v>
      </c>
      <c r="E21" s="28">
        <v>0.3263888888888889</v>
      </c>
      <c r="F21" s="29">
        <f>SUM([3]March_2017!$J25)</f>
        <v>344.70000000000005</v>
      </c>
      <c r="G21" s="30">
        <f>SUM([3]March_2017!$F25)</f>
        <v>5000</v>
      </c>
      <c r="H21" s="29">
        <f>SUM([3]March_2017!$K25)</f>
        <v>342.92</v>
      </c>
      <c r="I21" s="31">
        <f>SUM([3]March_2017!$N25)</f>
        <v>19</v>
      </c>
      <c r="J21" s="32">
        <f>SUM([3]March_2017!$Q25)</f>
        <v>450.45045045045049</v>
      </c>
      <c r="K21" s="32">
        <f>SUM([3]March_2017!$E25)</f>
        <v>666</v>
      </c>
      <c r="L21" s="169">
        <v>0.81597222222222221</v>
      </c>
      <c r="M21" s="32">
        <f>SUM([3]March_2017!$M25)</f>
        <v>210</v>
      </c>
      <c r="N21" s="236"/>
      <c r="O21" s="32"/>
      <c r="P21" s="33">
        <f>SUM([3]March_2017!$P25)</f>
        <v>0.51639106469394525</v>
      </c>
      <c r="Q21" s="32"/>
      <c r="R21" s="224">
        <f t="shared" si="0"/>
        <v>0.72072072072072069</v>
      </c>
      <c r="S21" s="224">
        <f t="shared" si="0"/>
        <v>0.63593004769475359</v>
      </c>
      <c r="T21" s="224">
        <f>(G21)*24/(K21/60)/15000</f>
        <v>0.7207207207207208</v>
      </c>
      <c r="U21" s="129">
        <f>(H21+H24)*24/(M21/60)/15000</f>
        <v>0.19789760000000001</v>
      </c>
      <c r="V21" s="225">
        <f>(G21)*24/(K21/60)/17000</f>
        <v>0.63593004769475359</v>
      </c>
      <c r="W21" s="233">
        <f>(746-(M21))/746</f>
        <v>0.71849865951742631</v>
      </c>
      <c r="X21" s="1013" t="s">
        <v>491</v>
      </c>
      <c r="Y21" s="1014"/>
      <c r="Z21" s="1014"/>
      <c r="AA21" s="1014"/>
      <c r="AB21" s="1014"/>
      <c r="AC21" s="1014"/>
      <c r="AD21" s="1015"/>
    </row>
    <row r="22" spans="2:30" s="19" customFormat="1" ht="35.25" customHeight="1" x14ac:dyDescent="0.2">
      <c r="B22" s="1037">
        <v>42811</v>
      </c>
      <c r="C22" s="26" t="s">
        <v>88</v>
      </c>
      <c r="D22" s="27">
        <v>1200</v>
      </c>
      <c r="E22" s="1051">
        <v>0.34722222222222227</v>
      </c>
      <c r="F22" s="29">
        <f>SUM([3]March_2017!$J26)</f>
        <v>90.4</v>
      </c>
      <c r="G22" s="30">
        <f>SUM([3]March_2017!$F26)</f>
        <v>1110</v>
      </c>
      <c r="H22" s="29">
        <f>SUM([3]March_2017!$K26)</f>
        <v>87.69</v>
      </c>
      <c r="I22" s="31">
        <f>SUM([3]March_2017!$N26)</f>
        <v>3.5</v>
      </c>
      <c r="J22" s="991">
        <f>SUM([3]March_2017!$Q26)</f>
        <v>393.28125</v>
      </c>
      <c r="K22" s="991">
        <f>SUM([3]March_2017!$E26)</f>
        <v>512</v>
      </c>
      <c r="L22" s="1017">
        <v>0.71250000000000002</v>
      </c>
      <c r="M22" s="32">
        <f>SUM([3]March_2017!$M26)</f>
        <v>19</v>
      </c>
      <c r="N22" s="236"/>
      <c r="O22" s="32"/>
      <c r="P22" s="33">
        <f>SUM([3]March_2017!$P26)</f>
        <v>2.9977876106194774</v>
      </c>
      <c r="Q22" s="32"/>
      <c r="R22" s="1039">
        <f>($G22+G23+G24)/(($K22/60)*AE$3*(1/24))</f>
        <v>0.62925000000000009</v>
      </c>
      <c r="S22" s="1039">
        <f>($G22+G23+G24)/(($K22/60)*AF$3*(1/24))</f>
        <v>0.55522058823529419</v>
      </c>
      <c r="T22" s="1039">
        <f>(G22+G23+G24)*24/(K22/60)/15000</f>
        <v>0.62924999999999998</v>
      </c>
      <c r="U22" s="129">
        <f>(H22+H25)*24/(M22/60)/15000</f>
        <v>0.86297936842105261</v>
      </c>
      <c r="V22" s="1047">
        <f>(G22+G23+G24)*24/(K22/60)/17000</f>
        <v>0.55522058823529408</v>
      </c>
      <c r="W22" s="1035">
        <f>(598-(M22+M23+M24))/598</f>
        <v>0.75752508361204018</v>
      </c>
      <c r="X22" s="1013" t="s">
        <v>499</v>
      </c>
      <c r="Y22" s="1014"/>
      <c r="Z22" s="1014"/>
      <c r="AA22" s="1014"/>
      <c r="AB22" s="1014"/>
      <c r="AC22" s="1014"/>
      <c r="AD22" s="1015"/>
    </row>
    <row r="23" spans="2:30" s="19" customFormat="1" ht="37.5" customHeight="1" x14ac:dyDescent="0.2">
      <c r="B23" s="1050"/>
      <c r="C23" s="26" t="s">
        <v>150</v>
      </c>
      <c r="D23" s="27">
        <v>1200</v>
      </c>
      <c r="E23" s="1052"/>
      <c r="F23" s="29">
        <f>SUM([3]March_2017!$J27)</f>
        <v>90.4</v>
      </c>
      <c r="G23" s="30">
        <f>SUM([3]March_2017!$F27)</f>
        <v>1107</v>
      </c>
      <c r="H23" s="29">
        <f>SUM([3]March_2017!$K27)</f>
        <v>87.453000000000003</v>
      </c>
      <c r="I23" s="31">
        <f>SUM([3]March_2017!$N27)</f>
        <v>1</v>
      </c>
      <c r="J23" s="1042"/>
      <c r="K23" s="1042"/>
      <c r="L23" s="1055"/>
      <c r="M23" s="32">
        <f>SUM([3]March_2017!$M27)</f>
        <v>64</v>
      </c>
      <c r="N23" s="236">
        <f>[4]Mar!$I$26/K22</f>
        <v>7.6171875E-2</v>
      </c>
      <c r="O23" s="32"/>
      <c r="P23" s="33">
        <f>SUM([3]March_2017!$P27)</f>
        <v>3.2599557522123921</v>
      </c>
      <c r="Q23" s="32"/>
      <c r="R23" s="1041"/>
      <c r="S23" s="1041"/>
      <c r="T23" s="1041"/>
      <c r="U23" s="129"/>
      <c r="V23" s="1049"/>
      <c r="W23" s="1054"/>
      <c r="X23" s="1013" t="s">
        <v>500</v>
      </c>
      <c r="Y23" s="1014"/>
      <c r="Z23" s="1014"/>
      <c r="AA23" s="1014"/>
      <c r="AB23" s="1014"/>
      <c r="AC23" s="1014"/>
      <c r="AD23" s="1015"/>
    </row>
    <row r="24" spans="2:30" s="19" customFormat="1" ht="50.25" customHeight="1" x14ac:dyDescent="0.2">
      <c r="B24" s="1038"/>
      <c r="C24" s="26" t="s">
        <v>493</v>
      </c>
      <c r="D24" s="27">
        <v>1200</v>
      </c>
      <c r="E24" s="1053"/>
      <c r="F24" s="29">
        <f>SUM([3]March_2017!$J28)</f>
        <v>90.4</v>
      </c>
      <c r="G24" s="30">
        <f>SUM([3]March_2017!$F28)</f>
        <v>1139</v>
      </c>
      <c r="H24" s="29">
        <f>SUM([3]March_2017!$K28)</f>
        <v>89.980999999999995</v>
      </c>
      <c r="I24" s="31">
        <f>SUM([3]March_2017!$N28)</f>
        <v>0.5</v>
      </c>
      <c r="J24" s="992"/>
      <c r="K24" s="992"/>
      <c r="L24" s="1018"/>
      <c r="M24" s="32">
        <f>SUM([3]March_2017!$M28)</f>
        <v>62</v>
      </c>
      <c r="N24" s="236">
        <f>[4]Mar!$I$27/K22</f>
        <v>8.0078125E-2</v>
      </c>
      <c r="O24" s="32"/>
      <c r="P24" s="33">
        <f>SUM([3]March_2017!$P28)</f>
        <v>0.46349557522125123</v>
      </c>
      <c r="Q24" s="32"/>
      <c r="R24" s="1040"/>
      <c r="S24" s="1040"/>
      <c r="T24" s="1040"/>
      <c r="U24" s="129"/>
      <c r="V24" s="1048"/>
      <c r="W24" s="1036"/>
      <c r="X24" s="1013" t="s">
        <v>501</v>
      </c>
      <c r="Y24" s="1014"/>
      <c r="Z24" s="1014"/>
      <c r="AA24" s="1014"/>
      <c r="AB24" s="1014"/>
      <c r="AC24" s="1014"/>
      <c r="AD24" s="1015"/>
    </row>
    <row r="25" spans="2:30" s="19" customFormat="1" ht="34.5" customHeight="1" x14ac:dyDescent="0.2">
      <c r="B25" s="1037">
        <v>42814</v>
      </c>
      <c r="C25" s="26" t="s">
        <v>270</v>
      </c>
      <c r="D25" s="27">
        <v>1200</v>
      </c>
      <c r="E25" s="1051">
        <v>0.46319444444444446</v>
      </c>
      <c r="F25" s="29">
        <f>[3]March_2017!$J$29</f>
        <v>86.095238095238102</v>
      </c>
      <c r="G25" s="30">
        <f>[3]March_2017!$F$29</f>
        <v>1052</v>
      </c>
      <c r="H25" s="29">
        <f>[3]March_2017!$K$29</f>
        <v>83.108000000000004</v>
      </c>
      <c r="I25" s="31">
        <f>[3]March_2017!$N$29</f>
        <v>8</v>
      </c>
      <c r="J25" s="991">
        <f>[3]March_2017!$Q$29</f>
        <v>282.85714285714289</v>
      </c>
      <c r="K25" s="991">
        <f>[3]March_2017!$E$29</f>
        <v>469</v>
      </c>
      <c r="L25" s="1017">
        <v>0.81458333333333333</v>
      </c>
      <c r="M25" s="32">
        <f>[3]March_2017!$M$29</f>
        <v>306</v>
      </c>
      <c r="N25" s="236"/>
      <c r="O25" s="32"/>
      <c r="P25" s="33">
        <f>SUM([3]March_2017!$P29)</f>
        <v>3.4696902654867285</v>
      </c>
      <c r="Q25" s="32"/>
      <c r="R25" s="1039">
        <f>($G25+G26)/(($K25/60)*AE$3*(1/24))</f>
        <v>0.45257142857142862</v>
      </c>
      <c r="S25" s="1039">
        <f>($G25+G26)/(($K25/60)*AF$3*(1/24))</f>
        <v>0.39932773109243697</v>
      </c>
      <c r="T25" s="1039">
        <f>(G25+G26)*24/(K25/60)/15000</f>
        <v>0.45257142857142857</v>
      </c>
      <c r="U25" s="129"/>
      <c r="V25" s="1047">
        <f>(G25+G26)*24/(K25/60)/17000</f>
        <v>0.39932773109243697</v>
      </c>
      <c r="W25" s="1035">
        <f>(714-(M25+M26))/714</f>
        <v>0.39915966386554624</v>
      </c>
      <c r="X25" s="1092" t="s">
        <v>502</v>
      </c>
      <c r="Y25" s="1093"/>
      <c r="Z25" s="1093"/>
      <c r="AA25" s="1093"/>
      <c r="AB25" s="1093"/>
      <c r="AC25" s="1093"/>
      <c r="AD25" s="1094"/>
    </row>
    <row r="26" spans="2:30" s="19" customFormat="1" ht="57.75" customHeight="1" x14ac:dyDescent="0.2">
      <c r="B26" s="1050"/>
      <c r="C26" s="26" t="s">
        <v>151</v>
      </c>
      <c r="D26" s="27">
        <v>1200</v>
      </c>
      <c r="E26" s="1053"/>
      <c r="F26" s="29">
        <f>[3]March_2017!$J$30</f>
        <v>94.920000000000016</v>
      </c>
      <c r="G26" s="30">
        <f>[3]March_2017!$F$30</f>
        <v>1159</v>
      </c>
      <c r="H26" s="29">
        <f>[3]March_2017!$K$30</f>
        <v>91.561000000000007</v>
      </c>
      <c r="I26" s="31">
        <f>[3]March_2017!$N$30</f>
        <v>2</v>
      </c>
      <c r="J26" s="992"/>
      <c r="K26" s="992"/>
      <c r="L26" s="1018"/>
      <c r="M26" s="32">
        <f>[3]March_2017!$M$30</f>
        <v>123</v>
      </c>
      <c r="N26" s="236">
        <f>[4]Mar!$I$29/K25</f>
        <v>0.11727078891257996</v>
      </c>
      <c r="O26" s="32"/>
      <c r="P26" s="33">
        <f>SUM([3]March_2017!$P30)</f>
        <v>3.5387694900969322</v>
      </c>
      <c r="Q26" s="32"/>
      <c r="R26" s="1040"/>
      <c r="S26" s="1040"/>
      <c r="T26" s="1040"/>
      <c r="U26" s="129"/>
      <c r="V26" s="1048"/>
      <c r="W26" s="1036"/>
      <c r="X26" s="1013" t="s">
        <v>503</v>
      </c>
      <c r="Y26" s="1014"/>
      <c r="Z26" s="1014"/>
      <c r="AA26" s="1014"/>
      <c r="AB26" s="1014"/>
      <c r="AC26" s="1014"/>
      <c r="AD26" s="1015"/>
    </row>
    <row r="27" spans="2:30" s="19" customFormat="1" ht="59.25" customHeight="1" x14ac:dyDescent="0.2">
      <c r="B27" s="1037">
        <v>42815</v>
      </c>
      <c r="C27" s="26" t="s">
        <v>29</v>
      </c>
      <c r="D27" s="27">
        <v>2100</v>
      </c>
      <c r="E27" s="1051">
        <v>0.33333333333333331</v>
      </c>
      <c r="F27" s="989">
        <f>[3]March_2017!$J31</f>
        <v>279.09999999999997</v>
      </c>
      <c r="G27" s="30">
        <f>[3]March_2017!$F$31</f>
        <v>2112</v>
      </c>
      <c r="H27" s="989">
        <f>[3]March_2017!$K31</f>
        <v>278.78399999999999</v>
      </c>
      <c r="I27" s="1004">
        <f>[3]March_2017!$N31</f>
        <v>22.25</v>
      </c>
      <c r="J27" s="991">
        <f>[3]March_2017!$Q31</f>
        <v>402.92527821939592</v>
      </c>
      <c r="K27" s="991">
        <f>[3]March_2017!$E31</f>
        <v>629</v>
      </c>
      <c r="L27" s="1017">
        <v>0.79166666666666663</v>
      </c>
      <c r="M27" s="991">
        <f>[3]March_2017!$M31</f>
        <v>140</v>
      </c>
      <c r="N27" s="236"/>
      <c r="O27" s="32"/>
      <c r="P27" s="1045">
        <f>SUM([3]March_2017!P31)</f>
        <v>0.11322106771765464</v>
      </c>
      <c r="Q27" s="32"/>
      <c r="R27" s="1039">
        <f>($G27+G28)/(($K27/60)*AE$3*(1/24))</f>
        <v>0.6446804451510334</v>
      </c>
      <c r="S27" s="1039">
        <f>($G27+G28)/(($K27/60)*AF$3*(1/24))</f>
        <v>0.5688356868979707</v>
      </c>
      <c r="T27" s="1039">
        <f>(G27+G28)*24/(K27/60)/15000</f>
        <v>0.6446804451510334</v>
      </c>
      <c r="U27" s="129"/>
      <c r="V27" s="1047">
        <f>(G27+G28)*24/(K27/60)/17000</f>
        <v>0.5688356868979707</v>
      </c>
      <c r="W27" s="1035">
        <f>(719-(M27+M28))/719</f>
        <v>0.80528511821974968</v>
      </c>
      <c r="X27" s="1056" t="s">
        <v>504</v>
      </c>
      <c r="Y27" s="1057"/>
      <c r="Z27" s="1057"/>
      <c r="AA27" s="1057"/>
      <c r="AB27" s="1057"/>
      <c r="AC27" s="1057"/>
      <c r="AD27" s="1058"/>
    </row>
    <row r="28" spans="2:30" s="19" customFormat="1" ht="75.75" customHeight="1" x14ac:dyDescent="0.2">
      <c r="B28" s="1050"/>
      <c r="C28" s="26" t="s">
        <v>32</v>
      </c>
      <c r="D28" s="27">
        <v>2100</v>
      </c>
      <c r="E28" s="1053"/>
      <c r="F28" s="990"/>
      <c r="G28" s="30">
        <f>[3]March_2017!$F32</f>
        <v>2112</v>
      </c>
      <c r="H28" s="990"/>
      <c r="I28" s="1005"/>
      <c r="J28" s="992"/>
      <c r="K28" s="992"/>
      <c r="L28" s="1018"/>
      <c r="M28" s="992"/>
      <c r="N28" s="236"/>
      <c r="O28" s="32"/>
      <c r="P28" s="1046"/>
      <c r="Q28" s="32"/>
      <c r="R28" s="1040"/>
      <c r="S28" s="1040"/>
      <c r="T28" s="1040"/>
      <c r="U28" s="129"/>
      <c r="V28" s="1048"/>
      <c r="W28" s="1036"/>
      <c r="X28" s="1059"/>
      <c r="Y28" s="1060"/>
      <c r="Z28" s="1060"/>
      <c r="AA28" s="1060"/>
      <c r="AB28" s="1060"/>
      <c r="AC28" s="1060"/>
      <c r="AD28" s="1061"/>
    </row>
    <row r="29" spans="2:30" s="19" customFormat="1" ht="56.25" customHeight="1" x14ac:dyDescent="0.2">
      <c r="B29" s="1087">
        <v>42816</v>
      </c>
      <c r="C29" s="26" t="s">
        <v>29</v>
      </c>
      <c r="D29" s="27">
        <v>1800</v>
      </c>
      <c r="E29" s="1051">
        <v>0.32777777777777778</v>
      </c>
      <c r="F29" s="29">
        <f>SUM([3]March_2017!$J33)</f>
        <v>133.30000000000001</v>
      </c>
      <c r="G29" s="30">
        <f>SUM([3]March_2017!$F33)</f>
        <v>2002</v>
      </c>
      <c r="H29" s="29">
        <f>SUM([3]March_2017!$K33)</f>
        <v>132.13200000000001</v>
      </c>
      <c r="I29" s="31">
        <f>SUM([3]March_2017!$N33)</f>
        <v>14</v>
      </c>
      <c r="J29" s="991">
        <f>SUM([3]March_2017!$Q33)</f>
        <v>359.52229299363057</v>
      </c>
      <c r="K29" s="991">
        <f>SUM([3]March_2017!$E33)</f>
        <v>628</v>
      </c>
      <c r="L29" s="1017">
        <v>0.79305555555555562</v>
      </c>
      <c r="M29" s="32">
        <f>SUM([3]March_2017!$M33)</f>
        <v>83</v>
      </c>
      <c r="N29" s="236"/>
      <c r="O29" s="32"/>
      <c r="P29" s="33">
        <f>SUM([3]March_2017!$P33)</f>
        <v>0.87621905476369566</v>
      </c>
      <c r="Q29" s="32"/>
      <c r="R29" s="1039">
        <f>($G29+$G30)/(($K29/60)*AE$3*(1/24))</f>
        <v>0.57523566878980892</v>
      </c>
      <c r="S29" s="1039">
        <f>($G29+$G30)/(($K29/60)*AF$3*(1/24))</f>
        <v>0.50756088422630197</v>
      </c>
      <c r="T29" s="1039">
        <f>(G29+G30)*24/(K29/60)/15000</f>
        <v>0.57523566878980892</v>
      </c>
      <c r="U29" s="129">
        <f>(H29+H32)*24/(M29/60)/15000</f>
        <v>0.51229995180722898</v>
      </c>
      <c r="V29" s="1047">
        <f>(G29+G30)*24/(K29/60)/17000</f>
        <v>0.50756088422630197</v>
      </c>
      <c r="W29" s="1035">
        <f>(724-(M29+M30))/724</f>
        <v>0.66712707182320441</v>
      </c>
      <c r="X29" s="1013" t="s">
        <v>505</v>
      </c>
      <c r="Y29" s="1014"/>
      <c r="Z29" s="1014"/>
      <c r="AA29" s="1014"/>
      <c r="AB29" s="1014"/>
      <c r="AC29" s="1014"/>
      <c r="AD29" s="1015"/>
    </row>
    <row r="30" spans="2:30" s="19" customFormat="1" ht="45.75" customHeight="1" x14ac:dyDescent="0.2">
      <c r="B30" s="1088"/>
      <c r="C30" s="26" t="s">
        <v>27</v>
      </c>
      <c r="D30" s="27">
        <v>4200</v>
      </c>
      <c r="E30" s="1053"/>
      <c r="F30" s="29">
        <f>SUM([3]March_2017!$J34)</f>
        <v>116.6</v>
      </c>
      <c r="G30" s="30">
        <f>SUM([3]March_2017!$F34)</f>
        <v>1761</v>
      </c>
      <c r="H30" s="29">
        <f>SUM([3]March_2017!$K34)</f>
        <v>116.226</v>
      </c>
      <c r="I30" s="31">
        <f>SUM([3]March_2017!$N34)</f>
        <v>9</v>
      </c>
      <c r="J30" s="992"/>
      <c r="K30" s="992"/>
      <c r="L30" s="1018"/>
      <c r="M30" s="32">
        <f>SUM([3]March_2017!$M34)</f>
        <v>158</v>
      </c>
      <c r="N30" s="236"/>
      <c r="O30" s="32"/>
      <c r="P30" s="33">
        <f>SUM([3]March_2017!$P34)</f>
        <v>0.32075471698112801</v>
      </c>
      <c r="Q30" s="32"/>
      <c r="R30" s="1040"/>
      <c r="S30" s="1040"/>
      <c r="T30" s="1040"/>
      <c r="U30" s="129"/>
      <c r="V30" s="1048"/>
      <c r="W30" s="1036"/>
      <c r="X30" s="1013" t="s">
        <v>506</v>
      </c>
      <c r="Y30" s="1014"/>
      <c r="Z30" s="1014"/>
      <c r="AA30" s="1014"/>
      <c r="AB30" s="1014"/>
      <c r="AC30" s="1014"/>
      <c r="AD30" s="1015"/>
    </row>
    <row r="31" spans="2:30" s="19" customFormat="1" ht="57" customHeight="1" x14ac:dyDescent="0.2">
      <c r="B31" s="1087">
        <v>42817</v>
      </c>
      <c r="C31" s="26" t="s">
        <v>27</v>
      </c>
      <c r="D31" s="27"/>
      <c r="E31" s="1051">
        <v>0.33055555555555555</v>
      </c>
      <c r="F31" s="29">
        <f>SUM([3]March_2017!$J35)</f>
        <v>148.30000000000001</v>
      </c>
      <c r="G31" s="30">
        <f>SUM([3]March_2017!$F35)</f>
        <v>2234</v>
      </c>
      <c r="H31" s="29">
        <f>SUM([3]March_2017!$K35)</f>
        <v>147.44400000000002</v>
      </c>
      <c r="I31" s="31">
        <f>SUM([3]March_2017!$N35)</f>
        <v>8</v>
      </c>
      <c r="J31" s="991">
        <f>SUM([3]March_2017!$Q35)</f>
        <v>550.3038309114927</v>
      </c>
      <c r="K31" s="991">
        <f>SUM([3]March_2017!$E35)</f>
        <v>757</v>
      </c>
      <c r="L31" s="1017">
        <v>0.8847222222222223</v>
      </c>
      <c r="M31" s="32">
        <f>SUM([3]March_2017!$M35)</f>
        <v>18</v>
      </c>
      <c r="N31" s="236"/>
      <c r="O31" s="32"/>
      <c r="P31" s="33">
        <f>SUM([3]March_2017!$P35)</f>
        <v>0.57720836142953102</v>
      </c>
      <c r="Q31" s="32"/>
      <c r="R31" s="1039">
        <f>($G31+$G32)/(($K31/60)*AE$3*(1/24))</f>
        <v>0.88048612945838844</v>
      </c>
      <c r="S31" s="1039">
        <f>($G31+$G32)/(($K31/60)*AF$3*(1/24))</f>
        <v>0.77689952599269574</v>
      </c>
      <c r="T31" s="1039">
        <f>(G31+G32)*24/(K31/60)/15000</f>
        <v>0.88048612945838833</v>
      </c>
      <c r="U31" s="129">
        <f>(H31+H34)*24/(M31/60)/15000</f>
        <v>2.3502613333333335</v>
      </c>
      <c r="V31" s="1047">
        <f>(G31+G32)*24/(K31/60)/17000</f>
        <v>0.77689952599269552</v>
      </c>
      <c r="W31" s="1035">
        <f>(857-(M31+M32))/857</f>
        <v>0.88914819136522749</v>
      </c>
      <c r="X31" s="1013" t="s">
        <v>507</v>
      </c>
      <c r="Y31" s="1014"/>
      <c r="Z31" s="1014"/>
      <c r="AA31" s="1014"/>
      <c r="AB31" s="1014"/>
      <c r="AC31" s="1014"/>
      <c r="AD31" s="1015"/>
    </row>
    <row r="32" spans="2:30" s="19" customFormat="1" ht="73.5" customHeight="1" x14ac:dyDescent="0.2">
      <c r="B32" s="1088"/>
      <c r="C32" s="26" t="s">
        <v>495</v>
      </c>
      <c r="D32" s="27">
        <v>4900</v>
      </c>
      <c r="E32" s="1053"/>
      <c r="F32" s="29">
        <f>SUM([3]March_2017!$J36)</f>
        <v>312.39999999999998</v>
      </c>
      <c r="G32" s="30">
        <f>SUM([3]March_2017!$F36)</f>
        <v>4709</v>
      </c>
      <c r="H32" s="29">
        <f>SUM([3]March_2017!$K36)</f>
        <v>310.79400000000004</v>
      </c>
      <c r="I32" s="31">
        <f>SUM([3]March_2017!$N36)</f>
        <v>18</v>
      </c>
      <c r="J32" s="992"/>
      <c r="K32" s="992"/>
      <c r="L32" s="1018"/>
      <c r="M32" s="32">
        <f>SUM([3]March_2017!$M36)</f>
        <v>77</v>
      </c>
      <c r="N32" s="236">
        <f>[4]Mar!$I$34/K31</f>
        <v>4.7556142668428003E-2</v>
      </c>
      <c r="O32" s="32"/>
      <c r="P32" s="33">
        <f>SUM([3]March_2017!$P36)</f>
        <v>0.51408450704223363</v>
      </c>
      <c r="Q32" s="32"/>
      <c r="R32" s="1040"/>
      <c r="S32" s="1040"/>
      <c r="T32" s="1040"/>
      <c r="U32" s="129"/>
      <c r="V32" s="1048"/>
      <c r="W32" s="1036"/>
      <c r="X32" s="1013" t="s">
        <v>508</v>
      </c>
      <c r="Y32" s="1014"/>
      <c r="Z32" s="1014"/>
      <c r="AA32" s="1014"/>
      <c r="AB32" s="1014"/>
      <c r="AC32" s="1014"/>
      <c r="AD32" s="1015"/>
    </row>
    <row r="33" spans="2:30" s="19" customFormat="1" ht="93.75" customHeight="1" x14ac:dyDescent="0.2">
      <c r="B33" s="286">
        <v>42818</v>
      </c>
      <c r="C33" s="26" t="s">
        <v>495</v>
      </c>
      <c r="D33" s="27">
        <v>4900</v>
      </c>
      <c r="E33" s="28">
        <v>0.3263888888888889</v>
      </c>
      <c r="F33" s="29">
        <f>SUM([3]March_2017!$J37)</f>
        <v>323.3</v>
      </c>
      <c r="G33" s="30">
        <f>SUM([3]March_2017!$F37)</f>
        <v>4878</v>
      </c>
      <c r="H33" s="29">
        <f>SUM([3]March_2017!$K37)</f>
        <v>321.94800000000004</v>
      </c>
      <c r="I33" s="31">
        <f>SUM([3]March_2017!$N37)</f>
        <v>18.25</v>
      </c>
      <c r="J33" s="285">
        <f>SUM([3]March_2017!$Q37)</f>
        <v>561.76583493282146</v>
      </c>
      <c r="K33" s="285">
        <f>SUM([3]March_2017!$E37)</f>
        <v>521</v>
      </c>
      <c r="L33" s="169">
        <v>0.72291666666666676</v>
      </c>
      <c r="M33" s="285">
        <f>SUM([3]March_2017!$M37)</f>
        <v>76</v>
      </c>
      <c r="N33" s="236"/>
      <c r="O33" s="32"/>
      <c r="P33" s="33">
        <f>SUM([3]March_2017!$P37)</f>
        <v>0.41818744200432273</v>
      </c>
      <c r="Q33" s="32"/>
      <c r="R33" s="224">
        <f>($G33)/(($K33/60)*AE$3*(1/24))</f>
        <v>0.89882533589251445</v>
      </c>
      <c r="S33" s="224">
        <f>($G33)/(($K33/60)*AF$3*(1/24))</f>
        <v>0.79308117872868933</v>
      </c>
      <c r="T33" s="224">
        <f>(G33)*24/(K33/60)/15000</f>
        <v>0.89882533589251434</v>
      </c>
      <c r="U33" s="129"/>
      <c r="V33" s="225">
        <f>(G33)*24/(K33/60)/17000</f>
        <v>0.79308117872868911</v>
      </c>
      <c r="W33" s="288">
        <f>(617-(M33))/617</f>
        <v>0.87682333873581852</v>
      </c>
      <c r="X33" s="1013" t="s">
        <v>509</v>
      </c>
      <c r="Y33" s="1014"/>
      <c r="Z33" s="1014"/>
      <c r="AA33" s="1014"/>
      <c r="AB33" s="1014"/>
      <c r="AC33" s="1014"/>
      <c r="AD33" s="1015"/>
    </row>
    <row r="34" spans="2:30" s="19" customFormat="1" ht="39" customHeight="1" x14ac:dyDescent="0.2">
      <c r="B34" s="287">
        <v>42821</v>
      </c>
      <c r="C34" s="26" t="s">
        <v>29</v>
      </c>
      <c r="D34" s="27">
        <v>4900</v>
      </c>
      <c r="E34" s="28">
        <v>0.37361111111111112</v>
      </c>
      <c r="F34" s="29">
        <f>SUM([3]March_2017!$J38)</f>
        <v>295.90000000000003</v>
      </c>
      <c r="G34" s="30">
        <f>SUM([3]March_2017!$F38)</f>
        <v>4155</v>
      </c>
      <c r="H34" s="29">
        <f>SUM([3]March_2017!$K38)</f>
        <v>293.23</v>
      </c>
      <c r="I34" s="31">
        <f>SUM([3]March_2017!$N38)</f>
        <v>22.25</v>
      </c>
      <c r="J34" s="285">
        <f>SUM([3]March_2017!$Q38)</f>
        <v>449.18918918918916</v>
      </c>
      <c r="K34" s="285">
        <f>SUM([3]March_2017!$E38)</f>
        <v>555</v>
      </c>
      <c r="L34" s="169">
        <v>0.7895833333333333</v>
      </c>
      <c r="M34" s="285">
        <f>SUM([3]March_2017!$M38)</f>
        <v>211</v>
      </c>
      <c r="N34" s="236"/>
      <c r="O34" s="32"/>
      <c r="P34" s="33">
        <f>SUM([3]March_2017!$P38)</f>
        <v>0.90233186887462502</v>
      </c>
      <c r="Q34" s="32"/>
      <c r="R34" s="224">
        <f>($G34)/(($K34/60)*AE$3*(1/24))</f>
        <v>0.71870270270270276</v>
      </c>
      <c r="S34" s="224">
        <f>($G34)/(($K34/60)*AF$3*(1/24))</f>
        <v>0.63414944356120828</v>
      </c>
      <c r="T34" s="224">
        <f>(G34)*24/(K34/60)/15000</f>
        <v>0.71870270270270264</v>
      </c>
      <c r="U34" s="129"/>
      <c r="V34" s="225">
        <f>(G34)*24/(K34/60)/17000</f>
        <v>0.63414944356120828</v>
      </c>
      <c r="W34" s="288">
        <f>(689-(M34))/689</f>
        <v>0.69375907111756163</v>
      </c>
      <c r="X34" s="1013" t="s">
        <v>496</v>
      </c>
      <c r="Y34" s="1014"/>
      <c r="Z34" s="1014"/>
      <c r="AA34" s="1014"/>
      <c r="AB34" s="1014"/>
      <c r="AC34" s="1014"/>
      <c r="AD34" s="1015"/>
    </row>
    <row r="35" spans="2:30" s="19" customFormat="1" ht="31.5" customHeight="1" x14ac:dyDescent="0.2">
      <c r="B35" s="1037">
        <v>42822</v>
      </c>
      <c r="C35" s="26" t="s">
        <v>27</v>
      </c>
      <c r="D35" s="27">
        <v>1400</v>
      </c>
      <c r="E35" s="1051">
        <v>0.41944444444444445</v>
      </c>
      <c r="F35" s="29">
        <f>SUM([3]March_2017!$J39)</f>
        <v>98.7</v>
      </c>
      <c r="G35" s="30">
        <f>SUM([3]March_2017!$F39)</f>
        <v>1398</v>
      </c>
      <c r="H35" s="29">
        <f>SUM([3]March_2017!$K39)</f>
        <v>96.067999999999998</v>
      </c>
      <c r="I35" s="31">
        <f>SUM([3]March_2017!$N39)</f>
        <v>11.5</v>
      </c>
      <c r="J35" s="991">
        <f>SUM([3]March_2017!$Q39)</f>
        <v>504.19161676646706</v>
      </c>
      <c r="K35" s="991">
        <f>SUM([3]March_2017!$E39)</f>
        <v>501</v>
      </c>
      <c r="L35" s="1017">
        <v>0.79583333333333339</v>
      </c>
      <c r="M35" s="285">
        <f>SUM([3]March_2017!$M39)</f>
        <v>155</v>
      </c>
      <c r="N35" s="236"/>
      <c r="O35" s="32"/>
      <c r="P35" s="33">
        <f>SUM([3]March_2017!$P39)</f>
        <v>2.6666666666666718</v>
      </c>
      <c r="Q35" s="32"/>
      <c r="R35" s="1039">
        <f>($G35+G36)/(($K35/60)*AE$3*(1/24))</f>
        <v>0.80670658682634733</v>
      </c>
      <c r="S35" s="1039">
        <f>($G35+G36)/(($K35/60)*AF$3*(1/24))</f>
        <v>0.71179992955265947</v>
      </c>
      <c r="T35" s="1039">
        <f>(G35+G36)*24/(K35/60)/15000</f>
        <v>0.80670658682634733</v>
      </c>
      <c r="U35" s="129"/>
      <c r="V35" s="1047">
        <f>(G35+G36)*24/(K35/60)/17000</f>
        <v>0.71179992955265947</v>
      </c>
      <c r="W35" s="1035">
        <f>(717-(M35+M36))/717</f>
        <v>0.66108786610878656</v>
      </c>
      <c r="X35" s="1013" t="s">
        <v>497</v>
      </c>
      <c r="Y35" s="1014"/>
      <c r="Z35" s="1014"/>
      <c r="AA35" s="1014"/>
      <c r="AB35" s="1014"/>
      <c r="AC35" s="1014"/>
      <c r="AD35" s="1015"/>
    </row>
    <row r="36" spans="2:30" s="19" customFormat="1" ht="26.25" customHeight="1" x14ac:dyDescent="0.2">
      <c r="B36" s="1038"/>
      <c r="C36" s="26" t="s">
        <v>29</v>
      </c>
      <c r="D36" s="27">
        <v>2100</v>
      </c>
      <c r="E36" s="1053"/>
      <c r="F36" s="29">
        <f>SUM([3]March_2017!$J40)</f>
        <v>186.7</v>
      </c>
      <c r="G36" s="30">
        <f>SUM([3]March_2017!$F40)</f>
        <v>2812</v>
      </c>
      <c r="H36" s="29">
        <f>SUM([3]March_2017!$K40)</f>
        <v>185.59200000000001</v>
      </c>
      <c r="I36" s="31">
        <f>SUM([3]March_2017!$N40)</f>
        <v>4</v>
      </c>
      <c r="J36" s="992"/>
      <c r="K36" s="992"/>
      <c r="L36" s="1018"/>
      <c r="M36" s="285">
        <f>SUM([3]March_2017!$M40)</f>
        <v>88</v>
      </c>
      <c r="N36" s="236"/>
      <c r="O36" s="32"/>
      <c r="P36" s="33">
        <f>SUM([3]March_2017!$P40)</f>
        <v>0.59346545259773742</v>
      </c>
      <c r="Q36" s="32"/>
      <c r="R36" s="1040"/>
      <c r="S36" s="1040"/>
      <c r="T36" s="1040"/>
      <c r="U36" s="129"/>
      <c r="V36" s="1048"/>
      <c r="W36" s="1036"/>
      <c r="X36" s="1013" t="s">
        <v>498</v>
      </c>
      <c r="Y36" s="1014"/>
      <c r="Z36" s="1014"/>
      <c r="AA36" s="1014"/>
      <c r="AB36" s="1014"/>
      <c r="AC36" s="1014"/>
      <c r="AD36" s="1015"/>
    </row>
    <row r="37" spans="2:30" s="19" customFormat="1" ht="42" customHeight="1" x14ac:dyDescent="0.2">
      <c r="B37" s="168">
        <v>42823</v>
      </c>
      <c r="C37" s="26" t="s">
        <v>30</v>
      </c>
      <c r="D37" s="27">
        <v>4900</v>
      </c>
      <c r="E37" s="28">
        <v>0.32777777777777778</v>
      </c>
      <c r="F37" s="29">
        <f>SUM([3]March_2017!$J41)</f>
        <v>311.60000000000002</v>
      </c>
      <c r="G37" s="30">
        <f>SUM([3]March_2017!$F41)</f>
        <v>4687</v>
      </c>
      <c r="H37" s="29">
        <f>SUM([3]March_2017!$K41)</f>
        <v>309.34200000000004</v>
      </c>
      <c r="I37" s="31">
        <f>SUM([3]March_2017!$N41)</f>
        <v>8.75</v>
      </c>
      <c r="J37" s="285">
        <f>SUM([3]March_2017!$Q41)</f>
        <v>478.26530612244892</v>
      </c>
      <c r="K37" s="285">
        <f>SUM([3]March_2017!$E41)</f>
        <v>588</v>
      </c>
      <c r="L37" s="169">
        <v>0.77361111111111114</v>
      </c>
      <c r="M37" s="285">
        <f>SUM([3]March_2017!$M41)</f>
        <v>163</v>
      </c>
      <c r="N37" s="236"/>
      <c r="O37" s="32"/>
      <c r="P37" s="33">
        <f>SUM([3]March_2017!$P41)</f>
        <v>0.72464698331193234</v>
      </c>
      <c r="Q37" s="32"/>
      <c r="R37" s="224">
        <f>($G37)/(($K37/60)*AE$3*(1/24))</f>
        <v>0.76522448979591839</v>
      </c>
      <c r="S37" s="224">
        <f>($G37)/(($K37/60)*AF$3*(1/24))</f>
        <v>0.67519807923169273</v>
      </c>
      <c r="T37" s="224">
        <f>(G37)*24/(K37/60)/15000</f>
        <v>0.76522448979591828</v>
      </c>
      <c r="U37" s="129"/>
      <c r="V37" s="225">
        <f>(G37)*24/(K37/60)/17000</f>
        <v>0.67519807923169262</v>
      </c>
      <c r="W37" s="288">
        <f>(688-(M37))/688</f>
        <v>0.76308139534883723</v>
      </c>
      <c r="X37" s="1013" t="s">
        <v>510</v>
      </c>
      <c r="Y37" s="1014"/>
      <c r="Z37" s="1014"/>
      <c r="AA37" s="1014"/>
      <c r="AB37" s="1014"/>
      <c r="AC37" s="1014"/>
      <c r="AD37" s="1015"/>
    </row>
    <row r="38" spans="2:30" s="19" customFormat="1" ht="57" customHeight="1" x14ac:dyDescent="0.2">
      <c r="B38" s="168">
        <v>42824</v>
      </c>
      <c r="C38" s="26" t="s">
        <v>31</v>
      </c>
      <c r="D38" s="27">
        <v>4000</v>
      </c>
      <c r="E38" s="28">
        <v>0.3298611111111111</v>
      </c>
      <c r="F38" s="29">
        <f>SUM([3]March_2017!$J42)</f>
        <v>302.60000000000002</v>
      </c>
      <c r="G38" s="30">
        <f>SUM([3]March_2017!$F42)</f>
        <v>4036</v>
      </c>
      <c r="H38" s="29">
        <f>SUM([3]March_2017!$K42)</f>
        <v>300.27839999999998</v>
      </c>
      <c r="I38" s="31">
        <f>SUM([3]March_2017!$N42)</f>
        <v>32</v>
      </c>
      <c r="J38" s="285">
        <f>SUM([3]March_2017!$Q42)</f>
        <v>430.12433392539964</v>
      </c>
      <c r="K38" s="285">
        <f>SUM([3]March_2017!$E42)</f>
        <v>563</v>
      </c>
      <c r="L38" s="169">
        <v>0.75069444444444444</v>
      </c>
      <c r="M38" s="285">
        <f>SUM([3]March_2017!$M42)</f>
        <v>130</v>
      </c>
      <c r="N38" s="236"/>
      <c r="O38" s="32"/>
      <c r="P38" s="33">
        <f>SUM([3]March_2017!$P42)</f>
        <v>0.76721744877727893</v>
      </c>
      <c r="Q38" s="32"/>
      <c r="R38" s="224">
        <f>($G38)/(($K38/60)*AE$3*(1/24))</f>
        <v>0.6881989342806395</v>
      </c>
      <c r="S38" s="224">
        <f>($G38)/(($K38/60)*AF$3*(1/24))</f>
        <v>0.60723435377703483</v>
      </c>
      <c r="T38" s="224">
        <f>(G38)*24/(K38/60)/15000</f>
        <v>0.6881989342806395</v>
      </c>
      <c r="U38" s="129"/>
      <c r="V38" s="225">
        <f>(G38)*24/(K38/60)/17000</f>
        <v>0.60723435377703483</v>
      </c>
      <c r="W38" s="288">
        <f>(653-(M38))/653</f>
        <v>0.80091883614088821</v>
      </c>
      <c r="X38" s="1013" t="s">
        <v>511</v>
      </c>
      <c r="Y38" s="1014"/>
      <c r="Z38" s="1014"/>
      <c r="AA38" s="1014"/>
      <c r="AB38" s="1014"/>
      <c r="AC38" s="1014"/>
      <c r="AD38" s="1015"/>
    </row>
    <row r="39" spans="2:30" s="19" customFormat="1" ht="19.5" customHeight="1" thickBot="1" x14ac:dyDescent="0.25">
      <c r="B39" s="168"/>
      <c r="C39" s="26"/>
      <c r="D39" s="27"/>
      <c r="E39" s="28"/>
      <c r="F39" s="29"/>
      <c r="G39" s="30"/>
      <c r="H39" s="29"/>
      <c r="I39" s="31"/>
      <c r="J39" s="285"/>
      <c r="K39" s="285"/>
      <c r="L39" s="169"/>
      <c r="M39" s="285"/>
      <c r="N39" s="236"/>
      <c r="O39" s="32"/>
      <c r="P39" s="33"/>
      <c r="Q39" s="32"/>
      <c r="R39" s="224"/>
      <c r="S39" s="224"/>
      <c r="T39" s="224"/>
      <c r="U39" s="129"/>
      <c r="V39" s="225"/>
      <c r="W39" s="288"/>
      <c r="X39" s="1013"/>
      <c r="Y39" s="1014"/>
      <c r="Z39" s="1014"/>
      <c r="AA39" s="1014"/>
      <c r="AB39" s="1014"/>
      <c r="AC39" s="1014"/>
      <c r="AD39" s="1015"/>
    </row>
    <row r="40" spans="2:30" s="19" customFormat="1" ht="19.5" hidden="1" customHeight="1" x14ac:dyDescent="0.2">
      <c r="B40" s="168"/>
      <c r="C40" s="26"/>
      <c r="D40" s="27"/>
      <c r="E40" s="28"/>
      <c r="F40" s="29"/>
      <c r="G40" s="30"/>
      <c r="H40" s="29"/>
      <c r="I40" s="31"/>
      <c r="J40" s="285"/>
      <c r="K40" s="285"/>
      <c r="L40" s="169"/>
      <c r="M40" s="285"/>
      <c r="N40" s="236"/>
      <c r="O40" s="32"/>
      <c r="P40" s="33"/>
      <c r="Q40" s="32"/>
      <c r="R40" s="224"/>
      <c r="S40" s="224"/>
      <c r="T40" s="224"/>
      <c r="U40" s="129"/>
      <c r="V40" s="225"/>
      <c r="W40" s="288"/>
      <c r="X40" s="1013"/>
      <c r="Y40" s="1014"/>
      <c r="Z40" s="1014"/>
      <c r="AA40" s="1014"/>
      <c r="AB40" s="1014"/>
      <c r="AC40" s="1014"/>
      <c r="AD40" s="1015"/>
    </row>
    <row r="41" spans="2:30" s="19" customFormat="1" ht="19.5" hidden="1" customHeight="1" x14ac:dyDescent="0.2">
      <c r="B41" s="168"/>
      <c r="C41" s="26"/>
      <c r="D41" s="27"/>
      <c r="E41" s="28"/>
      <c r="F41" s="29"/>
      <c r="G41" s="30"/>
      <c r="H41" s="29"/>
      <c r="I41" s="31"/>
      <c r="J41" s="285"/>
      <c r="K41" s="285"/>
      <c r="L41" s="169"/>
      <c r="M41" s="285"/>
      <c r="N41" s="236"/>
      <c r="O41" s="32"/>
      <c r="P41" s="33"/>
      <c r="Q41" s="32"/>
      <c r="R41" s="224"/>
      <c r="S41" s="224"/>
      <c r="T41" s="224"/>
      <c r="U41" s="129"/>
      <c r="V41" s="225"/>
      <c r="W41" s="288"/>
      <c r="X41" s="1013"/>
      <c r="Y41" s="1014"/>
      <c r="Z41" s="1014"/>
      <c r="AA41" s="1014"/>
      <c r="AB41" s="1014"/>
      <c r="AC41" s="1014"/>
      <c r="AD41" s="1015"/>
    </row>
    <row r="42" spans="2:30" s="19" customFormat="1" ht="19.5" hidden="1" customHeight="1" x14ac:dyDescent="0.2">
      <c r="B42" s="168"/>
      <c r="C42" s="26"/>
      <c r="D42" s="27"/>
      <c r="E42" s="28"/>
      <c r="F42" s="29"/>
      <c r="G42" s="30"/>
      <c r="H42" s="29"/>
      <c r="I42" s="31"/>
      <c r="J42" s="285"/>
      <c r="K42" s="285"/>
      <c r="L42" s="169"/>
      <c r="M42" s="285"/>
      <c r="N42" s="236"/>
      <c r="O42" s="32"/>
      <c r="P42" s="33"/>
      <c r="Q42" s="32"/>
      <c r="R42" s="224"/>
      <c r="S42" s="224"/>
      <c r="T42" s="224"/>
      <c r="U42" s="129"/>
      <c r="V42" s="225"/>
      <c r="W42" s="288"/>
      <c r="X42" s="1013"/>
      <c r="Y42" s="1014"/>
      <c r="Z42" s="1014"/>
      <c r="AA42" s="1014"/>
      <c r="AB42" s="1014"/>
      <c r="AC42" s="1014"/>
      <c r="AD42" s="1015"/>
    </row>
    <row r="43" spans="2:30" s="19" customFormat="1" ht="19.5" hidden="1" customHeight="1" x14ac:dyDescent="0.2">
      <c r="B43" s="168"/>
      <c r="C43" s="26"/>
      <c r="D43" s="27"/>
      <c r="E43" s="28"/>
      <c r="F43" s="29"/>
      <c r="G43" s="30"/>
      <c r="H43" s="29"/>
      <c r="I43" s="31"/>
      <c r="J43" s="32"/>
      <c r="K43" s="285"/>
      <c r="L43" s="169"/>
      <c r="M43" s="285"/>
      <c r="N43" s="236"/>
      <c r="O43" s="32"/>
      <c r="P43" s="33"/>
      <c r="Q43" s="32"/>
      <c r="R43" s="224"/>
      <c r="S43" s="224"/>
      <c r="T43" s="224"/>
      <c r="U43" s="129"/>
      <c r="V43" s="225"/>
      <c r="W43" s="288"/>
      <c r="X43" s="1013"/>
      <c r="Y43" s="1014"/>
      <c r="Z43" s="1014"/>
      <c r="AA43" s="1014"/>
      <c r="AB43" s="1014"/>
      <c r="AC43" s="1014"/>
      <c r="AD43" s="1015"/>
    </row>
    <row r="44" spans="2:30" s="19" customFormat="1" ht="19.5" hidden="1" customHeight="1" x14ac:dyDescent="0.2">
      <c r="B44" s="168"/>
      <c r="C44" s="26"/>
      <c r="D44" s="27"/>
      <c r="E44" s="28"/>
      <c r="F44" s="29"/>
      <c r="G44" s="30"/>
      <c r="H44" s="29"/>
      <c r="I44" s="31"/>
      <c r="J44" s="32"/>
      <c r="K44" s="285"/>
      <c r="L44" s="169"/>
      <c r="M44" s="285"/>
      <c r="N44" s="236"/>
      <c r="O44" s="32"/>
      <c r="P44" s="33"/>
      <c r="Q44" s="32"/>
      <c r="R44" s="224"/>
      <c r="S44" s="224"/>
      <c r="T44" s="224"/>
      <c r="U44" s="129"/>
      <c r="V44" s="225"/>
      <c r="W44" s="288"/>
      <c r="X44" s="1013"/>
      <c r="Y44" s="1014"/>
      <c r="Z44" s="1014"/>
      <c r="AA44" s="1014"/>
      <c r="AB44" s="1014"/>
      <c r="AC44" s="1014"/>
      <c r="AD44" s="1015"/>
    </row>
    <row r="45" spans="2:30" s="19" customFormat="1" ht="19.5" hidden="1" customHeight="1" x14ac:dyDescent="0.2">
      <c r="B45" s="168"/>
      <c r="C45" s="26"/>
      <c r="D45" s="27"/>
      <c r="E45" s="28"/>
      <c r="F45" s="29"/>
      <c r="G45" s="30"/>
      <c r="H45" s="29"/>
      <c r="I45" s="31"/>
      <c r="J45" s="32"/>
      <c r="K45" s="32"/>
      <c r="L45" s="169"/>
      <c r="M45" s="32"/>
      <c r="N45" s="236"/>
      <c r="O45" s="32"/>
      <c r="P45" s="33"/>
      <c r="Q45" s="32"/>
      <c r="R45" s="224"/>
      <c r="S45" s="224"/>
      <c r="T45" s="224"/>
      <c r="U45" s="129"/>
      <c r="V45" s="225"/>
      <c r="W45" s="288"/>
      <c r="X45" s="1013"/>
      <c r="Y45" s="1014"/>
      <c r="Z45" s="1014"/>
      <c r="AA45" s="1014"/>
      <c r="AB45" s="1014"/>
      <c r="AC45" s="1014"/>
      <c r="AD45" s="1015"/>
    </row>
    <row r="46" spans="2:30" s="19" customFormat="1" ht="19.5" hidden="1" customHeight="1" x14ac:dyDescent="0.2">
      <c r="B46" s="168"/>
      <c r="C46" s="26"/>
      <c r="D46" s="27"/>
      <c r="E46" s="28"/>
      <c r="F46" s="29"/>
      <c r="G46" s="30"/>
      <c r="H46" s="29"/>
      <c r="I46" s="31"/>
      <c r="J46" s="32"/>
      <c r="K46" s="32"/>
      <c r="L46" s="169"/>
      <c r="M46" s="32"/>
      <c r="N46" s="236"/>
      <c r="O46" s="32"/>
      <c r="P46" s="33"/>
      <c r="Q46" s="32"/>
      <c r="R46" s="129"/>
      <c r="S46" s="171"/>
      <c r="T46" s="129"/>
      <c r="U46" s="129"/>
      <c r="V46" s="227"/>
      <c r="W46" s="233"/>
      <c r="X46" s="1013"/>
      <c r="Y46" s="1014"/>
      <c r="Z46" s="1014"/>
      <c r="AA46" s="1014"/>
      <c r="AB46" s="1014"/>
      <c r="AC46" s="1014"/>
      <c r="AD46" s="1015"/>
    </row>
    <row r="47" spans="2:30" s="19" customFormat="1" ht="19.5" hidden="1" customHeight="1" x14ac:dyDescent="0.2">
      <c r="B47" s="168"/>
      <c r="C47" s="26"/>
      <c r="D47" s="27"/>
      <c r="E47" s="28"/>
      <c r="F47" s="29"/>
      <c r="G47" s="30"/>
      <c r="H47" s="29"/>
      <c r="I47" s="31"/>
      <c r="J47" s="32"/>
      <c r="K47" s="32"/>
      <c r="L47" s="169"/>
      <c r="M47" s="32"/>
      <c r="N47" s="236"/>
      <c r="O47" s="32"/>
      <c r="P47" s="33"/>
      <c r="Q47" s="32"/>
      <c r="R47" s="129"/>
      <c r="S47" s="171"/>
      <c r="T47" s="129"/>
      <c r="U47" s="129"/>
      <c r="V47" s="227"/>
      <c r="W47" s="233"/>
      <c r="X47" s="1013"/>
      <c r="Y47" s="1014"/>
      <c r="Z47" s="1014"/>
      <c r="AA47" s="1014"/>
      <c r="AB47" s="1014"/>
      <c r="AC47" s="1014"/>
      <c r="AD47" s="1015"/>
    </row>
    <row r="48" spans="2:30" s="19" customFormat="1" ht="19.5" hidden="1" customHeight="1" x14ac:dyDescent="0.2">
      <c r="B48" s="168"/>
      <c r="C48" s="26"/>
      <c r="D48" s="27"/>
      <c r="E48" s="28"/>
      <c r="F48" s="29"/>
      <c r="G48" s="30"/>
      <c r="H48" s="29"/>
      <c r="I48" s="31"/>
      <c r="J48" s="32"/>
      <c r="K48" s="32"/>
      <c r="L48" s="169"/>
      <c r="M48" s="32"/>
      <c r="N48" s="236"/>
      <c r="O48" s="32"/>
      <c r="P48" s="33"/>
      <c r="Q48" s="32"/>
      <c r="R48" s="129"/>
      <c r="S48" s="171"/>
      <c r="T48" s="129"/>
      <c r="U48" s="129"/>
      <c r="V48" s="227"/>
      <c r="W48" s="233"/>
      <c r="X48" s="1013"/>
      <c r="Y48" s="1014"/>
      <c r="Z48" s="1014"/>
      <c r="AA48" s="1014"/>
      <c r="AB48" s="1014"/>
      <c r="AC48" s="1014"/>
      <c r="AD48" s="1015"/>
    </row>
    <row r="49" spans="1:30" s="19" customFormat="1" ht="19.5" hidden="1" customHeight="1" x14ac:dyDescent="0.2">
      <c r="B49" s="168"/>
      <c r="C49" s="26"/>
      <c r="D49" s="27"/>
      <c r="E49" s="28"/>
      <c r="F49" s="29"/>
      <c r="G49" s="30"/>
      <c r="H49" s="29"/>
      <c r="I49" s="31"/>
      <c r="J49" s="32"/>
      <c r="K49" s="32"/>
      <c r="L49" s="169"/>
      <c r="M49" s="32"/>
      <c r="N49" s="236"/>
      <c r="O49" s="32"/>
      <c r="P49" s="33"/>
      <c r="Q49" s="32"/>
      <c r="R49" s="129"/>
      <c r="S49" s="171"/>
      <c r="T49" s="129"/>
      <c r="U49" s="129"/>
      <c r="V49" s="227"/>
      <c r="W49" s="233"/>
      <c r="X49" s="1013"/>
      <c r="Y49" s="1014"/>
      <c r="Z49" s="1014"/>
      <c r="AA49" s="1014"/>
      <c r="AB49" s="1014"/>
      <c r="AC49" s="1014"/>
      <c r="AD49" s="1015"/>
    </row>
    <row r="50" spans="1:30" s="19" customFormat="1" ht="19.5" hidden="1" customHeight="1" x14ac:dyDescent="0.2">
      <c r="B50" s="168"/>
      <c r="C50" s="26"/>
      <c r="D50" s="27"/>
      <c r="E50" s="28"/>
      <c r="F50" s="29"/>
      <c r="G50" s="30"/>
      <c r="H50" s="29"/>
      <c r="I50" s="31"/>
      <c r="J50" s="32"/>
      <c r="K50" s="32"/>
      <c r="L50" s="169"/>
      <c r="M50" s="32"/>
      <c r="N50" s="236"/>
      <c r="O50" s="32"/>
      <c r="P50" s="33"/>
      <c r="Q50" s="32"/>
      <c r="R50" s="129"/>
      <c r="S50" s="171"/>
      <c r="T50" s="129"/>
      <c r="U50" s="129"/>
      <c r="V50" s="227"/>
      <c r="W50" s="233"/>
      <c r="X50" s="1013"/>
      <c r="Y50" s="1014"/>
      <c r="Z50" s="1014"/>
      <c r="AA50" s="1014"/>
      <c r="AB50" s="1014"/>
      <c r="AC50" s="1014"/>
      <c r="AD50" s="1015"/>
    </row>
    <row r="51" spans="1:30" s="19" customFormat="1" ht="19.5" hidden="1" customHeight="1" x14ac:dyDescent="0.2">
      <c r="B51" s="168"/>
      <c r="C51" s="26"/>
      <c r="D51" s="27"/>
      <c r="E51" s="28"/>
      <c r="F51" s="29"/>
      <c r="G51" s="30"/>
      <c r="H51" s="29"/>
      <c r="I51" s="31"/>
      <c r="J51" s="32"/>
      <c r="K51" s="32"/>
      <c r="L51" s="169"/>
      <c r="M51" s="32"/>
      <c r="N51" s="236"/>
      <c r="O51" s="32"/>
      <c r="P51" s="33"/>
      <c r="Q51" s="32"/>
      <c r="R51" s="129"/>
      <c r="S51" s="171"/>
      <c r="T51" s="129"/>
      <c r="U51" s="129"/>
      <c r="V51" s="227"/>
      <c r="W51" s="233"/>
      <c r="X51" s="1013"/>
      <c r="Y51" s="1014"/>
      <c r="Z51" s="1014"/>
      <c r="AA51" s="1014"/>
      <c r="AB51" s="1014"/>
      <c r="AC51" s="1014"/>
      <c r="AD51" s="1015"/>
    </row>
    <row r="52" spans="1:30" s="19" customFormat="1" ht="19.5" hidden="1" customHeight="1" x14ac:dyDescent="0.2">
      <c r="B52" s="168"/>
      <c r="C52" s="26"/>
      <c r="D52" s="27"/>
      <c r="E52" s="28"/>
      <c r="F52" s="29"/>
      <c r="G52" s="30"/>
      <c r="H52" s="29"/>
      <c r="I52" s="31"/>
      <c r="J52" s="32"/>
      <c r="K52" s="32"/>
      <c r="L52" s="169"/>
      <c r="M52" s="32"/>
      <c r="N52" s="236"/>
      <c r="O52" s="32"/>
      <c r="P52" s="33"/>
      <c r="Q52" s="32"/>
      <c r="R52" s="129"/>
      <c r="S52" s="171"/>
      <c r="T52" s="129"/>
      <c r="U52" s="129"/>
      <c r="V52" s="227"/>
      <c r="W52" s="233"/>
      <c r="X52" s="1013"/>
      <c r="Y52" s="1014"/>
      <c r="Z52" s="1014"/>
      <c r="AA52" s="1014"/>
      <c r="AB52" s="1014"/>
      <c r="AC52" s="1014"/>
      <c r="AD52" s="1015"/>
    </row>
    <row r="53" spans="1:30" s="19" customFormat="1" ht="19.5" hidden="1" customHeight="1" x14ac:dyDescent="0.2">
      <c r="B53" s="168"/>
      <c r="C53" s="26"/>
      <c r="D53" s="27"/>
      <c r="E53" s="28"/>
      <c r="F53" s="29"/>
      <c r="G53" s="30"/>
      <c r="H53" s="29"/>
      <c r="I53" s="31"/>
      <c r="J53" s="32"/>
      <c r="K53" s="32"/>
      <c r="L53" s="169"/>
      <c r="M53" s="32"/>
      <c r="N53" s="236"/>
      <c r="O53" s="32"/>
      <c r="P53" s="33"/>
      <c r="Q53" s="32"/>
      <c r="R53" s="129"/>
      <c r="S53" s="171"/>
      <c r="T53" s="129"/>
      <c r="U53" s="129"/>
      <c r="V53" s="227"/>
      <c r="W53" s="233"/>
      <c r="X53" s="1013"/>
      <c r="Y53" s="1014"/>
      <c r="Z53" s="1014"/>
      <c r="AA53" s="1014"/>
      <c r="AB53" s="1014"/>
      <c r="AC53" s="1014"/>
      <c r="AD53" s="1015"/>
    </row>
    <row r="54" spans="1:30" s="19" customFormat="1" ht="19.5" hidden="1" customHeight="1" x14ac:dyDescent="0.2">
      <c r="B54" s="168"/>
      <c r="C54" s="26"/>
      <c r="D54" s="27"/>
      <c r="E54" s="28"/>
      <c r="F54" s="29"/>
      <c r="G54" s="30"/>
      <c r="H54" s="29"/>
      <c r="I54" s="31"/>
      <c r="J54" s="32"/>
      <c r="K54" s="32"/>
      <c r="L54" s="169"/>
      <c r="M54" s="32"/>
      <c r="N54" s="236"/>
      <c r="O54" s="32"/>
      <c r="P54" s="33"/>
      <c r="Q54" s="32"/>
      <c r="R54" s="129"/>
      <c r="S54" s="171"/>
      <c r="T54" s="129"/>
      <c r="U54" s="129"/>
      <c r="V54" s="227"/>
      <c r="W54" s="233"/>
      <c r="X54" s="1013"/>
      <c r="Y54" s="1014"/>
      <c r="Z54" s="1014"/>
      <c r="AA54" s="1014"/>
      <c r="AB54" s="1014"/>
      <c r="AC54" s="1014"/>
      <c r="AD54" s="1015"/>
    </row>
    <row r="55" spans="1:30" s="19" customFormat="1" ht="19.5" hidden="1" customHeight="1" x14ac:dyDescent="0.2">
      <c r="B55" s="168"/>
      <c r="C55" s="26"/>
      <c r="D55" s="27"/>
      <c r="E55" s="28"/>
      <c r="F55" s="29"/>
      <c r="G55" s="30"/>
      <c r="H55" s="29"/>
      <c r="I55" s="31"/>
      <c r="J55" s="32"/>
      <c r="K55" s="32"/>
      <c r="L55" s="169"/>
      <c r="M55" s="32"/>
      <c r="N55" s="236"/>
      <c r="O55" s="32"/>
      <c r="P55" s="33"/>
      <c r="Q55" s="32"/>
      <c r="R55" s="129"/>
      <c r="S55" s="171"/>
      <c r="T55" s="129"/>
      <c r="U55" s="129"/>
      <c r="V55" s="227"/>
      <c r="W55" s="233"/>
      <c r="X55" s="1013"/>
      <c r="Y55" s="1014"/>
      <c r="Z55" s="1014"/>
      <c r="AA55" s="1014"/>
      <c r="AB55" s="1014"/>
      <c r="AC55" s="1014"/>
      <c r="AD55" s="1015"/>
    </row>
    <row r="56" spans="1:30" s="19" customFormat="1" ht="19.5" hidden="1" customHeight="1" x14ac:dyDescent="0.2">
      <c r="B56" s="168"/>
      <c r="C56" s="26"/>
      <c r="D56" s="27"/>
      <c r="E56" s="28"/>
      <c r="F56" s="29"/>
      <c r="G56" s="30"/>
      <c r="H56" s="29"/>
      <c r="I56" s="31"/>
      <c r="J56" s="32"/>
      <c r="K56" s="32"/>
      <c r="L56" s="169"/>
      <c r="M56" s="32"/>
      <c r="N56" s="236"/>
      <c r="O56" s="32"/>
      <c r="P56" s="33"/>
      <c r="Q56" s="32"/>
      <c r="R56" s="129"/>
      <c r="S56" s="171"/>
      <c r="T56" s="129"/>
      <c r="U56" s="129"/>
      <c r="V56" s="227"/>
      <c r="W56" s="233"/>
      <c r="X56" s="1013"/>
      <c r="Y56" s="1014"/>
      <c r="Z56" s="1014"/>
      <c r="AA56" s="1014"/>
      <c r="AB56" s="1014"/>
      <c r="AC56" s="1014"/>
      <c r="AD56" s="1015"/>
    </row>
    <row r="57" spans="1:30" s="19" customFormat="1" ht="19.5" hidden="1" customHeight="1" x14ac:dyDescent="0.2">
      <c r="B57" s="168"/>
      <c r="C57" s="26"/>
      <c r="D57" s="27"/>
      <c r="E57" s="28"/>
      <c r="F57" s="29"/>
      <c r="G57" s="30"/>
      <c r="H57" s="29"/>
      <c r="I57" s="31"/>
      <c r="J57" s="32"/>
      <c r="K57" s="32"/>
      <c r="L57" s="169"/>
      <c r="M57" s="32"/>
      <c r="N57" s="236"/>
      <c r="O57" s="32"/>
      <c r="P57" s="33"/>
      <c r="Q57" s="32"/>
      <c r="R57" s="129"/>
      <c r="S57" s="171"/>
      <c r="T57" s="129"/>
      <c r="U57" s="129"/>
      <c r="V57" s="227"/>
      <c r="W57" s="233"/>
      <c r="X57" s="1013"/>
      <c r="Y57" s="1014"/>
      <c r="Z57" s="1014"/>
      <c r="AA57" s="1014"/>
      <c r="AB57" s="1014"/>
      <c r="AC57" s="1014"/>
      <c r="AD57" s="1015"/>
    </row>
    <row r="58" spans="1:30" s="19" customFormat="1" ht="19.5" hidden="1" customHeight="1" x14ac:dyDescent="0.2">
      <c r="B58" s="168"/>
      <c r="C58" s="26"/>
      <c r="D58" s="27"/>
      <c r="E58" s="28"/>
      <c r="F58" s="29"/>
      <c r="G58" s="30"/>
      <c r="H58" s="29"/>
      <c r="I58" s="31"/>
      <c r="J58" s="32"/>
      <c r="K58" s="32"/>
      <c r="L58" s="169"/>
      <c r="M58" s="32"/>
      <c r="N58" s="236"/>
      <c r="O58" s="32"/>
      <c r="P58" s="33"/>
      <c r="Q58" s="32"/>
      <c r="R58" s="129"/>
      <c r="S58" s="171"/>
      <c r="T58" s="129"/>
      <c r="U58" s="129"/>
      <c r="V58" s="227"/>
      <c r="W58" s="233"/>
      <c r="X58" s="1013"/>
      <c r="Y58" s="1014"/>
      <c r="Z58" s="1014"/>
      <c r="AA58" s="1014"/>
      <c r="AB58" s="1014"/>
      <c r="AC58" s="1014"/>
      <c r="AD58" s="1015"/>
    </row>
    <row r="59" spans="1:30" s="19" customFormat="1" ht="19.5" hidden="1" customHeight="1" thickBot="1" x14ac:dyDescent="0.25">
      <c r="B59" s="168"/>
      <c r="C59" s="26"/>
      <c r="D59" s="27"/>
      <c r="E59" s="28"/>
      <c r="F59" s="29"/>
      <c r="G59" s="30"/>
      <c r="H59" s="29"/>
      <c r="I59" s="31"/>
      <c r="J59" s="32"/>
      <c r="K59" s="32"/>
      <c r="L59" s="169"/>
      <c r="M59" s="32"/>
      <c r="N59" s="236"/>
      <c r="O59" s="32"/>
      <c r="P59" s="33"/>
      <c r="Q59" s="32"/>
      <c r="R59" s="129"/>
      <c r="S59" s="171"/>
      <c r="T59" s="129"/>
      <c r="U59" s="129"/>
      <c r="V59" s="227"/>
      <c r="W59" s="233"/>
      <c r="X59" s="1075"/>
      <c r="Y59" s="1076"/>
      <c r="Z59" s="1076"/>
      <c r="AA59" s="1076"/>
      <c r="AB59" s="1076"/>
      <c r="AC59" s="1076"/>
      <c r="AD59" s="1077"/>
    </row>
    <row r="60" spans="1:30" s="19" customFormat="1" ht="21" customHeight="1" thickBot="1" x14ac:dyDescent="0.35">
      <c r="B60" s="240" t="s">
        <v>3</v>
      </c>
      <c r="C60" s="241"/>
      <c r="D60" s="242">
        <f>SUM(D4:D58)</f>
        <v>98735</v>
      </c>
      <c r="E60" s="243">
        <f>AVERAGE(E4:E58)</f>
        <v>0.34624368686868684</v>
      </c>
      <c r="F60" s="244">
        <f>SUM(F4:F58)</f>
        <v>6748.4732380952391</v>
      </c>
      <c r="G60" s="242">
        <f>SUM(G4:G58)</f>
        <v>97998</v>
      </c>
      <c r="H60" s="244">
        <f>SUM(H4:H58)</f>
        <v>6689.6954000000005</v>
      </c>
      <c r="I60" s="245">
        <f>SUM(I4:I58)</f>
        <v>404.75</v>
      </c>
      <c r="J60" s="245">
        <f>G60/(K60/60)</f>
        <v>464.88614800759012</v>
      </c>
      <c r="K60" s="242">
        <f>SUM(K4:K58)</f>
        <v>12648</v>
      </c>
      <c r="L60" s="246">
        <f>AVERAGE(L4:L59)</f>
        <v>0.77146464646464641</v>
      </c>
      <c r="M60" s="242">
        <f>SUM(M4:M58)</f>
        <v>3351</v>
      </c>
      <c r="N60" s="247">
        <f>[4]Mar!$I$54/K60</f>
        <v>2.4984187223276406E-2</v>
      </c>
      <c r="O60" s="245">
        <f>SUM(O4:O59)</f>
        <v>0</v>
      </c>
      <c r="P60" s="248">
        <f>(F60-H60)/F60</f>
        <v>8.7097979085753487E-3</v>
      </c>
      <c r="Q60" s="249">
        <f>SUM(Q4:Q58)</f>
        <v>0</v>
      </c>
      <c r="R60" s="250">
        <f>((R4*($G$4))+(R5*$G$5)+(R6*($G$6+$G$7))+(R8*$G$8)+(R9*($G$9+$G$10))+(R11*$G$11)+(R12*$G$12)+(R13*($G$13+$G$14))+(R15*($G$15+$G$16+$G$17+$G$18))+(R19*$G$19)+(R20*($G$20))+(R21*$G$21)+(R22*($G$22+$G$23+$G$24))+(R25*($G$25+$G$26))+(R27*($G$27+$G$28))+(R29*($G$29+$G$30))+(R31*($G$31+$G$32))+(R33*($G$33))+(R34*($G$34))+(R35*($G$35+$G$36))+(R37*($G$37))+(R38*($G$38)))/($G$60)</f>
        <v>0.7628467536928768</v>
      </c>
      <c r="S60" s="250">
        <f>((S4*($G$4))+(S5*$G$5)+(S6*($G$6+$G$7))+(S8*$G$8)+(S9*($G$9+$G$10))+(S11*$G$11)+(S12*$G$12)+(S13*($G$13+$G$14))+(S15*($G$15+$G$16+$G$17+$G$18))+(S19*$G$19)+(S20*($G$20))+(S21*$G$21)+(S22*($G$22+$G$23+$G$24))+(S25*($G$25+$G$26))+(S27*($G$27+$G$28))+(S29*($G$29+$G$30))+(S31*($G$31+$G$32))+(S33*($G$33))+(S34*($G$34))+(S35*($G$35+$G$36))+(S37*($G$37))+(S38*($G$38)))/($G$60)</f>
        <v>0.67310007678783235</v>
      </c>
      <c r="T60" s="250">
        <f>(G60)*24/(K60/60)/15000</f>
        <v>0.74381783681214408</v>
      </c>
      <c r="U60" s="250">
        <f>H60*24/(M60/60)/15000</f>
        <v>0.19164749579230081</v>
      </c>
      <c r="V60" s="251">
        <f>(G60)*24/(K60/60)/17000</f>
        <v>0.65630985601071545</v>
      </c>
      <c r="W60" s="252">
        <f>(14930-(M60-849))/14930</f>
        <v>0.83241795043536504</v>
      </c>
      <c r="X60" s="1089"/>
      <c r="Y60" s="1090"/>
      <c r="Z60" s="1090"/>
      <c r="AA60" s="1090"/>
      <c r="AB60" s="1090"/>
      <c r="AC60" s="1090"/>
      <c r="AD60" s="1091"/>
    </row>
    <row r="61" spans="1:30" s="271" customFormat="1" ht="21" hidden="1" customHeight="1" thickTop="1" x14ac:dyDescent="0.3">
      <c r="A61" s="274"/>
      <c r="B61" s="260" t="s">
        <v>474</v>
      </c>
      <c r="C61" s="260"/>
      <c r="D61" s="261"/>
      <c r="E61" s="262"/>
      <c r="F61" s="263"/>
      <c r="G61" s="261"/>
      <c r="H61" s="263"/>
      <c r="I61" s="273"/>
      <c r="J61" s="273">
        <v>524</v>
      </c>
      <c r="K61" s="261"/>
      <c r="L61" s="265"/>
      <c r="M61" s="261"/>
      <c r="N61" s="266"/>
      <c r="O61" s="264"/>
      <c r="P61" s="267">
        <v>1.0999999999999999E-2</v>
      </c>
      <c r="Q61" s="268"/>
      <c r="R61" s="268"/>
      <c r="S61" s="268">
        <v>0.6</v>
      </c>
      <c r="T61" s="268"/>
      <c r="U61" s="268"/>
      <c r="V61" s="268">
        <v>0.74</v>
      </c>
      <c r="W61" s="269">
        <v>0.95</v>
      </c>
      <c r="X61" s="270"/>
      <c r="Y61" s="270"/>
      <c r="Z61" s="270"/>
      <c r="AA61" s="270"/>
      <c r="AB61" s="270"/>
      <c r="AC61" s="270"/>
      <c r="AD61" s="270"/>
    </row>
    <row r="62" spans="1:30" ht="21.75" customHeight="1" thickTop="1" x14ac:dyDescent="0.25">
      <c r="B62" s="11"/>
      <c r="C62" s="150" t="s">
        <v>35</v>
      </c>
      <c r="D62" s="210">
        <v>97890</v>
      </c>
      <c r="E62" s="1081" t="s">
        <v>481</v>
      </c>
      <c r="F62" s="1081"/>
      <c r="G62" s="210">
        <f>D62-G60</f>
        <v>-108</v>
      </c>
      <c r="H62" s="150" t="s">
        <v>327</v>
      </c>
      <c r="I62" s="272">
        <f>G60/D62</f>
        <v>1.0011032791909287</v>
      </c>
      <c r="J62" s="152">
        <v>0</v>
      </c>
      <c r="K62" s="12"/>
      <c r="L62" s="12"/>
      <c r="M62" s="12"/>
      <c r="N62" s="12"/>
      <c r="O62" s="13"/>
      <c r="P62" s="14"/>
      <c r="Q62" s="12"/>
      <c r="R62" s="15"/>
      <c r="S62" s="16"/>
      <c r="T62" s="15"/>
      <c r="U62" s="15"/>
      <c r="V62" s="15"/>
      <c r="W62" s="15"/>
      <c r="X62" s="17" t="s">
        <v>48</v>
      </c>
    </row>
    <row r="63" spans="1:30" ht="20.25" customHeight="1" x14ac:dyDescent="0.25">
      <c r="B63" s="11"/>
      <c r="C63" s="150" t="s">
        <v>37</v>
      </c>
      <c r="D63" s="210">
        <f>February_17!D62+March_17!D62</f>
        <v>258420</v>
      </c>
      <c r="E63" s="1081" t="s">
        <v>36</v>
      </c>
      <c r="F63" s="1081"/>
      <c r="G63" s="210">
        <f>February_17!G62+March_17!G60</f>
        <v>256786</v>
      </c>
      <c r="H63" s="150" t="s">
        <v>326</v>
      </c>
      <c r="I63" s="212">
        <v>0</v>
      </c>
      <c r="J63" s="152"/>
      <c r="K63" s="12">
        <v>0</v>
      </c>
      <c r="L63" s="12"/>
      <c r="M63" s="12"/>
      <c r="N63" s="12"/>
      <c r="O63" s="13"/>
      <c r="P63" s="14"/>
      <c r="Q63" s="12"/>
      <c r="R63" s="15"/>
      <c r="S63" s="16"/>
      <c r="T63" s="15"/>
      <c r="U63" s="15"/>
      <c r="V63" s="15"/>
      <c r="W63" s="15"/>
      <c r="X63" s="17"/>
    </row>
    <row r="64" spans="1:30" ht="6.75" customHeight="1" thickBot="1" x14ac:dyDescent="0.3">
      <c r="C64" s="23"/>
      <c r="D64" s="42"/>
      <c r="E64" s="1082"/>
      <c r="F64" s="1082"/>
      <c r="G64" s="42"/>
      <c r="H64" s="44"/>
      <c r="I64" s="44"/>
      <c r="J64" s="149"/>
      <c r="O64"/>
      <c r="R64" s="10"/>
      <c r="X64" s="17"/>
    </row>
    <row r="65" spans="2:29" ht="48.75" customHeight="1" thickTop="1" thickBot="1" x14ac:dyDescent="0.25">
      <c r="B65" s="7"/>
      <c r="C65" s="206" t="s">
        <v>19</v>
      </c>
      <c r="D65" s="207" t="s">
        <v>14</v>
      </c>
      <c r="E65" s="207" t="s">
        <v>23</v>
      </c>
      <c r="F65" s="207" t="s">
        <v>24</v>
      </c>
      <c r="G65" s="208" t="s">
        <v>15</v>
      </c>
      <c r="H65" s="207" t="s">
        <v>17</v>
      </c>
      <c r="I65" s="207" t="s">
        <v>16</v>
      </c>
      <c r="J65" s="209" t="s">
        <v>316</v>
      </c>
      <c r="O65"/>
      <c r="P65" s="141" t="s">
        <v>325</v>
      </c>
      <c r="Q65" s="90" t="s">
        <v>320</v>
      </c>
      <c r="R65" s="90" t="s">
        <v>466</v>
      </c>
      <c r="S65" s="90" t="s">
        <v>467</v>
      </c>
      <c r="T65" s="90" t="s">
        <v>323</v>
      </c>
      <c r="U65" s="142"/>
      <c r="V65" s="143" t="s">
        <v>324</v>
      </c>
      <c r="W65" s="228"/>
      <c r="Y65" s="165" t="s">
        <v>375</v>
      </c>
      <c r="Z65" s="166" t="s">
        <v>376</v>
      </c>
      <c r="AA65" s="166" t="s">
        <v>377</v>
      </c>
      <c r="AB65" s="167" t="s">
        <v>378</v>
      </c>
    </row>
    <row r="66" spans="2:29" ht="21" thickBot="1" x14ac:dyDescent="0.35">
      <c r="B66" s="8"/>
      <c r="C66" s="201">
        <v>1</v>
      </c>
      <c r="D66" s="202" t="s">
        <v>20</v>
      </c>
      <c r="E66" s="182">
        <f>SUM(G8,G9:G10,G11,G12,G13:G14,G15:G16,G21,G27:G28,G29:G30,G31,G34,G35:G36)</f>
        <v>52118</v>
      </c>
      <c r="F66" s="183">
        <f>SUM(K8,K9,K11,K12,K13,K15,K21,K27,K29,K31,K34,K35)</f>
        <v>7418</v>
      </c>
      <c r="G66" s="184">
        <f>SUM(F8,F9:F10,F11,F12,F13:F14,F15,F21,F27,F29:F30,F31,F34,F35:F36)</f>
        <v>3543.6999999999994</v>
      </c>
      <c r="H66" s="184">
        <f>SUM(H8,H9:H10,H11,H12,H13:H14,H15,H21,H27,H29:H30,H31,H34,H35:H36)</f>
        <v>3521.8680000000004</v>
      </c>
      <c r="I66" s="97">
        <f t="shared" ref="I66:I71" si="1">(G66-H66)/G66</f>
        <v>6.1607923921322277E-3</v>
      </c>
      <c r="J66" s="186">
        <f>(E66+G17+G18+G32)*24/(F66/60)/17000</f>
        <v>0.67384454347929512</v>
      </c>
      <c r="O66"/>
      <c r="P66" s="253">
        <f>T80</f>
        <v>8.62370715652328E-3</v>
      </c>
      <c r="Q66" s="254"/>
      <c r="R66" s="255">
        <f>((January_17!$Q$60*January_17!$G$60)+(February_17!$R$60*February_17!$G$60)+(March_17!$R$60*March_17!$G$60))/($G$63)</f>
        <v>0.78189292441191616</v>
      </c>
      <c r="S66" s="255">
        <f>((January_17!$R$60*January_17!G60)+(February_17!$S$60*February_17!$G$60)+(March_17!$S$60*March_17!$G$60))/($G$63)</f>
        <v>0.69224896980378137</v>
      </c>
      <c r="T66" s="254">
        <f>T79</f>
        <v>0.75817973795903304</v>
      </c>
      <c r="U66" s="256"/>
      <c r="V66" s="257">
        <f>V79</f>
        <v>0.66898212172855864</v>
      </c>
      <c r="W66" s="229"/>
      <c r="Y66" s="176" t="s">
        <v>370</v>
      </c>
      <c r="Z66" s="178"/>
      <c r="AA66" s="178">
        <f>[5]Mar_2017!F85</f>
        <v>6.193464586616481E-2</v>
      </c>
      <c r="AB66" s="179">
        <f>[5]YearToDate!F5</f>
        <v>5.7508070397275124E-2</v>
      </c>
    </row>
    <row r="67" spans="2:29" s="1" customFormat="1" ht="18.75" thickTop="1" x14ac:dyDescent="0.25">
      <c r="B67" s="8"/>
      <c r="C67" s="203">
        <v>2</v>
      </c>
      <c r="D67" s="204" t="s">
        <v>21</v>
      </c>
      <c r="E67" s="182">
        <f>SUM(G19,G32:G33,G37)</f>
        <v>18945</v>
      </c>
      <c r="F67" s="183">
        <f>SUM(K19,K31:K33,K37)</f>
        <v>2432</v>
      </c>
      <c r="G67" s="184">
        <f>SUM(F19,F32:F33,F37)</f>
        <v>1258</v>
      </c>
      <c r="H67" s="184">
        <f>SUM(H19,H32:H33,H37)</f>
        <v>1250.3700000000001</v>
      </c>
      <c r="I67" s="97">
        <f t="shared" si="1"/>
        <v>6.0651828298886185E-3</v>
      </c>
      <c r="J67" s="186">
        <f>(E67+G31)*24/(F67/60)/17000</f>
        <v>0.73765866873065022</v>
      </c>
      <c r="K67"/>
      <c r="L67"/>
      <c r="M67"/>
      <c r="N67"/>
      <c r="O67" s="2"/>
      <c r="S67"/>
      <c r="T67"/>
      <c r="U67"/>
      <c r="V67"/>
      <c r="X67"/>
      <c r="Y67" s="213" t="s">
        <v>371</v>
      </c>
      <c r="Z67" s="216"/>
      <c r="AA67" s="215">
        <f>[5]Mar_2017!F86</f>
        <v>7.6859133450946387E-2</v>
      </c>
      <c r="AB67" s="214">
        <f>[5]YearToDate!F6</f>
        <v>7.4495145412179109E-2</v>
      </c>
      <c r="AC67"/>
    </row>
    <row r="68" spans="2:29" s="1" customFormat="1" ht="18" x14ac:dyDescent="0.25">
      <c r="B68" s="8"/>
      <c r="C68" s="201">
        <v>3</v>
      </c>
      <c r="D68" s="204" t="s">
        <v>124</v>
      </c>
      <c r="E68" s="187"/>
      <c r="F68" s="188"/>
      <c r="G68" s="189"/>
      <c r="H68" s="189"/>
      <c r="I68" s="109" t="e">
        <f t="shared" si="1"/>
        <v>#DIV/0!</v>
      </c>
      <c r="J68" s="191"/>
      <c r="K68"/>
      <c r="L68"/>
      <c r="M68"/>
      <c r="N68"/>
      <c r="O68" s="2"/>
      <c r="S68"/>
      <c r="T68"/>
      <c r="U68"/>
      <c r="V68"/>
      <c r="X68"/>
      <c r="Y68" s="177" t="s">
        <v>372</v>
      </c>
      <c r="Z68" s="217"/>
      <c r="AA68" s="180">
        <f>[5]Mar_2017!F87</f>
        <v>5.3108078071596766E-2</v>
      </c>
      <c r="AB68" s="181">
        <f>[5]YearToDate!F7</f>
        <v>5.2359214885581859E-2</v>
      </c>
      <c r="AC68"/>
    </row>
    <row r="69" spans="2:29" s="1" customFormat="1" ht="18" x14ac:dyDescent="0.25">
      <c r="B69" s="8"/>
      <c r="C69" s="203">
        <v>4</v>
      </c>
      <c r="D69" s="204" t="s">
        <v>18</v>
      </c>
      <c r="E69" s="182">
        <f>SUM(G5,G20,G38)</f>
        <v>13218</v>
      </c>
      <c r="F69" s="183">
        <f>SUM(K5,K20,K38)</f>
        <v>1732</v>
      </c>
      <c r="G69" s="182">
        <f>SUM(F5,F20,F38)</f>
        <v>946.19999999999993</v>
      </c>
      <c r="H69" s="182">
        <f>SUM(H5,H20,H38)</f>
        <v>939.76440000000002</v>
      </c>
      <c r="I69" s="97">
        <f t="shared" si="1"/>
        <v>6.8015218769815148E-3</v>
      </c>
      <c r="J69" s="186">
        <f>(E69)*24/(F69/60)/17000</f>
        <v>0.6464447765249286</v>
      </c>
      <c r="K69"/>
      <c r="L69"/>
      <c r="M69"/>
      <c r="N69"/>
      <c r="O69" s="2"/>
      <c r="P69" s="159"/>
      <c r="Q69" s="159"/>
      <c r="R69" s="159"/>
      <c r="S69" s="160"/>
      <c r="T69" s="160"/>
      <c r="U69" s="161"/>
      <c r="V69" s="161"/>
      <c r="W69" s="234"/>
      <c r="X69"/>
      <c r="Y69" s="213" t="s">
        <v>373</v>
      </c>
      <c r="Z69" s="216"/>
      <c r="AA69" s="215">
        <f>[5]Mar_2017!F88</f>
        <v>4.5690238220485457E-2</v>
      </c>
      <c r="AB69" s="214">
        <f>[5]YearToDate!F8</f>
        <v>5.4903170815414681E-2</v>
      </c>
    </row>
    <row r="70" spans="2:29" s="1" customFormat="1" ht="18" x14ac:dyDescent="0.25">
      <c r="B70" s="8"/>
      <c r="C70" s="201">
        <v>5</v>
      </c>
      <c r="D70" s="205" t="s">
        <v>26</v>
      </c>
      <c r="E70" s="192">
        <f>SUM(G4,G6:G7,G17:G18)</f>
        <v>8150</v>
      </c>
      <c r="F70" s="193">
        <f>SUM(K4,K6,K15)</f>
        <v>1481</v>
      </c>
      <c r="G70" s="194">
        <f>SUM(F4,F6:F7,F17:F18)</f>
        <v>548.35799999999995</v>
      </c>
      <c r="H70" s="194">
        <f>SUM(H4,H6:H7,H17:H18)</f>
        <v>537.9</v>
      </c>
      <c r="I70" s="97">
        <f t="shared" si="1"/>
        <v>1.9071482498659583E-2</v>
      </c>
      <c r="J70" s="186">
        <f>(E70+G15+G16)*24/(F70/60)/17000</f>
        <v>0.64064185566191356</v>
      </c>
      <c r="K70"/>
      <c r="L70"/>
      <c r="M70"/>
      <c r="N70"/>
      <c r="O70" s="2"/>
      <c r="P70" s="159"/>
      <c r="R70" s="8"/>
      <c r="S70"/>
      <c r="T70"/>
      <c r="U70" s="6"/>
      <c r="V70" s="6"/>
      <c r="W70" s="10"/>
      <c r="X70"/>
      <c r="Y70" s="177" t="s">
        <v>374</v>
      </c>
      <c r="Z70" s="217">
        <f>[5]Mar_2017!$F$38</f>
        <v>4.5308095046314945E-2</v>
      </c>
      <c r="AA70" s="180">
        <f>[5]Mar_2017!F89</f>
        <v>8.9077846071864974E-2</v>
      </c>
      <c r="AB70" s="181">
        <f>[5]YearToDate!F9</f>
        <v>7.6171674114030377E-2</v>
      </c>
    </row>
    <row r="71" spans="2:29" s="1" customFormat="1" ht="18.75" thickBot="1" x14ac:dyDescent="0.3">
      <c r="B71" s="8"/>
      <c r="C71" s="203">
        <v>6</v>
      </c>
      <c r="D71" s="205" t="s">
        <v>25</v>
      </c>
      <c r="E71" s="192">
        <f>SUM(G22:G26)</f>
        <v>5567</v>
      </c>
      <c r="F71" s="193">
        <f>SUM(K22,K25)</f>
        <v>981</v>
      </c>
      <c r="G71" s="194">
        <f>SUM(F22:F26)</f>
        <v>452.21523809523813</v>
      </c>
      <c r="H71" s="194">
        <f>SUM(H22:H26)</f>
        <v>439.79300000000001</v>
      </c>
      <c r="I71" s="109">
        <f t="shared" si="1"/>
        <v>2.7469746812516658E-2</v>
      </c>
      <c r="J71" s="191">
        <f>(E71)*24/(F71/60)/17000</f>
        <v>0.48069077172153263</v>
      </c>
      <c r="K71"/>
      <c r="L71"/>
      <c r="M71"/>
      <c r="N71"/>
      <c r="O71" s="2"/>
      <c r="P71" s="159"/>
      <c r="S71"/>
      <c r="T71"/>
      <c r="U71"/>
      <c r="V71"/>
      <c r="X71"/>
      <c r="Y71" s="218" t="s">
        <v>25</v>
      </c>
      <c r="Z71" s="219"/>
      <c r="AA71" s="215">
        <f>[5]Mar_2017!F90</f>
        <v>8.9788986847810382E-3</v>
      </c>
      <c r="AB71" s="220">
        <f>[5]YearToDate!F10</f>
        <v>4.5790074270967041E-2</v>
      </c>
    </row>
    <row r="72" spans="2:29" s="1" customFormat="1" ht="19.5" thickTop="1" thickBot="1" x14ac:dyDescent="0.3">
      <c r="C72" s="112"/>
      <c r="D72" s="195" t="s">
        <v>22</v>
      </c>
      <c r="E72" s="196">
        <f>SUM(E66:E71)</f>
        <v>97998</v>
      </c>
      <c r="F72" s="197">
        <f>K60</f>
        <v>12648</v>
      </c>
      <c r="G72" s="198">
        <f>SUM(G66:G71)</f>
        <v>6748.4732380952373</v>
      </c>
      <c r="H72" s="198">
        <f>SUM(H66:H71)</f>
        <v>6689.6953999999996</v>
      </c>
      <c r="I72" s="199">
        <f>((G72)-(H72))/(G72)</f>
        <v>8.7097979085752151E-3</v>
      </c>
      <c r="J72" s="200">
        <f>E72*24/(F72/60)/17000</f>
        <v>0.65630985601071545</v>
      </c>
      <c r="K72"/>
      <c r="L72"/>
      <c r="M72"/>
      <c r="N72"/>
      <c r="O72" s="139"/>
      <c r="P72" s="159"/>
      <c r="S72"/>
      <c r="T72"/>
      <c r="U72"/>
      <c r="V72"/>
      <c r="X72"/>
      <c r="Y72" s="221" t="s">
        <v>379</v>
      </c>
      <c r="Z72" s="222"/>
      <c r="AA72" s="222">
        <f>[5]Mar_2017!$F$92</f>
        <v>6.0213324430831626E-2</v>
      </c>
      <c r="AB72" s="223">
        <f>[5]YearToDate!$F$12</f>
        <v>5.7449685942507892E-2</v>
      </c>
    </row>
    <row r="73" spans="2:29" s="1" customFormat="1" ht="16.5" thickTop="1" x14ac:dyDescent="0.25">
      <c r="J73"/>
      <c r="K73"/>
      <c r="L73"/>
      <c r="M73"/>
      <c r="N73"/>
      <c r="O73" s="2"/>
      <c r="P73" s="159"/>
      <c r="S73"/>
      <c r="T73"/>
      <c r="U73"/>
      <c r="V73"/>
      <c r="X73"/>
    </row>
    <row r="74" spans="2:29" s="1" customFormat="1" ht="15.75" x14ac:dyDescent="0.25">
      <c r="E74" s="3"/>
      <c r="F74" s="119"/>
      <c r="G74" s="120"/>
      <c r="H74" s="120"/>
      <c r="I74"/>
      <c r="J74"/>
      <c r="K74"/>
      <c r="L74"/>
      <c r="M74"/>
      <c r="N74"/>
      <c r="O74" s="2"/>
      <c r="P74" s="159"/>
      <c r="S74"/>
      <c r="T74"/>
      <c r="U74"/>
      <c r="V74"/>
      <c r="X74"/>
    </row>
    <row r="75" spans="2:29" s="1" customFormat="1" ht="13.5" customHeight="1" x14ac:dyDescent="0.25">
      <c r="J75"/>
      <c r="K75"/>
      <c r="L75"/>
      <c r="M75"/>
      <c r="N75"/>
      <c r="O75" s="2"/>
      <c r="P75" s="159"/>
      <c r="S75"/>
      <c r="T75"/>
      <c r="U75"/>
      <c r="V75"/>
      <c r="X75" s="9"/>
    </row>
    <row r="76" spans="2:29" s="1" customFormat="1" x14ac:dyDescent="0.2">
      <c r="J76"/>
      <c r="K76"/>
      <c r="L76"/>
      <c r="M76"/>
      <c r="N76"/>
      <c r="O76" s="2"/>
      <c r="X76" s="9"/>
    </row>
    <row r="77" spans="2:29" s="1" customFormat="1" x14ac:dyDescent="0.2">
      <c r="J77"/>
      <c r="K77"/>
      <c r="L77"/>
      <c r="M77"/>
      <c r="N77"/>
      <c r="O77" s="2"/>
      <c r="X77" s="9"/>
    </row>
    <row r="78" spans="2:29" s="1" customFormat="1" ht="12.75" customHeight="1" x14ac:dyDescent="0.2">
      <c r="J78"/>
      <c r="K78"/>
      <c r="L78"/>
      <c r="M78"/>
      <c r="N78"/>
      <c r="O78" s="2"/>
      <c r="S78"/>
      <c r="T78"/>
      <c r="U78"/>
      <c r="V78"/>
      <c r="X78" s="9"/>
    </row>
    <row r="79" spans="2:29" s="1" customFormat="1" ht="21" hidden="1" customHeight="1" thickBot="1" x14ac:dyDescent="0.25">
      <c r="J79"/>
      <c r="K79"/>
      <c r="L79"/>
      <c r="M79"/>
      <c r="N79"/>
      <c r="O79" s="2"/>
      <c r="P79" s="3">
        <f>SUM(January_17!G60,February_17!G60,March_17!G60)</f>
        <v>256786</v>
      </c>
      <c r="R79" s="3">
        <f>SUM(January_17!K60,February_17!K60,March_17!K60)</f>
        <v>32514</v>
      </c>
      <c r="S79"/>
      <c r="T79" s="63">
        <f>(P79)*24/(R79/60)/15000</f>
        <v>0.75817973795903304</v>
      </c>
      <c r="U79"/>
      <c r="V79" s="128">
        <f>(P79)*24/(R79/60)/17000</f>
        <v>0.66898212172855864</v>
      </c>
      <c r="W79" s="230"/>
      <c r="X79" s="9"/>
    </row>
    <row r="80" spans="2:29" s="1" customFormat="1" ht="21" hidden="1" customHeight="1" thickTop="1" thickBot="1" x14ac:dyDescent="0.35">
      <c r="J80"/>
      <c r="K80"/>
      <c r="L80"/>
      <c r="M80"/>
      <c r="N80"/>
      <c r="O80" s="2"/>
      <c r="P80" s="140">
        <f>SUM(January_17!F60,February_17!F60,March_17!F60)</f>
        <v>17600.23668707483</v>
      </c>
      <c r="R80" s="140">
        <f>SUM(January_17!H60,February_17!H60,March_17!H60)</f>
        <v>17448.457399999999</v>
      </c>
      <c r="S80"/>
      <c r="T80" s="87">
        <f>(P80-R80)/P80</f>
        <v>8.62370715652328E-3</v>
      </c>
      <c r="U80"/>
      <c r="V80"/>
      <c r="X80" s="9"/>
    </row>
    <row r="81" spans="10:24" s="1" customFormat="1" x14ac:dyDescent="0.2">
      <c r="J81"/>
      <c r="K81"/>
      <c r="L81"/>
      <c r="M81"/>
      <c r="N81"/>
      <c r="O81" s="2"/>
      <c r="S81"/>
      <c r="T81"/>
      <c r="U81"/>
      <c r="V81"/>
      <c r="X81" s="9"/>
    </row>
    <row r="82" spans="10:24" s="1" customFormat="1" x14ac:dyDescent="0.2">
      <c r="J82"/>
      <c r="K82"/>
      <c r="L82"/>
      <c r="M82"/>
      <c r="N82"/>
      <c r="O82" s="2"/>
      <c r="S82"/>
      <c r="T82"/>
      <c r="U82"/>
      <c r="V82"/>
      <c r="X82" s="9"/>
    </row>
    <row r="83" spans="10:24" s="1" customFormat="1" ht="12.75" customHeight="1" x14ac:dyDescent="0.2">
      <c r="J83"/>
      <c r="K83"/>
      <c r="L83"/>
      <c r="M83"/>
      <c r="N83"/>
      <c r="O83" s="2"/>
      <c r="S83"/>
      <c r="T83"/>
      <c r="U83"/>
      <c r="V83"/>
      <c r="X83" s="9"/>
    </row>
    <row r="84" spans="10:24" s="1" customFormat="1" ht="12.75" customHeight="1" x14ac:dyDescent="0.2">
      <c r="J84"/>
      <c r="K84"/>
      <c r="L84"/>
      <c r="M84"/>
      <c r="N84"/>
      <c r="O84" s="2"/>
      <c r="S84"/>
      <c r="T84"/>
      <c r="U84"/>
      <c r="V84"/>
      <c r="X84" s="9"/>
    </row>
    <row r="85" spans="10:24" s="1" customFormat="1" ht="12.75" customHeight="1" x14ac:dyDescent="0.2">
      <c r="J85"/>
      <c r="K85"/>
      <c r="L85"/>
      <c r="M85"/>
      <c r="N85"/>
      <c r="O85" s="2"/>
      <c r="S85"/>
      <c r="T85"/>
      <c r="U85"/>
      <c r="V85"/>
      <c r="X85" s="9"/>
    </row>
    <row r="86" spans="10:24" s="1" customFormat="1" ht="12.75" customHeight="1" x14ac:dyDescent="0.2">
      <c r="J86"/>
      <c r="K86"/>
      <c r="L86"/>
      <c r="M86"/>
      <c r="N86"/>
      <c r="O86" s="2"/>
      <c r="S86"/>
      <c r="T86"/>
      <c r="U86"/>
      <c r="V86"/>
      <c r="X86" s="9"/>
    </row>
    <row r="87" spans="10:24" s="1" customFormat="1" ht="12.75" customHeight="1" x14ac:dyDescent="0.2">
      <c r="J87"/>
      <c r="K87"/>
      <c r="L87"/>
      <c r="M87"/>
      <c r="N87"/>
      <c r="O87" s="2"/>
      <c r="S87"/>
      <c r="T87"/>
      <c r="U87"/>
      <c r="V87"/>
      <c r="X87" s="9"/>
    </row>
    <row r="88" spans="10:24" s="1" customFormat="1" x14ac:dyDescent="0.2">
      <c r="J88"/>
      <c r="K88"/>
      <c r="L88"/>
      <c r="M88"/>
      <c r="N88"/>
      <c r="O88" s="2"/>
      <c r="S88"/>
      <c r="T88"/>
      <c r="U88"/>
      <c r="V88"/>
      <c r="X88"/>
    </row>
    <row r="89" spans="10:24" s="1" customFormat="1" x14ac:dyDescent="0.2">
      <c r="J89"/>
      <c r="K89"/>
      <c r="L89"/>
      <c r="M89"/>
      <c r="N89"/>
      <c r="O89" s="2"/>
      <c r="S89"/>
      <c r="T89"/>
      <c r="U89"/>
      <c r="V89"/>
      <c r="X89"/>
    </row>
    <row r="90" spans="10:24" s="1" customFormat="1" x14ac:dyDescent="0.2">
      <c r="J90"/>
      <c r="K90"/>
      <c r="L90"/>
      <c r="M90"/>
      <c r="N90"/>
      <c r="O90" s="2"/>
      <c r="S90"/>
      <c r="T90"/>
      <c r="U90"/>
      <c r="V90"/>
      <c r="X90"/>
    </row>
    <row r="91" spans="10:24" s="1" customFormat="1" x14ac:dyDescent="0.2">
      <c r="J91"/>
      <c r="K91"/>
      <c r="L91"/>
      <c r="M91"/>
      <c r="N91"/>
      <c r="O91" s="2"/>
      <c r="S91"/>
      <c r="T91"/>
      <c r="U91"/>
      <c r="V91"/>
      <c r="X91"/>
    </row>
    <row r="92" spans="10:24" s="1" customFormat="1" x14ac:dyDescent="0.2">
      <c r="J92"/>
      <c r="K92"/>
      <c r="L92"/>
      <c r="M92"/>
      <c r="N92"/>
      <c r="O92" s="2"/>
      <c r="S92"/>
      <c r="T92"/>
      <c r="U92"/>
      <c r="V92"/>
      <c r="X92"/>
    </row>
    <row r="93" spans="10:24" s="1" customFormat="1" x14ac:dyDescent="0.2">
      <c r="J93"/>
      <c r="K93"/>
      <c r="L93"/>
      <c r="M93"/>
      <c r="N93"/>
      <c r="O93" s="2"/>
      <c r="S93"/>
      <c r="T93"/>
      <c r="U93"/>
      <c r="V93"/>
      <c r="X93"/>
    </row>
    <row r="94" spans="10:24" s="1" customFormat="1" x14ac:dyDescent="0.2">
      <c r="J94"/>
      <c r="K94"/>
      <c r="L94"/>
      <c r="M94"/>
      <c r="N94"/>
      <c r="O94" s="2"/>
      <c r="S94"/>
      <c r="T94"/>
      <c r="U94"/>
      <c r="V94"/>
      <c r="X94"/>
    </row>
    <row r="95" spans="10:24" s="1" customFormat="1" x14ac:dyDescent="0.2">
      <c r="J95"/>
      <c r="K95"/>
      <c r="L95"/>
      <c r="M95"/>
      <c r="N95"/>
      <c r="O95" s="2"/>
      <c r="S95"/>
      <c r="T95"/>
      <c r="U95"/>
      <c r="V95"/>
      <c r="X95"/>
    </row>
    <row r="96" spans="10:24" s="1" customFormat="1" x14ac:dyDescent="0.2">
      <c r="J96"/>
      <c r="K96"/>
      <c r="L96"/>
      <c r="M96"/>
      <c r="N96"/>
      <c r="O96" s="2"/>
      <c r="S96"/>
      <c r="T96"/>
      <c r="U96"/>
      <c r="V96"/>
      <c r="X96"/>
    </row>
    <row r="97" spans="10:24" s="1" customFormat="1" x14ac:dyDescent="0.2">
      <c r="J97"/>
      <c r="K97"/>
      <c r="L97"/>
      <c r="M97"/>
      <c r="N97"/>
      <c r="O97" s="2"/>
      <c r="S97"/>
      <c r="T97"/>
      <c r="U97"/>
      <c r="V97"/>
      <c r="X97"/>
    </row>
    <row r="98" spans="10:24" s="1" customFormat="1" x14ac:dyDescent="0.2">
      <c r="J98"/>
      <c r="K98"/>
      <c r="L98"/>
      <c r="M98"/>
      <c r="N98"/>
      <c r="O98" s="2"/>
      <c r="S98"/>
      <c r="T98"/>
      <c r="U98"/>
      <c r="V98"/>
      <c r="X98"/>
    </row>
    <row r="99" spans="10:24" s="1" customFormat="1" x14ac:dyDescent="0.2">
      <c r="J99"/>
      <c r="K99"/>
      <c r="L99"/>
      <c r="M99"/>
      <c r="N99"/>
      <c r="O99" s="2"/>
      <c r="S99"/>
      <c r="T99"/>
      <c r="U99"/>
      <c r="V99"/>
      <c r="X99"/>
    </row>
    <row r="100" spans="10:24" s="1" customFormat="1" x14ac:dyDescent="0.2">
      <c r="J100"/>
      <c r="K100"/>
      <c r="L100"/>
      <c r="M100"/>
      <c r="N100"/>
      <c r="O100" s="2"/>
      <c r="S100"/>
      <c r="T100"/>
      <c r="U100"/>
      <c r="V100"/>
      <c r="X100"/>
    </row>
    <row r="101" spans="10:24" s="1" customFormat="1" x14ac:dyDescent="0.2">
      <c r="J101"/>
      <c r="K101"/>
      <c r="L101"/>
      <c r="M101"/>
      <c r="N101"/>
      <c r="O101" s="2"/>
      <c r="S101"/>
      <c r="T101"/>
      <c r="U101"/>
      <c r="V101"/>
      <c r="X101"/>
    </row>
    <row r="102" spans="10:24" s="1" customFormat="1" x14ac:dyDescent="0.2">
      <c r="J102"/>
      <c r="K102"/>
      <c r="L102"/>
      <c r="M102"/>
      <c r="N102"/>
      <c r="O102" s="2"/>
      <c r="S102"/>
      <c r="T102"/>
      <c r="U102"/>
      <c r="V102"/>
      <c r="X102"/>
    </row>
    <row r="103" spans="10:24" s="1" customFormat="1" x14ac:dyDescent="0.2">
      <c r="J103"/>
      <c r="K103"/>
      <c r="L103"/>
      <c r="M103"/>
      <c r="N103"/>
      <c r="O103" s="2"/>
      <c r="S103"/>
      <c r="T103"/>
      <c r="U103"/>
      <c r="V103"/>
      <c r="X103"/>
    </row>
    <row r="104" spans="10:24" s="1" customFormat="1" x14ac:dyDescent="0.2">
      <c r="J104"/>
      <c r="K104"/>
      <c r="L104"/>
      <c r="M104"/>
      <c r="N104"/>
      <c r="O104" s="2"/>
      <c r="S104"/>
      <c r="T104"/>
      <c r="U104"/>
      <c r="V104"/>
      <c r="X104"/>
    </row>
    <row r="105" spans="10:24" s="1" customFormat="1" x14ac:dyDescent="0.2">
      <c r="J105"/>
      <c r="K105"/>
      <c r="L105"/>
      <c r="M105"/>
      <c r="N105"/>
      <c r="O105" s="2"/>
      <c r="S105"/>
      <c r="T105"/>
      <c r="U105"/>
      <c r="V105"/>
      <c r="X105"/>
    </row>
    <row r="106" spans="10:24" s="1" customFormat="1" x14ac:dyDescent="0.2">
      <c r="J106"/>
      <c r="K106"/>
      <c r="L106"/>
      <c r="M106"/>
      <c r="N106"/>
      <c r="O106" s="2"/>
      <c r="S106"/>
      <c r="T106"/>
      <c r="U106"/>
      <c r="V106"/>
      <c r="X106"/>
    </row>
    <row r="107" spans="10:24" s="1" customFormat="1" x14ac:dyDescent="0.2">
      <c r="J107"/>
      <c r="K107"/>
      <c r="L107"/>
      <c r="M107"/>
      <c r="N107"/>
      <c r="O107" s="2"/>
      <c r="S107"/>
      <c r="T107"/>
      <c r="U107"/>
      <c r="V107"/>
      <c r="X107"/>
    </row>
    <row r="108" spans="10:24" s="1" customFormat="1" x14ac:dyDescent="0.2">
      <c r="J108"/>
      <c r="K108"/>
      <c r="L108"/>
      <c r="M108"/>
      <c r="N108"/>
      <c r="O108" s="2"/>
      <c r="S108"/>
      <c r="T108"/>
      <c r="U108"/>
      <c r="V108"/>
      <c r="X108"/>
    </row>
    <row r="109" spans="10:24" s="1" customFormat="1" x14ac:dyDescent="0.2">
      <c r="J109"/>
      <c r="K109"/>
      <c r="L109"/>
      <c r="M109"/>
      <c r="N109"/>
      <c r="O109" s="2"/>
      <c r="S109"/>
      <c r="T109"/>
      <c r="U109"/>
      <c r="V109"/>
      <c r="X109"/>
    </row>
    <row r="110" spans="10:24" s="1" customFormat="1" x14ac:dyDescent="0.2">
      <c r="J110"/>
      <c r="K110"/>
      <c r="L110"/>
      <c r="M110"/>
      <c r="N110"/>
      <c r="O110" s="2"/>
      <c r="S110"/>
      <c r="T110"/>
      <c r="U110"/>
      <c r="V110"/>
      <c r="X110"/>
    </row>
    <row r="111" spans="10:24" s="1" customFormat="1" x14ac:dyDescent="0.2">
      <c r="J111"/>
      <c r="K111"/>
      <c r="L111"/>
      <c r="M111"/>
      <c r="N111"/>
      <c r="O111" s="2"/>
      <c r="S111"/>
      <c r="T111"/>
      <c r="U111"/>
      <c r="V111"/>
      <c r="X111"/>
    </row>
    <row r="112" spans="10:24" s="1" customFormat="1" x14ac:dyDescent="0.2">
      <c r="J112"/>
      <c r="K112"/>
      <c r="L112"/>
      <c r="M112"/>
      <c r="N112"/>
      <c r="O112" s="2"/>
      <c r="S112"/>
      <c r="T112"/>
      <c r="U112"/>
      <c r="V112"/>
      <c r="X112"/>
    </row>
    <row r="113" spans="10:24" s="1" customFormat="1" x14ac:dyDescent="0.2">
      <c r="J113"/>
      <c r="K113"/>
      <c r="L113"/>
      <c r="M113"/>
      <c r="N113"/>
      <c r="O113" s="2"/>
      <c r="S113"/>
      <c r="T113"/>
      <c r="U113"/>
      <c r="V113"/>
      <c r="X113"/>
    </row>
    <row r="114" spans="10:24" s="1" customFormat="1" x14ac:dyDescent="0.2">
      <c r="J114"/>
      <c r="K114"/>
      <c r="L114"/>
      <c r="M114"/>
      <c r="N114"/>
      <c r="O114" s="2"/>
      <c r="S114"/>
      <c r="T114"/>
      <c r="U114"/>
      <c r="V114"/>
      <c r="X114"/>
    </row>
    <row r="115" spans="10:24" s="1" customFormat="1" x14ac:dyDescent="0.2">
      <c r="J115"/>
      <c r="K115"/>
      <c r="L115"/>
      <c r="M115"/>
      <c r="N115"/>
      <c r="O115" s="2"/>
      <c r="S115"/>
      <c r="T115"/>
      <c r="U115"/>
      <c r="V115"/>
      <c r="X115"/>
    </row>
    <row r="116" spans="10:24" s="1" customFormat="1" x14ac:dyDescent="0.2">
      <c r="J116"/>
      <c r="K116"/>
      <c r="L116"/>
      <c r="M116"/>
      <c r="N116"/>
      <c r="O116" s="2"/>
      <c r="S116"/>
      <c r="T116"/>
      <c r="U116"/>
      <c r="V116"/>
      <c r="X116"/>
    </row>
    <row r="117" spans="10:24" s="1" customFormat="1" x14ac:dyDescent="0.2">
      <c r="J117"/>
      <c r="K117"/>
      <c r="L117"/>
      <c r="M117"/>
      <c r="N117"/>
      <c r="O117" s="2"/>
      <c r="S117"/>
      <c r="T117"/>
      <c r="U117"/>
      <c r="V117"/>
      <c r="X117"/>
    </row>
    <row r="118" spans="10:24" s="1" customFormat="1" x14ac:dyDescent="0.2">
      <c r="J118"/>
      <c r="K118"/>
      <c r="L118"/>
      <c r="M118"/>
      <c r="N118"/>
      <c r="O118" s="2"/>
      <c r="S118"/>
      <c r="T118"/>
      <c r="U118"/>
      <c r="V118"/>
      <c r="X118"/>
    </row>
    <row r="119" spans="10:24" s="1" customFormat="1" x14ac:dyDescent="0.2">
      <c r="J119"/>
      <c r="K119"/>
      <c r="L119"/>
      <c r="M119"/>
      <c r="N119"/>
      <c r="O119" s="2"/>
      <c r="S119"/>
      <c r="T119"/>
      <c r="U119"/>
      <c r="V119"/>
      <c r="X119"/>
    </row>
    <row r="120" spans="10:24" s="1" customFormat="1" x14ac:dyDescent="0.2">
      <c r="J120"/>
      <c r="K120"/>
      <c r="L120"/>
      <c r="M120"/>
      <c r="N120"/>
      <c r="O120" s="2"/>
      <c r="S120"/>
      <c r="T120"/>
      <c r="U120"/>
      <c r="V120"/>
      <c r="X120"/>
    </row>
    <row r="121" spans="10:24" s="1" customFormat="1" x14ac:dyDescent="0.2">
      <c r="J121"/>
      <c r="K121"/>
      <c r="L121"/>
      <c r="M121"/>
      <c r="N121"/>
      <c r="O121" s="2"/>
      <c r="S121"/>
      <c r="T121"/>
      <c r="U121"/>
      <c r="V121"/>
      <c r="X121"/>
    </row>
    <row r="122" spans="10:24" s="1" customFormat="1" x14ac:dyDescent="0.2">
      <c r="J122"/>
      <c r="K122"/>
      <c r="L122"/>
      <c r="M122"/>
      <c r="N122"/>
      <c r="O122" s="2"/>
      <c r="S122"/>
      <c r="T122"/>
      <c r="U122"/>
      <c r="V122"/>
      <c r="X122"/>
    </row>
    <row r="123" spans="10:24" s="1" customFormat="1" x14ac:dyDescent="0.2">
      <c r="J123"/>
      <c r="K123"/>
      <c r="L123"/>
      <c r="M123"/>
      <c r="N123"/>
      <c r="O123" s="2"/>
      <c r="S123"/>
      <c r="T123"/>
      <c r="U123"/>
      <c r="V123"/>
      <c r="X123"/>
    </row>
    <row r="124" spans="10:24" s="1" customFormat="1" x14ac:dyDescent="0.2">
      <c r="J124"/>
      <c r="K124"/>
      <c r="L124"/>
      <c r="M124"/>
      <c r="N124"/>
      <c r="O124" s="2"/>
      <c r="S124"/>
      <c r="T124"/>
      <c r="U124"/>
      <c r="V124"/>
      <c r="X124"/>
    </row>
    <row r="125" spans="10:24" s="1" customFormat="1" x14ac:dyDescent="0.2">
      <c r="J125"/>
      <c r="K125"/>
      <c r="L125"/>
      <c r="M125"/>
      <c r="N125"/>
      <c r="O125" s="2"/>
      <c r="S125"/>
      <c r="T125"/>
      <c r="U125"/>
      <c r="V125"/>
      <c r="X125"/>
    </row>
    <row r="126" spans="10:24" s="1" customFormat="1" x14ac:dyDescent="0.2">
      <c r="J126"/>
      <c r="K126"/>
      <c r="L126"/>
      <c r="M126"/>
      <c r="N126"/>
      <c r="O126" s="2"/>
      <c r="S126"/>
      <c r="T126"/>
      <c r="U126"/>
      <c r="V126"/>
      <c r="X126"/>
    </row>
    <row r="127" spans="10:24" s="1" customFormat="1" x14ac:dyDescent="0.2">
      <c r="J127"/>
      <c r="K127"/>
      <c r="L127"/>
      <c r="M127"/>
      <c r="N127"/>
      <c r="O127" s="2"/>
      <c r="S127"/>
      <c r="T127"/>
      <c r="U127"/>
      <c r="V127"/>
      <c r="X127"/>
    </row>
    <row r="128" spans="10:24" s="1" customFormat="1" x14ac:dyDescent="0.2">
      <c r="J128"/>
      <c r="K128"/>
      <c r="L128"/>
      <c r="M128"/>
      <c r="N128"/>
      <c r="O128" s="2"/>
      <c r="S128"/>
      <c r="T128"/>
      <c r="U128"/>
      <c r="V128"/>
      <c r="X128"/>
    </row>
    <row r="129" spans="10:24" s="1" customFormat="1" x14ac:dyDescent="0.2">
      <c r="J129"/>
      <c r="K129"/>
      <c r="L129"/>
      <c r="M129"/>
      <c r="N129"/>
      <c r="O129" s="2"/>
      <c r="S129"/>
      <c r="T129"/>
      <c r="U129"/>
      <c r="V129"/>
      <c r="X129"/>
    </row>
    <row r="130" spans="10:24" s="1" customFormat="1" x14ac:dyDescent="0.2">
      <c r="J130"/>
      <c r="K130"/>
      <c r="L130"/>
      <c r="M130"/>
      <c r="N130"/>
      <c r="O130" s="2"/>
      <c r="S130"/>
      <c r="T130"/>
      <c r="U130"/>
      <c r="V130"/>
      <c r="X130"/>
    </row>
    <row r="131" spans="10:24" s="1" customFormat="1" x14ac:dyDescent="0.2">
      <c r="J131"/>
      <c r="K131"/>
      <c r="L131"/>
      <c r="M131"/>
      <c r="N131"/>
      <c r="O131" s="2"/>
      <c r="S131"/>
      <c r="T131"/>
      <c r="U131"/>
      <c r="V131"/>
      <c r="X131"/>
    </row>
    <row r="132" spans="10:24" s="1" customFormat="1" x14ac:dyDescent="0.2">
      <c r="J132"/>
      <c r="K132"/>
      <c r="L132"/>
      <c r="M132"/>
      <c r="N132"/>
      <c r="O132" s="2"/>
      <c r="S132"/>
      <c r="T132"/>
      <c r="U132"/>
      <c r="V132"/>
      <c r="X132"/>
    </row>
    <row r="133" spans="10:24" s="1" customFormat="1" x14ac:dyDescent="0.2">
      <c r="J133"/>
      <c r="K133"/>
      <c r="L133"/>
      <c r="M133"/>
      <c r="N133"/>
      <c r="O133" s="2"/>
      <c r="S133"/>
      <c r="T133"/>
      <c r="U133"/>
      <c r="V133"/>
      <c r="X133"/>
    </row>
    <row r="134" spans="10:24" s="1" customFormat="1" x14ac:dyDescent="0.2">
      <c r="J134"/>
      <c r="K134"/>
      <c r="L134"/>
      <c r="M134"/>
      <c r="N134"/>
      <c r="O134" s="2"/>
      <c r="S134"/>
      <c r="T134"/>
      <c r="U134"/>
      <c r="V134"/>
      <c r="X134"/>
    </row>
    <row r="135" spans="10:24" s="1" customFormat="1" x14ac:dyDescent="0.2">
      <c r="J135"/>
      <c r="K135"/>
      <c r="L135"/>
      <c r="M135"/>
      <c r="N135"/>
      <c r="O135" s="2"/>
      <c r="S135"/>
      <c r="T135"/>
      <c r="U135"/>
      <c r="V135"/>
      <c r="X135"/>
    </row>
    <row r="136" spans="10:24" s="1" customFormat="1" x14ac:dyDescent="0.2">
      <c r="J136"/>
      <c r="K136"/>
      <c r="L136"/>
      <c r="M136"/>
      <c r="N136"/>
      <c r="O136" s="2"/>
      <c r="S136"/>
      <c r="T136"/>
      <c r="U136"/>
      <c r="V136"/>
      <c r="X136"/>
    </row>
    <row r="137" spans="10:24" s="1" customFormat="1" x14ac:dyDescent="0.2">
      <c r="J137"/>
      <c r="K137"/>
      <c r="L137"/>
      <c r="M137"/>
      <c r="N137"/>
      <c r="O137" s="2"/>
      <c r="S137"/>
      <c r="T137"/>
      <c r="U137"/>
      <c r="V137"/>
      <c r="X137"/>
    </row>
    <row r="138" spans="10:24" s="1" customFormat="1" x14ac:dyDescent="0.2">
      <c r="J138"/>
      <c r="K138"/>
      <c r="L138"/>
      <c r="M138"/>
      <c r="N138"/>
      <c r="O138" s="2"/>
      <c r="S138"/>
      <c r="T138"/>
      <c r="U138"/>
      <c r="V138"/>
      <c r="X138"/>
    </row>
    <row r="139" spans="10:24" s="1" customFormat="1" x14ac:dyDescent="0.2">
      <c r="J139"/>
      <c r="K139"/>
      <c r="L139"/>
      <c r="M139"/>
      <c r="N139"/>
      <c r="O139" s="2"/>
      <c r="S139"/>
      <c r="T139"/>
      <c r="U139"/>
      <c r="V139"/>
      <c r="X139"/>
    </row>
    <row r="140" spans="10:24" s="1" customFormat="1" x14ac:dyDescent="0.2">
      <c r="J140"/>
      <c r="K140"/>
      <c r="L140"/>
      <c r="M140"/>
      <c r="N140"/>
      <c r="O140" s="2"/>
      <c r="S140"/>
      <c r="T140"/>
      <c r="U140"/>
      <c r="V140"/>
      <c r="X140"/>
    </row>
    <row r="141" spans="10:24" s="1" customFormat="1" x14ac:dyDescent="0.2">
      <c r="J141"/>
      <c r="K141"/>
      <c r="L141"/>
      <c r="M141"/>
      <c r="N141"/>
      <c r="O141" s="2"/>
      <c r="S141"/>
      <c r="T141"/>
      <c r="U141"/>
      <c r="V141"/>
      <c r="X141"/>
    </row>
    <row r="142" spans="10:24" s="1" customFormat="1" x14ac:dyDescent="0.2">
      <c r="J142"/>
      <c r="K142"/>
      <c r="L142"/>
      <c r="M142"/>
      <c r="N142"/>
      <c r="O142" s="2"/>
      <c r="S142"/>
      <c r="T142"/>
      <c r="U142"/>
      <c r="V142"/>
      <c r="X142"/>
    </row>
    <row r="143" spans="10:24" s="1" customFormat="1" x14ac:dyDescent="0.2">
      <c r="J143"/>
      <c r="K143"/>
      <c r="L143"/>
      <c r="M143"/>
      <c r="N143"/>
      <c r="O143" s="2"/>
      <c r="S143"/>
      <c r="T143"/>
      <c r="U143"/>
      <c r="V143"/>
      <c r="X143"/>
    </row>
    <row r="144" spans="10:24" s="1" customFormat="1" x14ac:dyDescent="0.2">
      <c r="J144"/>
      <c r="K144"/>
      <c r="L144"/>
      <c r="M144"/>
      <c r="N144"/>
      <c r="O144" s="2"/>
      <c r="S144"/>
      <c r="T144"/>
      <c r="U144"/>
      <c r="V144"/>
      <c r="X144"/>
    </row>
    <row r="145" spans="10:24" s="1" customFormat="1" x14ac:dyDescent="0.2">
      <c r="J145"/>
      <c r="K145"/>
      <c r="L145"/>
      <c r="M145"/>
      <c r="N145"/>
      <c r="O145" s="2"/>
      <c r="S145"/>
      <c r="T145"/>
      <c r="U145"/>
      <c r="V145"/>
      <c r="X145"/>
    </row>
    <row r="146" spans="10:24" s="1" customFormat="1" x14ac:dyDescent="0.2">
      <c r="J146"/>
      <c r="K146"/>
      <c r="L146"/>
      <c r="M146"/>
      <c r="N146"/>
      <c r="O146" s="2"/>
      <c r="S146"/>
      <c r="T146"/>
      <c r="U146"/>
      <c r="V146"/>
      <c r="X146"/>
    </row>
    <row r="147" spans="10:24" s="1" customFormat="1" x14ac:dyDescent="0.2">
      <c r="J147"/>
      <c r="K147"/>
      <c r="L147"/>
      <c r="M147"/>
      <c r="N147"/>
      <c r="O147" s="2"/>
      <c r="S147"/>
      <c r="T147"/>
      <c r="U147"/>
      <c r="V147"/>
      <c r="X147"/>
    </row>
    <row r="148" spans="10:24" s="1" customFormat="1" x14ac:dyDescent="0.2">
      <c r="J148"/>
      <c r="K148"/>
      <c r="L148"/>
      <c r="M148"/>
      <c r="N148"/>
      <c r="O148" s="2"/>
      <c r="S148"/>
      <c r="T148"/>
      <c r="U148"/>
      <c r="V148"/>
      <c r="X148"/>
    </row>
    <row r="149" spans="10:24" s="1" customFormat="1" x14ac:dyDescent="0.2">
      <c r="J149"/>
      <c r="K149"/>
      <c r="L149"/>
      <c r="M149"/>
      <c r="N149"/>
      <c r="O149" s="2"/>
      <c r="S149"/>
      <c r="T149"/>
      <c r="U149"/>
      <c r="V149"/>
      <c r="X149"/>
    </row>
    <row r="150" spans="10:24" s="1" customFormat="1" x14ac:dyDescent="0.2">
      <c r="J150"/>
      <c r="K150"/>
      <c r="L150"/>
      <c r="M150"/>
      <c r="N150"/>
      <c r="O150" s="2"/>
      <c r="S150"/>
      <c r="T150"/>
      <c r="U150"/>
      <c r="V150"/>
      <c r="X150"/>
    </row>
    <row r="151" spans="10:24" s="1" customFormat="1" x14ac:dyDescent="0.2">
      <c r="J151"/>
      <c r="K151"/>
      <c r="L151"/>
      <c r="M151"/>
      <c r="N151"/>
      <c r="O151" s="2"/>
      <c r="S151"/>
      <c r="T151"/>
      <c r="U151"/>
      <c r="V151"/>
      <c r="X151"/>
    </row>
    <row r="152" spans="10:24" s="1" customFormat="1" x14ac:dyDescent="0.2">
      <c r="J152"/>
      <c r="K152"/>
      <c r="L152"/>
      <c r="M152"/>
      <c r="N152"/>
      <c r="O152" s="2"/>
      <c r="S152"/>
      <c r="T152"/>
      <c r="U152"/>
      <c r="V152"/>
      <c r="X152"/>
    </row>
    <row r="153" spans="10:24" s="1" customFormat="1" x14ac:dyDescent="0.2">
      <c r="J153"/>
      <c r="K153"/>
      <c r="L153"/>
      <c r="M153"/>
      <c r="N153"/>
      <c r="O153" s="2"/>
      <c r="S153"/>
      <c r="T153"/>
      <c r="U153"/>
      <c r="V153"/>
      <c r="X153"/>
    </row>
    <row r="154" spans="10:24" s="1" customFormat="1" x14ac:dyDescent="0.2">
      <c r="J154"/>
      <c r="K154"/>
      <c r="L154"/>
      <c r="M154"/>
      <c r="N154"/>
      <c r="O154" s="2"/>
      <c r="S154"/>
      <c r="T154"/>
      <c r="U154"/>
      <c r="V154"/>
      <c r="X154"/>
    </row>
    <row r="155" spans="10:24" s="1" customFormat="1" x14ac:dyDescent="0.2">
      <c r="J155"/>
      <c r="K155"/>
      <c r="L155"/>
      <c r="M155"/>
      <c r="N155"/>
      <c r="O155" s="2"/>
      <c r="S155"/>
      <c r="T155"/>
      <c r="U155"/>
      <c r="V155"/>
      <c r="X155"/>
    </row>
    <row r="156" spans="10:24" s="1" customFormat="1" x14ac:dyDescent="0.2">
      <c r="J156"/>
      <c r="K156"/>
      <c r="L156"/>
      <c r="M156"/>
      <c r="N156"/>
      <c r="O156" s="2"/>
      <c r="S156"/>
      <c r="T156"/>
      <c r="U156"/>
      <c r="V156"/>
      <c r="X156"/>
    </row>
    <row r="157" spans="10:24" s="1" customFormat="1" x14ac:dyDescent="0.2">
      <c r="J157"/>
      <c r="K157"/>
      <c r="L157"/>
      <c r="M157"/>
      <c r="N157"/>
      <c r="O157" s="2"/>
      <c r="S157"/>
      <c r="T157"/>
      <c r="U157"/>
      <c r="V157"/>
      <c r="X157"/>
    </row>
    <row r="158" spans="10:24" s="1" customFormat="1" x14ac:dyDescent="0.2">
      <c r="J158"/>
      <c r="K158"/>
      <c r="L158"/>
      <c r="M158"/>
      <c r="N158"/>
      <c r="O158" s="2"/>
      <c r="S158"/>
      <c r="T158"/>
      <c r="U158"/>
      <c r="V158"/>
      <c r="X158"/>
    </row>
    <row r="159" spans="10:24" s="1" customFormat="1" x14ac:dyDescent="0.2">
      <c r="J159"/>
      <c r="K159"/>
      <c r="L159"/>
      <c r="M159"/>
      <c r="N159"/>
      <c r="O159" s="2"/>
      <c r="S159"/>
      <c r="T159"/>
      <c r="U159"/>
      <c r="V159"/>
      <c r="X159"/>
    </row>
    <row r="160" spans="10:24" s="1" customFormat="1" x14ac:dyDescent="0.2">
      <c r="J160"/>
      <c r="K160"/>
      <c r="L160"/>
      <c r="M160"/>
      <c r="N160"/>
      <c r="O160" s="2"/>
      <c r="S160"/>
      <c r="T160"/>
      <c r="U160"/>
      <c r="V160"/>
      <c r="X160"/>
    </row>
    <row r="161" spans="10:24" s="1" customFormat="1" x14ac:dyDescent="0.2">
      <c r="J161"/>
      <c r="K161"/>
      <c r="L161"/>
      <c r="M161"/>
      <c r="N161"/>
      <c r="O161" s="2"/>
      <c r="S161"/>
      <c r="T161"/>
      <c r="U161"/>
      <c r="V161"/>
      <c r="X161"/>
    </row>
    <row r="162" spans="10:24" s="1" customFormat="1" x14ac:dyDescent="0.2">
      <c r="J162"/>
      <c r="K162"/>
      <c r="L162"/>
      <c r="M162"/>
      <c r="N162"/>
      <c r="O162" s="2"/>
      <c r="S162"/>
      <c r="T162"/>
      <c r="U162"/>
      <c r="V162"/>
      <c r="X162"/>
    </row>
    <row r="163" spans="10:24" s="1" customFormat="1" x14ac:dyDescent="0.2">
      <c r="J163"/>
      <c r="K163"/>
      <c r="L163"/>
      <c r="M163"/>
      <c r="N163"/>
      <c r="O163" s="2"/>
      <c r="S163"/>
      <c r="T163"/>
      <c r="U163"/>
      <c r="V163"/>
      <c r="X163"/>
    </row>
    <row r="164" spans="10:24" s="1" customFormat="1" x14ac:dyDescent="0.2">
      <c r="J164"/>
      <c r="K164"/>
      <c r="L164"/>
      <c r="M164"/>
      <c r="N164"/>
      <c r="O164" s="2"/>
      <c r="S164"/>
      <c r="T164"/>
      <c r="U164"/>
      <c r="V164"/>
      <c r="X164"/>
    </row>
    <row r="165" spans="10:24" s="1" customFormat="1" x14ac:dyDescent="0.2">
      <c r="J165"/>
      <c r="K165"/>
      <c r="L165"/>
      <c r="M165"/>
      <c r="N165"/>
      <c r="O165" s="2"/>
      <c r="S165"/>
      <c r="T165"/>
      <c r="U165"/>
      <c r="V165"/>
      <c r="X165"/>
    </row>
    <row r="166" spans="10:24" s="1" customFormat="1" x14ac:dyDescent="0.2">
      <c r="J166"/>
      <c r="K166"/>
      <c r="L166"/>
      <c r="M166"/>
      <c r="N166"/>
      <c r="O166" s="2"/>
      <c r="S166"/>
      <c r="T166"/>
      <c r="U166"/>
      <c r="V166"/>
      <c r="X166"/>
    </row>
    <row r="167" spans="10:24" s="1" customFormat="1" x14ac:dyDescent="0.2">
      <c r="J167"/>
      <c r="K167"/>
      <c r="L167"/>
      <c r="M167"/>
      <c r="N167"/>
      <c r="O167" s="2"/>
      <c r="S167"/>
      <c r="T167"/>
      <c r="U167"/>
      <c r="V167"/>
      <c r="X167"/>
    </row>
    <row r="168" spans="10:24" s="1" customFormat="1" x14ac:dyDescent="0.2">
      <c r="J168"/>
      <c r="K168"/>
      <c r="L168"/>
      <c r="M168"/>
      <c r="N168"/>
      <c r="O168" s="2"/>
      <c r="S168"/>
      <c r="T168"/>
      <c r="U168"/>
      <c r="V168"/>
      <c r="X168"/>
    </row>
    <row r="169" spans="10:24" s="1" customFormat="1" x14ac:dyDescent="0.2">
      <c r="J169"/>
      <c r="K169"/>
      <c r="L169"/>
      <c r="M169"/>
      <c r="N169"/>
      <c r="O169" s="2"/>
      <c r="S169"/>
      <c r="T169"/>
      <c r="U169"/>
      <c r="V169"/>
      <c r="X169"/>
    </row>
    <row r="170" spans="10:24" s="1" customFormat="1" x14ac:dyDescent="0.2">
      <c r="J170"/>
      <c r="K170"/>
      <c r="L170"/>
      <c r="M170"/>
      <c r="N170"/>
      <c r="O170" s="2"/>
      <c r="S170"/>
      <c r="T170"/>
      <c r="U170"/>
      <c r="V170"/>
      <c r="X170"/>
    </row>
    <row r="171" spans="10:24" s="1" customFormat="1" x14ac:dyDescent="0.2">
      <c r="J171"/>
      <c r="K171"/>
      <c r="L171"/>
      <c r="M171"/>
      <c r="N171"/>
      <c r="O171" s="2"/>
      <c r="S171"/>
      <c r="T171"/>
      <c r="U171"/>
      <c r="V171"/>
      <c r="X171"/>
    </row>
    <row r="172" spans="10:24" s="1" customFormat="1" x14ac:dyDescent="0.2">
      <c r="J172"/>
      <c r="K172"/>
      <c r="L172"/>
      <c r="M172"/>
      <c r="N172"/>
      <c r="O172" s="2"/>
      <c r="S172"/>
      <c r="T172"/>
      <c r="U172"/>
      <c r="V172"/>
      <c r="X172"/>
    </row>
    <row r="173" spans="10:24" s="1" customFormat="1" x14ac:dyDescent="0.2">
      <c r="J173"/>
      <c r="K173"/>
      <c r="L173"/>
      <c r="M173"/>
      <c r="N173"/>
      <c r="O173" s="2"/>
      <c r="S173"/>
      <c r="T173"/>
      <c r="U173"/>
      <c r="V173"/>
      <c r="X173"/>
    </row>
    <row r="174" spans="10:24" s="1" customFormat="1" x14ac:dyDescent="0.2">
      <c r="J174"/>
      <c r="K174"/>
      <c r="L174"/>
      <c r="M174"/>
      <c r="N174"/>
      <c r="O174" s="2"/>
      <c r="S174"/>
      <c r="T174"/>
      <c r="U174"/>
      <c r="V174"/>
      <c r="X174"/>
    </row>
    <row r="175" spans="10:24" s="1" customFormat="1" x14ac:dyDescent="0.2">
      <c r="J175"/>
      <c r="K175"/>
      <c r="L175"/>
      <c r="M175"/>
      <c r="N175"/>
      <c r="O175" s="2"/>
      <c r="S175"/>
      <c r="T175"/>
      <c r="U175"/>
      <c r="V175"/>
      <c r="X175"/>
    </row>
    <row r="176" spans="10:24" s="1" customFormat="1" x14ac:dyDescent="0.2">
      <c r="J176"/>
      <c r="K176"/>
      <c r="L176"/>
      <c r="M176"/>
      <c r="N176"/>
      <c r="O176" s="2"/>
      <c r="S176"/>
      <c r="T176"/>
      <c r="U176"/>
      <c r="V176"/>
      <c r="X176"/>
    </row>
    <row r="177" spans="10:24" s="1" customFormat="1" x14ac:dyDescent="0.2">
      <c r="J177"/>
      <c r="K177"/>
      <c r="L177"/>
      <c r="M177"/>
      <c r="N177"/>
      <c r="O177" s="2"/>
      <c r="S177"/>
      <c r="T177"/>
      <c r="U177"/>
      <c r="V177"/>
      <c r="X177"/>
    </row>
    <row r="178" spans="10:24" s="1" customFormat="1" x14ac:dyDescent="0.2">
      <c r="J178"/>
      <c r="K178"/>
      <c r="L178"/>
      <c r="M178"/>
      <c r="N178"/>
      <c r="O178" s="2"/>
      <c r="S178"/>
      <c r="T178"/>
      <c r="U178"/>
      <c r="V178"/>
      <c r="X178"/>
    </row>
    <row r="179" spans="10:24" s="1" customFormat="1" x14ac:dyDescent="0.2">
      <c r="J179"/>
      <c r="K179"/>
      <c r="L179"/>
      <c r="M179"/>
      <c r="N179"/>
      <c r="O179" s="2"/>
      <c r="S179"/>
      <c r="T179"/>
      <c r="U179"/>
      <c r="V179"/>
      <c r="X179"/>
    </row>
    <row r="180" spans="10:24" s="1" customFormat="1" x14ac:dyDescent="0.2">
      <c r="J180"/>
      <c r="K180"/>
      <c r="L180"/>
      <c r="M180"/>
      <c r="N180"/>
      <c r="O180" s="2"/>
      <c r="S180"/>
      <c r="T180"/>
      <c r="U180"/>
      <c r="V180"/>
      <c r="X180"/>
    </row>
    <row r="181" spans="10:24" s="1" customFormat="1" x14ac:dyDescent="0.2">
      <c r="J181"/>
      <c r="K181"/>
      <c r="L181"/>
      <c r="M181"/>
      <c r="N181"/>
      <c r="O181" s="2"/>
      <c r="S181"/>
      <c r="T181"/>
      <c r="U181"/>
      <c r="V181"/>
      <c r="X181"/>
    </row>
    <row r="182" spans="10:24" s="1" customFormat="1" x14ac:dyDescent="0.2">
      <c r="J182"/>
      <c r="K182"/>
      <c r="L182"/>
      <c r="M182"/>
      <c r="N182"/>
      <c r="O182" s="2"/>
      <c r="S182"/>
      <c r="T182"/>
      <c r="U182"/>
      <c r="V182"/>
      <c r="X182"/>
    </row>
    <row r="183" spans="10:24" s="1" customFormat="1" x14ac:dyDescent="0.2">
      <c r="J183"/>
      <c r="K183"/>
      <c r="L183"/>
      <c r="M183"/>
      <c r="N183"/>
      <c r="O183" s="2"/>
      <c r="S183"/>
      <c r="T183"/>
      <c r="U183"/>
      <c r="V183"/>
      <c r="X183"/>
    </row>
    <row r="184" spans="10:24" s="1" customFormat="1" x14ac:dyDescent="0.2">
      <c r="J184"/>
      <c r="K184"/>
      <c r="L184"/>
      <c r="M184"/>
      <c r="N184"/>
      <c r="O184" s="2"/>
      <c r="S184"/>
      <c r="T184"/>
      <c r="U184"/>
      <c r="V184"/>
      <c r="X184"/>
    </row>
    <row r="185" spans="10:24" s="1" customFormat="1" x14ac:dyDescent="0.2">
      <c r="J185"/>
      <c r="K185"/>
      <c r="L185"/>
      <c r="M185"/>
      <c r="N185"/>
      <c r="O185" s="2"/>
      <c r="S185"/>
      <c r="T185"/>
      <c r="U185"/>
      <c r="V185"/>
      <c r="X185"/>
    </row>
    <row r="186" spans="10:24" s="1" customFormat="1" x14ac:dyDescent="0.2">
      <c r="J186"/>
      <c r="K186"/>
      <c r="L186"/>
      <c r="M186"/>
      <c r="N186"/>
      <c r="O186" s="2"/>
      <c r="S186"/>
      <c r="T186"/>
      <c r="U186"/>
      <c r="V186"/>
      <c r="X186"/>
    </row>
    <row r="187" spans="10:24" s="1" customFormat="1" x14ac:dyDescent="0.2">
      <c r="J187"/>
      <c r="K187"/>
      <c r="L187"/>
      <c r="M187"/>
      <c r="N187"/>
      <c r="O187" s="2"/>
      <c r="S187"/>
      <c r="T187"/>
      <c r="U187"/>
      <c r="V187"/>
      <c r="X187"/>
    </row>
    <row r="188" spans="10:24" s="1" customFormat="1" x14ac:dyDescent="0.2">
      <c r="J188"/>
      <c r="K188"/>
      <c r="L188"/>
      <c r="M188"/>
      <c r="N188"/>
      <c r="O188" s="2"/>
      <c r="S188"/>
      <c r="T188"/>
      <c r="U188"/>
      <c r="V188"/>
      <c r="X188"/>
    </row>
    <row r="189" spans="10:24" s="1" customFormat="1" x14ac:dyDescent="0.2">
      <c r="J189"/>
      <c r="K189"/>
      <c r="L189"/>
      <c r="M189"/>
      <c r="N189"/>
      <c r="O189" s="2"/>
      <c r="S189"/>
      <c r="T189"/>
      <c r="U189"/>
      <c r="V189"/>
      <c r="X189"/>
    </row>
    <row r="190" spans="10:24" s="1" customFormat="1" x14ac:dyDescent="0.2">
      <c r="J190"/>
      <c r="K190"/>
      <c r="L190"/>
      <c r="M190"/>
      <c r="N190"/>
      <c r="O190" s="2"/>
      <c r="S190"/>
      <c r="T190"/>
      <c r="U190"/>
      <c r="V190"/>
      <c r="X190"/>
    </row>
    <row r="191" spans="10:24" s="1" customFormat="1" x14ac:dyDescent="0.2">
      <c r="J191"/>
      <c r="K191"/>
      <c r="L191"/>
      <c r="M191"/>
      <c r="N191"/>
      <c r="O191" s="2"/>
      <c r="S191"/>
      <c r="T191"/>
      <c r="U191"/>
      <c r="V191"/>
      <c r="X191"/>
    </row>
    <row r="192" spans="10:24" s="1" customFormat="1" x14ac:dyDescent="0.2">
      <c r="J192"/>
      <c r="K192"/>
      <c r="L192"/>
      <c r="M192"/>
      <c r="N192"/>
      <c r="O192" s="2"/>
      <c r="S192"/>
      <c r="T192"/>
      <c r="U192"/>
      <c r="V192"/>
      <c r="X192"/>
    </row>
    <row r="193" spans="10:24" s="1" customFormat="1" x14ac:dyDescent="0.2">
      <c r="J193"/>
      <c r="K193"/>
      <c r="L193"/>
      <c r="M193"/>
      <c r="N193"/>
      <c r="O193" s="2"/>
      <c r="S193"/>
      <c r="T193"/>
      <c r="U193"/>
      <c r="V193"/>
      <c r="X193"/>
    </row>
    <row r="194" spans="10:24" s="1" customFormat="1" x14ac:dyDescent="0.2">
      <c r="J194"/>
      <c r="K194"/>
      <c r="L194"/>
      <c r="M194"/>
      <c r="N194"/>
      <c r="O194" s="2"/>
      <c r="S194"/>
      <c r="T194"/>
      <c r="U194"/>
      <c r="V194"/>
      <c r="X194"/>
    </row>
    <row r="195" spans="10:24" s="1" customFormat="1" x14ac:dyDescent="0.2">
      <c r="J195"/>
      <c r="K195"/>
      <c r="L195"/>
      <c r="M195"/>
      <c r="N195"/>
      <c r="O195" s="2"/>
      <c r="S195"/>
      <c r="T195"/>
      <c r="U195"/>
      <c r="V195"/>
      <c r="X195"/>
    </row>
    <row r="196" spans="10:24" s="1" customFormat="1" x14ac:dyDescent="0.2">
      <c r="J196"/>
      <c r="K196"/>
      <c r="L196"/>
      <c r="M196"/>
      <c r="N196"/>
      <c r="O196" s="2"/>
      <c r="S196"/>
      <c r="T196"/>
      <c r="U196"/>
      <c r="V196"/>
      <c r="X196"/>
    </row>
    <row r="197" spans="10:24" s="1" customFormat="1" x14ac:dyDescent="0.2">
      <c r="J197"/>
      <c r="K197"/>
      <c r="L197"/>
      <c r="M197"/>
      <c r="N197"/>
      <c r="O197" s="2"/>
      <c r="S197"/>
      <c r="T197"/>
      <c r="U197"/>
      <c r="V197"/>
      <c r="X197"/>
    </row>
    <row r="198" spans="10:24" s="1" customFormat="1" x14ac:dyDescent="0.2">
      <c r="J198"/>
      <c r="K198"/>
      <c r="L198"/>
      <c r="M198"/>
      <c r="N198"/>
      <c r="O198" s="2"/>
      <c r="S198"/>
      <c r="T198"/>
      <c r="U198"/>
      <c r="V198"/>
      <c r="X198"/>
    </row>
    <row r="199" spans="10:24" s="1" customFormat="1" x14ac:dyDescent="0.2">
      <c r="J199"/>
      <c r="K199"/>
      <c r="L199"/>
      <c r="M199"/>
      <c r="N199"/>
      <c r="O199" s="2"/>
      <c r="S199"/>
      <c r="T199"/>
      <c r="U199"/>
      <c r="V199"/>
      <c r="X199"/>
    </row>
    <row r="200" spans="10:24" s="1" customFormat="1" x14ac:dyDescent="0.2">
      <c r="J200"/>
      <c r="K200"/>
      <c r="L200"/>
      <c r="M200"/>
      <c r="N200"/>
      <c r="O200" s="2"/>
      <c r="S200"/>
      <c r="T200"/>
      <c r="U200"/>
      <c r="V200"/>
      <c r="X200"/>
    </row>
    <row r="201" spans="10:24" s="1" customFormat="1" x14ac:dyDescent="0.2">
      <c r="J201"/>
      <c r="K201"/>
      <c r="L201"/>
      <c r="M201"/>
      <c r="N201"/>
      <c r="O201" s="2"/>
      <c r="S201"/>
      <c r="T201"/>
      <c r="U201"/>
      <c r="V201"/>
      <c r="X201"/>
    </row>
    <row r="202" spans="10:24" s="1" customFormat="1" x14ac:dyDescent="0.2">
      <c r="J202"/>
      <c r="K202"/>
      <c r="L202"/>
      <c r="M202"/>
      <c r="N202"/>
      <c r="O202" s="2"/>
      <c r="S202"/>
      <c r="T202"/>
      <c r="U202"/>
      <c r="V202"/>
      <c r="X202"/>
    </row>
    <row r="203" spans="10:24" s="1" customFormat="1" x14ac:dyDescent="0.2">
      <c r="J203"/>
      <c r="K203"/>
      <c r="L203"/>
      <c r="M203"/>
      <c r="N203"/>
      <c r="O203" s="2"/>
      <c r="S203"/>
      <c r="T203"/>
      <c r="U203"/>
      <c r="V203"/>
      <c r="X203"/>
    </row>
    <row r="204" spans="10:24" s="1" customFormat="1" x14ac:dyDescent="0.2">
      <c r="J204"/>
      <c r="K204"/>
      <c r="L204"/>
      <c r="M204"/>
      <c r="N204"/>
      <c r="O204" s="2"/>
      <c r="S204"/>
      <c r="T204"/>
      <c r="U204"/>
      <c r="V204"/>
      <c r="X204"/>
    </row>
    <row r="205" spans="10:24" s="1" customFormat="1" x14ac:dyDescent="0.2">
      <c r="J205"/>
      <c r="K205"/>
      <c r="L205"/>
      <c r="M205"/>
      <c r="N205"/>
      <c r="O205" s="2"/>
      <c r="S205"/>
      <c r="T205"/>
      <c r="U205"/>
      <c r="V205"/>
      <c r="X205"/>
    </row>
    <row r="206" spans="10:24" s="1" customFormat="1" x14ac:dyDescent="0.2">
      <c r="J206"/>
      <c r="K206"/>
      <c r="L206"/>
      <c r="M206"/>
      <c r="N206"/>
      <c r="O206" s="2"/>
      <c r="S206"/>
      <c r="T206"/>
      <c r="U206"/>
      <c r="V206"/>
      <c r="X206"/>
    </row>
    <row r="207" spans="10:24" s="1" customFormat="1" x14ac:dyDescent="0.2">
      <c r="J207"/>
      <c r="K207"/>
      <c r="L207"/>
      <c r="M207"/>
      <c r="N207"/>
      <c r="O207" s="2"/>
      <c r="S207"/>
      <c r="T207"/>
      <c r="U207"/>
      <c r="V207"/>
      <c r="X207"/>
    </row>
    <row r="208" spans="10:24" s="1" customFormat="1" x14ac:dyDescent="0.2">
      <c r="J208"/>
      <c r="K208"/>
      <c r="L208"/>
      <c r="M208"/>
      <c r="N208"/>
      <c r="O208" s="2"/>
      <c r="S208"/>
      <c r="T208"/>
      <c r="U208"/>
      <c r="V208"/>
      <c r="X208"/>
    </row>
    <row r="209" spans="10:24" s="1" customFormat="1" x14ac:dyDescent="0.2">
      <c r="J209"/>
      <c r="K209"/>
      <c r="L209"/>
      <c r="M209"/>
      <c r="N209"/>
      <c r="O209" s="2"/>
      <c r="S209"/>
      <c r="T209"/>
      <c r="U209"/>
      <c r="V209"/>
      <c r="X209"/>
    </row>
    <row r="210" spans="10:24" s="1" customFormat="1" x14ac:dyDescent="0.2">
      <c r="J210"/>
      <c r="K210"/>
      <c r="L210"/>
      <c r="M210"/>
      <c r="N210"/>
      <c r="O210" s="2"/>
      <c r="S210"/>
      <c r="T210"/>
      <c r="U210"/>
      <c r="V210"/>
      <c r="X210"/>
    </row>
    <row r="211" spans="10:24" s="1" customFormat="1" x14ac:dyDescent="0.2">
      <c r="J211"/>
      <c r="K211"/>
      <c r="L211"/>
      <c r="M211"/>
      <c r="N211"/>
      <c r="O211" s="2"/>
      <c r="S211"/>
      <c r="T211"/>
      <c r="U211"/>
      <c r="V211"/>
      <c r="X211"/>
    </row>
    <row r="212" spans="10:24" s="1" customFormat="1" x14ac:dyDescent="0.2">
      <c r="J212"/>
      <c r="K212"/>
      <c r="L212"/>
      <c r="M212"/>
      <c r="N212"/>
      <c r="O212" s="2"/>
      <c r="S212"/>
      <c r="T212"/>
      <c r="U212"/>
      <c r="V212"/>
      <c r="X212"/>
    </row>
    <row r="213" spans="10:24" s="1" customFormat="1" x14ac:dyDescent="0.2">
      <c r="J213"/>
      <c r="K213"/>
      <c r="L213"/>
      <c r="M213"/>
      <c r="N213"/>
      <c r="O213" s="2"/>
      <c r="S213"/>
      <c r="T213"/>
      <c r="U213"/>
      <c r="V213"/>
      <c r="X213"/>
    </row>
    <row r="214" spans="10:24" s="1" customFormat="1" x14ac:dyDescent="0.2">
      <c r="J214"/>
      <c r="K214"/>
      <c r="L214"/>
      <c r="M214"/>
      <c r="N214"/>
      <c r="O214" s="2"/>
      <c r="S214"/>
      <c r="T214"/>
      <c r="U214"/>
      <c r="V214"/>
      <c r="X214"/>
    </row>
    <row r="215" spans="10:24" s="1" customFormat="1" x14ac:dyDescent="0.2">
      <c r="J215"/>
      <c r="K215"/>
      <c r="L215"/>
      <c r="M215"/>
      <c r="N215"/>
      <c r="O215" s="2"/>
      <c r="S215"/>
      <c r="T215"/>
      <c r="U215"/>
      <c r="V215"/>
      <c r="X215"/>
    </row>
    <row r="216" spans="10:24" s="1" customFormat="1" x14ac:dyDescent="0.2">
      <c r="J216"/>
      <c r="K216"/>
      <c r="L216"/>
      <c r="M216"/>
      <c r="N216"/>
      <c r="O216" s="2"/>
      <c r="S216"/>
      <c r="T216"/>
      <c r="U216"/>
      <c r="V216"/>
      <c r="X216"/>
    </row>
    <row r="217" spans="10:24" s="1" customFormat="1" x14ac:dyDescent="0.2">
      <c r="J217"/>
      <c r="K217"/>
      <c r="L217"/>
      <c r="M217"/>
      <c r="N217"/>
      <c r="O217" s="2"/>
      <c r="S217"/>
      <c r="T217"/>
      <c r="U217"/>
      <c r="V217"/>
      <c r="X217"/>
    </row>
    <row r="218" spans="10:24" s="1" customFormat="1" x14ac:dyDescent="0.2">
      <c r="J218"/>
      <c r="K218"/>
      <c r="L218"/>
      <c r="M218"/>
      <c r="N218"/>
      <c r="O218" s="2"/>
      <c r="S218"/>
      <c r="T218"/>
      <c r="U218"/>
      <c r="V218"/>
      <c r="X218"/>
    </row>
    <row r="219" spans="10:24" s="1" customFormat="1" x14ac:dyDescent="0.2">
      <c r="J219"/>
      <c r="K219"/>
      <c r="L219"/>
      <c r="M219"/>
      <c r="N219"/>
      <c r="O219" s="2"/>
      <c r="S219"/>
      <c r="T219"/>
      <c r="U219"/>
      <c r="V219"/>
      <c r="X219"/>
    </row>
    <row r="220" spans="10:24" s="1" customFormat="1" x14ac:dyDescent="0.2">
      <c r="J220"/>
      <c r="K220"/>
      <c r="L220"/>
      <c r="M220"/>
      <c r="N220"/>
      <c r="O220" s="2"/>
      <c r="S220"/>
      <c r="T220"/>
      <c r="U220"/>
      <c r="V220"/>
      <c r="X220"/>
    </row>
    <row r="221" spans="10:24" s="1" customFormat="1" x14ac:dyDescent="0.2">
      <c r="J221"/>
      <c r="K221"/>
      <c r="L221"/>
      <c r="M221"/>
      <c r="N221"/>
      <c r="O221" s="2"/>
      <c r="S221"/>
      <c r="T221"/>
      <c r="U221"/>
      <c r="V221"/>
      <c r="X221"/>
    </row>
    <row r="222" spans="10:24" s="1" customFormat="1" x14ac:dyDescent="0.2">
      <c r="J222"/>
      <c r="K222"/>
      <c r="L222"/>
      <c r="M222"/>
      <c r="N222"/>
      <c r="O222" s="2"/>
      <c r="S222"/>
      <c r="T222"/>
      <c r="U222"/>
      <c r="V222"/>
      <c r="X222"/>
    </row>
    <row r="223" spans="10:24" s="1" customFormat="1" x14ac:dyDescent="0.2">
      <c r="J223"/>
      <c r="K223"/>
      <c r="L223"/>
      <c r="M223"/>
      <c r="N223"/>
      <c r="O223" s="2"/>
      <c r="S223"/>
      <c r="T223"/>
      <c r="U223"/>
      <c r="V223"/>
      <c r="X223"/>
    </row>
    <row r="224" spans="10:24" s="1" customFormat="1" x14ac:dyDescent="0.2">
      <c r="J224"/>
      <c r="K224"/>
      <c r="L224"/>
      <c r="M224"/>
      <c r="N224"/>
      <c r="O224" s="2"/>
      <c r="S224"/>
      <c r="T224"/>
      <c r="U224"/>
      <c r="V224"/>
      <c r="X224"/>
    </row>
    <row r="225" spans="10:24" s="1" customFormat="1" x14ac:dyDescent="0.2">
      <c r="J225"/>
      <c r="K225"/>
      <c r="L225"/>
      <c r="M225"/>
      <c r="N225"/>
      <c r="O225" s="2"/>
      <c r="S225"/>
      <c r="T225"/>
      <c r="U225"/>
      <c r="V225"/>
      <c r="X225"/>
    </row>
    <row r="226" spans="10:24" s="1" customFormat="1" x14ac:dyDescent="0.2">
      <c r="J226"/>
      <c r="K226"/>
      <c r="L226"/>
      <c r="M226"/>
      <c r="N226"/>
      <c r="O226" s="2"/>
      <c r="S226"/>
      <c r="T226"/>
      <c r="U226"/>
      <c r="V226"/>
      <c r="X226"/>
    </row>
    <row r="227" spans="10:24" s="1" customFormat="1" x14ac:dyDescent="0.2">
      <c r="J227"/>
      <c r="K227"/>
      <c r="L227"/>
      <c r="M227"/>
      <c r="N227"/>
      <c r="O227" s="2"/>
      <c r="S227"/>
      <c r="T227"/>
      <c r="U227"/>
      <c r="V227"/>
      <c r="X227"/>
    </row>
    <row r="228" spans="10:24" s="1" customFormat="1" x14ac:dyDescent="0.2">
      <c r="J228"/>
      <c r="K228"/>
      <c r="L228"/>
      <c r="M228"/>
      <c r="N228"/>
      <c r="O228" s="2"/>
      <c r="S228"/>
      <c r="T228"/>
      <c r="U228"/>
      <c r="V228"/>
      <c r="X228"/>
    </row>
    <row r="229" spans="10:24" s="1" customFormat="1" x14ac:dyDescent="0.2">
      <c r="J229"/>
      <c r="K229"/>
      <c r="L229"/>
      <c r="M229"/>
      <c r="N229"/>
      <c r="O229" s="2"/>
      <c r="S229"/>
      <c r="T229"/>
      <c r="U229"/>
      <c r="V229"/>
      <c r="X229"/>
    </row>
    <row r="230" spans="10:24" s="1" customFormat="1" x14ac:dyDescent="0.2">
      <c r="J230"/>
      <c r="K230"/>
      <c r="L230"/>
      <c r="M230"/>
      <c r="N230"/>
      <c r="O230" s="2"/>
      <c r="S230"/>
      <c r="T230"/>
      <c r="U230"/>
      <c r="V230"/>
      <c r="X230"/>
    </row>
    <row r="231" spans="10:24" s="1" customFormat="1" x14ac:dyDescent="0.2">
      <c r="J231"/>
      <c r="K231"/>
      <c r="L231"/>
      <c r="M231"/>
      <c r="N231"/>
      <c r="O231" s="2"/>
      <c r="S231"/>
      <c r="T231"/>
      <c r="U231"/>
      <c r="V231"/>
      <c r="X231"/>
    </row>
    <row r="232" spans="10:24" s="1" customFormat="1" x14ac:dyDescent="0.2">
      <c r="J232"/>
      <c r="K232"/>
      <c r="L232"/>
      <c r="M232"/>
      <c r="N232"/>
      <c r="O232" s="2"/>
      <c r="S232"/>
      <c r="T232"/>
      <c r="U232"/>
      <c r="V232"/>
      <c r="X232"/>
    </row>
    <row r="233" spans="10:24" s="1" customFormat="1" x14ac:dyDescent="0.2">
      <c r="J233"/>
      <c r="K233"/>
      <c r="L233"/>
      <c r="M233"/>
      <c r="N233"/>
      <c r="O233" s="2"/>
      <c r="S233"/>
      <c r="T233"/>
      <c r="U233"/>
      <c r="V233"/>
      <c r="X233"/>
    </row>
    <row r="234" spans="10:24" s="1" customFormat="1" x14ac:dyDescent="0.2">
      <c r="J234"/>
      <c r="K234"/>
      <c r="L234"/>
      <c r="M234"/>
      <c r="N234"/>
      <c r="O234" s="2"/>
      <c r="S234"/>
      <c r="T234"/>
      <c r="U234"/>
      <c r="V234"/>
      <c r="X234"/>
    </row>
    <row r="235" spans="10:24" s="1" customFormat="1" x14ac:dyDescent="0.2">
      <c r="J235"/>
      <c r="K235"/>
      <c r="L235"/>
      <c r="M235"/>
      <c r="N235"/>
      <c r="O235" s="2"/>
      <c r="S235"/>
      <c r="T235"/>
      <c r="U235"/>
      <c r="V235"/>
      <c r="X235"/>
    </row>
    <row r="236" spans="10:24" s="1" customFormat="1" x14ac:dyDescent="0.2">
      <c r="J236"/>
      <c r="K236"/>
      <c r="L236"/>
      <c r="M236"/>
      <c r="N236"/>
      <c r="O236" s="2"/>
      <c r="S236"/>
      <c r="T236"/>
      <c r="U236"/>
      <c r="V236"/>
      <c r="X236"/>
    </row>
    <row r="237" spans="10:24" s="1" customFormat="1" x14ac:dyDescent="0.2">
      <c r="J237"/>
      <c r="K237"/>
      <c r="L237"/>
      <c r="M237"/>
      <c r="N237"/>
      <c r="O237" s="2"/>
      <c r="S237"/>
      <c r="T237"/>
      <c r="U237"/>
      <c r="V237"/>
      <c r="X237"/>
    </row>
    <row r="238" spans="10:24" s="1" customFormat="1" x14ac:dyDescent="0.2">
      <c r="J238"/>
      <c r="K238"/>
      <c r="L238"/>
      <c r="M238"/>
      <c r="N238"/>
      <c r="O238" s="2"/>
      <c r="S238"/>
      <c r="T238"/>
      <c r="U238"/>
      <c r="V238"/>
      <c r="X238"/>
    </row>
    <row r="239" spans="10:24" s="1" customFormat="1" x14ac:dyDescent="0.2">
      <c r="J239"/>
      <c r="K239"/>
      <c r="L239"/>
      <c r="M239"/>
      <c r="N239"/>
      <c r="O239" s="2"/>
      <c r="S239"/>
      <c r="T239"/>
      <c r="U239"/>
      <c r="V239"/>
      <c r="X239"/>
    </row>
    <row r="240" spans="10:24" s="1" customFormat="1" x14ac:dyDescent="0.2">
      <c r="J240"/>
      <c r="K240"/>
      <c r="L240"/>
      <c r="M240"/>
      <c r="N240"/>
      <c r="O240" s="2"/>
      <c r="S240"/>
      <c r="T240"/>
      <c r="U240"/>
      <c r="V240"/>
      <c r="X240"/>
    </row>
    <row r="241" spans="10:24" s="1" customFormat="1" x14ac:dyDescent="0.2">
      <c r="J241"/>
      <c r="K241"/>
      <c r="L241"/>
      <c r="M241"/>
      <c r="N241"/>
      <c r="O241" s="2"/>
      <c r="S241"/>
      <c r="T241"/>
      <c r="U241"/>
      <c r="V241"/>
      <c r="X241"/>
    </row>
    <row r="242" spans="10:24" s="1" customFormat="1" x14ac:dyDescent="0.2">
      <c r="J242"/>
      <c r="K242"/>
      <c r="L242"/>
      <c r="M242"/>
      <c r="N242"/>
      <c r="O242" s="2"/>
      <c r="S242"/>
      <c r="T242"/>
      <c r="U242"/>
      <c r="V242"/>
      <c r="X242"/>
    </row>
    <row r="243" spans="10:24" s="1" customFormat="1" x14ac:dyDescent="0.2">
      <c r="J243"/>
      <c r="K243"/>
      <c r="L243"/>
      <c r="M243"/>
      <c r="N243"/>
      <c r="O243" s="2"/>
      <c r="S243"/>
      <c r="T243"/>
      <c r="U243"/>
      <c r="V243"/>
      <c r="X243"/>
    </row>
    <row r="244" spans="10:24" s="1" customFormat="1" x14ac:dyDescent="0.2">
      <c r="J244"/>
      <c r="K244"/>
      <c r="L244"/>
      <c r="M244"/>
      <c r="N244"/>
      <c r="O244" s="2"/>
      <c r="S244"/>
      <c r="T244"/>
      <c r="U244"/>
      <c r="V244"/>
      <c r="X244"/>
    </row>
    <row r="245" spans="10:24" s="1" customFormat="1" x14ac:dyDescent="0.2">
      <c r="J245"/>
      <c r="K245"/>
      <c r="L245"/>
      <c r="M245"/>
      <c r="N245"/>
      <c r="O245" s="2"/>
      <c r="S245"/>
      <c r="T245"/>
      <c r="U245"/>
      <c r="V245"/>
      <c r="X245"/>
    </row>
    <row r="246" spans="10:24" s="1" customFormat="1" x14ac:dyDescent="0.2">
      <c r="J246"/>
      <c r="K246"/>
      <c r="L246"/>
      <c r="M246"/>
      <c r="N246"/>
      <c r="O246" s="2"/>
      <c r="S246"/>
      <c r="T246"/>
      <c r="U246"/>
      <c r="V246"/>
      <c r="X246"/>
    </row>
    <row r="247" spans="10:24" s="1" customFormat="1" x14ac:dyDescent="0.2">
      <c r="J247"/>
      <c r="K247"/>
      <c r="L247"/>
      <c r="M247"/>
      <c r="N247"/>
      <c r="O247" s="2"/>
      <c r="S247"/>
      <c r="T247"/>
      <c r="U247"/>
      <c r="V247"/>
      <c r="X247"/>
    </row>
    <row r="248" spans="10:24" s="1" customFormat="1" x14ac:dyDescent="0.2">
      <c r="J248"/>
      <c r="K248"/>
      <c r="L248"/>
      <c r="M248"/>
      <c r="N248"/>
      <c r="O248" s="2"/>
      <c r="S248"/>
      <c r="T248"/>
      <c r="U248"/>
      <c r="V248"/>
      <c r="X248"/>
    </row>
    <row r="249" spans="10:24" s="1" customFormat="1" x14ac:dyDescent="0.2">
      <c r="J249"/>
      <c r="K249"/>
      <c r="L249"/>
      <c r="M249"/>
      <c r="N249"/>
      <c r="O249" s="2"/>
      <c r="S249"/>
      <c r="T249"/>
      <c r="U249"/>
      <c r="V249"/>
      <c r="X249"/>
    </row>
    <row r="250" spans="10:24" s="1" customFormat="1" x14ac:dyDescent="0.2">
      <c r="J250"/>
      <c r="K250"/>
      <c r="L250"/>
      <c r="M250"/>
      <c r="N250"/>
      <c r="O250" s="2"/>
      <c r="S250"/>
      <c r="T250"/>
      <c r="U250"/>
      <c r="V250"/>
      <c r="X250"/>
    </row>
    <row r="251" spans="10:24" s="1" customFormat="1" x14ac:dyDescent="0.2">
      <c r="J251"/>
      <c r="K251"/>
      <c r="L251"/>
      <c r="M251"/>
      <c r="N251"/>
      <c r="O251" s="2"/>
      <c r="S251"/>
      <c r="T251"/>
      <c r="U251"/>
      <c r="V251"/>
      <c r="X251"/>
    </row>
    <row r="252" spans="10:24" s="1" customFormat="1" x14ac:dyDescent="0.2">
      <c r="J252"/>
      <c r="K252"/>
      <c r="L252"/>
      <c r="M252"/>
      <c r="N252"/>
      <c r="O252" s="2"/>
      <c r="S252"/>
      <c r="T252"/>
      <c r="U252"/>
      <c r="V252"/>
      <c r="X252"/>
    </row>
    <row r="253" spans="10:24" s="1" customFormat="1" x14ac:dyDescent="0.2">
      <c r="J253"/>
      <c r="K253"/>
      <c r="L253"/>
      <c r="M253"/>
      <c r="N253"/>
      <c r="O253" s="2"/>
      <c r="S253"/>
      <c r="T253"/>
      <c r="U253"/>
      <c r="V253"/>
      <c r="X253"/>
    </row>
    <row r="254" spans="10:24" s="1" customFormat="1" x14ac:dyDescent="0.2">
      <c r="J254"/>
      <c r="K254"/>
      <c r="L254"/>
      <c r="M254"/>
      <c r="N254"/>
      <c r="O254" s="2"/>
      <c r="S254"/>
      <c r="T254"/>
      <c r="U254"/>
      <c r="V254"/>
      <c r="X254"/>
    </row>
    <row r="255" spans="10:24" s="1" customFormat="1" x14ac:dyDescent="0.2">
      <c r="J255"/>
      <c r="K255"/>
      <c r="L255"/>
      <c r="M255"/>
      <c r="N255"/>
      <c r="O255" s="2"/>
      <c r="S255"/>
      <c r="T255"/>
      <c r="U255"/>
      <c r="V255"/>
      <c r="X255"/>
    </row>
    <row r="256" spans="10:24" s="1" customFormat="1" x14ac:dyDescent="0.2">
      <c r="J256"/>
      <c r="K256"/>
      <c r="L256"/>
      <c r="M256"/>
      <c r="N256"/>
      <c r="O256" s="2"/>
      <c r="S256"/>
      <c r="T256"/>
      <c r="U256"/>
      <c r="V256"/>
      <c r="X256"/>
    </row>
    <row r="257" spans="10:24" s="1" customFormat="1" x14ac:dyDescent="0.2">
      <c r="J257"/>
      <c r="K257"/>
      <c r="L257"/>
      <c r="M257"/>
      <c r="N257"/>
      <c r="O257" s="2"/>
      <c r="S257"/>
      <c r="T257"/>
      <c r="U257"/>
      <c r="V257"/>
      <c r="X257"/>
    </row>
    <row r="258" spans="10:24" s="1" customFormat="1" x14ac:dyDescent="0.2">
      <c r="J258"/>
      <c r="K258"/>
      <c r="L258"/>
      <c r="M258"/>
      <c r="N258"/>
      <c r="O258" s="2"/>
      <c r="S258"/>
      <c r="T258"/>
      <c r="U258"/>
      <c r="V258"/>
      <c r="X258"/>
    </row>
    <row r="259" spans="10:24" s="1" customFormat="1" x14ac:dyDescent="0.2">
      <c r="J259"/>
      <c r="K259"/>
      <c r="L259"/>
      <c r="M259"/>
      <c r="N259"/>
      <c r="O259" s="2"/>
      <c r="S259"/>
      <c r="T259"/>
      <c r="U259"/>
      <c r="V259"/>
      <c r="X259"/>
    </row>
    <row r="260" spans="10:24" s="1" customFormat="1" x14ac:dyDescent="0.2">
      <c r="J260"/>
      <c r="K260"/>
      <c r="L260"/>
      <c r="M260"/>
      <c r="N260"/>
      <c r="O260" s="2"/>
      <c r="S260"/>
      <c r="T260"/>
      <c r="U260"/>
      <c r="V260"/>
      <c r="X260"/>
    </row>
    <row r="261" spans="10:24" s="1" customFormat="1" x14ac:dyDescent="0.2">
      <c r="J261"/>
      <c r="K261"/>
      <c r="L261"/>
      <c r="M261"/>
      <c r="N261"/>
      <c r="O261" s="2"/>
      <c r="S261"/>
      <c r="T261"/>
      <c r="U261"/>
      <c r="V261"/>
      <c r="X261"/>
    </row>
    <row r="262" spans="10:24" s="1" customFormat="1" x14ac:dyDescent="0.2">
      <c r="J262"/>
      <c r="K262"/>
      <c r="L262"/>
      <c r="M262"/>
      <c r="N262"/>
      <c r="O262" s="2"/>
      <c r="S262"/>
      <c r="T262"/>
      <c r="U262"/>
      <c r="V262"/>
      <c r="X262"/>
    </row>
    <row r="263" spans="10:24" s="1" customFormat="1" x14ac:dyDescent="0.2">
      <c r="J263"/>
      <c r="K263"/>
      <c r="L263"/>
      <c r="M263"/>
      <c r="N263"/>
      <c r="O263" s="2"/>
      <c r="S263"/>
      <c r="T263"/>
      <c r="U263"/>
      <c r="V263"/>
      <c r="X263"/>
    </row>
    <row r="264" spans="10:24" s="1" customFormat="1" x14ac:dyDescent="0.2">
      <c r="J264"/>
      <c r="K264"/>
      <c r="L264"/>
      <c r="M264"/>
      <c r="N264"/>
      <c r="O264" s="2"/>
      <c r="S264"/>
      <c r="T264"/>
      <c r="U264"/>
      <c r="V264"/>
      <c r="X264"/>
    </row>
    <row r="265" spans="10:24" s="1" customFormat="1" x14ac:dyDescent="0.2">
      <c r="J265"/>
      <c r="K265"/>
      <c r="L265"/>
      <c r="M265"/>
      <c r="N265"/>
      <c r="O265" s="2"/>
      <c r="S265"/>
      <c r="T265"/>
      <c r="U265"/>
      <c r="V265"/>
      <c r="X265"/>
    </row>
    <row r="266" spans="10:24" s="1" customFormat="1" x14ac:dyDescent="0.2">
      <c r="J266"/>
      <c r="K266"/>
      <c r="L266"/>
      <c r="M266"/>
      <c r="N266"/>
      <c r="O266" s="2"/>
      <c r="S266"/>
      <c r="T266"/>
      <c r="U266"/>
      <c r="V266"/>
      <c r="X266"/>
    </row>
    <row r="267" spans="10:24" s="1" customFormat="1" x14ac:dyDescent="0.2">
      <c r="J267"/>
      <c r="K267"/>
      <c r="L267"/>
      <c r="M267"/>
      <c r="N267"/>
      <c r="O267" s="2"/>
      <c r="S267"/>
      <c r="T267"/>
      <c r="U267"/>
      <c r="V267"/>
      <c r="X267"/>
    </row>
    <row r="268" spans="10:24" s="1" customFormat="1" x14ac:dyDescent="0.2">
      <c r="J268"/>
      <c r="K268"/>
      <c r="L268"/>
      <c r="M268"/>
      <c r="N268"/>
      <c r="O268" s="2"/>
      <c r="S268"/>
      <c r="T268"/>
      <c r="U268"/>
      <c r="V268"/>
      <c r="X268"/>
    </row>
    <row r="269" spans="10:24" s="1" customFormat="1" x14ac:dyDescent="0.2">
      <c r="J269"/>
      <c r="K269"/>
      <c r="L269"/>
      <c r="M269"/>
      <c r="N269"/>
      <c r="O269" s="2"/>
      <c r="S269"/>
      <c r="T269"/>
      <c r="U269"/>
      <c r="V269"/>
      <c r="X269"/>
    </row>
    <row r="270" spans="10:24" s="1" customFormat="1" x14ac:dyDescent="0.2">
      <c r="J270"/>
      <c r="K270"/>
      <c r="L270"/>
      <c r="M270"/>
      <c r="N270"/>
      <c r="O270" s="2"/>
      <c r="S270"/>
      <c r="T270"/>
      <c r="U270"/>
      <c r="V270"/>
      <c r="X270"/>
    </row>
    <row r="271" spans="10:24" s="1" customFormat="1" x14ac:dyDescent="0.2">
      <c r="J271"/>
      <c r="K271"/>
      <c r="L271"/>
      <c r="M271"/>
      <c r="N271"/>
      <c r="O271" s="2"/>
      <c r="S271"/>
      <c r="T271"/>
      <c r="U271"/>
      <c r="V271"/>
      <c r="X271"/>
    </row>
    <row r="272" spans="10:24" s="1" customFormat="1" x14ac:dyDescent="0.2">
      <c r="J272"/>
      <c r="K272"/>
      <c r="L272"/>
      <c r="M272"/>
      <c r="N272"/>
      <c r="O272" s="2"/>
      <c r="S272"/>
      <c r="T272"/>
      <c r="U272"/>
      <c r="V272"/>
      <c r="X272"/>
    </row>
    <row r="273" spans="10:24" s="1" customFormat="1" x14ac:dyDescent="0.2">
      <c r="J273"/>
      <c r="K273"/>
      <c r="L273"/>
      <c r="M273"/>
      <c r="N273"/>
      <c r="O273" s="2"/>
      <c r="S273"/>
      <c r="T273"/>
      <c r="U273"/>
      <c r="V273"/>
      <c r="X273"/>
    </row>
    <row r="274" spans="10:24" s="1" customFormat="1" x14ac:dyDescent="0.2">
      <c r="J274"/>
      <c r="K274"/>
      <c r="L274"/>
      <c r="M274"/>
      <c r="N274"/>
      <c r="O274" s="2"/>
      <c r="S274"/>
      <c r="T274"/>
      <c r="U274"/>
      <c r="V274"/>
      <c r="X274"/>
    </row>
    <row r="275" spans="10:24" s="1" customFormat="1" x14ac:dyDescent="0.2">
      <c r="J275"/>
      <c r="K275"/>
      <c r="L275"/>
      <c r="M275"/>
      <c r="N275"/>
      <c r="O275" s="2"/>
      <c r="S275"/>
      <c r="T275"/>
      <c r="U275"/>
      <c r="V275"/>
      <c r="X275"/>
    </row>
    <row r="276" spans="10:24" s="1" customFormat="1" x14ac:dyDescent="0.2">
      <c r="J276"/>
      <c r="K276"/>
      <c r="L276"/>
      <c r="M276"/>
      <c r="N276"/>
      <c r="O276" s="2"/>
      <c r="S276"/>
      <c r="T276"/>
      <c r="U276"/>
      <c r="V276"/>
      <c r="X276"/>
    </row>
    <row r="277" spans="10:24" s="1" customFormat="1" x14ac:dyDescent="0.2">
      <c r="J277"/>
      <c r="K277"/>
      <c r="L277"/>
      <c r="M277"/>
      <c r="N277"/>
      <c r="O277" s="2"/>
      <c r="S277"/>
      <c r="T277"/>
      <c r="U277"/>
      <c r="V277"/>
      <c r="X277"/>
    </row>
    <row r="278" spans="10:24" s="1" customFormat="1" x14ac:dyDescent="0.2">
      <c r="J278"/>
      <c r="K278"/>
      <c r="L278"/>
      <c r="M278"/>
      <c r="N278"/>
      <c r="O278" s="2"/>
      <c r="S278"/>
      <c r="T278"/>
      <c r="U278"/>
      <c r="V278"/>
      <c r="X278"/>
    </row>
    <row r="279" spans="10:24" s="1" customFormat="1" x14ac:dyDescent="0.2">
      <c r="J279"/>
      <c r="K279"/>
      <c r="L279"/>
      <c r="M279"/>
      <c r="N279"/>
      <c r="O279" s="2"/>
      <c r="S279"/>
      <c r="T279"/>
      <c r="U279"/>
      <c r="V279"/>
      <c r="X279"/>
    </row>
    <row r="280" spans="10:24" s="1" customFormat="1" x14ac:dyDescent="0.2">
      <c r="J280"/>
      <c r="K280"/>
      <c r="L280"/>
      <c r="M280"/>
      <c r="N280"/>
      <c r="O280" s="2"/>
      <c r="S280"/>
      <c r="T280"/>
      <c r="U280"/>
      <c r="V280"/>
      <c r="X280"/>
    </row>
    <row r="281" spans="10:24" s="1" customFormat="1" x14ac:dyDescent="0.2">
      <c r="J281"/>
      <c r="K281"/>
      <c r="L281"/>
      <c r="M281"/>
      <c r="N281"/>
      <c r="O281" s="2"/>
      <c r="S281"/>
      <c r="T281"/>
      <c r="U281"/>
      <c r="V281"/>
      <c r="X281"/>
    </row>
    <row r="282" spans="10:24" s="1" customFormat="1" x14ac:dyDescent="0.2">
      <c r="J282"/>
      <c r="K282"/>
      <c r="L282"/>
      <c r="M282"/>
      <c r="N282"/>
      <c r="O282" s="2"/>
      <c r="S282"/>
      <c r="T282"/>
      <c r="U282"/>
      <c r="V282"/>
      <c r="X282"/>
    </row>
    <row r="283" spans="10:24" s="1" customFormat="1" x14ac:dyDescent="0.2">
      <c r="J283"/>
      <c r="K283"/>
      <c r="L283"/>
      <c r="M283"/>
      <c r="N283"/>
      <c r="O283" s="2"/>
      <c r="S283"/>
      <c r="T283"/>
      <c r="U283"/>
      <c r="V283"/>
      <c r="X283"/>
    </row>
    <row r="284" spans="10:24" s="1" customFormat="1" x14ac:dyDescent="0.2">
      <c r="J284"/>
      <c r="K284"/>
      <c r="L284"/>
      <c r="M284"/>
      <c r="N284"/>
      <c r="O284" s="2"/>
      <c r="S284"/>
      <c r="T284"/>
      <c r="U284"/>
      <c r="V284"/>
      <c r="X284"/>
    </row>
    <row r="285" spans="10:24" s="1" customFormat="1" x14ac:dyDescent="0.2">
      <c r="J285"/>
      <c r="K285"/>
      <c r="L285"/>
      <c r="M285"/>
      <c r="N285"/>
      <c r="O285" s="2"/>
      <c r="S285"/>
      <c r="T285"/>
      <c r="U285"/>
      <c r="V285"/>
      <c r="X285"/>
    </row>
    <row r="286" spans="10:24" s="1" customFormat="1" x14ac:dyDescent="0.2">
      <c r="J286"/>
      <c r="K286"/>
      <c r="L286"/>
      <c r="M286"/>
      <c r="N286"/>
      <c r="O286" s="2"/>
      <c r="S286"/>
      <c r="T286"/>
      <c r="U286"/>
      <c r="V286"/>
      <c r="X286"/>
    </row>
    <row r="287" spans="10:24" s="1" customFormat="1" x14ac:dyDescent="0.2">
      <c r="J287"/>
      <c r="K287"/>
      <c r="L287"/>
      <c r="M287"/>
      <c r="N287"/>
      <c r="O287" s="2"/>
      <c r="S287"/>
      <c r="T287"/>
      <c r="U287"/>
      <c r="V287"/>
      <c r="X287"/>
    </row>
    <row r="288" spans="10:24" s="1" customFormat="1" x14ac:dyDescent="0.2">
      <c r="J288"/>
      <c r="K288"/>
      <c r="L288"/>
      <c r="M288"/>
      <c r="N288"/>
      <c r="O288" s="2"/>
      <c r="S288"/>
      <c r="T288"/>
      <c r="U288"/>
      <c r="V288"/>
      <c r="X288"/>
    </row>
    <row r="289" spans="10:24" s="1" customFormat="1" x14ac:dyDescent="0.2">
      <c r="J289"/>
      <c r="K289"/>
      <c r="L289"/>
      <c r="M289"/>
      <c r="N289"/>
      <c r="O289" s="2"/>
      <c r="S289"/>
      <c r="T289"/>
      <c r="U289"/>
      <c r="V289"/>
      <c r="X289"/>
    </row>
    <row r="290" spans="10:24" s="1" customFormat="1" x14ac:dyDescent="0.2">
      <c r="J290"/>
      <c r="K290"/>
      <c r="L290"/>
      <c r="M290"/>
      <c r="N290"/>
      <c r="O290" s="2"/>
      <c r="S290"/>
      <c r="T290"/>
      <c r="U290"/>
      <c r="V290"/>
      <c r="X290"/>
    </row>
    <row r="291" spans="10:24" s="1" customFormat="1" x14ac:dyDescent="0.2">
      <c r="J291"/>
      <c r="K291"/>
      <c r="L291"/>
      <c r="M291"/>
      <c r="N291"/>
      <c r="O291" s="2"/>
      <c r="S291"/>
      <c r="T291"/>
      <c r="U291"/>
      <c r="V291"/>
      <c r="X291"/>
    </row>
    <row r="292" spans="10:24" s="1" customFormat="1" x14ac:dyDescent="0.2">
      <c r="J292"/>
      <c r="K292"/>
      <c r="L292"/>
      <c r="M292"/>
      <c r="N292"/>
      <c r="O292" s="2"/>
      <c r="S292"/>
      <c r="T292"/>
      <c r="U292"/>
      <c r="V292"/>
      <c r="X292"/>
    </row>
    <row r="293" spans="10:24" s="1" customFormat="1" x14ac:dyDescent="0.2">
      <c r="J293"/>
      <c r="K293"/>
      <c r="L293"/>
      <c r="M293"/>
      <c r="N293"/>
      <c r="O293" s="2"/>
      <c r="S293"/>
      <c r="T293"/>
      <c r="U293"/>
      <c r="V293"/>
      <c r="X293"/>
    </row>
    <row r="294" spans="10:24" s="1" customFormat="1" x14ac:dyDescent="0.2">
      <c r="J294"/>
      <c r="K294"/>
      <c r="L294"/>
      <c r="M294"/>
      <c r="N294"/>
      <c r="O294" s="2"/>
      <c r="S294"/>
      <c r="T294"/>
      <c r="U294"/>
      <c r="V294"/>
      <c r="X294"/>
    </row>
    <row r="295" spans="10:24" s="1" customFormat="1" x14ac:dyDescent="0.2">
      <c r="J295"/>
      <c r="K295"/>
      <c r="L295"/>
      <c r="M295"/>
      <c r="N295"/>
      <c r="O295" s="2"/>
      <c r="S295"/>
      <c r="T295"/>
      <c r="U295"/>
      <c r="V295"/>
      <c r="X295"/>
    </row>
    <row r="296" spans="10:24" s="1" customFormat="1" x14ac:dyDescent="0.2">
      <c r="J296"/>
      <c r="K296"/>
      <c r="L296"/>
      <c r="M296"/>
      <c r="N296"/>
      <c r="O296" s="2"/>
      <c r="S296"/>
      <c r="T296"/>
      <c r="U296"/>
      <c r="V296"/>
      <c r="X296"/>
    </row>
    <row r="297" spans="10:24" s="1" customFormat="1" x14ac:dyDescent="0.2">
      <c r="J297"/>
      <c r="K297"/>
      <c r="L297"/>
      <c r="M297"/>
      <c r="N297"/>
      <c r="O297" s="2"/>
      <c r="S297"/>
      <c r="T297"/>
      <c r="U297"/>
      <c r="V297"/>
      <c r="X297"/>
    </row>
    <row r="298" spans="10:24" s="1" customFormat="1" x14ac:dyDescent="0.2">
      <c r="J298"/>
      <c r="K298"/>
      <c r="L298"/>
      <c r="M298"/>
      <c r="N298"/>
      <c r="O298" s="2"/>
      <c r="S298"/>
      <c r="T298"/>
      <c r="U298"/>
      <c r="V298"/>
      <c r="X298"/>
    </row>
    <row r="299" spans="10:24" s="1" customFormat="1" x14ac:dyDescent="0.2">
      <c r="J299"/>
      <c r="K299"/>
      <c r="L299"/>
      <c r="M299"/>
      <c r="N299"/>
      <c r="O299" s="2"/>
      <c r="S299"/>
      <c r="T299"/>
      <c r="U299"/>
      <c r="V299"/>
      <c r="X299"/>
    </row>
    <row r="300" spans="10:24" s="1" customFormat="1" x14ac:dyDescent="0.2">
      <c r="J300"/>
      <c r="K300"/>
      <c r="L300"/>
      <c r="M300"/>
      <c r="N300"/>
      <c r="O300" s="2"/>
      <c r="S300"/>
      <c r="T300"/>
      <c r="U300"/>
      <c r="V300"/>
      <c r="X300"/>
    </row>
    <row r="301" spans="10:24" s="1" customFormat="1" x14ac:dyDescent="0.2">
      <c r="J301"/>
      <c r="K301"/>
      <c r="L301"/>
      <c r="M301"/>
      <c r="N301"/>
      <c r="O301" s="2"/>
      <c r="S301"/>
      <c r="T301"/>
      <c r="U301"/>
      <c r="V301"/>
      <c r="X301"/>
    </row>
    <row r="302" spans="10:24" s="1" customFormat="1" x14ac:dyDescent="0.2">
      <c r="J302"/>
      <c r="K302"/>
      <c r="L302"/>
      <c r="M302"/>
      <c r="N302"/>
      <c r="O302" s="2"/>
      <c r="S302"/>
      <c r="T302"/>
      <c r="U302"/>
      <c r="V302"/>
      <c r="X302"/>
    </row>
    <row r="303" spans="10:24" s="1" customFormat="1" x14ac:dyDescent="0.2">
      <c r="J303"/>
      <c r="K303"/>
      <c r="L303"/>
      <c r="M303"/>
      <c r="N303"/>
      <c r="O303" s="2"/>
      <c r="S303"/>
      <c r="T303"/>
      <c r="U303"/>
      <c r="V303"/>
      <c r="X303"/>
    </row>
    <row r="304" spans="10:24" s="1" customFormat="1" x14ac:dyDescent="0.2">
      <c r="J304"/>
      <c r="K304"/>
      <c r="L304"/>
      <c r="M304"/>
      <c r="N304"/>
      <c r="O304" s="2"/>
      <c r="S304"/>
      <c r="T304"/>
      <c r="U304"/>
      <c r="V304"/>
      <c r="X304"/>
    </row>
    <row r="305" spans="10:24" s="1" customFormat="1" x14ac:dyDescent="0.2">
      <c r="J305"/>
      <c r="K305"/>
      <c r="L305"/>
      <c r="M305"/>
      <c r="N305"/>
      <c r="O305" s="2"/>
      <c r="S305"/>
      <c r="T305"/>
      <c r="U305"/>
      <c r="V305"/>
      <c r="X305"/>
    </row>
    <row r="306" spans="10:24" s="1" customFormat="1" x14ac:dyDescent="0.2">
      <c r="J306"/>
      <c r="K306"/>
      <c r="L306"/>
      <c r="M306"/>
      <c r="N306"/>
      <c r="O306" s="2"/>
      <c r="S306"/>
      <c r="T306"/>
      <c r="U306"/>
      <c r="V306"/>
      <c r="X306"/>
    </row>
    <row r="307" spans="10:24" s="1" customFormat="1" x14ac:dyDescent="0.2">
      <c r="J307"/>
      <c r="K307"/>
      <c r="L307"/>
      <c r="M307"/>
      <c r="N307"/>
      <c r="O307" s="2"/>
      <c r="S307"/>
      <c r="T307"/>
      <c r="U307"/>
      <c r="V307"/>
      <c r="X307"/>
    </row>
    <row r="308" spans="10:24" s="1" customFormat="1" x14ac:dyDescent="0.2">
      <c r="J308"/>
      <c r="K308"/>
      <c r="L308"/>
      <c r="M308"/>
      <c r="N308"/>
      <c r="O308" s="2"/>
      <c r="S308"/>
      <c r="T308"/>
      <c r="U308"/>
      <c r="V308"/>
      <c r="X308"/>
    </row>
    <row r="309" spans="10:24" s="1" customFormat="1" x14ac:dyDescent="0.2">
      <c r="J309"/>
      <c r="K309"/>
      <c r="L309"/>
      <c r="M309"/>
      <c r="N309"/>
      <c r="O309" s="2"/>
      <c r="S309"/>
      <c r="T309"/>
      <c r="U309"/>
      <c r="V309"/>
      <c r="X309"/>
    </row>
    <row r="310" spans="10:24" s="1" customFormat="1" x14ac:dyDescent="0.2">
      <c r="J310"/>
      <c r="K310"/>
      <c r="L310"/>
      <c r="M310"/>
      <c r="N310"/>
      <c r="O310" s="2"/>
      <c r="S310"/>
      <c r="T310"/>
      <c r="U310"/>
      <c r="V310"/>
      <c r="X310"/>
    </row>
    <row r="311" spans="10:24" s="1" customFormat="1" x14ac:dyDescent="0.2">
      <c r="J311"/>
      <c r="K311"/>
      <c r="L311"/>
      <c r="M311"/>
      <c r="N311"/>
      <c r="O311" s="2"/>
      <c r="S311"/>
      <c r="T311"/>
      <c r="U311"/>
      <c r="V311"/>
      <c r="X311"/>
    </row>
    <row r="312" spans="10:24" s="1" customFormat="1" x14ac:dyDescent="0.2">
      <c r="J312"/>
      <c r="K312"/>
      <c r="L312"/>
      <c r="M312"/>
      <c r="N312"/>
      <c r="O312" s="2"/>
      <c r="S312"/>
      <c r="T312"/>
      <c r="U312"/>
      <c r="V312"/>
      <c r="X312"/>
    </row>
    <row r="313" spans="10:24" s="1" customFormat="1" x14ac:dyDescent="0.2">
      <c r="J313"/>
      <c r="K313"/>
      <c r="L313"/>
      <c r="M313"/>
      <c r="N313"/>
      <c r="O313" s="2"/>
      <c r="S313"/>
      <c r="T313"/>
      <c r="U313"/>
      <c r="V313"/>
      <c r="X313"/>
    </row>
    <row r="314" spans="10:24" s="1" customFormat="1" x14ac:dyDescent="0.2">
      <c r="J314"/>
      <c r="K314"/>
      <c r="L314"/>
      <c r="M314"/>
      <c r="N314"/>
      <c r="O314" s="2"/>
      <c r="S314"/>
      <c r="T314"/>
      <c r="U314"/>
      <c r="V314"/>
      <c r="X314"/>
    </row>
    <row r="315" spans="10:24" s="1" customFormat="1" x14ac:dyDescent="0.2">
      <c r="J315"/>
      <c r="K315"/>
      <c r="L315"/>
      <c r="M315"/>
      <c r="N315"/>
      <c r="O315" s="2"/>
      <c r="S315"/>
      <c r="T315"/>
      <c r="U315"/>
      <c r="V315"/>
      <c r="X315"/>
    </row>
    <row r="316" spans="10:24" s="1" customFormat="1" x14ac:dyDescent="0.2">
      <c r="J316"/>
      <c r="K316"/>
      <c r="L316"/>
      <c r="M316"/>
      <c r="N316"/>
      <c r="O316" s="2"/>
      <c r="S316"/>
      <c r="T316"/>
      <c r="U316"/>
      <c r="V316"/>
      <c r="X316"/>
    </row>
    <row r="317" spans="10:24" s="1" customFormat="1" x14ac:dyDescent="0.2">
      <c r="J317"/>
      <c r="K317"/>
      <c r="L317"/>
      <c r="M317"/>
      <c r="N317"/>
      <c r="O317" s="2"/>
      <c r="S317"/>
      <c r="T317"/>
      <c r="U317"/>
      <c r="V317"/>
      <c r="X317"/>
    </row>
    <row r="318" spans="10:24" s="1" customFormat="1" x14ac:dyDescent="0.2">
      <c r="J318"/>
      <c r="K318"/>
      <c r="L318"/>
      <c r="M318"/>
      <c r="N318"/>
      <c r="O318" s="2"/>
      <c r="S318"/>
      <c r="T318"/>
      <c r="U318"/>
      <c r="V318"/>
      <c r="X318"/>
    </row>
    <row r="319" spans="10:24" s="1" customFormat="1" x14ac:dyDescent="0.2">
      <c r="J319"/>
      <c r="K319"/>
      <c r="L319"/>
      <c r="M319"/>
      <c r="N319"/>
      <c r="O319" s="2"/>
      <c r="S319"/>
      <c r="T319"/>
      <c r="U319"/>
      <c r="V319"/>
      <c r="X319"/>
    </row>
    <row r="320" spans="10:24" s="1" customFormat="1" x14ac:dyDescent="0.2">
      <c r="J320"/>
      <c r="K320"/>
      <c r="L320"/>
      <c r="M320"/>
      <c r="N320"/>
      <c r="O320" s="2"/>
      <c r="S320"/>
      <c r="T320"/>
      <c r="U320"/>
      <c r="V320"/>
      <c r="X320"/>
    </row>
    <row r="321" spans="10:24" s="1" customFormat="1" x14ac:dyDescent="0.2">
      <c r="J321"/>
      <c r="K321"/>
      <c r="L321"/>
      <c r="M321"/>
      <c r="N321"/>
      <c r="O321" s="2"/>
      <c r="S321"/>
      <c r="T321"/>
      <c r="U321"/>
      <c r="V321"/>
      <c r="X321"/>
    </row>
    <row r="322" spans="10:24" s="1" customFormat="1" x14ac:dyDescent="0.2">
      <c r="J322"/>
      <c r="K322"/>
      <c r="L322"/>
      <c r="M322"/>
      <c r="N322"/>
      <c r="O322" s="2"/>
      <c r="S322"/>
      <c r="T322"/>
      <c r="U322"/>
      <c r="V322"/>
      <c r="X322"/>
    </row>
    <row r="323" spans="10:24" s="1" customFormat="1" x14ac:dyDescent="0.2">
      <c r="J323"/>
      <c r="K323"/>
      <c r="L323"/>
      <c r="M323"/>
      <c r="N323"/>
      <c r="O323" s="2"/>
      <c r="S323"/>
      <c r="T323"/>
      <c r="U323"/>
      <c r="V323"/>
      <c r="X323"/>
    </row>
    <row r="324" spans="10:24" s="1" customFormat="1" x14ac:dyDescent="0.2">
      <c r="J324"/>
      <c r="K324"/>
      <c r="L324"/>
      <c r="M324"/>
      <c r="N324"/>
      <c r="O324" s="2"/>
      <c r="S324"/>
      <c r="T324"/>
      <c r="U324"/>
      <c r="V324"/>
      <c r="X324"/>
    </row>
    <row r="325" spans="10:24" s="1" customFormat="1" x14ac:dyDescent="0.2">
      <c r="J325"/>
      <c r="K325"/>
      <c r="L325"/>
      <c r="M325"/>
      <c r="N325"/>
      <c r="O325" s="2"/>
      <c r="S325"/>
      <c r="T325"/>
      <c r="U325"/>
      <c r="V325"/>
      <c r="X325"/>
    </row>
    <row r="326" spans="10:24" s="1" customFormat="1" x14ac:dyDescent="0.2">
      <c r="J326"/>
      <c r="K326"/>
      <c r="L326"/>
      <c r="M326"/>
      <c r="N326"/>
      <c r="O326" s="2"/>
      <c r="S326"/>
      <c r="T326"/>
      <c r="U326"/>
      <c r="V326"/>
      <c r="X326"/>
    </row>
    <row r="327" spans="10:24" s="1" customFormat="1" x14ac:dyDescent="0.2">
      <c r="J327"/>
      <c r="K327"/>
      <c r="L327"/>
      <c r="M327"/>
      <c r="N327"/>
      <c r="O327" s="2"/>
      <c r="S327"/>
      <c r="T327"/>
      <c r="U327"/>
      <c r="V327"/>
      <c r="X327"/>
    </row>
    <row r="328" spans="10:24" s="1" customFormat="1" x14ac:dyDescent="0.2">
      <c r="J328"/>
      <c r="K328"/>
      <c r="L328"/>
      <c r="M328"/>
      <c r="N328"/>
      <c r="O328" s="2"/>
      <c r="S328"/>
      <c r="T328"/>
      <c r="U328"/>
      <c r="V328"/>
      <c r="X328"/>
    </row>
    <row r="329" spans="10:24" s="1" customFormat="1" x14ac:dyDescent="0.2">
      <c r="J329"/>
      <c r="K329"/>
      <c r="L329"/>
      <c r="M329"/>
      <c r="N329"/>
      <c r="O329" s="2"/>
      <c r="S329"/>
      <c r="T329"/>
      <c r="U329"/>
      <c r="V329"/>
      <c r="X329"/>
    </row>
    <row r="330" spans="10:24" s="1" customFormat="1" x14ac:dyDescent="0.2">
      <c r="J330"/>
      <c r="K330"/>
      <c r="L330"/>
      <c r="M330"/>
      <c r="N330"/>
      <c r="O330" s="2"/>
      <c r="S330"/>
      <c r="T330"/>
      <c r="U330"/>
      <c r="V330"/>
      <c r="X330"/>
    </row>
    <row r="331" spans="10:24" s="1" customFormat="1" x14ac:dyDescent="0.2">
      <c r="J331"/>
      <c r="K331"/>
      <c r="L331"/>
      <c r="M331"/>
      <c r="N331"/>
      <c r="O331" s="2"/>
      <c r="S331"/>
      <c r="T331"/>
      <c r="U331"/>
      <c r="V331"/>
      <c r="X331"/>
    </row>
    <row r="332" spans="10:24" s="1" customFormat="1" x14ac:dyDescent="0.2">
      <c r="J332"/>
      <c r="K332"/>
      <c r="L332"/>
      <c r="M332"/>
      <c r="N332"/>
      <c r="O332" s="2"/>
      <c r="S332"/>
      <c r="T332"/>
      <c r="U332"/>
      <c r="V332"/>
      <c r="X332"/>
    </row>
    <row r="333" spans="10:24" s="1" customFormat="1" x14ac:dyDescent="0.2">
      <c r="J333"/>
      <c r="K333"/>
      <c r="L333"/>
      <c r="M333"/>
      <c r="N333"/>
      <c r="O333" s="2"/>
      <c r="S333"/>
      <c r="T333"/>
      <c r="U333"/>
      <c r="V333"/>
      <c r="X333"/>
    </row>
    <row r="334" spans="10:24" s="1" customFormat="1" x14ac:dyDescent="0.2">
      <c r="J334"/>
      <c r="K334"/>
      <c r="L334"/>
      <c r="M334"/>
      <c r="N334"/>
      <c r="O334" s="2"/>
      <c r="S334"/>
      <c r="T334"/>
      <c r="U334"/>
      <c r="V334"/>
      <c r="X334"/>
    </row>
    <row r="335" spans="10:24" s="1" customFormat="1" x14ac:dyDescent="0.2">
      <c r="J335"/>
      <c r="K335"/>
      <c r="L335"/>
      <c r="M335"/>
      <c r="N335"/>
      <c r="O335" s="2"/>
      <c r="S335"/>
      <c r="T335"/>
      <c r="U335"/>
      <c r="V335"/>
      <c r="X335"/>
    </row>
    <row r="336" spans="10:24" s="1" customFormat="1" x14ac:dyDescent="0.2">
      <c r="J336"/>
      <c r="K336"/>
      <c r="L336"/>
      <c r="M336"/>
      <c r="N336"/>
      <c r="O336" s="2"/>
      <c r="S336"/>
      <c r="T336"/>
      <c r="U336"/>
      <c r="V336"/>
      <c r="X336"/>
    </row>
    <row r="337" spans="10:24" s="1" customFormat="1" x14ac:dyDescent="0.2">
      <c r="J337"/>
      <c r="K337"/>
      <c r="L337"/>
      <c r="M337"/>
      <c r="N337"/>
      <c r="O337" s="2"/>
      <c r="S337"/>
      <c r="T337"/>
      <c r="U337"/>
      <c r="V337"/>
      <c r="X337"/>
    </row>
    <row r="338" spans="10:24" s="1" customFormat="1" x14ac:dyDescent="0.2">
      <c r="J338"/>
      <c r="K338"/>
      <c r="L338"/>
      <c r="M338"/>
      <c r="N338"/>
      <c r="O338" s="2"/>
      <c r="S338"/>
      <c r="T338"/>
      <c r="U338"/>
      <c r="V338"/>
      <c r="X338"/>
    </row>
    <row r="339" spans="10:24" s="1" customFormat="1" x14ac:dyDescent="0.2">
      <c r="J339"/>
      <c r="K339"/>
      <c r="L339"/>
      <c r="M339"/>
      <c r="N339"/>
      <c r="O339" s="2"/>
      <c r="S339"/>
      <c r="T339"/>
      <c r="U339"/>
      <c r="V339"/>
      <c r="X339"/>
    </row>
    <row r="340" spans="10:24" s="1" customFormat="1" x14ac:dyDescent="0.2">
      <c r="J340"/>
      <c r="K340"/>
      <c r="L340"/>
      <c r="M340"/>
      <c r="N340"/>
      <c r="O340" s="2"/>
      <c r="S340"/>
      <c r="T340"/>
      <c r="U340"/>
      <c r="V340"/>
      <c r="X340"/>
    </row>
    <row r="341" spans="10:24" s="1" customFormat="1" x14ac:dyDescent="0.2">
      <c r="J341"/>
      <c r="K341"/>
      <c r="L341"/>
      <c r="M341"/>
      <c r="N341"/>
      <c r="O341" s="2"/>
      <c r="S341"/>
      <c r="T341"/>
      <c r="U341"/>
      <c r="V341"/>
      <c r="X341"/>
    </row>
    <row r="342" spans="10:24" s="1" customFormat="1" x14ac:dyDescent="0.2">
      <c r="J342"/>
      <c r="K342"/>
      <c r="L342"/>
      <c r="M342"/>
      <c r="N342"/>
      <c r="O342" s="2"/>
      <c r="S342"/>
      <c r="T342"/>
      <c r="U342"/>
      <c r="V342"/>
      <c r="X342"/>
    </row>
    <row r="343" spans="10:24" s="1" customFormat="1" x14ac:dyDescent="0.2">
      <c r="J343"/>
      <c r="K343"/>
      <c r="L343"/>
      <c r="M343"/>
      <c r="N343"/>
      <c r="O343" s="2"/>
      <c r="S343"/>
      <c r="T343"/>
      <c r="U343"/>
      <c r="V343"/>
      <c r="X343"/>
    </row>
    <row r="344" spans="10:24" s="1" customFormat="1" x14ac:dyDescent="0.2">
      <c r="J344"/>
      <c r="K344"/>
      <c r="L344"/>
      <c r="M344"/>
      <c r="N344"/>
      <c r="O344" s="2"/>
      <c r="S344"/>
      <c r="T344"/>
      <c r="U344"/>
      <c r="V344"/>
      <c r="X344"/>
    </row>
    <row r="345" spans="10:24" s="1" customFormat="1" x14ac:dyDescent="0.2">
      <c r="J345"/>
      <c r="K345"/>
      <c r="L345"/>
      <c r="M345"/>
      <c r="N345"/>
      <c r="O345" s="2"/>
      <c r="S345"/>
      <c r="T345"/>
      <c r="U345"/>
      <c r="V345"/>
      <c r="X345"/>
    </row>
    <row r="346" spans="10:24" s="1" customFormat="1" x14ac:dyDescent="0.2">
      <c r="J346"/>
      <c r="K346"/>
      <c r="L346"/>
      <c r="M346"/>
      <c r="N346"/>
      <c r="O346" s="2"/>
      <c r="S346"/>
      <c r="T346"/>
      <c r="U346"/>
      <c r="V346"/>
      <c r="X346"/>
    </row>
    <row r="347" spans="10:24" s="1" customFormat="1" x14ac:dyDescent="0.2">
      <c r="J347"/>
      <c r="K347"/>
      <c r="L347"/>
      <c r="M347"/>
      <c r="N347"/>
      <c r="O347" s="2"/>
      <c r="S347"/>
      <c r="T347"/>
      <c r="U347"/>
      <c r="V347"/>
      <c r="X347"/>
    </row>
    <row r="348" spans="10:24" s="1" customFormat="1" x14ac:dyDescent="0.2">
      <c r="J348"/>
      <c r="K348"/>
      <c r="L348"/>
      <c r="M348"/>
      <c r="N348"/>
      <c r="O348" s="2"/>
      <c r="S348"/>
      <c r="T348"/>
      <c r="U348"/>
      <c r="V348"/>
      <c r="X348"/>
    </row>
    <row r="349" spans="10:24" s="1" customFormat="1" x14ac:dyDescent="0.2">
      <c r="J349"/>
      <c r="K349"/>
      <c r="L349"/>
      <c r="M349"/>
      <c r="N349"/>
      <c r="O349" s="2"/>
      <c r="S349"/>
      <c r="T349"/>
      <c r="U349"/>
      <c r="V349"/>
      <c r="X349"/>
    </row>
    <row r="350" spans="10:24" s="1" customFormat="1" x14ac:dyDescent="0.2">
      <c r="J350"/>
      <c r="K350"/>
      <c r="L350"/>
      <c r="M350"/>
      <c r="N350"/>
      <c r="O350" s="2"/>
      <c r="S350"/>
      <c r="T350"/>
      <c r="U350"/>
      <c r="V350"/>
      <c r="X350"/>
    </row>
    <row r="351" spans="10:24" s="1" customFormat="1" x14ac:dyDescent="0.2">
      <c r="J351"/>
      <c r="K351"/>
      <c r="L351"/>
      <c r="M351"/>
      <c r="N351"/>
      <c r="O351" s="2"/>
      <c r="S351"/>
      <c r="T351"/>
      <c r="U351"/>
      <c r="V351"/>
      <c r="X351"/>
    </row>
    <row r="352" spans="10:24" s="1" customFormat="1" x14ac:dyDescent="0.2">
      <c r="J352"/>
      <c r="K352"/>
      <c r="L352"/>
      <c r="M352"/>
      <c r="N352"/>
      <c r="O352" s="2"/>
      <c r="S352"/>
      <c r="T352"/>
      <c r="U352"/>
      <c r="V352"/>
      <c r="X352"/>
    </row>
    <row r="353" spans="10:24" s="1" customFormat="1" x14ac:dyDescent="0.2">
      <c r="J353"/>
      <c r="K353"/>
      <c r="L353"/>
      <c r="M353"/>
      <c r="N353"/>
      <c r="O353" s="2"/>
      <c r="S353"/>
      <c r="T353"/>
      <c r="U353"/>
      <c r="V353"/>
      <c r="X353"/>
    </row>
    <row r="354" spans="10:24" s="1" customFormat="1" x14ac:dyDescent="0.2">
      <c r="J354"/>
      <c r="K354"/>
      <c r="L354"/>
      <c r="M354"/>
      <c r="N354"/>
      <c r="O354" s="2"/>
      <c r="S354"/>
      <c r="T354"/>
      <c r="U354"/>
      <c r="V354"/>
      <c r="X354"/>
    </row>
    <row r="355" spans="10:24" s="1" customFormat="1" x14ac:dyDescent="0.2">
      <c r="J355"/>
      <c r="K355"/>
      <c r="L355"/>
      <c r="M355"/>
      <c r="N355"/>
      <c r="O355" s="2"/>
      <c r="S355"/>
      <c r="T355"/>
      <c r="U355"/>
      <c r="V355"/>
      <c r="X355"/>
    </row>
    <row r="356" spans="10:24" s="1" customFormat="1" x14ac:dyDescent="0.2">
      <c r="J356"/>
      <c r="K356"/>
      <c r="L356"/>
      <c r="M356"/>
      <c r="N356"/>
      <c r="O356" s="2"/>
      <c r="S356"/>
      <c r="T356"/>
      <c r="U356"/>
      <c r="V356"/>
      <c r="X356"/>
    </row>
    <row r="357" spans="10:24" s="1" customFormat="1" x14ac:dyDescent="0.2">
      <c r="J357"/>
      <c r="K357"/>
      <c r="L357"/>
      <c r="M357"/>
      <c r="N357"/>
      <c r="O357" s="2"/>
      <c r="S357"/>
      <c r="T357"/>
      <c r="U357"/>
      <c r="V357"/>
      <c r="X357"/>
    </row>
    <row r="358" spans="10:24" s="1" customFormat="1" x14ac:dyDescent="0.2">
      <c r="J358"/>
      <c r="K358"/>
      <c r="L358"/>
      <c r="M358"/>
      <c r="N358"/>
      <c r="O358" s="2"/>
      <c r="S358"/>
      <c r="T358"/>
      <c r="U358"/>
      <c r="V358"/>
      <c r="X358"/>
    </row>
    <row r="359" spans="10:24" s="1" customFormat="1" x14ac:dyDescent="0.2">
      <c r="J359"/>
      <c r="K359"/>
      <c r="L359"/>
      <c r="M359"/>
      <c r="N359"/>
      <c r="O359" s="2"/>
      <c r="S359"/>
      <c r="T359"/>
      <c r="U359"/>
      <c r="V359"/>
      <c r="X359"/>
    </row>
    <row r="360" spans="10:24" s="1" customFormat="1" x14ac:dyDescent="0.2">
      <c r="J360"/>
      <c r="K360"/>
      <c r="L360"/>
      <c r="M360"/>
      <c r="N360"/>
      <c r="O360" s="2"/>
      <c r="S360"/>
      <c r="T360"/>
      <c r="U360"/>
      <c r="V360"/>
      <c r="X360"/>
    </row>
    <row r="361" spans="10:24" s="1" customFormat="1" x14ac:dyDescent="0.2">
      <c r="J361"/>
      <c r="K361"/>
      <c r="L361"/>
      <c r="M361"/>
      <c r="N361"/>
      <c r="O361" s="2"/>
      <c r="S361"/>
      <c r="T361"/>
      <c r="U361"/>
      <c r="V361"/>
      <c r="X361"/>
    </row>
    <row r="362" spans="10:24" s="1" customFormat="1" x14ac:dyDescent="0.2">
      <c r="J362"/>
      <c r="K362"/>
      <c r="L362"/>
      <c r="M362"/>
      <c r="N362"/>
      <c r="O362" s="2"/>
      <c r="S362"/>
      <c r="T362"/>
      <c r="U362"/>
      <c r="V362"/>
      <c r="X362"/>
    </row>
    <row r="363" spans="10:24" s="1" customFormat="1" x14ac:dyDescent="0.2">
      <c r="J363"/>
      <c r="K363"/>
      <c r="L363"/>
      <c r="M363"/>
      <c r="N363"/>
      <c r="O363" s="2"/>
      <c r="S363"/>
      <c r="T363"/>
      <c r="U363"/>
      <c r="V363"/>
      <c r="X363"/>
    </row>
    <row r="364" spans="10:24" s="1" customFormat="1" x14ac:dyDescent="0.2">
      <c r="J364"/>
      <c r="K364"/>
      <c r="L364"/>
      <c r="M364"/>
      <c r="N364"/>
      <c r="O364" s="2"/>
      <c r="S364"/>
      <c r="T364"/>
      <c r="U364"/>
      <c r="V364"/>
      <c r="X364"/>
    </row>
    <row r="365" spans="10:24" s="1" customFormat="1" x14ac:dyDescent="0.2">
      <c r="J365"/>
      <c r="K365"/>
      <c r="L365"/>
      <c r="M365"/>
      <c r="N365"/>
      <c r="O365" s="2"/>
      <c r="S365"/>
      <c r="T365"/>
      <c r="U365"/>
      <c r="V365"/>
      <c r="X365"/>
    </row>
    <row r="366" spans="10:24" s="1" customFormat="1" x14ac:dyDescent="0.2">
      <c r="J366"/>
      <c r="K366"/>
      <c r="L366"/>
      <c r="M366"/>
      <c r="N366"/>
      <c r="O366" s="2"/>
      <c r="S366"/>
      <c r="T366"/>
      <c r="U366"/>
      <c r="V366"/>
      <c r="X366"/>
    </row>
    <row r="367" spans="10:24" s="1" customFormat="1" x14ac:dyDescent="0.2">
      <c r="J367"/>
      <c r="K367"/>
      <c r="L367"/>
      <c r="M367"/>
      <c r="N367"/>
      <c r="O367" s="2"/>
      <c r="S367"/>
      <c r="T367"/>
      <c r="U367"/>
      <c r="V367"/>
      <c r="X367"/>
    </row>
    <row r="368" spans="10:24" s="1" customFormat="1" x14ac:dyDescent="0.2">
      <c r="J368"/>
      <c r="K368"/>
      <c r="L368"/>
      <c r="M368"/>
      <c r="N368"/>
      <c r="O368" s="2"/>
      <c r="S368"/>
      <c r="T368"/>
      <c r="U368"/>
      <c r="V368"/>
      <c r="X368"/>
    </row>
    <row r="369" spans="10:24" s="1" customFormat="1" x14ac:dyDescent="0.2">
      <c r="J369"/>
      <c r="K369"/>
      <c r="L369"/>
      <c r="M369"/>
      <c r="N369"/>
      <c r="O369" s="2"/>
      <c r="S369"/>
      <c r="T369"/>
      <c r="U369"/>
      <c r="V369"/>
      <c r="X369"/>
    </row>
    <row r="370" spans="10:24" s="1" customFormat="1" x14ac:dyDescent="0.2">
      <c r="J370"/>
      <c r="K370"/>
      <c r="L370"/>
      <c r="M370"/>
      <c r="N370"/>
      <c r="O370" s="2"/>
      <c r="S370"/>
      <c r="T370"/>
      <c r="U370"/>
      <c r="V370"/>
      <c r="X370"/>
    </row>
    <row r="371" spans="10:24" s="1" customFormat="1" x14ac:dyDescent="0.2">
      <c r="J371"/>
      <c r="K371"/>
      <c r="L371"/>
      <c r="M371"/>
      <c r="N371"/>
      <c r="O371" s="2"/>
      <c r="S371"/>
      <c r="T371"/>
      <c r="U371"/>
      <c r="V371"/>
      <c r="X371"/>
    </row>
    <row r="372" spans="10:24" s="1" customFormat="1" x14ac:dyDescent="0.2">
      <c r="J372"/>
      <c r="K372"/>
      <c r="L372"/>
      <c r="M372"/>
      <c r="N372"/>
      <c r="O372" s="2"/>
      <c r="S372"/>
      <c r="T372"/>
      <c r="U372"/>
      <c r="V372"/>
      <c r="X372"/>
    </row>
    <row r="373" spans="10:24" s="1" customFormat="1" x14ac:dyDescent="0.2">
      <c r="J373"/>
      <c r="K373"/>
      <c r="L373"/>
      <c r="M373"/>
      <c r="N373"/>
      <c r="O373" s="2"/>
      <c r="S373"/>
      <c r="T373"/>
      <c r="U373"/>
      <c r="V373"/>
      <c r="X373"/>
    </row>
    <row r="374" spans="10:24" s="1" customFormat="1" x14ac:dyDescent="0.2">
      <c r="J374"/>
      <c r="K374"/>
      <c r="L374"/>
      <c r="M374"/>
      <c r="N374"/>
      <c r="O374" s="2"/>
      <c r="S374"/>
      <c r="T374"/>
      <c r="U374"/>
      <c r="V374"/>
      <c r="X374"/>
    </row>
    <row r="375" spans="10:24" s="1" customFormat="1" x14ac:dyDescent="0.2">
      <c r="J375"/>
      <c r="K375"/>
      <c r="L375"/>
      <c r="M375"/>
      <c r="N375"/>
      <c r="O375" s="2"/>
      <c r="S375"/>
      <c r="T375"/>
      <c r="U375"/>
      <c r="V375"/>
      <c r="X375"/>
    </row>
    <row r="376" spans="10:24" s="1" customFormat="1" x14ac:dyDescent="0.2">
      <c r="J376"/>
      <c r="K376"/>
      <c r="L376"/>
      <c r="M376"/>
      <c r="N376"/>
      <c r="O376" s="2"/>
      <c r="S376"/>
      <c r="T376"/>
      <c r="U376"/>
      <c r="V376"/>
      <c r="X376"/>
    </row>
    <row r="377" spans="10:24" s="1" customFormat="1" x14ac:dyDescent="0.2">
      <c r="J377"/>
      <c r="K377"/>
      <c r="L377"/>
      <c r="M377"/>
      <c r="N377"/>
      <c r="O377" s="2"/>
      <c r="S377"/>
      <c r="T377"/>
      <c r="U377"/>
      <c r="V377"/>
      <c r="X377"/>
    </row>
    <row r="378" spans="10:24" s="1" customFormat="1" x14ac:dyDescent="0.2">
      <c r="J378"/>
      <c r="K378"/>
      <c r="L378"/>
      <c r="M378"/>
      <c r="N378"/>
      <c r="O378" s="2"/>
      <c r="S378"/>
      <c r="T378"/>
      <c r="U378"/>
      <c r="V378"/>
      <c r="X378"/>
    </row>
    <row r="379" spans="10:24" s="1" customFormat="1" x14ac:dyDescent="0.2">
      <c r="J379"/>
      <c r="K379"/>
      <c r="L379"/>
      <c r="M379"/>
      <c r="N379"/>
      <c r="O379" s="2"/>
      <c r="S379"/>
      <c r="T379"/>
      <c r="U379"/>
      <c r="V379"/>
      <c r="X379"/>
    </row>
    <row r="380" spans="10:24" s="1" customFormat="1" x14ac:dyDescent="0.2">
      <c r="J380"/>
      <c r="K380"/>
      <c r="L380"/>
      <c r="M380"/>
      <c r="N380"/>
      <c r="O380" s="2"/>
      <c r="S380"/>
      <c r="T380"/>
      <c r="U380"/>
      <c r="V380"/>
      <c r="X380"/>
    </row>
    <row r="381" spans="10:24" s="1" customFormat="1" x14ac:dyDescent="0.2">
      <c r="J381"/>
      <c r="K381"/>
      <c r="L381"/>
      <c r="M381"/>
      <c r="N381"/>
      <c r="O381" s="2"/>
      <c r="S381"/>
      <c r="T381"/>
      <c r="U381"/>
      <c r="V381"/>
      <c r="X381"/>
    </row>
    <row r="382" spans="10:24" s="1" customFormat="1" x14ac:dyDescent="0.2">
      <c r="J382"/>
      <c r="K382"/>
      <c r="L382"/>
      <c r="M382"/>
      <c r="N382"/>
      <c r="O382" s="2"/>
      <c r="S382"/>
      <c r="T382"/>
      <c r="U382"/>
      <c r="V382"/>
      <c r="X382"/>
    </row>
    <row r="383" spans="10:24" s="1" customFormat="1" x14ac:dyDescent="0.2">
      <c r="J383"/>
      <c r="K383"/>
      <c r="L383"/>
      <c r="M383"/>
      <c r="N383"/>
      <c r="O383" s="2"/>
      <c r="S383"/>
      <c r="T383"/>
      <c r="U383"/>
      <c r="V383"/>
      <c r="X383"/>
    </row>
    <row r="384" spans="10:24" s="1" customFormat="1" x14ac:dyDescent="0.2">
      <c r="J384"/>
      <c r="K384"/>
      <c r="L384"/>
      <c r="M384"/>
      <c r="N384"/>
      <c r="O384" s="2"/>
      <c r="S384"/>
      <c r="T384"/>
      <c r="U384"/>
      <c r="V384"/>
      <c r="X384"/>
    </row>
    <row r="385" spans="10:24" s="1" customFormat="1" x14ac:dyDescent="0.2">
      <c r="J385"/>
      <c r="K385"/>
      <c r="L385"/>
      <c r="M385"/>
      <c r="N385"/>
      <c r="O385" s="2"/>
      <c r="S385"/>
      <c r="T385"/>
      <c r="U385"/>
      <c r="V385"/>
      <c r="X385"/>
    </row>
    <row r="386" spans="10:24" s="1" customFormat="1" x14ac:dyDescent="0.2">
      <c r="J386"/>
      <c r="K386"/>
      <c r="L386"/>
      <c r="M386"/>
      <c r="N386"/>
      <c r="O386" s="2"/>
      <c r="S386"/>
      <c r="T386"/>
      <c r="U386"/>
      <c r="V386"/>
      <c r="X386"/>
    </row>
    <row r="387" spans="10:24" s="1" customFormat="1" x14ac:dyDescent="0.2">
      <c r="J387"/>
      <c r="K387"/>
      <c r="L387"/>
      <c r="M387"/>
      <c r="N387"/>
      <c r="O387" s="2"/>
      <c r="S387"/>
      <c r="T387"/>
      <c r="U387"/>
      <c r="V387"/>
      <c r="X387"/>
    </row>
    <row r="388" spans="10:24" s="1" customFormat="1" x14ac:dyDescent="0.2">
      <c r="J388"/>
      <c r="K388"/>
      <c r="L388"/>
      <c r="M388"/>
      <c r="N388"/>
      <c r="O388" s="2"/>
      <c r="S388"/>
      <c r="T388"/>
      <c r="U388"/>
      <c r="V388"/>
      <c r="X388"/>
    </row>
    <row r="389" spans="10:24" s="1" customFormat="1" x14ac:dyDescent="0.2">
      <c r="J389"/>
      <c r="K389"/>
      <c r="L389"/>
      <c r="M389"/>
      <c r="N389"/>
      <c r="O389" s="2"/>
      <c r="S389"/>
      <c r="T389"/>
      <c r="U389"/>
      <c r="V389"/>
      <c r="X389"/>
    </row>
    <row r="390" spans="10:24" s="1" customFormat="1" x14ac:dyDescent="0.2">
      <c r="J390"/>
      <c r="K390"/>
      <c r="L390"/>
      <c r="M390"/>
      <c r="N390"/>
      <c r="O390" s="2"/>
      <c r="S390"/>
      <c r="T390"/>
      <c r="U390"/>
      <c r="V390"/>
      <c r="X390"/>
    </row>
    <row r="391" spans="10:24" s="1" customFormat="1" x14ac:dyDescent="0.2">
      <c r="J391"/>
      <c r="K391"/>
      <c r="L391"/>
      <c r="M391"/>
      <c r="N391"/>
      <c r="O391" s="2"/>
      <c r="S391"/>
      <c r="T391"/>
      <c r="U391"/>
      <c r="V391"/>
      <c r="X391"/>
    </row>
    <row r="392" spans="10:24" s="1" customFormat="1" x14ac:dyDescent="0.2">
      <c r="J392"/>
      <c r="K392"/>
      <c r="L392"/>
      <c r="M392"/>
      <c r="N392"/>
      <c r="O392" s="2"/>
      <c r="S392"/>
      <c r="T392"/>
      <c r="U392"/>
      <c r="V392"/>
      <c r="X392"/>
    </row>
    <row r="393" spans="10:24" s="1" customFormat="1" x14ac:dyDescent="0.2">
      <c r="J393"/>
      <c r="K393"/>
      <c r="L393"/>
      <c r="M393"/>
      <c r="N393"/>
      <c r="O393" s="2"/>
      <c r="S393"/>
      <c r="T393"/>
      <c r="U393"/>
      <c r="V393"/>
      <c r="X393"/>
    </row>
    <row r="394" spans="10:24" s="1" customFormat="1" x14ac:dyDescent="0.2">
      <c r="J394"/>
      <c r="K394"/>
      <c r="L394"/>
      <c r="M394"/>
      <c r="N394"/>
      <c r="O394" s="2"/>
      <c r="S394"/>
      <c r="T394"/>
      <c r="U394"/>
      <c r="V394"/>
      <c r="X394"/>
    </row>
    <row r="395" spans="10:24" s="1" customFormat="1" x14ac:dyDescent="0.2">
      <c r="J395"/>
      <c r="K395"/>
      <c r="L395"/>
      <c r="M395"/>
      <c r="N395"/>
      <c r="O395" s="2"/>
      <c r="S395"/>
      <c r="T395"/>
      <c r="U395"/>
      <c r="V395"/>
      <c r="X395"/>
    </row>
    <row r="396" spans="10:24" s="1" customFormat="1" x14ac:dyDescent="0.2">
      <c r="J396"/>
      <c r="K396"/>
      <c r="L396"/>
      <c r="M396"/>
      <c r="N396"/>
      <c r="O396" s="2"/>
      <c r="S396"/>
      <c r="T396"/>
      <c r="U396"/>
      <c r="V396"/>
      <c r="X396"/>
    </row>
    <row r="397" spans="10:24" s="1" customFormat="1" x14ac:dyDescent="0.2">
      <c r="J397"/>
      <c r="K397"/>
      <c r="L397"/>
      <c r="M397"/>
      <c r="N397"/>
      <c r="O397" s="2"/>
      <c r="S397"/>
      <c r="T397"/>
      <c r="U397"/>
      <c r="V397"/>
      <c r="X397"/>
    </row>
    <row r="398" spans="10:24" s="1" customFormat="1" x14ac:dyDescent="0.2">
      <c r="J398"/>
      <c r="K398"/>
      <c r="L398"/>
      <c r="M398"/>
      <c r="N398"/>
      <c r="O398" s="2"/>
      <c r="S398"/>
      <c r="T398"/>
      <c r="U398"/>
      <c r="V398"/>
      <c r="X398"/>
    </row>
    <row r="399" spans="10:24" s="1" customFormat="1" x14ac:dyDescent="0.2">
      <c r="J399"/>
      <c r="K399"/>
      <c r="L399"/>
      <c r="M399"/>
      <c r="N399"/>
      <c r="O399" s="2"/>
      <c r="S399"/>
      <c r="T399"/>
      <c r="U399"/>
      <c r="V399"/>
      <c r="X399"/>
    </row>
    <row r="400" spans="10:24" s="1" customFormat="1" x14ac:dyDescent="0.2">
      <c r="J400"/>
      <c r="K400"/>
      <c r="L400"/>
      <c r="M400"/>
      <c r="N400"/>
      <c r="O400" s="2"/>
      <c r="S400"/>
      <c r="T400"/>
      <c r="U400"/>
      <c r="V400"/>
      <c r="X400"/>
    </row>
    <row r="401" spans="10:24" s="1" customFormat="1" x14ac:dyDescent="0.2">
      <c r="J401"/>
      <c r="K401"/>
      <c r="L401"/>
      <c r="M401"/>
      <c r="N401"/>
      <c r="O401" s="2"/>
      <c r="S401"/>
      <c r="T401"/>
      <c r="U401"/>
      <c r="V401"/>
      <c r="X401"/>
    </row>
    <row r="402" spans="10:24" s="1" customFormat="1" x14ac:dyDescent="0.2">
      <c r="J402"/>
      <c r="K402"/>
      <c r="L402"/>
      <c r="M402"/>
      <c r="N402"/>
      <c r="O402" s="2"/>
      <c r="S402"/>
      <c r="T402"/>
      <c r="U402"/>
      <c r="V402"/>
      <c r="X402"/>
    </row>
    <row r="403" spans="10:24" s="1" customFormat="1" x14ac:dyDescent="0.2">
      <c r="J403"/>
      <c r="K403"/>
      <c r="L403"/>
      <c r="M403"/>
      <c r="N403"/>
      <c r="O403" s="2"/>
      <c r="S403"/>
      <c r="T403"/>
      <c r="U403"/>
      <c r="V403"/>
      <c r="X403"/>
    </row>
    <row r="404" spans="10:24" s="1" customFormat="1" x14ac:dyDescent="0.2">
      <c r="J404"/>
      <c r="K404"/>
      <c r="L404"/>
      <c r="M404"/>
      <c r="N404"/>
      <c r="O404" s="2"/>
      <c r="S404"/>
      <c r="T404"/>
      <c r="U404"/>
      <c r="V404"/>
      <c r="X404"/>
    </row>
    <row r="405" spans="10:24" s="1" customFormat="1" x14ac:dyDescent="0.2">
      <c r="J405"/>
      <c r="K405"/>
      <c r="L405"/>
      <c r="M405"/>
      <c r="N405"/>
      <c r="O405" s="2"/>
      <c r="S405"/>
      <c r="T405"/>
      <c r="U405"/>
      <c r="V405"/>
      <c r="X405"/>
    </row>
    <row r="406" spans="10:24" s="1" customFormat="1" x14ac:dyDescent="0.2">
      <c r="J406"/>
      <c r="K406"/>
      <c r="L406"/>
      <c r="M406"/>
      <c r="N406"/>
      <c r="O406" s="2"/>
      <c r="S406"/>
      <c r="T406"/>
      <c r="U406"/>
      <c r="V406"/>
      <c r="X406"/>
    </row>
    <row r="407" spans="10:24" s="1" customFormat="1" x14ac:dyDescent="0.2">
      <c r="J407"/>
      <c r="K407"/>
      <c r="L407"/>
      <c r="M407"/>
      <c r="N407"/>
      <c r="O407" s="2"/>
      <c r="S407"/>
      <c r="T407"/>
      <c r="U407"/>
      <c r="V407"/>
      <c r="X407"/>
    </row>
    <row r="408" spans="10:24" s="1" customFormat="1" x14ac:dyDescent="0.2">
      <c r="J408"/>
      <c r="K408"/>
      <c r="L408"/>
      <c r="M408"/>
      <c r="N408"/>
      <c r="O408" s="2"/>
      <c r="S408"/>
      <c r="T408"/>
      <c r="U408"/>
      <c r="V408"/>
      <c r="X408"/>
    </row>
    <row r="409" spans="10:24" s="1" customFormat="1" x14ac:dyDescent="0.2">
      <c r="J409"/>
      <c r="K409"/>
      <c r="L409"/>
      <c r="M409"/>
      <c r="N409"/>
      <c r="O409" s="2"/>
      <c r="S409"/>
      <c r="T409"/>
      <c r="U409"/>
      <c r="V409"/>
      <c r="X409"/>
    </row>
    <row r="410" spans="10:24" s="1" customFormat="1" x14ac:dyDescent="0.2">
      <c r="J410"/>
      <c r="K410"/>
      <c r="L410"/>
      <c r="M410"/>
      <c r="N410"/>
      <c r="O410" s="2"/>
      <c r="S410"/>
      <c r="T410"/>
      <c r="U410"/>
      <c r="V410"/>
      <c r="X410"/>
    </row>
    <row r="411" spans="10:24" s="1" customFormat="1" x14ac:dyDescent="0.2">
      <c r="J411"/>
      <c r="K411"/>
      <c r="L411"/>
      <c r="M411"/>
      <c r="N411"/>
      <c r="O411" s="2"/>
      <c r="S411"/>
      <c r="T411"/>
      <c r="U411"/>
      <c r="V411"/>
      <c r="X411"/>
    </row>
    <row r="412" spans="10:24" s="1" customFormat="1" x14ac:dyDescent="0.2">
      <c r="J412"/>
      <c r="K412"/>
      <c r="L412"/>
      <c r="M412"/>
      <c r="N412"/>
      <c r="O412" s="2"/>
      <c r="S412"/>
      <c r="T412"/>
      <c r="U412"/>
      <c r="V412"/>
      <c r="X412"/>
    </row>
    <row r="413" spans="10:24" s="1" customFormat="1" x14ac:dyDescent="0.2">
      <c r="J413"/>
      <c r="K413"/>
      <c r="L413"/>
      <c r="M413"/>
      <c r="N413"/>
      <c r="O413" s="2"/>
      <c r="S413"/>
      <c r="T413"/>
      <c r="U413"/>
      <c r="V413"/>
      <c r="X413"/>
    </row>
    <row r="414" spans="10:24" s="1" customFormat="1" x14ac:dyDescent="0.2">
      <c r="J414"/>
      <c r="K414"/>
      <c r="L414"/>
      <c r="M414"/>
      <c r="N414"/>
      <c r="O414" s="2"/>
      <c r="S414"/>
      <c r="T414"/>
      <c r="U414"/>
      <c r="V414"/>
      <c r="X414"/>
    </row>
    <row r="415" spans="10:24" s="1" customFormat="1" x14ac:dyDescent="0.2">
      <c r="J415"/>
      <c r="K415"/>
      <c r="L415"/>
      <c r="M415"/>
      <c r="N415"/>
      <c r="O415" s="2"/>
      <c r="S415"/>
      <c r="T415"/>
      <c r="U415"/>
      <c r="V415"/>
      <c r="X415"/>
    </row>
    <row r="416" spans="10:24" s="1" customFormat="1" x14ac:dyDescent="0.2">
      <c r="J416"/>
      <c r="K416"/>
      <c r="L416"/>
      <c r="M416"/>
      <c r="N416"/>
      <c r="O416" s="2"/>
      <c r="S416"/>
      <c r="T416"/>
      <c r="U416"/>
      <c r="V416"/>
      <c r="X416"/>
    </row>
    <row r="417" spans="10:24" s="1" customFormat="1" x14ac:dyDescent="0.2">
      <c r="J417"/>
      <c r="K417"/>
      <c r="L417"/>
      <c r="M417"/>
      <c r="N417"/>
      <c r="O417" s="2"/>
      <c r="S417"/>
      <c r="T417"/>
      <c r="U417"/>
      <c r="V417"/>
      <c r="X417"/>
    </row>
    <row r="418" spans="10:24" s="1" customFormat="1" x14ac:dyDescent="0.2">
      <c r="J418"/>
      <c r="K418"/>
      <c r="L418"/>
      <c r="M418"/>
      <c r="N418"/>
      <c r="O418" s="2"/>
      <c r="S418"/>
      <c r="T418"/>
      <c r="U418"/>
      <c r="V418"/>
      <c r="X418"/>
    </row>
    <row r="419" spans="10:24" s="1" customFormat="1" x14ac:dyDescent="0.2">
      <c r="J419"/>
      <c r="K419"/>
      <c r="L419"/>
      <c r="M419"/>
      <c r="N419"/>
      <c r="O419" s="2"/>
      <c r="S419"/>
      <c r="T419"/>
      <c r="U419"/>
      <c r="V419"/>
      <c r="X419"/>
    </row>
    <row r="420" spans="10:24" s="1" customFormat="1" x14ac:dyDescent="0.2">
      <c r="J420"/>
      <c r="K420"/>
      <c r="L420"/>
      <c r="M420"/>
      <c r="N420"/>
      <c r="O420" s="2"/>
      <c r="S420"/>
      <c r="T420"/>
      <c r="U420"/>
      <c r="V420"/>
      <c r="X420"/>
    </row>
    <row r="421" spans="10:24" s="1" customFormat="1" x14ac:dyDescent="0.2">
      <c r="J421"/>
      <c r="K421"/>
      <c r="L421"/>
      <c r="M421"/>
      <c r="N421"/>
      <c r="O421" s="2"/>
      <c r="S421"/>
      <c r="T421"/>
      <c r="U421"/>
      <c r="V421"/>
      <c r="X421"/>
    </row>
    <row r="422" spans="10:24" s="1" customFormat="1" x14ac:dyDescent="0.2">
      <c r="J422"/>
      <c r="K422"/>
      <c r="L422"/>
      <c r="M422"/>
      <c r="N422"/>
      <c r="O422" s="2"/>
      <c r="S422"/>
      <c r="T422"/>
      <c r="U422"/>
      <c r="V422"/>
      <c r="X422"/>
    </row>
    <row r="423" spans="10:24" s="1" customFormat="1" x14ac:dyDescent="0.2">
      <c r="J423"/>
      <c r="K423"/>
      <c r="L423"/>
      <c r="M423"/>
      <c r="N423"/>
      <c r="O423" s="2"/>
      <c r="S423"/>
      <c r="T423"/>
      <c r="U423"/>
      <c r="V423"/>
      <c r="X423"/>
    </row>
    <row r="424" spans="10:24" s="1" customFormat="1" x14ac:dyDescent="0.2">
      <c r="J424"/>
      <c r="K424"/>
      <c r="L424"/>
      <c r="M424"/>
      <c r="N424"/>
      <c r="O424" s="2"/>
      <c r="S424"/>
      <c r="T424"/>
      <c r="U424"/>
      <c r="V424"/>
      <c r="X424"/>
    </row>
    <row r="425" spans="10:24" s="1" customFormat="1" x14ac:dyDescent="0.2">
      <c r="J425"/>
      <c r="K425"/>
      <c r="L425"/>
      <c r="M425"/>
      <c r="N425"/>
      <c r="O425" s="2"/>
      <c r="S425"/>
      <c r="T425"/>
      <c r="U425"/>
      <c r="V425"/>
      <c r="X425"/>
    </row>
    <row r="426" spans="10:24" s="1" customFormat="1" x14ac:dyDescent="0.2">
      <c r="J426"/>
      <c r="K426"/>
      <c r="L426"/>
      <c r="M426"/>
      <c r="N426"/>
      <c r="O426" s="2"/>
      <c r="S426"/>
      <c r="T426"/>
      <c r="U426"/>
      <c r="V426"/>
      <c r="X426"/>
    </row>
    <row r="427" spans="10:24" s="1" customFormat="1" x14ac:dyDescent="0.2">
      <c r="J427"/>
      <c r="K427"/>
      <c r="L427"/>
      <c r="M427"/>
      <c r="N427"/>
      <c r="O427" s="2"/>
      <c r="S427"/>
      <c r="T427"/>
      <c r="U427"/>
      <c r="V427"/>
      <c r="X427"/>
    </row>
    <row r="428" spans="10:24" s="1" customFormat="1" x14ac:dyDescent="0.2">
      <c r="J428"/>
      <c r="K428"/>
      <c r="L428"/>
      <c r="M428"/>
      <c r="N428"/>
      <c r="O428" s="2"/>
      <c r="S428"/>
      <c r="T428"/>
      <c r="U428"/>
      <c r="V428"/>
      <c r="X428"/>
    </row>
    <row r="429" spans="10:24" s="1" customFormat="1" x14ac:dyDescent="0.2">
      <c r="J429"/>
      <c r="K429"/>
      <c r="L429"/>
      <c r="M429"/>
      <c r="N429"/>
      <c r="O429" s="2"/>
      <c r="S429"/>
      <c r="T429"/>
      <c r="U429"/>
      <c r="V429"/>
      <c r="X429"/>
    </row>
    <row r="430" spans="10:24" s="1" customFormat="1" x14ac:dyDescent="0.2">
      <c r="J430"/>
      <c r="K430"/>
      <c r="L430"/>
      <c r="M430"/>
      <c r="N430"/>
      <c r="O430" s="2"/>
      <c r="S430"/>
      <c r="T430"/>
      <c r="U430"/>
      <c r="V430"/>
      <c r="X430"/>
    </row>
    <row r="431" spans="10:24" s="1" customFormat="1" x14ac:dyDescent="0.2">
      <c r="J431"/>
      <c r="K431"/>
      <c r="L431"/>
      <c r="M431"/>
      <c r="N431"/>
      <c r="O431" s="2"/>
      <c r="S431"/>
      <c r="T431"/>
      <c r="U431"/>
      <c r="V431"/>
      <c r="X431"/>
    </row>
    <row r="432" spans="10:24" s="1" customFormat="1" x14ac:dyDescent="0.2">
      <c r="J432"/>
      <c r="K432"/>
      <c r="L432"/>
      <c r="M432"/>
      <c r="N432"/>
      <c r="O432" s="2"/>
      <c r="S432"/>
      <c r="T432"/>
      <c r="U432"/>
      <c r="V432"/>
      <c r="X432"/>
    </row>
    <row r="433" spans="10:24" s="1" customFormat="1" x14ac:dyDescent="0.2">
      <c r="J433"/>
      <c r="K433"/>
      <c r="L433"/>
      <c r="M433"/>
      <c r="N433"/>
      <c r="O433" s="2"/>
      <c r="S433"/>
      <c r="T433"/>
      <c r="U433"/>
      <c r="V433"/>
      <c r="X433"/>
    </row>
    <row r="434" spans="10:24" s="1" customFormat="1" x14ac:dyDescent="0.2">
      <c r="J434"/>
      <c r="K434"/>
      <c r="L434"/>
      <c r="M434"/>
      <c r="N434"/>
      <c r="O434" s="2"/>
      <c r="S434"/>
      <c r="T434"/>
      <c r="U434"/>
      <c r="V434"/>
      <c r="X434"/>
    </row>
    <row r="435" spans="10:24" s="1" customFormat="1" x14ac:dyDescent="0.2">
      <c r="J435"/>
      <c r="K435"/>
      <c r="L435"/>
      <c r="M435"/>
      <c r="N435"/>
      <c r="O435" s="2"/>
      <c r="S435"/>
      <c r="T435"/>
      <c r="U435"/>
      <c r="V435"/>
      <c r="X435"/>
    </row>
    <row r="436" spans="10:24" s="1" customFormat="1" x14ac:dyDescent="0.2">
      <c r="J436"/>
      <c r="K436"/>
      <c r="L436"/>
      <c r="M436"/>
      <c r="N436"/>
      <c r="O436" s="2"/>
      <c r="S436"/>
      <c r="T436"/>
      <c r="U436"/>
      <c r="V436"/>
      <c r="X436"/>
    </row>
    <row r="437" spans="10:24" s="1" customFormat="1" x14ac:dyDescent="0.2">
      <c r="J437"/>
      <c r="K437"/>
      <c r="L437"/>
      <c r="M437"/>
      <c r="N437"/>
      <c r="O437" s="2"/>
      <c r="S437"/>
      <c r="T437"/>
      <c r="U437"/>
      <c r="V437"/>
      <c r="X437"/>
    </row>
    <row r="438" spans="10:24" s="1" customFormat="1" x14ac:dyDescent="0.2">
      <c r="J438"/>
      <c r="K438"/>
      <c r="L438"/>
      <c r="M438"/>
      <c r="N438"/>
      <c r="O438" s="2"/>
      <c r="S438"/>
      <c r="T438"/>
      <c r="U438"/>
      <c r="V438"/>
      <c r="X438"/>
    </row>
    <row r="439" spans="10:24" s="1" customFormat="1" x14ac:dyDescent="0.2">
      <c r="J439"/>
      <c r="K439"/>
      <c r="L439"/>
      <c r="M439"/>
      <c r="N439"/>
      <c r="O439" s="2"/>
      <c r="S439"/>
      <c r="T439"/>
      <c r="U439"/>
      <c r="V439"/>
      <c r="X439"/>
    </row>
    <row r="440" spans="10:24" s="1" customFormat="1" x14ac:dyDescent="0.2">
      <c r="J440"/>
      <c r="K440"/>
      <c r="L440"/>
      <c r="M440"/>
      <c r="N440"/>
      <c r="O440" s="2"/>
      <c r="S440"/>
      <c r="T440"/>
      <c r="U440"/>
      <c r="V440"/>
      <c r="X440"/>
    </row>
    <row r="441" spans="10:24" s="1" customFormat="1" x14ac:dyDescent="0.2">
      <c r="J441"/>
      <c r="K441"/>
      <c r="L441"/>
      <c r="M441"/>
      <c r="N441"/>
      <c r="O441" s="2"/>
      <c r="S441"/>
      <c r="T441"/>
      <c r="U441"/>
      <c r="V441"/>
      <c r="X441"/>
    </row>
    <row r="442" spans="10:24" s="1" customFormat="1" x14ac:dyDescent="0.2">
      <c r="J442"/>
      <c r="K442"/>
      <c r="L442"/>
      <c r="M442"/>
      <c r="N442"/>
      <c r="O442" s="2"/>
      <c r="S442"/>
      <c r="T442"/>
      <c r="U442"/>
      <c r="V442"/>
      <c r="X442"/>
    </row>
    <row r="443" spans="10:24" s="1" customFormat="1" x14ac:dyDescent="0.2">
      <c r="J443"/>
      <c r="K443"/>
      <c r="L443"/>
      <c r="M443"/>
      <c r="N443"/>
      <c r="O443" s="2"/>
      <c r="S443"/>
      <c r="T443"/>
      <c r="U443"/>
      <c r="V443"/>
      <c r="X443"/>
    </row>
    <row r="444" spans="10:24" s="1" customFormat="1" x14ac:dyDescent="0.2">
      <c r="J444"/>
      <c r="K444"/>
      <c r="L444"/>
      <c r="M444"/>
      <c r="N444"/>
      <c r="O444" s="2"/>
      <c r="S444"/>
      <c r="T444"/>
      <c r="U444"/>
      <c r="V444"/>
      <c r="X444"/>
    </row>
    <row r="445" spans="10:24" s="1" customFormat="1" x14ac:dyDescent="0.2">
      <c r="J445"/>
      <c r="K445"/>
      <c r="L445"/>
      <c r="M445"/>
      <c r="N445"/>
      <c r="O445" s="2"/>
      <c r="S445"/>
      <c r="T445"/>
      <c r="U445"/>
      <c r="V445"/>
      <c r="X445"/>
    </row>
    <row r="446" spans="10:24" s="1" customFormat="1" x14ac:dyDescent="0.2">
      <c r="J446"/>
      <c r="K446"/>
      <c r="L446"/>
      <c r="M446"/>
      <c r="N446"/>
      <c r="O446" s="2"/>
      <c r="S446"/>
      <c r="T446"/>
      <c r="U446"/>
      <c r="V446"/>
      <c r="X446"/>
    </row>
    <row r="447" spans="10:24" s="1" customFormat="1" x14ac:dyDescent="0.2">
      <c r="J447"/>
      <c r="K447"/>
      <c r="L447"/>
      <c r="M447"/>
      <c r="N447"/>
      <c r="O447" s="2"/>
      <c r="S447"/>
      <c r="T447"/>
      <c r="U447"/>
      <c r="V447"/>
      <c r="X447"/>
    </row>
    <row r="448" spans="10:24" s="1" customFormat="1" x14ac:dyDescent="0.2">
      <c r="J448"/>
      <c r="K448"/>
      <c r="L448"/>
      <c r="M448"/>
      <c r="N448"/>
      <c r="O448" s="2"/>
      <c r="S448"/>
      <c r="T448"/>
      <c r="U448"/>
      <c r="V448"/>
      <c r="X448"/>
    </row>
    <row r="449" spans="10:24" s="1" customFormat="1" x14ac:dyDescent="0.2">
      <c r="J449"/>
      <c r="K449"/>
      <c r="L449"/>
      <c r="M449"/>
      <c r="N449"/>
      <c r="O449" s="2"/>
      <c r="S449"/>
      <c r="T449"/>
      <c r="U449"/>
      <c r="V449"/>
      <c r="X449"/>
    </row>
    <row r="450" spans="10:24" s="1" customFormat="1" x14ac:dyDescent="0.2">
      <c r="J450"/>
      <c r="K450"/>
      <c r="L450"/>
      <c r="M450"/>
      <c r="N450"/>
      <c r="O450" s="2"/>
      <c r="S450"/>
      <c r="T450"/>
      <c r="U450"/>
      <c r="V450"/>
      <c r="X450"/>
    </row>
    <row r="451" spans="10:24" s="1" customFormat="1" x14ac:dyDescent="0.2">
      <c r="J451"/>
      <c r="K451"/>
      <c r="L451"/>
      <c r="M451"/>
      <c r="N451"/>
      <c r="O451" s="2"/>
      <c r="S451"/>
      <c r="T451"/>
      <c r="U451"/>
      <c r="V451"/>
      <c r="X451"/>
    </row>
    <row r="452" spans="10:24" s="1" customFormat="1" x14ac:dyDescent="0.2">
      <c r="J452"/>
      <c r="K452"/>
      <c r="L452"/>
      <c r="M452"/>
      <c r="N452"/>
      <c r="O452" s="2"/>
      <c r="S452"/>
      <c r="T452"/>
      <c r="U452"/>
      <c r="V452"/>
      <c r="X452"/>
    </row>
    <row r="453" spans="10:24" s="1" customFormat="1" x14ac:dyDescent="0.2">
      <c r="J453"/>
      <c r="K453"/>
      <c r="L453"/>
      <c r="M453"/>
      <c r="N453"/>
      <c r="O453" s="2"/>
      <c r="S453"/>
      <c r="T453"/>
      <c r="U453"/>
      <c r="V453"/>
      <c r="X453"/>
    </row>
    <row r="454" spans="10:24" s="1" customFormat="1" x14ac:dyDescent="0.2">
      <c r="J454"/>
      <c r="K454"/>
      <c r="L454"/>
      <c r="M454"/>
      <c r="N454"/>
      <c r="O454" s="2"/>
      <c r="S454"/>
      <c r="T454"/>
      <c r="U454"/>
      <c r="V454"/>
      <c r="X454"/>
    </row>
    <row r="455" spans="10:24" s="1" customFormat="1" x14ac:dyDescent="0.2">
      <c r="J455"/>
      <c r="K455"/>
      <c r="L455"/>
      <c r="M455"/>
      <c r="N455"/>
      <c r="O455" s="2"/>
      <c r="S455"/>
      <c r="T455"/>
      <c r="U455"/>
      <c r="V455"/>
      <c r="X455"/>
    </row>
    <row r="456" spans="10:24" s="1" customFormat="1" x14ac:dyDescent="0.2">
      <c r="J456"/>
      <c r="K456"/>
      <c r="L456"/>
      <c r="M456"/>
      <c r="N456"/>
      <c r="O456" s="2"/>
      <c r="S456"/>
      <c r="T456"/>
      <c r="U456"/>
      <c r="V456"/>
      <c r="X456"/>
    </row>
    <row r="457" spans="10:24" s="1" customFormat="1" x14ac:dyDescent="0.2">
      <c r="J457"/>
      <c r="K457"/>
      <c r="L457"/>
      <c r="M457"/>
      <c r="N457"/>
      <c r="O457" s="2"/>
      <c r="S457"/>
      <c r="T457"/>
      <c r="U457"/>
      <c r="V457"/>
      <c r="X457"/>
    </row>
    <row r="458" spans="10:24" s="1" customFormat="1" x14ac:dyDescent="0.2">
      <c r="J458"/>
      <c r="K458"/>
      <c r="L458"/>
      <c r="M458"/>
      <c r="N458"/>
      <c r="O458" s="2"/>
      <c r="S458"/>
      <c r="T458"/>
      <c r="U458"/>
      <c r="V458"/>
      <c r="X458"/>
    </row>
    <row r="459" spans="10:24" s="1" customFormat="1" x14ac:dyDescent="0.2">
      <c r="J459"/>
      <c r="K459"/>
      <c r="L459"/>
      <c r="M459"/>
      <c r="N459"/>
      <c r="O459" s="2"/>
      <c r="S459"/>
      <c r="T459"/>
      <c r="U459"/>
      <c r="V459"/>
      <c r="X459"/>
    </row>
    <row r="460" spans="10:24" s="1" customFormat="1" x14ac:dyDescent="0.2">
      <c r="J460"/>
      <c r="K460"/>
      <c r="L460"/>
      <c r="M460"/>
      <c r="N460"/>
      <c r="O460" s="2"/>
      <c r="S460"/>
      <c r="T460"/>
      <c r="U460"/>
      <c r="V460"/>
      <c r="X460"/>
    </row>
    <row r="461" spans="10:24" s="1" customFormat="1" x14ac:dyDescent="0.2">
      <c r="J461"/>
      <c r="K461"/>
      <c r="L461"/>
      <c r="M461"/>
      <c r="N461"/>
      <c r="O461" s="2"/>
      <c r="S461"/>
      <c r="T461"/>
      <c r="U461"/>
      <c r="V461"/>
      <c r="X461"/>
    </row>
    <row r="462" spans="10:24" s="1" customFormat="1" x14ac:dyDescent="0.2">
      <c r="J462"/>
      <c r="K462"/>
      <c r="L462"/>
      <c r="M462"/>
      <c r="N462"/>
      <c r="O462" s="2"/>
      <c r="S462"/>
      <c r="T462"/>
      <c r="U462"/>
      <c r="V462"/>
      <c r="X462"/>
    </row>
    <row r="463" spans="10:24" s="1" customFormat="1" x14ac:dyDescent="0.2">
      <c r="J463"/>
      <c r="K463"/>
      <c r="L463"/>
      <c r="M463"/>
      <c r="N463"/>
      <c r="O463" s="2"/>
      <c r="S463"/>
      <c r="T463"/>
      <c r="U463"/>
      <c r="V463"/>
      <c r="X463"/>
    </row>
    <row r="464" spans="10:24" s="1" customFormat="1" x14ac:dyDescent="0.2">
      <c r="J464"/>
      <c r="K464"/>
      <c r="L464"/>
      <c r="M464"/>
      <c r="N464"/>
      <c r="O464" s="2"/>
      <c r="S464"/>
      <c r="T464"/>
      <c r="U464"/>
      <c r="V464"/>
      <c r="X464"/>
    </row>
    <row r="465" spans="10:24" s="1" customFormat="1" x14ac:dyDescent="0.2">
      <c r="J465"/>
      <c r="K465"/>
      <c r="L465"/>
      <c r="M465"/>
      <c r="N465"/>
      <c r="O465" s="2"/>
      <c r="S465"/>
      <c r="T465"/>
      <c r="U465"/>
      <c r="V465"/>
      <c r="X465"/>
    </row>
    <row r="466" spans="10:24" s="1" customFormat="1" x14ac:dyDescent="0.2">
      <c r="J466"/>
      <c r="K466"/>
      <c r="L466"/>
      <c r="M466"/>
      <c r="N466"/>
      <c r="O466" s="2"/>
      <c r="S466"/>
      <c r="T466"/>
      <c r="U466"/>
      <c r="V466"/>
      <c r="X466"/>
    </row>
    <row r="467" spans="10:24" s="1" customFormat="1" x14ac:dyDescent="0.2">
      <c r="J467"/>
      <c r="K467"/>
      <c r="L467"/>
      <c r="M467"/>
      <c r="N467"/>
      <c r="O467" s="2"/>
      <c r="S467"/>
      <c r="T467"/>
      <c r="U467"/>
      <c r="V467"/>
      <c r="X467"/>
    </row>
    <row r="468" spans="10:24" s="1" customFormat="1" x14ac:dyDescent="0.2">
      <c r="J468"/>
      <c r="K468"/>
      <c r="L468"/>
      <c r="M468"/>
      <c r="N468"/>
      <c r="O468" s="2"/>
      <c r="S468"/>
      <c r="T468"/>
      <c r="U468"/>
      <c r="V468"/>
      <c r="X468"/>
    </row>
    <row r="469" spans="10:24" s="1" customFormat="1" x14ac:dyDescent="0.2">
      <c r="J469"/>
      <c r="K469"/>
      <c r="L469"/>
      <c r="M469"/>
      <c r="N469"/>
      <c r="O469" s="2"/>
      <c r="S469"/>
      <c r="T469"/>
      <c r="U469"/>
      <c r="V469"/>
      <c r="X469"/>
    </row>
    <row r="470" spans="10:24" s="1" customFormat="1" x14ac:dyDescent="0.2">
      <c r="J470"/>
      <c r="K470"/>
      <c r="L470"/>
      <c r="M470"/>
      <c r="N470"/>
      <c r="O470" s="2"/>
      <c r="S470"/>
      <c r="T470"/>
      <c r="U470"/>
      <c r="V470"/>
      <c r="X470"/>
    </row>
    <row r="471" spans="10:24" s="1" customFormat="1" x14ac:dyDescent="0.2">
      <c r="J471"/>
      <c r="K471"/>
      <c r="L471"/>
      <c r="M471"/>
      <c r="N471"/>
      <c r="O471" s="2"/>
      <c r="S471"/>
      <c r="T471"/>
      <c r="U471"/>
      <c r="V471"/>
      <c r="X471"/>
    </row>
    <row r="472" spans="10:24" s="1" customFormat="1" x14ac:dyDescent="0.2">
      <c r="J472"/>
      <c r="K472"/>
      <c r="L472"/>
      <c r="M472"/>
      <c r="N472"/>
      <c r="O472" s="2"/>
      <c r="S472"/>
      <c r="T472"/>
      <c r="U472"/>
      <c r="V472"/>
      <c r="X472"/>
    </row>
    <row r="473" spans="10:24" s="1" customFormat="1" x14ac:dyDescent="0.2">
      <c r="J473"/>
      <c r="K473"/>
      <c r="L473"/>
      <c r="M473"/>
      <c r="N473"/>
      <c r="O473" s="2"/>
      <c r="S473"/>
      <c r="T473"/>
      <c r="U473"/>
      <c r="V473"/>
      <c r="X473"/>
    </row>
    <row r="474" spans="10:24" s="1" customFormat="1" x14ac:dyDescent="0.2">
      <c r="J474"/>
      <c r="K474"/>
      <c r="L474"/>
      <c r="M474"/>
      <c r="N474"/>
      <c r="O474" s="2"/>
      <c r="S474"/>
      <c r="T474"/>
      <c r="U474"/>
      <c r="V474"/>
      <c r="X474"/>
    </row>
    <row r="475" spans="10:24" s="1" customFormat="1" x14ac:dyDescent="0.2">
      <c r="J475"/>
      <c r="K475"/>
      <c r="L475"/>
      <c r="M475"/>
      <c r="N475"/>
      <c r="O475" s="2"/>
      <c r="S475"/>
      <c r="T475"/>
      <c r="U475"/>
      <c r="V475"/>
      <c r="X475"/>
    </row>
    <row r="476" spans="10:24" s="1" customFormat="1" x14ac:dyDescent="0.2">
      <c r="J476"/>
      <c r="K476"/>
      <c r="L476"/>
      <c r="M476"/>
      <c r="N476"/>
      <c r="O476" s="2"/>
      <c r="S476"/>
      <c r="T476"/>
      <c r="U476"/>
      <c r="V476"/>
      <c r="X476"/>
    </row>
    <row r="477" spans="10:24" s="1" customFormat="1" x14ac:dyDescent="0.2">
      <c r="J477"/>
      <c r="K477"/>
      <c r="L477"/>
      <c r="M477"/>
      <c r="N477"/>
      <c r="O477" s="2"/>
      <c r="S477"/>
      <c r="T477"/>
      <c r="U477"/>
      <c r="V477"/>
      <c r="X477"/>
    </row>
    <row r="478" spans="10:24" s="1" customFormat="1" x14ac:dyDescent="0.2">
      <c r="J478"/>
      <c r="K478"/>
      <c r="L478"/>
      <c r="M478"/>
      <c r="N478"/>
      <c r="O478" s="2"/>
      <c r="S478"/>
      <c r="T478"/>
      <c r="U478"/>
      <c r="V478"/>
      <c r="X478"/>
    </row>
    <row r="479" spans="10:24" s="1" customFormat="1" x14ac:dyDescent="0.2">
      <c r="J479"/>
      <c r="K479"/>
      <c r="L479"/>
      <c r="M479"/>
      <c r="N479"/>
      <c r="O479" s="2"/>
      <c r="S479"/>
      <c r="T479"/>
      <c r="U479"/>
      <c r="V479"/>
      <c r="X479"/>
    </row>
    <row r="480" spans="10:24" s="1" customFormat="1" x14ac:dyDescent="0.2">
      <c r="J480"/>
      <c r="K480"/>
      <c r="L480"/>
      <c r="M480"/>
      <c r="N480"/>
      <c r="O480" s="2"/>
      <c r="S480"/>
      <c r="T480"/>
      <c r="U480"/>
      <c r="V480"/>
      <c r="X480"/>
    </row>
    <row r="481" spans="10:24" s="1" customFormat="1" x14ac:dyDescent="0.2">
      <c r="J481"/>
      <c r="K481"/>
      <c r="L481"/>
      <c r="M481"/>
      <c r="N481"/>
      <c r="O481" s="2"/>
      <c r="S481"/>
      <c r="T481"/>
      <c r="U481"/>
      <c r="V481"/>
      <c r="X481"/>
    </row>
    <row r="482" spans="10:24" s="1" customFormat="1" x14ac:dyDescent="0.2">
      <c r="J482"/>
      <c r="K482"/>
      <c r="L482"/>
      <c r="M482"/>
      <c r="N482"/>
      <c r="O482" s="2"/>
      <c r="S482"/>
      <c r="T482"/>
      <c r="U482"/>
      <c r="V482"/>
      <c r="X482"/>
    </row>
    <row r="483" spans="10:24" s="1" customFormat="1" x14ac:dyDescent="0.2">
      <c r="J483"/>
      <c r="K483"/>
      <c r="L483"/>
      <c r="M483"/>
      <c r="N483"/>
      <c r="O483" s="2"/>
      <c r="S483"/>
      <c r="T483"/>
      <c r="U483"/>
      <c r="V483"/>
      <c r="X483"/>
    </row>
    <row r="484" spans="10:24" s="1" customFormat="1" x14ac:dyDescent="0.2">
      <c r="J484"/>
      <c r="K484"/>
      <c r="L484"/>
      <c r="M484"/>
      <c r="N484"/>
      <c r="O484" s="2"/>
      <c r="S484"/>
      <c r="T484"/>
      <c r="U484"/>
      <c r="V484"/>
      <c r="X484"/>
    </row>
    <row r="485" spans="10:24" s="1" customFormat="1" x14ac:dyDescent="0.2">
      <c r="J485"/>
      <c r="K485"/>
      <c r="L485"/>
      <c r="M485"/>
      <c r="N485"/>
      <c r="O485" s="2"/>
      <c r="S485"/>
      <c r="T485"/>
      <c r="U485"/>
      <c r="V485"/>
      <c r="X485"/>
    </row>
    <row r="486" spans="10:24" s="1" customFormat="1" x14ac:dyDescent="0.2">
      <c r="J486"/>
      <c r="K486"/>
      <c r="L486"/>
      <c r="M486"/>
      <c r="N486"/>
      <c r="O486" s="2"/>
      <c r="S486"/>
      <c r="T486"/>
      <c r="U486"/>
      <c r="V486"/>
      <c r="X486"/>
    </row>
    <row r="487" spans="10:24" s="1" customFormat="1" x14ac:dyDescent="0.2">
      <c r="J487"/>
      <c r="K487"/>
      <c r="L487"/>
      <c r="M487"/>
      <c r="N487"/>
      <c r="O487" s="2"/>
      <c r="S487"/>
      <c r="T487"/>
      <c r="U487"/>
      <c r="V487"/>
      <c r="X487"/>
    </row>
    <row r="488" spans="10:24" s="1" customFormat="1" x14ac:dyDescent="0.2">
      <c r="J488"/>
      <c r="K488"/>
      <c r="L488"/>
      <c r="M488"/>
      <c r="N488"/>
      <c r="O488" s="2"/>
      <c r="S488"/>
      <c r="T488"/>
      <c r="U488"/>
      <c r="V488"/>
      <c r="X488"/>
    </row>
    <row r="489" spans="10:24" s="1" customFormat="1" x14ac:dyDescent="0.2">
      <c r="J489"/>
      <c r="K489"/>
      <c r="L489"/>
      <c r="M489"/>
      <c r="N489"/>
      <c r="O489" s="2"/>
      <c r="S489"/>
      <c r="T489"/>
      <c r="U489"/>
      <c r="V489"/>
      <c r="X489"/>
    </row>
    <row r="490" spans="10:24" s="1" customFormat="1" x14ac:dyDescent="0.2">
      <c r="J490"/>
      <c r="K490"/>
      <c r="L490"/>
      <c r="M490"/>
      <c r="N490"/>
      <c r="O490" s="2"/>
      <c r="S490"/>
      <c r="T490"/>
      <c r="U490"/>
      <c r="V490"/>
      <c r="X490"/>
    </row>
    <row r="491" spans="10:24" s="1" customFormat="1" x14ac:dyDescent="0.2">
      <c r="J491"/>
      <c r="K491"/>
      <c r="L491"/>
      <c r="M491"/>
      <c r="N491"/>
      <c r="O491" s="2"/>
      <c r="S491"/>
      <c r="T491"/>
      <c r="U491"/>
      <c r="V491"/>
      <c r="X491"/>
    </row>
    <row r="492" spans="10:24" s="1" customFormat="1" x14ac:dyDescent="0.2">
      <c r="J492"/>
      <c r="K492"/>
      <c r="L492"/>
      <c r="M492"/>
      <c r="N492"/>
      <c r="O492" s="2"/>
      <c r="S492"/>
      <c r="T492"/>
      <c r="U492"/>
      <c r="V492"/>
      <c r="X492"/>
    </row>
    <row r="493" spans="10:24" s="1" customFormat="1" x14ac:dyDescent="0.2">
      <c r="J493"/>
      <c r="K493"/>
      <c r="L493"/>
      <c r="M493"/>
      <c r="N493"/>
      <c r="O493" s="2"/>
      <c r="S493"/>
      <c r="T493"/>
      <c r="U493"/>
      <c r="V493"/>
      <c r="X493"/>
    </row>
    <row r="494" spans="10:24" s="1" customFormat="1" x14ac:dyDescent="0.2">
      <c r="J494"/>
      <c r="K494"/>
      <c r="L494"/>
      <c r="M494"/>
      <c r="N494"/>
      <c r="O494" s="2"/>
      <c r="S494"/>
      <c r="T494"/>
      <c r="U494"/>
      <c r="V494"/>
      <c r="X494"/>
    </row>
    <row r="495" spans="10:24" s="1" customFormat="1" x14ac:dyDescent="0.2">
      <c r="J495"/>
      <c r="K495"/>
      <c r="L495"/>
      <c r="M495"/>
      <c r="N495"/>
      <c r="O495" s="2"/>
      <c r="S495"/>
      <c r="T495"/>
      <c r="U495"/>
      <c r="V495"/>
      <c r="X495"/>
    </row>
    <row r="496" spans="10:24" s="1" customFormat="1" x14ac:dyDescent="0.2">
      <c r="J496"/>
      <c r="K496"/>
      <c r="L496"/>
      <c r="M496"/>
      <c r="N496"/>
      <c r="O496" s="2"/>
      <c r="S496"/>
      <c r="T496"/>
      <c r="U496"/>
      <c r="V496"/>
      <c r="X496"/>
    </row>
    <row r="497" spans="10:24" s="1" customFormat="1" x14ac:dyDescent="0.2">
      <c r="J497"/>
      <c r="K497"/>
      <c r="L497"/>
      <c r="M497"/>
      <c r="N497"/>
      <c r="O497" s="2"/>
      <c r="S497"/>
      <c r="T497"/>
      <c r="U497"/>
      <c r="V497"/>
      <c r="X497"/>
    </row>
    <row r="498" spans="10:24" s="1" customFormat="1" x14ac:dyDescent="0.2">
      <c r="J498"/>
      <c r="K498"/>
      <c r="L498"/>
      <c r="M498"/>
      <c r="N498"/>
      <c r="O498" s="2"/>
      <c r="S498"/>
      <c r="T498"/>
      <c r="U498"/>
      <c r="V498"/>
      <c r="X498"/>
    </row>
    <row r="499" spans="10:24" s="1" customFormat="1" x14ac:dyDescent="0.2">
      <c r="J499"/>
      <c r="K499"/>
      <c r="L499"/>
      <c r="M499"/>
      <c r="N499"/>
      <c r="O499" s="2"/>
      <c r="S499"/>
      <c r="T499"/>
      <c r="U499"/>
      <c r="V499"/>
      <c r="X499"/>
    </row>
    <row r="500" spans="10:24" s="1" customFormat="1" x14ac:dyDescent="0.2">
      <c r="J500"/>
      <c r="K500"/>
      <c r="L500"/>
      <c r="M500"/>
      <c r="N500"/>
      <c r="O500" s="2"/>
      <c r="S500"/>
      <c r="T500"/>
      <c r="U500"/>
      <c r="V500"/>
      <c r="X500"/>
    </row>
    <row r="501" spans="10:24" s="1" customFormat="1" x14ac:dyDescent="0.2">
      <c r="J501"/>
      <c r="K501"/>
      <c r="L501"/>
      <c r="M501"/>
      <c r="N501"/>
      <c r="O501" s="2"/>
      <c r="S501"/>
      <c r="T501"/>
      <c r="U501"/>
      <c r="V501"/>
      <c r="X501"/>
    </row>
    <row r="502" spans="10:24" s="1" customFormat="1" x14ac:dyDescent="0.2">
      <c r="J502"/>
      <c r="K502"/>
      <c r="L502"/>
      <c r="M502"/>
      <c r="N502"/>
      <c r="O502" s="2"/>
      <c r="S502"/>
      <c r="T502"/>
      <c r="U502"/>
      <c r="V502"/>
      <c r="X502"/>
    </row>
    <row r="503" spans="10:24" s="1" customFormat="1" x14ac:dyDescent="0.2">
      <c r="J503"/>
      <c r="K503"/>
      <c r="L503"/>
      <c r="M503"/>
      <c r="N503"/>
      <c r="O503" s="2"/>
      <c r="S503"/>
      <c r="T503"/>
      <c r="U503"/>
      <c r="V503"/>
      <c r="X503"/>
    </row>
    <row r="504" spans="10:24" s="1" customFormat="1" x14ac:dyDescent="0.2">
      <c r="J504"/>
      <c r="K504"/>
      <c r="L504"/>
      <c r="M504"/>
      <c r="N504"/>
      <c r="O504" s="2"/>
      <c r="S504"/>
      <c r="T504"/>
      <c r="U504"/>
      <c r="V504"/>
      <c r="X504"/>
    </row>
    <row r="505" spans="10:24" s="1" customFormat="1" x14ac:dyDescent="0.2">
      <c r="J505"/>
      <c r="K505"/>
      <c r="L505"/>
      <c r="M505"/>
      <c r="N505"/>
      <c r="O505" s="2"/>
      <c r="S505"/>
      <c r="T505"/>
      <c r="U505"/>
      <c r="V505"/>
      <c r="X505"/>
    </row>
    <row r="506" spans="10:24" s="1" customFormat="1" x14ac:dyDescent="0.2">
      <c r="J506"/>
      <c r="K506"/>
      <c r="L506"/>
      <c r="M506"/>
      <c r="N506"/>
      <c r="O506" s="2"/>
      <c r="S506"/>
      <c r="T506"/>
      <c r="U506"/>
      <c r="V506"/>
      <c r="X506"/>
    </row>
    <row r="507" spans="10:24" s="1" customFormat="1" x14ac:dyDescent="0.2">
      <c r="J507"/>
      <c r="K507"/>
      <c r="L507"/>
      <c r="M507"/>
      <c r="N507"/>
      <c r="O507" s="2"/>
      <c r="S507"/>
      <c r="T507"/>
      <c r="U507"/>
      <c r="V507"/>
      <c r="X507"/>
    </row>
    <row r="508" spans="10:24" s="1" customFormat="1" x14ac:dyDescent="0.2">
      <c r="J508"/>
      <c r="K508"/>
      <c r="L508"/>
      <c r="M508"/>
      <c r="N508"/>
      <c r="O508" s="2"/>
      <c r="S508"/>
      <c r="T508"/>
      <c r="U508"/>
      <c r="V508"/>
      <c r="X508"/>
    </row>
    <row r="509" spans="10:24" s="1" customFormat="1" x14ac:dyDescent="0.2">
      <c r="J509"/>
      <c r="K509"/>
      <c r="L509"/>
      <c r="M509"/>
      <c r="N509"/>
      <c r="O509" s="2"/>
      <c r="S509"/>
      <c r="T509"/>
      <c r="U509"/>
      <c r="V509"/>
      <c r="X509"/>
    </row>
    <row r="510" spans="10:24" s="1" customFormat="1" x14ac:dyDescent="0.2">
      <c r="J510"/>
      <c r="K510"/>
      <c r="L510"/>
      <c r="M510"/>
      <c r="N510"/>
      <c r="O510" s="2"/>
      <c r="S510"/>
      <c r="T510"/>
      <c r="U510"/>
      <c r="V510"/>
      <c r="X510"/>
    </row>
    <row r="511" spans="10:24" s="1" customFormat="1" x14ac:dyDescent="0.2">
      <c r="J511"/>
      <c r="K511"/>
      <c r="L511"/>
      <c r="M511"/>
      <c r="N511"/>
      <c r="O511" s="2"/>
      <c r="S511"/>
      <c r="T511"/>
      <c r="U511"/>
      <c r="V511"/>
      <c r="X511"/>
    </row>
    <row r="512" spans="10:24" s="1" customFormat="1" x14ac:dyDescent="0.2">
      <c r="J512"/>
      <c r="K512"/>
      <c r="L512"/>
      <c r="M512"/>
      <c r="N512"/>
      <c r="O512" s="2"/>
      <c r="S512"/>
      <c r="T512"/>
      <c r="U512"/>
      <c r="V512"/>
      <c r="X512"/>
    </row>
    <row r="513" spans="10:24" s="1" customFormat="1" x14ac:dyDescent="0.2">
      <c r="J513"/>
      <c r="K513"/>
      <c r="L513"/>
      <c r="M513"/>
      <c r="N513"/>
      <c r="O513" s="2"/>
      <c r="S513"/>
      <c r="T513"/>
      <c r="U513"/>
      <c r="V513"/>
      <c r="X513"/>
    </row>
    <row r="514" spans="10:24" s="1" customFormat="1" x14ac:dyDescent="0.2">
      <c r="J514"/>
      <c r="K514"/>
      <c r="L514"/>
      <c r="M514"/>
      <c r="N514"/>
      <c r="O514" s="2"/>
      <c r="S514"/>
      <c r="T514"/>
      <c r="U514"/>
      <c r="V514"/>
      <c r="X514"/>
    </row>
    <row r="515" spans="10:24" s="1" customFormat="1" x14ac:dyDescent="0.2">
      <c r="J515"/>
      <c r="K515"/>
      <c r="L515"/>
      <c r="M515"/>
      <c r="N515"/>
      <c r="O515" s="2"/>
      <c r="S515"/>
      <c r="T515"/>
      <c r="U515"/>
      <c r="V515"/>
      <c r="X515"/>
    </row>
    <row r="516" spans="10:24" s="1" customFormat="1" x14ac:dyDescent="0.2">
      <c r="J516"/>
      <c r="K516"/>
      <c r="L516"/>
      <c r="M516"/>
      <c r="N516"/>
      <c r="O516" s="2"/>
      <c r="S516"/>
      <c r="T516"/>
      <c r="U516"/>
      <c r="V516"/>
      <c r="X516"/>
    </row>
    <row r="517" spans="10:24" s="1" customFormat="1" x14ac:dyDescent="0.2">
      <c r="J517"/>
      <c r="K517"/>
      <c r="L517"/>
      <c r="M517"/>
      <c r="N517"/>
      <c r="O517" s="2"/>
      <c r="S517"/>
      <c r="T517"/>
      <c r="U517"/>
      <c r="V517"/>
      <c r="X517"/>
    </row>
    <row r="518" spans="10:24" s="1" customFormat="1" x14ac:dyDescent="0.2">
      <c r="J518"/>
      <c r="K518"/>
      <c r="L518"/>
      <c r="M518"/>
      <c r="N518"/>
      <c r="O518" s="2"/>
      <c r="S518"/>
      <c r="T518"/>
      <c r="U518"/>
      <c r="V518"/>
      <c r="X518"/>
    </row>
    <row r="519" spans="10:24" s="1" customFormat="1" x14ac:dyDescent="0.2">
      <c r="J519"/>
      <c r="K519"/>
      <c r="L519"/>
      <c r="M519"/>
      <c r="N519"/>
      <c r="O519" s="2"/>
      <c r="S519"/>
      <c r="T519"/>
      <c r="U519"/>
      <c r="V519"/>
      <c r="X519"/>
    </row>
    <row r="520" spans="10:24" s="1" customFormat="1" x14ac:dyDescent="0.2">
      <c r="J520"/>
      <c r="K520"/>
      <c r="L520"/>
      <c r="M520"/>
      <c r="N520"/>
      <c r="O520" s="2"/>
      <c r="S520"/>
      <c r="T520"/>
      <c r="U520"/>
      <c r="V520"/>
      <c r="X520"/>
    </row>
    <row r="521" spans="10:24" s="1" customFormat="1" x14ac:dyDescent="0.2">
      <c r="J521"/>
      <c r="K521"/>
      <c r="L521"/>
      <c r="M521"/>
      <c r="N521"/>
      <c r="O521" s="2"/>
      <c r="S521"/>
      <c r="T521"/>
      <c r="U521"/>
      <c r="V521"/>
      <c r="X521"/>
    </row>
    <row r="522" spans="10:24" s="1" customFormat="1" x14ac:dyDescent="0.2">
      <c r="J522"/>
      <c r="K522"/>
      <c r="L522"/>
      <c r="M522"/>
      <c r="N522"/>
      <c r="O522" s="2"/>
      <c r="S522"/>
      <c r="T522"/>
      <c r="U522"/>
      <c r="V522"/>
      <c r="X522"/>
    </row>
    <row r="523" spans="10:24" s="1" customFormat="1" x14ac:dyDescent="0.2">
      <c r="J523"/>
      <c r="K523"/>
      <c r="L523"/>
      <c r="M523"/>
      <c r="N523"/>
      <c r="O523" s="2"/>
      <c r="S523"/>
      <c r="T523"/>
      <c r="U523"/>
      <c r="V523"/>
      <c r="X523"/>
    </row>
    <row r="524" spans="10:24" s="1" customFormat="1" x14ac:dyDescent="0.2">
      <c r="J524"/>
      <c r="K524"/>
      <c r="L524"/>
      <c r="M524"/>
      <c r="N524"/>
      <c r="O524" s="2"/>
      <c r="S524"/>
      <c r="T524"/>
      <c r="U524"/>
      <c r="V524"/>
      <c r="X524"/>
    </row>
    <row r="525" spans="10:24" s="1" customFormat="1" x14ac:dyDescent="0.2">
      <c r="J525"/>
      <c r="K525"/>
      <c r="L525"/>
      <c r="M525"/>
      <c r="N525"/>
      <c r="O525" s="2"/>
      <c r="S525"/>
      <c r="T525"/>
      <c r="U525"/>
      <c r="V525"/>
      <c r="X525"/>
    </row>
    <row r="526" spans="10:24" s="1" customFormat="1" x14ac:dyDescent="0.2">
      <c r="J526"/>
      <c r="K526"/>
      <c r="L526"/>
      <c r="M526"/>
      <c r="N526"/>
      <c r="O526" s="2"/>
      <c r="S526"/>
      <c r="T526"/>
      <c r="U526"/>
      <c r="V526"/>
      <c r="X526"/>
    </row>
    <row r="527" spans="10:24" s="1" customFormat="1" x14ac:dyDescent="0.2">
      <c r="J527"/>
      <c r="K527"/>
      <c r="L527"/>
      <c r="M527"/>
      <c r="N527"/>
      <c r="O527" s="2"/>
      <c r="S527"/>
      <c r="T527"/>
      <c r="U527"/>
      <c r="V527"/>
      <c r="X527"/>
    </row>
    <row r="528" spans="10:24" s="1" customFormat="1" x14ac:dyDescent="0.2">
      <c r="J528"/>
      <c r="K528"/>
      <c r="L528"/>
      <c r="M528"/>
      <c r="N528"/>
      <c r="O528" s="2"/>
      <c r="S528"/>
      <c r="T528"/>
      <c r="U528"/>
      <c r="V528"/>
      <c r="X528"/>
    </row>
    <row r="529" spans="10:24" s="1" customFormat="1" x14ac:dyDescent="0.2">
      <c r="J529"/>
      <c r="K529"/>
      <c r="L529"/>
      <c r="M529"/>
      <c r="N529"/>
      <c r="O529" s="2"/>
      <c r="S529"/>
      <c r="T529"/>
      <c r="U529"/>
      <c r="V529"/>
      <c r="X529"/>
    </row>
    <row r="530" spans="10:24" s="1" customFormat="1" x14ac:dyDescent="0.2">
      <c r="J530"/>
      <c r="K530"/>
      <c r="L530"/>
      <c r="M530"/>
      <c r="N530"/>
      <c r="O530" s="2"/>
      <c r="S530"/>
      <c r="T530"/>
      <c r="U530"/>
      <c r="V530"/>
      <c r="X530"/>
    </row>
    <row r="531" spans="10:24" s="1" customFormat="1" x14ac:dyDescent="0.2">
      <c r="J531"/>
      <c r="K531"/>
      <c r="L531"/>
      <c r="M531"/>
      <c r="N531"/>
      <c r="O531" s="2"/>
      <c r="S531"/>
      <c r="T531"/>
      <c r="U531"/>
      <c r="V531"/>
      <c r="X531"/>
    </row>
    <row r="532" spans="10:24" s="1" customFormat="1" x14ac:dyDescent="0.2">
      <c r="J532"/>
      <c r="K532"/>
      <c r="L532"/>
      <c r="M532"/>
      <c r="N532"/>
      <c r="O532" s="2"/>
      <c r="S532"/>
      <c r="T532"/>
      <c r="U532"/>
      <c r="V532"/>
      <c r="X532"/>
    </row>
    <row r="533" spans="10:24" s="1" customFormat="1" x14ac:dyDescent="0.2">
      <c r="J533"/>
      <c r="K533"/>
      <c r="L533"/>
      <c r="M533"/>
      <c r="N533"/>
      <c r="O533" s="2"/>
      <c r="S533"/>
      <c r="T533"/>
      <c r="U533"/>
      <c r="V533"/>
      <c r="X533"/>
    </row>
    <row r="534" spans="10:24" s="1" customFormat="1" x14ac:dyDescent="0.2">
      <c r="J534"/>
      <c r="K534"/>
      <c r="L534"/>
      <c r="M534"/>
      <c r="N534"/>
      <c r="O534" s="2"/>
      <c r="S534"/>
      <c r="T534"/>
      <c r="U534"/>
      <c r="V534"/>
      <c r="X534"/>
    </row>
    <row r="535" spans="10:24" s="1" customFormat="1" x14ac:dyDescent="0.2">
      <c r="J535"/>
      <c r="K535"/>
      <c r="L535"/>
      <c r="M535"/>
      <c r="N535"/>
      <c r="O535" s="2"/>
      <c r="S535"/>
      <c r="T535"/>
      <c r="U535"/>
      <c r="V535"/>
      <c r="X535"/>
    </row>
    <row r="536" spans="10:24" s="1" customFormat="1" x14ac:dyDescent="0.2">
      <c r="J536"/>
      <c r="K536"/>
      <c r="L536"/>
      <c r="M536"/>
      <c r="N536"/>
      <c r="O536" s="2"/>
      <c r="S536"/>
      <c r="T536"/>
      <c r="U536"/>
      <c r="V536"/>
      <c r="X536"/>
    </row>
    <row r="537" spans="10:24" s="1" customFormat="1" x14ac:dyDescent="0.2">
      <c r="J537"/>
      <c r="K537"/>
      <c r="L537"/>
      <c r="M537"/>
      <c r="N537"/>
      <c r="O537" s="2"/>
      <c r="S537"/>
      <c r="T537"/>
      <c r="U537"/>
      <c r="V537"/>
      <c r="X537"/>
    </row>
    <row r="538" spans="10:24" s="1" customFormat="1" x14ac:dyDescent="0.2">
      <c r="J538"/>
      <c r="K538"/>
      <c r="L538"/>
      <c r="M538"/>
      <c r="N538"/>
      <c r="O538" s="2"/>
      <c r="S538"/>
      <c r="T538"/>
      <c r="U538"/>
      <c r="V538"/>
      <c r="X538"/>
    </row>
    <row r="539" spans="10:24" s="1" customFormat="1" x14ac:dyDescent="0.2">
      <c r="J539"/>
      <c r="K539"/>
      <c r="L539"/>
      <c r="M539"/>
      <c r="N539"/>
      <c r="O539" s="2"/>
      <c r="S539"/>
      <c r="T539"/>
      <c r="U539"/>
      <c r="V539"/>
      <c r="X539"/>
    </row>
    <row r="540" spans="10:24" s="1" customFormat="1" x14ac:dyDescent="0.2">
      <c r="J540"/>
      <c r="K540"/>
      <c r="L540"/>
      <c r="M540"/>
      <c r="N540"/>
      <c r="O540" s="2"/>
      <c r="S540"/>
      <c r="T540"/>
      <c r="U540"/>
      <c r="V540"/>
      <c r="X540"/>
    </row>
    <row r="541" spans="10:24" s="1" customFormat="1" x14ac:dyDescent="0.2">
      <c r="J541"/>
      <c r="K541"/>
      <c r="L541"/>
      <c r="M541"/>
      <c r="N541"/>
      <c r="O541" s="2"/>
      <c r="S541"/>
      <c r="T541"/>
      <c r="U541"/>
      <c r="V541"/>
      <c r="X541"/>
    </row>
    <row r="542" spans="10:24" s="1" customFormat="1" x14ac:dyDescent="0.2">
      <c r="J542"/>
      <c r="K542"/>
      <c r="L542"/>
      <c r="M542"/>
      <c r="N542"/>
      <c r="O542" s="2"/>
      <c r="S542"/>
      <c r="T542"/>
      <c r="U542"/>
      <c r="V542"/>
      <c r="X542"/>
    </row>
    <row r="543" spans="10:24" s="1" customFormat="1" x14ac:dyDescent="0.2">
      <c r="J543"/>
      <c r="K543"/>
      <c r="L543"/>
      <c r="M543"/>
      <c r="N543"/>
      <c r="O543" s="2"/>
      <c r="S543"/>
      <c r="T543"/>
      <c r="U543"/>
      <c r="V543"/>
      <c r="X543"/>
    </row>
    <row r="544" spans="10:24" s="1" customFormat="1" x14ac:dyDescent="0.2">
      <c r="J544"/>
      <c r="K544"/>
      <c r="L544"/>
      <c r="M544"/>
      <c r="N544"/>
      <c r="O544" s="2"/>
      <c r="S544"/>
      <c r="T544"/>
      <c r="U544"/>
      <c r="V544"/>
      <c r="X544"/>
    </row>
    <row r="545" spans="10:24" s="1" customFormat="1" x14ac:dyDescent="0.2">
      <c r="J545"/>
      <c r="K545"/>
      <c r="L545"/>
      <c r="M545"/>
      <c r="N545"/>
      <c r="O545" s="2"/>
      <c r="S545"/>
      <c r="T545"/>
      <c r="U545"/>
      <c r="V545"/>
      <c r="X545"/>
    </row>
    <row r="546" spans="10:24" s="1" customFormat="1" x14ac:dyDescent="0.2">
      <c r="J546"/>
      <c r="K546"/>
      <c r="L546"/>
      <c r="M546"/>
      <c r="N546"/>
      <c r="O546" s="2"/>
      <c r="S546"/>
      <c r="T546"/>
      <c r="U546"/>
      <c r="V546"/>
      <c r="X546"/>
    </row>
    <row r="547" spans="10:24" s="1" customFormat="1" x14ac:dyDescent="0.2">
      <c r="J547"/>
      <c r="K547"/>
      <c r="L547"/>
      <c r="M547"/>
      <c r="N547"/>
      <c r="O547" s="2"/>
      <c r="S547"/>
      <c r="T547"/>
      <c r="U547"/>
      <c r="V547"/>
      <c r="X547"/>
    </row>
    <row r="548" spans="10:24" s="1" customFormat="1" x14ac:dyDescent="0.2">
      <c r="J548"/>
      <c r="K548"/>
      <c r="L548"/>
      <c r="M548"/>
      <c r="N548"/>
      <c r="O548" s="2"/>
      <c r="S548"/>
      <c r="T548"/>
      <c r="U548"/>
      <c r="V548"/>
      <c r="X548"/>
    </row>
    <row r="549" spans="10:24" s="1" customFormat="1" x14ac:dyDescent="0.2">
      <c r="J549"/>
      <c r="K549"/>
      <c r="L549"/>
      <c r="M549"/>
      <c r="N549"/>
      <c r="O549" s="2"/>
      <c r="S549"/>
      <c r="T549"/>
      <c r="U549"/>
      <c r="V549"/>
      <c r="X549"/>
    </row>
    <row r="550" spans="10:24" s="1" customFormat="1" x14ac:dyDescent="0.2">
      <c r="J550"/>
      <c r="K550"/>
      <c r="L550"/>
      <c r="M550"/>
      <c r="N550"/>
      <c r="O550" s="2"/>
      <c r="S550"/>
      <c r="T550"/>
      <c r="U550"/>
      <c r="V550"/>
      <c r="X550"/>
    </row>
    <row r="551" spans="10:24" s="1" customFormat="1" x14ac:dyDescent="0.2">
      <c r="J551"/>
      <c r="K551"/>
      <c r="L551"/>
      <c r="M551"/>
      <c r="N551"/>
      <c r="O551" s="2"/>
      <c r="S551"/>
      <c r="T551"/>
      <c r="U551"/>
      <c r="V551"/>
      <c r="X551"/>
    </row>
    <row r="552" spans="10:24" s="1" customFormat="1" x14ac:dyDescent="0.2">
      <c r="J552"/>
      <c r="K552"/>
      <c r="L552"/>
      <c r="M552"/>
      <c r="N552"/>
      <c r="O552" s="2"/>
      <c r="S552"/>
      <c r="T552"/>
      <c r="U552"/>
      <c r="V552"/>
      <c r="X552"/>
    </row>
    <row r="553" spans="10:24" s="1" customFormat="1" x14ac:dyDescent="0.2">
      <c r="J553"/>
      <c r="K553"/>
      <c r="L553"/>
      <c r="M553"/>
      <c r="N553"/>
      <c r="O553" s="2"/>
      <c r="S553"/>
      <c r="T553"/>
      <c r="U553"/>
      <c r="V553"/>
      <c r="X553"/>
    </row>
    <row r="554" spans="10:24" s="1" customFormat="1" x14ac:dyDescent="0.2">
      <c r="J554"/>
      <c r="K554"/>
      <c r="L554"/>
      <c r="M554"/>
      <c r="N554"/>
      <c r="O554" s="2"/>
      <c r="S554"/>
      <c r="T554"/>
      <c r="U554"/>
      <c r="V554"/>
      <c r="X554"/>
    </row>
    <row r="555" spans="10:24" s="1" customFormat="1" x14ac:dyDescent="0.2">
      <c r="J555"/>
      <c r="K555"/>
      <c r="L555"/>
      <c r="M555"/>
      <c r="N555"/>
      <c r="O555" s="2"/>
      <c r="S555"/>
      <c r="T555"/>
      <c r="U555"/>
      <c r="V555"/>
      <c r="X555"/>
    </row>
    <row r="556" spans="10:24" s="1" customFormat="1" x14ac:dyDescent="0.2">
      <c r="J556"/>
      <c r="K556"/>
      <c r="L556"/>
      <c r="M556"/>
      <c r="N556"/>
      <c r="O556" s="2"/>
      <c r="S556"/>
      <c r="T556"/>
      <c r="U556"/>
      <c r="V556"/>
      <c r="X556"/>
    </row>
    <row r="557" spans="10:24" s="1" customFormat="1" x14ac:dyDescent="0.2">
      <c r="J557"/>
      <c r="K557"/>
      <c r="L557"/>
      <c r="M557"/>
      <c r="N557"/>
      <c r="O557" s="2"/>
      <c r="S557"/>
      <c r="T557"/>
      <c r="U557"/>
      <c r="V557"/>
      <c r="X557"/>
    </row>
    <row r="558" spans="10:24" s="1" customFormat="1" x14ac:dyDescent="0.2">
      <c r="J558"/>
      <c r="K558"/>
      <c r="L558"/>
      <c r="M558"/>
      <c r="N558"/>
      <c r="O558" s="2"/>
      <c r="S558"/>
      <c r="T558"/>
      <c r="U558"/>
      <c r="V558"/>
      <c r="X558"/>
    </row>
    <row r="559" spans="10:24" s="1" customFormat="1" x14ac:dyDescent="0.2">
      <c r="J559"/>
      <c r="K559"/>
      <c r="L559"/>
      <c r="M559"/>
      <c r="N559"/>
      <c r="O559" s="2"/>
      <c r="S559"/>
      <c r="T559"/>
      <c r="U559"/>
      <c r="V559"/>
      <c r="X559"/>
    </row>
    <row r="560" spans="10:24" s="1" customFormat="1" x14ac:dyDescent="0.2">
      <c r="J560"/>
      <c r="K560"/>
      <c r="L560"/>
      <c r="M560"/>
      <c r="N560"/>
      <c r="O560" s="2"/>
      <c r="S560"/>
      <c r="T560"/>
      <c r="U560"/>
      <c r="V560"/>
      <c r="X560"/>
    </row>
    <row r="561" spans="10:24" s="1" customFormat="1" x14ac:dyDescent="0.2">
      <c r="J561"/>
      <c r="K561"/>
      <c r="L561"/>
      <c r="M561"/>
      <c r="N561"/>
      <c r="O561" s="2"/>
      <c r="S561"/>
      <c r="T561"/>
      <c r="U561"/>
      <c r="V561"/>
      <c r="X561"/>
    </row>
    <row r="562" spans="10:24" s="1" customFormat="1" x14ac:dyDescent="0.2">
      <c r="J562"/>
      <c r="K562"/>
      <c r="L562"/>
      <c r="M562"/>
      <c r="N562"/>
      <c r="O562" s="2"/>
      <c r="S562"/>
      <c r="T562"/>
      <c r="U562"/>
      <c r="V562"/>
      <c r="X562"/>
    </row>
    <row r="563" spans="10:24" s="1" customFormat="1" x14ac:dyDescent="0.2">
      <c r="J563"/>
      <c r="K563"/>
      <c r="L563"/>
      <c r="M563"/>
      <c r="N563"/>
      <c r="O563" s="2"/>
      <c r="S563"/>
      <c r="T563"/>
      <c r="U563"/>
      <c r="V563"/>
      <c r="X563"/>
    </row>
    <row r="564" spans="10:24" s="1" customFormat="1" x14ac:dyDescent="0.2">
      <c r="J564"/>
      <c r="K564"/>
      <c r="L564"/>
      <c r="M564"/>
      <c r="N564"/>
      <c r="O564" s="2"/>
      <c r="S564"/>
      <c r="T564"/>
      <c r="U564"/>
      <c r="V564"/>
      <c r="X564"/>
    </row>
    <row r="565" spans="10:24" s="1" customFormat="1" x14ac:dyDescent="0.2">
      <c r="J565"/>
      <c r="K565"/>
      <c r="L565"/>
      <c r="M565"/>
      <c r="N565"/>
      <c r="O565" s="2"/>
      <c r="S565"/>
      <c r="T565"/>
      <c r="U565"/>
      <c r="V565"/>
      <c r="X565"/>
    </row>
    <row r="566" spans="10:24" s="1" customFormat="1" x14ac:dyDescent="0.2">
      <c r="J566"/>
      <c r="K566"/>
      <c r="L566"/>
      <c r="M566"/>
      <c r="N566"/>
      <c r="O566" s="2"/>
      <c r="S566"/>
      <c r="T566"/>
      <c r="U566"/>
      <c r="V566"/>
      <c r="X566"/>
    </row>
    <row r="567" spans="10:24" s="1" customFormat="1" x14ac:dyDescent="0.2">
      <c r="J567"/>
      <c r="K567"/>
      <c r="L567"/>
      <c r="M567"/>
      <c r="N567"/>
      <c r="O567" s="2"/>
      <c r="S567"/>
      <c r="T567"/>
      <c r="U567"/>
      <c r="V567"/>
      <c r="X567"/>
    </row>
    <row r="568" spans="10:24" s="1" customFormat="1" x14ac:dyDescent="0.2">
      <c r="J568"/>
      <c r="K568"/>
      <c r="L568"/>
      <c r="M568"/>
      <c r="N568"/>
      <c r="O568" s="2"/>
      <c r="S568"/>
      <c r="T568"/>
      <c r="U568"/>
      <c r="V568"/>
      <c r="X568"/>
    </row>
    <row r="569" spans="10:24" s="1" customFormat="1" x14ac:dyDescent="0.2">
      <c r="J569"/>
      <c r="K569"/>
      <c r="L569"/>
      <c r="M569"/>
      <c r="N569"/>
      <c r="O569" s="2"/>
      <c r="S569"/>
      <c r="T569"/>
      <c r="U569"/>
      <c r="V569"/>
      <c r="X569"/>
    </row>
    <row r="570" spans="10:24" s="1" customFormat="1" x14ac:dyDescent="0.2">
      <c r="J570"/>
      <c r="K570"/>
      <c r="L570"/>
      <c r="M570"/>
      <c r="N570"/>
      <c r="O570" s="2"/>
      <c r="S570"/>
      <c r="T570"/>
      <c r="U570"/>
      <c r="V570"/>
      <c r="X570"/>
    </row>
    <row r="571" spans="10:24" s="1" customFormat="1" x14ac:dyDescent="0.2">
      <c r="J571"/>
      <c r="K571"/>
      <c r="L571"/>
      <c r="M571"/>
      <c r="N571"/>
      <c r="O571" s="2"/>
      <c r="S571"/>
      <c r="T571"/>
      <c r="U571"/>
      <c r="V571"/>
      <c r="X571"/>
    </row>
    <row r="572" spans="10:24" s="1" customFormat="1" x14ac:dyDescent="0.2">
      <c r="J572"/>
      <c r="K572"/>
      <c r="L572"/>
      <c r="M572"/>
      <c r="N572"/>
      <c r="O572" s="2"/>
      <c r="S572"/>
      <c r="T572"/>
      <c r="U572"/>
      <c r="V572"/>
      <c r="X572"/>
    </row>
    <row r="573" spans="10:24" s="1" customFormat="1" x14ac:dyDescent="0.2">
      <c r="J573"/>
      <c r="K573"/>
      <c r="L573"/>
      <c r="M573"/>
      <c r="N573"/>
      <c r="O573" s="2"/>
      <c r="S573"/>
      <c r="T573"/>
      <c r="U573"/>
      <c r="V573"/>
      <c r="X573"/>
    </row>
    <row r="574" spans="10:24" s="1" customFormat="1" x14ac:dyDescent="0.2">
      <c r="J574"/>
      <c r="K574"/>
      <c r="L574"/>
      <c r="M574"/>
      <c r="N574"/>
      <c r="O574" s="2"/>
      <c r="S574"/>
      <c r="T574"/>
      <c r="U574"/>
      <c r="V574"/>
      <c r="X574"/>
    </row>
    <row r="575" spans="10:24" s="1" customFormat="1" x14ac:dyDescent="0.2">
      <c r="J575"/>
      <c r="K575"/>
      <c r="L575"/>
      <c r="M575"/>
      <c r="N575"/>
      <c r="O575" s="2"/>
      <c r="S575"/>
      <c r="T575"/>
      <c r="U575"/>
      <c r="V575"/>
      <c r="X575"/>
    </row>
    <row r="576" spans="10:24" s="1" customFormat="1" x14ac:dyDescent="0.2">
      <c r="J576"/>
      <c r="K576"/>
      <c r="L576"/>
      <c r="M576"/>
      <c r="N576"/>
      <c r="O576" s="2"/>
      <c r="S576"/>
      <c r="T576"/>
      <c r="U576"/>
      <c r="V576"/>
      <c r="X576"/>
    </row>
    <row r="577" spans="10:24" s="1" customFormat="1" x14ac:dyDescent="0.2">
      <c r="J577"/>
      <c r="K577"/>
      <c r="L577"/>
      <c r="M577"/>
      <c r="N577"/>
      <c r="O577" s="2"/>
      <c r="S577"/>
      <c r="T577"/>
      <c r="U577"/>
      <c r="V577"/>
      <c r="X577"/>
    </row>
    <row r="578" spans="10:24" s="1" customFormat="1" x14ac:dyDescent="0.2">
      <c r="J578"/>
      <c r="K578"/>
      <c r="L578"/>
      <c r="M578"/>
      <c r="N578"/>
      <c r="O578" s="2"/>
      <c r="S578"/>
      <c r="T578"/>
      <c r="U578"/>
      <c r="V578"/>
      <c r="X578"/>
    </row>
    <row r="579" spans="10:24" s="1" customFormat="1" x14ac:dyDescent="0.2">
      <c r="J579"/>
      <c r="K579"/>
      <c r="L579"/>
      <c r="M579"/>
      <c r="N579"/>
      <c r="O579" s="2"/>
      <c r="S579"/>
      <c r="T579"/>
      <c r="U579"/>
      <c r="V579"/>
      <c r="X579"/>
    </row>
    <row r="580" spans="10:24" s="1" customFormat="1" x14ac:dyDescent="0.2">
      <c r="J580"/>
      <c r="K580"/>
      <c r="L580"/>
      <c r="M580"/>
      <c r="N580"/>
      <c r="O580" s="2"/>
      <c r="S580"/>
      <c r="T580"/>
      <c r="U580"/>
      <c r="V580"/>
      <c r="X580"/>
    </row>
    <row r="581" spans="10:24" s="1" customFormat="1" x14ac:dyDescent="0.2">
      <c r="J581"/>
      <c r="K581"/>
      <c r="L581"/>
      <c r="M581"/>
      <c r="N581"/>
      <c r="O581" s="2"/>
      <c r="S581"/>
      <c r="T581"/>
      <c r="U581"/>
      <c r="V581"/>
      <c r="X581"/>
    </row>
    <row r="582" spans="10:24" s="1" customFormat="1" x14ac:dyDescent="0.2">
      <c r="J582"/>
      <c r="K582"/>
      <c r="L582"/>
      <c r="M582"/>
      <c r="N582"/>
      <c r="O582" s="2"/>
      <c r="S582"/>
      <c r="T582"/>
      <c r="U582"/>
      <c r="V582"/>
      <c r="X582"/>
    </row>
    <row r="583" spans="10:24" s="1" customFormat="1" x14ac:dyDescent="0.2">
      <c r="J583"/>
      <c r="K583"/>
      <c r="L583"/>
      <c r="M583"/>
      <c r="N583"/>
      <c r="O583" s="2"/>
      <c r="S583"/>
      <c r="T583"/>
      <c r="U583"/>
      <c r="V583"/>
      <c r="X583"/>
    </row>
    <row r="584" spans="10:24" s="1" customFormat="1" x14ac:dyDescent="0.2">
      <c r="J584"/>
      <c r="K584"/>
      <c r="L584"/>
      <c r="M584"/>
      <c r="N584"/>
      <c r="O584" s="2"/>
      <c r="S584"/>
      <c r="T584"/>
      <c r="U584"/>
      <c r="V584"/>
      <c r="X584"/>
    </row>
    <row r="585" spans="10:24" s="1" customFormat="1" x14ac:dyDescent="0.2">
      <c r="J585"/>
      <c r="K585"/>
      <c r="L585"/>
      <c r="M585"/>
      <c r="N585"/>
      <c r="O585" s="2"/>
      <c r="S585"/>
      <c r="T585"/>
      <c r="U585"/>
      <c r="V585"/>
      <c r="X585"/>
    </row>
    <row r="586" spans="10:24" s="1" customFormat="1" x14ac:dyDescent="0.2">
      <c r="J586"/>
      <c r="K586"/>
      <c r="L586"/>
      <c r="M586"/>
      <c r="N586"/>
      <c r="O586" s="2"/>
      <c r="S586"/>
      <c r="T586"/>
      <c r="U586"/>
      <c r="V586"/>
      <c r="X586"/>
    </row>
    <row r="587" spans="10:24" s="1" customFormat="1" x14ac:dyDescent="0.2">
      <c r="J587"/>
      <c r="K587"/>
      <c r="L587"/>
      <c r="M587"/>
      <c r="N587"/>
      <c r="O587" s="2"/>
      <c r="S587"/>
      <c r="T587"/>
      <c r="U587"/>
      <c r="V587"/>
      <c r="X587"/>
    </row>
    <row r="588" spans="10:24" s="1" customFormat="1" x14ac:dyDescent="0.2">
      <c r="J588"/>
      <c r="K588"/>
      <c r="L588"/>
      <c r="M588"/>
      <c r="N588"/>
      <c r="O588" s="2"/>
      <c r="S588"/>
      <c r="T588"/>
      <c r="U588"/>
      <c r="V588"/>
      <c r="X588"/>
    </row>
    <row r="589" spans="10:24" s="1" customFormat="1" x14ac:dyDescent="0.2">
      <c r="J589"/>
      <c r="K589"/>
      <c r="L589"/>
      <c r="M589"/>
      <c r="N589"/>
      <c r="O589" s="2"/>
      <c r="S589"/>
      <c r="T589"/>
      <c r="U589"/>
      <c r="V589"/>
      <c r="X589"/>
    </row>
    <row r="590" spans="10:24" s="1" customFormat="1" x14ac:dyDescent="0.2">
      <c r="J590"/>
      <c r="K590"/>
      <c r="L590"/>
      <c r="M590"/>
      <c r="N590"/>
      <c r="O590" s="2"/>
      <c r="S590"/>
      <c r="T590"/>
      <c r="U590"/>
      <c r="V590"/>
      <c r="X590"/>
    </row>
    <row r="591" spans="10:24" s="1" customFormat="1" x14ac:dyDescent="0.2">
      <c r="J591"/>
      <c r="K591"/>
      <c r="L591"/>
      <c r="M591"/>
      <c r="N591"/>
      <c r="O591" s="2"/>
      <c r="S591"/>
      <c r="T591"/>
      <c r="U591"/>
      <c r="V591"/>
      <c r="X591"/>
    </row>
    <row r="592" spans="10:24" s="1" customFormat="1" x14ac:dyDescent="0.2">
      <c r="J592"/>
      <c r="K592"/>
      <c r="L592"/>
      <c r="M592"/>
      <c r="N592"/>
      <c r="O592" s="2"/>
      <c r="S592"/>
      <c r="T592"/>
      <c r="U592"/>
      <c r="V592"/>
      <c r="X592"/>
    </row>
    <row r="593" spans="10:24" s="1" customFormat="1" x14ac:dyDescent="0.2">
      <c r="J593"/>
      <c r="K593"/>
      <c r="L593"/>
      <c r="M593"/>
      <c r="N593"/>
      <c r="O593" s="2"/>
      <c r="S593"/>
      <c r="T593"/>
      <c r="U593"/>
      <c r="V593"/>
      <c r="X593"/>
    </row>
    <row r="594" spans="10:24" s="1" customFormat="1" x14ac:dyDescent="0.2">
      <c r="J594"/>
      <c r="K594"/>
      <c r="L594"/>
      <c r="M594"/>
      <c r="N594"/>
      <c r="O594" s="2"/>
      <c r="S594"/>
      <c r="T594"/>
      <c r="U594"/>
      <c r="V594"/>
      <c r="X594"/>
    </row>
    <row r="595" spans="10:24" s="1" customFormat="1" x14ac:dyDescent="0.2">
      <c r="J595"/>
      <c r="K595"/>
      <c r="L595"/>
      <c r="M595"/>
      <c r="N595"/>
      <c r="O595" s="2"/>
      <c r="S595"/>
      <c r="T595"/>
      <c r="U595"/>
      <c r="V595"/>
      <c r="X595"/>
    </row>
    <row r="596" spans="10:24" s="1" customFormat="1" x14ac:dyDescent="0.2">
      <c r="J596"/>
      <c r="K596"/>
      <c r="L596"/>
      <c r="M596"/>
      <c r="N596"/>
      <c r="O596" s="2"/>
      <c r="S596"/>
      <c r="T596"/>
      <c r="U596"/>
      <c r="V596"/>
      <c r="X596"/>
    </row>
    <row r="597" spans="10:24" s="1" customFormat="1" x14ac:dyDescent="0.2">
      <c r="J597"/>
      <c r="K597"/>
      <c r="L597"/>
      <c r="M597"/>
      <c r="N597"/>
      <c r="O597" s="2"/>
      <c r="S597"/>
      <c r="T597"/>
      <c r="U597"/>
      <c r="V597"/>
      <c r="X597"/>
    </row>
    <row r="598" spans="10:24" s="1" customFormat="1" x14ac:dyDescent="0.2">
      <c r="J598"/>
      <c r="K598"/>
      <c r="L598"/>
      <c r="M598"/>
      <c r="N598"/>
      <c r="O598" s="2"/>
      <c r="S598"/>
      <c r="T598"/>
      <c r="U598"/>
      <c r="V598"/>
      <c r="X598"/>
    </row>
    <row r="599" spans="10:24" s="1" customFormat="1" x14ac:dyDescent="0.2">
      <c r="J599"/>
      <c r="K599"/>
      <c r="L599"/>
      <c r="M599"/>
      <c r="N599"/>
      <c r="O599" s="2"/>
      <c r="S599"/>
      <c r="T599"/>
      <c r="U599"/>
      <c r="V599"/>
      <c r="X599"/>
    </row>
    <row r="600" spans="10:24" s="1" customFormat="1" x14ac:dyDescent="0.2">
      <c r="J600"/>
      <c r="K600"/>
      <c r="L600"/>
      <c r="M600"/>
      <c r="N600"/>
      <c r="O600" s="2"/>
      <c r="S600"/>
      <c r="T600"/>
      <c r="U600"/>
      <c r="V600"/>
      <c r="X600"/>
    </row>
    <row r="601" spans="10:24" s="1" customFormat="1" x14ac:dyDescent="0.2">
      <c r="J601"/>
      <c r="K601"/>
      <c r="L601"/>
      <c r="M601"/>
      <c r="N601"/>
      <c r="O601" s="2"/>
      <c r="S601"/>
      <c r="T601"/>
      <c r="U601"/>
      <c r="V601"/>
      <c r="X601"/>
    </row>
    <row r="602" spans="10:24" s="1" customFormat="1" x14ac:dyDescent="0.2">
      <c r="J602"/>
      <c r="K602"/>
      <c r="L602"/>
      <c r="M602"/>
      <c r="N602"/>
      <c r="O602" s="2"/>
      <c r="S602"/>
      <c r="T602"/>
      <c r="U602"/>
      <c r="V602"/>
      <c r="X602"/>
    </row>
    <row r="603" spans="10:24" s="1" customFormat="1" x14ac:dyDescent="0.2">
      <c r="J603"/>
      <c r="K603"/>
      <c r="L603"/>
      <c r="M603"/>
      <c r="N603"/>
      <c r="O603" s="2"/>
      <c r="S603"/>
      <c r="T603"/>
      <c r="U603"/>
      <c r="V603"/>
      <c r="X603"/>
    </row>
    <row r="604" spans="10:24" s="1" customFormat="1" x14ac:dyDescent="0.2">
      <c r="J604"/>
      <c r="K604"/>
      <c r="L604"/>
      <c r="M604"/>
      <c r="N604"/>
      <c r="O604" s="2"/>
      <c r="S604"/>
      <c r="T604"/>
      <c r="U604"/>
      <c r="V604"/>
      <c r="X604"/>
    </row>
    <row r="605" spans="10:24" s="1" customFormat="1" x14ac:dyDescent="0.2">
      <c r="J605"/>
      <c r="K605"/>
      <c r="L605"/>
      <c r="M605"/>
      <c r="N605"/>
      <c r="O605" s="2"/>
      <c r="S605"/>
      <c r="T605"/>
      <c r="U605"/>
      <c r="V605"/>
      <c r="X605"/>
    </row>
    <row r="606" spans="10:24" s="1" customFormat="1" x14ac:dyDescent="0.2">
      <c r="J606"/>
      <c r="K606"/>
      <c r="L606"/>
      <c r="M606"/>
      <c r="N606"/>
      <c r="O606" s="2"/>
      <c r="S606"/>
      <c r="T606"/>
      <c r="U606"/>
      <c r="V606"/>
      <c r="X606"/>
    </row>
    <row r="607" spans="10:24" s="1" customFormat="1" x14ac:dyDescent="0.2">
      <c r="J607"/>
      <c r="K607"/>
      <c r="L607"/>
      <c r="M607"/>
      <c r="N607"/>
      <c r="O607" s="2"/>
      <c r="S607"/>
      <c r="T607"/>
      <c r="U607"/>
      <c r="V607"/>
      <c r="X607"/>
    </row>
    <row r="608" spans="10:24" s="1" customFormat="1" x14ac:dyDescent="0.2">
      <c r="J608"/>
      <c r="K608"/>
      <c r="L608"/>
      <c r="M608"/>
      <c r="N608"/>
      <c r="O608" s="2"/>
      <c r="S608"/>
      <c r="T608"/>
      <c r="U608"/>
      <c r="V608"/>
      <c r="X608"/>
    </row>
    <row r="609" spans="10:24" s="1" customFormat="1" x14ac:dyDescent="0.2">
      <c r="J609"/>
      <c r="K609"/>
      <c r="L609"/>
      <c r="M609"/>
      <c r="N609"/>
      <c r="O609" s="2"/>
      <c r="S609"/>
      <c r="T609"/>
      <c r="U609"/>
      <c r="V609"/>
      <c r="X609"/>
    </row>
    <row r="610" spans="10:24" s="1" customFormat="1" x14ac:dyDescent="0.2">
      <c r="J610"/>
      <c r="K610"/>
      <c r="L610"/>
      <c r="M610"/>
      <c r="N610"/>
      <c r="O610" s="2"/>
      <c r="S610"/>
      <c r="T610"/>
      <c r="U610"/>
      <c r="V610"/>
      <c r="X610"/>
    </row>
    <row r="611" spans="10:24" s="1" customFormat="1" x14ac:dyDescent="0.2">
      <c r="J611"/>
      <c r="K611"/>
      <c r="L611"/>
      <c r="M611"/>
      <c r="N611"/>
      <c r="O611" s="2"/>
      <c r="S611"/>
      <c r="T611"/>
      <c r="U611"/>
      <c r="V611"/>
      <c r="X611"/>
    </row>
    <row r="612" spans="10:24" s="1" customFormat="1" x14ac:dyDescent="0.2">
      <c r="J612"/>
      <c r="K612"/>
      <c r="L612"/>
      <c r="M612"/>
      <c r="N612"/>
      <c r="O612" s="2"/>
      <c r="S612"/>
      <c r="T612"/>
      <c r="U612"/>
      <c r="V612"/>
      <c r="X612"/>
    </row>
    <row r="613" spans="10:24" s="1" customFormat="1" x14ac:dyDescent="0.2">
      <c r="J613"/>
      <c r="K613"/>
      <c r="L613"/>
      <c r="M613"/>
      <c r="N613"/>
      <c r="O613" s="2"/>
      <c r="S613"/>
      <c r="T613"/>
      <c r="U613"/>
      <c r="V613"/>
      <c r="X613"/>
    </row>
    <row r="614" spans="10:24" s="1" customFormat="1" x14ac:dyDescent="0.2">
      <c r="J614"/>
      <c r="K614"/>
      <c r="L614"/>
      <c r="M614"/>
      <c r="N614"/>
      <c r="O614" s="2"/>
      <c r="S614"/>
      <c r="T614"/>
      <c r="U614"/>
      <c r="V614"/>
      <c r="X614"/>
    </row>
    <row r="615" spans="10:24" s="1" customFormat="1" x14ac:dyDescent="0.2">
      <c r="J615"/>
      <c r="K615"/>
      <c r="L615"/>
      <c r="M615"/>
      <c r="N615"/>
      <c r="O615" s="2"/>
      <c r="S615"/>
      <c r="T615"/>
      <c r="U615"/>
      <c r="V615"/>
      <c r="X615"/>
    </row>
    <row r="616" spans="10:24" s="1" customFormat="1" x14ac:dyDescent="0.2">
      <c r="J616"/>
      <c r="K616"/>
      <c r="L616"/>
      <c r="M616"/>
      <c r="N616"/>
      <c r="O616" s="2"/>
      <c r="S616"/>
      <c r="T616"/>
      <c r="U616"/>
      <c r="V616"/>
      <c r="X616"/>
    </row>
    <row r="617" spans="10:24" s="1" customFormat="1" x14ac:dyDescent="0.2">
      <c r="J617"/>
      <c r="K617"/>
      <c r="L617"/>
      <c r="M617"/>
      <c r="N617"/>
      <c r="O617" s="2"/>
      <c r="S617"/>
      <c r="T617"/>
      <c r="U617"/>
      <c r="V617"/>
      <c r="X617"/>
    </row>
    <row r="618" spans="10:24" s="1" customFormat="1" x14ac:dyDescent="0.2">
      <c r="J618"/>
      <c r="K618"/>
      <c r="L618"/>
      <c r="M618"/>
      <c r="N618"/>
      <c r="O618" s="2"/>
      <c r="S618"/>
      <c r="T618"/>
      <c r="U618"/>
      <c r="V618"/>
      <c r="X618"/>
    </row>
    <row r="619" spans="10:24" s="1" customFormat="1" x14ac:dyDescent="0.2">
      <c r="J619"/>
      <c r="K619"/>
      <c r="L619"/>
      <c r="M619"/>
      <c r="N619"/>
      <c r="O619" s="2"/>
      <c r="S619"/>
      <c r="T619"/>
      <c r="U619"/>
      <c r="V619"/>
      <c r="X619"/>
    </row>
    <row r="620" spans="10:24" s="1" customFormat="1" x14ac:dyDescent="0.2">
      <c r="J620"/>
      <c r="K620"/>
      <c r="L620"/>
      <c r="M620"/>
      <c r="N620"/>
      <c r="O620" s="2"/>
      <c r="S620"/>
      <c r="T620"/>
      <c r="U620"/>
      <c r="V620"/>
      <c r="X620"/>
    </row>
    <row r="621" spans="10:24" s="1" customFormat="1" x14ac:dyDescent="0.2">
      <c r="J621"/>
      <c r="K621"/>
      <c r="L621"/>
      <c r="M621"/>
      <c r="N621"/>
      <c r="O621" s="2"/>
      <c r="S621"/>
      <c r="T621"/>
      <c r="U621"/>
      <c r="V621"/>
      <c r="X621"/>
    </row>
    <row r="622" spans="10:24" s="1" customFormat="1" x14ac:dyDescent="0.2">
      <c r="J622"/>
      <c r="K622"/>
      <c r="L622"/>
      <c r="M622"/>
      <c r="N622"/>
      <c r="O622" s="2"/>
      <c r="S622"/>
      <c r="T622"/>
      <c r="U622"/>
      <c r="V622"/>
      <c r="X622"/>
    </row>
    <row r="623" spans="10:24" s="1" customFormat="1" x14ac:dyDescent="0.2">
      <c r="J623"/>
      <c r="K623"/>
      <c r="L623"/>
      <c r="M623"/>
      <c r="N623"/>
      <c r="O623" s="2"/>
      <c r="S623"/>
      <c r="T623"/>
      <c r="U623"/>
      <c r="V623"/>
      <c r="X623"/>
    </row>
    <row r="624" spans="10:24" s="1" customFormat="1" x14ac:dyDescent="0.2">
      <c r="J624"/>
      <c r="K624"/>
      <c r="L624"/>
      <c r="M624"/>
      <c r="N624"/>
      <c r="O624" s="2"/>
      <c r="S624"/>
      <c r="T624"/>
      <c r="U624"/>
      <c r="V624"/>
      <c r="X624"/>
    </row>
    <row r="625" spans="10:24" s="1" customFormat="1" x14ac:dyDescent="0.2">
      <c r="J625"/>
      <c r="K625"/>
      <c r="L625"/>
      <c r="M625"/>
      <c r="N625"/>
      <c r="O625" s="2"/>
      <c r="S625"/>
      <c r="T625"/>
      <c r="U625"/>
      <c r="V625"/>
      <c r="X625"/>
    </row>
    <row r="626" spans="10:24" s="1" customFormat="1" x14ac:dyDescent="0.2">
      <c r="J626"/>
      <c r="K626"/>
      <c r="L626"/>
      <c r="M626"/>
      <c r="N626"/>
      <c r="O626" s="2"/>
      <c r="S626"/>
      <c r="T626"/>
      <c r="U626"/>
      <c r="V626"/>
      <c r="X626"/>
    </row>
    <row r="627" spans="10:24" s="1" customFormat="1" x14ac:dyDescent="0.2">
      <c r="J627"/>
      <c r="K627"/>
      <c r="L627"/>
      <c r="M627"/>
      <c r="N627"/>
      <c r="O627" s="2"/>
      <c r="S627"/>
      <c r="T627"/>
      <c r="U627"/>
      <c r="V627"/>
      <c r="X627"/>
    </row>
    <row r="628" spans="10:24" s="1" customFormat="1" x14ac:dyDescent="0.2">
      <c r="J628"/>
      <c r="K628"/>
      <c r="L628"/>
      <c r="M628"/>
      <c r="N628"/>
      <c r="O628" s="2"/>
      <c r="S628"/>
      <c r="T628"/>
      <c r="U628"/>
      <c r="V628"/>
      <c r="X628"/>
    </row>
    <row r="629" spans="10:24" s="1" customFormat="1" x14ac:dyDescent="0.2">
      <c r="J629"/>
      <c r="K629"/>
      <c r="L629"/>
      <c r="M629"/>
      <c r="N629"/>
      <c r="O629" s="2"/>
      <c r="S629"/>
      <c r="T629"/>
      <c r="U629"/>
      <c r="V629"/>
      <c r="X629"/>
    </row>
    <row r="630" spans="10:24" s="1" customFormat="1" x14ac:dyDescent="0.2">
      <c r="J630"/>
      <c r="K630"/>
      <c r="L630"/>
      <c r="M630"/>
      <c r="N630"/>
      <c r="O630" s="2"/>
      <c r="S630"/>
      <c r="T630"/>
      <c r="U630"/>
      <c r="V630"/>
      <c r="X630"/>
    </row>
    <row r="631" spans="10:24" s="1" customFormat="1" x14ac:dyDescent="0.2">
      <c r="J631"/>
      <c r="K631"/>
      <c r="L631"/>
      <c r="M631"/>
      <c r="N631"/>
      <c r="O631" s="2"/>
      <c r="S631"/>
      <c r="T631"/>
      <c r="U631"/>
      <c r="V631"/>
      <c r="X631"/>
    </row>
    <row r="632" spans="10:24" s="1" customFormat="1" x14ac:dyDescent="0.2">
      <c r="J632"/>
      <c r="K632"/>
      <c r="L632"/>
      <c r="M632"/>
      <c r="N632"/>
      <c r="O632" s="2"/>
      <c r="S632"/>
      <c r="T632"/>
      <c r="U632"/>
      <c r="V632"/>
      <c r="X632"/>
    </row>
    <row r="633" spans="10:24" s="1" customFormat="1" x14ac:dyDescent="0.2">
      <c r="J633"/>
      <c r="K633"/>
      <c r="L633"/>
      <c r="M633"/>
      <c r="N633"/>
      <c r="O633" s="2"/>
      <c r="S633"/>
      <c r="T633"/>
      <c r="U633"/>
      <c r="V633"/>
      <c r="X633"/>
    </row>
    <row r="634" spans="10:24" s="1" customFormat="1" x14ac:dyDescent="0.2">
      <c r="J634"/>
      <c r="K634"/>
      <c r="L634"/>
      <c r="M634"/>
      <c r="N634"/>
      <c r="O634" s="2"/>
      <c r="S634"/>
      <c r="T634"/>
      <c r="U634"/>
      <c r="V634"/>
      <c r="X634"/>
    </row>
    <row r="635" spans="10:24" s="1" customFormat="1" x14ac:dyDescent="0.2">
      <c r="J635"/>
      <c r="K635"/>
      <c r="L635"/>
      <c r="M635"/>
      <c r="N635"/>
      <c r="O635" s="2"/>
      <c r="S635"/>
      <c r="T635"/>
      <c r="U635"/>
      <c r="V635"/>
      <c r="X635"/>
    </row>
    <row r="636" spans="10:24" s="1" customFormat="1" x14ac:dyDescent="0.2">
      <c r="J636"/>
      <c r="K636"/>
      <c r="L636"/>
      <c r="M636"/>
      <c r="N636"/>
      <c r="O636" s="2"/>
      <c r="S636"/>
      <c r="T636"/>
      <c r="U636"/>
      <c r="V636"/>
      <c r="X636"/>
    </row>
    <row r="637" spans="10:24" s="1" customFormat="1" x14ac:dyDescent="0.2">
      <c r="J637"/>
      <c r="K637"/>
      <c r="L637"/>
      <c r="M637"/>
      <c r="N637"/>
      <c r="O637" s="2"/>
      <c r="S637"/>
      <c r="T637"/>
      <c r="U637"/>
      <c r="V637"/>
      <c r="X637"/>
    </row>
    <row r="638" spans="10:24" s="1" customFormat="1" x14ac:dyDescent="0.2">
      <c r="J638"/>
      <c r="K638"/>
      <c r="L638"/>
      <c r="M638"/>
      <c r="N638"/>
      <c r="O638" s="2"/>
      <c r="S638"/>
      <c r="T638"/>
      <c r="U638"/>
      <c r="V638"/>
      <c r="X638"/>
    </row>
    <row r="639" spans="10:24" s="1" customFormat="1" x14ac:dyDescent="0.2">
      <c r="J639"/>
      <c r="K639"/>
      <c r="L639"/>
      <c r="M639"/>
      <c r="N639"/>
      <c r="O639" s="2"/>
      <c r="S639"/>
      <c r="T639"/>
      <c r="U639"/>
      <c r="V639"/>
      <c r="X639"/>
    </row>
    <row r="640" spans="10:24" s="1" customFormat="1" x14ac:dyDescent="0.2">
      <c r="J640"/>
      <c r="K640"/>
      <c r="L640"/>
      <c r="M640"/>
      <c r="N640"/>
      <c r="O640" s="2"/>
      <c r="S640"/>
      <c r="T640"/>
      <c r="U640"/>
      <c r="V640"/>
      <c r="X640"/>
    </row>
    <row r="641" spans="10:24" s="1" customFormat="1" x14ac:dyDescent="0.2">
      <c r="J641"/>
      <c r="K641"/>
      <c r="L641"/>
      <c r="M641"/>
      <c r="N641"/>
      <c r="O641" s="2"/>
      <c r="S641"/>
      <c r="T641"/>
      <c r="U641"/>
      <c r="V641"/>
      <c r="X641"/>
    </row>
    <row r="642" spans="10:24" s="1" customFormat="1" x14ac:dyDescent="0.2">
      <c r="J642"/>
      <c r="K642"/>
      <c r="L642"/>
      <c r="M642"/>
      <c r="N642"/>
      <c r="O642" s="2"/>
      <c r="S642"/>
      <c r="T642"/>
      <c r="U642"/>
      <c r="V642"/>
      <c r="X642"/>
    </row>
    <row r="643" spans="10:24" s="1" customFormat="1" x14ac:dyDescent="0.2">
      <c r="J643"/>
      <c r="K643"/>
      <c r="L643"/>
      <c r="M643"/>
      <c r="N643"/>
      <c r="O643" s="2"/>
      <c r="S643"/>
      <c r="T643"/>
      <c r="U643"/>
      <c r="V643"/>
      <c r="X643"/>
    </row>
    <row r="644" spans="10:24" s="1" customFormat="1" x14ac:dyDescent="0.2">
      <c r="J644"/>
      <c r="K644"/>
      <c r="L644"/>
      <c r="M644"/>
      <c r="N644"/>
      <c r="O644" s="2"/>
      <c r="S644"/>
      <c r="T644"/>
      <c r="U644"/>
      <c r="V644"/>
      <c r="X644"/>
    </row>
    <row r="645" spans="10:24" s="1" customFormat="1" x14ac:dyDescent="0.2">
      <c r="J645"/>
      <c r="K645"/>
      <c r="L645"/>
      <c r="M645"/>
      <c r="N645"/>
      <c r="O645" s="2"/>
      <c r="S645"/>
      <c r="T645"/>
      <c r="U645"/>
      <c r="V645"/>
      <c r="X645"/>
    </row>
    <row r="646" spans="10:24" s="1" customFormat="1" x14ac:dyDescent="0.2">
      <c r="J646"/>
      <c r="K646"/>
      <c r="L646"/>
      <c r="M646"/>
      <c r="N646"/>
      <c r="O646" s="2"/>
      <c r="S646"/>
      <c r="T646"/>
      <c r="U646"/>
      <c r="V646"/>
      <c r="X646"/>
    </row>
    <row r="647" spans="10:24" s="1" customFormat="1" x14ac:dyDescent="0.2">
      <c r="J647"/>
      <c r="K647"/>
      <c r="L647"/>
      <c r="M647"/>
      <c r="N647"/>
      <c r="O647" s="2"/>
      <c r="S647"/>
      <c r="T647"/>
      <c r="U647"/>
      <c r="V647"/>
      <c r="X647"/>
    </row>
    <row r="648" spans="10:24" s="1" customFormat="1" x14ac:dyDescent="0.2">
      <c r="J648"/>
      <c r="K648"/>
      <c r="L648"/>
      <c r="M648"/>
      <c r="N648"/>
      <c r="O648" s="2"/>
      <c r="S648"/>
      <c r="T648"/>
      <c r="U648"/>
      <c r="V648"/>
      <c r="X648"/>
    </row>
    <row r="649" spans="10:24" s="1" customFormat="1" x14ac:dyDescent="0.2">
      <c r="J649"/>
      <c r="K649"/>
      <c r="L649"/>
      <c r="M649"/>
      <c r="N649"/>
      <c r="O649" s="2"/>
      <c r="S649"/>
      <c r="T649"/>
      <c r="U649"/>
      <c r="V649"/>
      <c r="X649"/>
    </row>
    <row r="650" spans="10:24" s="1" customFormat="1" x14ac:dyDescent="0.2">
      <c r="J650"/>
      <c r="K650"/>
      <c r="L650"/>
      <c r="M650"/>
      <c r="N650"/>
      <c r="O650" s="2"/>
      <c r="S650"/>
      <c r="T650"/>
      <c r="U650"/>
      <c r="V650"/>
      <c r="X650"/>
    </row>
    <row r="651" spans="10:24" s="1" customFormat="1" x14ac:dyDescent="0.2">
      <c r="J651"/>
      <c r="K651"/>
      <c r="L651"/>
      <c r="M651"/>
      <c r="N651"/>
      <c r="O651" s="2"/>
      <c r="S651"/>
      <c r="T651"/>
      <c r="U651"/>
      <c r="V651"/>
      <c r="X651"/>
    </row>
    <row r="652" spans="10:24" s="1" customFormat="1" x14ac:dyDescent="0.2">
      <c r="J652"/>
      <c r="K652"/>
      <c r="L652"/>
      <c r="M652"/>
      <c r="N652"/>
      <c r="O652" s="2"/>
      <c r="S652"/>
      <c r="T652"/>
      <c r="U652"/>
      <c r="V652"/>
      <c r="X652"/>
    </row>
    <row r="653" spans="10:24" s="1" customFormat="1" x14ac:dyDescent="0.2">
      <c r="J653"/>
      <c r="K653"/>
      <c r="L653"/>
      <c r="M653"/>
      <c r="N653"/>
      <c r="O653" s="2"/>
      <c r="S653"/>
      <c r="T653"/>
      <c r="U653"/>
      <c r="V653"/>
      <c r="X653"/>
    </row>
    <row r="654" spans="10:24" s="1" customFormat="1" x14ac:dyDescent="0.2">
      <c r="J654"/>
      <c r="K654"/>
      <c r="L654"/>
      <c r="M654"/>
      <c r="N654"/>
      <c r="O654" s="2"/>
      <c r="S654"/>
      <c r="T654"/>
      <c r="U654"/>
      <c r="V654"/>
      <c r="X654"/>
    </row>
    <row r="655" spans="10:24" s="1" customFormat="1" x14ac:dyDescent="0.2">
      <c r="J655"/>
      <c r="K655"/>
      <c r="L655"/>
      <c r="M655"/>
      <c r="N655"/>
      <c r="O655" s="2"/>
      <c r="S655"/>
      <c r="T655"/>
      <c r="U655"/>
      <c r="V655"/>
      <c r="X655"/>
    </row>
    <row r="656" spans="10:24" s="1" customFormat="1" x14ac:dyDescent="0.2">
      <c r="J656"/>
      <c r="K656"/>
      <c r="L656"/>
      <c r="M656"/>
      <c r="N656"/>
      <c r="O656" s="2"/>
      <c r="S656"/>
      <c r="T656"/>
      <c r="U656"/>
      <c r="V656"/>
      <c r="X656"/>
    </row>
    <row r="657" spans="10:24" s="1" customFormat="1" x14ac:dyDescent="0.2">
      <c r="J657"/>
      <c r="K657"/>
      <c r="L657"/>
      <c r="M657"/>
      <c r="N657"/>
      <c r="O657" s="2"/>
      <c r="S657"/>
      <c r="T657"/>
      <c r="U657"/>
      <c r="V657"/>
      <c r="X657"/>
    </row>
    <row r="658" spans="10:24" s="1" customFormat="1" x14ac:dyDescent="0.2">
      <c r="J658"/>
      <c r="K658"/>
      <c r="L658"/>
      <c r="M658"/>
      <c r="N658"/>
      <c r="O658" s="2"/>
      <c r="S658"/>
      <c r="T658"/>
      <c r="U658"/>
      <c r="V658"/>
      <c r="X658"/>
    </row>
    <row r="659" spans="10:24" s="1" customFormat="1" x14ac:dyDescent="0.2">
      <c r="J659"/>
      <c r="K659"/>
      <c r="L659"/>
      <c r="M659"/>
      <c r="N659"/>
      <c r="O659" s="2"/>
      <c r="S659"/>
      <c r="T659"/>
      <c r="U659"/>
      <c r="V659"/>
      <c r="X659"/>
    </row>
    <row r="660" spans="10:24" s="1" customFormat="1" x14ac:dyDescent="0.2">
      <c r="J660"/>
      <c r="K660"/>
      <c r="L660"/>
      <c r="M660"/>
      <c r="N660"/>
      <c r="O660" s="2"/>
      <c r="S660"/>
      <c r="T660"/>
      <c r="U660"/>
      <c r="V660"/>
      <c r="X660"/>
    </row>
    <row r="661" spans="10:24" s="1" customFormat="1" x14ac:dyDescent="0.2">
      <c r="J661"/>
      <c r="K661"/>
      <c r="L661"/>
      <c r="M661"/>
      <c r="N661"/>
      <c r="O661" s="2"/>
      <c r="S661"/>
      <c r="T661"/>
      <c r="U661"/>
      <c r="V661"/>
      <c r="X661"/>
    </row>
    <row r="662" spans="10:24" s="1" customFormat="1" x14ac:dyDescent="0.2">
      <c r="J662"/>
      <c r="K662"/>
      <c r="L662"/>
      <c r="M662"/>
      <c r="N662"/>
      <c r="O662" s="2"/>
      <c r="S662"/>
      <c r="T662"/>
      <c r="U662"/>
      <c r="V662"/>
      <c r="X662"/>
    </row>
    <row r="663" spans="10:24" s="1" customFormat="1" x14ac:dyDescent="0.2">
      <c r="J663"/>
      <c r="K663"/>
      <c r="L663"/>
      <c r="M663"/>
      <c r="N663"/>
      <c r="O663" s="2"/>
      <c r="S663"/>
      <c r="T663"/>
      <c r="U663"/>
      <c r="V663"/>
      <c r="X663"/>
    </row>
    <row r="664" spans="10:24" s="1" customFormat="1" x14ac:dyDescent="0.2">
      <c r="J664"/>
      <c r="K664"/>
      <c r="L664"/>
      <c r="M664"/>
      <c r="N664"/>
      <c r="O664" s="2"/>
      <c r="S664"/>
      <c r="T664"/>
      <c r="U664"/>
      <c r="V664"/>
      <c r="X664"/>
    </row>
    <row r="665" spans="10:24" s="1" customFormat="1" x14ac:dyDescent="0.2">
      <c r="J665"/>
      <c r="K665"/>
      <c r="L665"/>
      <c r="M665"/>
      <c r="N665"/>
      <c r="O665" s="2"/>
      <c r="S665"/>
      <c r="T665"/>
      <c r="U665"/>
      <c r="V665"/>
      <c r="X665"/>
    </row>
    <row r="666" spans="10:24" s="1" customFormat="1" x14ac:dyDescent="0.2">
      <c r="J666"/>
      <c r="K666"/>
      <c r="L666"/>
      <c r="M666"/>
      <c r="N666"/>
      <c r="O666" s="2"/>
      <c r="S666"/>
      <c r="T666"/>
      <c r="U666"/>
      <c r="V666"/>
      <c r="X666"/>
    </row>
    <row r="667" spans="10:24" s="1" customFormat="1" x14ac:dyDescent="0.2">
      <c r="J667"/>
      <c r="K667"/>
      <c r="L667"/>
      <c r="M667"/>
      <c r="N667"/>
      <c r="O667" s="2"/>
      <c r="S667"/>
      <c r="T667"/>
      <c r="U667"/>
      <c r="V667"/>
      <c r="X667"/>
    </row>
    <row r="668" spans="10:24" s="1" customFormat="1" x14ac:dyDescent="0.2">
      <c r="J668"/>
      <c r="K668"/>
      <c r="L668"/>
      <c r="M668"/>
      <c r="N668"/>
      <c r="O668" s="2"/>
      <c r="S668"/>
      <c r="T668"/>
      <c r="U668"/>
      <c r="V668"/>
      <c r="X668"/>
    </row>
    <row r="669" spans="10:24" s="1" customFormat="1" x14ac:dyDescent="0.2">
      <c r="J669"/>
      <c r="K669"/>
      <c r="L669"/>
      <c r="M669"/>
      <c r="N669"/>
      <c r="O669" s="2"/>
      <c r="S669"/>
      <c r="T669"/>
      <c r="U669"/>
      <c r="V669"/>
      <c r="X669"/>
    </row>
    <row r="670" spans="10:24" s="1" customFormat="1" x14ac:dyDescent="0.2">
      <c r="J670"/>
      <c r="K670"/>
      <c r="L670"/>
      <c r="M670"/>
      <c r="N670"/>
      <c r="O670" s="2"/>
      <c r="S670"/>
      <c r="T670"/>
      <c r="U670"/>
      <c r="V670"/>
      <c r="X670"/>
    </row>
    <row r="671" spans="10:24" s="1" customFormat="1" x14ac:dyDescent="0.2">
      <c r="J671"/>
      <c r="K671"/>
      <c r="L671"/>
      <c r="M671"/>
      <c r="N671"/>
      <c r="O671" s="2"/>
      <c r="S671"/>
      <c r="T671"/>
      <c r="U671"/>
      <c r="V671"/>
      <c r="X671"/>
    </row>
    <row r="672" spans="10:24" s="1" customFormat="1" x14ac:dyDescent="0.2">
      <c r="J672"/>
      <c r="K672"/>
      <c r="L672"/>
      <c r="M672"/>
      <c r="N672"/>
      <c r="O672" s="2"/>
      <c r="S672"/>
      <c r="T672"/>
      <c r="U672"/>
      <c r="V672"/>
      <c r="X672"/>
    </row>
    <row r="673" spans="10:24" s="1" customFormat="1" x14ac:dyDescent="0.2">
      <c r="J673"/>
      <c r="K673"/>
      <c r="L673"/>
      <c r="M673"/>
      <c r="N673"/>
      <c r="O673" s="2"/>
      <c r="S673"/>
      <c r="T673"/>
      <c r="U673"/>
      <c r="V673"/>
      <c r="X673"/>
    </row>
    <row r="674" spans="10:24" s="1" customFormat="1" x14ac:dyDescent="0.2">
      <c r="J674"/>
      <c r="K674"/>
      <c r="L674"/>
      <c r="M674"/>
      <c r="N674"/>
      <c r="O674" s="2"/>
      <c r="S674"/>
      <c r="T674"/>
      <c r="U674"/>
      <c r="V674"/>
      <c r="X674"/>
    </row>
    <row r="675" spans="10:24" s="1" customFormat="1" x14ac:dyDescent="0.2">
      <c r="J675"/>
      <c r="K675"/>
      <c r="L675"/>
      <c r="M675"/>
      <c r="N675"/>
      <c r="O675" s="2"/>
      <c r="S675"/>
      <c r="T675"/>
      <c r="U675"/>
      <c r="V675"/>
      <c r="X675"/>
    </row>
    <row r="676" spans="10:24" s="1" customFormat="1" x14ac:dyDescent="0.2">
      <c r="J676"/>
      <c r="K676"/>
      <c r="L676"/>
      <c r="M676"/>
      <c r="N676"/>
      <c r="O676" s="2"/>
      <c r="S676"/>
      <c r="T676"/>
      <c r="U676"/>
      <c r="V676"/>
      <c r="X676"/>
    </row>
    <row r="677" spans="10:24" s="1" customFormat="1" x14ac:dyDescent="0.2">
      <c r="J677"/>
      <c r="K677"/>
      <c r="L677"/>
      <c r="M677"/>
      <c r="N677"/>
      <c r="O677" s="2"/>
      <c r="S677"/>
      <c r="T677"/>
      <c r="U677"/>
      <c r="V677"/>
      <c r="X677"/>
    </row>
    <row r="678" spans="10:24" s="1" customFormat="1" x14ac:dyDescent="0.2">
      <c r="J678"/>
      <c r="K678"/>
      <c r="L678"/>
      <c r="M678"/>
      <c r="N678"/>
      <c r="O678" s="2"/>
      <c r="S678"/>
      <c r="T678"/>
      <c r="U678"/>
      <c r="V678"/>
      <c r="X678"/>
    </row>
    <row r="679" spans="10:24" s="1" customFormat="1" x14ac:dyDescent="0.2">
      <c r="J679"/>
      <c r="K679"/>
      <c r="L679"/>
      <c r="M679"/>
      <c r="N679"/>
      <c r="O679" s="2"/>
      <c r="S679"/>
      <c r="T679"/>
      <c r="U679"/>
      <c r="V679"/>
      <c r="X679"/>
    </row>
    <row r="680" spans="10:24" s="1" customFormat="1" x14ac:dyDescent="0.2">
      <c r="J680"/>
      <c r="K680"/>
      <c r="L680"/>
      <c r="M680"/>
      <c r="N680"/>
      <c r="O680" s="2"/>
      <c r="S680"/>
      <c r="T680"/>
      <c r="U680"/>
      <c r="V680"/>
      <c r="X680"/>
    </row>
    <row r="681" spans="10:24" s="1" customFormat="1" x14ac:dyDescent="0.2">
      <c r="J681"/>
      <c r="K681"/>
      <c r="L681"/>
      <c r="M681"/>
      <c r="N681"/>
      <c r="O681" s="2"/>
      <c r="S681"/>
      <c r="T681"/>
      <c r="U681"/>
      <c r="V681"/>
      <c r="X681"/>
    </row>
    <row r="682" spans="10:24" s="1" customFormat="1" x14ac:dyDescent="0.2">
      <c r="J682"/>
      <c r="K682"/>
      <c r="L682"/>
      <c r="M682"/>
      <c r="N682"/>
      <c r="O682" s="2"/>
      <c r="S682"/>
      <c r="T682"/>
      <c r="U682"/>
      <c r="V682"/>
      <c r="X682"/>
    </row>
    <row r="683" spans="10:24" s="1" customFormat="1" x14ac:dyDescent="0.2">
      <c r="J683"/>
      <c r="K683"/>
      <c r="L683"/>
      <c r="M683"/>
      <c r="N683"/>
      <c r="O683" s="2"/>
      <c r="S683"/>
      <c r="T683"/>
      <c r="U683"/>
      <c r="V683"/>
      <c r="X683"/>
    </row>
    <row r="684" spans="10:24" s="1" customFormat="1" x14ac:dyDescent="0.2">
      <c r="J684"/>
      <c r="K684"/>
      <c r="L684"/>
      <c r="M684"/>
      <c r="N684"/>
      <c r="O684" s="2"/>
      <c r="S684"/>
      <c r="T684"/>
      <c r="U684"/>
      <c r="V684"/>
      <c r="X684"/>
    </row>
    <row r="685" spans="10:24" s="1" customFormat="1" x14ac:dyDescent="0.2">
      <c r="J685"/>
      <c r="K685"/>
      <c r="L685"/>
      <c r="M685"/>
      <c r="N685"/>
      <c r="O685" s="2"/>
      <c r="S685"/>
      <c r="T685"/>
      <c r="U685"/>
      <c r="V685"/>
      <c r="X685"/>
    </row>
    <row r="686" spans="10:24" s="1" customFormat="1" x14ac:dyDescent="0.2">
      <c r="J686"/>
      <c r="K686"/>
      <c r="L686"/>
      <c r="M686"/>
      <c r="N686"/>
      <c r="O686" s="2"/>
      <c r="S686"/>
      <c r="T686"/>
      <c r="U686"/>
      <c r="V686"/>
      <c r="X686"/>
    </row>
    <row r="687" spans="10:24" s="1" customFormat="1" x14ac:dyDescent="0.2">
      <c r="J687"/>
      <c r="K687"/>
      <c r="L687"/>
      <c r="M687"/>
      <c r="N687"/>
      <c r="O687" s="2"/>
      <c r="S687"/>
      <c r="T687"/>
      <c r="U687"/>
      <c r="V687"/>
      <c r="X687"/>
    </row>
    <row r="688" spans="10:24" s="1" customFormat="1" x14ac:dyDescent="0.2">
      <c r="J688"/>
      <c r="K688"/>
      <c r="L688"/>
      <c r="M688"/>
      <c r="N688"/>
      <c r="O688" s="2"/>
      <c r="S688"/>
      <c r="T688"/>
      <c r="U688"/>
      <c r="V688"/>
      <c r="X688"/>
    </row>
    <row r="689" spans="10:24" s="1" customFormat="1" x14ac:dyDescent="0.2">
      <c r="J689"/>
      <c r="K689"/>
      <c r="L689"/>
      <c r="M689"/>
      <c r="N689"/>
      <c r="O689" s="2"/>
      <c r="S689"/>
      <c r="T689"/>
      <c r="U689"/>
      <c r="V689"/>
      <c r="X689"/>
    </row>
    <row r="690" spans="10:24" s="1" customFormat="1" x14ac:dyDescent="0.2">
      <c r="J690"/>
      <c r="K690"/>
      <c r="L690"/>
      <c r="M690"/>
      <c r="N690"/>
      <c r="O690" s="2"/>
      <c r="S690"/>
      <c r="T690"/>
      <c r="U690"/>
      <c r="V690"/>
      <c r="X690"/>
    </row>
    <row r="691" spans="10:24" s="1" customFormat="1" x14ac:dyDescent="0.2">
      <c r="J691"/>
      <c r="K691"/>
      <c r="L691"/>
      <c r="M691"/>
      <c r="N691"/>
      <c r="O691" s="2"/>
      <c r="S691"/>
      <c r="T691"/>
      <c r="U691"/>
      <c r="V691"/>
      <c r="X691"/>
    </row>
    <row r="692" spans="10:24" s="1" customFormat="1" x14ac:dyDescent="0.2">
      <c r="J692"/>
      <c r="K692"/>
      <c r="L692"/>
      <c r="M692"/>
      <c r="N692"/>
      <c r="O692" s="2"/>
      <c r="S692"/>
      <c r="T692"/>
      <c r="U692"/>
      <c r="V692"/>
      <c r="X692"/>
    </row>
    <row r="693" spans="10:24" s="1" customFormat="1" x14ac:dyDescent="0.2">
      <c r="J693"/>
      <c r="K693"/>
      <c r="L693"/>
      <c r="M693"/>
      <c r="N693"/>
      <c r="O693" s="2"/>
      <c r="S693"/>
      <c r="T693"/>
      <c r="U693"/>
      <c r="V693"/>
      <c r="X693"/>
    </row>
    <row r="694" spans="10:24" s="1" customFormat="1" x14ac:dyDescent="0.2">
      <c r="J694"/>
      <c r="K694"/>
      <c r="L694"/>
      <c r="M694"/>
      <c r="N694"/>
      <c r="O694" s="2"/>
      <c r="S694"/>
      <c r="T694"/>
      <c r="U694"/>
      <c r="V694"/>
      <c r="X694"/>
    </row>
    <row r="695" spans="10:24" s="1" customFormat="1" x14ac:dyDescent="0.2">
      <c r="J695"/>
      <c r="K695"/>
      <c r="L695"/>
      <c r="M695"/>
      <c r="N695"/>
      <c r="O695" s="2"/>
      <c r="S695"/>
      <c r="T695"/>
      <c r="U695"/>
      <c r="V695"/>
      <c r="X695"/>
    </row>
    <row r="696" spans="10:24" s="1" customFormat="1" x14ac:dyDescent="0.2">
      <c r="J696"/>
      <c r="K696"/>
      <c r="L696"/>
      <c r="M696"/>
      <c r="N696"/>
      <c r="O696" s="2"/>
      <c r="S696"/>
      <c r="T696"/>
      <c r="U696"/>
      <c r="V696"/>
      <c r="X696"/>
    </row>
    <row r="697" spans="10:24" s="1" customFormat="1" x14ac:dyDescent="0.2">
      <c r="J697"/>
      <c r="K697"/>
      <c r="L697"/>
      <c r="M697"/>
      <c r="N697"/>
      <c r="O697" s="2"/>
      <c r="S697"/>
      <c r="T697"/>
      <c r="U697"/>
      <c r="V697"/>
      <c r="X697"/>
    </row>
    <row r="698" spans="10:24" s="1" customFormat="1" x14ac:dyDescent="0.2">
      <c r="J698"/>
      <c r="K698"/>
      <c r="L698"/>
      <c r="M698"/>
      <c r="N698"/>
      <c r="O698" s="2"/>
      <c r="S698"/>
      <c r="T698"/>
      <c r="U698"/>
      <c r="V698"/>
      <c r="X698"/>
    </row>
    <row r="699" spans="10:24" s="1" customFormat="1" x14ac:dyDescent="0.2">
      <c r="J699"/>
      <c r="K699"/>
      <c r="L699"/>
      <c r="M699"/>
      <c r="N699"/>
      <c r="O699" s="2"/>
      <c r="S699"/>
      <c r="T699"/>
      <c r="U699"/>
      <c r="V699"/>
      <c r="X699"/>
    </row>
    <row r="700" spans="10:24" s="1" customFormat="1" x14ac:dyDescent="0.2">
      <c r="J700"/>
      <c r="K700"/>
      <c r="L700"/>
      <c r="M700"/>
      <c r="N700"/>
      <c r="O700" s="2"/>
      <c r="S700"/>
      <c r="T700"/>
      <c r="U700"/>
      <c r="V700"/>
      <c r="X700"/>
    </row>
    <row r="701" spans="10:24" s="1" customFormat="1" x14ac:dyDescent="0.2">
      <c r="J701"/>
      <c r="K701"/>
      <c r="L701"/>
      <c r="M701"/>
      <c r="N701"/>
      <c r="O701" s="2"/>
      <c r="S701"/>
      <c r="T701"/>
      <c r="U701"/>
      <c r="V701"/>
      <c r="X701"/>
    </row>
    <row r="702" spans="10:24" s="1" customFormat="1" x14ac:dyDescent="0.2">
      <c r="J702"/>
      <c r="K702"/>
      <c r="L702"/>
      <c r="M702"/>
      <c r="N702"/>
      <c r="O702" s="2"/>
      <c r="S702"/>
      <c r="T702"/>
      <c r="U702"/>
      <c r="V702"/>
      <c r="X702"/>
    </row>
    <row r="703" spans="10:24" s="1" customFormat="1" x14ac:dyDescent="0.2">
      <c r="J703"/>
      <c r="K703"/>
      <c r="L703"/>
      <c r="M703"/>
      <c r="N703"/>
      <c r="O703" s="2"/>
      <c r="S703"/>
      <c r="T703"/>
      <c r="U703"/>
      <c r="V703"/>
      <c r="X703"/>
    </row>
    <row r="704" spans="10:24" s="1" customFormat="1" x14ac:dyDescent="0.2">
      <c r="J704"/>
      <c r="K704"/>
      <c r="L704"/>
      <c r="M704"/>
      <c r="N704"/>
      <c r="O704" s="2"/>
      <c r="S704"/>
      <c r="T704"/>
      <c r="U704"/>
      <c r="V704"/>
      <c r="X704"/>
    </row>
    <row r="705" spans="10:24" s="1" customFormat="1" x14ac:dyDescent="0.2">
      <c r="J705"/>
      <c r="K705"/>
      <c r="L705"/>
      <c r="M705"/>
      <c r="N705"/>
      <c r="O705" s="2"/>
      <c r="S705"/>
      <c r="T705"/>
      <c r="U705"/>
      <c r="V705"/>
      <c r="X705"/>
    </row>
    <row r="706" spans="10:24" s="1" customFormat="1" x14ac:dyDescent="0.2">
      <c r="J706"/>
      <c r="K706"/>
      <c r="L706"/>
      <c r="M706"/>
      <c r="N706"/>
      <c r="O706" s="2"/>
      <c r="S706"/>
      <c r="T706"/>
      <c r="U706"/>
      <c r="V706"/>
      <c r="X706"/>
    </row>
    <row r="707" spans="10:24" s="1" customFormat="1" x14ac:dyDescent="0.2">
      <c r="J707"/>
      <c r="K707"/>
      <c r="L707"/>
      <c r="M707"/>
      <c r="N707"/>
      <c r="O707" s="2"/>
      <c r="S707"/>
      <c r="T707"/>
      <c r="U707"/>
      <c r="V707"/>
      <c r="X707"/>
    </row>
    <row r="708" spans="10:24" s="1" customFormat="1" x14ac:dyDescent="0.2">
      <c r="J708"/>
      <c r="K708"/>
      <c r="L708"/>
      <c r="M708"/>
      <c r="N708"/>
      <c r="O708" s="2"/>
      <c r="S708"/>
      <c r="T708"/>
      <c r="U708"/>
      <c r="V708"/>
      <c r="X708"/>
    </row>
    <row r="709" spans="10:24" s="1" customFormat="1" x14ac:dyDescent="0.2">
      <c r="J709"/>
      <c r="K709"/>
      <c r="L709"/>
      <c r="M709"/>
      <c r="N709"/>
      <c r="O709" s="2"/>
      <c r="S709"/>
      <c r="T709"/>
      <c r="U709"/>
      <c r="V709"/>
      <c r="X709"/>
    </row>
    <row r="710" spans="10:24" s="1" customFormat="1" x14ac:dyDescent="0.2">
      <c r="J710"/>
      <c r="K710"/>
      <c r="L710"/>
      <c r="M710"/>
      <c r="N710"/>
      <c r="O710" s="2"/>
      <c r="S710"/>
      <c r="T710"/>
      <c r="U710"/>
      <c r="V710"/>
      <c r="X710"/>
    </row>
    <row r="711" spans="10:24" s="1" customFormat="1" x14ac:dyDescent="0.2">
      <c r="J711"/>
      <c r="K711"/>
      <c r="L711"/>
      <c r="M711"/>
      <c r="N711"/>
      <c r="O711" s="2"/>
      <c r="S711"/>
      <c r="T711"/>
      <c r="U711"/>
      <c r="V711"/>
      <c r="X711"/>
    </row>
    <row r="712" spans="10:24" s="1" customFormat="1" x14ac:dyDescent="0.2">
      <c r="J712"/>
      <c r="K712"/>
      <c r="L712"/>
      <c r="M712"/>
      <c r="N712"/>
      <c r="O712" s="2"/>
      <c r="S712"/>
      <c r="T712"/>
      <c r="U712"/>
      <c r="V712"/>
      <c r="X712"/>
    </row>
    <row r="713" spans="10:24" s="1" customFormat="1" x14ac:dyDescent="0.2">
      <c r="J713"/>
      <c r="K713"/>
      <c r="L713"/>
      <c r="M713"/>
      <c r="N713"/>
      <c r="O713" s="2"/>
      <c r="S713"/>
      <c r="T713"/>
      <c r="U713"/>
      <c r="V713"/>
      <c r="X713"/>
    </row>
    <row r="714" spans="10:24" s="1" customFormat="1" x14ac:dyDescent="0.2">
      <c r="J714"/>
      <c r="K714"/>
      <c r="L714"/>
      <c r="M714"/>
      <c r="N714"/>
      <c r="O714" s="2"/>
      <c r="S714"/>
      <c r="T714"/>
      <c r="U714"/>
      <c r="V714"/>
      <c r="X714"/>
    </row>
    <row r="715" spans="10:24" s="1" customFormat="1" x14ac:dyDescent="0.2">
      <c r="J715"/>
      <c r="K715"/>
      <c r="L715"/>
      <c r="M715"/>
      <c r="N715"/>
      <c r="O715" s="2"/>
      <c r="S715"/>
      <c r="T715"/>
      <c r="U715"/>
      <c r="V715"/>
      <c r="X715"/>
    </row>
    <row r="716" spans="10:24" s="1" customFormat="1" x14ac:dyDescent="0.2">
      <c r="J716"/>
      <c r="K716"/>
      <c r="L716"/>
      <c r="M716"/>
      <c r="N716"/>
      <c r="O716" s="2"/>
      <c r="S716"/>
      <c r="T716"/>
      <c r="U716"/>
      <c r="V716"/>
      <c r="X716"/>
    </row>
    <row r="717" spans="10:24" s="1" customFormat="1" x14ac:dyDescent="0.2">
      <c r="J717"/>
      <c r="K717"/>
      <c r="L717"/>
      <c r="M717"/>
      <c r="N717"/>
      <c r="O717" s="2"/>
      <c r="S717"/>
      <c r="T717"/>
      <c r="U717"/>
      <c r="V717"/>
      <c r="X717"/>
    </row>
    <row r="718" spans="10:24" s="1" customFormat="1" x14ac:dyDescent="0.2">
      <c r="J718"/>
      <c r="K718"/>
      <c r="L718"/>
      <c r="M718"/>
      <c r="N718"/>
      <c r="O718" s="2"/>
      <c r="S718"/>
      <c r="T718"/>
      <c r="U718"/>
      <c r="V718"/>
      <c r="X718"/>
    </row>
    <row r="719" spans="10:24" s="1" customFormat="1" x14ac:dyDescent="0.2">
      <c r="J719"/>
      <c r="K719"/>
      <c r="L719"/>
      <c r="M719"/>
      <c r="N719"/>
      <c r="O719" s="2"/>
      <c r="S719"/>
      <c r="T719"/>
      <c r="U719"/>
      <c r="V719"/>
      <c r="X719"/>
    </row>
    <row r="720" spans="10:24" s="1" customFormat="1" x14ac:dyDescent="0.2">
      <c r="J720"/>
      <c r="K720"/>
      <c r="L720"/>
      <c r="M720"/>
      <c r="N720"/>
      <c r="O720" s="2"/>
      <c r="S720"/>
      <c r="T720"/>
      <c r="U720"/>
      <c r="V720"/>
      <c r="X720"/>
    </row>
    <row r="721" spans="10:24" s="1" customFormat="1" x14ac:dyDescent="0.2">
      <c r="J721"/>
      <c r="K721"/>
      <c r="L721"/>
      <c r="M721"/>
      <c r="N721"/>
      <c r="O721" s="2"/>
      <c r="S721"/>
      <c r="T721"/>
      <c r="U721"/>
      <c r="V721"/>
      <c r="X721"/>
    </row>
    <row r="722" spans="10:24" s="1" customFormat="1" x14ac:dyDescent="0.2">
      <c r="J722"/>
      <c r="K722"/>
      <c r="L722"/>
      <c r="M722"/>
      <c r="N722"/>
      <c r="O722" s="2"/>
      <c r="S722"/>
      <c r="T722"/>
      <c r="U722"/>
      <c r="V722"/>
      <c r="X722"/>
    </row>
    <row r="723" spans="10:24" s="1" customFormat="1" x14ac:dyDescent="0.2">
      <c r="J723"/>
      <c r="K723"/>
      <c r="L723"/>
      <c r="M723"/>
      <c r="N723"/>
      <c r="O723" s="2"/>
      <c r="S723"/>
      <c r="T723"/>
      <c r="U723"/>
      <c r="V723"/>
      <c r="X723"/>
    </row>
    <row r="724" spans="10:24" s="1" customFormat="1" x14ac:dyDescent="0.2">
      <c r="J724"/>
      <c r="K724"/>
      <c r="L724"/>
      <c r="M724"/>
      <c r="N724"/>
      <c r="O724" s="2"/>
      <c r="S724"/>
      <c r="T724"/>
      <c r="U724"/>
      <c r="V724"/>
      <c r="X724"/>
    </row>
    <row r="725" spans="10:24" s="1" customFormat="1" x14ac:dyDescent="0.2">
      <c r="J725"/>
      <c r="K725"/>
      <c r="L725"/>
      <c r="M725"/>
      <c r="N725"/>
      <c r="O725" s="2"/>
      <c r="S725"/>
      <c r="T725"/>
      <c r="U725"/>
      <c r="V725"/>
      <c r="X725"/>
    </row>
    <row r="726" spans="10:24" s="1" customFormat="1" x14ac:dyDescent="0.2">
      <c r="J726"/>
      <c r="K726"/>
      <c r="L726"/>
      <c r="M726"/>
      <c r="N726"/>
      <c r="O726" s="2"/>
      <c r="S726"/>
      <c r="T726"/>
      <c r="U726"/>
      <c r="V726"/>
      <c r="X726"/>
    </row>
    <row r="727" spans="10:24" s="1" customFormat="1" x14ac:dyDescent="0.2">
      <c r="J727"/>
      <c r="K727"/>
      <c r="L727"/>
      <c r="M727"/>
      <c r="N727"/>
      <c r="O727" s="2"/>
      <c r="S727"/>
      <c r="T727"/>
      <c r="U727"/>
      <c r="V727"/>
      <c r="X727"/>
    </row>
    <row r="728" spans="10:24" s="1" customFormat="1" x14ac:dyDescent="0.2">
      <c r="J728"/>
      <c r="K728"/>
      <c r="L728"/>
      <c r="M728"/>
      <c r="N728"/>
      <c r="O728" s="2"/>
      <c r="S728"/>
      <c r="T728"/>
      <c r="U728"/>
      <c r="V728"/>
      <c r="X728"/>
    </row>
    <row r="729" spans="10:24" s="1" customFormat="1" x14ac:dyDescent="0.2">
      <c r="J729"/>
      <c r="K729"/>
      <c r="L729"/>
      <c r="M729"/>
      <c r="N729"/>
      <c r="O729" s="2"/>
      <c r="S729"/>
      <c r="T729"/>
      <c r="U729"/>
      <c r="V729"/>
      <c r="X729"/>
    </row>
    <row r="730" spans="10:24" s="1" customFormat="1" x14ac:dyDescent="0.2">
      <c r="J730"/>
      <c r="K730"/>
      <c r="L730"/>
      <c r="M730"/>
      <c r="N730"/>
      <c r="O730" s="2"/>
      <c r="S730"/>
      <c r="T730"/>
      <c r="U730"/>
      <c r="V730"/>
      <c r="X730"/>
    </row>
    <row r="731" spans="10:24" s="1" customFormat="1" x14ac:dyDescent="0.2">
      <c r="J731"/>
      <c r="K731"/>
      <c r="L731"/>
      <c r="M731"/>
      <c r="N731"/>
      <c r="O731" s="2"/>
      <c r="S731"/>
      <c r="T731"/>
      <c r="U731"/>
      <c r="V731"/>
      <c r="X731"/>
    </row>
    <row r="732" spans="10:24" s="1" customFormat="1" x14ac:dyDescent="0.2">
      <c r="J732"/>
      <c r="K732"/>
      <c r="L732"/>
      <c r="M732"/>
      <c r="N732"/>
      <c r="O732" s="2"/>
      <c r="S732"/>
      <c r="T732"/>
      <c r="U732"/>
      <c r="V732"/>
      <c r="X732"/>
    </row>
    <row r="733" spans="10:24" s="1" customFormat="1" x14ac:dyDescent="0.2">
      <c r="J733"/>
      <c r="K733"/>
      <c r="L733"/>
      <c r="M733"/>
      <c r="N733"/>
      <c r="O733" s="2"/>
      <c r="S733"/>
      <c r="T733"/>
      <c r="U733"/>
      <c r="V733"/>
      <c r="X733"/>
    </row>
    <row r="734" spans="10:24" s="1" customFormat="1" x14ac:dyDescent="0.2">
      <c r="J734"/>
      <c r="K734"/>
      <c r="L734"/>
      <c r="M734"/>
      <c r="N734"/>
      <c r="O734" s="2"/>
      <c r="S734"/>
      <c r="T734"/>
      <c r="U734"/>
      <c r="V734"/>
      <c r="X734"/>
    </row>
    <row r="735" spans="10:24" s="1" customFormat="1" x14ac:dyDescent="0.2">
      <c r="J735"/>
      <c r="K735"/>
      <c r="L735"/>
      <c r="M735"/>
      <c r="N735"/>
      <c r="O735" s="2"/>
      <c r="S735"/>
      <c r="T735"/>
      <c r="U735"/>
      <c r="V735"/>
      <c r="X735"/>
    </row>
  </sheetData>
  <mergeCells count="170">
    <mergeCell ref="E35:E36"/>
    <mergeCell ref="L35:L36"/>
    <mergeCell ref="B35:B36"/>
    <mergeCell ref="J35:J36"/>
    <mergeCell ref="K35:K36"/>
    <mergeCell ref="R35:R36"/>
    <mergeCell ref="S35:S36"/>
    <mergeCell ref="T35:T36"/>
    <mergeCell ref="W31:W32"/>
    <mergeCell ref="J31:J32"/>
    <mergeCell ref="K31:K32"/>
    <mergeCell ref="L31:L32"/>
    <mergeCell ref="R31:R32"/>
    <mergeCell ref="S31:S32"/>
    <mergeCell ref="T31:T32"/>
    <mergeCell ref="V35:V36"/>
    <mergeCell ref="W35:W36"/>
    <mergeCell ref="W15:W18"/>
    <mergeCell ref="L15:L18"/>
    <mergeCell ref="J15:J18"/>
    <mergeCell ref="K15:K18"/>
    <mergeCell ref="P15:P16"/>
    <mergeCell ref="P27:P28"/>
    <mergeCell ref="S27:S28"/>
    <mergeCell ref="T27:T28"/>
    <mergeCell ref="V27:V28"/>
    <mergeCell ref="W25:W26"/>
    <mergeCell ref="M27:M28"/>
    <mergeCell ref="T25:T26"/>
    <mergeCell ref="K9:K10"/>
    <mergeCell ref="R9:R10"/>
    <mergeCell ref="H15:H16"/>
    <mergeCell ref="I15:I16"/>
    <mergeCell ref="F27:F28"/>
    <mergeCell ref="R15:R18"/>
    <mergeCell ref="S15:S18"/>
    <mergeCell ref="T15:T18"/>
    <mergeCell ref="S25:S26"/>
    <mergeCell ref="L27:L28"/>
    <mergeCell ref="K27:K28"/>
    <mergeCell ref="J27:J28"/>
    <mergeCell ref="T13:T14"/>
    <mergeCell ref="I27:I28"/>
    <mergeCell ref="H27:H28"/>
    <mergeCell ref="X8:AD8"/>
    <mergeCell ref="X9:AD9"/>
    <mergeCell ref="X4:AD4"/>
    <mergeCell ref="X5:AD5"/>
    <mergeCell ref="B2:X2"/>
    <mergeCell ref="X3:AD3"/>
    <mergeCell ref="B6:B7"/>
    <mergeCell ref="E6:E7"/>
    <mergeCell ref="L6:L7"/>
    <mergeCell ref="K6:K7"/>
    <mergeCell ref="J6:J7"/>
    <mergeCell ref="R6:R7"/>
    <mergeCell ref="S6:S7"/>
    <mergeCell ref="T6:T7"/>
    <mergeCell ref="V6:V7"/>
    <mergeCell ref="W6:W7"/>
    <mergeCell ref="S9:S10"/>
    <mergeCell ref="T9:T10"/>
    <mergeCell ref="V9:V10"/>
    <mergeCell ref="W9:W10"/>
    <mergeCell ref="B9:B10"/>
    <mergeCell ref="E9:E10"/>
    <mergeCell ref="L9:L10"/>
    <mergeCell ref="J9:J10"/>
    <mergeCell ref="X19:AD19"/>
    <mergeCell ref="X17:AD17"/>
    <mergeCell ref="X18:AD18"/>
    <mergeCell ref="X12:AD12"/>
    <mergeCell ref="X13:AD13"/>
    <mergeCell ref="X14:AD14"/>
    <mergeCell ref="X10:AD10"/>
    <mergeCell ref="X11:AD11"/>
    <mergeCell ref="X15:AD16"/>
    <mergeCell ref="X29:AD29"/>
    <mergeCell ref="X30:AD30"/>
    <mergeCell ref="X31:AD31"/>
    <mergeCell ref="X22:AD22"/>
    <mergeCell ref="X23:AD23"/>
    <mergeCell ref="X24:AD24"/>
    <mergeCell ref="X25:AD25"/>
    <mergeCell ref="X26:AD26"/>
    <mergeCell ref="X27:AD28"/>
    <mergeCell ref="X38:AD38"/>
    <mergeCell ref="X39:AD39"/>
    <mergeCell ref="X40:AD40"/>
    <mergeCell ref="X41:AD41"/>
    <mergeCell ref="X42:AD42"/>
    <mergeCell ref="X43:AD43"/>
    <mergeCell ref="X32:AD32"/>
    <mergeCell ref="X33:AD33"/>
    <mergeCell ref="X34:AD34"/>
    <mergeCell ref="X35:AD35"/>
    <mergeCell ref="X36:AD36"/>
    <mergeCell ref="X37:AD37"/>
    <mergeCell ref="E63:F63"/>
    <mergeCell ref="E64:F64"/>
    <mergeCell ref="X6:AD6"/>
    <mergeCell ref="X7:AD7"/>
    <mergeCell ref="X20:AD20"/>
    <mergeCell ref="X21:AD21"/>
    <mergeCell ref="X56:AD56"/>
    <mergeCell ref="X57:AD57"/>
    <mergeCell ref="X58:AD58"/>
    <mergeCell ref="X59:AD59"/>
    <mergeCell ref="X60:AD60"/>
    <mergeCell ref="E62:F62"/>
    <mergeCell ref="X50:AD50"/>
    <mergeCell ref="X51:AD51"/>
    <mergeCell ref="X52:AD52"/>
    <mergeCell ref="X53:AD53"/>
    <mergeCell ref="X54:AD54"/>
    <mergeCell ref="X55:AD55"/>
    <mergeCell ref="X44:AD44"/>
    <mergeCell ref="X45:AD45"/>
    <mergeCell ref="X46:AD46"/>
    <mergeCell ref="X47:AD47"/>
    <mergeCell ref="X48:AD48"/>
    <mergeCell ref="X49:AD49"/>
    <mergeCell ref="V13:V14"/>
    <mergeCell ref="W13:W14"/>
    <mergeCell ref="B13:B14"/>
    <mergeCell ref="E13:E14"/>
    <mergeCell ref="L13:L14"/>
    <mergeCell ref="J13:J14"/>
    <mergeCell ref="K13:K14"/>
    <mergeCell ref="R13:R14"/>
    <mergeCell ref="B22:B24"/>
    <mergeCell ref="J22:J24"/>
    <mergeCell ref="K22:K24"/>
    <mergeCell ref="L22:L24"/>
    <mergeCell ref="R22:R24"/>
    <mergeCell ref="S13:S14"/>
    <mergeCell ref="M15:M16"/>
    <mergeCell ref="B15:B18"/>
    <mergeCell ref="E15:E18"/>
    <mergeCell ref="F15:F16"/>
    <mergeCell ref="S22:S24"/>
    <mergeCell ref="T22:T24"/>
    <mergeCell ref="V22:V24"/>
    <mergeCell ref="W22:W24"/>
    <mergeCell ref="E22:E24"/>
    <mergeCell ref="V15:V18"/>
    <mergeCell ref="E27:E28"/>
    <mergeCell ref="W27:W28"/>
    <mergeCell ref="E25:E26"/>
    <mergeCell ref="B31:B32"/>
    <mergeCell ref="E31:E32"/>
    <mergeCell ref="V25:V26"/>
    <mergeCell ref="B25:B26"/>
    <mergeCell ref="J25:J26"/>
    <mergeCell ref="K25:K26"/>
    <mergeCell ref="L25:L26"/>
    <mergeCell ref="R25:R26"/>
    <mergeCell ref="B27:B28"/>
    <mergeCell ref="R27:R28"/>
    <mergeCell ref="V29:V30"/>
    <mergeCell ref="V31:V32"/>
    <mergeCell ref="W29:W30"/>
    <mergeCell ref="E29:E30"/>
    <mergeCell ref="B29:B30"/>
    <mergeCell ref="J29:J30"/>
    <mergeCell ref="K29:K30"/>
    <mergeCell ref="R29:R30"/>
    <mergeCell ref="S29:S30"/>
    <mergeCell ref="T29:T30"/>
    <mergeCell ref="L29:L30"/>
  </mergeCells>
  <conditionalFormatting sqref="I66:I72">
    <cfRule type="cellIs" dxfId="1902" priority="1486" stopIfTrue="1" operator="lessThan">
      <formula>0%</formula>
    </cfRule>
    <cfRule type="cellIs" dxfId="1901" priority="1485" stopIfTrue="1" operator="greaterThan">
      <formula>1.5%</formula>
    </cfRule>
  </conditionalFormatting>
  <conditionalFormatting sqref="I74">
    <cfRule type="cellIs" dxfId="1900" priority="1501" stopIfTrue="1" operator="lessThan">
      <formula>438</formula>
    </cfRule>
  </conditionalFormatting>
  <conditionalFormatting sqref="J3 B2 J73:J65536">
    <cfRule type="cellIs" dxfId="1899" priority="1511" stopIfTrue="1" operator="lessThan">
      <formula>438</formula>
    </cfRule>
  </conditionalFormatting>
  <conditionalFormatting sqref="J3">
    <cfRule type="cellIs" dxfId="1898" priority="1508" stopIfTrue="1" operator="lessThan">
      <formula>456.25</formula>
    </cfRule>
  </conditionalFormatting>
  <conditionalFormatting sqref="J4:J29 J31 J33:J35">
    <cfRule type="cellIs" dxfId="1897" priority="178" stopIfTrue="1" operator="lessThan">
      <formula>524</formula>
    </cfRule>
  </conditionalFormatting>
  <conditionalFormatting sqref="J37:J60">
    <cfRule type="cellIs" dxfId="1896" priority="2" stopIfTrue="1" operator="lessThan">
      <formula>524</formula>
    </cfRule>
  </conditionalFormatting>
  <conditionalFormatting sqref="J61">
    <cfRule type="cellIs" dxfId="1895" priority="1503" stopIfTrue="1" operator="lessThan">
      <formula>462</formula>
    </cfRule>
  </conditionalFormatting>
  <conditionalFormatting sqref="J66:J72">
    <cfRule type="cellIs" dxfId="1894" priority="1506" stopIfTrue="1" operator="lessThan">
      <formula>73%</formula>
    </cfRule>
  </conditionalFormatting>
  <conditionalFormatting sqref="K4:K6">
    <cfRule type="cellIs" dxfId="1893" priority="1133" stopIfTrue="1" operator="lessThan">
      <formula>540</formula>
    </cfRule>
  </conditionalFormatting>
  <conditionalFormatting sqref="K8:K9">
    <cfRule type="cellIs" dxfId="1892" priority="664" stopIfTrue="1" operator="lessThan">
      <formula>540</formula>
    </cfRule>
  </conditionalFormatting>
  <conditionalFormatting sqref="K11:K13">
    <cfRule type="cellIs" dxfId="1891" priority="507" stopIfTrue="1" operator="lessThan">
      <formula>540</formula>
    </cfRule>
  </conditionalFormatting>
  <conditionalFormatting sqref="K15">
    <cfRule type="cellIs" dxfId="1890" priority="355" stopIfTrue="1" operator="lessThan">
      <formula>540</formula>
    </cfRule>
  </conditionalFormatting>
  <conditionalFormatting sqref="K19:K22">
    <cfRule type="cellIs" dxfId="1889" priority="259" stopIfTrue="1" operator="lessThan">
      <formula>540</formula>
    </cfRule>
  </conditionalFormatting>
  <conditionalFormatting sqref="K25 K27">
    <cfRule type="cellIs" dxfId="1888" priority="331" stopIfTrue="1" operator="lessThan">
      <formula>540</formula>
    </cfRule>
  </conditionalFormatting>
  <conditionalFormatting sqref="K29 K31 K33:K35">
    <cfRule type="cellIs" dxfId="1887" priority="179" stopIfTrue="1" operator="lessThan">
      <formula>540</formula>
    </cfRule>
  </conditionalFormatting>
  <conditionalFormatting sqref="K37:K59">
    <cfRule type="cellIs" dxfId="1886" priority="3" stopIfTrue="1" operator="lessThan">
      <formula>540</formula>
    </cfRule>
  </conditionalFormatting>
  <conditionalFormatting sqref="P4:P15 P17:P27">
    <cfRule type="cellIs" dxfId="1885" priority="603" stopIfTrue="1" operator="greaterThan">
      <formula>1.1</formula>
    </cfRule>
  </conditionalFormatting>
  <conditionalFormatting sqref="P29:P62">
    <cfRule type="cellIs" dxfId="1884" priority="174" stopIfTrue="1" operator="greaterThan">
      <formula>1.1</formula>
    </cfRule>
  </conditionalFormatting>
  <conditionalFormatting sqref="P62:P63">
    <cfRule type="cellIs" dxfId="1883" priority="1504" stopIfTrue="1" operator="greaterThan">
      <formula>1.5%</formula>
    </cfRule>
    <cfRule type="cellIs" dxfId="1882" priority="1505" stopIfTrue="1" operator="lessThan">
      <formula>0%</formula>
    </cfRule>
  </conditionalFormatting>
  <conditionalFormatting sqref="P66">
    <cfRule type="cellIs" dxfId="1881" priority="1487" stopIfTrue="1" operator="greaterThan">
      <formula>1.1</formula>
    </cfRule>
  </conditionalFormatting>
  <conditionalFormatting sqref="R4:S22">
    <cfRule type="cellIs" dxfId="1880" priority="230" stopIfTrue="1" operator="lessThan">
      <formula>0.67</formula>
    </cfRule>
  </conditionalFormatting>
  <conditionalFormatting sqref="R25:S25 R27:S27">
    <cfRule type="cellIs" dxfId="1879" priority="228" stopIfTrue="1" operator="lessThan">
      <formula>0.67</formula>
    </cfRule>
  </conditionalFormatting>
  <conditionalFormatting sqref="R29:S35">
    <cfRule type="cellIs" dxfId="1878" priority="86" stopIfTrue="1" operator="lessThan">
      <formula>0.67</formula>
    </cfRule>
  </conditionalFormatting>
  <conditionalFormatting sqref="R37:S60">
    <cfRule type="cellIs" dxfId="1877" priority="51" stopIfTrue="1" operator="lessThan">
      <formula>0.67</formula>
    </cfRule>
  </conditionalFormatting>
  <conditionalFormatting sqref="R61:S61">
    <cfRule type="cellIs" dxfId="1876" priority="1060" stopIfTrue="1" operator="lessThan">
      <formula>0.6</formula>
    </cfRule>
  </conditionalFormatting>
  <conditionalFormatting sqref="R66:S66">
    <cfRule type="cellIs" dxfId="1875" priority="1" stopIfTrue="1" operator="lessThan">
      <formula>0.67</formula>
    </cfRule>
  </conditionalFormatting>
  <conditionalFormatting sqref="T37:T45 V37:V45">
    <cfRule type="cellIs" dxfId="1874" priority="52" stopIfTrue="1" operator="lessThan">
      <formula>0.74</formula>
    </cfRule>
  </conditionalFormatting>
  <conditionalFormatting sqref="T62:T63">
    <cfRule type="cellIs" dxfId="1873" priority="1507" stopIfTrue="1" operator="lessThan">
      <formula>73%</formula>
    </cfRule>
  </conditionalFormatting>
  <conditionalFormatting sqref="T66 V66:W66">
    <cfRule type="cellIs" dxfId="1872" priority="1488" stopIfTrue="1" operator="lessThan">
      <formula>0.74</formula>
    </cfRule>
  </conditionalFormatting>
  <conditionalFormatting sqref="T79">
    <cfRule type="cellIs" dxfId="1871" priority="1493" stopIfTrue="1" operator="lessThan">
      <formula>0.74</formula>
    </cfRule>
  </conditionalFormatting>
  <conditionalFormatting sqref="T80">
    <cfRule type="cellIs" dxfId="1870" priority="1491" stopIfTrue="1" operator="greaterThan">
      <formula>1.1</formula>
    </cfRule>
  </conditionalFormatting>
  <conditionalFormatting sqref="T4:V6">
    <cfRule type="cellIs" dxfId="1869" priority="1123" stopIfTrue="1" operator="lessThan">
      <formula>0.74</formula>
    </cfRule>
  </conditionalFormatting>
  <conditionalFormatting sqref="T8:V9">
    <cfRule type="cellIs" dxfId="1868" priority="625" stopIfTrue="1" operator="lessThan">
      <formula>0.74</formula>
    </cfRule>
  </conditionalFormatting>
  <conditionalFormatting sqref="T11:V13 T15:V15">
    <cfRule type="cellIs" dxfId="1867" priority="469" stopIfTrue="1" operator="lessThan">
      <formula>0.74</formula>
    </cfRule>
  </conditionalFormatting>
  <conditionalFormatting sqref="T19:V22 T25 V25 T27 V27">
    <cfRule type="cellIs" dxfId="1866" priority="241" stopIfTrue="1" operator="lessThan">
      <formula>0.74</formula>
    </cfRule>
  </conditionalFormatting>
  <conditionalFormatting sqref="T29:V29 T31:V31 T33:T35 V33:V35">
    <cfRule type="cellIs" dxfId="1865" priority="103" stopIfTrue="1" operator="lessThan">
      <formula>0.74</formula>
    </cfRule>
  </conditionalFormatting>
  <conditionalFormatting sqref="T46:V61">
    <cfRule type="cellIs" dxfId="1864" priority="1440" stopIfTrue="1" operator="lessThan">
      <formula>0.74</formula>
    </cfRule>
  </conditionalFormatting>
  <conditionalFormatting sqref="T3:W3">
    <cfRule type="cellIs" dxfId="1863" priority="1495" stopIfTrue="1" operator="lessThan">
      <formula>0.65</formula>
    </cfRule>
  </conditionalFormatting>
  <conditionalFormatting sqref="U7">
    <cfRule type="cellIs" dxfId="1862" priority="762" stopIfTrue="1" operator="lessThan">
      <formula>0.74</formula>
    </cfRule>
  </conditionalFormatting>
  <conditionalFormatting sqref="U10">
    <cfRule type="cellIs" dxfId="1861" priority="607" stopIfTrue="1" operator="lessThan">
      <formula>0.74</formula>
    </cfRule>
  </conditionalFormatting>
  <conditionalFormatting sqref="U14 U16:U18">
    <cfRule type="cellIs" dxfId="1860" priority="451" stopIfTrue="1" operator="lessThan">
      <formula>0.74</formula>
    </cfRule>
  </conditionalFormatting>
  <conditionalFormatting sqref="U23:U28">
    <cfRule type="cellIs" dxfId="1859" priority="882" stopIfTrue="1" operator="lessThan">
      <formula>0.74</formula>
    </cfRule>
  </conditionalFormatting>
  <conditionalFormatting sqref="U30">
    <cfRule type="cellIs" dxfId="1858" priority="87" stopIfTrue="1" operator="lessThan">
      <formula>0.74</formula>
    </cfRule>
  </conditionalFormatting>
  <conditionalFormatting sqref="U32:U45">
    <cfRule type="cellIs" dxfId="1857" priority="70" stopIfTrue="1" operator="lessThan">
      <formula>0.74</formula>
    </cfRule>
  </conditionalFormatting>
  <conditionalFormatting sqref="U62:W63">
    <cfRule type="cellIs" dxfId="1856" priority="1510" stopIfTrue="1" operator="lessThan">
      <formula>75%</formula>
    </cfRule>
  </conditionalFormatting>
  <conditionalFormatting sqref="V79:W79">
    <cfRule type="cellIs" dxfId="1855" priority="1492" stopIfTrue="1" operator="lessThan">
      <formula>0.74</formula>
    </cfRule>
  </conditionalFormatting>
  <conditionalFormatting sqref="W4:W6">
    <cfRule type="cellIs" dxfId="1854" priority="1121" stopIfTrue="1" operator="lessThan">
      <formula>0.95</formula>
    </cfRule>
  </conditionalFormatting>
  <conditionalFormatting sqref="W8:W9">
    <cfRule type="cellIs" dxfId="1853" priority="623" stopIfTrue="1" operator="lessThan">
      <formula>0.95</formula>
    </cfRule>
  </conditionalFormatting>
  <conditionalFormatting sqref="W11:W13 W15">
    <cfRule type="cellIs" dxfId="1852" priority="467" stopIfTrue="1" operator="lessThan">
      <formula>0.95</formula>
    </cfRule>
  </conditionalFormatting>
  <conditionalFormatting sqref="W19:W22 W25 W27">
    <cfRule type="cellIs" dxfId="1851" priority="239" stopIfTrue="1" operator="lessThan">
      <formula>0.95</formula>
    </cfRule>
  </conditionalFormatting>
  <conditionalFormatting sqref="W29 W31 W33:W35">
    <cfRule type="cellIs" dxfId="1850" priority="121" stopIfTrue="1" operator="lessThan">
      <formula>0.95</formula>
    </cfRule>
  </conditionalFormatting>
  <conditionalFormatting sqref="W37:W61">
    <cfRule type="cellIs" dxfId="1849" priority="68" stopIfTrue="1" operator="lessThan">
      <formula>0.95</formula>
    </cfRule>
  </conditionalFormatting>
  <printOptions horizontalCentered="1"/>
  <pageMargins left="0.10312499999999999" right="0.5" top="0.25" bottom="0.27" header="0.25" footer="0.27"/>
  <pageSetup paperSize="5" scale="27" orientation="landscape"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DE038-30E5-4421-A87E-BA07B7B70780}">
  <sheetPr codeName="Sheet11">
    <pageSetUpPr fitToPage="1"/>
  </sheetPr>
  <dimension ref="A2:AF65464"/>
  <sheetViews>
    <sheetView showZeros="0" showWhiteSpace="0" zoomScale="70" zoomScaleNormal="70" workbookViewId="0">
      <pane xSplit="3" ySplit="3" topLeftCell="D24" activePane="bottomRight" state="frozen"/>
      <selection activeCell="M66" sqref="M66"/>
      <selection pane="topRight" activeCell="M66" sqref="M66"/>
      <selection pane="bottomLeft" activeCell="M66" sqref="M66"/>
      <selection pane="bottomRight" activeCell="M66" sqref="M66"/>
    </sheetView>
  </sheetViews>
  <sheetFormatPr defaultColWidth="9.42578125" defaultRowHeight="12.75" x14ac:dyDescent="0.2"/>
  <cols>
    <col min="1" max="1" width="3.42578125" customWidth="1"/>
    <col min="2" max="2" width="10.42578125" style="1" customWidth="1"/>
    <col min="3" max="3" width="28" style="1" customWidth="1"/>
    <col min="4" max="4" width="14.42578125" style="1" customWidth="1"/>
    <col min="5" max="5" width="12.5703125" style="1" customWidth="1"/>
    <col min="6" max="6" width="13.42578125" style="1" customWidth="1"/>
    <col min="7" max="7" width="12.42578125" customWidth="1"/>
    <col min="8" max="8" width="13.5703125" customWidth="1"/>
    <col min="9" max="9" width="11.42578125" style="1" customWidth="1"/>
    <col min="10" max="10" width="12" customWidth="1"/>
    <col min="11" max="11" width="10.42578125" customWidth="1"/>
    <col min="12" max="12" width="10.5703125" customWidth="1"/>
    <col min="13" max="13" width="10.42578125" customWidth="1"/>
    <col min="14" max="14" width="8.5703125" customWidth="1"/>
    <col min="15" max="15" width="9" style="2" customWidth="1"/>
    <col min="16" max="16" width="15.5703125" style="1" bestFit="1" customWidth="1"/>
    <col min="17" max="17" width="7.5703125" style="1" hidden="1" customWidth="1"/>
    <col min="18" max="18" width="12.5703125" style="1" customWidth="1"/>
    <col min="19" max="19" width="16.5703125" customWidth="1"/>
    <col min="20" max="20" width="12.42578125" customWidth="1"/>
    <col min="21" max="21" width="10.42578125" hidden="1" customWidth="1"/>
    <col min="22" max="22" width="12" customWidth="1"/>
    <col min="23" max="23" width="13.5703125" style="1" customWidth="1"/>
    <col min="24" max="24" width="12" customWidth="1"/>
    <col min="25" max="25" width="17" customWidth="1"/>
    <col min="26" max="26" width="15.42578125" customWidth="1"/>
    <col min="27" max="27" width="15.5703125" customWidth="1"/>
    <col min="28" max="28" width="14" customWidth="1"/>
    <col min="29" max="29" width="25.5703125" customWidth="1"/>
    <col min="30" max="30" width="52.42578125" customWidth="1"/>
  </cols>
  <sheetData>
    <row r="2" spans="2:32" ht="24" thickBot="1" x14ac:dyDescent="0.4">
      <c r="B2" s="1022" t="s">
        <v>406</v>
      </c>
      <c r="C2" s="1022"/>
      <c r="D2" s="1022"/>
      <c r="E2" s="1022"/>
      <c r="F2" s="1022"/>
      <c r="G2" s="1022"/>
      <c r="H2" s="1022"/>
      <c r="I2" s="1022"/>
      <c r="J2" s="1022"/>
      <c r="K2" s="1022"/>
      <c r="L2" s="1022"/>
      <c r="M2" s="1022"/>
      <c r="N2" s="1022"/>
      <c r="O2" s="1022"/>
      <c r="P2" s="1022"/>
      <c r="Q2" s="1022"/>
      <c r="R2" s="1022"/>
      <c r="S2" s="1022"/>
      <c r="T2" s="1022"/>
      <c r="U2" s="1022"/>
      <c r="V2" s="1022"/>
      <c r="W2" s="1065"/>
      <c r="X2" s="1065"/>
    </row>
    <row r="3" spans="2:32" ht="80.25" thickTop="1" thickBot="1" x14ac:dyDescent="0.25">
      <c r="B3" s="37" t="s">
        <v>0</v>
      </c>
      <c r="C3" s="38" t="s">
        <v>2</v>
      </c>
      <c r="D3" s="38" t="s">
        <v>12</v>
      </c>
      <c r="E3" s="38" t="s">
        <v>11</v>
      </c>
      <c r="F3" s="38" t="s">
        <v>15</v>
      </c>
      <c r="G3" s="38" t="s">
        <v>9</v>
      </c>
      <c r="H3" s="38" t="s">
        <v>17</v>
      </c>
      <c r="I3" s="38" t="s">
        <v>5</v>
      </c>
      <c r="J3" s="38" t="s">
        <v>494</v>
      </c>
      <c r="K3" s="38" t="s">
        <v>4</v>
      </c>
      <c r="L3" s="38" t="s">
        <v>161</v>
      </c>
      <c r="M3" s="38" t="s">
        <v>10</v>
      </c>
      <c r="N3" s="38" t="s">
        <v>428</v>
      </c>
      <c r="O3" s="39" t="s">
        <v>34</v>
      </c>
      <c r="P3" s="40" t="s">
        <v>55</v>
      </c>
      <c r="Q3" s="40" t="s">
        <v>8</v>
      </c>
      <c r="R3" s="41" t="s">
        <v>464</v>
      </c>
      <c r="S3" s="41" t="s">
        <v>473</v>
      </c>
      <c r="T3" s="41" t="s">
        <v>307</v>
      </c>
      <c r="U3" s="41" t="s">
        <v>47</v>
      </c>
      <c r="V3" s="282" t="s">
        <v>308</v>
      </c>
      <c r="W3" s="283" t="s">
        <v>425</v>
      </c>
      <c r="X3" s="1066" t="s">
        <v>1</v>
      </c>
      <c r="Y3" s="1067"/>
      <c r="Z3" s="1067"/>
      <c r="AA3" s="1067"/>
      <c r="AB3" s="1067"/>
      <c r="AC3" s="1067"/>
      <c r="AD3" s="1068"/>
      <c r="AE3">
        <v>15000</v>
      </c>
      <c r="AF3">
        <v>17000</v>
      </c>
    </row>
    <row r="4" spans="2:32" s="19" customFormat="1" ht="57" customHeight="1" thickTop="1" x14ac:dyDescent="0.2">
      <c r="B4" s="168">
        <v>42828</v>
      </c>
      <c r="C4" s="26" t="s">
        <v>513</v>
      </c>
      <c r="D4" s="27">
        <v>5100</v>
      </c>
      <c r="E4" s="28">
        <v>0.34930555555555554</v>
      </c>
      <c r="F4" s="29">
        <f>SUM([3]April_2017!$J8)</f>
        <v>366.40000000000003</v>
      </c>
      <c r="G4" s="30">
        <f>SUM([3]April_2017!$F8)</f>
        <v>5379</v>
      </c>
      <c r="H4" s="29">
        <f>SUM([3]April_2017!$K8)</f>
        <v>364.51400000000001</v>
      </c>
      <c r="I4" s="31">
        <f>SUM([3]April_2017!$N8)</f>
        <v>16</v>
      </c>
      <c r="J4" s="32">
        <f>SUM([3]April_2017!$Q8)</f>
        <v>514.73684210526324</v>
      </c>
      <c r="K4" s="32">
        <f>SUM([3]April_2017!$E8)</f>
        <v>627</v>
      </c>
      <c r="L4" s="169">
        <v>0.76180555555555562</v>
      </c>
      <c r="M4" s="32">
        <f>SUM([3]April_2017!$M8)</f>
        <v>115</v>
      </c>
      <c r="N4" s="236"/>
      <c r="O4" s="32">
        <f>SUM([3]April_2017!$H8)</f>
        <v>0</v>
      </c>
      <c r="P4" s="33">
        <f>SUM([3]April_2017!$P8)</f>
        <v>0.51473799126638209</v>
      </c>
      <c r="Q4" s="32"/>
      <c r="R4" s="129">
        <f>($G4)/(($K4/60)*AE$3*(1/24))</f>
        <v>0.82357894736842108</v>
      </c>
      <c r="S4" s="129">
        <f>($G4)/(($K4/60)*AF$3*(1/24))</f>
        <v>0.726687306501548</v>
      </c>
      <c r="T4" s="129">
        <f>(G4)*24/(K4/60)/15000</f>
        <v>0.82357894736842108</v>
      </c>
      <c r="U4" s="129">
        <f>(H4+H7)*24/(M4/60)/15000</f>
        <v>0.57570114782608706</v>
      </c>
      <c r="V4" s="227">
        <f>(G4)*24/(K4/60)/17000</f>
        <v>0.726687306501548</v>
      </c>
      <c r="W4" s="233">
        <f>(720-(M4))/720</f>
        <v>0.84027777777777779</v>
      </c>
      <c r="X4" s="1095" t="s">
        <v>514</v>
      </c>
      <c r="Y4" s="1096"/>
      <c r="Z4" s="1096"/>
      <c r="AA4" s="1096"/>
      <c r="AB4" s="1096"/>
      <c r="AC4" s="1096"/>
      <c r="AD4" s="1097"/>
    </row>
    <row r="5" spans="2:32" s="19" customFormat="1" ht="42" customHeight="1" x14ac:dyDescent="0.2">
      <c r="B5" s="1037">
        <v>42829</v>
      </c>
      <c r="C5" s="26" t="s">
        <v>45</v>
      </c>
      <c r="D5" s="27">
        <v>1800</v>
      </c>
      <c r="E5" s="1051">
        <v>0.33888888888888885</v>
      </c>
      <c r="F5" s="29">
        <f>SUM([3]April_2017!$J9)</f>
        <v>118.8</v>
      </c>
      <c r="G5" s="30">
        <f>SUM([3]April_2017!$F9)</f>
        <v>1778</v>
      </c>
      <c r="H5" s="29">
        <f>SUM([3]April_2017!$K9)</f>
        <v>117.348</v>
      </c>
      <c r="I5" s="31">
        <f>SUM([3]April_2017!$N9)</f>
        <v>4</v>
      </c>
      <c r="J5" s="991">
        <f>SUM([3]April_2017!$Q9)</f>
        <v>481.21212121212119</v>
      </c>
      <c r="K5" s="991">
        <f>SUM([3]April_2017!$E9)</f>
        <v>594</v>
      </c>
      <c r="L5" s="1017">
        <v>0.77777777777777779</v>
      </c>
      <c r="M5" s="32">
        <f>SUM([3]April_2017!$M9)</f>
        <v>71</v>
      </c>
      <c r="N5" s="236"/>
      <c r="O5" s="32">
        <f>SUM([3]April_2017!$H9)</f>
        <v>0</v>
      </c>
      <c r="P5" s="33">
        <f>SUM([3]April_2017!$P9)</f>
        <v>1.2222222222222208</v>
      </c>
      <c r="Q5" s="32"/>
      <c r="R5" s="1039">
        <f>($G5+$G6)/(($K5/60)*AE$3*(1/24))</f>
        <v>0.76993939393939392</v>
      </c>
      <c r="S5" s="1039">
        <f>($G5+$G6)/(($K5/60)*AF$3*(1/24))</f>
        <v>0.67935828877005344</v>
      </c>
      <c r="T5" s="1039">
        <f>(G5+G6)*24/(K5/60)/15000</f>
        <v>0.76993939393939392</v>
      </c>
      <c r="U5" s="129">
        <f>(H5+H8)*24/(M5/60)/15000</f>
        <v>0.57131736338028172</v>
      </c>
      <c r="V5" s="1047">
        <f>(G5+G6)*24/(K5/60)/17000</f>
        <v>0.67935828877005344</v>
      </c>
      <c r="W5" s="1035">
        <f>(699-(M5+M6))/699</f>
        <v>0.76537911301859796</v>
      </c>
      <c r="X5" s="1059" t="s">
        <v>515</v>
      </c>
      <c r="Y5" s="1060"/>
      <c r="Z5" s="1060"/>
      <c r="AA5" s="1060"/>
      <c r="AB5" s="1060"/>
      <c r="AC5" s="1060"/>
      <c r="AD5" s="1061"/>
    </row>
    <row r="6" spans="2:32" s="19" customFormat="1" ht="30" customHeight="1" x14ac:dyDescent="0.2">
      <c r="B6" s="1038"/>
      <c r="C6" s="26" t="s">
        <v>513</v>
      </c>
      <c r="D6" s="27">
        <v>3500</v>
      </c>
      <c r="E6" s="1053"/>
      <c r="F6" s="29">
        <f>SUM([3]April_2017!$J10)</f>
        <v>208.60000000000002</v>
      </c>
      <c r="G6" s="30">
        <f>SUM([3]April_2017!$F10)</f>
        <v>2986</v>
      </c>
      <c r="H6" s="29">
        <f>SUM([3]April_2017!$K10)</f>
        <v>206.57600000000002</v>
      </c>
      <c r="I6" s="31">
        <f>SUM([3]April_2017!$N10)</f>
        <v>22</v>
      </c>
      <c r="J6" s="992"/>
      <c r="K6" s="992"/>
      <c r="L6" s="1018"/>
      <c r="M6" s="32">
        <f>SUM([3]April_2017!$M10)</f>
        <v>93</v>
      </c>
      <c r="N6" s="236">
        <f>[4]Apr!$I$10/K5</f>
        <v>8.7542087542087546E-2</v>
      </c>
      <c r="O6" s="32">
        <f>SUM([3]April_2017!$H10)</f>
        <v>0</v>
      </c>
      <c r="P6" s="33">
        <f>SUM([3]April_2017!$P10)</f>
        <v>0.97027804410354779</v>
      </c>
      <c r="Q6" s="32"/>
      <c r="R6" s="1040"/>
      <c r="S6" s="1040"/>
      <c r="T6" s="1040"/>
      <c r="U6" s="129"/>
      <c r="V6" s="1048"/>
      <c r="W6" s="1036"/>
      <c r="X6" s="1059" t="s">
        <v>516</v>
      </c>
      <c r="Y6" s="1060"/>
      <c r="Z6" s="1060"/>
      <c r="AA6" s="1060"/>
      <c r="AB6" s="1060"/>
      <c r="AC6" s="1060"/>
      <c r="AD6" s="1061"/>
    </row>
    <row r="7" spans="2:32" s="19" customFormat="1" ht="42.75" customHeight="1" x14ac:dyDescent="0.2">
      <c r="B7" s="168">
        <v>42830</v>
      </c>
      <c r="C7" s="26" t="s">
        <v>27</v>
      </c>
      <c r="D7" s="27">
        <v>4900</v>
      </c>
      <c r="E7" s="28">
        <v>0.32430555555555557</v>
      </c>
      <c r="F7" s="29">
        <f>SUM([3]April_2017!$J11)</f>
        <v>326.3</v>
      </c>
      <c r="G7" s="30">
        <f>SUM([3]April_2017!$F11)</f>
        <v>4788</v>
      </c>
      <c r="H7" s="29">
        <f>SUM([3]April_2017!$K11)</f>
        <v>325.12800000000004</v>
      </c>
      <c r="I7" s="31">
        <f>SUM([3]April_2017!$N11)</f>
        <v>45</v>
      </c>
      <c r="J7" s="32">
        <f>SUM([3]April_2017!$Q11)</f>
        <v>523.27868852459017</v>
      </c>
      <c r="K7" s="32">
        <f>SUM([3]April_2017!$E11)</f>
        <v>549</v>
      </c>
      <c r="L7" s="169">
        <v>0.73541666666666661</v>
      </c>
      <c r="M7" s="32">
        <f>SUM([3]April_2017!$M11)</f>
        <v>95</v>
      </c>
      <c r="N7" s="236"/>
      <c r="O7" s="32"/>
      <c r="P7" s="33">
        <f>SUM([3]April_2017!$P11)</f>
        <v>0.35917866993563241</v>
      </c>
      <c r="Q7" s="32"/>
      <c r="R7" s="46">
        <f t="shared" ref="R7:S9" si="0">($G7)/(($K7/60)*AE$3*(1/24))</f>
        <v>0.83724590163934431</v>
      </c>
      <c r="S7" s="129">
        <f t="shared" si="0"/>
        <v>0.73874638379942137</v>
      </c>
      <c r="T7" s="129">
        <f>(G7)*24/(K7/60)/15000</f>
        <v>0.8372459016393442</v>
      </c>
      <c r="U7" s="129"/>
      <c r="V7" s="227">
        <f>(G7)*24/(K7/60)/17000</f>
        <v>0.73874638379942137</v>
      </c>
      <c r="W7" s="233">
        <f>(640-(M7))/640</f>
        <v>0.8515625</v>
      </c>
      <c r="X7" s="1059" t="s">
        <v>517</v>
      </c>
      <c r="Y7" s="1060"/>
      <c r="Z7" s="1060"/>
      <c r="AA7" s="1060"/>
      <c r="AB7" s="1060"/>
      <c r="AC7" s="1060"/>
      <c r="AD7" s="1061"/>
    </row>
    <row r="8" spans="2:32" s="19" customFormat="1" ht="42" customHeight="1" x14ac:dyDescent="0.2">
      <c r="B8" s="168">
        <v>42831</v>
      </c>
      <c r="C8" s="26" t="s">
        <v>518</v>
      </c>
      <c r="D8" s="27">
        <v>4000</v>
      </c>
      <c r="E8" s="28">
        <v>0.32013888888888892</v>
      </c>
      <c r="F8" s="29">
        <f>SUM([3]April_2017!$J12)</f>
        <v>307.5</v>
      </c>
      <c r="G8" s="30">
        <f>SUM([3]April_2017!$F12)</f>
        <v>4102</v>
      </c>
      <c r="H8" s="29">
        <f>SUM([3]April_2017!$K12)</f>
        <v>305.18879999999996</v>
      </c>
      <c r="I8" s="31">
        <f>SUM([3]April_2017!$N12)</f>
        <v>33</v>
      </c>
      <c r="J8" s="32">
        <f>SUM([3]April_2017!$Q12)</f>
        <v>511.68399168399162</v>
      </c>
      <c r="K8" s="32">
        <f>SUM([3]April_2017!$E12)</f>
        <v>481</v>
      </c>
      <c r="L8" s="169">
        <v>0.68402777777777779</v>
      </c>
      <c r="M8" s="32">
        <f>SUM([3]April_2017!$M12)</f>
        <v>89</v>
      </c>
      <c r="N8" s="236"/>
      <c r="O8" s="32">
        <v>490</v>
      </c>
      <c r="P8" s="33">
        <f>SUM([3]April_2017!$P12)</f>
        <v>0.75160975609757474</v>
      </c>
      <c r="Q8" s="32"/>
      <c r="R8" s="46">
        <f t="shared" si="0"/>
        <v>0.81869438669438666</v>
      </c>
      <c r="S8" s="129">
        <f t="shared" si="0"/>
        <v>0.72237740002445883</v>
      </c>
      <c r="T8" s="129">
        <f>(G8)*24/(K8/60)/15000</f>
        <v>0.81869438669438666</v>
      </c>
      <c r="U8" s="129"/>
      <c r="V8" s="227">
        <f>(G8)*24/(K8/60)/17000</f>
        <v>0.72237740002445883</v>
      </c>
      <c r="W8" s="233">
        <f>(567-(M8))/567</f>
        <v>0.84303350970017632</v>
      </c>
      <c r="X8" s="1059" t="s">
        <v>519</v>
      </c>
      <c r="Y8" s="1060"/>
      <c r="Z8" s="1060"/>
      <c r="AA8" s="1060"/>
      <c r="AB8" s="1060"/>
      <c r="AC8" s="1060"/>
      <c r="AD8" s="1061"/>
    </row>
    <row r="9" spans="2:32" s="19" customFormat="1" ht="42" customHeight="1" x14ac:dyDescent="0.2">
      <c r="B9" s="168">
        <v>42832</v>
      </c>
      <c r="C9" s="26" t="s">
        <v>520</v>
      </c>
      <c r="D9" s="27">
        <v>4200</v>
      </c>
      <c r="E9" s="28">
        <v>0.33055555555555555</v>
      </c>
      <c r="F9" s="29">
        <f>SUM([3]April_2017!$J13)</f>
        <v>165.70000000000002</v>
      </c>
      <c r="G9" s="30">
        <f>SUM([3]April_2017!$F13)</f>
        <v>2483</v>
      </c>
      <c r="H9" s="29">
        <f>SUM([3]April_2017!$K13)</f>
        <v>163.87800000000001</v>
      </c>
      <c r="I9" s="31">
        <f>SUM([3]April_2017!$N13)</f>
        <v>5</v>
      </c>
      <c r="J9" s="32">
        <f>SUM([3]April_2017!$Q13)</f>
        <v>258.64583333333337</v>
      </c>
      <c r="K9" s="32">
        <f>SUM([3]April_2017!$E13)</f>
        <v>576</v>
      </c>
      <c r="L9" s="169">
        <v>0.75416666666666676</v>
      </c>
      <c r="M9" s="32">
        <f>SUM([3]April_2017!$M13)</f>
        <v>320</v>
      </c>
      <c r="N9" s="236"/>
      <c r="O9" s="32"/>
      <c r="P9" s="33">
        <f>SUM([3]April_2017!$P13)</f>
        <v>1.0995775497887765</v>
      </c>
      <c r="Q9" s="32"/>
      <c r="R9" s="46">
        <f t="shared" si="0"/>
        <v>0.41383333333333333</v>
      </c>
      <c r="S9" s="129">
        <f t="shared" si="0"/>
        <v>0.36514705882352944</v>
      </c>
      <c r="T9" s="129">
        <f>(G9)*24/(K9/60)/15000</f>
        <v>0.41383333333333333</v>
      </c>
      <c r="U9" s="129"/>
      <c r="V9" s="227">
        <f>(G9)*24/(K9/60)/17000</f>
        <v>0.36514705882352944</v>
      </c>
      <c r="W9" s="233">
        <f>(678-(M9))/678</f>
        <v>0.528023598820059</v>
      </c>
      <c r="X9" s="1059" t="s">
        <v>521</v>
      </c>
      <c r="Y9" s="1060"/>
      <c r="Z9" s="1060"/>
      <c r="AA9" s="1060"/>
      <c r="AB9" s="1060"/>
      <c r="AC9" s="1060"/>
      <c r="AD9" s="1061"/>
    </row>
    <row r="10" spans="2:32" s="19" customFormat="1" ht="42" customHeight="1" x14ac:dyDescent="0.2">
      <c r="B10" s="1037">
        <v>42835</v>
      </c>
      <c r="C10" s="26" t="s">
        <v>520</v>
      </c>
      <c r="D10" s="27">
        <v>2000</v>
      </c>
      <c r="E10" s="1051">
        <v>0.39930555555555558</v>
      </c>
      <c r="F10" s="29">
        <f>SUM([3]April_2017!$J14)</f>
        <v>136.1</v>
      </c>
      <c r="G10" s="30">
        <f>SUM([3]April_2017!$F14)</f>
        <v>2011</v>
      </c>
      <c r="H10" s="29">
        <f>SUM([3]April_2017!$K14)</f>
        <v>132.726</v>
      </c>
      <c r="I10" s="31">
        <f>SUM([3]April_2017!$N14)</f>
        <v>20.25</v>
      </c>
      <c r="J10" s="991">
        <f>SUM([3]April_2017!$Q14)</f>
        <v>426.53919694072658</v>
      </c>
      <c r="K10" s="991">
        <f>SUM([3]April_2017!$E14)</f>
        <v>523</v>
      </c>
      <c r="L10" s="1017">
        <v>0.80208333333333337</v>
      </c>
      <c r="M10" s="32">
        <f>SUM([3]April_2017!$M14)</f>
        <v>131</v>
      </c>
      <c r="N10" s="236"/>
      <c r="O10" s="32"/>
      <c r="P10" s="33">
        <f>SUM([3]April_2017!$P14)</f>
        <v>2.4790595150624508</v>
      </c>
      <c r="Q10" s="32"/>
      <c r="R10" s="1039">
        <f>($G10+$G$11)/(($K10/60)*AE$3*(1/24))</f>
        <v>0.68246271510516265</v>
      </c>
      <c r="S10" s="1039">
        <f>($G10+$G$11)/(($K10/60)*AF$3*(1/24))</f>
        <v>0.6021729839163199</v>
      </c>
      <c r="T10" s="1039">
        <f>($G$10+$G$11)*24/(K10/60)/15000</f>
        <v>0.68246271510516243</v>
      </c>
      <c r="U10" s="129"/>
      <c r="V10" s="1047">
        <f>($G$10+$G$11)*24/(K10/60)/17000</f>
        <v>0.60217298391631979</v>
      </c>
      <c r="W10" s="1035">
        <f>(785-(M10+M11))/785</f>
        <v>0.63949044585987258</v>
      </c>
      <c r="X10" s="1056" t="s">
        <v>522</v>
      </c>
      <c r="Y10" s="1057"/>
      <c r="Z10" s="1057"/>
      <c r="AA10" s="1057"/>
      <c r="AB10" s="1057"/>
      <c r="AC10" s="1057"/>
      <c r="AD10" s="1058"/>
    </row>
    <row r="11" spans="2:32" s="19" customFormat="1" ht="30" customHeight="1" x14ac:dyDescent="0.2">
      <c r="B11" s="1038"/>
      <c r="C11" s="26" t="s">
        <v>513</v>
      </c>
      <c r="D11" s="27">
        <v>2200</v>
      </c>
      <c r="E11" s="1053"/>
      <c r="F11" s="29">
        <f>SUM([3]April_2017!$J15)</f>
        <v>124.89999999999999</v>
      </c>
      <c r="G11" s="30">
        <f>SUM([3]April_2017!$F15)</f>
        <v>1707</v>
      </c>
      <c r="H11" s="29">
        <f>SUM([3]April_2017!$K15)</f>
        <v>122.16200000000001</v>
      </c>
      <c r="I11" s="31">
        <f>SUM([3]April_2017!$N15)</f>
        <v>25</v>
      </c>
      <c r="J11" s="992"/>
      <c r="K11" s="992"/>
      <c r="L11" s="1018"/>
      <c r="M11" s="32">
        <f>SUM([3]April_2017!$M15)</f>
        <v>152</v>
      </c>
      <c r="N11" s="236">
        <f>[4]Apr!$I$15/K10</f>
        <v>0.13001912045889102</v>
      </c>
      <c r="O11" s="32"/>
      <c r="P11" s="33">
        <f>SUM([3]April_2017!$P15)</f>
        <v>2.1921537229783712</v>
      </c>
      <c r="Q11" s="32"/>
      <c r="R11" s="1040"/>
      <c r="S11" s="1040"/>
      <c r="T11" s="1040"/>
      <c r="U11" s="129"/>
      <c r="V11" s="1048"/>
      <c r="W11" s="1036"/>
      <c r="X11" s="1056" t="s">
        <v>524</v>
      </c>
      <c r="Y11" s="1057"/>
      <c r="Z11" s="1057"/>
      <c r="AA11" s="1057"/>
      <c r="AB11" s="1057"/>
      <c r="AC11" s="1057"/>
      <c r="AD11" s="1058"/>
    </row>
    <row r="12" spans="2:32" s="19" customFormat="1" ht="42" customHeight="1" x14ac:dyDescent="0.2">
      <c r="B12" s="1037">
        <v>42836</v>
      </c>
      <c r="C12" s="26" t="s">
        <v>32</v>
      </c>
      <c r="D12" s="27">
        <v>4000</v>
      </c>
      <c r="E12" s="1051">
        <v>0.3298611111111111</v>
      </c>
      <c r="F12" s="989">
        <f>SUM([3]April_2017!$J16)</f>
        <v>443.5</v>
      </c>
      <c r="G12" s="30">
        <f>SUM([3]April_2017!$F16)</f>
        <v>3407</v>
      </c>
      <c r="H12" s="989">
        <f>SUM([3]April_2017!$K16)</f>
        <v>440.08800000000002</v>
      </c>
      <c r="I12" s="1004">
        <f>SUM([3]April_2017!$N16)</f>
        <v>42</v>
      </c>
      <c r="J12" s="991">
        <f>SUM([3]April_2017!$Q16)</f>
        <v>463.59212050984939</v>
      </c>
      <c r="K12" s="991">
        <f>SUM([3]April_2017!$E16)</f>
        <v>863</v>
      </c>
      <c r="L12" s="1017">
        <v>0.95694444444444438</v>
      </c>
      <c r="M12" s="991">
        <f>SUM([3]April_2017!$M16)</f>
        <v>155</v>
      </c>
      <c r="N12" s="1043"/>
      <c r="O12" s="991"/>
      <c r="P12" s="1045">
        <f>SUM([3]April_2017!$P16)</f>
        <v>0.76933483652761614</v>
      </c>
      <c r="Q12" s="32"/>
      <c r="R12" s="1039">
        <f>($G12+$G$13)/(($K12/60)*AE$3*(1/24))</f>
        <v>0.74174739281575908</v>
      </c>
      <c r="S12" s="1039">
        <f>($G12+$G$13)/(($K12/60)*AF$3*(1/24))</f>
        <v>0.65448299366096385</v>
      </c>
      <c r="T12" s="1039">
        <f>(G12+$G$13)*24/(K12/60)/15000</f>
        <v>0.74174739281575908</v>
      </c>
      <c r="U12" s="129"/>
      <c r="V12" s="1047">
        <f>(G12+$G$13)*24/(K12/60)/17000</f>
        <v>0.65448299366096385</v>
      </c>
      <c r="W12" s="1035">
        <f>(953-(M12))/953</f>
        <v>0.83735571878279114</v>
      </c>
      <c r="X12" s="1056" t="s">
        <v>523</v>
      </c>
      <c r="Y12" s="1057"/>
      <c r="Z12" s="1057"/>
      <c r="AA12" s="1057"/>
      <c r="AB12" s="1057"/>
      <c r="AC12" s="1057"/>
      <c r="AD12" s="1058"/>
    </row>
    <row r="13" spans="2:32" s="19" customFormat="1" ht="20.25" customHeight="1" x14ac:dyDescent="0.2">
      <c r="B13" s="1038"/>
      <c r="C13" s="26" t="s">
        <v>513</v>
      </c>
      <c r="D13" s="27">
        <v>3325</v>
      </c>
      <c r="E13" s="1053"/>
      <c r="F13" s="990"/>
      <c r="G13" s="30">
        <f>SUM([3]April_2017!$F17)</f>
        <v>3261</v>
      </c>
      <c r="H13" s="990"/>
      <c r="I13" s="1005"/>
      <c r="J13" s="992"/>
      <c r="K13" s="992"/>
      <c r="L13" s="1018"/>
      <c r="M13" s="992"/>
      <c r="N13" s="1044"/>
      <c r="O13" s="992"/>
      <c r="P13" s="1046"/>
      <c r="Q13" s="32"/>
      <c r="R13" s="1040"/>
      <c r="S13" s="1040"/>
      <c r="T13" s="1040"/>
      <c r="U13" s="129"/>
      <c r="V13" s="1048"/>
      <c r="W13" s="1036"/>
      <c r="X13" s="1059"/>
      <c r="Y13" s="1060"/>
      <c r="Z13" s="1060"/>
      <c r="AA13" s="1060"/>
      <c r="AB13" s="1060"/>
      <c r="AC13" s="1060"/>
      <c r="AD13" s="1061"/>
    </row>
    <row r="14" spans="2:32" s="19" customFormat="1" ht="57.75" customHeight="1" x14ac:dyDescent="0.2">
      <c r="B14" s="168">
        <v>42837</v>
      </c>
      <c r="C14" s="26" t="s">
        <v>27</v>
      </c>
      <c r="D14" s="27">
        <v>4900</v>
      </c>
      <c r="E14" s="28">
        <v>0.36249999999999999</v>
      </c>
      <c r="F14" s="29">
        <f>SUM([3]April_2017!$J18)</f>
        <v>376.5</v>
      </c>
      <c r="G14" s="30">
        <f>SUM([3]April_2017!$F18)</f>
        <v>5691</v>
      </c>
      <c r="H14" s="29">
        <f>SUM([3]April_2017!$K18)</f>
        <v>375.60599999999999</v>
      </c>
      <c r="I14" s="31">
        <f>SUM([3]April_2017!$N18)</f>
        <v>29</v>
      </c>
      <c r="J14" s="32">
        <f>SUM([3]April_2017!$Q18)</f>
        <v>549.85507246376812</v>
      </c>
      <c r="K14" s="32">
        <f>SUM([3]April_2017!$E18)</f>
        <v>621</v>
      </c>
      <c r="L14" s="169">
        <v>0.8222222222222223</v>
      </c>
      <c r="M14" s="32">
        <f>SUM([3]April_2017!$M18)</f>
        <v>114</v>
      </c>
      <c r="N14" s="236"/>
      <c r="O14" s="32"/>
      <c r="P14" s="33">
        <f>SUM([3]April_2017!$P18)</f>
        <v>0.23745019920318869</v>
      </c>
      <c r="Q14" s="32"/>
      <c r="R14" s="46">
        <f>($G14)/(($K14/60)*AE$3*(1/24))</f>
        <v>0.87976811594202897</v>
      </c>
      <c r="S14" s="129">
        <f>($G14)/(($K14/60)*AF$3*(1/24))</f>
        <v>0.77626598465473151</v>
      </c>
      <c r="T14" s="129">
        <f>(G14)*24/(K14/60)/15000</f>
        <v>0.87976811594202908</v>
      </c>
      <c r="U14" s="129"/>
      <c r="V14" s="227">
        <f>(G14)*24/(K14/60)/17000</f>
        <v>0.77626598465473151</v>
      </c>
      <c r="W14" s="233">
        <f>(763-(M14))/763</f>
        <v>0.85058977719528184</v>
      </c>
      <c r="X14" s="1059" t="s">
        <v>525</v>
      </c>
      <c r="Y14" s="1060"/>
      <c r="Z14" s="1060"/>
      <c r="AA14" s="1060"/>
      <c r="AB14" s="1060"/>
      <c r="AC14" s="1060"/>
      <c r="AD14" s="1061"/>
    </row>
    <row r="15" spans="2:32" s="19" customFormat="1" ht="70.5" customHeight="1" x14ac:dyDescent="0.2">
      <c r="B15" s="168">
        <v>42838</v>
      </c>
      <c r="C15" s="26" t="s">
        <v>30</v>
      </c>
      <c r="D15" s="27">
        <v>4200</v>
      </c>
      <c r="E15" s="28">
        <v>0.33888888888888885</v>
      </c>
      <c r="F15" s="29">
        <f>SUM([3]April_2017!$J19)</f>
        <v>171.59999999999997</v>
      </c>
      <c r="G15" s="30">
        <f>SUM([3]April_2017!$F19)</f>
        <v>2586</v>
      </c>
      <c r="H15" s="29">
        <f>SUM([3]April_2017!$K19)</f>
        <v>170.67600000000002</v>
      </c>
      <c r="I15" s="31">
        <f>SUM([3]April_2017!$N19)</f>
        <v>17.75</v>
      </c>
      <c r="J15" s="32">
        <f>SUM([3]April_2017!$Q19)</f>
        <v>291.65413533834584</v>
      </c>
      <c r="K15" s="32">
        <f>SUM([3]April_2017!$E19)</f>
        <v>532</v>
      </c>
      <c r="L15" s="169">
        <v>0.68541666666666667</v>
      </c>
      <c r="M15" s="32">
        <f>SUM([3]April_2017!$M19)</f>
        <v>129</v>
      </c>
      <c r="N15" s="236"/>
      <c r="O15" s="32"/>
      <c r="P15" s="33">
        <f>SUM([3]April_2017!$P19)</f>
        <v>0.53846153846150935</v>
      </c>
      <c r="Q15" s="32"/>
      <c r="R15" s="46">
        <f>($G15)/(($K15/60)*AE$3*(1/24))</f>
        <v>0.46664661654135342</v>
      </c>
      <c r="S15" s="129">
        <f>($G15)/(($K15/60)*AF$3*(1/24))</f>
        <v>0.41174701459531182</v>
      </c>
      <c r="T15" s="129">
        <f>(G15)*24/(K15/60)/15000</f>
        <v>0.46664661654135337</v>
      </c>
      <c r="U15" s="129"/>
      <c r="V15" s="227">
        <f>(G15)*24/(K15/60)/17000</f>
        <v>0.41174701459531182</v>
      </c>
      <c r="W15" s="233">
        <f>(561-(M15))/561</f>
        <v>0.77005347593582885</v>
      </c>
      <c r="X15" s="1059" t="s">
        <v>526</v>
      </c>
      <c r="Y15" s="1060"/>
      <c r="Z15" s="1060"/>
      <c r="AA15" s="1060"/>
      <c r="AB15" s="1060"/>
      <c r="AC15" s="1060"/>
      <c r="AD15" s="1061"/>
    </row>
    <row r="16" spans="2:32" s="19" customFormat="1" ht="42" customHeight="1" x14ac:dyDescent="0.2">
      <c r="B16" s="1037">
        <v>42843</v>
      </c>
      <c r="C16" s="26" t="s">
        <v>30</v>
      </c>
      <c r="D16" s="27"/>
      <c r="E16" s="1051">
        <v>0.34861111111111115</v>
      </c>
      <c r="F16" s="29">
        <f>SUM([3]April_2017!$J20)</f>
        <v>92.7</v>
      </c>
      <c r="G16" s="30">
        <f>SUM([3]April_2017!$F20)</f>
        <v>1383</v>
      </c>
      <c r="H16" s="29">
        <f>SUM([3]April_2017!$K20)</f>
        <v>91.278000000000006</v>
      </c>
      <c r="I16" s="31">
        <f>SUM([3]April_2017!$N20)</f>
        <v>6.25</v>
      </c>
      <c r="J16" s="991">
        <f>SUM([3]April_2017!$Q20)</f>
        <v>396.03927986906712</v>
      </c>
      <c r="K16" s="991">
        <f>SUM([3]April_2017!$E20)</f>
        <v>611</v>
      </c>
      <c r="L16" s="1017">
        <v>0.7993055555555556</v>
      </c>
      <c r="M16" s="32">
        <f>SUM([3]April_2017!$M20)</f>
        <v>58</v>
      </c>
      <c r="N16" s="236"/>
      <c r="O16" s="32"/>
      <c r="P16" s="33">
        <f>SUM([3]April_2017!$P20)</f>
        <v>1.5339805825242687</v>
      </c>
      <c r="Q16" s="32"/>
      <c r="R16" s="1039">
        <f>($G16+G17)/(($K16/60)*AE$3*(1/24))</f>
        <v>0.63366284779050741</v>
      </c>
      <c r="S16" s="1039">
        <f>($G16+G17)/(($K16/60)*AF$3*(1/24))</f>
        <v>0.55911427746221243</v>
      </c>
      <c r="T16" s="1039">
        <f>(G16+G17)*24/(K16/60)/15000</f>
        <v>0.6336628477905073</v>
      </c>
      <c r="U16" s="129"/>
      <c r="V16" s="1047">
        <f>(G16+G17)*24/(K16/60)/17000</f>
        <v>0.55911427746221232</v>
      </c>
      <c r="W16" s="1035">
        <f>(741-(M16+M17))/741</f>
        <v>0.79352226720647778</v>
      </c>
      <c r="X16" s="1059" t="s">
        <v>527</v>
      </c>
      <c r="Y16" s="1060"/>
      <c r="Z16" s="1060"/>
      <c r="AA16" s="1060"/>
      <c r="AB16" s="1060"/>
      <c r="AC16" s="1060"/>
      <c r="AD16" s="1061"/>
    </row>
    <row r="17" spans="2:30" s="19" customFormat="1" ht="42" customHeight="1" x14ac:dyDescent="0.2">
      <c r="B17" s="1038"/>
      <c r="C17" s="26" t="s">
        <v>27</v>
      </c>
      <c r="D17" s="27">
        <v>4900</v>
      </c>
      <c r="E17" s="1053"/>
      <c r="F17" s="29">
        <f>SUM([3]April_2017!$J21)</f>
        <v>182.5</v>
      </c>
      <c r="G17" s="30">
        <f>SUM([3]April_2017!$F21)</f>
        <v>2650</v>
      </c>
      <c r="H17" s="29">
        <f>SUM([3]April_2017!$K21)</f>
        <v>180.6</v>
      </c>
      <c r="I17" s="31">
        <f>SUM([3]April_2017!$N21)</f>
        <v>24.5</v>
      </c>
      <c r="J17" s="992"/>
      <c r="K17" s="992"/>
      <c r="L17" s="1018"/>
      <c r="M17" s="32">
        <f>SUM([3]April_2017!$M21)</f>
        <v>95</v>
      </c>
      <c r="N17" s="236">
        <f>[4]Apr!$I$20/K16</f>
        <v>0.11292962356792144</v>
      </c>
      <c r="O17" s="32"/>
      <c r="P17" s="33">
        <f>SUM([3]April_2017!$P21)</f>
        <v>1.041095890410962</v>
      </c>
      <c r="Q17" s="32"/>
      <c r="R17" s="1040"/>
      <c r="S17" s="1040"/>
      <c r="T17" s="1040"/>
      <c r="U17" s="129"/>
      <c r="V17" s="1048"/>
      <c r="W17" s="1036"/>
      <c r="X17" s="1059" t="s">
        <v>528</v>
      </c>
      <c r="Y17" s="1060"/>
      <c r="Z17" s="1060"/>
      <c r="AA17" s="1060"/>
      <c r="AB17" s="1060"/>
      <c r="AC17" s="1060"/>
      <c r="AD17" s="1061"/>
    </row>
    <row r="18" spans="2:30" s="19" customFormat="1" ht="72.75" customHeight="1" x14ac:dyDescent="0.2">
      <c r="B18" s="168">
        <v>42844</v>
      </c>
      <c r="C18" s="26" t="s">
        <v>27</v>
      </c>
      <c r="D18" s="27">
        <v>2100</v>
      </c>
      <c r="E18" s="28">
        <v>0.32430555555555557</v>
      </c>
      <c r="F18" s="29">
        <f>SUM([3]April_2017!$J22)</f>
        <v>202.70000000000002</v>
      </c>
      <c r="G18" s="30">
        <f>SUM([3]April_2017!$F22)</f>
        <v>3039</v>
      </c>
      <c r="H18" s="29">
        <f>SUM([3]April_2017!$K22)</f>
        <v>200.57400000000001</v>
      </c>
      <c r="I18" s="31">
        <f>SUM([3]April_2017!$N22)</f>
        <v>17</v>
      </c>
      <c r="J18" s="32">
        <f>SUM([3]April_2017!$Q22)</f>
        <v>307.48735244519395</v>
      </c>
      <c r="K18" s="32">
        <f>SUM([3]April_2017!$E22)</f>
        <v>593</v>
      </c>
      <c r="L18" s="169">
        <v>0.76388888888888884</v>
      </c>
      <c r="M18" s="32">
        <f>SUM([3]April_2017!$M22)</f>
        <v>170</v>
      </c>
      <c r="N18" s="236"/>
      <c r="O18" s="32"/>
      <c r="P18" s="33">
        <f>SUM([3]April_2017!$P22)</f>
        <v>1.048840651208685</v>
      </c>
      <c r="Q18" s="32"/>
      <c r="R18" s="46">
        <f>($G18)/(($K18/60)*AE$3*(1/24))</f>
        <v>0.4919797639123103</v>
      </c>
      <c r="S18" s="129">
        <f>($G18)/(($K18/60)*AF$3*(1/24))</f>
        <v>0.43409979168733265</v>
      </c>
      <c r="T18" s="129">
        <f>(G18)*24/(K18/60)/15000</f>
        <v>0.4919797639123103</v>
      </c>
      <c r="U18" s="129"/>
      <c r="V18" s="227">
        <f>(G18)*24/(K18/60)/17000</f>
        <v>0.43409979168733259</v>
      </c>
      <c r="W18" s="233">
        <f>(685-(M18))/685</f>
        <v>0.75182481751824815</v>
      </c>
      <c r="X18" s="1059" t="s">
        <v>529</v>
      </c>
      <c r="Y18" s="1060"/>
      <c r="Z18" s="1060"/>
      <c r="AA18" s="1060"/>
      <c r="AB18" s="1060"/>
      <c r="AC18" s="1060"/>
      <c r="AD18" s="1061"/>
    </row>
    <row r="19" spans="2:30" s="19" customFormat="1" ht="42" customHeight="1" x14ac:dyDescent="0.2">
      <c r="B19" s="1037">
        <v>42845</v>
      </c>
      <c r="C19" s="26" t="s">
        <v>27</v>
      </c>
      <c r="D19" s="27"/>
      <c r="E19" s="1051">
        <v>0.32569444444444445</v>
      </c>
      <c r="F19" s="29">
        <f>SUM([3]April_2017!$J23)</f>
        <v>86.6</v>
      </c>
      <c r="G19" s="30">
        <f>SUM([3]April_2017!$F23)</f>
        <v>1294</v>
      </c>
      <c r="H19" s="29">
        <f>SUM([3]April_2017!$K23)</f>
        <v>85.404000000000011</v>
      </c>
      <c r="I19" s="31">
        <f>SUM([3]April_2017!$N23)</f>
        <v>15</v>
      </c>
      <c r="J19" s="991">
        <f>SUM([3]April_2017!$Q23)</f>
        <v>392.3296354992076</v>
      </c>
      <c r="K19" s="991">
        <f>SUM([3]April_2017!$E23)</f>
        <v>631</v>
      </c>
      <c r="L19" s="1017">
        <v>0.7895833333333333</v>
      </c>
      <c r="M19" s="32">
        <f>SUM([3]April_2017!$M23)</f>
        <v>67</v>
      </c>
      <c r="N19" s="236"/>
      <c r="O19" s="32"/>
      <c r="P19" s="33">
        <f>SUM([3]April_2017!$P23)</f>
        <v>1.3810623556581798</v>
      </c>
      <c r="Q19" s="32"/>
      <c r="R19" s="1039">
        <f>($G19+G20)/(($K19/60)*AE$3*(1/24))</f>
        <v>0.62772741679873223</v>
      </c>
      <c r="S19" s="1039">
        <f>($G19+G20)/(($K19/60)*AF$3*(1/24))</f>
        <v>0.55387713246946957</v>
      </c>
      <c r="T19" s="1039">
        <f>(G19+G20)*24/(K19/60)/15000</f>
        <v>0.62772741679873212</v>
      </c>
      <c r="U19" s="129"/>
      <c r="V19" s="1047">
        <f>(G19+G20)*24/(K19/60)/17000</f>
        <v>0.55387713246946957</v>
      </c>
      <c r="W19" s="1035">
        <f>(711-(M19+M20))/711</f>
        <v>0.8621659634317862</v>
      </c>
      <c r="X19" s="1059" t="s">
        <v>530</v>
      </c>
      <c r="Y19" s="1060"/>
      <c r="Z19" s="1060"/>
      <c r="AA19" s="1060"/>
      <c r="AB19" s="1060"/>
      <c r="AC19" s="1060"/>
      <c r="AD19" s="1061"/>
    </row>
    <row r="20" spans="2:30" s="19" customFormat="1" ht="42" customHeight="1" x14ac:dyDescent="0.2">
      <c r="B20" s="1038"/>
      <c r="C20" s="26" t="s">
        <v>513</v>
      </c>
      <c r="D20" s="27">
        <v>2800</v>
      </c>
      <c r="E20" s="1053"/>
      <c r="F20" s="29">
        <f>SUM([3]April_2017!$J24)</f>
        <v>216.09999999999997</v>
      </c>
      <c r="G20" s="30">
        <f>SUM([3]April_2017!$F24)</f>
        <v>2832</v>
      </c>
      <c r="H20" s="29">
        <f>SUM([3]April_2017!$K24)</f>
        <v>215.41200000000001</v>
      </c>
      <c r="I20" s="31">
        <f>SUM([3]April_2017!$N24)</f>
        <v>4</v>
      </c>
      <c r="J20" s="992"/>
      <c r="K20" s="992"/>
      <c r="L20" s="1018"/>
      <c r="M20" s="32">
        <f>SUM([3]April_2017!$M24)</f>
        <v>31</v>
      </c>
      <c r="N20" s="236">
        <f>[4]Apr!$I$23/K19</f>
        <v>3.328050713153724E-2</v>
      </c>
      <c r="O20" s="32"/>
      <c r="P20" s="33">
        <f>SUM([3]April_2017!$P24)</f>
        <v>0.31837112447938909</v>
      </c>
      <c r="Q20" s="32"/>
      <c r="R20" s="1040"/>
      <c r="S20" s="1040"/>
      <c r="T20" s="1040"/>
      <c r="U20" s="129"/>
      <c r="V20" s="1048"/>
      <c r="W20" s="1036"/>
      <c r="X20" s="1059" t="s">
        <v>531</v>
      </c>
      <c r="Y20" s="1060"/>
      <c r="Z20" s="1060"/>
      <c r="AA20" s="1060"/>
      <c r="AB20" s="1060"/>
      <c r="AC20" s="1060"/>
      <c r="AD20" s="1061"/>
    </row>
    <row r="21" spans="2:30" s="19" customFormat="1" ht="78.75" customHeight="1" x14ac:dyDescent="0.2">
      <c r="B21" s="168">
        <v>42846</v>
      </c>
      <c r="C21" s="26" t="s">
        <v>513</v>
      </c>
      <c r="D21" s="27">
        <v>3500</v>
      </c>
      <c r="E21" s="28">
        <v>0.32361111111111113</v>
      </c>
      <c r="F21" s="29">
        <f>SUM([3]April_2017!$J25)</f>
        <v>254.99999999999997</v>
      </c>
      <c r="G21" s="30">
        <f>SUM([3]April_2017!$F25)</f>
        <v>3838</v>
      </c>
      <c r="H21" s="29">
        <f>SUM([3]April_2017!$K25)</f>
        <v>253.30800000000002</v>
      </c>
      <c r="I21" s="31">
        <f>SUM([3]April_2017!$N25)</f>
        <v>13.75</v>
      </c>
      <c r="J21" s="32">
        <f>SUM([3]April_2017!$Q25)</f>
        <v>423.30882352941177</v>
      </c>
      <c r="K21" s="32">
        <f>SUM([3]April_2017!$E25)</f>
        <v>544</v>
      </c>
      <c r="L21" s="169">
        <v>0.72986111111111107</v>
      </c>
      <c r="M21" s="32">
        <f>SUM([3]April_2017!$M25)</f>
        <v>41</v>
      </c>
      <c r="N21" s="236"/>
      <c r="O21" s="32"/>
      <c r="P21" s="33">
        <f>SUM([3]April_2017!$P25)</f>
        <v>0.66352941176468649</v>
      </c>
      <c r="Q21" s="32"/>
      <c r="R21" s="46">
        <f>($G21)/(($K21/60)*AE$3*(1/24))</f>
        <v>0.67729411764705894</v>
      </c>
      <c r="S21" s="129">
        <f>($G21)/(($K21/60)*AF$3*(1/24))</f>
        <v>0.59761245674740482</v>
      </c>
      <c r="T21" s="129">
        <f>(G21)*24/(K21/60)/15000</f>
        <v>0.67729411764705882</v>
      </c>
      <c r="U21" s="129"/>
      <c r="V21" s="227">
        <f>(G21)*24/(K21/60)/17000</f>
        <v>0.59761245674740493</v>
      </c>
      <c r="W21" s="233">
        <f>(645-(M21))/645</f>
        <v>0.93643410852713183</v>
      </c>
      <c r="X21" s="1059" t="s">
        <v>532</v>
      </c>
      <c r="Y21" s="1060"/>
      <c r="Z21" s="1060"/>
      <c r="AA21" s="1060"/>
      <c r="AB21" s="1060"/>
      <c r="AC21" s="1060"/>
      <c r="AD21" s="1061"/>
    </row>
    <row r="22" spans="2:30" s="19" customFormat="1" ht="79.5" customHeight="1" x14ac:dyDescent="0.2">
      <c r="B22" s="168">
        <v>42849</v>
      </c>
      <c r="C22" s="26" t="s">
        <v>518</v>
      </c>
      <c r="D22" s="1098">
        <v>4000</v>
      </c>
      <c r="E22" s="28">
        <v>0.52083333333333337</v>
      </c>
      <c r="F22" s="29">
        <f>SUM([3]April_2017!$J26)</f>
        <v>146.20000000000002</v>
      </c>
      <c r="G22" s="30">
        <f>SUM([3]April_2017!$F26)</f>
        <v>1883</v>
      </c>
      <c r="H22" s="29">
        <f>SUM([3]April_2017!$K26)</f>
        <v>140.09519999999998</v>
      </c>
      <c r="I22" s="31">
        <f>SUM([3]April_2017!$N26)</f>
        <v>46.75</v>
      </c>
      <c r="J22" s="32">
        <f>SUM([3]April_2017!$Q26)</f>
        <v>321.88034188034192</v>
      </c>
      <c r="K22" s="32">
        <f>SUM([3]April_2017!$E26)</f>
        <v>351</v>
      </c>
      <c r="L22" s="169">
        <v>0.79166666666666663</v>
      </c>
      <c r="M22" s="32">
        <f>SUM([3]April_2017!$M26)</f>
        <v>368</v>
      </c>
      <c r="N22" s="236"/>
      <c r="O22" s="32"/>
      <c r="P22" s="33">
        <f>SUM([3]April_2017!$P26)</f>
        <v>4.175649794801668</v>
      </c>
      <c r="Q22" s="32"/>
      <c r="R22" s="46">
        <f>($G22)/(($K22/60)*AE$3*(1/24))</f>
        <v>0.51500854700854704</v>
      </c>
      <c r="S22" s="129">
        <f>($G22)/(($K22/60)*AF$3*(1/24))</f>
        <v>0.45441930618401205</v>
      </c>
      <c r="T22" s="129">
        <f>(G22)*24/(K22/60)/15000</f>
        <v>0.51500854700854704</v>
      </c>
      <c r="U22" s="129"/>
      <c r="V22" s="227">
        <f>(G22)*24/(K22/60)/17000</f>
        <v>0.45441930618401211</v>
      </c>
      <c r="W22" s="233">
        <f>(711-(M22))/711</f>
        <v>0.48241912798874825</v>
      </c>
      <c r="X22" s="1059" t="s">
        <v>533</v>
      </c>
      <c r="Y22" s="1060"/>
      <c r="Z22" s="1060"/>
      <c r="AA22" s="1060"/>
      <c r="AB22" s="1060"/>
      <c r="AC22" s="1060"/>
      <c r="AD22" s="1061"/>
    </row>
    <row r="23" spans="2:30" s="19" customFormat="1" ht="42" customHeight="1" x14ac:dyDescent="0.2">
      <c r="B23" s="1037">
        <v>42850</v>
      </c>
      <c r="C23" s="26" t="s">
        <v>518</v>
      </c>
      <c r="D23" s="1099"/>
      <c r="E23" s="1051">
        <v>0.3347222222222222</v>
      </c>
      <c r="F23" s="29">
        <f>SUM([3]April_2017!$J27)</f>
        <v>160.6</v>
      </c>
      <c r="G23" s="30">
        <f>SUM([3]April_2017!$F27)</f>
        <v>2118</v>
      </c>
      <c r="H23" s="29">
        <f>SUM([3]April_2017!$K27)</f>
        <v>157.57919999999999</v>
      </c>
      <c r="I23" s="31">
        <f>SUM([3]April_2017!$N27)</f>
        <v>8.25</v>
      </c>
      <c r="J23" s="991">
        <f>SUM([3]April_2017!$Q27)</f>
        <v>346.51465798045604</v>
      </c>
      <c r="K23" s="991">
        <f>SUM([3]April_2017!$E27)</f>
        <v>614</v>
      </c>
      <c r="L23" s="1017">
        <v>0.90347222222222223</v>
      </c>
      <c r="M23" s="32">
        <f>SUM([3]April_2017!$M27)</f>
        <v>41</v>
      </c>
      <c r="N23" s="236"/>
      <c r="O23" s="32"/>
      <c r="P23" s="33">
        <f>SUM([3]April_2017!$P27)</f>
        <v>1.8809464508094695</v>
      </c>
      <c r="Q23" s="32"/>
      <c r="R23" s="1039">
        <f>($G23+G24)/(($K23/60)*AE$3*(1/24))</f>
        <v>0.55442345276872962</v>
      </c>
      <c r="S23" s="1039">
        <f>($G23+G24)/(($K23/60)*AF$3*(1/24))</f>
        <v>0.48919716420770265</v>
      </c>
      <c r="T23" s="1039">
        <f>(G23+G24)*24/(K23/60)/15000</f>
        <v>0.55442345276872973</v>
      </c>
      <c r="U23" s="129"/>
      <c r="V23" s="1047">
        <f>(G23+G24)*24/(K23/60)/17000</f>
        <v>0.48919716420770271</v>
      </c>
      <c r="W23" s="1035">
        <f>(878-(M23+M24))/878</f>
        <v>0.69703872437357628</v>
      </c>
      <c r="X23" s="1059" t="s">
        <v>534</v>
      </c>
      <c r="Y23" s="1060"/>
      <c r="Z23" s="1060"/>
      <c r="AA23" s="1060"/>
      <c r="AB23" s="1060"/>
      <c r="AC23" s="1060"/>
      <c r="AD23" s="1061"/>
    </row>
    <row r="24" spans="2:30" s="19" customFormat="1" ht="42" customHeight="1" x14ac:dyDescent="0.2">
      <c r="B24" s="1038"/>
      <c r="C24" s="26" t="s">
        <v>33</v>
      </c>
      <c r="D24" s="1098">
        <v>4200</v>
      </c>
      <c r="E24" s="1053"/>
      <c r="F24" s="29">
        <f>SUM([3]April_2017!$J28)</f>
        <v>95.5</v>
      </c>
      <c r="G24" s="30">
        <f>SUM([3]April_2017!$F28)</f>
        <v>1428</v>
      </c>
      <c r="H24" s="29">
        <f>SUM([3]April_2017!$K28)</f>
        <v>94.248000000000005</v>
      </c>
      <c r="I24" s="31">
        <f>SUM([3]April_2017!$N28)</f>
        <v>22</v>
      </c>
      <c r="J24" s="992"/>
      <c r="K24" s="992"/>
      <c r="L24" s="1018"/>
      <c r="M24" s="32">
        <f>SUM([3]April_2017!$M28)</f>
        <v>225</v>
      </c>
      <c r="N24" s="236">
        <f>[4]Apr!$I$27/K23</f>
        <v>0.16938110749185667</v>
      </c>
      <c r="O24" s="32"/>
      <c r="P24" s="33">
        <f>SUM([3]April_2017!$P28)</f>
        <v>1.310994764397901</v>
      </c>
      <c r="Q24" s="32"/>
      <c r="R24" s="1040"/>
      <c r="S24" s="1040"/>
      <c r="T24" s="1040"/>
      <c r="U24" s="129"/>
      <c r="V24" s="1048"/>
      <c r="W24" s="1036"/>
      <c r="X24" s="1059" t="s">
        <v>535</v>
      </c>
      <c r="Y24" s="1060"/>
      <c r="Z24" s="1060"/>
      <c r="AA24" s="1060"/>
      <c r="AB24" s="1060"/>
      <c r="AC24" s="1060"/>
      <c r="AD24" s="1061"/>
    </row>
    <row r="25" spans="2:30" s="19" customFormat="1" ht="57.75" customHeight="1" x14ac:dyDescent="0.2">
      <c r="B25" s="168">
        <v>42851</v>
      </c>
      <c r="C25" s="26" t="s">
        <v>33</v>
      </c>
      <c r="D25" s="1099"/>
      <c r="E25" s="28">
        <v>0.33333333333333331</v>
      </c>
      <c r="F25" s="29">
        <f>SUM([3]April_2017!$J29)</f>
        <v>192</v>
      </c>
      <c r="G25" s="30">
        <f>SUM([3]April_2017!$F29)</f>
        <v>2888</v>
      </c>
      <c r="H25" s="29">
        <f>SUM([3]April_2017!$K29)</f>
        <v>190.608</v>
      </c>
      <c r="I25" s="31">
        <f>SUM([3]April_2017!$N29)</f>
        <v>29</v>
      </c>
      <c r="J25" s="32">
        <f>SUM([3]April_2017!$Q29)</f>
        <v>407.71764705882356</v>
      </c>
      <c r="K25" s="32">
        <f>SUM([3]April_2017!$E29)</f>
        <v>425</v>
      </c>
      <c r="L25" s="169">
        <v>0.69305555555555554</v>
      </c>
      <c r="M25" s="32">
        <f>SUM([3]April_2017!$M29)</f>
        <v>100</v>
      </c>
      <c r="N25" s="236"/>
      <c r="O25" s="32"/>
      <c r="P25" s="33">
        <f>SUM([3]April_2017!$P29)</f>
        <v>0.72499999999999787</v>
      </c>
      <c r="Q25" s="32"/>
      <c r="R25" s="46">
        <f t="shared" ref="R25:S27" si="1">($G25)/(($K25/60)*AE$3*(1/24))</f>
        <v>0.65234823529411767</v>
      </c>
      <c r="S25" s="129">
        <f t="shared" si="1"/>
        <v>0.57560138408304506</v>
      </c>
      <c r="T25" s="129">
        <f>(G25)*24/(K25/60)/15000</f>
        <v>0.65234823529411767</v>
      </c>
      <c r="U25" s="129"/>
      <c r="V25" s="227">
        <f>(G25)*24/(K25/60)/17000</f>
        <v>0.57560138408304506</v>
      </c>
      <c r="W25" s="233">
        <f>(576-(M25))/576</f>
        <v>0.82638888888888884</v>
      </c>
      <c r="X25" s="1059" t="s">
        <v>536</v>
      </c>
      <c r="Y25" s="1060"/>
      <c r="Z25" s="1060"/>
      <c r="AA25" s="1060"/>
      <c r="AB25" s="1060"/>
      <c r="AC25" s="1060"/>
      <c r="AD25" s="1061"/>
    </row>
    <row r="26" spans="2:30" s="19" customFormat="1" ht="93" customHeight="1" x14ac:dyDescent="0.2">
      <c r="B26" s="291">
        <v>42852</v>
      </c>
      <c r="C26" s="26" t="s">
        <v>30</v>
      </c>
      <c r="D26" s="27">
        <v>4900</v>
      </c>
      <c r="E26" s="28">
        <v>0.32569444444444445</v>
      </c>
      <c r="F26" s="29">
        <f>SUM([3]April_2017!$J30)</f>
        <v>324</v>
      </c>
      <c r="G26" s="30">
        <f>SUM([3]April_2017!$F30)</f>
        <v>4868</v>
      </c>
      <c r="H26" s="29">
        <f>SUM([3]April_2017!$K30)</f>
        <v>321.28800000000001</v>
      </c>
      <c r="I26" s="31">
        <f>SUM([3]April_2017!$N30)</f>
        <v>36.25</v>
      </c>
      <c r="J26" s="32">
        <f>SUM([3]April_2017!$Q30)</f>
        <v>418.45272206303724</v>
      </c>
      <c r="K26" s="32">
        <f>SUM([3]April_2017!$E30)</f>
        <v>698</v>
      </c>
      <c r="L26" s="293">
        <v>0.84166666666666667</v>
      </c>
      <c r="M26" s="32">
        <f>SUM([3]April_2017!$M30)</f>
        <v>186</v>
      </c>
      <c r="N26" s="236"/>
      <c r="O26" s="32">
        <v>134</v>
      </c>
      <c r="P26" s="33">
        <f>SUM([3]April_2017!$P30)</f>
        <v>0.83703703703703369</v>
      </c>
      <c r="Q26" s="32"/>
      <c r="R26" s="46">
        <f t="shared" si="1"/>
        <v>0.66952435530085963</v>
      </c>
      <c r="S26" s="129">
        <f t="shared" si="1"/>
        <v>0.59075678408899379</v>
      </c>
      <c r="T26" s="129">
        <f>(G26)*24/(K26/60)/15000</f>
        <v>0.66952435530085963</v>
      </c>
      <c r="U26" s="129"/>
      <c r="V26" s="227">
        <f>(G26)*24/(K26/60)/17000</f>
        <v>0.59075678408899379</v>
      </c>
      <c r="W26" s="233">
        <f>(786-(M26))/786</f>
        <v>0.76335877862595425</v>
      </c>
      <c r="X26" s="1059" t="s">
        <v>537</v>
      </c>
      <c r="Y26" s="1060"/>
      <c r="Z26" s="1060"/>
      <c r="AA26" s="1060"/>
      <c r="AB26" s="1060"/>
      <c r="AC26" s="1060"/>
      <c r="AD26" s="1061"/>
    </row>
    <row r="27" spans="2:30" s="19" customFormat="1" ht="42" customHeight="1" x14ac:dyDescent="0.2">
      <c r="B27" s="168">
        <v>42853</v>
      </c>
      <c r="C27" s="26" t="s">
        <v>27</v>
      </c>
      <c r="D27" s="27">
        <v>4200</v>
      </c>
      <c r="E27" s="28">
        <v>0.3444444444444445</v>
      </c>
      <c r="F27" s="29">
        <f>SUM([3]April_2017!$J31)</f>
        <v>266</v>
      </c>
      <c r="G27" s="30">
        <f>SUM([3]April_2017!$F31)</f>
        <v>4010</v>
      </c>
      <c r="H27" s="29">
        <f>SUM([3]April_2017!$K31)</f>
        <v>264.66000000000003</v>
      </c>
      <c r="I27" s="31">
        <f>SUM([3]April_2017!$N31)</f>
        <v>18</v>
      </c>
      <c r="J27" s="32">
        <f>SUM([3]April_2017!$Q31)</f>
        <v>572.85714285714289</v>
      </c>
      <c r="K27" s="32">
        <f>SUM([3]April_2017!$E31)</f>
        <v>420</v>
      </c>
      <c r="L27" s="169">
        <v>0.66875000000000007</v>
      </c>
      <c r="M27" s="32">
        <f>SUM([3]April_2017!$M31)</f>
        <v>59</v>
      </c>
      <c r="N27" s="236"/>
      <c r="O27" s="32"/>
      <c r="P27" s="33">
        <f>SUM([3]April_2017!$P31)</f>
        <v>0.50375939849623119</v>
      </c>
      <c r="Q27" s="32"/>
      <c r="R27" s="46">
        <f t="shared" si="1"/>
        <v>0.91657142857142859</v>
      </c>
      <c r="S27" s="129">
        <f t="shared" si="1"/>
        <v>0.80873949579831939</v>
      </c>
      <c r="T27" s="129">
        <f>(G27)*24/(K27/60)/15000</f>
        <v>0.91657142857142859</v>
      </c>
      <c r="U27" s="129"/>
      <c r="V27" s="227">
        <f>(G27)*24/(K27/60)/17000</f>
        <v>0.80873949579831939</v>
      </c>
      <c r="W27" s="233">
        <f>(537-(M27))/537</f>
        <v>0.8901303538175046</v>
      </c>
      <c r="X27" s="1059" t="s">
        <v>538</v>
      </c>
      <c r="Y27" s="1060"/>
      <c r="Z27" s="1060"/>
      <c r="AA27" s="1060"/>
      <c r="AB27" s="1060"/>
      <c r="AC27" s="1060"/>
      <c r="AD27" s="1061"/>
    </row>
    <row r="28" spans="2:30" s="19" customFormat="1" ht="42" customHeight="1" thickBot="1" x14ac:dyDescent="0.25">
      <c r="B28" s="168"/>
      <c r="C28" s="26"/>
      <c r="D28" s="27"/>
      <c r="E28" s="28"/>
      <c r="F28" s="29"/>
      <c r="G28" s="30"/>
      <c r="H28" s="29"/>
      <c r="I28" s="31"/>
      <c r="J28" s="285"/>
      <c r="K28" s="285"/>
      <c r="L28" s="169"/>
      <c r="M28" s="285"/>
      <c r="N28" s="236"/>
      <c r="O28" s="32"/>
      <c r="P28" s="33"/>
      <c r="Q28" s="32"/>
      <c r="R28" s="224"/>
      <c r="S28" s="224"/>
      <c r="T28" s="224"/>
      <c r="U28" s="129"/>
      <c r="V28" s="225"/>
      <c r="W28" s="288"/>
      <c r="X28" s="1059"/>
      <c r="Y28" s="1060"/>
      <c r="Z28" s="1060"/>
      <c r="AA28" s="1060"/>
      <c r="AB28" s="1060"/>
      <c r="AC28" s="1060"/>
      <c r="AD28" s="1061"/>
    </row>
    <row r="29" spans="2:30" s="19" customFormat="1" ht="42" hidden="1" customHeight="1" x14ac:dyDescent="0.2">
      <c r="B29" s="168"/>
      <c r="C29" s="26"/>
      <c r="D29" s="27"/>
      <c r="E29" s="28"/>
      <c r="F29" s="29"/>
      <c r="G29" s="30"/>
      <c r="H29" s="29"/>
      <c r="I29" s="31"/>
      <c r="J29" s="285"/>
      <c r="K29" s="285"/>
      <c r="L29" s="169"/>
      <c r="M29" s="285"/>
      <c r="N29" s="236"/>
      <c r="O29" s="32"/>
      <c r="P29" s="33"/>
      <c r="Q29" s="32"/>
      <c r="R29" s="224"/>
      <c r="S29" s="224"/>
      <c r="T29" s="224"/>
      <c r="U29" s="129"/>
      <c r="V29" s="225"/>
      <c r="W29" s="288"/>
      <c r="X29" s="1059"/>
      <c r="Y29" s="1060"/>
      <c r="Z29" s="1060"/>
      <c r="AA29" s="1060"/>
      <c r="AB29" s="1060"/>
      <c r="AC29" s="1060"/>
      <c r="AD29" s="1061"/>
    </row>
    <row r="30" spans="2:30" s="19" customFormat="1" ht="42" hidden="1" customHeight="1" thickBot="1" x14ac:dyDescent="0.25">
      <c r="B30" s="168"/>
      <c r="C30" s="26"/>
      <c r="D30" s="27"/>
      <c r="E30" s="28"/>
      <c r="F30" s="29"/>
      <c r="G30" s="30"/>
      <c r="H30" s="29"/>
      <c r="I30" s="31"/>
      <c r="J30" s="285"/>
      <c r="K30" s="285"/>
      <c r="L30" s="169"/>
      <c r="M30" s="285"/>
      <c r="N30" s="236"/>
      <c r="O30" s="32"/>
      <c r="P30" s="33"/>
      <c r="Q30" s="32"/>
      <c r="R30" s="224"/>
      <c r="S30" s="224"/>
      <c r="T30" s="224"/>
      <c r="U30" s="129"/>
      <c r="V30" s="225"/>
      <c r="W30" s="288"/>
      <c r="X30" s="1059"/>
      <c r="Y30" s="1060"/>
      <c r="Z30" s="1060"/>
      <c r="AA30" s="1060"/>
      <c r="AB30" s="1060"/>
      <c r="AC30" s="1060"/>
      <c r="AD30" s="1061"/>
    </row>
    <row r="31" spans="2:30" s="19" customFormat="1" ht="42" hidden="1" customHeight="1" x14ac:dyDescent="0.2">
      <c r="B31" s="168"/>
      <c r="C31" s="26"/>
      <c r="D31" s="27"/>
      <c r="E31" s="28"/>
      <c r="F31" s="29"/>
      <c r="G31" s="30"/>
      <c r="H31" s="29"/>
      <c r="I31" s="31"/>
      <c r="J31" s="285"/>
      <c r="K31" s="285"/>
      <c r="L31" s="169"/>
      <c r="M31" s="285"/>
      <c r="N31" s="236"/>
      <c r="O31" s="32"/>
      <c r="P31" s="33"/>
      <c r="Q31" s="32"/>
      <c r="R31" s="224"/>
      <c r="S31" s="224"/>
      <c r="T31" s="224"/>
      <c r="U31" s="129"/>
      <c r="V31" s="225"/>
      <c r="W31" s="288"/>
      <c r="X31" s="1059"/>
      <c r="Y31" s="1060"/>
      <c r="Z31" s="1060"/>
      <c r="AA31" s="1060"/>
      <c r="AB31" s="1060"/>
      <c r="AC31" s="1060"/>
      <c r="AD31" s="1061"/>
    </row>
    <row r="32" spans="2:30" s="19" customFormat="1" ht="42" hidden="1" customHeight="1" x14ac:dyDescent="0.2">
      <c r="B32" s="168"/>
      <c r="C32" s="26"/>
      <c r="D32" s="27"/>
      <c r="E32" s="28"/>
      <c r="F32" s="29"/>
      <c r="G32" s="30"/>
      <c r="H32" s="29"/>
      <c r="I32" s="31"/>
      <c r="J32" s="285"/>
      <c r="K32" s="285"/>
      <c r="L32" s="169"/>
      <c r="M32" s="285"/>
      <c r="N32" s="236"/>
      <c r="O32" s="32"/>
      <c r="P32" s="33"/>
      <c r="Q32" s="32"/>
      <c r="R32" s="224"/>
      <c r="S32" s="224"/>
      <c r="T32" s="224"/>
      <c r="U32" s="129"/>
      <c r="V32" s="225"/>
      <c r="W32" s="288"/>
      <c r="X32" s="1059"/>
      <c r="Y32" s="1060"/>
      <c r="Z32" s="1060"/>
      <c r="AA32" s="1060"/>
      <c r="AB32" s="1060"/>
      <c r="AC32" s="1060"/>
      <c r="AD32" s="1061"/>
    </row>
    <row r="33" spans="2:30" s="19" customFormat="1" ht="42" hidden="1" customHeight="1" x14ac:dyDescent="0.2">
      <c r="B33" s="168"/>
      <c r="C33" s="26"/>
      <c r="D33" s="27"/>
      <c r="E33" s="28"/>
      <c r="F33" s="29"/>
      <c r="G33" s="30"/>
      <c r="H33" s="29"/>
      <c r="I33" s="31"/>
      <c r="J33" s="285"/>
      <c r="K33" s="285"/>
      <c r="L33" s="169"/>
      <c r="M33" s="285"/>
      <c r="N33" s="236"/>
      <c r="O33" s="32"/>
      <c r="P33" s="33"/>
      <c r="Q33" s="32"/>
      <c r="R33" s="224"/>
      <c r="S33" s="224"/>
      <c r="T33" s="224"/>
      <c r="U33" s="129"/>
      <c r="V33" s="225"/>
      <c r="W33" s="288"/>
      <c r="X33" s="1059"/>
      <c r="Y33" s="1060"/>
      <c r="Z33" s="1060"/>
      <c r="AA33" s="1060"/>
      <c r="AB33" s="1060"/>
      <c r="AC33" s="1060"/>
      <c r="AD33" s="1061"/>
    </row>
    <row r="34" spans="2:30" s="19" customFormat="1" ht="42" hidden="1" customHeight="1" x14ac:dyDescent="0.2">
      <c r="B34" s="168"/>
      <c r="C34" s="26"/>
      <c r="D34" s="27"/>
      <c r="E34" s="28"/>
      <c r="F34" s="29"/>
      <c r="G34" s="30"/>
      <c r="H34" s="29"/>
      <c r="I34" s="31"/>
      <c r="J34" s="285"/>
      <c r="K34" s="285"/>
      <c r="L34" s="169"/>
      <c r="M34" s="285"/>
      <c r="N34" s="236"/>
      <c r="O34" s="32"/>
      <c r="P34" s="33"/>
      <c r="Q34" s="32"/>
      <c r="R34" s="224"/>
      <c r="S34" s="224"/>
      <c r="T34" s="224"/>
      <c r="U34" s="129"/>
      <c r="V34" s="225"/>
      <c r="W34" s="288"/>
      <c r="X34" s="1059"/>
      <c r="Y34" s="1060"/>
      <c r="Z34" s="1060"/>
      <c r="AA34" s="1060"/>
      <c r="AB34" s="1060"/>
      <c r="AC34" s="1060"/>
      <c r="AD34" s="1061"/>
    </row>
    <row r="35" spans="2:30" s="19" customFormat="1" ht="42" hidden="1" customHeight="1" x14ac:dyDescent="0.2">
      <c r="B35" s="168"/>
      <c r="C35" s="26"/>
      <c r="D35" s="27"/>
      <c r="E35" s="28"/>
      <c r="F35" s="29"/>
      <c r="G35" s="30"/>
      <c r="H35" s="29"/>
      <c r="I35" s="31"/>
      <c r="J35" s="285"/>
      <c r="K35" s="285"/>
      <c r="L35" s="169"/>
      <c r="M35" s="285"/>
      <c r="N35" s="236"/>
      <c r="O35" s="32"/>
      <c r="P35" s="33"/>
      <c r="Q35" s="32"/>
      <c r="R35" s="224"/>
      <c r="S35" s="224"/>
      <c r="T35" s="224"/>
      <c r="U35" s="129"/>
      <c r="V35" s="225"/>
      <c r="W35" s="288"/>
      <c r="X35" s="1059"/>
      <c r="Y35" s="1060"/>
      <c r="Z35" s="1060"/>
      <c r="AA35" s="1060"/>
      <c r="AB35" s="1060"/>
      <c r="AC35" s="1060"/>
      <c r="AD35" s="1061"/>
    </row>
    <row r="36" spans="2:30" s="19" customFormat="1" ht="42" hidden="1" customHeight="1" x14ac:dyDescent="0.2">
      <c r="B36" s="168"/>
      <c r="C36" s="26"/>
      <c r="D36" s="27"/>
      <c r="E36" s="28"/>
      <c r="F36" s="29"/>
      <c r="G36" s="30"/>
      <c r="H36" s="29"/>
      <c r="I36" s="31"/>
      <c r="J36" s="285"/>
      <c r="K36" s="285"/>
      <c r="L36" s="169"/>
      <c r="M36" s="285"/>
      <c r="N36" s="236"/>
      <c r="O36" s="32"/>
      <c r="P36" s="33"/>
      <c r="Q36" s="32"/>
      <c r="R36" s="224"/>
      <c r="S36" s="224"/>
      <c r="T36" s="224"/>
      <c r="U36" s="129"/>
      <c r="V36" s="225"/>
      <c r="W36" s="288"/>
      <c r="X36" s="1059"/>
      <c r="Y36" s="1060"/>
      <c r="Z36" s="1060"/>
      <c r="AA36" s="1060"/>
      <c r="AB36" s="1060"/>
      <c r="AC36" s="1060"/>
      <c r="AD36" s="1061"/>
    </row>
    <row r="37" spans="2:30" s="19" customFormat="1" ht="42" hidden="1" customHeight="1" x14ac:dyDescent="0.2">
      <c r="B37" s="168"/>
      <c r="C37" s="26"/>
      <c r="D37" s="27"/>
      <c r="E37" s="28"/>
      <c r="F37" s="29"/>
      <c r="G37" s="30"/>
      <c r="H37" s="29"/>
      <c r="I37" s="31"/>
      <c r="J37" s="285"/>
      <c r="K37" s="285"/>
      <c r="L37" s="169"/>
      <c r="M37" s="285"/>
      <c r="N37" s="236"/>
      <c r="O37" s="32"/>
      <c r="P37" s="33"/>
      <c r="Q37" s="32"/>
      <c r="R37" s="224"/>
      <c r="S37" s="224"/>
      <c r="T37" s="224"/>
      <c r="U37" s="129"/>
      <c r="V37" s="225"/>
      <c r="W37" s="288"/>
      <c r="X37" s="1059"/>
      <c r="Y37" s="1060"/>
      <c r="Z37" s="1060"/>
      <c r="AA37" s="1060"/>
      <c r="AB37" s="1060"/>
      <c r="AC37" s="1060"/>
      <c r="AD37" s="1061"/>
    </row>
    <row r="38" spans="2:30" s="19" customFormat="1" ht="57" hidden="1" customHeight="1" x14ac:dyDescent="0.2">
      <c r="B38" s="168"/>
      <c r="C38" s="26"/>
      <c r="D38" s="27"/>
      <c r="E38" s="28"/>
      <c r="F38" s="29"/>
      <c r="G38" s="30"/>
      <c r="H38" s="29"/>
      <c r="I38" s="31"/>
      <c r="J38" s="285"/>
      <c r="K38" s="285"/>
      <c r="L38" s="169"/>
      <c r="M38" s="285"/>
      <c r="N38" s="236"/>
      <c r="O38" s="32"/>
      <c r="P38" s="33"/>
      <c r="Q38" s="32"/>
      <c r="R38" s="224"/>
      <c r="S38" s="224"/>
      <c r="T38" s="224"/>
      <c r="U38" s="129"/>
      <c r="V38" s="225"/>
      <c r="W38" s="288"/>
      <c r="X38" s="1059"/>
      <c r="Y38" s="1060"/>
      <c r="Z38" s="1060"/>
      <c r="AA38" s="1060"/>
      <c r="AB38" s="1060"/>
      <c r="AC38" s="1060"/>
      <c r="AD38" s="1061"/>
    </row>
    <row r="39" spans="2:30" s="19" customFormat="1" ht="19.5" hidden="1" customHeight="1" x14ac:dyDescent="0.2">
      <c r="B39" s="168"/>
      <c r="C39" s="26"/>
      <c r="D39" s="27"/>
      <c r="E39" s="28"/>
      <c r="F39" s="29"/>
      <c r="G39" s="30"/>
      <c r="H39" s="29"/>
      <c r="I39" s="31"/>
      <c r="J39" s="285"/>
      <c r="K39" s="285"/>
      <c r="L39" s="169"/>
      <c r="M39" s="285"/>
      <c r="N39" s="236"/>
      <c r="O39" s="32"/>
      <c r="P39" s="33"/>
      <c r="Q39" s="32"/>
      <c r="R39" s="224"/>
      <c r="S39" s="224"/>
      <c r="T39" s="224"/>
      <c r="U39" s="129"/>
      <c r="V39" s="225"/>
      <c r="W39" s="288"/>
      <c r="X39" s="1013"/>
      <c r="Y39" s="1014"/>
      <c r="Z39" s="1014"/>
      <c r="AA39" s="1014"/>
      <c r="AB39" s="1014"/>
      <c r="AC39" s="1014"/>
      <c r="AD39" s="1015"/>
    </row>
    <row r="40" spans="2:30" s="19" customFormat="1" ht="19.5" hidden="1" customHeight="1" x14ac:dyDescent="0.2">
      <c r="B40" s="168"/>
      <c r="C40" s="26"/>
      <c r="D40" s="27"/>
      <c r="E40" s="28"/>
      <c r="F40" s="29"/>
      <c r="G40" s="30"/>
      <c r="H40" s="29"/>
      <c r="I40" s="31"/>
      <c r="J40" s="285"/>
      <c r="K40" s="285"/>
      <c r="L40" s="169"/>
      <c r="M40" s="285"/>
      <c r="N40" s="236"/>
      <c r="O40" s="32"/>
      <c r="P40" s="33"/>
      <c r="Q40" s="32"/>
      <c r="R40" s="224"/>
      <c r="S40" s="224"/>
      <c r="T40" s="224"/>
      <c r="U40" s="129"/>
      <c r="V40" s="225"/>
      <c r="W40" s="288"/>
      <c r="X40" s="1013"/>
      <c r="Y40" s="1014"/>
      <c r="Z40" s="1014"/>
      <c r="AA40" s="1014"/>
      <c r="AB40" s="1014"/>
      <c r="AC40" s="1014"/>
      <c r="AD40" s="1015"/>
    </row>
    <row r="41" spans="2:30" s="19" customFormat="1" ht="19.5" hidden="1" customHeight="1" x14ac:dyDescent="0.2">
      <c r="B41" s="168"/>
      <c r="C41" s="26"/>
      <c r="D41" s="27"/>
      <c r="E41" s="28"/>
      <c r="F41" s="29"/>
      <c r="G41" s="30"/>
      <c r="H41" s="29"/>
      <c r="I41" s="31"/>
      <c r="J41" s="285"/>
      <c r="K41" s="285"/>
      <c r="L41" s="169"/>
      <c r="M41" s="285"/>
      <c r="N41" s="236"/>
      <c r="O41" s="32"/>
      <c r="P41" s="33"/>
      <c r="Q41" s="32"/>
      <c r="R41" s="224"/>
      <c r="S41" s="224"/>
      <c r="T41" s="224"/>
      <c r="U41" s="129"/>
      <c r="V41" s="225"/>
      <c r="W41" s="288"/>
      <c r="X41" s="1013"/>
      <c r="Y41" s="1014"/>
      <c r="Z41" s="1014"/>
      <c r="AA41" s="1014"/>
      <c r="AB41" s="1014"/>
      <c r="AC41" s="1014"/>
      <c r="AD41" s="1015"/>
    </row>
    <row r="42" spans="2:30" s="19" customFormat="1" ht="19.5" hidden="1" customHeight="1" x14ac:dyDescent="0.2">
      <c r="B42" s="168"/>
      <c r="C42" s="26"/>
      <c r="D42" s="27"/>
      <c r="E42" s="28"/>
      <c r="F42" s="29"/>
      <c r="G42" s="30"/>
      <c r="H42" s="29"/>
      <c r="I42" s="31"/>
      <c r="J42" s="285"/>
      <c r="K42" s="285"/>
      <c r="L42" s="169"/>
      <c r="M42" s="285"/>
      <c r="N42" s="236"/>
      <c r="O42" s="32"/>
      <c r="P42" s="33"/>
      <c r="Q42" s="32"/>
      <c r="R42" s="224"/>
      <c r="S42" s="224"/>
      <c r="T42" s="224"/>
      <c r="U42" s="129"/>
      <c r="V42" s="225"/>
      <c r="W42" s="288"/>
      <c r="X42" s="1013"/>
      <c r="Y42" s="1014"/>
      <c r="Z42" s="1014"/>
      <c r="AA42" s="1014"/>
      <c r="AB42" s="1014"/>
      <c r="AC42" s="1014"/>
      <c r="AD42" s="1015"/>
    </row>
    <row r="43" spans="2:30" s="19" customFormat="1" ht="19.5" hidden="1" customHeight="1" x14ac:dyDescent="0.2">
      <c r="B43" s="168"/>
      <c r="C43" s="26"/>
      <c r="D43" s="27"/>
      <c r="E43" s="28"/>
      <c r="F43" s="29"/>
      <c r="G43" s="30"/>
      <c r="H43" s="29"/>
      <c r="I43" s="31"/>
      <c r="J43" s="32"/>
      <c r="K43" s="285"/>
      <c r="L43" s="169"/>
      <c r="M43" s="285"/>
      <c r="N43" s="236"/>
      <c r="O43" s="32"/>
      <c r="P43" s="33"/>
      <c r="Q43" s="32"/>
      <c r="R43" s="224"/>
      <c r="S43" s="224"/>
      <c r="T43" s="224"/>
      <c r="U43" s="129"/>
      <c r="V43" s="225"/>
      <c r="W43" s="288"/>
      <c r="X43" s="1013"/>
      <c r="Y43" s="1014"/>
      <c r="Z43" s="1014"/>
      <c r="AA43" s="1014"/>
      <c r="AB43" s="1014"/>
      <c r="AC43" s="1014"/>
      <c r="AD43" s="1015"/>
    </row>
    <row r="44" spans="2:30" s="19" customFormat="1" ht="19.5" hidden="1" customHeight="1" x14ac:dyDescent="0.2">
      <c r="B44" s="168"/>
      <c r="C44" s="26"/>
      <c r="D44" s="27"/>
      <c r="E44" s="28"/>
      <c r="F44" s="29"/>
      <c r="G44" s="30"/>
      <c r="H44" s="29"/>
      <c r="I44" s="31"/>
      <c r="J44" s="32"/>
      <c r="K44" s="285"/>
      <c r="L44" s="169"/>
      <c r="M44" s="285"/>
      <c r="N44" s="236"/>
      <c r="O44" s="32"/>
      <c r="P44" s="33"/>
      <c r="Q44" s="32"/>
      <c r="R44" s="224"/>
      <c r="S44" s="224"/>
      <c r="T44" s="224"/>
      <c r="U44" s="129"/>
      <c r="V44" s="225"/>
      <c r="W44" s="288"/>
      <c r="X44" s="1013"/>
      <c r="Y44" s="1014"/>
      <c r="Z44" s="1014"/>
      <c r="AA44" s="1014"/>
      <c r="AB44" s="1014"/>
      <c r="AC44" s="1014"/>
      <c r="AD44" s="1015"/>
    </row>
    <row r="45" spans="2:30" s="19" customFormat="1" ht="19.5" hidden="1" customHeight="1" x14ac:dyDescent="0.2">
      <c r="B45" s="168"/>
      <c r="C45" s="26"/>
      <c r="D45" s="27"/>
      <c r="E45" s="28"/>
      <c r="F45" s="29"/>
      <c r="G45" s="30"/>
      <c r="H45" s="29"/>
      <c r="I45" s="31"/>
      <c r="J45" s="32"/>
      <c r="K45" s="32"/>
      <c r="L45" s="169"/>
      <c r="M45" s="32"/>
      <c r="N45" s="236"/>
      <c r="O45" s="32"/>
      <c r="P45" s="33"/>
      <c r="Q45" s="32"/>
      <c r="R45" s="224"/>
      <c r="S45" s="224"/>
      <c r="T45" s="224"/>
      <c r="U45" s="129"/>
      <c r="V45" s="225"/>
      <c r="W45" s="288"/>
      <c r="X45" s="1013"/>
      <c r="Y45" s="1014"/>
      <c r="Z45" s="1014"/>
      <c r="AA45" s="1014"/>
      <c r="AB45" s="1014"/>
      <c r="AC45" s="1014"/>
      <c r="AD45" s="1015"/>
    </row>
    <row r="46" spans="2:30" s="19" customFormat="1" ht="19.5" hidden="1" customHeight="1" x14ac:dyDescent="0.2">
      <c r="B46" s="168"/>
      <c r="C46" s="26"/>
      <c r="D46" s="27"/>
      <c r="E46" s="28"/>
      <c r="F46" s="29"/>
      <c r="G46" s="30"/>
      <c r="H46" s="29"/>
      <c r="I46" s="31"/>
      <c r="J46" s="32"/>
      <c r="K46" s="32"/>
      <c r="L46" s="169"/>
      <c r="M46" s="32"/>
      <c r="N46" s="236"/>
      <c r="O46" s="32"/>
      <c r="P46" s="33"/>
      <c r="Q46" s="32"/>
      <c r="R46" s="129"/>
      <c r="S46" s="171"/>
      <c r="T46" s="129"/>
      <c r="U46" s="129"/>
      <c r="V46" s="227"/>
      <c r="W46" s="233"/>
      <c r="X46" s="1013"/>
      <c r="Y46" s="1014"/>
      <c r="Z46" s="1014"/>
      <c r="AA46" s="1014"/>
      <c r="AB46" s="1014"/>
      <c r="AC46" s="1014"/>
      <c r="AD46" s="1015"/>
    </row>
    <row r="47" spans="2:30" s="19" customFormat="1" ht="19.5" hidden="1" customHeight="1" x14ac:dyDescent="0.2">
      <c r="B47" s="168"/>
      <c r="C47" s="26"/>
      <c r="D47" s="27"/>
      <c r="E47" s="28"/>
      <c r="F47" s="29"/>
      <c r="G47" s="30"/>
      <c r="H47" s="29"/>
      <c r="I47" s="31"/>
      <c r="J47" s="32"/>
      <c r="K47" s="32"/>
      <c r="L47" s="169"/>
      <c r="M47" s="32"/>
      <c r="N47" s="236"/>
      <c r="O47" s="32"/>
      <c r="P47" s="33"/>
      <c r="Q47" s="32"/>
      <c r="R47" s="129"/>
      <c r="S47" s="171"/>
      <c r="T47" s="129"/>
      <c r="U47" s="129"/>
      <c r="V47" s="227"/>
      <c r="W47" s="233"/>
      <c r="X47" s="1013"/>
      <c r="Y47" s="1014"/>
      <c r="Z47" s="1014"/>
      <c r="AA47" s="1014"/>
      <c r="AB47" s="1014"/>
      <c r="AC47" s="1014"/>
      <c r="AD47" s="1015"/>
    </row>
    <row r="48" spans="2:30" s="19" customFormat="1" ht="19.5" hidden="1" customHeight="1" x14ac:dyDescent="0.2">
      <c r="B48" s="168"/>
      <c r="C48" s="26"/>
      <c r="D48" s="27"/>
      <c r="E48" s="28"/>
      <c r="F48" s="29"/>
      <c r="G48" s="30"/>
      <c r="H48" s="29"/>
      <c r="I48" s="31"/>
      <c r="J48" s="32"/>
      <c r="K48" s="32"/>
      <c r="L48" s="169"/>
      <c r="M48" s="32"/>
      <c r="N48" s="236"/>
      <c r="O48" s="32"/>
      <c r="P48" s="33"/>
      <c r="Q48" s="32"/>
      <c r="R48" s="129"/>
      <c r="S48" s="171"/>
      <c r="T48" s="129"/>
      <c r="U48" s="129"/>
      <c r="V48" s="227"/>
      <c r="W48" s="233"/>
      <c r="X48" s="1013"/>
      <c r="Y48" s="1014"/>
      <c r="Z48" s="1014"/>
      <c r="AA48" s="1014"/>
      <c r="AB48" s="1014"/>
      <c r="AC48" s="1014"/>
      <c r="AD48" s="1015"/>
    </row>
    <row r="49" spans="1:30" s="19" customFormat="1" ht="19.5" hidden="1" customHeight="1" x14ac:dyDescent="0.2">
      <c r="B49" s="168"/>
      <c r="C49" s="26"/>
      <c r="D49" s="27"/>
      <c r="E49" s="28"/>
      <c r="F49" s="29"/>
      <c r="G49" s="30"/>
      <c r="H49" s="29"/>
      <c r="I49" s="31"/>
      <c r="J49" s="32"/>
      <c r="K49" s="32"/>
      <c r="L49" s="169"/>
      <c r="M49" s="32"/>
      <c r="N49" s="236"/>
      <c r="O49" s="32"/>
      <c r="P49" s="33"/>
      <c r="Q49" s="32"/>
      <c r="R49" s="129"/>
      <c r="S49" s="171"/>
      <c r="T49" s="129"/>
      <c r="U49" s="129"/>
      <c r="V49" s="227"/>
      <c r="W49" s="233"/>
      <c r="X49" s="1013"/>
      <c r="Y49" s="1014"/>
      <c r="Z49" s="1014"/>
      <c r="AA49" s="1014"/>
      <c r="AB49" s="1014"/>
      <c r="AC49" s="1014"/>
      <c r="AD49" s="1015"/>
    </row>
    <row r="50" spans="1:30" s="19" customFormat="1" ht="19.5" hidden="1" customHeight="1" x14ac:dyDescent="0.2">
      <c r="B50" s="168"/>
      <c r="C50" s="26"/>
      <c r="D50" s="27"/>
      <c r="E50" s="28"/>
      <c r="F50" s="29"/>
      <c r="G50" s="30"/>
      <c r="H50" s="29"/>
      <c r="I50" s="31"/>
      <c r="J50" s="32"/>
      <c r="K50" s="32"/>
      <c r="L50" s="169"/>
      <c r="M50" s="32"/>
      <c r="N50" s="236"/>
      <c r="O50" s="32"/>
      <c r="P50" s="33"/>
      <c r="Q50" s="32"/>
      <c r="R50" s="129"/>
      <c r="S50" s="171"/>
      <c r="T50" s="129"/>
      <c r="U50" s="129"/>
      <c r="V50" s="227"/>
      <c r="W50" s="233"/>
      <c r="X50" s="1013"/>
      <c r="Y50" s="1014"/>
      <c r="Z50" s="1014"/>
      <c r="AA50" s="1014"/>
      <c r="AB50" s="1014"/>
      <c r="AC50" s="1014"/>
      <c r="AD50" s="1015"/>
    </row>
    <row r="51" spans="1:30" s="19" customFormat="1" ht="19.5" hidden="1" customHeight="1" x14ac:dyDescent="0.2">
      <c r="B51" s="168"/>
      <c r="C51" s="26"/>
      <c r="D51" s="27"/>
      <c r="E51" s="28"/>
      <c r="F51" s="29"/>
      <c r="G51" s="30"/>
      <c r="H51" s="29"/>
      <c r="I51" s="31"/>
      <c r="J51" s="32"/>
      <c r="K51" s="32"/>
      <c r="L51" s="169"/>
      <c r="M51" s="32"/>
      <c r="N51" s="236"/>
      <c r="O51" s="32"/>
      <c r="P51" s="33"/>
      <c r="Q51" s="32"/>
      <c r="R51" s="129"/>
      <c r="S51" s="171"/>
      <c r="T51" s="129"/>
      <c r="U51" s="129"/>
      <c r="V51" s="227"/>
      <c r="W51" s="233"/>
      <c r="X51" s="1013"/>
      <c r="Y51" s="1014"/>
      <c r="Z51" s="1014"/>
      <c r="AA51" s="1014"/>
      <c r="AB51" s="1014"/>
      <c r="AC51" s="1014"/>
      <c r="AD51" s="1015"/>
    </row>
    <row r="52" spans="1:30" s="19" customFormat="1" ht="19.5" hidden="1" customHeight="1" x14ac:dyDescent="0.2">
      <c r="B52" s="168"/>
      <c r="C52" s="26"/>
      <c r="D52" s="27"/>
      <c r="E52" s="28"/>
      <c r="F52" s="29"/>
      <c r="G52" s="30"/>
      <c r="H52" s="29"/>
      <c r="I52" s="31"/>
      <c r="J52" s="32"/>
      <c r="K52" s="32"/>
      <c r="L52" s="169"/>
      <c r="M52" s="32"/>
      <c r="N52" s="236"/>
      <c r="O52" s="32"/>
      <c r="P52" s="33"/>
      <c r="Q52" s="32"/>
      <c r="R52" s="129"/>
      <c r="S52" s="171"/>
      <c r="T52" s="129"/>
      <c r="U52" s="129"/>
      <c r="V52" s="227"/>
      <c r="W52" s="233"/>
      <c r="X52" s="1013"/>
      <c r="Y52" s="1014"/>
      <c r="Z52" s="1014"/>
      <c r="AA52" s="1014"/>
      <c r="AB52" s="1014"/>
      <c r="AC52" s="1014"/>
      <c r="AD52" s="1015"/>
    </row>
    <row r="53" spans="1:30" s="19" customFormat="1" ht="19.5" hidden="1" customHeight="1" x14ac:dyDescent="0.2">
      <c r="B53" s="168"/>
      <c r="C53" s="26"/>
      <c r="D53" s="27"/>
      <c r="E53" s="28"/>
      <c r="F53" s="29"/>
      <c r="G53" s="30"/>
      <c r="H53" s="29"/>
      <c r="I53" s="31"/>
      <c r="J53" s="32"/>
      <c r="K53" s="32"/>
      <c r="L53" s="169"/>
      <c r="M53" s="32"/>
      <c r="N53" s="236"/>
      <c r="O53" s="32"/>
      <c r="P53" s="33"/>
      <c r="Q53" s="32"/>
      <c r="R53" s="129"/>
      <c r="S53" s="171"/>
      <c r="T53" s="129"/>
      <c r="U53" s="129"/>
      <c r="V53" s="227"/>
      <c r="W53" s="233"/>
      <c r="X53" s="1013"/>
      <c r="Y53" s="1014"/>
      <c r="Z53" s="1014"/>
      <c r="AA53" s="1014"/>
      <c r="AB53" s="1014"/>
      <c r="AC53" s="1014"/>
      <c r="AD53" s="1015"/>
    </row>
    <row r="54" spans="1:30" s="19" customFormat="1" ht="19.5" hidden="1" customHeight="1" x14ac:dyDescent="0.2">
      <c r="B54" s="168"/>
      <c r="C54" s="26"/>
      <c r="D54" s="27"/>
      <c r="E54" s="28"/>
      <c r="F54" s="29"/>
      <c r="G54" s="30"/>
      <c r="H54" s="29"/>
      <c r="I54" s="31"/>
      <c r="J54" s="32"/>
      <c r="K54" s="32"/>
      <c r="L54" s="169"/>
      <c r="M54" s="32"/>
      <c r="N54" s="236"/>
      <c r="O54" s="32"/>
      <c r="P54" s="33"/>
      <c r="Q54" s="32"/>
      <c r="R54" s="129"/>
      <c r="S54" s="171"/>
      <c r="T54" s="129"/>
      <c r="U54" s="129"/>
      <c r="V54" s="227"/>
      <c r="W54" s="233"/>
      <c r="X54" s="1013"/>
      <c r="Y54" s="1014"/>
      <c r="Z54" s="1014"/>
      <c r="AA54" s="1014"/>
      <c r="AB54" s="1014"/>
      <c r="AC54" s="1014"/>
      <c r="AD54" s="1015"/>
    </row>
    <row r="55" spans="1:30" s="19" customFormat="1" ht="19.5" hidden="1" customHeight="1" x14ac:dyDescent="0.2">
      <c r="B55" s="168"/>
      <c r="C55" s="26"/>
      <c r="D55" s="27"/>
      <c r="E55" s="28"/>
      <c r="F55" s="29"/>
      <c r="G55" s="30"/>
      <c r="H55" s="29"/>
      <c r="I55" s="31"/>
      <c r="J55" s="32"/>
      <c r="K55" s="32"/>
      <c r="L55" s="169"/>
      <c r="M55" s="32"/>
      <c r="N55" s="236"/>
      <c r="O55" s="32"/>
      <c r="P55" s="33"/>
      <c r="Q55" s="32"/>
      <c r="R55" s="129"/>
      <c r="S55" s="171"/>
      <c r="T55" s="129"/>
      <c r="U55" s="129"/>
      <c r="V55" s="227"/>
      <c r="W55" s="233"/>
      <c r="X55" s="1013"/>
      <c r="Y55" s="1014"/>
      <c r="Z55" s="1014"/>
      <c r="AA55" s="1014"/>
      <c r="AB55" s="1014"/>
      <c r="AC55" s="1014"/>
      <c r="AD55" s="1015"/>
    </row>
    <row r="56" spans="1:30" s="19" customFormat="1" ht="19.5" hidden="1" customHeight="1" x14ac:dyDescent="0.2">
      <c r="B56" s="168"/>
      <c r="C56" s="26"/>
      <c r="D56" s="27"/>
      <c r="E56" s="28"/>
      <c r="F56" s="29"/>
      <c r="G56" s="30"/>
      <c r="H56" s="29"/>
      <c r="I56" s="31"/>
      <c r="J56" s="32"/>
      <c r="K56" s="32"/>
      <c r="L56" s="169"/>
      <c r="M56" s="32"/>
      <c r="N56" s="236"/>
      <c r="O56" s="32"/>
      <c r="P56" s="33"/>
      <c r="Q56" s="32"/>
      <c r="R56" s="129"/>
      <c r="S56" s="171"/>
      <c r="T56" s="129"/>
      <c r="U56" s="129"/>
      <c r="V56" s="227"/>
      <c r="W56" s="233"/>
      <c r="X56" s="1013"/>
      <c r="Y56" s="1014"/>
      <c r="Z56" s="1014"/>
      <c r="AA56" s="1014"/>
      <c r="AB56" s="1014"/>
      <c r="AC56" s="1014"/>
      <c r="AD56" s="1015"/>
    </row>
    <row r="57" spans="1:30" s="19" customFormat="1" ht="19.5" hidden="1" customHeight="1" x14ac:dyDescent="0.2">
      <c r="B57" s="168"/>
      <c r="C57" s="26"/>
      <c r="D57" s="27"/>
      <c r="E57" s="28"/>
      <c r="F57" s="29"/>
      <c r="G57" s="30"/>
      <c r="H57" s="29"/>
      <c r="I57" s="31"/>
      <c r="J57" s="32"/>
      <c r="K57" s="32"/>
      <c r="L57" s="169"/>
      <c r="M57" s="32"/>
      <c r="N57" s="236"/>
      <c r="O57" s="32"/>
      <c r="P57" s="33"/>
      <c r="Q57" s="32"/>
      <c r="R57" s="129"/>
      <c r="S57" s="171"/>
      <c r="T57" s="129"/>
      <c r="U57" s="129"/>
      <c r="V57" s="227"/>
      <c r="W57" s="233"/>
      <c r="X57" s="1013"/>
      <c r="Y57" s="1014"/>
      <c r="Z57" s="1014"/>
      <c r="AA57" s="1014"/>
      <c r="AB57" s="1014"/>
      <c r="AC57" s="1014"/>
      <c r="AD57" s="1015"/>
    </row>
    <row r="58" spans="1:30" s="19" customFormat="1" ht="19.5" hidden="1" customHeight="1" x14ac:dyDescent="0.2">
      <c r="B58" s="168"/>
      <c r="C58" s="26"/>
      <c r="D58" s="27"/>
      <c r="E58" s="28"/>
      <c r="F58" s="29"/>
      <c r="G58" s="30"/>
      <c r="H58" s="29"/>
      <c r="I58" s="31"/>
      <c r="J58" s="32"/>
      <c r="K58" s="32"/>
      <c r="L58" s="169"/>
      <c r="M58" s="32"/>
      <c r="N58" s="236"/>
      <c r="O58" s="32"/>
      <c r="P58" s="33"/>
      <c r="Q58" s="32"/>
      <c r="R58" s="129"/>
      <c r="S58" s="171"/>
      <c r="T58" s="129"/>
      <c r="U58" s="129"/>
      <c r="V58" s="227"/>
      <c r="W58" s="233"/>
      <c r="X58" s="1013"/>
      <c r="Y58" s="1014"/>
      <c r="Z58" s="1014"/>
      <c r="AA58" s="1014"/>
      <c r="AB58" s="1014"/>
      <c r="AC58" s="1014"/>
      <c r="AD58" s="1015"/>
    </row>
    <row r="59" spans="1:30" s="19" customFormat="1" ht="19.5" hidden="1" customHeight="1" thickBot="1" x14ac:dyDescent="0.25">
      <c r="B59" s="168"/>
      <c r="C59" s="26"/>
      <c r="D59" s="27"/>
      <c r="E59" s="28"/>
      <c r="F59" s="29"/>
      <c r="G59" s="30"/>
      <c r="H59" s="29"/>
      <c r="I59" s="31"/>
      <c r="J59" s="32"/>
      <c r="K59" s="32"/>
      <c r="L59" s="169"/>
      <c r="M59" s="32"/>
      <c r="N59" s="236"/>
      <c r="O59" s="32"/>
      <c r="P59" s="33"/>
      <c r="Q59" s="32"/>
      <c r="R59" s="129"/>
      <c r="S59" s="171"/>
      <c r="T59" s="129"/>
      <c r="U59" s="129"/>
      <c r="V59" s="227"/>
      <c r="W59" s="233"/>
      <c r="X59" s="1075"/>
      <c r="Y59" s="1076"/>
      <c r="Z59" s="1076"/>
      <c r="AA59" s="1076"/>
      <c r="AB59" s="1076"/>
      <c r="AC59" s="1076"/>
      <c r="AD59" s="1077"/>
    </row>
    <row r="60" spans="1:30" s="19" customFormat="1" ht="35.25" customHeight="1" thickBot="1" x14ac:dyDescent="0.25">
      <c r="B60" s="240" t="s">
        <v>3</v>
      </c>
      <c r="C60" s="241"/>
      <c r="D60" s="242">
        <f>SUM(D4:D58)</f>
        <v>74725</v>
      </c>
      <c r="E60" s="243">
        <f>AVERAGE(E4:E58)</f>
        <v>0.34861111111111104</v>
      </c>
      <c r="F60" s="244">
        <f>SUM(F4:F59)</f>
        <v>4965.7999999999993</v>
      </c>
      <c r="G60" s="242">
        <f>SUM(G4:G58)</f>
        <v>72410</v>
      </c>
      <c r="H60" s="244">
        <f>SUM(H4:H59)</f>
        <v>4918.9451999999983</v>
      </c>
      <c r="I60" s="245">
        <f>SUM(I4:I58)</f>
        <v>499.75</v>
      </c>
      <c r="J60" s="245">
        <f>G60/(K60/60)</f>
        <v>423.73939334828833</v>
      </c>
      <c r="K60" s="242">
        <f>SUM(K4:K58)</f>
        <v>10253</v>
      </c>
      <c r="L60" s="246">
        <f>AVERAGE(L4:L59)</f>
        <v>0.77561728395061702</v>
      </c>
      <c r="M60" s="242">
        <f>SUM(M4:M58)</f>
        <v>2905</v>
      </c>
      <c r="N60" s="247">
        <f>[4]Apr!$I$54/K60</f>
        <v>3.0625182873305373E-2</v>
      </c>
      <c r="O60" s="245">
        <f>SUM(O4:O59)</f>
        <v>624</v>
      </c>
      <c r="P60" s="292">
        <f>(F60-H60)/F60</f>
        <v>9.435498811873411E-3</v>
      </c>
      <c r="Q60" s="249">
        <f>SUM(Q4:Q58)</f>
        <v>0</v>
      </c>
      <c r="R60" s="250">
        <f>((R4*($G$4))+(R5*($G$5+$G$6))+(R7*($G$7))+(R8*($G$8))+(R9*($G$9))+(R10*($G$10+$G$11))+(R12*($G$12+$G$13))+(R14*($G$14))+(R15*($G$15))+(R16*($G$16+$G$17))+(R18*($G$18))+(R19*($G$19+$G$20))+(R21*($G$21))+(R22*($G$22))+(R23*($G$23+$G$24))+(R25*($G$25))+(R26*($G$26))+(R27*($G$27)))/($G$60)</f>
        <v>0.70686419142337775</v>
      </c>
      <c r="S60" s="250">
        <f>((S4*($G$4))+(S5*($G$5+$G$6))+(S7*($G$7))+(S8*($G$8))+(S9*($G$9))+(S10*($G$10+$G$11))+(S12*($G$12+$G$13))+(S14*($G$14))+(S15*($G$15))+(S16*($G$16+$G$17))+(S18*(G18))+(S19*($G$19+$G$20))+(S21*($G$21))+(S22*($G$22))+(S23*($G$23+$G$24))+(S25*($G$25))+(S26*($G$26))+(S27*($G$27)))/($G$60)</f>
        <v>0.62370369831474515</v>
      </c>
      <c r="T60" s="251">
        <f>(G60)*24/(K60/60)/15000</f>
        <v>0.67798302935726129</v>
      </c>
      <c r="U60" s="251">
        <f>(F60)*24/(J60/60)/17000</f>
        <v>0.99266784535772579</v>
      </c>
      <c r="V60" s="251">
        <f>(G60)*24/(K60/60)/17000</f>
        <v>0.59822032002111292</v>
      </c>
      <c r="W60" s="252">
        <f>(12636-(M60-457))/12636</f>
        <v>0.80626780626780625</v>
      </c>
      <c r="X60" s="1089"/>
      <c r="Y60" s="1090"/>
      <c r="Z60" s="1090"/>
      <c r="AA60" s="1090"/>
      <c r="AB60" s="1090"/>
      <c r="AC60" s="1090"/>
      <c r="AD60" s="1091"/>
    </row>
    <row r="61" spans="1:30" s="271" customFormat="1" ht="21" hidden="1" customHeight="1" thickTop="1" x14ac:dyDescent="0.3">
      <c r="A61" s="274"/>
      <c r="B61" s="260" t="s">
        <v>474</v>
      </c>
      <c r="C61" s="260"/>
      <c r="D61" s="261"/>
      <c r="E61" s="262"/>
      <c r="F61" s="263"/>
      <c r="G61" s="261"/>
      <c r="H61" s="263"/>
      <c r="I61" s="273"/>
      <c r="J61" s="273">
        <v>524</v>
      </c>
      <c r="K61" s="261"/>
      <c r="L61" s="265"/>
      <c r="M61" s="261"/>
      <c r="N61" s="266"/>
      <c r="O61" s="264"/>
      <c r="P61" s="267">
        <v>1.0999999999999999E-2</v>
      </c>
      <c r="Q61" s="268"/>
      <c r="R61" s="268"/>
      <c r="S61" s="268">
        <v>0.6</v>
      </c>
      <c r="T61" s="268"/>
      <c r="U61" s="268"/>
      <c r="V61" s="268">
        <v>0.74</v>
      </c>
      <c r="W61" s="269">
        <v>0.95</v>
      </c>
      <c r="X61" s="270"/>
      <c r="Y61" s="270"/>
      <c r="Z61" s="270"/>
      <c r="AA61" s="270"/>
      <c r="AB61" s="270"/>
      <c r="AC61" s="270"/>
      <c r="AD61" s="270"/>
    </row>
    <row r="62" spans="1:30" ht="21.75" customHeight="1" thickTop="1" x14ac:dyDescent="0.25">
      <c r="B62" s="11"/>
      <c r="C62" s="150" t="s">
        <v>35</v>
      </c>
      <c r="D62" s="210">
        <v>83990</v>
      </c>
      <c r="E62" s="1081" t="s">
        <v>512</v>
      </c>
      <c r="F62" s="1081"/>
      <c r="G62" s="210">
        <f>D62-G60</f>
        <v>11580</v>
      </c>
      <c r="H62" s="150" t="s">
        <v>327</v>
      </c>
      <c r="I62" s="272">
        <f>G60/D62</f>
        <v>0.86212644362424096</v>
      </c>
      <c r="J62" s="152">
        <v>0</v>
      </c>
      <c r="K62" s="12"/>
      <c r="L62" s="12"/>
      <c r="M62" s="12"/>
      <c r="N62" s="12"/>
      <c r="O62" s="13"/>
      <c r="P62" s="14"/>
      <c r="Q62" s="12"/>
      <c r="R62" s="15"/>
      <c r="S62" s="16"/>
      <c r="T62" s="15"/>
      <c r="U62" s="15"/>
      <c r="V62" s="15"/>
      <c r="W62" s="15"/>
      <c r="X62" s="17" t="s">
        <v>48</v>
      </c>
    </row>
    <row r="63" spans="1:30" ht="20.25" customHeight="1" x14ac:dyDescent="0.25">
      <c r="B63" s="11"/>
      <c r="C63" s="150" t="s">
        <v>37</v>
      </c>
      <c r="D63" s="210">
        <f>March_17!D63+April_17!D62</f>
        <v>342410</v>
      </c>
      <c r="E63" s="1081" t="s">
        <v>36</v>
      </c>
      <c r="F63" s="1081"/>
      <c r="G63" s="210">
        <f>March_17!G63+April_17!G60</f>
        <v>329196</v>
      </c>
      <c r="H63" s="150" t="s">
        <v>326</v>
      </c>
      <c r="I63" s="212">
        <v>0</v>
      </c>
      <c r="J63" s="152"/>
      <c r="K63" s="12">
        <v>0</v>
      </c>
      <c r="L63" s="12"/>
      <c r="M63" s="12"/>
      <c r="N63" s="12"/>
      <c r="O63" s="13"/>
      <c r="P63" s="14"/>
      <c r="Q63" s="12"/>
      <c r="R63" s="15"/>
      <c r="S63" s="16"/>
      <c r="T63" s="15"/>
      <c r="U63" s="15"/>
      <c r="V63" s="15"/>
      <c r="W63" s="15"/>
      <c r="X63" s="17"/>
    </row>
    <row r="64" spans="1:30" ht="6.75" customHeight="1" thickBot="1" x14ac:dyDescent="0.3">
      <c r="C64" s="23"/>
      <c r="D64" s="42"/>
      <c r="E64" s="1082"/>
      <c r="F64" s="1082"/>
      <c r="G64" s="42"/>
      <c r="H64" s="44"/>
      <c r="I64" s="44"/>
      <c r="J64" s="149"/>
      <c r="O64"/>
      <c r="R64" s="10"/>
      <c r="X64" s="17"/>
    </row>
    <row r="65" spans="2:29" ht="48.75" customHeight="1" thickTop="1" thickBot="1" x14ac:dyDescent="0.25">
      <c r="B65" s="7"/>
      <c r="C65" s="206" t="s">
        <v>19</v>
      </c>
      <c r="D65" s="207" t="s">
        <v>14</v>
      </c>
      <c r="E65" s="207" t="s">
        <v>23</v>
      </c>
      <c r="F65" s="207" t="s">
        <v>24</v>
      </c>
      <c r="G65" s="208" t="s">
        <v>15</v>
      </c>
      <c r="H65" s="207" t="s">
        <v>17</v>
      </c>
      <c r="I65" s="207" t="s">
        <v>16</v>
      </c>
      <c r="J65" s="209" t="s">
        <v>316</v>
      </c>
      <c r="O65"/>
      <c r="P65" s="141" t="s">
        <v>325</v>
      </c>
      <c r="Q65" s="90" t="s">
        <v>320</v>
      </c>
      <c r="R65" s="90" t="s">
        <v>466</v>
      </c>
      <c r="S65" s="90" t="s">
        <v>467</v>
      </c>
      <c r="T65" s="90" t="s">
        <v>323</v>
      </c>
      <c r="U65" s="142"/>
      <c r="V65" s="143" t="s">
        <v>324</v>
      </c>
      <c r="W65" s="228"/>
      <c r="Y65" s="165" t="s">
        <v>375</v>
      </c>
      <c r="Z65" s="166" t="s">
        <v>376</v>
      </c>
      <c r="AA65" s="166" t="s">
        <v>377</v>
      </c>
      <c r="AB65" s="167" t="s">
        <v>378</v>
      </c>
    </row>
    <row r="66" spans="2:29" ht="21" thickBot="1" x14ac:dyDescent="0.35">
      <c r="B66" s="8"/>
      <c r="C66" s="201">
        <v>1</v>
      </c>
      <c r="D66" s="202" t="s">
        <v>20</v>
      </c>
      <c r="E66" s="182">
        <f>SUM(G4,G6,G7,G11,G12,G13,G14,G17,G18,G19:G20,G21,G27)</f>
        <v>44882</v>
      </c>
      <c r="F66" s="183">
        <f>SUM(K4,K5,K7,K11,K12,K14,K16,K18,K19,K21,K27)</f>
        <v>6053</v>
      </c>
      <c r="G66" s="184">
        <f>SUM(F4,F6,F7,F11,F12,F14,F17,F18,F19:F20,F21,F27)</f>
        <v>3055.1</v>
      </c>
      <c r="H66" s="184">
        <f>SUM(H4,H6,H7,H11,H12,H14,H17,H18,H19:H20,H21,H27)</f>
        <v>3034.0319999999997</v>
      </c>
      <c r="I66" s="97">
        <f t="shared" ref="I66:I71" si="2">(G66-H66)/G66</f>
        <v>6.8960099505745182E-3</v>
      </c>
      <c r="J66" s="186">
        <f>(E66+G5+G10+G16)*24/(F66/60)/17000</f>
        <v>0.70045733277616351</v>
      </c>
      <c r="O66"/>
      <c r="P66" s="253">
        <f>T80</f>
        <v>8.8023470771277975E-3</v>
      </c>
      <c r="Q66" s="254"/>
      <c r="R66" s="255">
        <f>((January_17!$Q$60*January_17!$G$60)+(February_17!$R$60*February_17!$G$60)+(March_17!$R$60*March_17!$G$60)+(April_17!$R$60*April_17!$G$60))/($G$63)</f>
        <v>0.76538959340029988</v>
      </c>
      <c r="S66" s="255">
        <f>((January_17!$R$60*January_17!G60)+(February_17!$S$60*February_17!$G$60)+(March_17!$S$60*March_17!$G$60)+(April_17!$S$60*April_17!$G$60))/($G$63)</f>
        <v>0.67717174192579643</v>
      </c>
      <c r="T66" s="254">
        <f>T79</f>
        <v>0.73895330511843249</v>
      </c>
      <c r="U66" s="256"/>
      <c r="V66" s="257">
        <f>V79</f>
        <v>0.65201762216332282</v>
      </c>
      <c r="W66" s="229"/>
      <c r="Y66" s="176" t="s">
        <v>370</v>
      </c>
      <c r="Z66" s="178"/>
      <c r="AA66" s="178">
        <f>[5]Apr_2017!F85</f>
        <v>4.9408588404314897E-2</v>
      </c>
      <c r="AB66" s="179">
        <f>[5]YearToDate!F5</f>
        <v>5.7508070397275124E-2</v>
      </c>
    </row>
    <row r="67" spans="2:29" s="1" customFormat="1" ht="18.75" thickTop="1" x14ac:dyDescent="0.25">
      <c r="B67" s="8"/>
      <c r="C67" s="203">
        <v>2</v>
      </c>
      <c r="D67" s="204" t="s">
        <v>21</v>
      </c>
      <c r="E67" s="182">
        <f>SUM(G15,G16,G24,G25,G26)</f>
        <v>13153</v>
      </c>
      <c r="F67" s="183">
        <f>SUM(K15,K16,K23,K25,K26)</f>
        <v>2880</v>
      </c>
      <c r="G67" s="184">
        <f>SUM(F15,F16,F24,F25,F26)</f>
        <v>875.8</v>
      </c>
      <c r="H67" s="184">
        <f>SUM(H15,H16,H24,H25,H26)</f>
        <v>868.09799999999996</v>
      </c>
      <c r="I67" s="97">
        <f t="shared" si="2"/>
        <v>8.7942452614752208E-3</v>
      </c>
      <c r="J67" s="191">
        <f>(E67+G17+G23)*24/(F67/60)/17000</f>
        <v>0.52708823529411764</v>
      </c>
      <c r="K67"/>
      <c r="L67"/>
      <c r="M67"/>
      <c r="N67"/>
      <c r="O67" s="2"/>
      <c r="S67"/>
      <c r="T67"/>
      <c r="U67"/>
      <c r="V67"/>
      <c r="X67"/>
      <c r="Y67" s="213" t="s">
        <v>371</v>
      </c>
      <c r="Z67" s="216"/>
      <c r="AA67" s="215">
        <f>[5]Apr_2017!F86</f>
        <v>0.16100065435143707</v>
      </c>
      <c r="AB67" s="214">
        <f>[5]YearToDate!F6</f>
        <v>7.4495145412179109E-2</v>
      </c>
      <c r="AC67"/>
    </row>
    <row r="68" spans="2:29" s="1" customFormat="1" ht="18" x14ac:dyDescent="0.25">
      <c r="B68" s="8"/>
      <c r="C68" s="201">
        <v>3</v>
      </c>
      <c r="D68" s="204" t="s">
        <v>124</v>
      </c>
      <c r="E68" s="187"/>
      <c r="F68" s="188"/>
      <c r="G68" s="189"/>
      <c r="H68" s="189"/>
      <c r="I68" s="109" t="e">
        <f t="shared" si="2"/>
        <v>#DIV/0!</v>
      </c>
      <c r="J68" s="191"/>
      <c r="K68"/>
      <c r="L68"/>
      <c r="M68"/>
      <c r="N68"/>
      <c r="O68" s="2"/>
      <c r="S68"/>
      <c r="T68"/>
      <c r="U68"/>
      <c r="V68"/>
      <c r="X68"/>
      <c r="Y68" s="177" t="s">
        <v>372</v>
      </c>
      <c r="Z68" s="217">
        <f>[5]Apr_2017!$F$27</f>
        <v>4.5858913698040904E-2</v>
      </c>
      <c r="AA68" s="180">
        <f>[5]Apr_2017!F87</f>
        <v>7.8058102126218526E-2</v>
      </c>
      <c r="AB68" s="181">
        <f>[5]YearToDate!F7</f>
        <v>5.2359214885581859E-2</v>
      </c>
      <c r="AC68"/>
    </row>
    <row r="69" spans="2:29" s="1" customFormat="1" ht="18" x14ac:dyDescent="0.25">
      <c r="B69" s="8"/>
      <c r="C69" s="203">
        <v>4</v>
      </c>
      <c r="D69" s="204" t="s">
        <v>18</v>
      </c>
      <c r="E69" s="182">
        <f>SUM(G8,G9,G10,G22,G23)</f>
        <v>12597</v>
      </c>
      <c r="F69" s="183">
        <f>SUM(K8,K9,K10,K22,K23)</f>
        <v>2545</v>
      </c>
      <c r="G69" s="182">
        <f>SUM(F8,F9,F10,F22,F23)</f>
        <v>916.10000000000014</v>
      </c>
      <c r="H69" s="182">
        <f>SUM(H8,H9,H10,H22,H23)</f>
        <v>899.46719999999993</v>
      </c>
      <c r="I69" s="97">
        <f t="shared" si="2"/>
        <v>1.8156096496015937E-2</v>
      </c>
      <c r="J69" s="191">
        <f>(E69+G10+G11+G24)*24/(F69/60)/17000</f>
        <v>0.59054478215647754</v>
      </c>
      <c r="K69"/>
      <c r="L69"/>
      <c r="M69"/>
      <c r="N69"/>
      <c r="O69" s="2"/>
      <c r="P69" s="159"/>
      <c r="Q69" s="159"/>
      <c r="R69" s="159"/>
      <c r="S69" s="160"/>
      <c r="T69" s="160"/>
      <c r="U69" s="161"/>
      <c r="V69" s="161"/>
      <c r="W69" s="234"/>
      <c r="X69"/>
      <c r="Y69" s="213" t="s">
        <v>373</v>
      </c>
      <c r="Z69" s="216"/>
      <c r="AA69" s="215">
        <f>[5]Apr_2017!F88</f>
        <v>7.6902542534471582E-2</v>
      </c>
      <c r="AB69" s="214">
        <f>[5]YearToDate!F8</f>
        <v>5.4903170815414681E-2</v>
      </c>
    </row>
    <row r="70" spans="2:29" s="1" customFormat="1" ht="18" x14ac:dyDescent="0.25">
      <c r="B70" s="8"/>
      <c r="C70" s="201">
        <v>5</v>
      </c>
      <c r="D70" s="205" t="s">
        <v>26</v>
      </c>
      <c r="E70" s="192">
        <f>SUM(G5)</f>
        <v>1778</v>
      </c>
      <c r="F70" s="193">
        <f>SUM(K5)</f>
        <v>594</v>
      </c>
      <c r="G70" s="194">
        <f>SUM(F5)</f>
        <v>118.8</v>
      </c>
      <c r="H70" s="194">
        <f>SUM(H5)</f>
        <v>117.348</v>
      </c>
      <c r="I70" s="97">
        <f t="shared" si="2"/>
        <v>1.2222222222222207E-2</v>
      </c>
      <c r="J70" s="186">
        <f>(E70+G6)*24/(F70/60)/17000</f>
        <v>0.67935828877005344</v>
      </c>
      <c r="K70"/>
      <c r="L70"/>
      <c r="M70"/>
      <c r="N70"/>
      <c r="O70" s="2"/>
      <c r="P70" s="159"/>
      <c r="R70" s="8"/>
      <c r="S70"/>
      <c r="T70"/>
      <c r="U70" s="6"/>
      <c r="V70" s="6"/>
      <c r="W70" s="10"/>
      <c r="X70"/>
      <c r="Y70" s="177" t="s">
        <v>374</v>
      </c>
      <c r="Z70" s="217"/>
      <c r="AA70" s="180">
        <f>[5]Apr_2017!F89</f>
        <v>6.4647820197662173E-2</v>
      </c>
      <c r="AB70" s="181">
        <f>[5]YearToDate!F9</f>
        <v>7.6171674114030377E-2</v>
      </c>
    </row>
    <row r="71" spans="2:29" s="1" customFormat="1" ht="18.75" thickBot="1" x14ac:dyDescent="0.3">
      <c r="B71" s="8"/>
      <c r="C71" s="203">
        <v>6</v>
      </c>
      <c r="D71" s="205" t="s">
        <v>25</v>
      </c>
      <c r="E71" s="192"/>
      <c r="F71" s="193"/>
      <c r="G71" s="194"/>
      <c r="H71" s="194"/>
      <c r="I71" s="109" t="e">
        <f t="shared" si="2"/>
        <v>#DIV/0!</v>
      </c>
      <c r="J71" s="191"/>
      <c r="K71"/>
      <c r="L71"/>
      <c r="M71"/>
      <c r="N71"/>
      <c r="O71" s="2"/>
      <c r="P71" s="159"/>
      <c r="S71"/>
      <c r="T71"/>
      <c r="U71"/>
      <c r="V71"/>
      <c r="X71"/>
      <c r="Y71" s="218" t="s">
        <v>25</v>
      </c>
      <c r="Z71" s="219"/>
      <c r="AA71" s="289" t="e">
        <f>[5]Apr_2017!F90</f>
        <v>#DIV/0!</v>
      </c>
      <c r="AB71" s="220">
        <f>[5]YearToDate!F10</f>
        <v>4.5790074270967041E-2</v>
      </c>
    </row>
    <row r="72" spans="2:29" s="1" customFormat="1" ht="19.5" thickTop="1" thickBot="1" x14ac:dyDescent="0.3">
      <c r="C72" s="112"/>
      <c r="D72" s="195" t="s">
        <v>22</v>
      </c>
      <c r="E72" s="196">
        <f>SUM(E66:E71)</f>
        <v>72410</v>
      </c>
      <c r="F72" s="197">
        <f>K60</f>
        <v>10253</v>
      </c>
      <c r="G72" s="198">
        <f>SUM(G66:G71)</f>
        <v>4965.8</v>
      </c>
      <c r="H72" s="198">
        <f>SUM(H66:H71)</f>
        <v>4918.9451999999992</v>
      </c>
      <c r="I72" s="199">
        <f>((G72)-(H72))/(G72)</f>
        <v>9.4354988118734093E-3</v>
      </c>
      <c r="J72" s="200">
        <f>E72*24/(F72/60)/17000</f>
        <v>0.59822032002111292</v>
      </c>
      <c r="K72"/>
      <c r="L72"/>
      <c r="M72"/>
      <c r="N72"/>
      <c r="O72" s="139"/>
      <c r="P72" s="159"/>
      <c r="S72"/>
      <c r="T72"/>
      <c r="U72"/>
      <c r="V72"/>
      <c r="X72"/>
      <c r="Y72" s="221" t="s">
        <v>379</v>
      </c>
      <c r="Z72" s="222"/>
      <c r="AA72" s="222">
        <f>[5]Apr_2017!$F$92</f>
        <v>6.9734567253836269E-2</v>
      </c>
      <c r="AB72" s="223">
        <f>[5]YearToDate!$F$12</f>
        <v>5.7449685942507892E-2</v>
      </c>
    </row>
    <row r="73" spans="2:29" s="1" customFormat="1" ht="16.5" thickTop="1" x14ac:dyDescent="0.25">
      <c r="J73"/>
      <c r="K73"/>
      <c r="L73"/>
      <c r="M73"/>
      <c r="N73"/>
      <c r="O73" s="2"/>
      <c r="P73" s="159"/>
      <c r="S73"/>
      <c r="T73"/>
      <c r="U73"/>
      <c r="V73"/>
      <c r="X73"/>
    </row>
    <row r="74" spans="2:29" s="1" customFormat="1" ht="15.75" x14ac:dyDescent="0.25">
      <c r="E74" s="3"/>
      <c r="F74" s="119"/>
      <c r="G74" s="120"/>
      <c r="H74" s="120"/>
      <c r="I74"/>
      <c r="J74"/>
      <c r="K74"/>
      <c r="L74"/>
      <c r="M74"/>
      <c r="N74"/>
      <c r="O74" s="2"/>
      <c r="P74" s="159"/>
      <c r="S74"/>
      <c r="T74"/>
      <c r="U74"/>
      <c r="V74"/>
      <c r="X74"/>
    </row>
    <row r="75" spans="2:29" s="1" customFormat="1" ht="13.5" customHeight="1" x14ac:dyDescent="0.25">
      <c r="J75"/>
      <c r="K75"/>
      <c r="L75"/>
      <c r="M75"/>
      <c r="N75"/>
      <c r="O75" s="2"/>
      <c r="P75" s="159"/>
      <c r="S75"/>
      <c r="T75"/>
      <c r="U75"/>
      <c r="V75"/>
      <c r="X75" s="9"/>
    </row>
    <row r="76" spans="2:29" s="1" customFormat="1" x14ac:dyDescent="0.2">
      <c r="J76"/>
      <c r="K76"/>
      <c r="L76"/>
      <c r="M76"/>
      <c r="N76"/>
      <c r="O76" s="2"/>
      <c r="X76" s="9"/>
    </row>
    <row r="77" spans="2:29" s="1" customFormat="1" x14ac:dyDescent="0.2">
      <c r="J77"/>
      <c r="K77"/>
      <c r="L77"/>
      <c r="M77"/>
      <c r="N77"/>
      <c r="O77" s="2"/>
      <c r="X77" s="9"/>
    </row>
    <row r="78" spans="2:29" s="1" customFormat="1" ht="12.75" customHeight="1" x14ac:dyDescent="0.2">
      <c r="J78"/>
      <c r="K78"/>
      <c r="L78"/>
      <c r="M78"/>
      <c r="N78"/>
      <c r="O78" s="2"/>
      <c r="S78"/>
      <c r="T78"/>
      <c r="U78"/>
      <c r="V78"/>
      <c r="X78" s="9"/>
    </row>
    <row r="79" spans="2:29" s="1" customFormat="1" ht="21" hidden="1" customHeight="1" thickBot="1" x14ac:dyDescent="0.25">
      <c r="J79"/>
      <c r="K79"/>
      <c r="L79"/>
      <c r="M79"/>
      <c r="N79"/>
      <c r="O79" s="2"/>
      <c r="P79" s="3">
        <f>G63</f>
        <v>329196</v>
      </c>
      <c r="R79" s="3">
        <f>SUM(January_17!K60,February_17!K60,March_17!K60:K60,April_17!K60)</f>
        <v>42767</v>
      </c>
      <c r="S79"/>
      <c r="T79" s="63">
        <f>(P79)*24/(R79/60)/15000</f>
        <v>0.73895330511843249</v>
      </c>
      <c r="U79"/>
      <c r="V79" s="128">
        <f>(P79)*24/(R79/60)/17000</f>
        <v>0.65201762216332282</v>
      </c>
      <c r="W79" s="230"/>
      <c r="X79" s="9"/>
    </row>
    <row r="80" spans="2:29" s="1" customFormat="1" ht="21" hidden="1" customHeight="1" thickTop="1" thickBot="1" x14ac:dyDescent="0.35">
      <c r="J80"/>
      <c r="K80"/>
      <c r="L80"/>
      <c r="M80"/>
      <c r="N80"/>
      <c r="O80" s="2"/>
      <c r="P80" s="140">
        <f>SUM(January_17!F60,February_17!F60,March_17!F60,April_17!F60)</f>
        <v>22566.036687074829</v>
      </c>
      <c r="R80" s="140">
        <f>SUM(January_17!H60,February_17!H60,March_17!H60,April_17!H60)</f>
        <v>22367.402599999998</v>
      </c>
      <c r="S80"/>
      <c r="T80" s="87">
        <f>(P80-R80)/P80</f>
        <v>8.8023470771277975E-3</v>
      </c>
      <c r="U80"/>
      <c r="V80"/>
      <c r="X80" s="9"/>
    </row>
    <row r="81" spans="10:24" s="1" customFormat="1" x14ac:dyDescent="0.2">
      <c r="J81"/>
      <c r="K81"/>
      <c r="L81"/>
      <c r="M81"/>
      <c r="N81"/>
      <c r="O81" s="2"/>
      <c r="S81"/>
      <c r="T81"/>
      <c r="U81"/>
      <c r="V81"/>
      <c r="X81" s="9"/>
    </row>
    <row r="82" spans="10:24" s="1" customFormat="1" x14ac:dyDescent="0.2">
      <c r="J82"/>
      <c r="K82"/>
      <c r="L82"/>
      <c r="M82"/>
      <c r="N82"/>
      <c r="O82" s="2"/>
      <c r="S82"/>
      <c r="T82"/>
      <c r="U82"/>
      <c r="V82"/>
      <c r="X82" s="9"/>
    </row>
    <row r="83" spans="10:24" s="1" customFormat="1" ht="12.75" customHeight="1" x14ac:dyDescent="0.2">
      <c r="J83"/>
      <c r="K83"/>
      <c r="L83"/>
      <c r="M83"/>
      <c r="N83"/>
      <c r="O83" s="2"/>
      <c r="S83"/>
      <c r="T83"/>
      <c r="U83"/>
      <c r="V83"/>
      <c r="X83" s="9"/>
    </row>
    <row r="84" spans="10:24" s="1" customFormat="1" ht="12.75" customHeight="1" x14ac:dyDescent="0.2">
      <c r="J84"/>
      <c r="K84"/>
      <c r="L84"/>
      <c r="M84"/>
      <c r="N84"/>
      <c r="O84" s="2"/>
      <c r="S84"/>
      <c r="T84"/>
      <c r="U84"/>
      <c r="V84"/>
      <c r="X84" s="9"/>
    </row>
    <row r="85" spans="10:24" s="1" customFormat="1" ht="12.75" customHeight="1" x14ac:dyDescent="0.2">
      <c r="J85"/>
      <c r="K85"/>
      <c r="L85"/>
      <c r="M85"/>
      <c r="N85"/>
      <c r="O85" s="2"/>
      <c r="S85"/>
      <c r="T85"/>
      <c r="U85"/>
      <c r="V85"/>
      <c r="X85" s="9"/>
    </row>
    <row r="86" spans="10:24" s="1" customFormat="1" ht="12.75" customHeight="1" x14ac:dyDescent="0.2">
      <c r="J86"/>
      <c r="K86"/>
      <c r="L86"/>
      <c r="M86"/>
      <c r="N86"/>
      <c r="O86" s="2"/>
      <c r="S86"/>
      <c r="T86"/>
      <c r="U86"/>
      <c r="V86"/>
      <c r="X86" s="9"/>
    </row>
    <row r="87" spans="10:24" s="1" customFormat="1" ht="12.75" customHeight="1" x14ac:dyDescent="0.2">
      <c r="J87"/>
      <c r="K87"/>
      <c r="L87"/>
      <c r="M87"/>
      <c r="N87"/>
      <c r="O87" s="2"/>
      <c r="S87"/>
      <c r="T87"/>
      <c r="U87"/>
      <c r="V87"/>
      <c r="X87" s="9"/>
    </row>
    <row r="88" spans="10:24" s="1" customFormat="1" x14ac:dyDescent="0.2">
      <c r="J88"/>
      <c r="K88"/>
      <c r="L88"/>
      <c r="M88"/>
      <c r="N88"/>
      <c r="O88" s="2"/>
      <c r="S88"/>
      <c r="T88"/>
      <c r="U88"/>
      <c r="V88"/>
      <c r="X88"/>
    </row>
    <row r="89" spans="10:24" s="1" customFormat="1" x14ac:dyDescent="0.2">
      <c r="J89"/>
      <c r="K89"/>
      <c r="L89"/>
      <c r="M89"/>
      <c r="N89"/>
      <c r="O89" s="2"/>
      <c r="S89"/>
      <c r="T89"/>
      <c r="U89"/>
      <c r="V89"/>
      <c r="X89"/>
    </row>
    <row r="90" spans="10:24" s="1" customFormat="1" x14ac:dyDescent="0.2">
      <c r="J90"/>
      <c r="K90"/>
      <c r="L90"/>
      <c r="M90"/>
      <c r="N90"/>
      <c r="O90" s="2"/>
      <c r="S90"/>
      <c r="T90"/>
      <c r="U90"/>
      <c r="V90"/>
      <c r="X90"/>
    </row>
    <row r="91" spans="10:24" s="1" customFormat="1" x14ac:dyDescent="0.2">
      <c r="J91"/>
      <c r="K91"/>
      <c r="L91"/>
      <c r="M91"/>
      <c r="N91"/>
      <c r="O91" s="2"/>
      <c r="S91"/>
      <c r="T91"/>
      <c r="U91"/>
      <c r="V91"/>
      <c r="X91"/>
    </row>
    <row r="92" spans="10:24" s="1" customFormat="1" x14ac:dyDescent="0.2">
      <c r="J92"/>
      <c r="K92"/>
      <c r="L92"/>
      <c r="M92"/>
      <c r="N92"/>
      <c r="O92" s="2"/>
      <c r="S92"/>
      <c r="T92"/>
      <c r="U92"/>
      <c r="V92"/>
      <c r="X92"/>
    </row>
    <row r="93" spans="10:24" s="1" customFormat="1" x14ac:dyDescent="0.2">
      <c r="J93"/>
      <c r="K93"/>
      <c r="L93"/>
      <c r="M93"/>
      <c r="N93"/>
      <c r="O93" s="2"/>
      <c r="S93"/>
      <c r="T93"/>
      <c r="U93"/>
      <c r="V93"/>
      <c r="X93"/>
    </row>
    <row r="94" spans="10:24" s="1" customFormat="1" x14ac:dyDescent="0.2">
      <c r="J94"/>
      <c r="K94"/>
      <c r="L94"/>
      <c r="M94"/>
      <c r="N94"/>
      <c r="O94" s="2"/>
      <c r="S94"/>
      <c r="T94"/>
      <c r="U94"/>
      <c r="V94"/>
      <c r="X94"/>
    </row>
    <row r="95" spans="10:24" s="1" customFormat="1" x14ac:dyDescent="0.2">
      <c r="J95"/>
      <c r="K95"/>
      <c r="L95"/>
      <c r="M95"/>
      <c r="N95"/>
      <c r="O95" s="2"/>
      <c r="S95"/>
      <c r="T95"/>
      <c r="U95"/>
      <c r="V95"/>
      <c r="X95"/>
    </row>
    <row r="96" spans="10:24" s="1" customFormat="1" x14ac:dyDescent="0.2">
      <c r="J96"/>
      <c r="K96"/>
      <c r="L96"/>
      <c r="M96"/>
      <c r="N96"/>
      <c r="O96" s="2"/>
      <c r="S96"/>
      <c r="T96"/>
      <c r="U96"/>
      <c r="V96"/>
      <c r="X96"/>
    </row>
    <row r="97" spans="10:24" s="1" customFormat="1" x14ac:dyDescent="0.2">
      <c r="J97"/>
      <c r="K97"/>
      <c r="L97"/>
      <c r="M97"/>
      <c r="N97"/>
      <c r="O97" s="2"/>
      <c r="S97"/>
      <c r="T97"/>
      <c r="U97"/>
      <c r="V97"/>
      <c r="X97"/>
    </row>
    <row r="98" spans="10:24" s="1" customFormat="1" x14ac:dyDescent="0.2">
      <c r="J98"/>
      <c r="K98"/>
      <c r="L98"/>
      <c r="M98"/>
      <c r="N98"/>
      <c r="O98" s="2"/>
      <c r="S98"/>
      <c r="T98"/>
      <c r="U98"/>
      <c r="V98"/>
      <c r="X98"/>
    </row>
    <row r="99" spans="10:24" s="1" customFormat="1" x14ac:dyDescent="0.2">
      <c r="J99"/>
      <c r="K99"/>
      <c r="L99"/>
      <c r="M99"/>
      <c r="N99"/>
      <c r="O99" s="2"/>
      <c r="S99"/>
      <c r="T99"/>
      <c r="U99"/>
      <c r="V99"/>
      <c r="X99"/>
    </row>
    <row r="100" spans="10:24" s="1" customFormat="1" x14ac:dyDescent="0.2">
      <c r="J100"/>
      <c r="K100"/>
      <c r="L100"/>
      <c r="M100"/>
      <c r="N100"/>
      <c r="O100" s="2"/>
      <c r="S100"/>
      <c r="T100"/>
      <c r="U100"/>
      <c r="V100"/>
      <c r="X100"/>
    </row>
    <row r="101" spans="10:24" s="1" customFormat="1" x14ac:dyDescent="0.2">
      <c r="J101"/>
      <c r="K101"/>
      <c r="L101"/>
      <c r="M101"/>
      <c r="N101"/>
      <c r="O101" s="2"/>
      <c r="S101"/>
      <c r="T101"/>
      <c r="U101"/>
      <c r="V101"/>
      <c r="X101"/>
    </row>
    <row r="102" spans="10:24" s="1" customFormat="1" x14ac:dyDescent="0.2">
      <c r="J102"/>
      <c r="K102"/>
      <c r="L102"/>
      <c r="M102"/>
      <c r="N102"/>
      <c r="O102" s="2"/>
      <c r="S102"/>
      <c r="T102"/>
      <c r="U102"/>
      <c r="V102"/>
      <c r="X102"/>
    </row>
    <row r="103" spans="10:24" s="1" customFormat="1" x14ac:dyDescent="0.2">
      <c r="J103"/>
      <c r="K103"/>
      <c r="L103"/>
      <c r="M103"/>
      <c r="N103"/>
      <c r="O103" s="2"/>
      <c r="S103"/>
      <c r="T103"/>
      <c r="U103"/>
      <c r="V103"/>
      <c r="X103"/>
    </row>
    <row r="104" spans="10:24" s="1" customFormat="1" x14ac:dyDescent="0.2">
      <c r="J104"/>
      <c r="K104"/>
      <c r="L104"/>
      <c r="M104"/>
      <c r="N104"/>
      <c r="O104" s="2"/>
      <c r="S104"/>
      <c r="T104"/>
      <c r="U104"/>
      <c r="V104"/>
      <c r="X104"/>
    </row>
    <row r="105" spans="10:24" s="1" customFormat="1" x14ac:dyDescent="0.2">
      <c r="J105"/>
      <c r="K105"/>
      <c r="L105"/>
      <c r="M105"/>
      <c r="N105"/>
      <c r="O105" s="2"/>
      <c r="S105"/>
      <c r="T105"/>
      <c r="U105"/>
      <c r="V105"/>
      <c r="X105"/>
    </row>
    <row r="106" spans="10:24" s="1" customFormat="1" x14ac:dyDescent="0.2">
      <c r="J106"/>
      <c r="K106"/>
      <c r="L106"/>
      <c r="M106"/>
      <c r="N106"/>
      <c r="O106" s="2"/>
      <c r="S106"/>
      <c r="T106"/>
      <c r="U106"/>
      <c r="V106"/>
      <c r="X106"/>
    </row>
    <row r="107" spans="10:24" s="1" customFormat="1" x14ac:dyDescent="0.2">
      <c r="J107"/>
      <c r="K107"/>
      <c r="L107"/>
      <c r="M107"/>
      <c r="N107"/>
      <c r="O107" s="2"/>
      <c r="S107"/>
      <c r="T107"/>
      <c r="U107"/>
      <c r="V107"/>
      <c r="X107"/>
    </row>
    <row r="108" spans="10:24" s="1" customFormat="1" x14ac:dyDescent="0.2">
      <c r="J108"/>
      <c r="K108"/>
      <c r="L108"/>
      <c r="M108"/>
      <c r="N108"/>
      <c r="O108" s="2"/>
      <c r="S108"/>
      <c r="T108"/>
      <c r="U108"/>
      <c r="V108"/>
      <c r="X108"/>
    </row>
    <row r="109" spans="10:24" s="1" customFormat="1" x14ac:dyDescent="0.2">
      <c r="J109"/>
      <c r="K109"/>
      <c r="L109"/>
      <c r="M109"/>
      <c r="N109"/>
      <c r="O109" s="2"/>
      <c r="S109"/>
      <c r="T109"/>
      <c r="U109"/>
      <c r="V109"/>
      <c r="X109"/>
    </row>
    <row r="110" spans="10:24" s="1" customFormat="1" x14ac:dyDescent="0.2">
      <c r="J110"/>
      <c r="K110"/>
      <c r="L110"/>
      <c r="M110"/>
      <c r="N110"/>
      <c r="O110" s="2"/>
      <c r="S110"/>
      <c r="T110"/>
      <c r="U110"/>
      <c r="V110"/>
      <c r="X110"/>
    </row>
    <row r="111" spans="10:24" s="1" customFormat="1" x14ac:dyDescent="0.2">
      <c r="J111"/>
      <c r="K111"/>
      <c r="L111"/>
      <c r="M111"/>
      <c r="N111"/>
      <c r="O111" s="2"/>
      <c r="S111"/>
      <c r="T111"/>
      <c r="U111"/>
      <c r="V111"/>
      <c r="X111"/>
    </row>
    <row r="112" spans="10:24" s="1" customFormat="1" x14ac:dyDescent="0.2">
      <c r="J112"/>
      <c r="K112"/>
      <c r="L112"/>
      <c r="M112"/>
      <c r="N112"/>
      <c r="O112" s="2"/>
      <c r="S112"/>
      <c r="T112"/>
      <c r="U112"/>
      <c r="V112"/>
      <c r="X112"/>
    </row>
    <row r="113" spans="10:24" s="1" customFormat="1" x14ac:dyDescent="0.2">
      <c r="J113"/>
      <c r="K113"/>
      <c r="L113"/>
      <c r="M113"/>
      <c r="N113"/>
      <c r="O113" s="2"/>
      <c r="S113"/>
      <c r="T113"/>
      <c r="U113"/>
      <c r="V113"/>
      <c r="X113"/>
    </row>
    <row r="114" spans="10:24" s="1" customFormat="1" x14ac:dyDescent="0.2">
      <c r="J114"/>
      <c r="K114"/>
      <c r="L114"/>
      <c r="M114"/>
      <c r="N114"/>
      <c r="O114" s="2"/>
      <c r="S114"/>
      <c r="T114"/>
      <c r="U114"/>
      <c r="V114"/>
      <c r="X114"/>
    </row>
    <row r="115" spans="10:24" s="1" customFormat="1" x14ac:dyDescent="0.2">
      <c r="J115"/>
      <c r="K115"/>
      <c r="L115"/>
      <c r="M115"/>
      <c r="N115"/>
      <c r="O115" s="2"/>
      <c r="S115"/>
      <c r="T115"/>
      <c r="U115"/>
      <c r="V115"/>
      <c r="X115"/>
    </row>
    <row r="116" spans="10:24" s="1" customFormat="1" x14ac:dyDescent="0.2">
      <c r="J116"/>
      <c r="K116"/>
      <c r="L116"/>
      <c r="M116"/>
      <c r="N116"/>
      <c r="O116" s="2"/>
      <c r="S116"/>
      <c r="T116"/>
      <c r="U116"/>
      <c r="V116"/>
      <c r="X116"/>
    </row>
    <row r="117" spans="10:24" s="1" customFormat="1" x14ac:dyDescent="0.2">
      <c r="J117"/>
      <c r="K117"/>
      <c r="L117"/>
      <c r="M117"/>
      <c r="N117"/>
      <c r="O117" s="2"/>
      <c r="S117"/>
      <c r="T117"/>
      <c r="U117"/>
      <c r="V117"/>
      <c r="X117"/>
    </row>
    <row r="118" spans="10:24" s="1" customFormat="1" x14ac:dyDescent="0.2">
      <c r="J118"/>
      <c r="K118"/>
      <c r="L118"/>
      <c r="M118"/>
      <c r="N118"/>
      <c r="O118" s="2"/>
      <c r="S118"/>
      <c r="T118"/>
      <c r="U118"/>
      <c r="V118"/>
      <c r="X118"/>
    </row>
    <row r="119" spans="10:24" s="1" customFormat="1" x14ac:dyDescent="0.2">
      <c r="J119"/>
      <c r="K119"/>
      <c r="L119"/>
      <c r="M119"/>
      <c r="N119"/>
      <c r="O119" s="2"/>
      <c r="S119"/>
      <c r="T119"/>
      <c r="U119"/>
      <c r="V119"/>
      <c r="X119"/>
    </row>
    <row r="120" spans="10:24" s="1" customFormat="1" x14ac:dyDescent="0.2">
      <c r="J120"/>
      <c r="K120"/>
      <c r="L120"/>
      <c r="M120"/>
      <c r="N120"/>
      <c r="O120" s="2"/>
      <c r="S120"/>
      <c r="T120"/>
      <c r="U120"/>
      <c r="V120"/>
      <c r="X120"/>
    </row>
    <row r="121" spans="10:24" s="1" customFormat="1" x14ac:dyDescent="0.2">
      <c r="J121"/>
      <c r="K121"/>
      <c r="L121"/>
      <c r="M121"/>
      <c r="N121"/>
      <c r="O121" s="2"/>
      <c r="S121"/>
      <c r="T121"/>
      <c r="U121"/>
      <c r="V121"/>
      <c r="X121"/>
    </row>
    <row r="122" spans="10:24" s="1" customFormat="1" x14ac:dyDescent="0.2">
      <c r="J122"/>
      <c r="K122"/>
      <c r="L122"/>
      <c r="M122"/>
      <c r="N122"/>
      <c r="O122" s="2"/>
      <c r="S122"/>
      <c r="T122"/>
      <c r="U122"/>
      <c r="V122"/>
      <c r="X122"/>
    </row>
    <row r="123" spans="10:24" s="1" customFormat="1" x14ac:dyDescent="0.2">
      <c r="J123"/>
      <c r="K123"/>
      <c r="L123"/>
      <c r="M123"/>
      <c r="N123"/>
      <c r="O123" s="2"/>
      <c r="S123"/>
      <c r="T123"/>
      <c r="U123"/>
      <c r="V123"/>
      <c r="X123"/>
    </row>
    <row r="124" spans="10:24" s="1" customFormat="1" x14ac:dyDescent="0.2">
      <c r="J124"/>
      <c r="K124"/>
      <c r="L124"/>
      <c r="M124"/>
      <c r="N124"/>
      <c r="O124" s="2"/>
      <c r="S124"/>
      <c r="T124"/>
      <c r="U124"/>
      <c r="V124"/>
      <c r="X124"/>
    </row>
    <row r="125" spans="10:24" s="1" customFormat="1" x14ac:dyDescent="0.2">
      <c r="J125"/>
      <c r="K125"/>
      <c r="L125"/>
      <c r="M125"/>
      <c r="N125"/>
      <c r="O125" s="2"/>
      <c r="S125"/>
      <c r="T125"/>
      <c r="U125"/>
      <c r="V125"/>
      <c r="X125"/>
    </row>
    <row r="126" spans="10:24" s="1" customFormat="1" x14ac:dyDescent="0.2">
      <c r="J126"/>
      <c r="K126"/>
      <c r="L126"/>
      <c r="M126"/>
      <c r="N126"/>
      <c r="O126" s="2"/>
      <c r="S126"/>
      <c r="T126"/>
      <c r="U126"/>
      <c r="V126"/>
      <c r="X126"/>
    </row>
    <row r="127" spans="10:24" s="1" customFormat="1" x14ac:dyDescent="0.2">
      <c r="J127"/>
      <c r="K127"/>
      <c r="L127"/>
      <c r="M127"/>
      <c r="N127"/>
      <c r="O127" s="2"/>
      <c r="S127"/>
      <c r="T127"/>
      <c r="U127"/>
      <c r="V127"/>
      <c r="X127"/>
    </row>
    <row r="128" spans="10:24" s="1" customFormat="1" x14ac:dyDescent="0.2">
      <c r="J128"/>
      <c r="K128"/>
      <c r="L128"/>
      <c r="M128"/>
      <c r="N128"/>
      <c r="O128" s="2"/>
      <c r="S128"/>
      <c r="T128"/>
      <c r="U128"/>
      <c r="V128"/>
      <c r="X128"/>
    </row>
    <row r="129" spans="10:24" s="1" customFormat="1" x14ac:dyDescent="0.2">
      <c r="J129"/>
      <c r="K129"/>
      <c r="L129"/>
      <c r="M129"/>
      <c r="N129"/>
      <c r="O129" s="2"/>
      <c r="S129"/>
      <c r="T129"/>
      <c r="U129"/>
      <c r="V129"/>
      <c r="X129"/>
    </row>
    <row r="130" spans="10:24" s="1" customFormat="1" x14ac:dyDescent="0.2">
      <c r="J130"/>
      <c r="K130"/>
      <c r="L130"/>
      <c r="M130"/>
      <c r="N130"/>
      <c r="O130" s="2"/>
      <c r="S130"/>
      <c r="T130"/>
      <c r="U130"/>
      <c r="V130"/>
      <c r="X130"/>
    </row>
    <row r="131" spans="10:24" s="1" customFormat="1" x14ac:dyDescent="0.2">
      <c r="J131"/>
      <c r="K131"/>
      <c r="L131"/>
      <c r="M131"/>
      <c r="N131"/>
      <c r="O131" s="2"/>
      <c r="S131"/>
      <c r="T131"/>
      <c r="U131"/>
      <c r="V131"/>
      <c r="X131"/>
    </row>
    <row r="132" spans="10:24" s="1" customFormat="1" x14ac:dyDescent="0.2">
      <c r="J132"/>
      <c r="K132"/>
      <c r="L132"/>
      <c r="M132"/>
      <c r="N132"/>
      <c r="O132" s="2"/>
      <c r="S132"/>
      <c r="T132"/>
      <c r="U132"/>
      <c r="V132"/>
      <c r="X132"/>
    </row>
    <row r="133" spans="10:24" s="1" customFormat="1" x14ac:dyDescent="0.2">
      <c r="J133"/>
      <c r="K133"/>
      <c r="L133"/>
      <c r="M133"/>
      <c r="N133"/>
      <c r="O133" s="2"/>
      <c r="S133"/>
      <c r="T133"/>
      <c r="U133"/>
      <c r="V133"/>
      <c r="X133"/>
    </row>
    <row r="134" spans="10:24" s="1" customFormat="1" x14ac:dyDescent="0.2">
      <c r="J134"/>
      <c r="K134"/>
      <c r="L134"/>
      <c r="M134"/>
      <c r="N134"/>
      <c r="O134" s="2"/>
      <c r="S134"/>
      <c r="T134"/>
      <c r="U134"/>
      <c r="V134"/>
      <c r="X134"/>
    </row>
    <row r="135" spans="10:24" s="1" customFormat="1" x14ac:dyDescent="0.2">
      <c r="J135"/>
      <c r="K135"/>
      <c r="L135"/>
      <c r="M135"/>
      <c r="N135"/>
      <c r="O135" s="2"/>
      <c r="S135"/>
      <c r="T135"/>
      <c r="U135"/>
      <c r="V135"/>
      <c r="X135"/>
    </row>
    <row r="136" spans="10:24" s="1" customFormat="1" x14ac:dyDescent="0.2">
      <c r="J136"/>
      <c r="K136"/>
      <c r="L136"/>
      <c r="M136"/>
      <c r="N136"/>
      <c r="O136" s="2"/>
      <c r="S136"/>
      <c r="T136"/>
      <c r="U136"/>
      <c r="V136"/>
      <c r="X136"/>
    </row>
    <row r="137" spans="10:24" s="1" customFormat="1" x14ac:dyDescent="0.2">
      <c r="J137"/>
      <c r="K137"/>
      <c r="L137"/>
      <c r="M137"/>
      <c r="N137"/>
      <c r="O137" s="2"/>
      <c r="S137"/>
      <c r="T137"/>
      <c r="U137"/>
      <c r="V137"/>
      <c r="X137"/>
    </row>
    <row r="138" spans="10:24" s="1" customFormat="1" x14ac:dyDescent="0.2">
      <c r="J138"/>
      <c r="K138"/>
      <c r="L138"/>
      <c r="M138"/>
      <c r="N138"/>
      <c r="O138" s="2"/>
      <c r="S138"/>
      <c r="T138"/>
      <c r="U138"/>
      <c r="V138"/>
      <c r="X138"/>
    </row>
    <row r="139" spans="10:24" s="1" customFormat="1" x14ac:dyDescent="0.2">
      <c r="J139"/>
      <c r="K139"/>
      <c r="L139"/>
      <c r="M139"/>
      <c r="N139"/>
      <c r="O139" s="2"/>
      <c r="S139"/>
      <c r="T139"/>
      <c r="U139"/>
      <c r="V139"/>
      <c r="X139"/>
    </row>
    <row r="140" spans="10:24" s="1" customFormat="1" x14ac:dyDescent="0.2">
      <c r="J140"/>
      <c r="K140"/>
      <c r="L140"/>
      <c r="M140"/>
      <c r="N140"/>
      <c r="O140" s="2"/>
      <c r="S140"/>
      <c r="T140"/>
      <c r="U140"/>
      <c r="V140"/>
      <c r="X140"/>
    </row>
    <row r="141" spans="10:24" s="1" customFormat="1" x14ac:dyDescent="0.2">
      <c r="J141"/>
      <c r="K141"/>
      <c r="L141"/>
      <c r="M141"/>
      <c r="N141"/>
      <c r="O141" s="2"/>
      <c r="S141"/>
      <c r="T141"/>
      <c r="U141"/>
      <c r="V141"/>
      <c r="X141"/>
    </row>
    <row r="142" spans="10:24" s="1" customFormat="1" x14ac:dyDescent="0.2">
      <c r="J142"/>
      <c r="K142"/>
      <c r="L142"/>
      <c r="M142"/>
      <c r="N142"/>
      <c r="O142" s="2"/>
      <c r="S142"/>
      <c r="T142"/>
      <c r="U142"/>
      <c r="V142"/>
      <c r="X142"/>
    </row>
    <row r="143" spans="10:24" s="1" customFormat="1" x14ac:dyDescent="0.2">
      <c r="J143"/>
      <c r="K143"/>
      <c r="L143"/>
      <c r="M143"/>
      <c r="N143"/>
      <c r="O143" s="2"/>
      <c r="S143"/>
      <c r="T143"/>
      <c r="U143"/>
      <c r="V143"/>
      <c r="X143"/>
    </row>
    <row r="144" spans="10:24" s="1" customFormat="1" x14ac:dyDescent="0.2">
      <c r="J144"/>
      <c r="K144"/>
      <c r="L144"/>
      <c r="M144"/>
      <c r="N144"/>
      <c r="O144" s="2"/>
      <c r="S144"/>
      <c r="T144"/>
      <c r="U144"/>
      <c r="V144"/>
      <c r="X144"/>
    </row>
    <row r="145" spans="10:24" s="1" customFormat="1" x14ac:dyDescent="0.2">
      <c r="J145"/>
      <c r="K145"/>
      <c r="L145"/>
      <c r="M145"/>
      <c r="N145"/>
      <c r="O145" s="2"/>
      <c r="S145"/>
      <c r="T145"/>
      <c r="U145"/>
      <c r="V145"/>
      <c r="X145"/>
    </row>
    <row r="146" spans="10:24" s="1" customFormat="1" x14ac:dyDescent="0.2">
      <c r="J146"/>
      <c r="K146"/>
      <c r="L146"/>
      <c r="M146"/>
      <c r="N146"/>
      <c r="O146" s="2"/>
      <c r="S146"/>
      <c r="T146"/>
      <c r="U146"/>
      <c r="V146"/>
      <c r="X146"/>
    </row>
    <row r="147" spans="10:24" s="1" customFormat="1" x14ac:dyDescent="0.2">
      <c r="J147"/>
      <c r="K147"/>
      <c r="L147"/>
      <c r="M147"/>
      <c r="N147"/>
      <c r="O147" s="2"/>
      <c r="S147"/>
      <c r="T147"/>
      <c r="U147"/>
      <c r="V147"/>
      <c r="X147"/>
    </row>
    <row r="148" spans="10:24" s="1" customFormat="1" x14ac:dyDescent="0.2">
      <c r="J148"/>
      <c r="K148"/>
      <c r="L148"/>
      <c r="M148"/>
      <c r="N148"/>
      <c r="O148" s="2"/>
      <c r="S148"/>
      <c r="T148"/>
      <c r="U148"/>
      <c r="V148"/>
      <c r="X148"/>
    </row>
    <row r="149" spans="10:24" s="1" customFormat="1" x14ac:dyDescent="0.2">
      <c r="J149"/>
      <c r="K149"/>
      <c r="L149"/>
      <c r="M149"/>
      <c r="N149"/>
      <c r="O149" s="2"/>
      <c r="S149"/>
      <c r="T149"/>
      <c r="U149"/>
      <c r="V149"/>
      <c r="X149"/>
    </row>
    <row r="150" spans="10:24" s="1" customFormat="1" x14ac:dyDescent="0.2">
      <c r="J150"/>
      <c r="K150"/>
      <c r="L150"/>
      <c r="M150"/>
      <c r="N150"/>
      <c r="O150" s="2"/>
      <c r="S150"/>
      <c r="T150"/>
      <c r="U150"/>
      <c r="V150"/>
      <c r="X150"/>
    </row>
    <row r="151" spans="10:24" s="1" customFormat="1" x14ac:dyDescent="0.2">
      <c r="J151"/>
      <c r="K151"/>
      <c r="L151"/>
      <c r="M151"/>
      <c r="N151"/>
      <c r="O151" s="2"/>
      <c r="S151"/>
      <c r="T151"/>
      <c r="U151"/>
      <c r="V151"/>
      <c r="X151"/>
    </row>
    <row r="152" spans="10:24" s="1" customFormat="1" x14ac:dyDescent="0.2">
      <c r="J152"/>
      <c r="K152"/>
      <c r="L152"/>
      <c r="M152"/>
      <c r="N152"/>
      <c r="O152" s="2"/>
      <c r="S152"/>
      <c r="T152"/>
      <c r="U152"/>
      <c r="V152"/>
      <c r="X152"/>
    </row>
    <row r="153" spans="10:24" s="1" customFormat="1" x14ac:dyDescent="0.2">
      <c r="J153"/>
      <c r="K153"/>
      <c r="L153"/>
      <c r="M153"/>
      <c r="N153"/>
      <c r="O153" s="2"/>
      <c r="S153"/>
      <c r="T153"/>
      <c r="U153"/>
      <c r="V153"/>
      <c r="X153"/>
    </row>
    <row r="154" spans="10:24" s="1" customFormat="1" x14ac:dyDescent="0.2">
      <c r="J154"/>
      <c r="K154"/>
      <c r="L154"/>
      <c r="M154"/>
      <c r="N154"/>
      <c r="O154" s="2"/>
      <c r="S154"/>
      <c r="T154"/>
      <c r="U154"/>
      <c r="V154"/>
      <c r="X154"/>
    </row>
    <row r="155" spans="10:24" s="1" customFormat="1" x14ac:dyDescent="0.2">
      <c r="J155"/>
      <c r="K155"/>
      <c r="L155"/>
      <c r="M155"/>
      <c r="N155"/>
      <c r="O155" s="2"/>
      <c r="S155"/>
      <c r="T155"/>
      <c r="U155"/>
      <c r="V155"/>
      <c r="X155"/>
    </row>
    <row r="156" spans="10:24" s="1" customFormat="1" x14ac:dyDescent="0.2">
      <c r="J156"/>
      <c r="K156"/>
      <c r="L156"/>
      <c r="M156"/>
      <c r="N156"/>
      <c r="O156" s="2"/>
      <c r="S156"/>
      <c r="T156"/>
      <c r="U156"/>
      <c r="V156"/>
      <c r="X156"/>
    </row>
    <row r="157" spans="10:24" s="1" customFormat="1" x14ac:dyDescent="0.2">
      <c r="J157"/>
      <c r="K157"/>
      <c r="L157"/>
      <c r="M157"/>
      <c r="N157"/>
      <c r="O157" s="2"/>
      <c r="S157"/>
      <c r="T157"/>
      <c r="U157"/>
      <c r="V157"/>
      <c r="X157"/>
    </row>
    <row r="158" spans="10:24" s="1" customFormat="1" x14ac:dyDescent="0.2">
      <c r="J158"/>
      <c r="K158"/>
      <c r="L158"/>
      <c r="M158"/>
      <c r="N158"/>
      <c r="O158" s="2"/>
      <c r="S158"/>
      <c r="T158"/>
      <c r="U158"/>
      <c r="V158"/>
      <c r="X158"/>
    </row>
    <row r="159" spans="10:24" s="1" customFormat="1" x14ac:dyDescent="0.2">
      <c r="J159"/>
      <c r="K159"/>
      <c r="L159"/>
      <c r="M159"/>
      <c r="N159"/>
      <c r="O159" s="2"/>
      <c r="S159"/>
      <c r="T159"/>
      <c r="U159"/>
      <c r="V159"/>
      <c r="X159"/>
    </row>
    <row r="160" spans="10:24" s="1" customFormat="1" x14ac:dyDescent="0.2">
      <c r="J160"/>
      <c r="K160"/>
      <c r="L160"/>
      <c r="M160"/>
      <c r="N160"/>
      <c r="O160" s="2"/>
      <c r="S160"/>
      <c r="T160"/>
      <c r="U160"/>
      <c r="V160"/>
      <c r="X160"/>
    </row>
    <row r="161" spans="10:24" s="1" customFormat="1" x14ac:dyDescent="0.2">
      <c r="J161"/>
      <c r="K161"/>
      <c r="L161"/>
      <c r="M161"/>
      <c r="N161"/>
      <c r="O161" s="2"/>
      <c r="S161"/>
      <c r="T161"/>
      <c r="U161"/>
      <c r="V161"/>
      <c r="X161"/>
    </row>
    <row r="162" spans="10:24" s="1" customFormat="1" x14ac:dyDescent="0.2">
      <c r="J162"/>
      <c r="K162"/>
      <c r="L162"/>
      <c r="M162"/>
      <c r="N162"/>
      <c r="O162" s="2"/>
      <c r="S162"/>
      <c r="T162"/>
      <c r="U162"/>
      <c r="V162"/>
      <c r="X162"/>
    </row>
    <row r="163" spans="10:24" s="1" customFormat="1" x14ac:dyDescent="0.2">
      <c r="J163"/>
      <c r="K163"/>
      <c r="L163"/>
      <c r="M163"/>
      <c r="N163"/>
      <c r="O163" s="2"/>
      <c r="S163"/>
      <c r="T163"/>
      <c r="U163"/>
      <c r="V163"/>
      <c r="X163"/>
    </row>
    <row r="164" spans="10:24" s="1" customFormat="1" x14ac:dyDescent="0.2">
      <c r="J164"/>
      <c r="K164"/>
      <c r="L164"/>
      <c r="M164"/>
      <c r="N164"/>
      <c r="O164" s="2"/>
      <c r="S164"/>
      <c r="T164"/>
      <c r="U164"/>
      <c r="V164"/>
      <c r="X164"/>
    </row>
    <row r="165" spans="10:24" s="1" customFormat="1" x14ac:dyDescent="0.2">
      <c r="J165"/>
      <c r="K165"/>
      <c r="L165"/>
      <c r="M165"/>
      <c r="N165"/>
      <c r="O165" s="2"/>
      <c r="S165"/>
      <c r="T165"/>
      <c r="U165"/>
      <c r="V165"/>
      <c r="X165"/>
    </row>
    <row r="166" spans="10:24" s="1" customFormat="1" x14ac:dyDescent="0.2">
      <c r="J166"/>
      <c r="K166"/>
      <c r="L166"/>
      <c r="M166"/>
      <c r="N166"/>
      <c r="O166" s="2"/>
      <c r="S166"/>
      <c r="T166"/>
      <c r="U166"/>
      <c r="V166"/>
      <c r="X166"/>
    </row>
    <row r="167" spans="10:24" s="1" customFormat="1" x14ac:dyDescent="0.2">
      <c r="J167"/>
      <c r="K167"/>
      <c r="L167"/>
      <c r="M167"/>
      <c r="N167"/>
      <c r="O167" s="2"/>
      <c r="S167"/>
      <c r="T167"/>
      <c r="U167"/>
      <c r="V167"/>
      <c r="X167"/>
    </row>
    <row r="168" spans="10:24" s="1" customFormat="1" x14ac:dyDescent="0.2">
      <c r="J168"/>
      <c r="K168"/>
      <c r="L168"/>
      <c r="M168"/>
      <c r="N168"/>
      <c r="O168" s="2"/>
      <c r="S168"/>
      <c r="T168"/>
      <c r="U168"/>
      <c r="V168"/>
      <c r="X168"/>
    </row>
    <row r="169" spans="10:24" s="1" customFormat="1" x14ac:dyDescent="0.2">
      <c r="J169"/>
      <c r="K169"/>
      <c r="L169"/>
      <c r="M169"/>
      <c r="N169"/>
      <c r="O169" s="2"/>
      <c r="S169"/>
      <c r="T169"/>
      <c r="U169"/>
      <c r="V169"/>
      <c r="X169"/>
    </row>
    <row r="170" spans="10:24" s="1" customFormat="1" x14ac:dyDescent="0.2">
      <c r="J170"/>
      <c r="K170"/>
      <c r="L170"/>
      <c r="M170"/>
      <c r="N170"/>
      <c r="O170" s="2"/>
      <c r="S170"/>
      <c r="T170"/>
      <c r="U170"/>
      <c r="V170"/>
      <c r="X170"/>
    </row>
    <row r="171" spans="10:24" s="1" customFormat="1" x14ac:dyDescent="0.2">
      <c r="J171"/>
      <c r="K171"/>
      <c r="L171"/>
      <c r="M171"/>
      <c r="N171"/>
      <c r="O171" s="2"/>
      <c r="S171"/>
      <c r="T171"/>
      <c r="U171"/>
      <c r="V171"/>
      <c r="X171"/>
    </row>
    <row r="172" spans="10:24" s="1" customFormat="1" x14ac:dyDescent="0.2">
      <c r="J172"/>
      <c r="K172"/>
      <c r="L172"/>
      <c r="M172"/>
      <c r="N172"/>
      <c r="O172" s="2"/>
      <c r="S172"/>
      <c r="T172"/>
      <c r="U172"/>
      <c r="V172"/>
      <c r="X172"/>
    </row>
    <row r="173" spans="10:24" s="1" customFormat="1" x14ac:dyDescent="0.2">
      <c r="J173"/>
      <c r="K173"/>
      <c r="L173"/>
      <c r="M173"/>
      <c r="N173"/>
      <c r="O173" s="2"/>
      <c r="S173"/>
      <c r="T173"/>
      <c r="U173"/>
      <c r="V173"/>
      <c r="X173"/>
    </row>
    <row r="174" spans="10:24" s="1" customFormat="1" x14ac:dyDescent="0.2">
      <c r="J174"/>
      <c r="K174"/>
      <c r="L174"/>
      <c r="M174"/>
      <c r="N174"/>
      <c r="O174" s="2"/>
      <c r="S174"/>
      <c r="T174"/>
      <c r="U174"/>
      <c r="V174"/>
      <c r="X174"/>
    </row>
    <row r="175" spans="10:24" s="1" customFormat="1" x14ac:dyDescent="0.2">
      <c r="J175"/>
      <c r="K175"/>
      <c r="L175"/>
      <c r="M175"/>
      <c r="N175"/>
      <c r="O175" s="2"/>
      <c r="S175"/>
      <c r="T175"/>
      <c r="U175"/>
      <c r="V175"/>
      <c r="X175"/>
    </row>
    <row r="176" spans="10:24" s="1" customFormat="1" x14ac:dyDescent="0.2">
      <c r="J176"/>
      <c r="K176"/>
      <c r="L176"/>
      <c r="M176"/>
      <c r="N176"/>
      <c r="O176" s="2"/>
      <c r="S176"/>
      <c r="T176"/>
      <c r="U176"/>
      <c r="V176"/>
      <c r="X176"/>
    </row>
    <row r="177" spans="10:24" s="1" customFormat="1" x14ac:dyDescent="0.2">
      <c r="J177"/>
      <c r="K177"/>
      <c r="L177"/>
      <c r="M177"/>
      <c r="N177"/>
      <c r="O177" s="2"/>
      <c r="S177"/>
      <c r="T177"/>
      <c r="U177"/>
      <c r="V177"/>
      <c r="X177"/>
    </row>
    <row r="178" spans="10:24" s="1" customFormat="1" x14ac:dyDescent="0.2">
      <c r="J178"/>
      <c r="K178"/>
      <c r="L178"/>
      <c r="M178"/>
      <c r="N178"/>
      <c r="O178" s="2"/>
      <c r="S178"/>
      <c r="T178"/>
      <c r="U178"/>
      <c r="V178"/>
      <c r="X178"/>
    </row>
    <row r="179" spans="10:24" s="1" customFormat="1" x14ac:dyDescent="0.2">
      <c r="J179"/>
      <c r="K179"/>
      <c r="L179"/>
      <c r="M179"/>
      <c r="N179"/>
      <c r="O179" s="2"/>
      <c r="S179"/>
      <c r="T179"/>
      <c r="U179"/>
      <c r="V179"/>
      <c r="X179"/>
    </row>
    <row r="180" spans="10:24" s="1" customFormat="1" x14ac:dyDescent="0.2">
      <c r="J180"/>
      <c r="K180"/>
      <c r="L180"/>
      <c r="M180"/>
      <c r="N180"/>
      <c r="O180" s="2"/>
      <c r="S180"/>
      <c r="T180"/>
      <c r="U180"/>
      <c r="V180"/>
      <c r="X180"/>
    </row>
    <row r="181" spans="10:24" s="1" customFormat="1" x14ac:dyDescent="0.2">
      <c r="J181"/>
      <c r="K181"/>
      <c r="L181"/>
      <c r="M181"/>
      <c r="N181"/>
      <c r="O181" s="2"/>
      <c r="S181"/>
      <c r="T181"/>
      <c r="U181"/>
      <c r="V181"/>
      <c r="X181"/>
    </row>
    <row r="182" spans="10:24" s="1" customFormat="1" x14ac:dyDescent="0.2">
      <c r="J182"/>
      <c r="K182"/>
      <c r="L182"/>
      <c r="M182"/>
      <c r="N182"/>
      <c r="O182" s="2"/>
      <c r="S182"/>
      <c r="T182"/>
      <c r="U182"/>
      <c r="V182"/>
      <c r="X182"/>
    </row>
    <row r="183" spans="10:24" s="1" customFormat="1" x14ac:dyDescent="0.2">
      <c r="J183"/>
      <c r="K183"/>
      <c r="L183"/>
      <c r="M183"/>
      <c r="N183"/>
      <c r="O183" s="2"/>
      <c r="S183"/>
      <c r="T183"/>
      <c r="U183"/>
      <c r="V183"/>
      <c r="X183"/>
    </row>
    <row r="184" spans="10:24" s="1" customFormat="1" x14ac:dyDescent="0.2">
      <c r="J184"/>
      <c r="K184"/>
      <c r="L184"/>
      <c r="M184"/>
      <c r="N184"/>
      <c r="O184" s="2"/>
      <c r="S184"/>
      <c r="T184"/>
      <c r="U184"/>
      <c r="V184"/>
      <c r="X184"/>
    </row>
    <row r="185" spans="10:24" s="1" customFormat="1" x14ac:dyDescent="0.2">
      <c r="J185"/>
      <c r="K185"/>
      <c r="L185"/>
      <c r="M185"/>
      <c r="N185"/>
      <c r="O185" s="2"/>
      <c r="S185"/>
      <c r="T185"/>
      <c r="U185"/>
      <c r="V185"/>
      <c r="X185"/>
    </row>
    <row r="186" spans="10:24" s="1" customFormat="1" x14ac:dyDescent="0.2">
      <c r="J186"/>
      <c r="K186"/>
      <c r="L186"/>
      <c r="M186"/>
      <c r="N186"/>
      <c r="O186" s="2"/>
      <c r="S186"/>
      <c r="T186"/>
      <c r="U186"/>
      <c r="V186"/>
      <c r="X186"/>
    </row>
    <row r="187" spans="10:24" s="1" customFormat="1" x14ac:dyDescent="0.2">
      <c r="J187"/>
      <c r="K187"/>
      <c r="L187"/>
      <c r="M187"/>
      <c r="N187"/>
      <c r="O187" s="2"/>
      <c r="S187"/>
      <c r="T187"/>
      <c r="U187"/>
      <c r="V187"/>
      <c r="X187"/>
    </row>
    <row r="188" spans="10:24" s="1" customFormat="1" x14ac:dyDescent="0.2">
      <c r="J188"/>
      <c r="K188"/>
      <c r="L188"/>
      <c r="M188"/>
      <c r="N188"/>
      <c r="O188" s="2"/>
      <c r="S188"/>
      <c r="T188"/>
      <c r="U188"/>
      <c r="V188"/>
      <c r="X188"/>
    </row>
    <row r="189" spans="10:24" s="1" customFormat="1" x14ac:dyDescent="0.2">
      <c r="J189"/>
      <c r="K189"/>
      <c r="L189"/>
      <c r="M189"/>
      <c r="N189"/>
      <c r="O189" s="2"/>
      <c r="S189"/>
      <c r="T189"/>
      <c r="U189"/>
      <c r="V189"/>
      <c r="X189"/>
    </row>
    <row r="190" spans="10:24" s="1" customFormat="1" x14ac:dyDescent="0.2">
      <c r="J190"/>
      <c r="K190"/>
      <c r="L190"/>
      <c r="M190"/>
      <c r="N190"/>
      <c r="O190" s="2"/>
      <c r="S190"/>
      <c r="T190"/>
      <c r="U190"/>
      <c r="V190"/>
      <c r="X190"/>
    </row>
    <row r="191" spans="10:24" s="1" customFormat="1" x14ac:dyDescent="0.2">
      <c r="J191"/>
      <c r="K191"/>
      <c r="L191"/>
      <c r="M191"/>
      <c r="N191"/>
      <c r="O191" s="2"/>
      <c r="S191"/>
      <c r="T191"/>
      <c r="U191"/>
      <c r="V191"/>
      <c r="X191"/>
    </row>
    <row r="192" spans="10:24" s="1" customFormat="1" x14ac:dyDescent="0.2">
      <c r="J192"/>
      <c r="K192"/>
      <c r="L192"/>
      <c r="M192"/>
      <c r="N192"/>
      <c r="O192" s="2"/>
      <c r="S192"/>
      <c r="T192"/>
      <c r="U192"/>
      <c r="V192"/>
      <c r="X192"/>
    </row>
    <row r="193" spans="10:24" s="1" customFormat="1" x14ac:dyDescent="0.2">
      <c r="J193"/>
      <c r="K193"/>
      <c r="L193"/>
      <c r="M193"/>
      <c r="N193"/>
      <c r="O193" s="2"/>
      <c r="S193"/>
      <c r="T193"/>
      <c r="U193"/>
      <c r="V193"/>
      <c r="X193"/>
    </row>
    <row r="194" spans="10:24" s="1" customFormat="1" x14ac:dyDescent="0.2">
      <c r="J194"/>
      <c r="K194"/>
      <c r="L194"/>
      <c r="M194"/>
      <c r="N194"/>
      <c r="O194" s="2"/>
      <c r="S194"/>
      <c r="T194"/>
      <c r="U194"/>
      <c r="V194"/>
      <c r="X194"/>
    </row>
    <row r="195" spans="10:24" s="1" customFormat="1" x14ac:dyDescent="0.2">
      <c r="J195"/>
      <c r="K195"/>
      <c r="L195"/>
      <c r="M195"/>
      <c r="N195"/>
      <c r="O195" s="2"/>
      <c r="S195"/>
      <c r="T195"/>
      <c r="U195"/>
      <c r="V195"/>
      <c r="X195"/>
    </row>
    <row r="196" spans="10:24" s="1" customFormat="1" x14ac:dyDescent="0.2">
      <c r="J196"/>
      <c r="K196"/>
      <c r="L196"/>
      <c r="M196"/>
      <c r="N196"/>
      <c r="O196" s="2"/>
      <c r="S196"/>
      <c r="T196"/>
      <c r="U196"/>
      <c r="V196"/>
      <c r="X196"/>
    </row>
    <row r="197" spans="10:24" s="1" customFormat="1" x14ac:dyDescent="0.2">
      <c r="J197"/>
      <c r="K197"/>
      <c r="L197"/>
      <c r="M197"/>
      <c r="N197"/>
      <c r="O197" s="2"/>
      <c r="S197"/>
      <c r="T197"/>
      <c r="U197"/>
      <c r="V197"/>
      <c r="X197"/>
    </row>
    <row r="198" spans="10:24" s="1" customFormat="1" x14ac:dyDescent="0.2">
      <c r="J198"/>
      <c r="K198"/>
      <c r="L198"/>
      <c r="M198"/>
      <c r="N198"/>
      <c r="O198" s="2"/>
      <c r="S198"/>
      <c r="T198"/>
      <c r="U198"/>
      <c r="V198"/>
      <c r="X198"/>
    </row>
    <row r="199" spans="10:24" s="1" customFormat="1" x14ac:dyDescent="0.2">
      <c r="J199"/>
      <c r="K199"/>
      <c r="L199"/>
      <c r="M199"/>
      <c r="N199"/>
      <c r="O199" s="2"/>
      <c r="S199"/>
      <c r="T199"/>
      <c r="U199"/>
      <c r="V199"/>
      <c r="X199"/>
    </row>
    <row r="200" spans="10:24" s="1" customFormat="1" x14ac:dyDescent="0.2">
      <c r="J200"/>
      <c r="K200"/>
      <c r="L200"/>
      <c r="M200"/>
      <c r="N200"/>
      <c r="O200" s="2"/>
      <c r="S200"/>
      <c r="T200"/>
      <c r="U200"/>
      <c r="V200"/>
      <c r="X200"/>
    </row>
    <row r="201" spans="10:24" s="1" customFormat="1" x14ac:dyDescent="0.2">
      <c r="J201"/>
      <c r="K201"/>
      <c r="L201"/>
      <c r="M201"/>
      <c r="N201"/>
      <c r="O201" s="2"/>
      <c r="S201"/>
      <c r="T201"/>
      <c r="U201"/>
      <c r="V201"/>
      <c r="X201"/>
    </row>
    <row r="202" spans="10:24" s="1" customFormat="1" x14ac:dyDescent="0.2">
      <c r="J202"/>
      <c r="K202"/>
      <c r="L202"/>
      <c r="M202"/>
      <c r="N202"/>
      <c r="O202" s="2"/>
      <c r="S202"/>
      <c r="T202"/>
      <c r="U202"/>
      <c r="V202"/>
      <c r="X202"/>
    </row>
    <row r="203" spans="10:24" s="1" customFormat="1" x14ac:dyDescent="0.2">
      <c r="J203"/>
      <c r="K203"/>
      <c r="L203"/>
      <c r="M203"/>
      <c r="N203"/>
      <c r="O203" s="2"/>
      <c r="S203"/>
      <c r="T203"/>
      <c r="U203"/>
      <c r="V203"/>
      <c r="X203"/>
    </row>
    <row r="204" spans="10:24" s="1" customFormat="1" x14ac:dyDescent="0.2">
      <c r="J204"/>
      <c r="K204"/>
      <c r="L204"/>
      <c r="M204"/>
      <c r="N204"/>
      <c r="O204" s="2"/>
      <c r="S204"/>
      <c r="T204"/>
      <c r="U204"/>
      <c r="V204"/>
      <c r="X204"/>
    </row>
    <row r="205" spans="10:24" s="1" customFormat="1" x14ac:dyDescent="0.2">
      <c r="J205"/>
      <c r="K205"/>
      <c r="L205"/>
      <c r="M205"/>
      <c r="N205"/>
      <c r="O205" s="2"/>
      <c r="S205"/>
      <c r="T205"/>
      <c r="U205"/>
      <c r="V205"/>
      <c r="X205"/>
    </row>
    <row r="206" spans="10:24" s="1" customFormat="1" x14ac:dyDescent="0.2">
      <c r="J206"/>
      <c r="K206"/>
      <c r="L206"/>
      <c r="M206"/>
      <c r="N206"/>
      <c r="O206" s="2"/>
      <c r="S206"/>
      <c r="T206"/>
      <c r="U206"/>
      <c r="V206"/>
      <c r="X206"/>
    </row>
    <row r="207" spans="10:24" s="1" customFormat="1" x14ac:dyDescent="0.2">
      <c r="J207"/>
      <c r="K207"/>
      <c r="L207"/>
      <c r="M207"/>
      <c r="N207"/>
      <c r="O207" s="2"/>
      <c r="S207"/>
      <c r="T207"/>
      <c r="U207"/>
      <c r="V207"/>
      <c r="X207"/>
    </row>
    <row r="208" spans="10:24" s="1" customFormat="1" x14ac:dyDescent="0.2">
      <c r="J208"/>
      <c r="K208"/>
      <c r="L208"/>
      <c r="M208"/>
      <c r="N208"/>
      <c r="O208" s="2"/>
      <c r="S208"/>
      <c r="T208"/>
      <c r="U208"/>
      <c r="V208"/>
      <c r="X208"/>
    </row>
    <row r="209" spans="10:24" s="1" customFormat="1" x14ac:dyDescent="0.2">
      <c r="J209"/>
      <c r="K209"/>
      <c r="L209"/>
      <c r="M209"/>
      <c r="N209"/>
      <c r="O209" s="2"/>
      <c r="S209"/>
      <c r="T209"/>
      <c r="U209"/>
      <c r="V209"/>
      <c r="X209"/>
    </row>
    <row r="210" spans="10:24" s="1" customFormat="1" x14ac:dyDescent="0.2">
      <c r="J210"/>
      <c r="K210"/>
      <c r="L210"/>
      <c r="M210"/>
      <c r="N210"/>
      <c r="O210" s="2"/>
      <c r="S210"/>
      <c r="T210"/>
      <c r="U210"/>
      <c r="V210"/>
      <c r="X210"/>
    </row>
    <row r="211" spans="10:24" s="1" customFormat="1" x14ac:dyDescent="0.2">
      <c r="J211"/>
      <c r="K211"/>
      <c r="L211"/>
      <c r="M211"/>
      <c r="N211"/>
      <c r="O211" s="2"/>
      <c r="S211"/>
      <c r="T211"/>
      <c r="U211"/>
      <c r="V211"/>
      <c r="X211"/>
    </row>
    <row r="212" spans="10:24" s="1" customFormat="1" x14ac:dyDescent="0.2">
      <c r="J212"/>
      <c r="K212"/>
      <c r="L212"/>
      <c r="M212"/>
      <c r="N212"/>
      <c r="O212" s="2"/>
      <c r="S212"/>
      <c r="T212"/>
      <c r="U212"/>
      <c r="V212"/>
      <c r="X212"/>
    </row>
    <row r="213" spans="10:24" s="1" customFormat="1" x14ac:dyDescent="0.2">
      <c r="J213"/>
      <c r="K213"/>
      <c r="L213"/>
      <c r="M213"/>
      <c r="N213"/>
      <c r="O213" s="2"/>
      <c r="S213"/>
      <c r="T213"/>
      <c r="U213"/>
      <c r="V213"/>
      <c r="X213"/>
    </row>
    <row r="214" spans="10:24" s="1" customFormat="1" x14ac:dyDescent="0.2">
      <c r="J214"/>
      <c r="K214"/>
      <c r="L214"/>
      <c r="M214"/>
      <c r="N214"/>
      <c r="O214" s="2"/>
      <c r="S214"/>
      <c r="T214"/>
      <c r="U214"/>
      <c r="V214"/>
      <c r="X214"/>
    </row>
    <row r="215" spans="10:24" s="1" customFormat="1" x14ac:dyDescent="0.2">
      <c r="J215"/>
      <c r="K215"/>
      <c r="L215"/>
      <c r="M215"/>
      <c r="N215"/>
      <c r="O215" s="2"/>
      <c r="S215"/>
      <c r="T215"/>
      <c r="U215"/>
      <c r="V215"/>
      <c r="X215"/>
    </row>
    <row r="216" spans="10:24" s="1" customFormat="1" x14ac:dyDescent="0.2">
      <c r="J216"/>
      <c r="K216"/>
      <c r="L216"/>
      <c r="M216"/>
      <c r="N216"/>
      <c r="O216" s="2"/>
      <c r="S216"/>
      <c r="T216"/>
      <c r="U216"/>
      <c r="V216"/>
      <c r="X216"/>
    </row>
    <row r="217" spans="10:24" s="1" customFormat="1" x14ac:dyDescent="0.2">
      <c r="J217"/>
      <c r="K217"/>
      <c r="L217"/>
      <c r="M217"/>
      <c r="N217"/>
      <c r="O217" s="2"/>
      <c r="S217"/>
      <c r="T217"/>
      <c r="U217"/>
      <c r="V217"/>
      <c r="X217"/>
    </row>
    <row r="218" spans="10:24" s="1" customFormat="1" x14ac:dyDescent="0.2">
      <c r="J218"/>
      <c r="K218"/>
      <c r="L218"/>
      <c r="M218"/>
      <c r="N218"/>
      <c r="O218" s="2"/>
      <c r="S218"/>
      <c r="T218"/>
      <c r="U218"/>
      <c r="V218"/>
      <c r="X218"/>
    </row>
    <row r="219" spans="10:24" s="1" customFormat="1" x14ac:dyDescent="0.2">
      <c r="J219"/>
      <c r="K219"/>
      <c r="L219"/>
      <c r="M219"/>
      <c r="N219"/>
      <c r="O219" s="2"/>
      <c r="S219"/>
      <c r="T219"/>
      <c r="U219"/>
      <c r="V219"/>
      <c r="X219"/>
    </row>
    <row r="220" spans="10:24" s="1" customFormat="1" x14ac:dyDescent="0.2">
      <c r="J220"/>
      <c r="K220"/>
      <c r="L220"/>
      <c r="M220"/>
      <c r="N220"/>
      <c r="O220" s="2"/>
      <c r="S220"/>
      <c r="T220"/>
      <c r="U220"/>
      <c r="V220"/>
      <c r="X220"/>
    </row>
    <row r="221" spans="10:24" s="1" customFormat="1" x14ac:dyDescent="0.2">
      <c r="J221"/>
      <c r="K221"/>
      <c r="L221"/>
      <c r="M221"/>
      <c r="N221"/>
      <c r="O221" s="2"/>
      <c r="S221"/>
      <c r="T221"/>
      <c r="U221"/>
      <c r="V221"/>
      <c r="X221"/>
    </row>
    <row r="222" spans="10:24" s="1" customFormat="1" x14ac:dyDescent="0.2">
      <c r="J222"/>
      <c r="K222"/>
      <c r="L222"/>
      <c r="M222"/>
      <c r="N222"/>
      <c r="O222" s="2"/>
      <c r="S222"/>
      <c r="T222"/>
      <c r="U222"/>
      <c r="V222"/>
      <c r="X222"/>
    </row>
    <row r="223" spans="10:24" s="1" customFormat="1" x14ac:dyDescent="0.2">
      <c r="J223"/>
      <c r="K223"/>
      <c r="L223"/>
      <c r="M223"/>
      <c r="N223"/>
      <c r="O223" s="2"/>
      <c r="S223"/>
      <c r="T223"/>
      <c r="U223"/>
      <c r="V223"/>
      <c r="X223"/>
    </row>
    <row r="224" spans="10:24" s="1" customFormat="1" x14ac:dyDescent="0.2">
      <c r="J224"/>
      <c r="K224"/>
      <c r="L224"/>
      <c r="M224"/>
      <c r="N224"/>
      <c r="O224" s="2"/>
      <c r="S224"/>
      <c r="T224"/>
      <c r="U224"/>
      <c r="V224"/>
      <c r="X224"/>
    </row>
    <row r="225" spans="10:24" s="1" customFormat="1" x14ac:dyDescent="0.2">
      <c r="J225"/>
      <c r="K225"/>
      <c r="L225"/>
      <c r="M225"/>
      <c r="N225"/>
      <c r="O225" s="2"/>
      <c r="S225"/>
      <c r="T225"/>
      <c r="U225"/>
      <c r="V225"/>
      <c r="X225"/>
    </row>
    <row r="226" spans="10:24" s="1" customFormat="1" x14ac:dyDescent="0.2">
      <c r="J226"/>
      <c r="K226"/>
      <c r="L226"/>
      <c r="M226"/>
      <c r="N226"/>
      <c r="O226" s="2"/>
      <c r="S226"/>
      <c r="T226"/>
      <c r="U226"/>
      <c r="V226"/>
      <c r="X226"/>
    </row>
    <row r="227" spans="10:24" s="1" customFormat="1" x14ac:dyDescent="0.2">
      <c r="J227"/>
      <c r="K227"/>
      <c r="L227"/>
      <c r="M227"/>
      <c r="N227"/>
      <c r="O227" s="2"/>
      <c r="S227"/>
      <c r="T227"/>
      <c r="U227"/>
      <c r="V227"/>
      <c r="X227"/>
    </row>
    <row r="228" spans="10:24" s="1" customFormat="1" x14ac:dyDescent="0.2">
      <c r="J228"/>
      <c r="K228"/>
      <c r="L228"/>
      <c r="M228"/>
      <c r="N228"/>
      <c r="O228" s="2"/>
      <c r="S228"/>
      <c r="T228"/>
      <c r="U228"/>
      <c r="V228"/>
      <c r="X228"/>
    </row>
    <row r="229" spans="10:24" s="1" customFormat="1" x14ac:dyDescent="0.2">
      <c r="J229"/>
      <c r="K229"/>
      <c r="L229"/>
      <c r="M229"/>
      <c r="N229"/>
      <c r="O229" s="2"/>
      <c r="S229"/>
      <c r="T229"/>
      <c r="U229"/>
      <c r="V229"/>
      <c r="X229"/>
    </row>
    <row r="230" spans="10:24" s="1" customFormat="1" x14ac:dyDescent="0.2">
      <c r="J230"/>
      <c r="K230"/>
      <c r="L230"/>
      <c r="M230"/>
      <c r="N230"/>
      <c r="O230" s="2"/>
      <c r="S230"/>
      <c r="T230"/>
      <c r="U230"/>
      <c r="V230"/>
      <c r="X230"/>
    </row>
    <row r="231" spans="10:24" s="1" customFormat="1" x14ac:dyDescent="0.2">
      <c r="J231"/>
      <c r="K231"/>
      <c r="L231"/>
      <c r="M231"/>
      <c r="N231"/>
      <c r="O231" s="2"/>
      <c r="S231"/>
      <c r="T231"/>
      <c r="U231"/>
      <c r="V231"/>
      <c r="X231"/>
    </row>
    <row r="232" spans="10:24" s="1" customFormat="1" x14ac:dyDescent="0.2">
      <c r="J232"/>
      <c r="K232"/>
      <c r="L232"/>
      <c r="M232"/>
      <c r="N232"/>
      <c r="O232" s="2"/>
      <c r="S232"/>
      <c r="T232"/>
      <c r="U232"/>
      <c r="V232"/>
      <c r="X232"/>
    </row>
    <row r="233" spans="10:24" s="1" customFormat="1" x14ac:dyDescent="0.2">
      <c r="J233"/>
      <c r="K233"/>
      <c r="L233"/>
      <c r="M233"/>
      <c r="N233"/>
      <c r="O233" s="2"/>
      <c r="S233"/>
      <c r="T233"/>
      <c r="U233"/>
      <c r="V233"/>
      <c r="X233"/>
    </row>
    <row r="234" spans="10:24" s="1" customFormat="1" x14ac:dyDescent="0.2">
      <c r="J234"/>
      <c r="K234"/>
      <c r="L234"/>
      <c r="M234"/>
      <c r="N234"/>
      <c r="O234" s="2"/>
      <c r="S234"/>
      <c r="T234"/>
      <c r="U234"/>
      <c r="V234"/>
      <c r="X234"/>
    </row>
    <row r="235" spans="10:24" s="1" customFormat="1" x14ac:dyDescent="0.2">
      <c r="J235"/>
      <c r="K235"/>
      <c r="L235"/>
      <c r="M235"/>
      <c r="N235"/>
      <c r="O235" s="2"/>
      <c r="S235"/>
      <c r="T235"/>
      <c r="U235"/>
      <c r="V235"/>
      <c r="X235"/>
    </row>
    <row r="236" spans="10:24" s="1" customFormat="1" x14ac:dyDescent="0.2">
      <c r="J236"/>
      <c r="K236"/>
      <c r="L236"/>
      <c r="M236"/>
      <c r="N236"/>
      <c r="O236" s="2"/>
      <c r="S236"/>
      <c r="T236"/>
      <c r="U236"/>
      <c r="V236"/>
      <c r="X236"/>
    </row>
    <row r="237" spans="10:24" s="1" customFormat="1" x14ac:dyDescent="0.2">
      <c r="J237"/>
      <c r="K237"/>
      <c r="L237"/>
      <c r="M237"/>
      <c r="N237"/>
      <c r="O237" s="2"/>
      <c r="S237"/>
      <c r="T237"/>
      <c r="U237"/>
      <c r="V237"/>
      <c r="X237"/>
    </row>
    <row r="238" spans="10:24" s="1" customFormat="1" x14ac:dyDescent="0.2">
      <c r="J238"/>
      <c r="K238"/>
      <c r="L238"/>
      <c r="M238"/>
      <c r="N238"/>
      <c r="O238" s="2"/>
      <c r="S238"/>
      <c r="T238"/>
      <c r="U238"/>
      <c r="V238"/>
      <c r="X238"/>
    </row>
    <row r="239" spans="10:24" s="1" customFormat="1" x14ac:dyDescent="0.2">
      <c r="J239"/>
      <c r="K239"/>
      <c r="L239"/>
      <c r="M239"/>
      <c r="N239"/>
      <c r="O239" s="2"/>
      <c r="S239"/>
      <c r="T239"/>
      <c r="U239"/>
      <c r="V239"/>
      <c r="X239"/>
    </row>
    <row r="240" spans="10:24" s="1" customFormat="1" x14ac:dyDescent="0.2">
      <c r="J240"/>
      <c r="K240"/>
      <c r="L240"/>
      <c r="M240"/>
      <c r="N240"/>
      <c r="O240" s="2"/>
      <c r="S240"/>
      <c r="T240"/>
      <c r="U240"/>
      <c r="V240"/>
      <c r="X240"/>
    </row>
    <row r="241" spans="10:24" s="1" customFormat="1" x14ac:dyDescent="0.2">
      <c r="J241"/>
      <c r="K241"/>
      <c r="L241"/>
      <c r="M241"/>
      <c r="N241"/>
      <c r="O241" s="2"/>
      <c r="S241"/>
      <c r="T241"/>
      <c r="U241"/>
      <c r="V241"/>
      <c r="X241"/>
    </row>
    <row r="242" spans="10:24" s="1" customFormat="1" x14ac:dyDescent="0.2">
      <c r="J242"/>
      <c r="K242"/>
      <c r="L242"/>
      <c r="M242"/>
      <c r="N242"/>
      <c r="O242" s="2"/>
      <c r="S242"/>
      <c r="T242"/>
      <c r="U242"/>
      <c r="V242"/>
      <c r="X242"/>
    </row>
    <row r="243" spans="10:24" s="1" customFormat="1" x14ac:dyDescent="0.2">
      <c r="J243"/>
      <c r="K243"/>
      <c r="L243"/>
      <c r="M243"/>
      <c r="N243"/>
      <c r="O243" s="2"/>
      <c r="S243"/>
      <c r="T243"/>
      <c r="U243"/>
      <c r="V243"/>
      <c r="X243"/>
    </row>
    <row r="244" spans="10:24" s="1" customFormat="1" x14ac:dyDescent="0.2">
      <c r="J244"/>
      <c r="K244"/>
      <c r="L244"/>
      <c r="M244"/>
      <c r="N244"/>
      <c r="O244" s="2"/>
      <c r="S244"/>
      <c r="T244"/>
      <c r="U244"/>
      <c r="V244"/>
      <c r="X244"/>
    </row>
    <row r="245" spans="10:24" s="1" customFormat="1" x14ac:dyDescent="0.2">
      <c r="J245"/>
      <c r="K245"/>
      <c r="L245"/>
      <c r="M245"/>
      <c r="N245"/>
      <c r="O245" s="2"/>
      <c r="S245"/>
      <c r="T245"/>
      <c r="U245"/>
      <c r="V245"/>
      <c r="X245"/>
    </row>
    <row r="246" spans="10:24" s="1" customFormat="1" x14ac:dyDescent="0.2">
      <c r="J246"/>
      <c r="K246"/>
      <c r="L246"/>
      <c r="M246"/>
      <c r="N246"/>
      <c r="O246" s="2"/>
      <c r="S246"/>
      <c r="T246"/>
      <c r="U246"/>
      <c r="V246"/>
      <c r="X246"/>
    </row>
    <row r="247" spans="10:24" s="1" customFormat="1" x14ac:dyDescent="0.2">
      <c r="J247"/>
      <c r="K247"/>
      <c r="L247"/>
      <c r="M247"/>
      <c r="N247"/>
      <c r="O247" s="2"/>
      <c r="S247"/>
      <c r="T247"/>
      <c r="U247"/>
      <c r="V247"/>
      <c r="X247"/>
    </row>
    <row r="248" spans="10:24" s="1" customFormat="1" x14ac:dyDescent="0.2">
      <c r="J248"/>
      <c r="K248"/>
      <c r="L248"/>
      <c r="M248"/>
      <c r="N248"/>
      <c r="O248" s="2"/>
      <c r="S248"/>
      <c r="T248"/>
      <c r="U248"/>
      <c r="V248"/>
      <c r="X248"/>
    </row>
    <row r="249" spans="10:24" s="1" customFormat="1" x14ac:dyDescent="0.2">
      <c r="J249"/>
      <c r="K249"/>
      <c r="L249"/>
      <c r="M249"/>
      <c r="N249"/>
      <c r="O249" s="2"/>
      <c r="S249"/>
      <c r="T249"/>
      <c r="U249"/>
      <c r="V249"/>
      <c r="X249"/>
    </row>
    <row r="250" spans="10:24" s="1" customFormat="1" x14ac:dyDescent="0.2">
      <c r="J250"/>
      <c r="K250"/>
      <c r="L250"/>
      <c r="M250"/>
      <c r="N250"/>
      <c r="O250" s="2"/>
      <c r="S250"/>
      <c r="T250"/>
      <c r="U250"/>
      <c r="V250"/>
      <c r="X250"/>
    </row>
    <row r="251" spans="10:24" s="1" customFormat="1" x14ac:dyDescent="0.2">
      <c r="J251"/>
      <c r="K251"/>
      <c r="L251"/>
      <c r="M251"/>
      <c r="N251"/>
      <c r="O251" s="2"/>
      <c r="S251"/>
      <c r="T251"/>
      <c r="U251"/>
      <c r="V251"/>
      <c r="X251"/>
    </row>
    <row r="252" spans="10:24" s="1" customFormat="1" x14ac:dyDescent="0.2">
      <c r="J252"/>
      <c r="K252"/>
      <c r="L252"/>
      <c r="M252"/>
      <c r="N252"/>
      <c r="O252" s="2"/>
      <c r="S252"/>
      <c r="T252"/>
      <c r="U252"/>
      <c r="V252"/>
      <c r="X252"/>
    </row>
    <row r="253" spans="10:24" s="1" customFormat="1" x14ac:dyDescent="0.2">
      <c r="J253"/>
      <c r="K253"/>
      <c r="L253"/>
      <c r="M253"/>
      <c r="N253"/>
      <c r="O253" s="2"/>
      <c r="S253"/>
      <c r="T253"/>
      <c r="U253"/>
      <c r="V253"/>
      <c r="X253"/>
    </row>
    <row r="254" spans="10:24" s="1" customFormat="1" x14ac:dyDescent="0.2">
      <c r="J254"/>
      <c r="K254"/>
      <c r="L254"/>
      <c r="M254"/>
      <c r="N254"/>
      <c r="O254" s="2"/>
      <c r="S254"/>
      <c r="T254"/>
      <c r="U254"/>
      <c r="V254"/>
      <c r="X254"/>
    </row>
    <row r="255" spans="10:24" s="1" customFormat="1" x14ac:dyDescent="0.2">
      <c r="J255"/>
      <c r="K255"/>
      <c r="L255"/>
      <c r="M255"/>
      <c r="N255"/>
      <c r="O255" s="2"/>
      <c r="S255"/>
      <c r="T255"/>
      <c r="U255"/>
      <c r="V255"/>
      <c r="X255"/>
    </row>
    <row r="256" spans="10:24" s="1" customFormat="1" x14ac:dyDescent="0.2">
      <c r="J256"/>
      <c r="K256"/>
      <c r="L256"/>
      <c r="M256"/>
      <c r="N256"/>
      <c r="O256" s="2"/>
      <c r="S256"/>
      <c r="T256"/>
      <c r="U256"/>
      <c r="V256"/>
      <c r="X256"/>
    </row>
    <row r="257" spans="10:24" s="1" customFormat="1" x14ac:dyDescent="0.2">
      <c r="J257"/>
      <c r="K257"/>
      <c r="L257"/>
      <c r="M257"/>
      <c r="N257"/>
      <c r="O257" s="2"/>
      <c r="S257"/>
      <c r="T257"/>
      <c r="U257"/>
      <c r="V257"/>
      <c r="X257"/>
    </row>
    <row r="258" spans="10:24" s="1" customFormat="1" x14ac:dyDescent="0.2">
      <c r="J258"/>
      <c r="K258"/>
      <c r="L258"/>
      <c r="M258"/>
      <c r="N258"/>
      <c r="O258" s="2"/>
      <c r="S258"/>
      <c r="T258"/>
      <c r="U258"/>
      <c r="V258"/>
      <c r="X258"/>
    </row>
    <row r="259" spans="10:24" s="1" customFormat="1" x14ac:dyDescent="0.2">
      <c r="J259"/>
      <c r="K259"/>
      <c r="L259"/>
      <c r="M259"/>
      <c r="N259"/>
      <c r="O259" s="2"/>
      <c r="S259"/>
      <c r="T259"/>
      <c r="U259"/>
      <c r="V259"/>
      <c r="X259"/>
    </row>
    <row r="260" spans="10:24" s="1" customFormat="1" x14ac:dyDescent="0.2">
      <c r="J260"/>
      <c r="K260"/>
      <c r="L260"/>
      <c r="M260"/>
      <c r="N260"/>
      <c r="O260" s="2"/>
      <c r="S260"/>
      <c r="T260"/>
      <c r="U260"/>
      <c r="V260"/>
      <c r="X260"/>
    </row>
    <row r="261" spans="10:24" s="1" customFormat="1" x14ac:dyDescent="0.2">
      <c r="J261"/>
      <c r="K261"/>
      <c r="L261"/>
      <c r="M261"/>
      <c r="N261"/>
      <c r="O261" s="2"/>
      <c r="S261"/>
      <c r="T261"/>
      <c r="U261"/>
      <c r="V261"/>
      <c r="X261"/>
    </row>
    <row r="262" spans="10:24" s="1" customFormat="1" x14ac:dyDescent="0.2">
      <c r="J262"/>
      <c r="K262"/>
      <c r="L262"/>
      <c r="M262"/>
      <c r="N262"/>
      <c r="O262" s="2"/>
      <c r="S262"/>
      <c r="T262"/>
      <c r="U262"/>
      <c r="V262"/>
      <c r="X262"/>
    </row>
    <row r="263" spans="10:24" s="1" customFormat="1" x14ac:dyDescent="0.2">
      <c r="J263"/>
      <c r="K263"/>
      <c r="L263"/>
      <c r="M263"/>
      <c r="N263"/>
      <c r="O263" s="2"/>
      <c r="S263"/>
      <c r="T263"/>
      <c r="U263"/>
      <c r="V263"/>
      <c r="X263"/>
    </row>
    <row r="264" spans="10:24" s="1" customFormat="1" x14ac:dyDescent="0.2">
      <c r="J264"/>
      <c r="K264"/>
      <c r="L264"/>
      <c r="M264"/>
      <c r="N264"/>
      <c r="O264" s="2"/>
      <c r="S264"/>
      <c r="T264"/>
      <c r="U264"/>
      <c r="V264"/>
      <c r="X264"/>
    </row>
    <row r="265" spans="10:24" s="1" customFormat="1" x14ac:dyDescent="0.2">
      <c r="J265"/>
      <c r="K265"/>
      <c r="L265"/>
      <c r="M265"/>
      <c r="N265"/>
      <c r="O265" s="2"/>
      <c r="S265"/>
      <c r="T265"/>
      <c r="U265"/>
      <c r="V265"/>
      <c r="X265"/>
    </row>
    <row r="266" spans="10:24" s="1" customFormat="1" x14ac:dyDescent="0.2">
      <c r="J266"/>
      <c r="K266"/>
      <c r="L266"/>
      <c r="M266"/>
      <c r="N266"/>
      <c r="O266" s="2"/>
      <c r="S266"/>
      <c r="T266"/>
      <c r="U266"/>
      <c r="V266"/>
      <c r="X266"/>
    </row>
    <row r="267" spans="10:24" s="1" customFormat="1" x14ac:dyDescent="0.2">
      <c r="J267"/>
      <c r="K267"/>
      <c r="L267"/>
      <c r="M267"/>
      <c r="N267"/>
      <c r="O267" s="2"/>
      <c r="S267"/>
      <c r="T267"/>
      <c r="U267"/>
      <c r="V267"/>
      <c r="X267"/>
    </row>
    <row r="268" spans="10:24" s="1" customFormat="1" x14ac:dyDescent="0.2">
      <c r="J268"/>
      <c r="K268"/>
      <c r="L268"/>
      <c r="M268"/>
      <c r="N268"/>
      <c r="O268" s="2"/>
      <c r="S268"/>
      <c r="T268"/>
      <c r="U268"/>
      <c r="V268"/>
      <c r="X268"/>
    </row>
    <row r="269" spans="10:24" s="1" customFormat="1" x14ac:dyDescent="0.2">
      <c r="J269"/>
      <c r="K269"/>
      <c r="L269"/>
      <c r="M269"/>
      <c r="N269"/>
      <c r="O269" s="2"/>
      <c r="S269"/>
      <c r="T269"/>
      <c r="U269"/>
      <c r="V269"/>
      <c r="X269"/>
    </row>
    <row r="270" spans="10:24" s="1" customFormat="1" x14ac:dyDescent="0.2">
      <c r="J270"/>
      <c r="K270"/>
      <c r="L270"/>
      <c r="M270"/>
      <c r="N270"/>
      <c r="O270" s="2"/>
      <c r="S270"/>
      <c r="T270"/>
      <c r="U270"/>
      <c r="V270"/>
      <c r="X270"/>
    </row>
    <row r="271" spans="10:24" s="1" customFormat="1" x14ac:dyDescent="0.2">
      <c r="J271"/>
      <c r="K271"/>
      <c r="L271"/>
      <c r="M271"/>
      <c r="N271"/>
      <c r="O271" s="2"/>
      <c r="S271"/>
      <c r="T271"/>
      <c r="U271"/>
      <c r="V271"/>
      <c r="X271"/>
    </row>
    <row r="272" spans="10:24" s="1" customFormat="1" x14ac:dyDescent="0.2">
      <c r="J272"/>
      <c r="K272"/>
      <c r="L272"/>
      <c r="M272"/>
      <c r="N272"/>
      <c r="O272" s="2"/>
      <c r="S272"/>
      <c r="T272"/>
      <c r="U272"/>
      <c r="V272"/>
      <c r="X272"/>
    </row>
    <row r="273" spans="10:24" s="1" customFormat="1" x14ac:dyDescent="0.2">
      <c r="J273"/>
      <c r="K273"/>
      <c r="L273"/>
      <c r="M273"/>
      <c r="N273"/>
      <c r="O273" s="2"/>
      <c r="S273"/>
      <c r="T273"/>
      <c r="U273"/>
      <c r="V273"/>
      <c r="X273"/>
    </row>
    <row r="274" spans="10:24" s="1" customFormat="1" x14ac:dyDescent="0.2">
      <c r="J274"/>
      <c r="K274"/>
      <c r="L274"/>
      <c r="M274"/>
      <c r="N274"/>
      <c r="O274" s="2"/>
      <c r="S274"/>
      <c r="T274"/>
      <c r="U274"/>
      <c r="V274"/>
      <c r="X274"/>
    </row>
    <row r="275" spans="10:24" s="1" customFormat="1" x14ac:dyDescent="0.2">
      <c r="J275"/>
      <c r="K275"/>
      <c r="L275"/>
      <c r="M275"/>
      <c r="N275"/>
      <c r="O275" s="2"/>
      <c r="S275"/>
      <c r="T275"/>
      <c r="U275"/>
      <c r="V275"/>
      <c r="X275"/>
    </row>
    <row r="276" spans="10:24" s="1" customFormat="1" x14ac:dyDescent="0.2">
      <c r="J276"/>
      <c r="K276"/>
      <c r="L276"/>
      <c r="M276"/>
      <c r="N276"/>
      <c r="O276" s="2"/>
      <c r="S276"/>
      <c r="T276"/>
      <c r="U276"/>
      <c r="V276"/>
      <c r="X276"/>
    </row>
    <row r="277" spans="10:24" s="1" customFormat="1" x14ac:dyDescent="0.2">
      <c r="J277"/>
      <c r="K277"/>
      <c r="L277"/>
      <c r="M277"/>
      <c r="N277"/>
      <c r="O277" s="2"/>
      <c r="S277"/>
      <c r="T277"/>
      <c r="U277"/>
      <c r="V277"/>
      <c r="X277"/>
    </row>
    <row r="278" spans="10:24" s="1" customFormat="1" x14ac:dyDescent="0.2">
      <c r="J278"/>
      <c r="K278"/>
      <c r="L278"/>
      <c r="M278"/>
      <c r="N278"/>
      <c r="O278" s="2"/>
      <c r="S278"/>
      <c r="T278"/>
      <c r="U278"/>
      <c r="V278"/>
      <c r="X278"/>
    </row>
    <row r="279" spans="10:24" s="1" customFormat="1" x14ac:dyDescent="0.2">
      <c r="J279"/>
      <c r="K279"/>
      <c r="L279"/>
      <c r="M279"/>
      <c r="N279"/>
      <c r="O279" s="2"/>
      <c r="S279"/>
      <c r="T279"/>
      <c r="U279"/>
      <c r="V279"/>
      <c r="X279"/>
    </row>
    <row r="280" spans="10:24" s="1" customFormat="1" x14ac:dyDescent="0.2">
      <c r="J280"/>
      <c r="K280"/>
      <c r="L280"/>
      <c r="M280"/>
      <c r="N280"/>
      <c r="O280" s="2"/>
      <c r="S280"/>
      <c r="T280"/>
      <c r="U280"/>
      <c r="V280"/>
      <c r="X280"/>
    </row>
    <row r="281" spans="10:24" s="1" customFormat="1" x14ac:dyDescent="0.2">
      <c r="J281"/>
      <c r="K281"/>
      <c r="L281"/>
      <c r="M281"/>
      <c r="N281"/>
      <c r="O281" s="2"/>
      <c r="S281"/>
      <c r="T281"/>
      <c r="U281"/>
      <c r="V281"/>
      <c r="X281"/>
    </row>
    <row r="282" spans="10:24" s="1" customFormat="1" x14ac:dyDescent="0.2">
      <c r="J282"/>
      <c r="K282"/>
      <c r="L282"/>
      <c r="M282"/>
      <c r="N282"/>
      <c r="O282" s="2"/>
      <c r="S282"/>
      <c r="T282"/>
      <c r="U282"/>
      <c r="V282"/>
      <c r="X282"/>
    </row>
    <row r="283" spans="10:24" s="1" customFormat="1" x14ac:dyDescent="0.2">
      <c r="J283"/>
      <c r="K283"/>
      <c r="L283"/>
      <c r="M283"/>
      <c r="N283"/>
      <c r="O283" s="2"/>
      <c r="S283"/>
      <c r="T283"/>
      <c r="U283"/>
      <c r="V283"/>
      <c r="X283"/>
    </row>
    <row r="284" spans="10:24" s="1" customFormat="1" x14ac:dyDescent="0.2">
      <c r="J284"/>
      <c r="K284"/>
      <c r="L284"/>
      <c r="M284"/>
      <c r="N284"/>
      <c r="O284" s="2"/>
      <c r="S284"/>
      <c r="T284"/>
      <c r="U284"/>
      <c r="V284"/>
      <c r="X284"/>
    </row>
    <row r="285" spans="10:24" s="1" customFormat="1" x14ac:dyDescent="0.2">
      <c r="J285"/>
      <c r="K285"/>
      <c r="L285"/>
      <c r="M285"/>
      <c r="N285"/>
      <c r="O285" s="2"/>
      <c r="S285"/>
      <c r="T285"/>
      <c r="U285"/>
      <c r="V285"/>
      <c r="X285"/>
    </row>
    <row r="286" spans="10:24" s="1" customFormat="1" x14ac:dyDescent="0.2">
      <c r="J286"/>
      <c r="K286"/>
      <c r="L286"/>
      <c r="M286"/>
      <c r="N286"/>
      <c r="O286" s="2"/>
      <c r="S286"/>
      <c r="T286"/>
      <c r="U286"/>
      <c r="V286"/>
      <c r="X286"/>
    </row>
    <row r="287" spans="10:24" s="1" customFormat="1" x14ac:dyDescent="0.2">
      <c r="J287"/>
      <c r="K287"/>
      <c r="L287"/>
      <c r="M287"/>
      <c r="N287"/>
      <c r="O287" s="2"/>
      <c r="S287"/>
      <c r="T287"/>
      <c r="U287"/>
      <c r="V287"/>
      <c r="X287"/>
    </row>
    <row r="288" spans="10:24" s="1" customFormat="1" x14ac:dyDescent="0.2">
      <c r="J288"/>
      <c r="K288"/>
      <c r="L288"/>
      <c r="M288"/>
      <c r="N288"/>
      <c r="O288" s="2"/>
      <c r="S288"/>
      <c r="T288"/>
      <c r="U288"/>
      <c r="V288"/>
      <c r="X288"/>
    </row>
    <row r="289" spans="10:24" s="1" customFormat="1" x14ac:dyDescent="0.2">
      <c r="J289"/>
      <c r="K289"/>
      <c r="L289"/>
      <c r="M289"/>
      <c r="N289"/>
      <c r="O289" s="2"/>
      <c r="S289"/>
      <c r="T289"/>
      <c r="U289"/>
      <c r="V289"/>
      <c r="X289"/>
    </row>
    <row r="290" spans="10:24" s="1" customFormat="1" x14ac:dyDescent="0.2">
      <c r="J290"/>
      <c r="K290"/>
      <c r="L290"/>
      <c r="M290"/>
      <c r="N290"/>
      <c r="O290" s="2"/>
      <c r="S290"/>
      <c r="T290"/>
      <c r="U290"/>
      <c r="V290"/>
      <c r="X290"/>
    </row>
    <row r="291" spans="10:24" s="1" customFormat="1" x14ac:dyDescent="0.2">
      <c r="J291"/>
      <c r="K291"/>
      <c r="L291"/>
      <c r="M291"/>
      <c r="N291"/>
      <c r="O291" s="2"/>
      <c r="S291"/>
      <c r="T291"/>
      <c r="U291"/>
      <c r="V291"/>
      <c r="X291"/>
    </row>
    <row r="292" spans="10:24" s="1" customFormat="1" x14ac:dyDescent="0.2">
      <c r="J292"/>
      <c r="K292"/>
      <c r="L292"/>
      <c r="M292"/>
      <c r="N292"/>
      <c r="O292" s="2"/>
      <c r="S292"/>
      <c r="T292"/>
      <c r="U292"/>
      <c r="V292"/>
      <c r="X292"/>
    </row>
    <row r="293" spans="10:24" s="1" customFormat="1" x14ac:dyDescent="0.2">
      <c r="J293"/>
      <c r="K293"/>
      <c r="L293"/>
      <c r="M293"/>
      <c r="N293"/>
      <c r="O293" s="2"/>
      <c r="S293"/>
      <c r="T293"/>
      <c r="U293"/>
      <c r="V293"/>
      <c r="X293"/>
    </row>
    <row r="294" spans="10:24" s="1" customFormat="1" x14ac:dyDescent="0.2">
      <c r="J294"/>
      <c r="K294"/>
      <c r="L294"/>
      <c r="M294"/>
      <c r="N294"/>
      <c r="O294" s="2"/>
      <c r="S294"/>
      <c r="T294"/>
      <c r="U294"/>
      <c r="V294"/>
      <c r="X294"/>
    </row>
    <row r="295" spans="10:24" s="1" customFormat="1" x14ac:dyDescent="0.2">
      <c r="J295"/>
      <c r="K295"/>
      <c r="L295"/>
      <c r="M295"/>
      <c r="N295"/>
      <c r="O295" s="2"/>
      <c r="S295"/>
      <c r="T295"/>
      <c r="U295"/>
      <c r="V295"/>
      <c r="X295"/>
    </row>
    <row r="296" spans="10:24" s="1" customFormat="1" x14ac:dyDescent="0.2">
      <c r="J296"/>
      <c r="K296"/>
      <c r="L296"/>
      <c r="M296"/>
      <c r="N296"/>
      <c r="O296" s="2"/>
      <c r="S296"/>
      <c r="T296"/>
      <c r="U296"/>
      <c r="V296"/>
      <c r="X296"/>
    </row>
    <row r="297" spans="10:24" s="1" customFormat="1" x14ac:dyDescent="0.2">
      <c r="J297"/>
      <c r="K297"/>
      <c r="L297"/>
      <c r="M297"/>
      <c r="N297"/>
      <c r="O297" s="2"/>
      <c r="S297"/>
      <c r="T297"/>
      <c r="U297"/>
      <c r="V297"/>
      <c r="X297"/>
    </row>
    <row r="298" spans="10:24" s="1" customFormat="1" x14ac:dyDescent="0.2">
      <c r="J298"/>
      <c r="K298"/>
      <c r="L298"/>
      <c r="M298"/>
      <c r="N298"/>
      <c r="O298" s="2"/>
      <c r="S298"/>
      <c r="T298"/>
      <c r="U298"/>
      <c r="V298"/>
      <c r="X298"/>
    </row>
    <row r="299" spans="10:24" s="1" customFormat="1" x14ac:dyDescent="0.2">
      <c r="J299"/>
      <c r="K299"/>
      <c r="L299"/>
      <c r="M299"/>
      <c r="N299"/>
      <c r="O299" s="2"/>
      <c r="S299"/>
      <c r="T299"/>
      <c r="U299"/>
      <c r="V299"/>
      <c r="X299"/>
    </row>
    <row r="300" spans="10:24" s="1" customFormat="1" x14ac:dyDescent="0.2">
      <c r="J300"/>
      <c r="K300"/>
      <c r="L300"/>
      <c r="M300"/>
      <c r="N300"/>
      <c r="O300" s="2"/>
      <c r="S300"/>
      <c r="T300"/>
      <c r="U300"/>
      <c r="V300"/>
      <c r="X300"/>
    </row>
    <row r="301" spans="10:24" s="1" customFormat="1" x14ac:dyDescent="0.2">
      <c r="J301"/>
      <c r="K301"/>
      <c r="L301"/>
      <c r="M301"/>
      <c r="N301"/>
      <c r="O301" s="2"/>
      <c r="S301"/>
      <c r="T301"/>
      <c r="U301"/>
      <c r="V301"/>
      <c r="X301"/>
    </row>
    <row r="302" spans="10:24" s="1" customFormat="1" x14ac:dyDescent="0.2">
      <c r="J302"/>
      <c r="K302"/>
      <c r="L302"/>
      <c r="M302"/>
      <c r="N302"/>
      <c r="O302" s="2"/>
      <c r="S302"/>
      <c r="T302"/>
      <c r="U302"/>
      <c r="V302"/>
      <c r="X302"/>
    </row>
    <row r="303" spans="10:24" s="1" customFormat="1" x14ac:dyDescent="0.2">
      <c r="J303"/>
      <c r="K303"/>
      <c r="L303"/>
      <c r="M303"/>
      <c r="N303"/>
      <c r="O303" s="2"/>
      <c r="S303"/>
      <c r="T303"/>
      <c r="U303"/>
      <c r="V303"/>
      <c r="X303"/>
    </row>
    <row r="304" spans="10:24" s="1" customFormat="1" x14ac:dyDescent="0.2">
      <c r="J304"/>
      <c r="K304"/>
      <c r="L304"/>
      <c r="M304"/>
      <c r="N304"/>
      <c r="O304" s="2"/>
      <c r="S304"/>
      <c r="T304"/>
      <c r="U304"/>
      <c r="V304"/>
      <c r="X304"/>
    </row>
    <row r="305" spans="10:24" s="1" customFormat="1" x14ac:dyDescent="0.2">
      <c r="J305"/>
      <c r="K305"/>
      <c r="L305"/>
      <c r="M305"/>
      <c r="N305"/>
      <c r="O305" s="2"/>
      <c r="S305"/>
      <c r="T305"/>
      <c r="U305"/>
      <c r="V305"/>
      <c r="X305"/>
    </row>
    <row r="306" spans="10:24" s="1" customFormat="1" x14ac:dyDescent="0.2">
      <c r="J306"/>
      <c r="K306"/>
      <c r="L306"/>
      <c r="M306"/>
      <c r="N306"/>
      <c r="O306" s="2"/>
      <c r="S306"/>
      <c r="T306"/>
      <c r="U306"/>
      <c r="V306"/>
      <c r="X306"/>
    </row>
    <row r="307" spans="10:24" s="1" customFormat="1" x14ac:dyDescent="0.2">
      <c r="J307"/>
      <c r="K307"/>
      <c r="L307"/>
      <c r="M307"/>
      <c r="N307"/>
      <c r="O307" s="2"/>
      <c r="S307"/>
      <c r="T307"/>
      <c r="U307"/>
      <c r="V307"/>
      <c r="X307"/>
    </row>
    <row r="308" spans="10:24" s="1" customFormat="1" x14ac:dyDescent="0.2">
      <c r="J308"/>
      <c r="K308"/>
      <c r="L308"/>
      <c r="M308"/>
      <c r="N308"/>
      <c r="O308" s="2"/>
      <c r="S308"/>
      <c r="T308"/>
      <c r="U308"/>
      <c r="V308"/>
      <c r="X308"/>
    </row>
    <row r="309" spans="10:24" s="1" customFormat="1" x14ac:dyDescent="0.2">
      <c r="J309"/>
      <c r="K309"/>
      <c r="L309"/>
      <c r="M309"/>
      <c r="N309"/>
      <c r="O309" s="2"/>
      <c r="S309"/>
      <c r="T309"/>
      <c r="U309"/>
      <c r="V309"/>
      <c r="X309"/>
    </row>
    <row r="310" spans="10:24" s="1" customFormat="1" x14ac:dyDescent="0.2">
      <c r="J310"/>
      <c r="K310"/>
      <c r="L310"/>
      <c r="M310"/>
      <c r="N310"/>
      <c r="O310" s="2"/>
      <c r="S310"/>
      <c r="T310"/>
      <c r="U310"/>
      <c r="V310"/>
      <c r="X310"/>
    </row>
    <row r="311" spans="10:24" s="1" customFormat="1" x14ac:dyDescent="0.2">
      <c r="J311"/>
      <c r="K311"/>
      <c r="L311"/>
      <c r="M311"/>
      <c r="N311"/>
      <c r="O311" s="2"/>
      <c r="S311"/>
      <c r="T311"/>
      <c r="U311"/>
      <c r="V311"/>
      <c r="X311"/>
    </row>
    <row r="312" spans="10:24" s="1" customFormat="1" x14ac:dyDescent="0.2">
      <c r="J312"/>
      <c r="K312"/>
      <c r="L312"/>
      <c r="M312"/>
      <c r="N312"/>
      <c r="O312" s="2"/>
      <c r="S312"/>
      <c r="T312"/>
      <c r="U312"/>
      <c r="V312"/>
      <c r="X312"/>
    </row>
    <row r="313" spans="10:24" s="1" customFormat="1" x14ac:dyDescent="0.2">
      <c r="J313"/>
      <c r="K313"/>
      <c r="L313"/>
      <c r="M313"/>
      <c r="N313"/>
      <c r="O313" s="2"/>
      <c r="S313"/>
      <c r="T313"/>
      <c r="U313"/>
      <c r="V313"/>
      <c r="X313"/>
    </row>
    <row r="314" spans="10:24" s="1" customFormat="1" x14ac:dyDescent="0.2">
      <c r="J314"/>
      <c r="K314"/>
      <c r="L314"/>
      <c r="M314"/>
      <c r="N314"/>
      <c r="O314" s="2"/>
      <c r="S314"/>
      <c r="T314"/>
      <c r="U314"/>
      <c r="V314"/>
      <c r="X314"/>
    </row>
    <row r="315" spans="10:24" s="1" customFormat="1" x14ac:dyDescent="0.2">
      <c r="J315"/>
      <c r="K315"/>
      <c r="L315"/>
      <c r="M315"/>
      <c r="N315"/>
      <c r="O315" s="2"/>
      <c r="S315"/>
      <c r="T315"/>
      <c r="U315"/>
      <c r="V315"/>
      <c r="X315"/>
    </row>
    <row r="316" spans="10:24" s="1" customFormat="1" x14ac:dyDescent="0.2">
      <c r="J316"/>
      <c r="K316"/>
      <c r="L316"/>
      <c r="M316"/>
      <c r="N316"/>
      <c r="O316" s="2"/>
      <c r="S316"/>
      <c r="T316"/>
      <c r="U316"/>
      <c r="V316"/>
      <c r="X316"/>
    </row>
    <row r="317" spans="10:24" s="1" customFormat="1" x14ac:dyDescent="0.2">
      <c r="J317"/>
      <c r="K317"/>
      <c r="L317"/>
      <c r="M317"/>
      <c r="N317"/>
      <c r="O317" s="2"/>
      <c r="S317"/>
      <c r="T317"/>
      <c r="U317"/>
      <c r="V317"/>
      <c r="X317"/>
    </row>
    <row r="318" spans="10:24" s="1" customFormat="1" x14ac:dyDescent="0.2">
      <c r="J318"/>
      <c r="K318"/>
      <c r="L318"/>
      <c r="M318"/>
      <c r="N318"/>
      <c r="O318" s="2"/>
      <c r="S318"/>
      <c r="T318"/>
      <c r="U318"/>
      <c r="V318"/>
      <c r="X318"/>
    </row>
    <row r="319" spans="10:24" s="1" customFormat="1" x14ac:dyDescent="0.2">
      <c r="J319"/>
      <c r="K319"/>
      <c r="L319"/>
      <c r="M319"/>
      <c r="N319"/>
      <c r="O319" s="2"/>
      <c r="S319"/>
      <c r="T319"/>
      <c r="U319"/>
      <c r="V319"/>
      <c r="X319"/>
    </row>
    <row r="320" spans="10:24" s="1" customFormat="1" x14ac:dyDescent="0.2">
      <c r="J320"/>
      <c r="K320"/>
      <c r="L320"/>
      <c r="M320"/>
      <c r="N320"/>
      <c r="O320" s="2"/>
      <c r="S320"/>
      <c r="T320"/>
      <c r="U320"/>
      <c r="V320"/>
      <c r="X320"/>
    </row>
    <row r="321" spans="10:24" s="1" customFormat="1" x14ac:dyDescent="0.2">
      <c r="J321"/>
      <c r="K321"/>
      <c r="L321"/>
      <c r="M321"/>
      <c r="N321"/>
      <c r="O321" s="2"/>
      <c r="S321"/>
      <c r="T321"/>
      <c r="U321"/>
      <c r="V321"/>
      <c r="X321"/>
    </row>
    <row r="322" spans="10:24" s="1" customFormat="1" x14ac:dyDescent="0.2">
      <c r="J322"/>
      <c r="K322"/>
      <c r="L322"/>
      <c r="M322"/>
      <c r="N322"/>
      <c r="O322" s="2"/>
      <c r="S322"/>
      <c r="T322"/>
      <c r="U322"/>
      <c r="V322"/>
      <c r="X322"/>
    </row>
    <row r="323" spans="10:24" s="1" customFormat="1" x14ac:dyDescent="0.2">
      <c r="J323"/>
      <c r="K323"/>
      <c r="L323"/>
      <c r="M323"/>
      <c r="N323"/>
      <c r="O323" s="2"/>
      <c r="S323"/>
      <c r="T323"/>
      <c r="U323"/>
      <c r="V323"/>
      <c r="X323"/>
    </row>
    <row r="324" spans="10:24" s="1" customFormat="1" x14ac:dyDescent="0.2">
      <c r="J324"/>
      <c r="K324"/>
      <c r="L324"/>
      <c r="M324"/>
      <c r="N324"/>
      <c r="O324" s="2"/>
      <c r="S324"/>
      <c r="T324"/>
      <c r="U324"/>
      <c r="V324"/>
      <c r="X324"/>
    </row>
    <row r="325" spans="10:24" s="1" customFormat="1" x14ac:dyDescent="0.2">
      <c r="J325"/>
      <c r="K325"/>
      <c r="L325"/>
      <c r="M325"/>
      <c r="N325"/>
      <c r="O325" s="2"/>
      <c r="S325"/>
      <c r="T325"/>
      <c r="U325"/>
      <c r="V325"/>
      <c r="X325"/>
    </row>
    <row r="326" spans="10:24" s="1" customFormat="1" x14ac:dyDescent="0.2">
      <c r="J326"/>
      <c r="K326"/>
      <c r="L326"/>
      <c r="M326"/>
      <c r="N326"/>
      <c r="O326" s="2"/>
      <c r="S326"/>
      <c r="T326"/>
      <c r="U326"/>
      <c r="V326"/>
      <c r="X326"/>
    </row>
    <row r="327" spans="10:24" s="1" customFormat="1" x14ac:dyDescent="0.2">
      <c r="J327"/>
      <c r="K327"/>
      <c r="L327"/>
      <c r="M327"/>
      <c r="N327"/>
      <c r="O327" s="2"/>
      <c r="S327"/>
      <c r="T327"/>
      <c r="U327"/>
      <c r="V327"/>
      <c r="X327"/>
    </row>
    <row r="328" spans="10:24" s="1" customFormat="1" x14ac:dyDescent="0.2">
      <c r="J328"/>
      <c r="K328"/>
      <c r="L328"/>
      <c r="M328"/>
      <c r="N328"/>
      <c r="O328" s="2"/>
      <c r="S328"/>
      <c r="T328"/>
      <c r="U328"/>
      <c r="V328"/>
      <c r="X328"/>
    </row>
    <row r="329" spans="10:24" s="1" customFormat="1" x14ac:dyDescent="0.2">
      <c r="J329"/>
      <c r="K329"/>
      <c r="L329"/>
      <c r="M329"/>
      <c r="N329"/>
      <c r="O329" s="2"/>
      <c r="S329"/>
      <c r="T329"/>
      <c r="U329"/>
      <c r="V329"/>
      <c r="X329"/>
    </row>
    <row r="330" spans="10:24" s="1" customFormat="1" x14ac:dyDescent="0.2">
      <c r="J330"/>
      <c r="K330"/>
      <c r="L330"/>
      <c r="M330"/>
      <c r="N330"/>
      <c r="O330" s="2"/>
      <c r="S330"/>
      <c r="T330"/>
      <c r="U330"/>
      <c r="V330"/>
      <c r="X330"/>
    </row>
    <row r="331" spans="10:24" s="1" customFormat="1" x14ac:dyDescent="0.2">
      <c r="J331"/>
      <c r="K331"/>
      <c r="L331"/>
      <c r="M331"/>
      <c r="N331"/>
      <c r="O331" s="2"/>
      <c r="S331"/>
      <c r="T331"/>
      <c r="U331"/>
      <c r="V331"/>
      <c r="X331"/>
    </row>
    <row r="332" spans="10:24" s="1" customFormat="1" x14ac:dyDescent="0.2">
      <c r="J332"/>
      <c r="K332"/>
      <c r="L332"/>
      <c r="M332"/>
      <c r="N332"/>
      <c r="O332" s="2"/>
      <c r="S332"/>
      <c r="T332"/>
      <c r="U332"/>
      <c r="V332"/>
      <c r="X332"/>
    </row>
    <row r="333" spans="10:24" s="1" customFormat="1" x14ac:dyDescent="0.2">
      <c r="J333"/>
      <c r="K333"/>
      <c r="L333"/>
      <c r="M333"/>
      <c r="N333"/>
      <c r="O333" s="2"/>
      <c r="S333"/>
      <c r="T333"/>
      <c r="U333"/>
      <c r="V333"/>
      <c r="X333"/>
    </row>
    <row r="334" spans="10:24" s="1" customFormat="1" x14ac:dyDescent="0.2">
      <c r="J334"/>
      <c r="K334"/>
      <c r="L334"/>
      <c r="M334"/>
      <c r="N334"/>
      <c r="O334" s="2"/>
      <c r="S334"/>
      <c r="T334"/>
      <c r="U334"/>
      <c r="V334"/>
      <c r="X334"/>
    </row>
    <row r="335" spans="10:24" s="1" customFormat="1" x14ac:dyDescent="0.2">
      <c r="J335"/>
      <c r="K335"/>
      <c r="L335"/>
      <c r="M335"/>
      <c r="N335"/>
      <c r="O335" s="2"/>
      <c r="S335"/>
      <c r="T335"/>
      <c r="U335"/>
      <c r="V335"/>
      <c r="X335"/>
    </row>
    <row r="336" spans="10:24" s="1" customFormat="1" x14ac:dyDescent="0.2">
      <c r="J336"/>
      <c r="K336"/>
      <c r="L336"/>
      <c r="M336"/>
      <c r="N336"/>
      <c r="O336" s="2"/>
      <c r="S336"/>
      <c r="T336"/>
      <c r="U336"/>
      <c r="V336"/>
      <c r="X336"/>
    </row>
    <row r="337" spans="10:24" s="1" customFormat="1" x14ac:dyDescent="0.2">
      <c r="J337"/>
      <c r="K337"/>
      <c r="L337"/>
      <c r="M337"/>
      <c r="N337"/>
      <c r="O337" s="2"/>
      <c r="S337"/>
      <c r="T337"/>
      <c r="U337"/>
      <c r="V337"/>
      <c r="X337"/>
    </row>
    <row r="338" spans="10:24" s="1" customFormat="1" x14ac:dyDescent="0.2">
      <c r="J338"/>
      <c r="K338"/>
      <c r="L338"/>
      <c r="M338"/>
      <c r="N338"/>
      <c r="O338" s="2"/>
      <c r="S338"/>
      <c r="T338"/>
      <c r="U338"/>
      <c r="V338"/>
      <c r="X338"/>
    </row>
    <row r="339" spans="10:24" s="1" customFormat="1" x14ac:dyDescent="0.2">
      <c r="J339"/>
      <c r="K339"/>
      <c r="L339"/>
      <c r="M339"/>
      <c r="N339"/>
      <c r="O339" s="2"/>
      <c r="S339"/>
      <c r="T339"/>
      <c r="U339"/>
      <c r="V339"/>
      <c r="X339"/>
    </row>
    <row r="340" spans="10:24" s="1" customFormat="1" x14ac:dyDescent="0.2">
      <c r="J340"/>
      <c r="K340"/>
      <c r="L340"/>
      <c r="M340"/>
      <c r="N340"/>
      <c r="O340" s="2"/>
      <c r="S340"/>
      <c r="T340"/>
      <c r="U340"/>
      <c r="V340"/>
      <c r="X340"/>
    </row>
    <row r="341" spans="10:24" s="1" customFormat="1" x14ac:dyDescent="0.2">
      <c r="J341"/>
      <c r="K341"/>
      <c r="L341"/>
      <c r="M341"/>
      <c r="N341"/>
      <c r="O341" s="2"/>
      <c r="S341"/>
      <c r="T341"/>
      <c r="U341"/>
      <c r="V341"/>
      <c r="X341"/>
    </row>
    <row r="342" spans="10:24" s="1" customFormat="1" x14ac:dyDescent="0.2">
      <c r="J342"/>
      <c r="K342"/>
      <c r="L342"/>
      <c r="M342"/>
      <c r="N342"/>
      <c r="O342" s="2"/>
      <c r="S342"/>
      <c r="T342"/>
      <c r="U342"/>
      <c r="V342"/>
      <c r="X342"/>
    </row>
    <row r="343" spans="10:24" s="1" customFormat="1" x14ac:dyDescent="0.2">
      <c r="J343"/>
      <c r="K343"/>
      <c r="L343"/>
      <c r="M343"/>
      <c r="N343"/>
      <c r="O343" s="2"/>
      <c r="S343"/>
      <c r="T343"/>
      <c r="U343"/>
      <c r="V343"/>
      <c r="X343"/>
    </row>
    <row r="344" spans="10:24" s="1" customFormat="1" x14ac:dyDescent="0.2">
      <c r="J344"/>
      <c r="K344"/>
      <c r="L344"/>
      <c r="M344"/>
      <c r="N344"/>
      <c r="O344" s="2"/>
      <c r="S344"/>
      <c r="T344"/>
      <c r="U344"/>
      <c r="V344"/>
      <c r="X344"/>
    </row>
    <row r="345" spans="10:24" s="1" customFormat="1" x14ac:dyDescent="0.2">
      <c r="J345"/>
      <c r="K345"/>
      <c r="L345"/>
      <c r="M345"/>
      <c r="N345"/>
      <c r="O345" s="2"/>
      <c r="S345"/>
      <c r="T345"/>
      <c r="U345"/>
      <c r="V345"/>
      <c r="X345"/>
    </row>
    <row r="346" spans="10:24" s="1" customFormat="1" x14ac:dyDescent="0.2">
      <c r="J346"/>
      <c r="K346"/>
      <c r="L346"/>
      <c r="M346"/>
      <c r="N346"/>
      <c r="O346" s="2"/>
      <c r="S346"/>
      <c r="T346"/>
      <c r="U346"/>
      <c r="V346"/>
      <c r="X346"/>
    </row>
    <row r="347" spans="10:24" s="1" customFormat="1" x14ac:dyDescent="0.2">
      <c r="J347"/>
      <c r="K347"/>
      <c r="L347"/>
      <c r="M347"/>
      <c r="N347"/>
      <c r="O347" s="2"/>
      <c r="S347"/>
      <c r="T347"/>
      <c r="U347"/>
      <c r="V347"/>
      <c r="X347"/>
    </row>
    <row r="348" spans="10:24" s="1" customFormat="1" x14ac:dyDescent="0.2">
      <c r="J348"/>
      <c r="K348"/>
      <c r="L348"/>
      <c r="M348"/>
      <c r="N348"/>
      <c r="O348" s="2"/>
      <c r="S348"/>
      <c r="T348"/>
      <c r="U348"/>
      <c r="V348"/>
      <c r="X348"/>
    </row>
    <row r="349" spans="10:24" s="1" customFormat="1" x14ac:dyDescent="0.2">
      <c r="J349"/>
      <c r="K349"/>
      <c r="L349"/>
      <c r="M349"/>
      <c r="N349"/>
      <c r="O349" s="2"/>
      <c r="S349"/>
      <c r="T349"/>
      <c r="U349"/>
      <c r="V349"/>
      <c r="X349"/>
    </row>
    <row r="350" spans="10:24" s="1" customFormat="1" x14ac:dyDescent="0.2">
      <c r="J350"/>
      <c r="K350"/>
      <c r="L350"/>
      <c r="M350"/>
      <c r="N350"/>
      <c r="O350" s="2"/>
      <c r="S350"/>
      <c r="T350"/>
      <c r="U350"/>
      <c r="V350"/>
      <c r="X350"/>
    </row>
    <row r="351" spans="10:24" s="1" customFormat="1" x14ac:dyDescent="0.2">
      <c r="J351"/>
      <c r="K351"/>
      <c r="L351"/>
      <c r="M351"/>
      <c r="N351"/>
      <c r="O351" s="2"/>
      <c r="S351"/>
      <c r="T351"/>
      <c r="U351"/>
      <c r="V351"/>
      <c r="X351"/>
    </row>
    <row r="352" spans="10:24" s="1" customFormat="1" x14ac:dyDescent="0.2">
      <c r="J352"/>
      <c r="K352"/>
      <c r="L352"/>
      <c r="M352"/>
      <c r="N352"/>
      <c r="O352" s="2"/>
      <c r="S352"/>
      <c r="T352"/>
      <c r="U352"/>
      <c r="V352"/>
      <c r="X352"/>
    </row>
    <row r="353" spans="10:24" s="1" customFormat="1" x14ac:dyDescent="0.2">
      <c r="J353"/>
      <c r="K353"/>
      <c r="L353"/>
      <c r="M353"/>
      <c r="N353"/>
      <c r="O353" s="2"/>
      <c r="S353"/>
      <c r="T353"/>
      <c r="U353"/>
      <c r="V353"/>
      <c r="X353"/>
    </row>
    <row r="354" spans="10:24" s="1" customFormat="1" x14ac:dyDescent="0.2">
      <c r="J354"/>
      <c r="K354"/>
      <c r="L354"/>
      <c r="M354"/>
      <c r="N354"/>
      <c r="O354" s="2"/>
      <c r="S354"/>
      <c r="T354"/>
      <c r="U354"/>
      <c r="V354"/>
      <c r="X354"/>
    </row>
    <row r="355" spans="10:24" s="1" customFormat="1" x14ac:dyDescent="0.2">
      <c r="J355"/>
      <c r="K355"/>
      <c r="L355"/>
      <c r="M355"/>
      <c r="N355"/>
      <c r="O355" s="2"/>
      <c r="S355"/>
      <c r="T355"/>
      <c r="U355"/>
      <c r="V355"/>
      <c r="X355"/>
    </row>
    <row r="356" spans="10:24" s="1" customFormat="1" x14ac:dyDescent="0.2">
      <c r="J356"/>
      <c r="K356"/>
      <c r="L356"/>
      <c r="M356"/>
      <c r="N356"/>
      <c r="O356" s="2"/>
      <c r="S356"/>
      <c r="T356"/>
      <c r="U356"/>
      <c r="V356"/>
      <c r="X356"/>
    </row>
    <row r="357" spans="10:24" s="1" customFormat="1" x14ac:dyDescent="0.2">
      <c r="J357"/>
      <c r="K357"/>
      <c r="L357"/>
      <c r="M357"/>
      <c r="N357"/>
      <c r="O357" s="2"/>
      <c r="S357"/>
      <c r="T357"/>
      <c r="U357"/>
      <c r="V357"/>
      <c r="X357"/>
    </row>
    <row r="358" spans="10:24" s="1" customFormat="1" x14ac:dyDescent="0.2">
      <c r="J358"/>
      <c r="K358"/>
      <c r="L358"/>
      <c r="M358"/>
      <c r="N358"/>
      <c r="O358" s="2"/>
      <c r="S358"/>
      <c r="T358"/>
      <c r="U358"/>
      <c r="V358"/>
      <c r="X358"/>
    </row>
    <row r="359" spans="10:24" s="1" customFormat="1" x14ac:dyDescent="0.2">
      <c r="J359"/>
      <c r="K359"/>
      <c r="L359"/>
      <c r="M359"/>
      <c r="N359"/>
      <c r="O359" s="2"/>
      <c r="S359"/>
      <c r="T359"/>
      <c r="U359"/>
      <c r="V359"/>
      <c r="X359"/>
    </row>
    <row r="360" spans="10:24" s="1" customFormat="1" x14ac:dyDescent="0.2">
      <c r="J360"/>
      <c r="K360"/>
      <c r="L360"/>
      <c r="M360"/>
      <c r="N360"/>
      <c r="O360" s="2"/>
      <c r="S360"/>
      <c r="T360"/>
      <c r="U360"/>
      <c r="V360"/>
      <c r="X360"/>
    </row>
    <row r="361" spans="10:24" s="1" customFormat="1" x14ac:dyDescent="0.2">
      <c r="J361"/>
      <c r="K361"/>
      <c r="L361"/>
      <c r="M361"/>
      <c r="N361"/>
      <c r="O361" s="2"/>
      <c r="S361"/>
      <c r="T361"/>
      <c r="U361"/>
      <c r="V361"/>
      <c r="X361"/>
    </row>
    <row r="362" spans="10:24" s="1" customFormat="1" x14ac:dyDescent="0.2">
      <c r="J362"/>
      <c r="K362"/>
      <c r="L362"/>
      <c r="M362"/>
      <c r="N362"/>
      <c r="O362" s="2"/>
      <c r="S362"/>
      <c r="T362"/>
      <c r="U362"/>
      <c r="V362"/>
      <c r="X362"/>
    </row>
    <row r="363" spans="10:24" s="1" customFormat="1" x14ac:dyDescent="0.2">
      <c r="J363"/>
      <c r="K363"/>
      <c r="L363"/>
      <c r="M363"/>
      <c r="N363"/>
      <c r="O363" s="2"/>
      <c r="S363"/>
      <c r="T363"/>
      <c r="U363"/>
      <c r="V363"/>
      <c r="X363"/>
    </row>
    <row r="364" spans="10:24" s="1" customFormat="1" x14ac:dyDescent="0.2">
      <c r="J364"/>
      <c r="K364"/>
      <c r="L364"/>
      <c r="M364"/>
      <c r="N364"/>
      <c r="O364" s="2"/>
      <c r="S364"/>
      <c r="T364"/>
      <c r="U364"/>
      <c r="V364"/>
      <c r="X364"/>
    </row>
    <row r="365" spans="10:24" s="1" customFormat="1" x14ac:dyDescent="0.2">
      <c r="J365"/>
      <c r="K365"/>
      <c r="L365"/>
      <c r="M365"/>
      <c r="N365"/>
      <c r="O365" s="2"/>
      <c r="S365"/>
      <c r="T365"/>
      <c r="U365"/>
      <c r="V365"/>
      <c r="X365"/>
    </row>
    <row r="366" spans="10:24" s="1" customFormat="1" x14ac:dyDescent="0.2">
      <c r="J366"/>
      <c r="K366"/>
      <c r="L366"/>
      <c r="M366"/>
      <c r="N366"/>
      <c r="O366" s="2"/>
      <c r="S366"/>
      <c r="T366"/>
      <c r="U366"/>
      <c r="V366"/>
      <c r="X366"/>
    </row>
    <row r="367" spans="10:24" s="1" customFormat="1" x14ac:dyDescent="0.2">
      <c r="J367"/>
      <c r="K367"/>
      <c r="L367"/>
      <c r="M367"/>
      <c r="N367"/>
      <c r="O367" s="2"/>
      <c r="S367"/>
      <c r="T367"/>
      <c r="U367"/>
      <c r="V367"/>
      <c r="X367"/>
    </row>
    <row r="368" spans="10:24" s="1" customFormat="1" x14ac:dyDescent="0.2">
      <c r="J368"/>
      <c r="K368"/>
      <c r="L368"/>
      <c r="M368"/>
      <c r="N368"/>
      <c r="O368" s="2"/>
      <c r="S368"/>
      <c r="T368"/>
      <c r="U368"/>
      <c r="V368"/>
      <c r="X368"/>
    </row>
    <row r="369" spans="10:24" s="1" customFormat="1" x14ac:dyDescent="0.2">
      <c r="J369"/>
      <c r="K369"/>
      <c r="L369"/>
      <c r="M369"/>
      <c r="N369"/>
      <c r="O369" s="2"/>
      <c r="S369"/>
      <c r="T369"/>
      <c r="U369"/>
      <c r="V369"/>
      <c r="X369"/>
    </row>
    <row r="370" spans="10:24" s="1" customFormat="1" x14ac:dyDescent="0.2">
      <c r="J370"/>
      <c r="K370"/>
      <c r="L370"/>
      <c r="M370"/>
      <c r="N370"/>
      <c r="O370" s="2"/>
      <c r="S370"/>
      <c r="T370"/>
      <c r="U370"/>
      <c r="V370"/>
      <c r="X370"/>
    </row>
    <row r="371" spans="10:24" s="1" customFormat="1" x14ac:dyDescent="0.2">
      <c r="J371"/>
      <c r="K371"/>
      <c r="L371"/>
      <c r="M371"/>
      <c r="N371"/>
      <c r="O371" s="2"/>
      <c r="S371"/>
      <c r="T371"/>
      <c r="U371"/>
      <c r="V371"/>
      <c r="X371"/>
    </row>
    <row r="372" spans="10:24" s="1" customFormat="1" x14ac:dyDescent="0.2">
      <c r="J372"/>
      <c r="K372"/>
      <c r="L372"/>
      <c r="M372"/>
      <c r="N372"/>
      <c r="O372" s="2"/>
      <c r="S372"/>
      <c r="T372"/>
      <c r="U372"/>
      <c r="V372"/>
      <c r="X372"/>
    </row>
    <row r="373" spans="10:24" s="1" customFormat="1" x14ac:dyDescent="0.2">
      <c r="J373"/>
      <c r="K373"/>
      <c r="L373"/>
      <c r="M373"/>
      <c r="N373"/>
      <c r="O373" s="2"/>
      <c r="S373"/>
      <c r="T373"/>
      <c r="U373"/>
      <c r="V373"/>
      <c r="X373"/>
    </row>
    <row r="374" spans="10:24" s="1" customFormat="1" x14ac:dyDescent="0.2">
      <c r="J374"/>
      <c r="K374"/>
      <c r="L374"/>
      <c r="M374"/>
      <c r="N374"/>
      <c r="O374" s="2"/>
      <c r="S374"/>
      <c r="T374"/>
      <c r="U374"/>
      <c r="V374"/>
      <c r="X374"/>
    </row>
    <row r="375" spans="10:24" s="1" customFormat="1" x14ac:dyDescent="0.2">
      <c r="J375"/>
      <c r="K375"/>
      <c r="L375"/>
      <c r="M375"/>
      <c r="N375"/>
      <c r="O375" s="2"/>
      <c r="S375"/>
      <c r="T375"/>
      <c r="U375"/>
      <c r="V375"/>
      <c r="X375"/>
    </row>
    <row r="376" spans="10:24" s="1" customFormat="1" x14ac:dyDescent="0.2">
      <c r="J376"/>
      <c r="K376"/>
      <c r="L376"/>
      <c r="M376"/>
      <c r="N376"/>
      <c r="O376" s="2"/>
      <c r="S376"/>
      <c r="T376"/>
      <c r="U376"/>
      <c r="V376"/>
      <c r="X376"/>
    </row>
    <row r="377" spans="10:24" s="1" customFormat="1" x14ac:dyDescent="0.2">
      <c r="J377"/>
      <c r="K377"/>
      <c r="L377"/>
      <c r="M377"/>
      <c r="N377"/>
      <c r="O377" s="2"/>
      <c r="S377"/>
      <c r="T377"/>
      <c r="U377"/>
      <c r="V377"/>
      <c r="X377"/>
    </row>
    <row r="378" spans="10:24" s="1" customFormat="1" x14ac:dyDescent="0.2">
      <c r="J378"/>
      <c r="K378"/>
      <c r="L378"/>
      <c r="M378"/>
      <c r="N378"/>
      <c r="O378" s="2"/>
      <c r="S378"/>
      <c r="T378"/>
      <c r="U378"/>
      <c r="V378"/>
      <c r="X378"/>
    </row>
    <row r="379" spans="10:24" s="1" customFormat="1" x14ac:dyDescent="0.2">
      <c r="J379"/>
      <c r="K379"/>
      <c r="L379"/>
      <c r="M379"/>
      <c r="N379"/>
      <c r="O379" s="2"/>
      <c r="S379"/>
      <c r="T379"/>
      <c r="U379"/>
      <c r="V379"/>
      <c r="X379"/>
    </row>
    <row r="380" spans="10:24" s="1" customFormat="1" x14ac:dyDescent="0.2">
      <c r="J380"/>
      <c r="K380"/>
      <c r="L380"/>
      <c r="M380"/>
      <c r="N380"/>
      <c r="O380" s="2"/>
      <c r="S380"/>
      <c r="T380"/>
      <c r="U380"/>
      <c r="V380"/>
      <c r="X380"/>
    </row>
    <row r="381" spans="10:24" s="1" customFormat="1" x14ac:dyDescent="0.2">
      <c r="J381"/>
      <c r="K381"/>
      <c r="L381"/>
      <c r="M381"/>
      <c r="N381"/>
      <c r="O381" s="2"/>
      <c r="S381"/>
      <c r="T381"/>
      <c r="U381"/>
      <c r="V381"/>
      <c r="X381"/>
    </row>
    <row r="382" spans="10:24" s="1" customFormat="1" x14ac:dyDescent="0.2">
      <c r="J382"/>
      <c r="K382"/>
      <c r="L382"/>
      <c r="M382"/>
      <c r="N382"/>
      <c r="O382" s="2"/>
      <c r="S382"/>
      <c r="T382"/>
      <c r="U382"/>
      <c r="V382"/>
      <c r="X382"/>
    </row>
    <row r="383" spans="10:24" s="1" customFormat="1" x14ac:dyDescent="0.2">
      <c r="J383"/>
      <c r="K383"/>
      <c r="L383"/>
      <c r="M383"/>
      <c r="N383"/>
      <c r="O383" s="2"/>
      <c r="S383"/>
      <c r="T383"/>
      <c r="U383"/>
      <c r="V383"/>
      <c r="X383"/>
    </row>
    <row r="384" spans="10:24" s="1" customFormat="1" x14ac:dyDescent="0.2">
      <c r="J384"/>
      <c r="K384"/>
      <c r="L384"/>
      <c r="M384"/>
      <c r="N384"/>
      <c r="O384" s="2"/>
      <c r="S384"/>
      <c r="T384"/>
      <c r="U384"/>
      <c r="V384"/>
      <c r="X384"/>
    </row>
    <row r="385" spans="10:24" s="1" customFormat="1" x14ac:dyDescent="0.2">
      <c r="J385"/>
      <c r="K385"/>
      <c r="L385"/>
      <c r="M385"/>
      <c r="N385"/>
      <c r="O385" s="2"/>
      <c r="S385"/>
      <c r="T385"/>
      <c r="U385"/>
      <c r="V385"/>
      <c r="X385"/>
    </row>
    <row r="386" spans="10:24" s="1" customFormat="1" x14ac:dyDescent="0.2">
      <c r="J386"/>
      <c r="K386"/>
      <c r="L386"/>
      <c r="M386"/>
      <c r="N386"/>
      <c r="O386" s="2"/>
      <c r="S386"/>
      <c r="T386"/>
      <c r="U386"/>
      <c r="V386"/>
      <c r="X386"/>
    </row>
    <row r="387" spans="10:24" s="1" customFormat="1" x14ac:dyDescent="0.2">
      <c r="J387"/>
      <c r="K387"/>
      <c r="L387"/>
      <c r="M387"/>
      <c r="N387"/>
      <c r="O387" s="2"/>
      <c r="S387"/>
      <c r="T387"/>
      <c r="U387"/>
      <c r="V387"/>
      <c r="X387"/>
    </row>
    <row r="388" spans="10:24" s="1" customFormat="1" x14ac:dyDescent="0.2">
      <c r="J388"/>
      <c r="K388"/>
      <c r="L388"/>
      <c r="M388"/>
      <c r="N388"/>
      <c r="O388" s="2"/>
      <c r="S388"/>
      <c r="T388"/>
      <c r="U388"/>
      <c r="V388"/>
      <c r="X388"/>
    </row>
    <row r="389" spans="10:24" s="1" customFormat="1" x14ac:dyDescent="0.2">
      <c r="J389"/>
      <c r="K389"/>
      <c r="L389"/>
      <c r="M389"/>
      <c r="N389"/>
      <c r="O389" s="2"/>
      <c r="S389"/>
      <c r="T389"/>
      <c r="U389"/>
      <c r="V389"/>
      <c r="X389"/>
    </row>
    <row r="390" spans="10:24" s="1" customFormat="1" x14ac:dyDescent="0.2">
      <c r="J390"/>
      <c r="K390"/>
      <c r="L390"/>
      <c r="M390"/>
      <c r="N390"/>
      <c r="O390" s="2"/>
      <c r="S390"/>
      <c r="T390"/>
      <c r="U390"/>
      <c r="V390"/>
      <c r="X390"/>
    </row>
    <row r="391" spans="10:24" s="1" customFormat="1" x14ac:dyDescent="0.2">
      <c r="J391"/>
      <c r="K391"/>
      <c r="L391"/>
      <c r="M391"/>
      <c r="N391"/>
      <c r="O391" s="2"/>
      <c r="S391"/>
      <c r="T391"/>
      <c r="U391"/>
      <c r="V391"/>
      <c r="X391"/>
    </row>
    <row r="392" spans="10:24" s="1" customFormat="1" x14ac:dyDescent="0.2">
      <c r="J392"/>
      <c r="K392"/>
      <c r="L392"/>
      <c r="M392"/>
      <c r="N392"/>
      <c r="O392" s="2"/>
      <c r="S392"/>
      <c r="T392"/>
      <c r="U392"/>
      <c r="V392"/>
      <c r="X392"/>
    </row>
    <row r="393" spans="10:24" s="1" customFormat="1" x14ac:dyDescent="0.2">
      <c r="J393"/>
      <c r="K393"/>
      <c r="L393"/>
      <c r="M393"/>
      <c r="N393"/>
      <c r="O393" s="2"/>
      <c r="S393"/>
      <c r="T393"/>
      <c r="U393"/>
      <c r="V393"/>
      <c r="X393"/>
    </row>
    <row r="394" spans="10:24" s="1" customFormat="1" x14ac:dyDescent="0.2">
      <c r="J394"/>
      <c r="K394"/>
      <c r="L394"/>
      <c r="M394"/>
      <c r="N394"/>
      <c r="O394" s="2"/>
      <c r="S394"/>
      <c r="T394"/>
      <c r="U394"/>
      <c r="V394"/>
      <c r="X394"/>
    </row>
    <row r="395" spans="10:24" s="1" customFormat="1" x14ac:dyDescent="0.2">
      <c r="J395"/>
      <c r="K395"/>
      <c r="L395"/>
      <c r="M395"/>
      <c r="N395"/>
      <c r="O395" s="2"/>
      <c r="S395"/>
      <c r="T395"/>
      <c r="U395"/>
      <c r="V395"/>
      <c r="X395"/>
    </row>
    <row r="396" spans="10:24" s="1" customFormat="1" x14ac:dyDescent="0.2">
      <c r="J396"/>
      <c r="K396"/>
      <c r="L396"/>
      <c r="M396"/>
      <c r="N396"/>
      <c r="O396" s="2"/>
      <c r="S396"/>
      <c r="T396"/>
      <c r="U396"/>
      <c r="V396"/>
      <c r="X396"/>
    </row>
    <row r="397" spans="10:24" s="1" customFormat="1" x14ac:dyDescent="0.2">
      <c r="J397"/>
      <c r="K397"/>
      <c r="L397"/>
      <c r="M397"/>
      <c r="N397"/>
      <c r="O397" s="2"/>
      <c r="S397"/>
      <c r="T397"/>
      <c r="U397"/>
      <c r="V397"/>
      <c r="X397"/>
    </row>
    <row r="398" spans="10:24" s="1" customFormat="1" x14ac:dyDescent="0.2">
      <c r="J398"/>
      <c r="K398"/>
      <c r="L398"/>
      <c r="M398"/>
      <c r="N398"/>
      <c r="O398" s="2"/>
      <c r="S398"/>
      <c r="T398"/>
      <c r="U398"/>
      <c r="V398"/>
      <c r="X398"/>
    </row>
    <row r="399" spans="10:24" s="1" customFormat="1" x14ac:dyDescent="0.2">
      <c r="J399"/>
      <c r="K399"/>
      <c r="L399"/>
      <c r="M399"/>
      <c r="N399"/>
      <c r="O399" s="2"/>
      <c r="S399"/>
      <c r="T399"/>
      <c r="U399"/>
      <c r="V399"/>
      <c r="X399"/>
    </row>
    <row r="400" spans="10:24" s="1" customFormat="1" x14ac:dyDescent="0.2">
      <c r="J400"/>
      <c r="K400"/>
      <c r="L400"/>
      <c r="M400"/>
      <c r="N400"/>
      <c r="O400" s="2"/>
      <c r="S400"/>
      <c r="T400"/>
      <c r="U400"/>
      <c r="V400"/>
      <c r="X400"/>
    </row>
    <row r="401" spans="10:24" s="1" customFormat="1" x14ac:dyDescent="0.2">
      <c r="J401"/>
      <c r="K401"/>
      <c r="L401"/>
      <c r="M401"/>
      <c r="N401"/>
      <c r="O401" s="2"/>
      <c r="S401"/>
      <c r="T401"/>
      <c r="U401"/>
      <c r="V401"/>
      <c r="X401"/>
    </row>
    <row r="402" spans="10:24" s="1" customFormat="1" x14ac:dyDescent="0.2">
      <c r="J402"/>
      <c r="K402"/>
      <c r="L402"/>
      <c r="M402"/>
      <c r="N402"/>
      <c r="O402" s="2"/>
      <c r="S402"/>
      <c r="T402"/>
      <c r="U402"/>
      <c r="V402"/>
      <c r="X402"/>
    </row>
    <row r="403" spans="10:24" s="1" customFormat="1" x14ac:dyDescent="0.2">
      <c r="J403"/>
      <c r="K403"/>
      <c r="L403"/>
      <c r="M403"/>
      <c r="N403"/>
      <c r="O403" s="2"/>
      <c r="S403"/>
      <c r="T403"/>
      <c r="U403"/>
      <c r="V403"/>
      <c r="X403"/>
    </row>
    <row r="404" spans="10:24" s="1" customFormat="1" x14ac:dyDescent="0.2">
      <c r="J404"/>
      <c r="K404"/>
      <c r="L404"/>
      <c r="M404"/>
      <c r="N404"/>
      <c r="O404" s="2"/>
      <c r="S404"/>
      <c r="T404"/>
      <c r="U404"/>
      <c r="V404"/>
      <c r="X404"/>
    </row>
    <row r="405" spans="10:24" s="1" customFormat="1" x14ac:dyDescent="0.2">
      <c r="J405"/>
      <c r="K405"/>
      <c r="L405"/>
      <c r="M405"/>
      <c r="N405"/>
      <c r="O405" s="2"/>
      <c r="S405"/>
      <c r="T405"/>
      <c r="U405"/>
      <c r="V405"/>
      <c r="X405"/>
    </row>
    <row r="406" spans="10:24" s="1" customFormat="1" x14ac:dyDescent="0.2">
      <c r="J406"/>
      <c r="K406"/>
      <c r="L406"/>
      <c r="M406"/>
      <c r="N406"/>
      <c r="O406" s="2"/>
      <c r="S406"/>
      <c r="T406"/>
      <c r="U406"/>
      <c r="V406"/>
      <c r="X406"/>
    </row>
    <row r="407" spans="10:24" s="1" customFormat="1" x14ac:dyDescent="0.2">
      <c r="J407"/>
      <c r="K407"/>
      <c r="L407"/>
      <c r="M407"/>
      <c r="N407"/>
      <c r="O407" s="2"/>
      <c r="S407"/>
      <c r="T407"/>
      <c r="U407"/>
      <c r="V407"/>
      <c r="X407"/>
    </row>
    <row r="408" spans="10:24" s="1" customFormat="1" x14ac:dyDescent="0.2">
      <c r="J408"/>
      <c r="K408"/>
      <c r="L408"/>
      <c r="M408"/>
      <c r="N408"/>
      <c r="O408" s="2"/>
      <c r="S408"/>
      <c r="T408"/>
      <c r="U408"/>
      <c r="V408"/>
      <c r="X408"/>
    </row>
    <row r="409" spans="10:24" s="1" customFormat="1" x14ac:dyDescent="0.2">
      <c r="J409"/>
      <c r="K409"/>
      <c r="L409"/>
      <c r="M409"/>
      <c r="N409"/>
      <c r="O409" s="2"/>
      <c r="S409"/>
      <c r="T409"/>
      <c r="U409"/>
      <c r="V409"/>
      <c r="X409"/>
    </row>
    <row r="410" spans="10:24" s="1" customFormat="1" x14ac:dyDescent="0.2">
      <c r="J410"/>
      <c r="K410"/>
      <c r="L410"/>
      <c r="M410"/>
      <c r="N410"/>
      <c r="O410" s="2"/>
      <c r="S410"/>
      <c r="T410"/>
      <c r="U410"/>
      <c r="V410"/>
      <c r="X410"/>
    </row>
    <row r="411" spans="10:24" s="1" customFormat="1" x14ac:dyDescent="0.2">
      <c r="J411"/>
      <c r="K411"/>
      <c r="L411"/>
      <c r="M411"/>
      <c r="N411"/>
      <c r="O411" s="2"/>
      <c r="S411"/>
      <c r="T411"/>
      <c r="U411"/>
      <c r="V411"/>
      <c r="X411"/>
    </row>
    <row r="412" spans="10:24" s="1" customFormat="1" x14ac:dyDescent="0.2">
      <c r="J412"/>
      <c r="K412"/>
      <c r="L412"/>
      <c r="M412"/>
      <c r="N412"/>
      <c r="O412" s="2"/>
      <c r="S412"/>
      <c r="T412"/>
      <c r="U412"/>
      <c r="V412"/>
      <c r="X412"/>
    </row>
    <row r="413" spans="10:24" s="1" customFormat="1" x14ac:dyDescent="0.2">
      <c r="J413"/>
      <c r="K413"/>
      <c r="L413"/>
      <c r="M413"/>
      <c r="N413"/>
      <c r="O413" s="2"/>
      <c r="S413"/>
      <c r="T413"/>
      <c r="U413"/>
      <c r="V413"/>
      <c r="X413"/>
    </row>
    <row r="414" spans="10:24" s="1" customFormat="1" x14ac:dyDescent="0.2">
      <c r="J414"/>
      <c r="K414"/>
      <c r="L414"/>
      <c r="M414"/>
      <c r="N414"/>
      <c r="O414" s="2"/>
      <c r="S414"/>
      <c r="T414"/>
      <c r="U414"/>
      <c r="V414"/>
      <c r="X414"/>
    </row>
    <row r="415" spans="10:24" s="1" customFormat="1" x14ac:dyDescent="0.2">
      <c r="J415"/>
      <c r="K415"/>
      <c r="L415"/>
      <c r="M415"/>
      <c r="N415"/>
      <c r="O415" s="2"/>
      <c r="S415"/>
      <c r="T415"/>
      <c r="U415"/>
      <c r="V415"/>
      <c r="X415"/>
    </row>
    <row r="416" spans="10:24" s="1" customFormat="1" x14ac:dyDescent="0.2">
      <c r="J416"/>
      <c r="K416"/>
      <c r="L416"/>
      <c r="M416"/>
      <c r="N416"/>
      <c r="O416" s="2"/>
      <c r="S416"/>
      <c r="T416"/>
      <c r="U416"/>
      <c r="V416"/>
      <c r="X416"/>
    </row>
    <row r="417" spans="10:24" s="1" customFormat="1" x14ac:dyDescent="0.2">
      <c r="J417"/>
      <c r="K417"/>
      <c r="L417"/>
      <c r="M417"/>
      <c r="N417"/>
      <c r="O417" s="2"/>
      <c r="S417"/>
      <c r="T417"/>
      <c r="U417"/>
      <c r="V417"/>
      <c r="X417"/>
    </row>
    <row r="418" spans="10:24" s="1" customFormat="1" x14ac:dyDescent="0.2">
      <c r="J418"/>
      <c r="K418"/>
      <c r="L418"/>
      <c r="M418"/>
      <c r="N418"/>
      <c r="O418" s="2"/>
      <c r="S418"/>
      <c r="T418"/>
      <c r="U418"/>
      <c r="V418"/>
      <c r="X418"/>
    </row>
    <row r="419" spans="10:24" s="1" customFormat="1" x14ac:dyDescent="0.2">
      <c r="J419"/>
      <c r="K419"/>
      <c r="L419"/>
      <c r="M419"/>
      <c r="N419"/>
      <c r="O419" s="2"/>
      <c r="S419"/>
      <c r="T419"/>
      <c r="U419"/>
      <c r="V419"/>
      <c r="X419"/>
    </row>
    <row r="420" spans="10:24" s="1" customFormat="1" x14ac:dyDescent="0.2">
      <c r="J420"/>
      <c r="K420"/>
      <c r="L420"/>
      <c r="M420"/>
      <c r="N420"/>
      <c r="O420" s="2"/>
      <c r="S420"/>
      <c r="T420"/>
      <c r="U420"/>
      <c r="V420"/>
      <c r="X420"/>
    </row>
    <row r="421" spans="10:24" s="1" customFormat="1" x14ac:dyDescent="0.2">
      <c r="J421"/>
      <c r="K421"/>
      <c r="L421"/>
      <c r="M421"/>
      <c r="N421"/>
      <c r="O421" s="2"/>
      <c r="S421"/>
      <c r="T421"/>
      <c r="U421"/>
      <c r="V421"/>
      <c r="X421"/>
    </row>
    <row r="422" spans="10:24" s="1" customFormat="1" x14ac:dyDescent="0.2">
      <c r="J422"/>
      <c r="K422"/>
      <c r="L422"/>
      <c r="M422"/>
      <c r="N422"/>
      <c r="O422" s="2"/>
      <c r="S422"/>
      <c r="T422"/>
      <c r="U422"/>
      <c r="V422"/>
      <c r="X422"/>
    </row>
    <row r="423" spans="10:24" s="1" customFormat="1" x14ac:dyDescent="0.2">
      <c r="J423"/>
      <c r="K423"/>
      <c r="L423"/>
      <c r="M423"/>
      <c r="N423"/>
      <c r="O423" s="2"/>
      <c r="S423"/>
      <c r="T423"/>
      <c r="U423"/>
      <c r="V423"/>
      <c r="X423"/>
    </row>
    <row r="424" spans="10:24" s="1" customFormat="1" x14ac:dyDescent="0.2">
      <c r="J424"/>
      <c r="K424"/>
      <c r="L424"/>
      <c r="M424"/>
      <c r="N424"/>
      <c r="O424" s="2"/>
      <c r="S424"/>
      <c r="T424"/>
      <c r="U424"/>
      <c r="V424"/>
      <c r="X424"/>
    </row>
    <row r="425" spans="10:24" s="1" customFormat="1" x14ac:dyDescent="0.2">
      <c r="J425"/>
      <c r="K425"/>
      <c r="L425"/>
      <c r="M425"/>
      <c r="N425"/>
      <c r="O425" s="2"/>
      <c r="S425"/>
      <c r="T425"/>
      <c r="U425"/>
      <c r="V425"/>
      <c r="X425"/>
    </row>
    <row r="426" spans="10:24" s="1" customFormat="1" x14ac:dyDescent="0.2">
      <c r="J426"/>
      <c r="K426"/>
      <c r="L426"/>
      <c r="M426"/>
      <c r="N426"/>
      <c r="O426" s="2"/>
      <c r="S426"/>
      <c r="T426"/>
      <c r="U426"/>
      <c r="V426"/>
      <c r="X426"/>
    </row>
    <row r="427" spans="10:24" s="1" customFormat="1" x14ac:dyDescent="0.2">
      <c r="J427"/>
      <c r="K427"/>
      <c r="L427"/>
      <c r="M427"/>
      <c r="N427"/>
      <c r="O427" s="2"/>
      <c r="S427"/>
      <c r="T427"/>
      <c r="U427"/>
      <c r="V427"/>
      <c r="X427"/>
    </row>
    <row r="428" spans="10:24" s="1" customFormat="1" x14ac:dyDescent="0.2">
      <c r="J428"/>
      <c r="K428"/>
      <c r="L428"/>
      <c r="M428"/>
      <c r="N428"/>
      <c r="O428" s="2"/>
      <c r="S428"/>
      <c r="T428"/>
      <c r="U428"/>
      <c r="V428"/>
      <c r="X428"/>
    </row>
    <row r="429" spans="10:24" s="1" customFormat="1" x14ac:dyDescent="0.2">
      <c r="J429"/>
      <c r="K429"/>
      <c r="L429"/>
      <c r="M429"/>
      <c r="N429"/>
      <c r="O429" s="2"/>
      <c r="S429"/>
      <c r="T429"/>
      <c r="U429"/>
      <c r="V429"/>
      <c r="X429"/>
    </row>
    <row r="430" spans="10:24" s="1" customFormat="1" x14ac:dyDescent="0.2">
      <c r="J430"/>
      <c r="K430"/>
      <c r="L430"/>
      <c r="M430"/>
      <c r="N430"/>
      <c r="O430" s="2"/>
      <c r="S430"/>
      <c r="T430"/>
      <c r="U430"/>
      <c r="V430"/>
      <c r="X430"/>
    </row>
    <row r="431" spans="10:24" s="1" customFormat="1" x14ac:dyDescent="0.2">
      <c r="J431"/>
      <c r="K431"/>
      <c r="L431"/>
      <c r="M431"/>
      <c r="N431"/>
      <c r="O431" s="2"/>
      <c r="S431"/>
      <c r="T431"/>
      <c r="U431"/>
      <c r="V431"/>
      <c r="X431"/>
    </row>
    <row r="432" spans="10:24" s="1" customFormat="1" x14ac:dyDescent="0.2">
      <c r="J432"/>
      <c r="K432"/>
      <c r="L432"/>
      <c r="M432"/>
      <c r="N432"/>
      <c r="O432" s="2"/>
      <c r="S432"/>
      <c r="T432"/>
      <c r="U432"/>
      <c r="V432"/>
      <c r="X432"/>
    </row>
    <row r="433" spans="10:24" s="1" customFormat="1" x14ac:dyDescent="0.2">
      <c r="J433"/>
      <c r="K433"/>
      <c r="L433"/>
      <c r="M433"/>
      <c r="N433"/>
      <c r="O433" s="2"/>
      <c r="S433"/>
      <c r="T433"/>
      <c r="U433"/>
      <c r="V433"/>
      <c r="X433"/>
    </row>
    <row r="434" spans="10:24" s="1" customFormat="1" x14ac:dyDescent="0.2">
      <c r="J434"/>
      <c r="K434"/>
      <c r="L434"/>
      <c r="M434"/>
      <c r="N434"/>
      <c r="O434" s="2"/>
      <c r="S434"/>
      <c r="T434"/>
      <c r="U434"/>
      <c r="V434"/>
      <c r="X434"/>
    </row>
    <row r="435" spans="10:24" s="1" customFormat="1" x14ac:dyDescent="0.2">
      <c r="J435"/>
      <c r="K435"/>
      <c r="L435"/>
      <c r="M435"/>
      <c r="N435"/>
      <c r="O435" s="2"/>
      <c r="S435"/>
      <c r="T435"/>
      <c r="U435"/>
      <c r="V435"/>
      <c r="X435"/>
    </row>
    <row r="436" spans="10:24" s="1" customFormat="1" x14ac:dyDescent="0.2">
      <c r="J436"/>
      <c r="K436"/>
      <c r="L436"/>
      <c r="M436"/>
      <c r="N436"/>
      <c r="O436" s="2"/>
      <c r="S436"/>
      <c r="T436"/>
      <c r="U436"/>
      <c r="V436"/>
      <c r="X436"/>
    </row>
    <row r="437" spans="10:24" s="1" customFormat="1" x14ac:dyDescent="0.2">
      <c r="J437"/>
      <c r="K437"/>
      <c r="L437"/>
      <c r="M437"/>
      <c r="N437"/>
      <c r="O437" s="2"/>
      <c r="S437"/>
      <c r="T437"/>
      <c r="U437"/>
      <c r="V437"/>
      <c r="X437"/>
    </row>
    <row r="438" spans="10:24" s="1" customFormat="1" x14ac:dyDescent="0.2">
      <c r="J438"/>
      <c r="K438"/>
      <c r="L438"/>
      <c r="M438"/>
      <c r="N438"/>
      <c r="O438" s="2"/>
      <c r="S438"/>
      <c r="T438"/>
      <c r="U438"/>
      <c r="V438"/>
      <c r="X438"/>
    </row>
    <row r="439" spans="10:24" s="1" customFormat="1" x14ac:dyDescent="0.2">
      <c r="J439"/>
      <c r="K439"/>
      <c r="L439"/>
      <c r="M439"/>
      <c r="N439"/>
      <c r="O439" s="2"/>
      <c r="S439"/>
      <c r="T439"/>
      <c r="U439"/>
      <c r="V439"/>
      <c r="X439"/>
    </row>
    <row r="440" spans="10:24" s="1" customFormat="1" x14ac:dyDescent="0.2">
      <c r="J440"/>
      <c r="K440"/>
      <c r="L440"/>
      <c r="M440"/>
      <c r="N440"/>
      <c r="O440" s="2"/>
      <c r="S440"/>
      <c r="T440"/>
      <c r="U440"/>
      <c r="V440"/>
      <c r="X440"/>
    </row>
    <row r="441" spans="10:24" s="1" customFormat="1" x14ac:dyDescent="0.2">
      <c r="J441"/>
      <c r="K441"/>
      <c r="L441"/>
      <c r="M441"/>
      <c r="N441"/>
      <c r="O441" s="2"/>
      <c r="S441"/>
      <c r="T441"/>
      <c r="U441"/>
      <c r="V441"/>
      <c r="X441"/>
    </row>
    <row r="442" spans="10:24" s="1" customFormat="1" x14ac:dyDescent="0.2">
      <c r="J442"/>
      <c r="K442"/>
      <c r="L442"/>
      <c r="M442"/>
      <c r="N442"/>
      <c r="O442" s="2"/>
      <c r="S442"/>
      <c r="T442"/>
      <c r="U442"/>
      <c r="V442"/>
      <c r="X442"/>
    </row>
    <row r="443" spans="10:24" s="1" customFormat="1" x14ac:dyDescent="0.2">
      <c r="J443"/>
      <c r="K443"/>
      <c r="L443"/>
      <c r="M443"/>
      <c r="N443"/>
      <c r="O443" s="2"/>
      <c r="S443"/>
      <c r="T443"/>
      <c r="U443"/>
      <c r="V443"/>
      <c r="X443"/>
    </row>
    <row r="444" spans="10:24" s="1" customFormat="1" x14ac:dyDescent="0.2">
      <c r="J444"/>
      <c r="K444"/>
      <c r="L444"/>
      <c r="M444"/>
      <c r="N444"/>
      <c r="O444" s="2"/>
      <c r="S444"/>
      <c r="T444"/>
      <c r="U444"/>
      <c r="V444"/>
      <c r="X444"/>
    </row>
    <row r="445" spans="10:24" s="1" customFormat="1" x14ac:dyDescent="0.2">
      <c r="J445"/>
      <c r="K445"/>
      <c r="L445"/>
      <c r="M445"/>
      <c r="N445"/>
      <c r="O445" s="2"/>
      <c r="S445"/>
      <c r="T445"/>
      <c r="U445"/>
      <c r="V445"/>
      <c r="X445"/>
    </row>
    <row r="446" spans="10:24" s="1" customFormat="1" x14ac:dyDescent="0.2">
      <c r="J446"/>
      <c r="K446"/>
      <c r="L446"/>
      <c r="M446"/>
      <c r="N446"/>
      <c r="O446" s="2"/>
      <c r="S446"/>
      <c r="T446"/>
      <c r="U446"/>
      <c r="V446"/>
      <c r="X446"/>
    </row>
    <row r="447" spans="10:24" s="1" customFormat="1" x14ac:dyDescent="0.2">
      <c r="J447"/>
      <c r="K447"/>
      <c r="L447"/>
      <c r="M447"/>
      <c r="N447"/>
      <c r="O447" s="2"/>
      <c r="S447"/>
      <c r="T447"/>
      <c r="U447"/>
      <c r="V447"/>
      <c r="X447"/>
    </row>
    <row r="448" spans="10:24" s="1" customFormat="1" x14ac:dyDescent="0.2">
      <c r="J448"/>
      <c r="K448"/>
      <c r="L448"/>
      <c r="M448"/>
      <c r="N448"/>
      <c r="O448" s="2"/>
      <c r="S448"/>
      <c r="T448"/>
      <c r="U448"/>
      <c r="V448"/>
      <c r="X448"/>
    </row>
    <row r="449" spans="10:24" s="1" customFormat="1" x14ac:dyDescent="0.2">
      <c r="J449"/>
      <c r="K449"/>
      <c r="L449"/>
      <c r="M449"/>
      <c r="N449"/>
      <c r="O449" s="2"/>
      <c r="S449"/>
      <c r="T449"/>
      <c r="U449"/>
      <c r="V449"/>
      <c r="X449"/>
    </row>
    <row r="450" spans="10:24" s="1" customFormat="1" x14ac:dyDescent="0.2">
      <c r="J450"/>
      <c r="K450"/>
      <c r="L450"/>
      <c r="M450"/>
      <c r="N450"/>
      <c r="O450" s="2"/>
      <c r="S450"/>
      <c r="T450"/>
      <c r="U450"/>
      <c r="V450"/>
      <c r="X450"/>
    </row>
    <row r="451" spans="10:24" s="1" customFormat="1" x14ac:dyDescent="0.2">
      <c r="J451"/>
      <c r="K451"/>
      <c r="L451"/>
      <c r="M451"/>
      <c r="N451"/>
      <c r="O451" s="2"/>
      <c r="S451"/>
      <c r="T451"/>
      <c r="U451"/>
      <c r="V451"/>
      <c r="X451"/>
    </row>
    <row r="452" spans="10:24" s="1" customFormat="1" x14ac:dyDescent="0.2">
      <c r="J452"/>
      <c r="K452"/>
      <c r="L452"/>
      <c r="M452"/>
      <c r="N452"/>
      <c r="O452" s="2"/>
      <c r="S452"/>
      <c r="T452"/>
      <c r="U452"/>
      <c r="V452"/>
      <c r="X452"/>
    </row>
    <row r="453" spans="10:24" s="1" customFormat="1" x14ac:dyDescent="0.2">
      <c r="J453"/>
      <c r="K453"/>
      <c r="L453"/>
      <c r="M453"/>
      <c r="N453"/>
      <c r="O453" s="2"/>
      <c r="S453"/>
      <c r="T453"/>
      <c r="U453"/>
      <c r="V453"/>
      <c r="X453"/>
    </row>
    <row r="454" spans="10:24" s="1" customFormat="1" x14ac:dyDescent="0.2">
      <c r="J454"/>
      <c r="K454"/>
      <c r="L454"/>
      <c r="M454"/>
      <c r="N454"/>
      <c r="O454" s="2"/>
      <c r="S454"/>
      <c r="T454"/>
      <c r="U454"/>
      <c r="V454"/>
      <c r="X454"/>
    </row>
    <row r="455" spans="10:24" s="1" customFormat="1" x14ac:dyDescent="0.2">
      <c r="J455"/>
      <c r="K455"/>
      <c r="L455"/>
      <c r="M455"/>
      <c r="N455"/>
      <c r="O455" s="2"/>
      <c r="S455"/>
      <c r="T455"/>
      <c r="U455"/>
      <c r="V455"/>
      <c r="X455"/>
    </row>
    <row r="456" spans="10:24" s="1" customFormat="1" x14ac:dyDescent="0.2">
      <c r="J456"/>
      <c r="K456"/>
      <c r="L456"/>
      <c r="M456"/>
      <c r="N456"/>
      <c r="O456" s="2"/>
      <c r="S456"/>
      <c r="T456"/>
      <c r="U456"/>
      <c r="V456"/>
      <c r="X456"/>
    </row>
    <row r="457" spans="10:24" s="1" customFormat="1" x14ac:dyDescent="0.2">
      <c r="J457"/>
      <c r="K457"/>
      <c r="L457"/>
      <c r="M457"/>
      <c r="N457"/>
      <c r="O457" s="2"/>
      <c r="S457"/>
      <c r="T457"/>
      <c r="U457"/>
      <c r="V457"/>
      <c r="X457"/>
    </row>
    <row r="458" spans="10:24" s="1" customFormat="1" x14ac:dyDescent="0.2">
      <c r="J458"/>
      <c r="K458"/>
      <c r="L458"/>
      <c r="M458"/>
      <c r="N458"/>
      <c r="O458" s="2"/>
      <c r="S458"/>
      <c r="T458"/>
      <c r="U458"/>
      <c r="V458"/>
      <c r="X458"/>
    </row>
    <row r="459" spans="10:24" s="1" customFormat="1" x14ac:dyDescent="0.2">
      <c r="J459"/>
      <c r="K459"/>
      <c r="L459"/>
      <c r="M459"/>
      <c r="N459"/>
      <c r="O459" s="2"/>
      <c r="S459"/>
      <c r="T459"/>
      <c r="U459"/>
      <c r="V459"/>
      <c r="X459"/>
    </row>
    <row r="460" spans="10:24" s="1" customFormat="1" x14ac:dyDescent="0.2">
      <c r="J460"/>
      <c r="K460"/>
      <c r="L460"/>
      <c r="M460"/>
      <c r="N460"/>
      <c r="O460" s="2"/>
      <c r="S460"/>
      <c r="T460"/>
      <c r="U460"/>
      <c r="V460"/>
      <c r="X460"/>
    </row>
    <row r="461" spans="10:24" s="1" customFormat="1" x14ac:dyDescent="0.2">
      <c r="J461"/>
      <c r="K461"/>
      <c r="L461"/>
      <c r="M461"/>
      <c r="N461"/>
      <c r="O461" s="2"/>
      <c r="S461"/>
      <c r="T461"/>
      <c r="U461"/>
      <c r="V461"/>
      <c r="X461"/>
    </row>
    <row r="462" spans="10:24" s="1" customFormat="1" x14ac:dyDescent="0.2">
      <c r="J462"/>
      <c r="K462"/>
      <c r="L462"/>
      <c r="M462"/>
      <c r="N462"/>
      <c r="O462" s="2"/>
      <c r="S462"/>
      <c r="T462"/>
      <c r="U462"/>
      <c r="V462"/>
      <c r="X462"/>
    </row>
    <row r="463" spans="10:24" s="1" customFormat="1" x14ac:dyDescent="0.2">
      <c r="J463"/>
      <c r="K463"/>
      <c r="L463"/>
      <c r="M463"/>
      <c r="N463"/>
      <c r="O463" s="2"/>
      <c r="S463"/>
      <c r="T463"/>
      <c r="U463"/>
      <c r="V463"/>
      <c r="X463"/>
    </row>
    <row r="464" spans="10:24" s="1" customFormat="1" x14ac:dyDescent="0.2">
      <c r="J464"/>
      <c r="K464"/>
      <c r="L464"/>
      <c r="M464"/>
      <c r="N464"/>
      <c r="O464" s="2"/>
      <c r="S464"/>
      <c r="T464"/>
      <c r="U464"/>
      <c r="V464"/>
      <c r="X464"/>
    </row>
    <row r="465" spans="10:24" s="1" customFormat="1" x14ac:dyDescent="0.2">
      <c r="J465"/>
      <c r="K465"/>
      <c r="L465"/>
      <c r="M465"/>
      <c r="N465"/>
      <c r="O465" s="2"/>
      <c r="S465"/>
      <c r="T465"/>
      <c r="U465"/>
      <c r="V465"/>
      <c r="X465"/>
    </row>
    <row r="466" spans="10:24" s="1" customFormat="1" x14ac:dyDescent="0.2">
      <c r="J466"/>
      <c r="K466"/>
      <c r="L466"/>
      <c r="M466"/>
      <c r="N466"/>
      <c r="O466" s="2"/>
      <c r="S466"/>
      <c r="T466"/>
      <c r="U466"/>
      <c r="V466"/>
      <c r="X466"/>
    </row>
    <row r="467" spans="10:24" s="1" customFormat="1" x14ac:dyDescent="0.2">
      <c r="J467"/>
      <c r="K467"/>
      <c r="L467"/>
      <c r="M467"/>
      <c r="N467"/>
      <c r="O467" s="2"/>
      <c r="S467"/>
      <c r="T467"/>
      <c r="U467"/>
      <c r="V467"/>
      <c r="X467"/>
    </row>
    <row r="468" spans="10:24" s="1" customFormat="1" x14ac:dyDescent="0.2">
      <c r="J468"/>
      <c r="K468"/>
      <c r="L468"/>
      <c r="M468"/>
      <c r="N468"/>
      <c r="O468" s="2"/>
      <c r="S468"/>
      <c r="T468"/>
      <c r="U468"/>
      <c r="V468"/>
      <c r="X468"/>
    </row>
    <row r="469" spans="10:24" s="1" customFormat="1" x14ac:dyDescent="0.2">
      <c r="J469"/>
      <c r="K469"/>
      <c r="L469"/>
      <c r="M469"/>
      <c r="N469"/>
      <c r="O469" s="2"/>
      <c r="S469"/>
      <c r="T469"/>
      <c r="U469"/>
      <c r="V469"/>
      <c r="X469"/>
    </row>
    <row r="470" spans="10:24" s="1" customFormat="1" x14ac:dyDescent="0.2">
      <c r="J470"/>
      <c r="K470"/>
      <c r="L470"/>
      <c r="M470"/>
      <c r="N470"/>
      <c r="O470" s="2"/>
      <c r="S470"/>
      <c r="T470"/>
      <c r="U470"/>
      <c r="V470"/>
      <c r="X470"/>
    </row>
    <row r="471" spans="10:24" s="1" customFormat="1" x14ac:dyDescent="0.2">
      <c r="J471"/>
      <c r="K471"/>
      <c r="L471"/>
      <c r="M471"/>
      <c r="N471"/>
      <c r="O471" s="2"/>
      <c r="S471"/>
      <c r="T471"/>
      <c r="U471"/>
      <c r="V471"/>
      <c r="X471"/>
    </row>
    <row r="472" spans="10:24" s="1" customFormat="1" x14ac:dyDescent="0.2">
      <c r="J472"/>
      <c r="K472"/>
      <c r="L472"/>
      <c r="M472"/>
      <c r="N472"/>
      <c r="O472" s="2"/>
      <c r="S472"/>
      <c r="T472"/>
      <c r="U472"/>
      <c r="V472"/>
      <c r="X472"/>
    </row>
    <row r="473" spans="10:24" s="1" customFormat="1" x14ac:dyDescent="0.2">
      <c r="J473"/>
      <c r="K473"/>
      <c r="L473"/>
      <c r="M473"/>
      <c r="N473"/>
      <c r="O473" s="2"/>
      <c r="S473"/>
      <c r="T473"/>
      <c r="U473"/>
      <c r="V473"/>
      <c r="X473"/>
    </row>
    <row r="474" spans="10:24" s="1" customFormat="1" x14ac:dyDescent="0.2">
      <c r="J474"/>
      <c r="K474"/>
      <c r="L474"/>
      <c r="M474"/>
      <c r="N474"/>
      <c r="O474" s="2"/>
      <c r="S474"/>
      <c r="T474"/>
      <c r="U474"/>
      <c r="V474"/>
      <c r="X474"/>
    </row>
    <row r="475" spans="10:24" s="1" customFormat="1" x14ac:dyDescent="0.2">
      <c r="J475"/>
      <c r="K475"/>
      <c r="L475"/>
      <c r="M475"/>
      <c r="N475"/>
      <c r="O475" s="2"/>
      <c r="S475"/>
      <c r="T475"/>
      <c r="U475"/>
      <c r="V475"/>
      <c r="X475"/>
    </row>
    <row r="476" spans="10:24" s="1" customFormat="1" x14ac:dyDescent="0.2">
      <c r="J476"/>
      <c r="K476"/>
      <c r="L476"/>
      <c r="M476"/>
      <c r="N476"/>
      <c r="O476" s="2"/>
      <c r="S476"/>
      <c r="T476"/>
      <c r="U476"/>
      <c r="V476"/>
      <c r="X476"/>
    </row>
    <row r="477" spans="10:24" s="1" customFormat="1" x14ac:dyDescent="0.2">
      <c r="J477"/>
      <c r="K477"/>
      <c r="L477"/>
      <c r="M477"/>
      <c r="N477"/>
      <c r="O477" s="2"/>
      <c r="S477"/>
      <c r="T477"/>
      <c r="U477"/>
      <c r="V477"/>
      <c r="X477"/>
    </row>
    <row r="478" spans="10:24" s="1" customFormat="1" x14ac:dyDescent="0.2">
      <c r="J478"/>
      <c r="K478"/>
      <c r="L478"/>
      <c r="M478"/>
      <c r="N478"/>
      <c r="O478" s="2"/>
      <c r="S478"/>
      <c r="T478"/>
      <c r="U478"/>
      <c r="V478"/>
      <c r="X478"/>
    </row>
    <row r="479" spans="10:24" s="1" customFormat="1" x14ac:dyDescent="0.2">
      <c r="J479"/>
      <c r="K479"/>
      <c r="L479"/>
      <c r="M479"/>
      <c r="N479"/>
      <c r="O479" s="2"/>
      <c r="S479"/>
      <c r="T479"/>
      <c r="U479"/>
      <c r="V479"/>
      <c r="X479"/>
    </row>
    <row r="480" spans="10:24" s="1" customFormat="1" x14ac:dyDescent="0.2">
      <c r="J480"/>
      <c r="K480"/>
      <c r="L480"/>
      <c r="M480"/>
      <c r="N480"/>
      <c r="O480" s="2"/>
      <c r="S480"/>
      <c r="T480"/>
      <c r="U480"/>
      <c r="V480"/>
      <c r="X480"/>
    </row>
    <row r="481" spans="10:24" s="1" customFormat="1" x14ac:dyDescent="0.2">
      <c r="J481"/>
      <c r="K481"/>
      <c r="L481"/>
      <c r="M481"/>
      <c r="N481"/>
      <c r="O481" s="2"/>
      <c r="S481"/>
      <c r="T481"/>
      <c r="U481"/>
      <c r="V481"/>
      <c r="X481"/>
    </row>
    <row r="482" spans="10:24" s="1" customFormat="1" x14ac:dyDescent="0.2">
      <c r="J482"/>
      <c r="K482"/>
      <c r="L482"/>
      <c r="M482"/>
      <c r="N482"/>
      <c r="O482" s="2"/>
      <c r="S482"/>
      <c r="T482"/>
      <c r="U482"/>
      <c r="V482"/>
      <c r="X482"/>
    </row>
    <row r="483" spans="10:24" s="1" customFormat="1" x14ac:dyDescent="0.2">
      <c r="J483"/>
      <c r="K483"/>
      <c r="L483"/>
      <c r="M483"/>
      <c r="N483"/>
      <c r="O483" s="2"/>
      <c r="S483"/>
      <c r="T483"/>
      <c r="U483"/>
      <c r="V483"/>
      <c r="X483"/>
    </row>
    <row r="484" spans="10:24" s="1" customFormat="1" x14ac:dyDescent="0.2">
      <c r="J484"/>
      <c r="K484"/>
      <c r="L484"/>
      <c r="M484"/>
      <c r="N484"/>
      <c r="O484" s="2"/>
      <c r="S484"/>
      <c r="T484"/>
      <c r="U484"/>
      <c r="V484"/>
      <c r="X484"/>
    </row>
    <row r="485" spans="10:24" s="1" customFormat="1" x14ac:dyDescent="0.2">
      <c r="J485"/>
      <c r="K485"/>
      <c r="L485"/>
      <c r="M485"/>
      <c r="N485"/>
      <c r="O485" s="2"/>
      <c r="S485"/>
      <c r="T485"/>
      <c r="U485"/>
      <c r="V485"/>
      <c r="X485"/>
    </row>
    <row r="486" spans="10:24" s="1" customFormat="1" x14ac:dyDescent="0.2">
      <c r="J486"/>
      <c r="K486"/>
      <c r="L486"/>
      <c r="M486"/>
      <c r="N486"/>
      <c r="O486" s="2"/>
      <c r="S486"/>
      <c r="T486"/>
      <c r="U486"/>
      <c r="V486"/>
      <c r="X486"/>
    </row>
    <row r="487" spans="10:24" s="1" customFormat="1" x14ac:dyDescent="0.2">
      <c r="J487"/>
      <c r="K487"/>
      <c r="L487"/>
      <c r="M487"/>
      <c r="N487"/>
      <c r="O487" s="2"/>
      <c r="S487"/>
      <c r="T487"/>
      <c r="U487"/>
      <c r="V487"/>
      <c r="X487"/>
    </row>
    <row r="488" spans="10:24" s="1" customFormat="1" x14ac:dyDescent="0.2">
      <c r="J488"/>
      <c r="K488"/>
      <c r="L488"/>
      <c r="M488"/>
      <c r="N488"/>
      <c r="O488" s="2"/>
      <c r="S488"/>
      <c r="T488"/>
      <c r="U488"/>
      <c r="V488"/>
      <c r="X488"/>
    </row>
    <row r="489" spans="10:24" s="1" customFormat="1" x14ac:dyDescent="0.2">
      <c r="J489"/>
      <c r="K489"/>
      <c r="L489"/>
      <c r="M489"/>
      <c r="N489"/>
      <c r="O489" s="2"/>
      <c r="S489"/>
      <c r="T489"/>
      <c r="U489"/>
      <c r="V489"/>
      <c r="X489"/>
    </row>
    <row r="490" spans="10:24" s="1" customFormat="1" x14ac:dyDescent="0.2">
      <c r="J490"/>
      <c r="K490"/>
      <c r="L490"/>
      <c r="M490"/>
      <c r="N490"/>
      <c r="O490" s="2"/>
      <c r="S490"/>
      <c r="T490"/>
      <c r="U490"/>
      <c r="V490"/>
      <c r="X490"/>
    </row>
    <row r="491" spans="10:24" s="1" customFormat="1" x14ac:dyDescent="0.2">
      <c r="J491"/>
      <c r="K491"/>
      <c r="L491"/>
      <c r="M491"/>
      <c r="N491"/>
      <c r="O491" s="2"/>
      <c r="S491"/>
      <c r="T491"/>
      <c r="U491"/>
      <c r="V491"/>
      <c r="X491"/>
    </row>
    <row r="492" spans="10:24" s="1" customFormat="1" x14ac:dyDescent="0.2">
      <c r="J492"/>
      <c r="K492"/>
      <c r="L492"/>
      <c r="M492"/>
      <c r="N492"/>
      <c r="O492" s="2"/>
      <c r="S492"/>
      <c r="T492"/>
      <c r="U492"/>
      <c r="V492"/>
      <c r="X492"/>
    </row>
    <row r="493" spans="10:24" s="1" customFormat="1" x14ac:dyDescent="0.2">
      <c r="J493"/>
      <c r="K493"/>
      <c r="L493"/>
      <c r="M493"/>
      <c r="N493"/>
      <c r="O493" s="2"/>
      <c r="S493"/>
      <c r="T493"/>
      <c r="U493"/>
      <c r="V493"/>
      <c r="X493"/>
    </row>
    <row r="494" spans="10:24" s="1" customFormat="1" x14ac:dyDescent="0.2">
      <c r="J494"/>
      <c r="K494"/>
      <c r="L494"/>
      <c r="M494"/>
      <c r="N494"/>
      <c r="O494" s="2"/>
      <c r="S494"/>
      <c r="T494"/>
      <c r="U494"/>
      <c r="V494"/>
      <c r="X494"/>
    </row>
    <row r="495" spans="10:24" s="1" customFormat="1" x14ac:dyDescent="0.2">
      <c r="J495"/>
      <c r="K495"/>
      <c r="L495"/>
      <c r="M495"/>
      <c r="N495"/>
      <c r="O495" s="2"/>
      <c r="S495"/>
      <c r="T495"/>
      <c r="U495"/>
      <c r="V495"/>
      <c r="X495"/>
    </row>
    <row r="496" spans="10:24" s="1" customFormat="1" x14ac:dyDescent="0.2">
      <c r="J496"/>
      <c r="K496"/>
      <c r="L496"/>
      <c r="M496"/>
      <c r="N496"/>
      <c r="O496" s="2"/>
      <c r="S496"/>
      <c r="T496"/>
      <c r="U496"/>
      <c r="V496"/>
      <c r="X496"/>
    </row>
    <row r="497" spans="10:24" s="1" customFormat="1" x14ac:dyDescent="0.2">
      <c r="J497"/>
      <c r="K497"/>
      <c r="L497"/>
      <c r="M497"/>
      <c r="N497"/>
      <c r="O497" s="2"/>
      <c r="S497"/>
      <c r="T497"/>
      <c r="U497"/>
      <c r="V497"/>
      <c r="X497"/>
    </row>
    <row r="498" spans="10:24" s="1" customFormat="1" x14ac:dyDescent="0.2">
      <c r="J498"/>
      <c r="K498"/>
      <c r="L498"/>
      <c r="M498"/>
      <c r="N498"/>
      <c r="O498" s="2"/>
      <c r="S498"/>
      <c r="T498"/>
      <c r="U498"/>
      <c r="V498"/>
      <c r="X498"/>
    </row>
    <row r="499" spans="10:24" s="1" customFormat="1" x14ac:dyDescent="0.2">
      <c r="J499"/>
      <c r="K499"/>
      <c r="L499"/>
      <c r="M499"/>
      <c r="N499"/>
      <c r="O499" s="2"/>
      <c r="S499"/>
      <c r="T499"/>
      <c r="U499"/>
      <c r="V499"/>
      <c r="X499"/>
    </row>
    <row r="500" spans="10:24" s="1" customFormat="1" x14ac:dyDescent="0.2">
      <c r="J500"/>
      <c r="K500"/>
      <c r="L500"/>
      <c r="M500"/>
      <c r="N500"/>
      <c r="O500" s="2"/>
      <c r="S500"/>
      <c r="T500"/>
      <c r="U500"/>
      <c r="V500"/>
      <c r="X500"/>
    </row>
    <row r="501" spans="10:24" s="1" customFormat="1" x14ac:dyDescent="0.2">
      <c r="J501"/>
      <c r="K501"/>
      <c r="L501"/>
      <c r="M501"/>
      <c r="N501"/>
      <c r="O501" s="2"/>
      <c r="S501"/>
      <c r="T501"/>
      <c r="U501"/>
      <c r="V501"/>
      <c r="X501"/>
    </row>
    <row r="502" spans="10:24" s="1" customFormat="1" x14ac:dyDescent="0.2">
      <c r="J502"/>
      <c r="K502"/>
      <c r="L502"/>
      <c r="M502"/>
      <c r="N502"/>
      <c r="O502" s="2"/>
      <c r="S502"/>
      <c r="T502"/>
      <c r="U502"/>
      <c r="V502"/>
      <c r="X502"/>
    </row>
    <row r="503" spans="10:24" s="1" customFormat="1" x14ac:dyDescent="0.2">
      <c r="J503"/>
      <c r="K503"/>
      <c r="L503"/>
      <c r="M503"/>
      <c r="N503"/>
      <c r="O503" s="2"/>
      <c r="S503"/>
      <c r="T503"/>
      <c r="U503"/>
      <c r="V503"/>
      <c r="X503"/>
    </row>
    <row r="504" spans="10:24" s="1" customFormat="1" x14ac:dyDescent="0.2">
      <c r="J504"/>
      <c r="K504"/>
      <c r="L504"/>
      <c r="M504"/>
      <c r="N504"/>
      <c r="O504" s="2"/>
      <c r="S504"/>
      <c r="T504"/>
      <c r="U504"/>
      <c r="V504"/>
      <c r="X504"/>
    </row>
    <row r="505" spans="10:24" s="1" customFormat="1" x14ac:dyDescent="0.2">
      <c r="J505"/>
      <c r="K505"/>
      <c r="L505"/>
      <c r="M505"/>
      <c r="N505"/>
      <c r="O505" s="2"/>
      <c r="S505"/>
      <c r="T505"/>
      <c r="U505"/>
      <c r="V505"/>
      <c r="X505"/>
    </row>
    <row r="506" spans="10:24" s="1" customFormat="1" x14ac:dyDescent="0.2">
      <c r="J506"/>
      <c r="K506"/>
      <c r="L506"/>
      <c r="M506"/>
      <c r="N506"/>
      <c r="O506" s="2"/>
      <c r="S506"/>
      <c r="T506"/>
      <c r="U506"/>
      <c r="V506"/>
      <c r="X506"/>
    </row>
    <row r="507" spans="10:24" s="1" customFormat="1" x14ac:dyDescent="0.2">
      <c r="J507"/>
      <c r="K507"/>
      <c r="L507"/>
      <c r="M507"/>
      <c r="N507"/>
      <c r="O507" s="2"/>
      <c r="S507"/>
      <c r="T507"/>
      <c r="U507"/>
      <c r="V507"/>
      <c r="X507"/>
    </row>
    <row r="508" spans="10:24" s="1" customFormat="1" x14ac:dyDescent="0.2">
      <c r="J508"/>
      <c r="K508"/>
      <c r="L508"/>
      <c r="M508"/>
      <c r="N508"/>
      <c r="O508" s="2"/>
      <c r="S508"/>
      <c r="T508"/>
      <c r="U508"/>
      <c r="V508"/>
      <c r="X508"/>
    </row>
    <row r="509" spans="10:24" s="1" customFormat="1" x14ac:dyDescent="0.2">
      <c r="J509"/>
      <c r="K509"/>
      <c r="L509"/>
      <c r="M509"/>
      <c r="N509"/>
      <c r="O509" s="2"/>
      <c r="S509"/>
      <c r="T509"/>
      <c r="U509"/>
      <c r="V509"/>
      <c r="X509"/>
    </row>
    <row r="510" spans="10:24" s="1" customFormat="1" x14ac:dyDescent="0.2">
      <c r="J510"/>
      <c r="K510"/>
      <c r="L510"/>
      <c r="M510"/>
      <c r="N510"/>
      <c r="O510" s="2"/>
      <c r="S510"/>
      <c r="T510"/>
      <c r="U510"/>
      <c r="V510"/>
      <c r="X510"/>
    </row>
    <row r="511" spans="10:24" s="1" customFormat="1" x14ac:dyDescent="0.2">
      <c r="J511"/>
      <c r="K511"/>
      <c r="L511"/>
      <c r="M511"/>
      <c r="N511"/>
      <c r="O511" s="2"/>
      <c r="S511"/>
      <c r="T511"/>
      <c r="U511"/>
      <c r="V511"/>
      <c r="X511"/>
    </row>
    <row r="512" spans="10:24" s="1" customFormat="1" x14ac:dyDescent="0.2">
      <c r="J512"/>
      <c r="K512"/>
      <c r="L512"/>
      <c r="M512"/>
      <c r="N512"/>
      <c r="O512" s="2"/>
      <c r="S512"/>
      <c r="T512"/>
      <c r="U512"/>
      <c r="V512"/>
      <c r="X512"/>
    </row>
    <row r="513" spans="10:24" s="1" customFormat="1" x14ac:dyDescent="0.2">
      <c r="J513"/>
      <c r="K513"/>
      <c r="L513"/>
      <c r="M513"/>
      <c r="N513"/>
      <c r="O513" s="2"/>
      <c r="S513"/>
      <c r="T513"/>
      <c r="U513"/>
      <c r="V513"/>
      <c r="X513"/>
    </row>
    <row r="514" spans="10:24" s="1" customFormat="1" x14ac:dyDescent="0.2">
      <c r="J514"/>
      <c r="K514"/>
      <c r="L514"/>
      <c r="M514"/>
      <c r="N514"/>
      <c r="O514" s="2"/>
      <c r="S514"/>
      <c r="T514"/>
      <c r="U514"/>
      <c r="V514"/>
      <c r="X514"/>
    </row>
    <row r="515" spans="10:24" s="1" customFormat="1" x14ac:dyDescent="0.2">
      <c r="J515"/>
      <c r="K515"/>
      <c r="L515"/>
      <c r="M515"/>
      <c r="N515"/>
      <c r="O515" s="2"/>
      <c r="S515"/>
      <c r="T515"/>
      <c r="U515"/>
      <c r="V515"/>
      <c r="X515"/>
    </row>
    <row r="516" spans="10:24" s="1" customFormat="1" x14ac:dyDescent="0.2">
      <c r="J516"/>
      <c r="K516"/>
      <c r="L516"/>
      <c r="M516"/>
      <c r="N516"/>
      <c r="O516" s="2"/>
      <c r="S516"/>
      <c r="T516"/>
      <c r="U516"/>
      <c r="V516"/>
      <c r="X516"/>
    </row>
    <row r="517" spans="10:24" s="1" customFormat="1" x14ac:dyDescent="0.2">
      <c r="J517"/>
      <c r="K517"/>
      <c r="L517"/>
      <c r="M517"/>
      <c r="N517"/>
      <c r="O517" s="2"/>
      <c r="S517"/>
      <c r="T517"/>
      <c r="U517"/>
      <c r="V517"/>
      <c r="X517"/>
    </row>
    <row r="518" spans="10:24" s="1" customFormat="1" x14ac:dyDescent="0.2">
      <c r="J518"/>
      <c r="K518"/>
      <c r="L518"/>
      <c r="M518"/>
      <c r="N518"/>
      <c r="O518" s="2"/>
      <c r="S518"/>
      <c r="T518"/>
      <c r="U518"/>
      <c r="V518"/>
      <c r="X518"/>
    </row>
    <row r="519" spans="10:24" s="1" customFormat="1" x14ac:dyDescent="0.2">
      <c r="J519"/>
      <c r="K519"/>
      <c r="L519"/>
      <c r="M519"/>
      <c r="N519"/>
      <c r="O519" s="2"/>
      <c r="S519"/>
      <c r="T519"/>
      <c r="U519"/>
      <c r="V519"/>
      <c r="X519"/>
    </row>
    <row r="520" spans="10:24" s="1" customFormat="1" x14ac:dyDescent="0.2">
      <c r="J520"/>
      <c r="K520"/>
      <c r="L520"/>
      <c r="M520"/>
      <c r="N520"/>
      <c r="O520" s="2"/>
      <c r="S520"/>
      <c r="T520"/>
      <c r="U520"/>
      <c r="V520"/>
      <c r="X520"/>
    </row>
    <row r="521" spans="10:24" s="1" customFormat="1" x14ac:dyDescent="0.2">
      <c r="J521"/>
      <c r="K521"/>
      <c r="L521"/>
      <c r="M521"/>
      <c r="N521"/>
      <c r="O521" s="2"/>
      <c r="S521"/>
      <c r="T521"/>
      <c r="U521"/>
      <c r="V521"/>
      <c r="X521"/>
    </row>
    <row r="522" spans="10:24" s="1" customFormat="1" x14ac:dyDescent="0.2">
      <c r="J522"/>
      <c r="K522"/>
      <c r="L522"/>
      <c r="M522"/>
      <c r="N522"/>
      <c r="O522" s="2"/>
      <c r="S522"/>
      <c r="T522"/>
      <c r="U522"/>
      <c r="V522"/>
      <c r="X522"/>
    </row>
    <row r="523" spans="10:24" s="1" customFormat="1" x14ac:dyDescent="0.2">
      <c r="J523"/>
      <c r="K523"/>
      <c r="L523"/>
      <c r="M523"/>
      <c r="N523"/>
      <c r="O523" s="2"/>
      <c r="S523"/>
      <c r="T523"/>
      <c r="U523"/>
      <c r="V523"/>
      <c r="X523"/>
    </row>
    <row r="524" spans="10:24" s="1" customFormat="1" x14ac:dyDescent="0.2">
      <c r="J524"/>
      <c r="K524"/>
      <c r="L524"/>
      <c r="M524"/>
      <c r="N524"/>
      <c r="O524" s="2"/>
      <c r="S524"/>
      <c r="T524"/>
      <c r="U524"/>
      <c r="V524"/>
      <c r="X524"/>
    </row>
    <row r="525" spans="10:24" s="1" customFormat="1" x14ac:dyDescent="0.2">
      <c r="J525"/>
      <c r="K525"/>
      <c r="L525"/>
      <c r="M525"/>
      <c r="N525"/>
      <c r="O525" s="2"/>
      <c r="S525"/>
      <c r="T525"/>
      <c r="U525"/>
      <c r="V525"/>
      <c r="X525"/>
    </row>
    <row r="526" spans="10:24" s="1" customFormat="1" x14ac:dyDescent="0.2">
      <c r="J526"/>
      <c r="K526"/>
      <c r="L526"/>
      <c r="M526"/>
      <c r="N526"/>
      <c r="O526" s="2"/>
      <c r="S526"/>
      <c r="T526"/>
      <c r="U526"/>
      <c r="V526"/>
      <c r="X526"/>
    </row>
    <row r="527" spans="10:24" s="1" customFormat="1" x14ac:dyDescent="0.2">
      <c r="J527"/>
      <c r="K527"/>
      <c r="L527"/>
      <c r="M527"/>
      <c r="N527"/>
      <c r="O527" s="2"/>
      <c r="S527"/>
      <c r="T527"/>
      <c r="U527"/>
      <c r="V527"/>
      <c r="X527"/>
    </row>
    <row r="528" spans="10:24" s="1" customFormat="1" x14ac:dyDescent="0.2">
      <c r="J528"/>
      <c r="K528"/>
      <c r="L528"/>
      <c r="M528"/>
      <c r="N528"/>
      <c r="O528" s="2"/>
      <c r="S528"/>
      <c r="T528"/>
      <c r="U528"/>
      <c r="V528"/>
      <c r="X528"/>
    </row>
    <row r="529" spans="10:24" s="1" customFormat="1" x14ac:dyDescent="0.2">
      <c r="J529"/>
      <c r="K529"/>
      <c r="L529"/>
      <c r="M529"/>
      <c r="N529"/>
      <c r="O529" s="2"/>
      <c r="S529"/>
      <c r="T529"/>
      <c r="U529"/>
      <c r="V529"/>
      <c r="X529"/>
    </row>
    <row r="530" spans="10:24" s="1" customFormat="1" x14ac:dyDescent="0.2">
      <c r="J530"/>
      <c r="K530"/>
      <c r="L530"/>
      <c r="M530"/>
      <c r="N530"/>
      <c r="O530" s="2"/>
      <c r="S530"/>
      <c r="T530"/>
      <c r="U530"/>
      <c r="V530"/>
      <c r="X530"/>
    </row>
    <row r="531" spans="10:24" s="1" customFormat="1" x14ac:dyDescent="0.2">
      <c r="J531"/>
      <c r="K531"/>
      <c r="L531"/>
      <c r="M531"/>
      <c r="N531"/>
      <c r="O531" s="2"/>
      <c r="S531"/>
      <c r="T531"/>
      <c r="U531"/>
      <c r="V531"/>
      <c r="X531"/>
    </row>
    <row r="532" spans="10:24" s="1" customFormat="1" x14ac:dyDescent="0.2">
      <c r="J532"/>
      <c r="K532"/>
      <c r="L532"/>
      <c r="M532"/>
      <c r="N532"/>
      <c r="O532" s="2"/>
      <c r="S532"/>
      <c r="T532"/>
      <c r="U532"/>
      <c r="V532"/>
      <c r="X532"/>
    </row>
    <row r="533" spans="10:24" s="1" customFormat="1" x14ac:dyDescent="0.2">
      <c r="J533"/>
      <c r="K533"/>
      <c r="L533"/>
      <c r="M533"/>
      <c r="N533"/>
      <c r="O533" s="2"/>
      <c r="S533"/>
      <c r="T533"/>
      <c r="U533"/>
      <c r="V533"/>
      <c r="X533"/>
    </row>
    <row r="534" spans="10:24" s="1" customFormat="1" x14ac:dyDescent="0.2">
      <c r="J534"/>
      <c r="K534"/>
      <c r="L534"/>
      <c r="M534"/>
      <c r="N534"/>
      <c r="O534" s="2"/>
      <c r="S534"/>
      <c r="T534"/>
      <c r="U534"/>
      <c r="V534"/>
      <c r="X534"/>
    </row>
    <row r="535" spans="10:24" s="1" customFormat="1" x14ac:dyDescent="0.2">
      <c r="J535"/>
      <c r="K535"/>
      <c r="L535"/>
      <c r="M535"/>
      <c r="N535"/>
      <c r="O535" s="2"/>
      <c r="S535"/>
      <c r="T535"/>
      <c r="U535"/>
      <c r="V535"/>
      <c r="X535"/>
    </row>
    <row r="536" spans="10:24" s="1" customFormat="1" x14ac:dyDescent="0.2">
      <c r="J536"/>
      <c r="K536"/>
      <c r="L536"/>
      <c r="M536"/>
      <c r="N536"/>
      <c r="O536" s="2"/>
      <c r="S536"/>
      <c r="T536"/>
      <c r="U536"/>
      <c r="V536"/>
      <c r="X536"/>
    </row>
    <row r="537" spans="10:24" s="1" customFormat="1" x14ac:dyDescent="0.2">
      <c r="J537"/>
      <c r="K537"/>
      <c r="L537"/>
      <c r="M537"/>
      <c r="N537"/>
      <c r="O537" s="2"/>
      <c r="S537"/>
      <c r="T537"/>
      <c r="U537"/>
      <c r="V537"/>
      <c r="X537"/>
    </row>
    <row r="538" spans="10:24" s="1" customFormat="1" x14ac:dyDescent="0.2">
      <c r="J538"/>
      <c r="K538"/>
      <c r="L538"/>
      <c r="M538"/>
      <c r="N538"/>
      <c r="O538" s="2"/>
      <c r="S538"/>
      <c r="T538"/>
      <c r="U538"/>
      <c r="V538"/>
      <c r="X538"/>
    </row>
    <row r="539" spans="10:24" s="1" customFormat="1" x14ac:dyDescent="0.2">
      <c r="J539"/>
      <c r="K539"/>
      <c r="L539"/>
      <c r="M539"/>
      <c r="N539"/>
      <c r="O539" s="2"/>
      <c r="S539"/>
      <c r="T539"/>
      <c r="U539"/>
      <c r="V539"/>
      <c r="X539"/>
    </row>
    <row r="540" spans="10:24" s="1" customFormat="1" x14ac:dyDescent="0.2">
      <c r="J540"/>
      <c r="K540"/>
      <c r="L540"/>
      <c r="M540"/>
      <c r="N540"/>
      <c r="O540" s="2"/>
      <c r="S540"/>
      <c r="T540"/>
      <c r="U540"/>
      <c r="V540"/>
      <c r="X540"/>
    </row>
    <row r="541" spans="10:24" s="1" customFormat="1" x14ac:dyDescent="0.2">
      <c r="J541"/>
      <c r="K541"/>
      <c r="L541"/>
      <c r="M541"/>
      <c r="N541"/>
      <c r="O541" s="2"/>
      <c r="S541"/>
      <c r="T541"/>
      <c r="U541"/>
      <c r="V541"/>
      <c r="X541"/>
    </row>
    <row r="542" spans="10:24" s="1" customFormat="1" x14ac:dyDescent="0.2">
      <c r="J542"/>
      <c r="K542"/>
      <c r="L542"/>
      <c r="M542"/>
      <c r="N542"/>
      <c r="O542" s="2"/>
      <c r="S542"/>
      <c r="T542"/>
      <c r="U542"/>
      <c r="V542"/>
      <c r="X542"/>
    </row>
    <row r="543" spans="10:24" s="1" customFormat="1" x14ac:dyDescent="0.2">
      <c r="J543"/>
      <c r="K543"/>
      <c r="L543"/>
      <c r="M543"/>
      <c r="N543"/>
      <c r="O543" s="2"/>
      <c r="S543"/>
      <c r="T543"/>
      <c r="U543"/>
      <c r="V543"/>
      <c r="X543"/>
    </row>
    <row r="544" spans="10:24" s="1" customFormat="1" x14ac:dyDescent="0.2">
      <c r="J544"/>
      <c r="K544"/>
      <c r="L544"/>
      <c r="M544"/>
      <c r="N544"/>
      <c r="O544" s="2"/>
      <c r="S544"/>
      <c r="T544"/>
      <c r="U544"/>
      <c r="V544"/>
      <c r="X544"/>
    </row>
    <row r="545" spans="10:24" s="1" customFormat="1" x14ac:dyDescent="0.2">
      <c r="J545"/>
      <c r="K545"/>
      <c r="L545"/>
      <c r="M545"/>
      <c r="N545"/>
      <c r="O545" s="2"/>
      <c r="S545"/>
      <c r="T545"/>
      <c r="U545"/>
      <c r="V545"/>
      <c r="X545"/>
    </row>
    <row r="546" spans="10:24" s="1" customFormat="1" x14ac:dyDescent="0.2">
      <c r="J546"/>
      <c r="K546"/>
      <c r="L546"/>
      <c r="M546"/>
      <c r="N546"/>
      <c r="O546" s="2"/>
      <c r="S546"/>
      <c r="T546"/>
      <c r="U546"/>
      <c r="V546"/>
      <c r="X546"/>
    </row>
    <row r="547" spans="10:24" s="1" customFormat="1" x14ac:dyDescent="0.2">
      <c r="J547"/>
      <c r="K547"/>
      <c r="L547"/>
      <c r="M547"/>
      <c r="N547"/>
      <c r="O547" s="2"/>
      <c r="S547"/>
      <c r="T547"/>
      <c r="U547"/>
      <c r="V547"/>
      <c r="X547"/>
    </row>
    <row r="548" spans="10:24" s="1" customFormat="1" x14ac:dyDescent="0.2">
      <c r="J548"/>
      <c r="K548"/>
      <c r="L548"/>
      <c r="M548"/>
      <c r="N548"/>
      <c r="O548" s="2"/>
      <c r="S548"/>
      <c r="T548"/>
      <c r="U548"/>
      <c r="V548"/>
      <c r="X548"/>
    </row>
    <row r="549" spans="10:24" s="1" customFormat="1" x14ac:dyDescent="0.2">
      <c r="J549"/>
      <c r="K549"/>
      <c r="L549"/>
      <c r="M549"/>
      <c r="N549"/>
      <c r="O549" s="2"/>
      <c r="S549"/>
      <c r="T549"/>
      <c r="U549"/>
      <c r="V549"/>
      <c r="X549"/>
    </row>
    <row r="550" spans="10:24" s="1" customFormat="1" x14ac:dyDescent="0.2">
      <c r="J550"/>
      <c r="K550"/>
      <c r="L550"/>
      <c r="M550"/>
      <c r="N550"/>
      <c r="O550" s="2"/>
      <c r="S550"/>
      <c r="T550"/>
      <c r="U550"/>
      <c r="V550"/>
      <c r="X550"/>
    </row>
    <row r="551" spans="10:24" s="1" customFormat="1" x14ac:dyDescent="0.2">
      <c r="J551"/>
      <c r="K551"/>
      <c r="L551"/>
      <c r="M551"/>
      <c r="N551"/>
      <c r="O551" s="2"/>
      <c r="S551"/>
      <c r="T551"/>
      <c r="U551"/>
      <c r="V551"/>
      <c r="X551"/>
    </row>
    <row r="552" spans="10:24" s="1" customFormat="1" x14ac:dyDescent="0.2">
      <c r="J552"/>
      <c r="K552"/>
      <c r="L552"/>
      <c r="M552"/>
      <c r="N552"/>
      <c r="O552" s="2"/>
      <c r="S552"/>
      <c r="T552"/>
      <c r="U552"/>
      <c r="V552"/>
      <c r="X552"/>
    </row>
    <row r="553" spans="10:24" s="1" customFormat="1" x14ac:dyDescent="0.2">
      <c r="J553"/>
      <c r="K553"/>
      <c r="L553"/>
      <c r="M553"/>
      <c r="N553"/>
      <c r="O553" s="2"/>
      <c r="S553"/>
      <c r="T553"/>
      <c r="U553"/>
      <c r="V553"/>
      <c r="X553"/>
    </row>
    <row r="554" spans="10:24" s="1" customFormat="1" x14ac:dyDescent="0.2">
      <c r="J554"/>
      <c r="K554"/>
      <c r="L554"/>
      <c r="M554"/>
      <c r="N554"/>
      <c r="O554" s="2"/>
      <c r="S554"/>
      <c r="T554"/>
      <c r="U554"/>
      <c r="V554"/>
      <c r="X554"/>
    </row>
    <row r="555" spans="10:24" s="1" customFormat="1" x14ac:dyDescent="0.2">
      <c r="J555"/>
      <c r="K555"/>
      <c r="L555"/>
      <c r="M555"/>
      <c r="N555"/>
      <c r="O555" s="2"/>
      <c r="S555"/>
      <c r="T555"/>
      <c r="U555"/>
      <c r="V555"/>
      <c r="X555"/>
    </row>
    <row r="556" spans="10:24" s="1" customFormat="1" x14ac:dyDescent="0.2">
      <c r="J556"/>
      <c r="K556"/>
      <c r="L556"/>
      <c r="M556"/>
      <c r="N556"/>
      <c r="O556" s="2"/>
      <c r="S556"/>
      <c r="T556"/>
      <c r="U556"/>
      <c r="V556"/>
      <c r="X556"/>
    </row>
    <row r="557" spans="10:24" s="1" customFormat="1" x14ac:dyDescent="0.2">
      <c r="J557"/>
      <c r="K557"/>
      <c r="L557"/>
      <c r="M557"/>
      <c r="N557"/>
      <c r="O557" s="2"/>
      <c r="S557"/>
      <c r="T557"/>
      <c r="U557"/>
      <c r="V557"/>
      <c r="X557"/>
    </row>
    <row r="558" spans="10:24" s="1" customFormat="1" x14ac:dyDescent="0.2">
      <c r="J558"/>
      <c r="K558"/>
      <c r="L558"/>
      <c r="M558"/>
      <c r="N558"/>
      <c r="O558" s="2"/>
      <c r="S558"/>
      <c r="T558"/>
      <c r="U558"/>
      <c r="V558"/>
      <c r="X558"/>
    </row>
    <row r="559" spans="10:24" s="1" customFormat="1" x14ac:dyDescent="0.2">
      <c r="J559"/>
      <c r="K559"/>
      <c r="L559"/>
      <c r="M559"/>
      <c r="N559"/>
      <c r="O559" s="2"/>
      <c r="S559"/>
      <c r="T559"/>
      <c r="U559"/>
      <c r="V559"/>
      <c r="X559"/>
    </row>
    <row r="560" spans="10:24" s="1" customFormat="1" x14ac:dyDescent="0.2">
      <c r="J560"/>
      <c r="K560"/>
      <c r="L560"/>
      <c r="M560"/>
      <c r="N560"/>
      <c r="O560" s="2"/>
      <c r="S560"/>
      <c r="T560"/>
      <c r="U560"/>
      <c r="V560"/>
      <c r="X560"/>
    </row>
    <row r="561" spans="10:24" s="1" customFormat="1" x14ac:dyDescent="0.2">
      <c r="J561"/>
      <c r="K561"/>
      <c r="L561"/>
      <c r="M561"/>
      <c r="N561"/>
      <c r="O561" s="2"/>
      <c r="S561"/>
      <c r="T561"/>
      <c r="U561"/>
      <c r="V561"/>
      <c r="X561"/>
    </row>
    <row r="562" spans="10:24" s="1" customFormat="1" x14ac:dyDescent="0.2">
      <c r="J562"/>
      <c r="K562"/>
      <c r="L562"/>
      <c r="M562"/>
      <c r="N562"/>
      <c r="O562" s="2"/>
      <c r="S562"/>
      <c r="T562"/>
      <c r="U562"/>
      <c r="V562"/>
      <c r="X562"/>
    </row>
    <row r="563" spans="10:24" s="1" customFormat="1" x14ac:dyDescent="0.2">
      <c r="J563"/>
      <c r="K563"/>
      <c r="L563"/>
      <c r="M563"/>
      <c r="N563"/>
      <c r="O563" s="2"/>
      <c r="S563"/>
      <c r="T563"/>
      <c r="U563"/>
      <c r="V563"/>
      <c r="X563"/>
    </row>
    <row r="564" spans="10:24" s="1" customFormat="1" x14ac:dyDescent="0.2">
      <c r="J564"/>
      <c r="K564"/>
      <c r="L564"/>
      <c r="M564"/>
      <c r="N564"/>
      <c r="O564" s="2"/>
      <c r="S564"/>
      <c r="T564"/>
      <c r="U564"/>
      <c r="V564"/>
      <c r="X564"/>
    </row>
    <row r="565" spans="10:24" s="1" customFormat="1" x14ac:dyDescent="0.2">
      <c r="J565"/>
      <c r="K565"/>
      <c r="L565"/>
      <c r="M565"/>
      <c r="N565"/>
      <c r="O565" s="2"/>
      <c r="S565"/>
      <c r="T565"/>
      <c r="U565"/>
      <c r="V565"/>
      <c r="X565"/>
    </row>
    <row r="566" spans="10:24" s="1" customFormat="1" x14ac:dyDescent="0.2">
      <c r="J566"/>
      <c r="K566"/>
      <c r="L566"/>
      <c r="M566"/>
      <c r="N566"/>
      <c r="O566" s="2"/>
      <c r="S566"/>
      <c r="T566"/>
      <c r="U566"/>
      <c r="V566"/>
      <c r="X566"/>
    </row>
    <row r="567" spans="10:24" s="1" customFormat="1" x14ac:dyDescent="0.2">
      <c r="J567"/>
      <c r="K567"/>
      <c r="L567"/>
      <c r="M567"/>
      <c r="N567"/>
      <c r="O567" s="2"/>
      <c r="S567"/>
      <c r="T567"/>
      <c r="U567"/>
      <c r="V567"/>
      <c r="X567"/>
    </row>
    <row r="568" spans="10:24" s="1" customFormat="1" x14ac:dyDescent="0.2">
      <c r="J568"/>
      <c r="K568"/>
      <c r="L568"/>
      <c r="M568"/>
      <c r="N568"/>
      <c r="O568" s="2"/>
      <c r="S568"/>
      <c r="T568"/>
      <c r="U568"/>
      <c r="V568"/>
      <c r="X568"/>
    </row>
    <row r="569" spans="10:24" s="1" customFormat="1" x14ac:dyDescent="0.2">
      <c r="J569"/>
      <c r="K569"/>
      <c r="L569"/>
      <c r="M569"/>
      <c r="N569"/>
      <c r="O569" s="2"/>
      <c r="S569"/>
      <c r="T569"/>
      <c r="U569"/>
      <c r="V569"/>
      <c r="X569"/>
    </row>
    <row r="570" spans="10:24" s="1" customFormat="1" x14ac:dyDescent="0.2">
      <c r="J570"/>
      <c r="K570"/>
      <c r="L570"/>
      <c r="M570"/>
      <c r="N570"/>
      <c r="O570" s="2"/>
      <c r="S570"/>
      <c r="T570"/>
      <c r="U570"/>
      <c r="V570"/>
      <c r="X570"/>
    </row>
    <row r="571" spans="10:24" s="1" customFormat="1" x14ac:dyDescent="0.2">
      <c r="J571"/>
      <c r="K571"/>
      <c r="L571"/>
      <c r="M571"/>
      <c r="N571"/>
      <c r="O571" s="2"/>
      <c r="S571"/>
      <c r="T571"/>
      <c r="U571"/>
      <c r="V571"/>
      <c r="X571"/>
    </row>
    <row r="572" spans="10:24" s="1" customFormat="1" x14ac:dyDescent="0.2">
      <c r="J572"/>
      <c r="K572"/>
      <c r="L572"/>
      <c r="M572"/>
      <c r="N572"/>
      <c r="O572" s="2"/>
      <c r="S572"/>
      <c r="T572"/>
      <c r="U572"/>
      <c r="V572"/>
      <c r="X572"/>
    </row>
    <row r="573" spans="10:24" s="1" customFormat="1" x14ac:dyDescent="0.2">
      <c r="J573"/>
      <c r="K573"/>
      <c r="L573"/>
      <c r="M573"/>
      <c r="N573"/>
      <c r="O573" s="2"/>
      <c r="S573"/>
      <c r="T573"/>
      <c r="U573"/>
      <c r="V573"/>
      <c r="X573"/>
    </row>
    <row r="574" spans="10:24" s="1" customFormat="1" x14ac:dyDescent="0.2">
      <c r="J574"/>
      <c r="K574"/>
      <c r="L574"/>
      <c r="M574"/>
      <c r="N574"/>
      <c r="O574" s="2"/>
      <c r="S574"/>
      <c r="T574"/>
      <c r="U574"/>
      <c r="V574"/>
      <c r="X574"/>
    </row>
    <row r="575" spans="10:24" s="1" customFormat="1" x14ac:dyDescent="0.2">
      <c r="J575"/>
      <c r="K575"/>
      <c r="L575"/>
      <c r="M575"/>
      <c r="N575"/>
      <c r="O575" s="2"/>
      <c r="S575"/>
      <c r="T575"/>
      <c r="U575"/>
      <c r="V575"/>
      <c r="X575"/>
    </row>
    <row r="576" spans="10:24" s="1" customFormat="1" x14ac:dyDescent="0.2">
      <c r="J576"/>
      <c r="K576"/>
      <c r="L576"/>
      <c r="M576"/>
      <c r="N576"/>
      <c r="O576" s="2"/>
      <c r="S576"/>
      <c r="T576"/>
      <c r="U576"/>
      <c r="V576"/>
      <c r="X576"/>
    </row>
    <row r="577" spans="10:24" s="1" customFormat="1" x14ac:dyDescent="0.2">
      <c r="J577"/>
      <c r="K577"/>
      <c r="L577"/>
      <c r="M577"/>
      <c r="N577"/>
      <c r="O577" s="2"/>
      <c r="S577"/>
      <c r="T577"/>
      <c r="U577"/>
      <c r="V577"/>
      <c r="X577"/>
    </row>
    <row r="578" spans="10:24" s="1" customFormat="1" x14ac:dyDescent="0.2">
      <c r="J578"/>
      <c r="K578"/>
      <c r="L578"/>
      <c r="M578"/>
      <c r="N578"/>
      <c r="O578" s="2"/>
      <c r="S578"/>
      <c r="T578"/>
      <c r="U578"/>
      <c r="V578"/>
      <c r="X578"/>
    </row>
    <row r="579" spans="10:24" s="1" customFormat="1" x14ac:dyDescent="0.2">
      <c r="J579"/>
      <c r="K579"/>
      <c r="L579"/>
      <c r="M579"/>
      <c r="N579"/>
      <c r="O579" s="2"/>
      <c r="S579"/>
      <c r="T579"/>
      <c r="U579"/>
      <c r="V579"/>
      <c r="X579"/>
    </row>
    <row r="580" spans="10:24" s="1" customFormat="1" x14ac:dyDescent="0.2">
      <c r="J580"/>
      <c r="K580"/>
      <c r="L580"/>
      <c r="M580"/>
      <c r="N580"/>
      <c r="O580" s="2"/>
      <c r="S580"/>
      <c r="T580"/>
      <c r="U580"/>
      <c r="V580"/>
      <c r="X580"/>
    </row>
    <row r="581" spans="10:24" s="1" customFormat="1" x14ac:dyDescent="0.2">
      <c r="J581"/>
      <c r="K581"/>
      <c r="L581"/>
      <c r="M581"/>
      <c r="N581"/>
      <c r="O581" s="2"/>
      <c r="S581"/>
      <c r="T581"/>
      <c r="U581"/>
      <c r="V581"/>
      <c r="X581"/>
    </row>
    <row r="582" spans="10:24" s="1" customFormat="1" x14ac:dyDescent="0.2">
      <c r="J582"/>
      <c r="K582"/>
      <c r="L582"/>
      <c r="M582"/>
      <c r="N582"/>
      <c r="O582" s="2"/>
      <c r="S582"/>
      <c r="T582"/>
      <c r="U582"/>
      <c r="V582"/>
      <c r="X582"/>
    </row>
    <row r="583" spans="10:24" s="1" customFormat="1" x14ac:dyDescent="0.2">
      <c r="J583"/>
      <c r="K583"/>
      <c r="L583"/>
      <c r="M583"/>
      <c r="N583"/>
      <c r="O583" s="2"/>
      <c r="S583"/>
      <c r="T583"/>
      <c r="U583"/>
      <c r="V583"/>
      <c r="X583"/>
    </row>
    <row r="584" spans="10:24" s="1" customFormat="1" x14ac:dyDescent="0.2">
      <c r="J584"/>
      <c r="K584"/>
      <c r="L584"/>
      <c r="M584"/>
      <c r="N584"/>
      <c r="O584" s="2"/>
      <c r="S584"/>
      <c r="T584"/>
      <c r="U584"/>
      <c r="V584"/>
      <c r="X584"/>
    </row>
    <row r="585" spans="10:24" s="1" customFormat="1" x14ac:dyDescent="0.2">
      <c r="J585"/>
      <c r="K585"/>
      <c r="L585"/>
      <c r="M585"/>
      <c r="N585"/>
      <c r="O585" s="2"/>
      <c r="S585"/>
      <c r="T585"/>
      <c r="U585"/>
      <c r="V585"/>
      <c r="X585"/>
    </row>
    <row r="586" spans="10:24" s="1" customFormat="1" x14ac:dyDescent="0.2">
      <c r="J586"/>
      <c r="K586"/>
      <c r="L586"/>
      <c r="M586"/>
      <c r="N586"/>
      <c r="O586" s="2"/>
      <c r="S586"/>
      <c r="T586"/>
      <c r="U586"/>
      <c r="V586"/>
      <c r="X586"/>
    </row>
    <row r="587" spans="10:24" s="1" customFormat="1" x14ac:dyDescent="0.2">
      <c r="J587"/>
      <c r="K587"/>
      <c r="L587"/>
      <c r="M587"/>
      <c r="N587"/>
      <c r="O587" s="2"/>
      <c r="S587"/>
      <c r="T587"/>
      <c r="U587"/>
      <c r="V587"/>
      <c r="X587"/>
    </row>
    <row r="588" spans="10:24" s="1" customFormat="1" x14ac:dyDescent="0.2">
      <c r="J588"/>
      <c r="K588"/>
      <c r="L588"/>
      <c r="M588"/>
      <c r="N588"/>
      <c r="O588" s="2"/>
      <c r="S588"/>
      <c r="T588"/>
      <c r="U588"/>
      <c r="V588"/>
      <c r="X588"/>
    </row>
    <row r="589" spans="10:24" s="1" customFormat="1" x14ac:dyDescent="0.2">
      <c r="J589"/>
      <c r="K589"/>
      <c r="L589"/>
      <c r="M589"/>
      <c r="N589"/>
      <c r="O589" s="2"/>
      <c r="S589"/>
      <c r="T589"/>
      <c r="U589"/>
      <c r="V589"/>
      <c r="X589"/>
    </row>
    <row r="590" spans="10:24" s="1" customFormat="1" x14ac:dyDescent="0.2">
      <c r="J590"/>
      <c r="K590"/>
      <c r="L590"/>
      <c r="M590"/>
      <c r="N590"/>
      <c r="O590" s="2"/>
      <c r="S590"/>
      <c r="T590"/>
      <c r="U590"/>
      <c r="V590"/>
      <c r="X590"/>
    </row>
    <row r="591" spans="10:24" s="1" customFormat="1" x14ac:dyDescent="0.2">
      <c r="J591"/>
      <c r="K591"/>
      <c r="L591"/>
      <c r="M591"/>
      <c r="N591"/>
      <c r="O591" s="2"/>
      <c r="S591"/>
      <c r="T591"/>
      <c r="U591"/>
      <c r="V591"/>
      <c r="X591"/>
    </row>
    <row r="592" spans="10:24" s="1" customFormat="1" x14ac:dyDescent="0.2">
      <c r="J592"/>
      <c r="K592"/>
      <c r="L592"/>
      <c r="M592"/>
      <c r="N592"/>
      <c r="O592" s="2"/>
      <c r="S592"/>
      <c r="T592"/>
      <c r="U592"/>
      <c r="V592"/>
      <c r="X592"/>
    </row>
    <row r="593" spans="10:24" s="1" customFormat="1" x14ac:dyDescent="0.2">
      <c r="J593"/>
      <c r="K593"/>
      <c r="L593"/>
      <c r="M593"/>
      <c r="N593"/>
      <c r="O593" s="2"/>
      <c r="S593"/>
      <c r="T593"/>
      <c r="U593"/>
      <c r="V593"/>
      <c r="X593"/>
    </row>
    <row r="594" spans="10:24" s="1" customFormat="1" x14ac:dyDescent="0.2">
      <c r="J594"/>
      <c r="K594"/>
      <c r="L594"/>
      <c r="M594"/>
      <c r="N594"/>
      <c r="O594" s="2"/>
      <c r="S594"/>
      <c r="T594"/>
      <c r="U594"/>
      <c r="V594"/>
      <c r="X594"/>
    </row>
    <row r="595" spans="10:24" s="1" customFormat="1" x14ac:dyDescent="0.2">
      <c r="J595"/>
      <c r="K595"/>
      <c r="L595"/>
      <c r="M595"/>
      <c r="N595"/>
      <c r="O595" s="2"/>
      <c r="S595"/>
      <c r="T595"/>
      <c r="U595"/>
      <c r="V595"/>
      <c r="X595"/>
    </row>
    <row r="596" spans="10:24" s="1" customFormat="1" x14ac:dyDescent="0.2">
      <c r="J596"/>
      <c r="K596"/>
      <c r="L596"/>
      <c r="M596"/>
      <c r="N596"/>
      <c r="O596" s="2"/>
      <c r="S596"/>
      <c r="T596"/>
      <c r="U596"/>
      <c r="V596"/>
      <c r="X596"/>
    </row>
    <row r="597" spans="10:24" s="1" customFormat="1" x14ac:dyDescent="0.2">
      <c r="J597"/>
      <c r="K597"/>
      <c r="L597"/>
      <c r="M597"/>
      <c r="N597"/>
      <c r="O597" s="2"/>
      <c r="S597"/>
      <c r="T597"/>
      <c r="U597"/>
      <c r="V597"/>
      <c r="X597"/>
    </row>
    <row r="598" spans="10:24" s="1" customFormat="1" x14ac:dyDescent="0.2">
      <c r="J598"/>
      <c r="K598"/>
      <c r="L598"/>
      <c r="M598"/>
      <c r="N598"/>
      <c r="O598" s="2"/>
      <c r="S598"/>
      <c r="T598"/>
      <c r="U598"/>
      <c r="V598"/>
      <c r="X598"/>
    </row>
    <row r="599" spans="10:24" s="1" customFormat="1" x14ac:dyDescent="0.2">
      <c r="J599"/>
      <c r="K599"/>
      <c r="L599"/>
      <c r="M599"/>
      <c r="N599"/>
      <c r="O599" s="2"/>
      <c r="S599"/>
      <c r="T599"/>
      <c r="U599"/>
      <c r="V599"/>
      <c r="X599"/>
    </row>
    <row r="600" spans="10:24" s="1" customFormat="1" x14ac:dyDescent="0.2">
      <c r="J600"/>
      <c r="K600"/>
      <c r="L600"/>
      <c r="M600"/>
      <c r="N600"/>
      <c r="O600" s="2"/>
      <c r="S600"/>
      <c r="T600"/>
      <c r="U600"/>
      <c r="V600"/>
      <c r="X600"/>
    </row>
    <row r="601" spans="10:24" s="1" customFormat="1" x14ac:dyDescent="0.2">
      <c r="J601"/>
      <c r="K601"/>
      <c r="L601"/>
      <c r="M601"/>
      <c r="N601"/>
      <c r="O601" s="2"/>
      <c r="S601"/>
      <c r="T601"/>
      <c r="U601"/>
      <c r="V601"/>
      <c r="X601"/>
    </row>
    <row r="602" spans="10:24" s="1" customFormat="1" x14ac:dyDescent="0.2">
      <c r="J602"/>
      <c r="K602"/>
      <c r="L602"/>
      <c r="M602"/>
      <c r="N602"/>
      <c r="O602" s="2"/>
      <c r="S602"/>
      <c r="T602"/>
      <c r="U602"/>
      <c r="V602"/>
      <c r="X602"/>
    </row>
    <row r="603" spans="10:24" s="1" customFormat="1" x14ac:dyDescent="0.2">
      <c r="J603"/>
      <c r="K603"/>
      <c r="L603"/>
      <c r="M603"/>
      <c r="N603"/>
      <c r="O603" s="2"/>
      <c r="S603"/>
      <c r="T603"/>
      <c r="U603"/>
      <c r="V603"/>
      <c r="X603"/>
    </row>
    <row r="604" spans="10:24" s="1" customFormat="1" x14ac:dyDescent="0.2">
      <c r="J604"/>
      <c r="K604"/>
      <c r="L604"/>
      <c r="M604"/>
      <c r="N604"/>
      <c r="O604" s="2"/>
      <c r="S604"/>
      <c r="T604"/>
      <c r="U604"/>
      <c r="V604"/>
      <c r="X604"/>
    </row>
    <row r="605" spans="10:24" s="1" customFormat="1" x14ac:dyDescent="0.2">
      <c r="J605"/>
      <c r="K605"/>
      <c r="L605"/>
      <c r="M605"/>
      <c r="N605"/>
      <c r="O605" s="2"/>
      <c r="S605"/>
      <c r="T605"/>
      <c r="U605"/>
      <c r="V605"/>
      <c r="X605"/>
    </row>
    <row r="606" spans="10:24" s="1" customFormat="1" x14ac:dyDescent="0.2">
      <c r="J606"/>
      <c r="K606"/>
      <c r="L606"/>
      <c r="M606"/>
      <c r="N606"/>
      <c r="O606" s="2"/>
      <c r="S606"/>
      <c r="T606"/>
      <c r="U606"/>
      <c r="V606"/>
      <c r="X606"/>
    </row>
    <row r="607" spans="10:24" s="1" customFormat="1" x14ac:dyDescent="0.2">
      <c r="J607"/>
      <c r="K607"/>
      <c r="L607"/>
      <c r="M607"/>
      <c r="N607"/>
      <c r="O607" s="2"/>
      <c r="S607"/>
      <c r="T607"/>
      <c r="U607"/>
      <c r="V607"/>
      <c r="X607"/>
    </row>
    <row r="608" spans="10:24" s="1" customFormat="1" x14ac:dyDescent="0.2">
      <c r="J608"/>
      <c r="K608"/>
      <c r="L608"/>
      <c r="M608"/>
      <c r="N608"/>
      <c r="O608" s="2"/>
      <c r="S608"/>
      <c r="T608"/>
      <c r="U608"/>
      <c r="V608"/>
      <c r="X608"/>
    </row>
    <row r="609" spans="10:24" s="1" customFormat="1" x14ac:dyDescent="0.2">
      <c r="J609"/>
      <c r="K609"/>
      <c r="L609"/>
      <c r="M609"/>
      <c r="N609"/>
      <c r="O609" s="2"/>
      <c r="S609"/>
      <c r="T609"/>
      <c r="U609"/>
      <c r="V609"/>
      <c r="X609"/>
    </row>
    <row r="610" spans="10:24" s="1" customFormat="1" x14ac:dyDescent="0.2">
      <c r="J610"/>
      <c r="K610"/>
      <c r="L610"/>
      <c r="M610"/>
      <c r="N610"/>
      <c r="O610" s="2"/>
      <c r="S610"/>
      <c r="T610"/>
      <c r="U610"/>
      <c r="V610"/>
      <c r="X610"/>
    </row>
    <row r="611" spans="10:24" s="1" customFormat="1" x14ac:dyDescent="0.2">
      <c r="J611"/>
      <c r="K611"/>
      <c r="L611"/>
      <c r="M611"/>
      <c r="N611"/>
      <c r="O611" s="2"/>
      <c r="S611"/>
      <c r="T611"/>
      <c r="U611"/>
      <c r="V611"/>
      <c r="X611"/>
    </row>
    <row r="612" spans="10:24" s="1" customFormat="1" x14ac:dyDescent="0.2">
      <c r="J612"/>
      <c r="K612"/>
      <c r="L612"/>
      <c r="M612"/>
      <c r="N612"/>
      <c r="O612" s="2"/>
      <c r="S612"/>
      <c r="T612"/>
      <c r="U612"/>
      <c r="V612"/>
      <c r="X612"/>
    </row>
    <row r="613" spans="10:24" s="1" customFormat="1" x14ac:dyDescent="0.2">
      <c r="J613"/>
      <c r="K613"/>
      <c r="L613"/>
      <c r="M613"/>
      <c r="N613"/>
      <c r="O613" s="2"/>
      <c r="S613"/>
      <c r="T613"/>
      <c r="U613"/>
      <c r="V613"/>
      <c r="X613"/>
    </row>
    <row r="614" spans="10:24" s="1" customFormat="1" x14ac:dyDescent="0.2">
      <c r="J614"/>
      <c r="K614"/>
      <c r="L614"/>
      <c r="M614"/>
      <c r="N614"/>
      <c r="O614" s="2"/>
      <c r="S614"/>
      <c r="T614"/>
      <c r="U614"/>
      <c r="V614"/>
      <c r="X614"/>
    </row>
    <row r="615" spans="10:24" s="1" customFormat="1" x14ac:dyDescent="0.2">
      <c r="J615"/>
      <c r="K615"/>
      <c r="L615"/>
      <c r="M615"/>
      <c r="N615"/>
      <c r="O615" s="2"/>
      <c r="S615"/>
      <c r="T615"/>
      <c r="U615"/>
      <c r="V615"/>
      <c r="X615"/>
    </row>
    <row r="616" spans="10:24" s="1" customFormat="1" x14ac:dyDescent="0.2">
      <c r="J616"/>
      <c r="K616"/>
      <c r="L616"/>
      <c r="M616"/>
      <c r="N616"/>
      <c r="O616" s="2"/>
      <c r="S616"/>
      <c r="T616"/>
      <c r="U616"/>
      <c r="V616"/>
      <c r="X616"/>
    </row>
    <row r="617" spans="10:24" s="1" customFormat="1" x14ac:dyDescent="0.2">
      <c r="J617"/>
      <c r="K617"/>
      <c r="L617"/>
      <c r="M617"/>
      <c r="N617"/>
      <c r="O617" s="2"/>
      <c r="S617"/>
      <c r="T617"/>
      <c r="U617"/>
      <c r="V617"/>
      <c r="X617"/>
    </row>
    <row r="618" spans="10:24" s="1" customFormat="1" x14ac:dyDescent="0.2">
      <c r="J618"/>
      <c r="K618"/>
      <c r="L618"/>
      <c r="M618"/>
      <c r="N618"/>
      <c r="O618" s="2"/>
      <c r="S618"/>
      <c r="T618"/>
      <c r="U618"/>
      <c r="V618"/>
      <c r="X618"/>
    </row>
    <row r="619" spans="10:24" s="1" customFormat="1" x14ac:dyDescent="0.2">
      <c r="J619"/>
      <c r="K619"/>
      <c r="L619"/>
      <c r="M619"/>
      <c r="N619"/>
      <c r="O619" s="2"/>
      <c r="S619"/>
      <c r="T619"/>
      <c r="U619"/>
      <c r="V619"/>
      <c r="X619"/>
    </row>
    <row r="620" spans="10:24" s="1" customFormat="1" x14ac:dyDescent="0.2">
      <c r="J620"/>
      <c r="K620"/>
      <c r="L620"/>
      <c r="M620"/>
      <c r="N620"/>
      <c r="O620" s="2"/>
      <c r="S620"/>
      <c r="T620"/>
      <c r="U620"/>
      <c r="V620"/>
      <c r="X620"/>
    </row>
    <row r="621" spans="10:24" s="1" customFormat="1" x14ac:dyDescent="0.2">
      <c r="J621"/>
      <c r="K621"/>
      <c r="L621"/>
      <c r="M621"/>
      <c r="N621"/>
      <c r="O621" s="2"/>
      <c r="S621"/>
      <c r="T621"/>
      <c r="U621"/>
      <c r="V621"/>
      <c r="X621"/>
    </row>
    <row r="622" spans="10:24" s="1" customFormat="1" x14ac:dyDescent="0.2">
      <c r="J622"/>
      <c r="K622"/>
      <c r="L622"/>
      <c r="M622"/>
      <c r="N622"/>
      <c r="O622" s="2"/>
      <c r="S622"/>
      <c r="T622"/>
      <c r="U622"/>
      <c r="V622"/>
      <c r="X622"/>
    </row>
    <row r="623" spans="10:24" s="1" customFormat="1" x14ac:dyDescent="0.2">
      <c r="J623"/>
      <c r="K623"/>
      <c r="L623"/>
      <c r="M623"/>
      <c r="N623"/>
      <c r="O623" s="2"/>
      <c r="S623"/>
      <c r="T623"/>
      <c r="U623"/>
      <c r="V623"/>
      <c r="X623"/>
    </row>
    <row r="624" spans="10:24" s="1" customFormat="1" x14ac:dyDescent="0.2">
      <c r="J624"/>
      <c r="K624"/>
      <c r="L624"/>
      <c r="M624"/>
      <c r="N624"/>
      <c r="O624" s="2"/>
      <c r="S624"/>
      <c r="T624"/>
      <c r="U624"/>
      <c r="V624"/>
      <c r="X624"/>
    </row>
    <row r="625" spans="10:24" s="1" customFormat="1" x14ac:dyDescent="0.2">
      <c r="J625"/>
      <c r="K625"/>
      <c r="L625"/>
      <c r="M625"/>
      <c r="N625"/>
      <c r="O625" s="2"/>
      <c r="S625"/>
      <c r="T625"/>
      <c r="U625"/>
      <c r="V625"/>
      <c r="X625"/>
    </row>
    <row r="626" spans="10:24" s="1" customFormat="1" x14ac:dyDescent="0.2">
      <c r="J626"/>
      <c r="K626"/>
      <c r="L626"/>
      <c r="M626"/>
      <c r="N626"/>
      <c r="O626" s="2"/>
      <c r="S626"/>
      <c r="T626"/>
      <c r="U626"/>
      <c r="V626"/>
      <c r="X626"/>
    </row>
    <row r="627" spans="10:24" s="1" customFormat="1" x14ac:dyDescent="0.2">
      <c r="J627"/>
      <c r="K627"/>
      <c r="L627"/>
      <c r="M627"/>
      <c r="N627"/>
      <c r="O627" s="2"/>
      <c r="S627"/>
      <c r="T627"/>
      <c r="U627"/>
      <c r="V627"/>
      <c r="X627"/>
    </row>
    <row r="628" spans="10:24" s="1" customFormat="1" x14ac:dyDescent="0.2">
      <c r="J628"/>
      <c r="K628"/>
      <c r="L628"/>
      <c r="M628"/>
      <c r="N628"/>
      <c r="O628" s="2"/>
      <c r="S628"/>
      <c r="T628"/>
      <c r="U628"/>
      <c r="V628"/>
      <c r="X628"/>
    </row>
    <row r="629" spans="10:24" s="1" customFormat="1" x14ac:dyDescent="0.2">
      <c r="J629"/>
      <c r="K629"/>
      <c r="L629"/>
      <c r="M629"/>
      <c r="N629"/>
      <c r="O629" s="2"/>
      <c r="S629"/>
      <c r="T629"/>
      <c r="U629"/>
      <c r="V629"/>
      <c r="X629"/>
    </row>
    <row r="630" spans="10:24" s="1" customFormat="1" x14ac:dyDescent="0.2">
      <c r="J630"/>
      <c r="K630"/>
      <c r="L630"/>
      <c r="M630"/>
      <c r="N630"/>
      <c r="O630" s="2"/>
      <c r="S630"/>
      <c r="T630"/>
      <c r="U630"/>
      <c r="V630"/>
      <c r="X630"/>
    </row>
    <row r="631" spans="10:24" s="1" customFormat="1" x14ac:dyDescent="0.2">
      <c r="J631"/>
      <c r="K631"/>
      <c r="L631"/>
      <c r="M631"/>
      <c r="N631"/>
      <c r="O631" s="2"/>
      <c r="S631"/>
      <c r="T631"/>
      <c r="U631"/>
      <c r="V631"/>
      <c r="X631"/>
    </row>
    <row r="632" spans="10:24" s="1" customFormat="1" x14ac:dyDescent="0.2">
      <c r="J632"/>
      <c r="K632"/>
      <c r="L632"/>
      <c r="M632"/>
      <c r="N632"/>
      <c r="O632" s="2"/>
      <c r="S632"/>
      <c r="T632"/>
      <c r="U632"/>
      <c r="V632"/>
      <c r="X632"/>
    </row>
    <row r="633" spans="10:24" s="1" customFormat="1" x14ac:dyDescent="0.2">
      <c r="J633"/>
      <c r="K633"/>
      <c r="L633"/>
      <c r="M633"/>
      <c r="N633"/>
      <c r="O633" s="2"/>
      <c r="S633"/>
      <c r="T633"/>
      <c r="U633"/>
      <c r="V633"/>
      <c r="X633"/>
    </row>
    <row r="634" spans="10:24" s="1" customFormat="1" x14ac:dyDescent="0.2">
      <c r="J634"/>
      <c r="K634"/>
      <c r="L634"/>
      <c r="M634"/>
      <c r="N634"/>
      <c r="O634" s="2"/>
      <c r="S634"/>
      <c r="T634"/>
      <c r="U634"/>
      <c r="V634"/>
      <c r="X634"/>
    </row>
    <row r="635" spans="10:24" s="1" customFormat="1" x14ac:dyDescent="0.2">
      <c r="J635"/>
      <c r="K635"/>
      <c r="L635"/>
      <c r="M635"/>
      <c r="N635"/>
      <c r="O635" s="2"/>
      <c r="S635"/>
      <c r="T635"/>
      <c r="U635"/>
      <c r="V635"/>
      <c r="X635"/>
    </row>
    <row r="636" spans="10:24" s="1" customFormat="1" x14ac:dyDescent="0.2">
      <c r="J636"/>
      <c r="K636"/>
      <c r="L636"/>
      <c r="M636"/>
      <c r="N636"/>
      <c r="O636" s="2"/>
      <c r="S636"/>
      <c r="T636"/>
      <c r="U636"/>
      <c r="V636"/>
      <c r="X636"/>
    </row>
    <row r="637" spans="10:24" s="1" customFormat="1" x14ac:dyDescent="0.2">
      <c r="J637"/>
      <c r="K637"/>
      <c r="L637"/>
      <c r="M637"/>
      <c r="N637"/>
      <c r="O637" s="2"/>
      <c r="S637"/>
      <c r="T637"/>
      <c r="U637"/>
      <c r="V637"/>
      <c r="X637"/>
    </row>
    <row r="638" spans="10:24" s="1" customFormat="1" x14ac:dyDescent="0.2">
      <c r="J638"/>
      <c r="K638"/>
      <c r="L638"/>
      <c r="M638"/>
      <c r="N638"/>
      <c r="O638" s="2"/>
      <c r="S638"/>
      <c r="T638"/>
      <c r="U638"/>
      <c r="V638"/>
      <c r="X638"/>
    </row>
    <row r="639" spans="10:24" s="1" customFormat="1" x14ac:dyDescent="0.2">
      <c r="J639"/>
      <c r="K639"/>
      <c r="L639"/>
      <c r="M639"/>
      <c r="N639"/>
      <c r="O639" s="2"/>
      <c r="S639"/>
      <c r="T639"/>
      <c r="U639"/>
      <c r="V639"/>
      <c r="X639"/>
    </row>
    <row r="640" spans="10:24" s="1" customFormat="1" x14ac:dyDescent="0.2">
      <c r="J640"/>
      <c r="K640"/>
      <c r="L640"/>
      <c r="M640"/>
      <c r="N640"/>
      <c r="O640" s="2"/>
      <c r="S640"/>
      <c r="T640"/>
      <c r="U640"/>
      <c r="V640"/>
      <c r="X640"/>
    </row>
    <row r="641" spans="10:24" s="1" customFormat="1" x14ac:dyDescent="0.2">
      <c r="J641"/>
      <c r="K641"/>
      <c r="L641"/>
      <c r="M641"/>
      <c r="N641"/>
      <c r="O641" s="2"/>
      <c r="S641"/>
      <c r="T641"/>
      <c r="U641"/>
      <c r="V641"/>
      <c r="X641"/>
    </row>
    <row r="642" spans="10:24" s="1" customFormat="1" x14ac:dyDescent="0.2">
      <c r="J642"/>
      <c r="K642"/>
      <c r="L642"/>
      <c r="M642"/>
      <c r="N642"/>
      <c r="O642" s="2"/>
      <c r="S642"/>
      <c r="T642"/>
      <c r="U642"/>
      <c r="V642"/>
      <c r="X642"/>
    </row>
    <row r="643" spans="10:24" s="1" customFormat="1" x14ac:dyDescent="0.2">
      <c r="J643"/>
      <c r="K643"/>
      <c r="L643"/>
      <c r="M643"/>
      <c r="N643"/>
      <c r="O643" s="2"/>
      <c r="S643"/>
      <c r="T643"/>
      <c r="U643"/>
      <c r="V643"/>
      <c r="X643"/>
    </row>
    <row r="644" spans="10:24" s="1" customFormat="1" x14ac:dyDescent="0.2">
      <c r="J644"/>
      <c r="K644"/>
      <c r="L644"/>
      <c r="M644"/>
      <c r="N644"/>
      <c r="O644" s="2"/>
      <c r="S644"/>
      <c r="T644"/>
      <c r="U644"/>
      <c r="V644"/>
      <c r="X644"/>
    </row>
    <row r="645" spans="10:24" s="1" customFormat="1" x14ac:dyDescent="0.2">
      <c r="J645"/>
      <c r="K645"/>
      <c r="L645"/>
      <c r="M645"/>
      <c r="N645"/>
      <c r="O645" s="2"/>
      <c r="S645"/>
      <c r="T645"/>
      <c r="U645"/>
      <c r="V645"/>
      <c r="X645"/>
    </row>
    <row r="646" spans="10:24" s="1" customFormat="1" x14ac:dyDescent="0.2">
      <c r="J646"/>
      <c r="K646"/>
      <c r="L646"/>
      <c r="M646"/>
      <c r="N646"/>
      <c r="O646" s="2"/>
      <c r="S646"/>
      <c r="T646"/>
      <c r="U646"/>
      <c r="V646"/>
      <c r="X646"/>
    </row>
    <row r="647" spans="10:24" s="1" customFormat="1" x14ac:dyDescent="0.2">
      <c r="J647"/>
      <c r="K647"/>
      <c r="L647"/>
      <c r="M647"/>
      <c r="N647"/>
      <c r="O647" s="2"/>
      <c r="S647"/>
      <c r="T647"/>
      <c r="U647"/>
      <c r="V647"/>
      <c r="X647"/>
    </row>
    <row r="648" spans="10:24" s="1" customFormat="1" x14ac:dyDescent="0.2">
      <c r="J648"/>
      <c r="K648"/>
      <c r="L648"/>
      <c r="M648"/>
      <c r="N648"/>
      <c r="O648" s="2"/>
      <c r="S648"/>
      <c r="T648"/>
      <c r="U648"/>
      <c r="V648"/>
      <c r="X648"/>
    </row>
    <row r="649" spans="10:24" s="1" customFormat="1" x14ac:dyDescent="0.2">
      <c r="J649"/>
      <c r="K649"/>
      <c r="L649"/>
      <c r="M649"/>
      <c r="N649"/>
      <c r="O649" s="2"/>
      <c r="S649"/>
      <c r="T649"/>
      <c r="U649"/>
      <c r="V649"/>
      <c r="X649"/>
    </row>
    <row r="650" spans="10:24" s="1" customFormat="1" x14ac:dyDescent="0.2">
      <c r="J650"/>
      <c r="K650"/>
      <c r="L650"/>
      <c r="M650"/>
      <c r="N650"/>
      <c r="O650" s="2"/>
      <c r="S650"/>
      <c r="T650"/>
      <c r="U650"/>
      <c r="V650"/>
      <c r="X650"/>
    </row>
    <row r="651" spans="10:24" s="1" customFormat="1" x14ac:dyDescent="0.2">
      <c r="J651"/>
      <c r="K651"/>
      <c r="L651"/>
      <c r="M651"/>
      <c r="N651"/>
      <c r="O651" s="2"/>
      <c r="S651"/>
      <c r="T651"/>
      <c r="U651"/>
      <c r="V651"/>
      <c r="X651"/>
    </row>
    <row r="652" spans="10:24" s="1" customFormat="1" x14ac:dyDescent="0.2">
      <c r="J652"/>
      <c r="K652"/>
      <c r="L652"/>
      <c r="M652"/>
      <c r="N652"/>
      <c r="O652" s="2"/>
      <c r="S652"/>
      <c r="T652"/>
      <c r="U652"/>
      <c r="V652"/>
      <c r="X652"/>
    </row>
    <row r="653" spans="10:24" s="1" customFormat="1" x14ac:dyDescent="0.2">
      <c r="J653"/>
      <c r="K653"/>
      <c r="L653"/>
      <c r="M653"/>
      <c r="N653"/>
      <c r="O653" s="2"/>
      <c r="S653"/>
      <c r="T653"/>
      <c r="U653"/>
      <c r="V653"/>
      <c r="X653"/>
    </row>
    <row r="654" spans="10:24" s="1" customFormat="1" x14ac:dyDescent="0.2">
      <c r="J654"/>
      <c r="K654"/>
      <c r="L654"/>
      <c r="M654"/>
      <c r="N654"/>
      <c r="O654" s="2"/>
      <c r="S654"/>
      <c r="T654"/>
      <c r="U654"/>
      <c r="V654"/>
      <c r="X654"/>
    </row>
    <row r="655" spans="10:24" s="1" customFormat="1" x14ac:dyDescent="0.2">
      <c r="J655"/>
      <c r="K655"/>
      <c r="L655"/>
      <c r="M655"/>
      <c r="N655"/>
      <c r="O655" s="2"/>
      <c r="S655"/>
      <c r="T655"/>
      <c r="U655"/>
      <c r="V655"/>
      <c r="X655"/>
    </row>
    <row r="656" spans="10:24" s="1" customFormat="1" x14ac:dyDescent="0.2">
      <c r="J656"/>
      <c r="K656"/>
      <c r="L656"/>
      <c r="M656"/>
      <c r="N656"/>
      <c r="O656" s="2"/>
      <c r="S656"/>
      <c r="T656"/>
      <c r="U656"/>
      <c r="V656"/>
      <c r="X656"/>
    </row>
    <row r="657" spans="10:24" s="1" customFormat="1" x14ac:dyDescent="0.2">
      <c r="J657"/>
      <c r="K657"/>
      <c r="L657"/>
      <c r="M657"/>
      <c r="N657"/>
      <c r="O657" s="2"/>
      <c r="S657"/>
      <c r="T657"/>
      <c r="U657"/>
      <c r="V657"/>
      <c r="X657"/>
    </row>
    <row r="658" spans="10:24" s="1" customFormat="1" x14ac:dyDescent="0.2">
      <c r="J658"/>
      <c r="K658"/>
      <c r="L658"/>
      <c r="M658"/>
      <c r="N658"/>
      <c r="O658" s="2"/>
      <c r="S658"/>
      <c r="T658"/>
      <c r="U658"/>
      <c r="V658"/>
      <c r="X658"/>
    </row>
    <row r="659" spans="10:24" s="1" customFormat="1" x14ac:dyDescent="0.2">
      <c r="J659"/>
      <c r="K659"/>
      <c r="L659"/>
      <c r="M659"/>
      <c r="N659"/>
      <c r="O659" s="2"/>
      <c r="S659"/>
      <c r="T659"/>
      <c r="U659"/>
      <c r="V659"/>
      <c r="X659"/>
    </row>
    <row r="660" spans="10:24" s="1" customFormat="1" x14ac:dyDescent="0.2">
      <c r="J660"/>
      <c r="K660"/>
      <c r="L660"/>
      <c r="M660"/>
      <c r="N660"/>
      <c r="O660" s="2"/>
      <c r="S660"/>
      <c r="T660"/>
      <c r="U660"/>
      <c r="V660"/>
      <c r="X660"/>
    </row>
    <row r="661" spans="10:24" s="1" customFormat="1" x14ac:dyDescent="0.2">
      <c r="J661"/>
      <c r="K661"/>
      <c r="L661"/>
      <c r="M661"/>
      <c r="N661"/>
      <c r="O661" s="2"/>
      <c r="S661"/>
      <c r="T661"/>
      <c r="U661"/>
      <c r="V661"/>
      <c r="X661"/>
    </row>
    <row r="662" spans="10:24" s="1" customFormat="1" x14ac:dyDescent="0.2">
      <c r="J662"/>
      <c r="K662"/>
      <c r="L662"/>
      <c r="M662"/>
      <c r="N662"/>
      <c r="O662" s="2"/>
      <c r="S662"/>
      <c r="T662"/>
      <c r="U662"/>
      <c r="V662"/>
      <c r="X662"/>
    </row>
    <row r="663" spans="10:24" s="1" customFormat="1" x14ac:dyDescent="0.2">
      <c r="J663"/>
      <c r="K663"/>
      <c r="L663"/>
      <c r="M663"/>
      <c r="N663"/>
      <c r="O663" s="2"/>
      <c r="S663"/>
      <c r="T663"/>
      <c r="U663"/>
      <c r="V663"/>
      <c r="X663"/>
    </row>
    <row r="664" spans="10:24" s="1" customFormat="1" x14ac:dyDescent="0.2">
      <c r="J664"/>
      <c r="K664"/>
      <c r="L664"/>
      <c r="M664"/>
      <c r="N664"/>
      <c r="O664" s="2"/>
      <c r="S664"/>
      <c r="T664"/>
      <c r="U664"/>
      <c r="V664"/>
      <c r="X664"/>
    </row>
    <row r="665" spans="10:24" s="1" customFormat="1" x14ac:dyDescent="0.2">
      <c r="J665"/>
      <c r="K665"/>
      <c r="L665"/>
      <c r="M665"/>
      <c r="N665"/>
      <c r="O665" s="2"/>
      <c r="S665"/>
      <c r="T665"/>
      <c r="U665"/>
      <c r="V665"/>
      <c r="X665"/>
    </row>
    <row r="666" spans="10:24" s="1" customFormat="1" x14ac:dyDescent="0.2">
      <c r="J666"/>
      <c r="K666"/>
      <c r="L666"/>
      <c r="M666"/>
      <c r="N666"/>
      <c r="O666" s="2"/>
      <c r="S666"/>
      <c r="T666"/>
      <c r="U666"/>
      <c r="V666"/>
      <c r="X666"/>
    </row>
    <row r="667" spans="10:24" s="1" customFormat="1" x14ac:dyDescent="0.2">
      <c r="J667"/>
      <c r="K667"/>
      <c r="L667"/>
      <c r="M667"/>
      <c r="N667"/>
      <c r="O667" s="2"/>
      <c r="S667"/>
      <c r="T667"/>
      <c r="U667"/>
      <c r="V667"/>
      <c r="X667"/>
    </row>
    <row r="668" spans="10:24" s="1" customFormat="1" x14ac:dyDescent="0.2">
      <c r="J668"/>
      <c r="K668"/>
      <c r="L668"/>
      <c r="M668"/>
      <c r="N668"/>
      <c r="O668" s="2"/>
      <c r="S668"/>
      <c r="T668"/>
      <c r="U668"/>
      <c r="V668"/>
      <c r="X668"/>
    </row>
    <row r="669" spans="10:24" s="1" customFormat="1" x14ac:dyDescent="0.2">
      <c r="J669"/>
      <c r="K669"/>
      <c r="L669"/>
      <c r="M669"/>
      <c r="N669"/>
      <c r="O669" s="2"/>
      <c r="S669"/>
      <c r="T669"/>
      <c r="U669"/>
      <c r="V669"/>
      <c r="X669"/>
    </row>
    <row r="670" spans="10:24" s="1" customFormat="1" x14ac:dyDescent="0.2">
      <c r="J670"/>
      <c r="K670"/>
      <c r="L670"/>
      <c r="M670"/>
      <c r="N670"/>
      <c r="O670" s="2"/>
      <c r="S670"/>
      <c r="T670"/>
      <c r="U670"/>
      <c r="V670"/>
      <c r="X670"/>
    </row>
    <row r="671" spans="10:24" s="1" customFormat="1" x14ac:dyDescent="0.2">
      <c r="J671"/>
      <c r="K671"/>
      <c r="L671"/>
      <c r="M671"/>
      <c r="N671"/>
      <c r="O671" s="2"/>
      <c r="S671"/>
      <c r="T671"/>
      <c r="U671"/>
      <c r="V671"/>
      <c r="X671"/>
    </row>
    <row r="672" spans="10:24" s="1" customFormat="1" x14ac:dyDescent="0.2">
      <c r="J672"/>
      <c r="K672"/>
      <c r="L672"/>
      <c r="M672"/>
      <c r="N672"/>
      <c r="O672" s="2"/>
      <c r="S672"/>
      <c r="T672"/>
      <c r="U672"/>
      <c r="V672"/>
      <c r="X672"/>
    </row>
    <row r="673" spans="10:24" s="1" customFormat="1" x14ac:dyDescent="0.2">
      <c r="J673"/>
      <c r="K673"/>
      <c r="L673"/>
      <c r="M673"/>
      <c r="N673"/>
      <c r="O673" s="2"/>
      <c r="S673"/>
      <c r="T673"/>
      <c r="U673"/>
      <c r="V673"/>
      <c r="X673"/>
    </row>
    <row r="674" spans="10:24" s="1" customFormat="1" x14ac:dyDescent="0.2">
      <c r="J674"/>
      <c r="K674"/>
      <c r="L674"/>
      <c r="M674"/>
      <c r="N674"/>
      <c r="O674" s="2"/>
      <c r="S674"/>
      <c r="T674"/>
      <c r="U674"/>
      <c r="V674"/>
      <c r="X674"/>
    </row>
    <row r="675" spans="10:24" s="1" customFormat="1" x14ac:dyDescent="0.2">
      <c r="J675"/>
      <c r="K675"/>
      <c r="L675"/>
      <c r="M675"/>
      <c r="N675"/>
      <c r="O675" s="2"/>
      <c r="S675"/>
      <c r="T675"/>
      <c r="U675"/>
      <c r="V675"/>
      <c r="X675"/>
    </row>
    <row r="676" spans="10:24" s="1" customFormat="1" x14ac:dyDescent="0.2">
      <c r="J676"/>
      <c r="K676"/>
      <c r="L676"/>
      <c r="M676"/>
      <c r="N676"/>
      <c r="O676" s="2"/>
      <c r="S676"/>
      <c r="T676"/>
      <c r="U676"/>
      <c r="V676"/>
      <c r="X676"/>
    </row>
    <row r="677" spans="10:24" s="1" customFormat="1" x14ac:dyDescent="0.2">
      <c r="J677"/>
      <c r="K677"/>
      <c r="L677"/>
      <c r="M677"/>
      <c r="N677"/>
      <c r="O677" s="2"/>
      <c r="S677"/>
      <c r="T677"/>
      <c r="U677"/>
      <c r="V677"/>
      <c r="X677"/>
    </row>
    <row r="678" spans="10:24" s="1" customFormat="1" x14ac:dyDescent="0.2">
      <c r="J678"/>
      <c r="K678"/>
      <c r="L678"/>
      <c r="M678"/>
      <c r="N678"/>
      <c r="O678" s="2"/>
      <c r="S678"/>
      <c r="T678"/>
      <c r="U678"/>
      <c r="V678"/>
      <c r="X678"/>
    </row>
    <row r="679" spans="10:24" s="1" customFormat="1" x14ac:dyDescent="0.2">
      <c r="J679"/>
      <c r="K679"/>
      <c r="L679"/>
      <c r="M679"/>
      <c r="N679"/>
      <c r="O679" s="2"/>
      <c r="S679"/>
      <c r="T679"/>
      <c r="U679"/>
      <c r="V679"/>
      <c r="X679"/>
    </row>
    <row r="680" spans="10:24" s="1" customFormat="1" x14ac:dyDescent="0.2">
      <c r="J680"/>
      <c r="K680"/>
      <c r="L680"/>
      <c r="M680"/>
      <c r="N680"/>
      <c r="O680" s="2"/>
      <c r="S680"/>
      <c r="T680"/>
      <c r="U680"/>
      <c r="V680"/>
      <c r="X680"/>
    </row>
    <row r="681" spans="10:24" s="1" customFormat="1" x14ac:dyDescent="0.2">
      <c r="J681"/>
      <c r="K681"/>
      <c r="L681"/>
      <c r="M681"/>
      <c r="N681"/>
      <c r="O681" s="2"/>
      <c r="S681"/>
      <c r="T681"/>
      <c r="U681"/>
      <c r="V681"/>
      <c r="X681"/>
    </row>
    <row r="682" spans="10:24" s="1" customFormat="1" x14ac:dyDescent="0.2">
      <c r="J682"/>
      <c r="K682"/>
      <c r="L682"/>
      <c r="M682"/>
      <c r="N682"/>
      <c r="O682" s="2"/>
      <c r="S682"/>
      <c r="T682"/>
      <c r="U682"/>
      <c r="V682"/>
      <c r="X682"/>
    </row>
    <row r="683" spans="10:24" s="1" customFormat="1" x14ac:dyDescent="0.2">
      <c r="J683"/>
      <c r="K683"/>
      <c r="L683"/>
      <c r="M683"/>
      <c r="N683"/>
      <c r="O683" s="2"/>
      <c r="S683"/>
      <c r="T683"/>
      <c r="U683"/>
      <c r="V683"/>
      <c r="X683"/>
    </row>
    <row r="684" spans="10:24" s="1" customFormat="1" x14ac:dyDescent="0.2">
      <c r="J684"/>
      <c r="K684"/>
      <c r="L684"/>
      <c r="M684"/>
      <c r="N684"/>
      <c r="O684" s="2"/>
      <c r="S684"/>
      <c r="T684"/>
      <c r="U684"/>
      <c r="V684"/>
      <c r="X684"/>
    </row>
    <row r="685" spans="10:24" s="1" customFormat="1" x14ac:dyDescent="0.2">
      <c r="J685"/>
      <c r="K685"/>
      <c r="L685"/>
      <c r="M685"/>
      <c r="N685"/>
      <c r="O685" s="2"/>
      <c r="S685"/>
      <c r="T685"/>
      <c r="U685"/>
      <c r="V685"/>
      <c r="X685"/>
    </row>
    <row r="686" spans="10:24" s="1" customFormat="1" x14ac:dyDescent="0.2">
      <c r="J686"/>
      <c r="K686"/>
      <c r="L686"/>
      <c r="M686"/>
      <c r="N686"/>
      <c r="O686" s="2"/>
      <c r="S686"/>
      <c r="T686"/>
      <c r="U686"/>
      <c r="V686"/>
      <c r="X686"/>
    </row>
    <row r="687" spans="10:24" s="1" customFormat="1" x14ac:dyDescent="0.2">
      <c r="J687"/>
      <c r="K687"/>
      <c r="L687"/>
      <c r="M687"/>
      <c r="N687"/>
      <c r="O687" s="2"/>
      <c r="S687"/>
      <c r="T687"/>
      <c r="U687"/>
      <c r="V687"/>
      <c r="X687"/>
    </row>
    <row r="688" spans="10:24" s="1" customFormat="1" x14ac:dyDescent="0.2">
      <c r="J688"/>
      <c r="K688"/>
      <c r="L688"/>
      <c r="M688"/>
      <c r="N688"/>
      <c r="O688" s="2"/>
      <c r="S688"/>
      <c r="T688"/>
      <c r="U688"/>
      <c r="V688"/>
      <c r="X688"/>
    </row>
    <row r="689" spans="10:24" s="1" customFormat="1" x14ac:dyDescent="0.2">
      <c r="J689"/>
      <c r="K689"/>
      <c r="L689"/>
      <c r="M689"/>
      <c r="N689"/>
      <c r="O689" s="2"/>
      <c r="S689"/>
      <c r="T689"/>
      <c r="U689"/>
      <c r="V689"/>
      <c r="X689"/>
    </row>
    <row r="690" spans="10:24" s="1" customFormat="1" x14ac:dyDescent="0.2">
      <c r="J690"/>
      <c r="K690"/>
      <c r="L690"/>
      <c r="M690"/>
      <c r="N690"/>
      <c r="O690" s="2"/>
      <c r="S690"/>
      <c r="T690"/>
      <c r="U690"/>
      <c r="V690"/>
      <c r="X690"/>
    </row>
    <row r="691" spans="10:24" s="1" customFormat="1" x14ac:dyDescent="0.2">
      <c r="J691"/>
      <c r="K691"/>
      <c r="L691"/>
      <c r="M691"/>
      <c r="N691"/>
      <c r="O691" s="2"/>
      <c r="S691"/>
      <c r="T691"/>
      <c r="U691"/>
      <c r="V691"/>
      <c r="X691"/>
    </row>
    <row r="692" spans="10:24" s="1" customFormat="1" x14ac:dyDescent="0.2">
      <c r="J692"/>
      <c r="K692"/>
      <c r="L692"/>
      <c r="M692"/>
      <c r="N692"/>
      <c r="O692" s="2"/>
      <c r="S692"/>
      <c r="T692"/>
      <c r="U692"/>
      <c r="V692"/>
      <c r="X692"/>
    </row>
    <row r="693" spans="10:24" s="1" customFormat="1" x14ac:dyDescent="0.2">
      <c r="J693"/>
      <c r="K693"/>
      <c r="L693"/>
      <c r="M693"/>
      <c r="N693"/>
      <c r="O693" s="2"/>
      <c r="S693"/>
      <c r="T693"/>
      <c r="U693"/>
      <c r="V693"/>
      <c r="X693"/>
    </row>
    <row r="694" spans="10:24" s="1" customFormat="1" x14ac:dyDescent="0.2">
      <c r="J694"/>
      <c r="K694"/>
      <c r="L694"/>
      <c r="M694"/>
      <c r="N694"/>
      <c r="O694" s="2"/>
      <c r="S694"/>
      <c r="T694"/>
      <c r="U694"/>
      <c r="V694"/>
      <c r="X694"/>
    </row>
    <row r="695" spans="10:24" s="1" customFormat="1" x14ac:dyDescent="0.2">
      <c r="J695"/>
      <c r="K695"/>
      <c r="L695"/>
      <c r="M695"/>
      <c r="N695"/>
      <c r="O695" s="2"/>
      <c r="S695"/>
      <c r="T695"/>
      <c r="U695"/>
      <c r="V695"/>
      <c r="X695"/>
    </row>
    <row r="696" spans="10:24" s="1" customFormat="1" x14ac:dyDescent="0.2">
      <c r="J696"/>
      <c r="K696"/>
      <c r="L696"/>
      <c r="M696"/>
      <c r="N696"/>
      <c r="O696" s="2"/>
      <c r="S696"/>
      <c r="T696"/>
      <c r="U696"/>
      <c r="V696"/>
      <c r="X696"/>
    </row>
    <row r="697" spans="10:24" s="1" customFormat="1" x14ac:dyDescent="0.2">
      <c r="J697"/>
      <c r="K697"/>
      <c r="L697"/>
      <c r="M697"/>
      <c r="N697"/>
      <c r="O697" s="2"/>
      <c r="S697"/>
      <c r="T697"/>
      <c r="U697"/>
      <c r="V697"/>
      <c r="X697"/>
    </row>
    <row r="698" spans="10:24" s="1" customFormat="1" x14ac:dyDescent="0.2">
      <c r="J698"/>
      <c r="K698"/>
      <c r="L698"/>
      <c r="M698"/>
      <c r="N698"/>
      <c r="O698" s="2"/>
      <c r="S698"/>
      <c r="T698"/>
      <c r="U698"/>
      <c r="V698"/>
      <c r="X698"/>
    </row>
    <row r="699" spans="10:24" s="1" customFormat="1" x14ac:dyDescent="0.2">
      <c r="J699"/>
      <c r="K699"/>
      <c r="L699"/>
      <c r="M699"/>
      <c r="N699"/>
      <c r="O699" s="2"/>
      <c r="S699"/>
      <c r="T699"/>
      <c r="U699"/>
      <c r="V699"/>
      <c r="X699"/>
    </row>
    <row r="700" spans="10:24" s="1" customFormat="1" x14ac:dyDescent="0.2">
      <c r="J700"/>
      <c r="K700"/>
      <c r="L700"/>
      <c r="M700"/>
      <c r="N700"/>
      <c r="O700" s="2"/>
      <c r="S700"/>
      <c r="T700"/>
      <c r="U700"/>
      <c r="V700"/>
      <c r="X700"/>
    </row>
    <row r="701" spans="10:24" s="1" customFormat="1" x14ac:dyDescent="0.2">
      <c r="J701"/>
      <c r="K701"/>
      <c r="L701"/>
      <c r="M701"/>
      <c r="N701"/>
      <c r="O701" s="2"/>
      <c r="S701"/>
      <c r="T701"/>
      <c r="U701"/>
      <c r="V701"/>
      <c r="X701"/>
    </row>
    <row r="702" spans="10:24" s="1" customFormat="1" x14ac:dyDescent="0.2">
      <c r="J702"/>
      <c r="K702"/>
      <c r="L702"/>
      <c r="M702"/>
      <c r="N702"/>
      <c r="O702" s="2"/>
      <c r="S702"/>
      <c r="T702"/>
      <c r="U702"/>
      <c r="V702"/>
      <c r="X702"/>
    </row>
    <row r="703" spans="10:24" s="1" customFormat="1" x14ac:dyDescent="0.2">
      <c r="J703"/>
      <c r="K703"/>
      <c r="L703"/>
      <c r="M703"/>
      <c r="N703"/>
      <c r="O703" s="2"/>
      <c r="S703"/>
      <c r="T703"/>
      <c r="U703"/>
      <c r="V703"/>
      <c r="X703"/>
    </row>
    <row r="704" spans="10:24" s="1" customFormat="1" x14ac:dyDescent="0.2">
      <c r="J704"/>
      <c r="K704"/>
      <c r="L704"/>
      <c r="M704"/>
      <c r="N704"/>
      <c r="O704" s="2"/>
      <c r="S704"/>
      <c r="T704"/>
      <c r="U704"/>
      <c r="V704"/>
      <c r="X704"/>
    </row>
    <row r="705" spans="10:24" s="1" customFormat="1" x14ac:dyDescent="0.2">
      <c r="J705"/>
      <c r="K705"/>
      <c r="L705"/>
      <c r="M705"/>
      <c r="N705"/>
      <c r="O705" s="2"/>
      <c r="S705"/>
      <c r="T705"/>
      <c r="U705"/>
      <c r="V705"/>
      <c r="X705"/>
    </row>
    <row r="706" spans="10:24" s="1" customFormat="1" x14ac:dyDescent="0.2">
      <c r="J706"/>
      <c r="K706"/>
      <c r="L706"/>
      <c r="M706"/>
      <c r="N706"/>
      <c r="O706" s="2"/>
      <c r="S706"/>
      <c r="T706"/>
      <c r="U706"/>
      <c r="V706"/>
      <c r="X706"/>
    </row>
    <row r="707" spans="10:24" s="1" customFormat="1" x14ac:dyDescent="0.2">
      <c r="J707"/>
      <c r="K707"/>
      <c r="L707"/>
      <c r="M707"/>
      <c r="N707"/>
      <c r="O707" s="2"/>
      <c r="S707"/>
      <c r="T707"/>
      <c r="U707"/>
      <c r="V707"/>
      <c r="X707"/>
    </row>
    <row r="708" spans="10:24" s="1" customFormat="1" x14ac:dyDescent="0.2">
      <c r="J708"/>
      <c r="K708"/>
      <c r="L708"/>
      <c r="M708"/>
      <c r="N708"/>
      <c r="O708" s="2"/>
      <c r="S708"/>
      <c r="T708"/>
      <c r="U708"/>
      <c r="V708"/>
      <c r="X708"/>
    </row>
    <row r="709" spans="10:24" s="1" customFormat="1" x14ac:dyDescent="0.2">
      <c r="J709"/>
      <c r="K709"/>
      <c r="L709"/>
      <c r="M709"/>
      <c r="N709"/>
      <c r="O709" s="2"/>
      <c r="S709"/>
      <c r="T709"/>
      <c r="U709"/>
      <c r="V709"/>
      <c r="X709"/>
    </row>
    <row r="710" spans="10:24" s="1" customFormat="1" x14ac:dyDescent="0.2">
      <c r="J710"/>
      <c r="K710"/>
      <c r="L710"/>
      <c r="M710"/>
      <c r="N710"/>
      <c r="O710" s="2"/>
      <c r="S710"/>
      <c r="T710"/>
      <c r="U710"/>
      <c r="V710"/>
      <c r="X710"/>
    </row>
    <row r="711" spans="10:24" s="1" customFormat="1" x14ac:dyDescent="0.2">
      <c r="J711"/>
      <c r="K711"/>
      <c r="L711"/>
      <c r="M711"/>
      <c r="N711"/>
      <c r="O711" s="2"/>
      <c r="S711"/>
      <c r="T711"/>
      <c r="U711"/>
      <c r="V711"/>
      <c r="X711"/>
    </row>
    <row r="712" spans="10:24" s="1" customFormat="1" x14ac:dyDescent="0.2">
      <c r="J712"/>
      <c r="K712"/>
      <c r="L712"/>
      <c r="M712"/>
      <c r="N712"/>
      <c r="O712" s="2"/>
      <c r="S712"/>
      <c r="T712"/>
      <c r="U712"/>
      <c r="V712"/>
      <c r="X712"/>
    </row>
    <row r="713" spans="10:24" s="1" customFormat="1" x14ac:dyDescent="0.2">
      <c r="J713"/>
      <c r="K713"/>
      <c r="L713"/>
      <c r="M713"/>
      <c r="N713"/>
      <c r="O713" s="2"/>
      <c r="S713"/>
      <c r="T713"/>
      <c r="U713"/>
      <c r="V713"/>
      <c r="X713"/>
    </row>
    <row r="714" spans="10:24" s="1" customFormat="1" x14ac:dyDescent="0.2">
      <c r="J714"/>
      <c r="K714"/>
      <c r="L714"/>
      <c r="M714"/>
      <c r="N714"/>
      <c r="O714" s="2"/>
      <c r="S714"/>
      <c r="T714"/>
      <c r="U714"/>
      <c r="V714"/>
      <c r="X714"/>
    </row>
    <row r="715" spans="10:24" s="1" customFormat="1" x14ac:dyDescent="0.2">
      <c r="J715"/>
      <c r="K715"/>
      <c r="L715"/>
      <c r="M715"/>
      <c r="N715"/>
      <c r="O715" s="2"/>
      <c r="S715"/>
      <c r="T715"/>
      <c r="U715"/>
      <c r="V715"/>
      <c r="X715"/>
    </row>
    <row r="716" spans="10:24" s="1" customFormat="1" x14ac:dyDescent="0.2">
      <c r="J716"/>
      <c r="K716"/>
      <c r="L716"/>
      <c r="M716"/>
      <c r="N716"/>
      <c r="O716" s="2"/>
      <c r="S716"/>
      <c r="T716"/>
      <c r="U716"/>
      <c r="V716"/>
      <c r="X716"/>
    </row>
    <row r="717" spans="10:24" s="1" customFormat="1" x14ac:dyDescent="0.2">
      <c r="J717"/>
      <c r="K717"/>
      <c r="L717"/>
      <c r="M717"/>
      <c r="N717"/>
      <c r="O717" s="2"/>
      <c r="S717"/>
      <c r="T717"/>
      <c r="U717"/>
      <c r="V717"/>
      <c r="X717"/>
    </row>
    <row r="718" spans="10:24" s="1" customFormat="1" x14ac:dyDescent="0.2">
      <c r="J718"/>
      <c r="K718"/>
      <c r="L718"/>
      <c r="M718"/>
      <c r="N718"/>
      <c r="O718" s="2"/>
      <c r="S718"/>
      <c r="T718"/>
      <c r="U718"/>
      <c r="V718"/>
      <c r="X718"/>
    </row>
    <row r="719" spans="10:24" s="1" customFormat="1" x14ac:dyDescent="0.2">
      <c r="J719"/>
      <c r="K719"/>
      <c r="L719"/>
      <c r="M719"/>
      <c r="N719"/>
      <c r="O719" s="2"/>
      <c r="S719"/>
      <c r="T719"/>
      <c r="U719"/>
      <c r="V719"/>
      <c r="X719"/>
    </row>
    <row r="720" spans="10:24" s="1" customFormat="1" x14ac:dyDescent="0.2">
      <c r="J720"/>
      <c r="K720"/>
      <c r="L720"/>
      <c r="M720"/>
      <c r="N720"/>
      <c r="O720" s="2"/>
      <c r="S720"/>
      <c r="T720"/>
      <c r="U720"/>
      <c r="V720"/>
      <c r="X720"/>
    </row>
    <row r="721" spans="10:24" s="1" customFormat="1" x14ac:dyDescent="0.2">
      <c r="J721"/>
      <c r="K721"/>
      <c r="L721"/>
      <c r="M721"/>
      <c r="N721"/>
      <c r="O721" s="2"/>
      <c r="S721"/>
      <c r="T721"/>
      <c r="U721"/>
      <c r="V721"/>
      <c r="X721"/>
    </row>
    <row r="722" spans="10:24" s="1" customFormat="1" x14ac:dyDescent="0.2">
      <c r="J722"/>
      <c r="K722"/>
      <c r="L722"/>
      <c r="M722"/>
      <c r="N722"/>
      <c r="O722" s="2"/>
      <c r="S722"/>
      <c r="T722"/>
      <c r="U722"/>
      <c r="V722"/>
      <c r="X722"/>
    </row>
    <row r="723" spans="10:24" s="1" customFormat="1" x14ac:dyDescent="0.2">
      <c r="J723"/>
      <c r="K723"/>
      <c r="L723"/>
      <c r="M723"/>
      <c r="N723"/>
      <c r="O723" s="2"/>
      <c r="S723"/>
      <c r="T723"/>
      <c r="U723"/>
      <c r="V723"/>
      <c r="X723"/>
    </row>
    <row r="724" spans="10:24" s="1" customFormat="1" x14ac:dyDescent="0.2">
      <c r="J724"/>
      <c r="K724"/>
      <c r="L724"/>
      <c r="M724"/>
      <c r="N724"/>
      <c r="O724" s="2"/>
      <c r="S724"/>
      <c r="T724"/>
      <c r="U724"/>
      <c r="V724"/>
      <c r="X724"/>
    </row>
    <row r="725" spans="10:24" s="1" customFormat="1" x14ac:dyDescent="0.2">
      <c r="J725"/>
      <c r="K725"/>
      <c r="L725"/>
      <c r="M725"/>
      <c r="N725"/>
      <c r="O725" s="2"/>
      <c r="S725"/>
      <c r="T725"/>
      <c r="U725"/>
      <c r="V725"/>
      <c r="X725"/>
    </row>
    <row r="726" spans="10:24" s="1" customFormat="1" x14ac:dyDescent="0.2">
      <c r="J726"/>
      <c r="K726"/>
      <c r="L726"/>
      <c r="M726"/>
      <c r="N726"/>
      <c r="O726" s="2"/>
      <c r="S726"/>
      <c r="T726"/>
      <c r="U726"/>
      <c r="V726"/>
      <c r="X726"/>
    </row>
    <row r="727" spans="10:24" s="1" customFormat="1" x14ac:dyDescent="0.2">
      <c r="J727"/>
      <c r="K727"/>
      <c r="L727"/>
      <c r="M727"/>
      <c r="N727"/>
      <c r="O727" s="2"/>
      <c r="S727"/>
      <c r="T727"/>
      <c r="U727"/>
      <c r="V727"/>
      <c r="X727"/>
    </row>
    <row r="728" spans="10:24" s="1" customFormat="1" x14ac:dyDescent="0.2">
      <c r="J728"/>
      <c r="K728"/>
      <c r="L728"/>
      <c r="M728"/>
      <c r="N728"/>
      <c r="O728" s="2"/>
      <c r="S728"/>
      <c r="T728"/>
      <c r="U728"/>
      <c r="V728"/>
      <c r="X728"/>
    </row>
    <row r="729" spans="10:24" s="1" customFormat="1" x14ac:dyDescent="0.2">
      <c r="J729"/>
      <c r="K729"/>
      <c r="L729"/>
      <c r="M729"/>
      <c r="N729"/>
      <c r="O729" s="2"/>
      <c r="S729"/>
      <c r="T729"/>
      <c r="U729"/>
      <c r="V729"/>
      <c r="X729"/>
    </row>
    <row r="730" spans="10:24" s="1" customFormat="1" x14ac:dyDescent="0.2">
      <c r="J730"/>
      <c r="K730"/>
      <c r="L730"/>
      <c r="M730"/>
      <c r="N730"/>
      <c r="O730" s="2"/>
      <c r="S730"/>
      <c r="T730"/>
      <c r="U730"/>
      <c r="V730"/>
      <c r="X730"/>
    </row>
    <row r="731" spans="10:24" s="1" customFormat="1" x14ac:dyDescent="0.2">
      <c r="J731"/>
      <c r="K731"/>
      <c r="L731"/>
      <c r="M731"/>
      <c r="N731"/>
      <c r="O731" s="2"/>
      <c r="S731"/>
      <c r="T731"/>
      <c r="U731"/>
      <c r="V731"/>
      <c r="X731"/>
    </row>
    <row r="732" spans="10:24" s="1" customFormat="1" x14ac:dyDescent="0.2">
      <c r="J732"/>
      <c r="K732"/>
      <c r="L732"/>
      <c r="M732"/>
      <c r="N732"/>
      <c r="O732" s="2"/>
      <c r="S732"/>
      <c r="T732"/>
      <c r="U732"/>
      <c r="V732"/>
      <c r="X732"/>
    </row>
    <row r="733" spans="10:24" s="1" customFormat="1" x14ac:dyDescent="0.2">
      <c r="J733"/>
      <c r="K733"/>
      <c r="L733"/>
      <c r="M733"/>
      <c r="N733"/>
      <c r="O733" s="2"/>
      <c r="S733"/>
      <c r="T733"/>
      <c r="U733"/>
      <c r="V733"/>
      <c r="X733"/>
    </row>
    <row r="734" spans="10:24" s="1" customFormat="1" x14ac:dyDescent="0.2">
      <c r="J734"/>
      <c r="K734"/>
      <c r="L734"/>
      <c r="M734"/>
      <c r="N734"/>
      <c r="O734" s="2"/>
      <c r="S734"/>
      <c r="T734"/>
      <c r="U734"/>
      <c r="V734"/>
      <c r="X734"/>
    </row>
    <row r="735" spans="10:24" s="1" customFormat="1" x14ac:dyDescent="0.2">
      <c r="J735"/>
      <c r="K735"/>
      <c r="L735"/>
      <c r="M735"/>
      <c r="N735"/>
      <c r="O735" s="2"/>
      <c r="S735"/>
      <c r="T735"/>
      <c r="U735"/>
      <c r="V735"/>
      <c r="X735"/>
    </row>
    <row r="65464" spans="12:12" x14ac:dyDescent="0.2">
      <c r="L65464">
        <v>4</v>
      </c>
    </row>
  </sheetData>
  <mergeCells count="130">
    <mergeCell ref="X7:AD7"/>
    <mergeCell ref="B23:B24"/>
    <mergeCell ref="D22:D23"/>
    <mergeCell ref="E23:E24"/>
    <mergeCell ref="J23:J24"/>
    <mergeCell ref="K23:K24"/>
    <mergeCell ref="L23:L24"/>
    <mergeCell ref="D24:D25"/>
    <mergeCell ref="E63:F63"/>
    <mergeCell ref="X51:AD51"/>
    <mergeCell ref="X52:AD52"/>
    <mergeCell ref="X53:AD53"/>
    <mergeCell ref="X54:AD54"/>
    <mergeCell ref="X55:AD55"/>
    <mergeCell ref="X56:AD56"/>
    <mergeCell ref="X34:AD34"/>
    <mergeCell ref="X39:AD39"/>
    <mergeCell ref="X40:AD40"/>
    <mergeCell ref="X41:AD41"/>
    <mergeCell ref="X23:AD23"/>
    <mergeCell ref="X24:AD24"/>
    <mergeCell ref="X19:AD19"/>
    <mergeCell ref="X20:AD20"/>
    <mergeCell ref="X21:AD21"/>
    <mergeCell ref="E64:F64"/>
    <mergeCell ref="X15:AD15"/>
    <mergeCell ref="X16:AD16"/>
    <mergeCell ref="X27:AD27"/>
    <mergeCell ref="X28:AD28"/>
    <mergeCell ref="X57:AD57"/>
    <mergeCell ref="X58:AD58"/>
    <mergeCell ref="X59:AD59"/>
    <mergeCell ref="X60:AD60"/>
    <mergeCell ref="E62:F62"/>
    <mergeCell ref="X42:AD42"/>
    <mergeCell ref="X43:AD43"/>
    <mergeCell ref="X44:AD44"/>
    <mergeCell ref="X45:AD45"/>
    <mergeCell ref="X46:AD46"/>
    <mergeCell ref="X47:AD47"/>
    <mergeCell ref="X48:AD48"/>
    <mergeCell ref="X49:AD49"/>
    <mergeCell ref="X50:AD50"/>
    <mergeCell ref="X35:AD35"/>
    <mergeCell ref="X36:AD36"/>
    <mergeCell ref="X37:AD37"/>
    <mergeCell ref="X38:AD38"/>
    <mergeCell ref="X33:AD33"/>
    <mergeCell ref="X31:AD31"/>
    <mergeCell ref="X32:AD32"/>
    <mergeCell ref="X29:AD29"/>
    <mergeCell ref="X30:AD30"/>
    <mergeCell ref="X25:AD25"/>
    <mergeCell ref="X26:AD26"/>
    <mergeCell ref="X17:AD17"/>
    <mergeCell ref="X18:AD18"/>
    <mergeCell ref="X14:AD14"/>
    <mergeCell ref="X9:AD9"/>
    <mergeCell ref="X8:AD8"/>
    <mergeCell ref="X12:AD13"/>
    <mergeCell ref="X10:AD10"/>
    <mergeCell ref="X11:AD11"/>
    <mergeCell ref="X22:AD22"/>
    <mergeCell ref="B2:X2"/>
    <mergeCell ref="X3:AD3"/>
    <mergeCell ref="X4:AD4"/>
    <mergeCell ref="X5:AD5"/>
    <mergeCell ref="B5:B6"/>
    <mergeCell ref="J5:J6"/>
    <mergeCell ref="K5:K6"/>
    <mergeCell ref="E5:E6"/>
    <mergeCell ref="L5:L6"/>
    <mergeCell ref="R5:R6"/>
    <mergeCell ref="S5:S6"/>
    <mergeCell ref="T5:T6"/>
    <mergeCell ref="V5:V6"/>
    <mergeCell ref="W5:W6"/>
    <mergeCell ref="X6:AD6"/>
    <mergeCell ref="W10:W11"/>
    <mergeCell ref="K10:K11"/>
    <mergeCell ref="B10:B11"/>
    <mergeCell ref="E10:E11"/>
    <mergeCell ref="L10:L11"/>
    <mergeCell ref="R10:R11"/>
    <mergeCell ref="S10:S11"/>
    <mergeCell ref="T10:T11"/>
    <mergeCell ref="J10:J11"/>
    <mergeCell ref="B12:B13"/>
    <mergeCell ref="E12:E13"/>
    <mergeCell ref="H12:H13"/>
    <mergeCell ref="I12:I13"/>
    <mergeCell ref="F12:F13"/>
    <mergeCell ref="V10:V11"/>
    <mergeCell ref="N12:N13"/>
    <mergeCell ref="O12:O13"/>
    <mergeCell ref="T12:T13"/>
    <mergeCell ref="V12:V13"/>
    <mergeCell ref="W12:W13"/>
    <mergeCell ref="J12:J13"/>
    <mergeCell ref="K12:K13"/>
    <mergeCell ref="L12:L13"/>
    <mergeCell ref="M12:M13"/>
    <mergeCell ref="R12:R13"/>
    <mergeCell ref="S12:S13"/>
    <mergeCell ref="P12:P13"/>
    <mergeCell ref="B19:B20"/>
    <mergeCell ref="E19:E20"/>
    <mergeCell ref="J19:J20"/>
    <mergeCell ref="K19:K20"/>
    <mergeCell ref="L19:L20"/>
    <mergeCell ref="R19:R20"/>
    <mergeCell ref="T16:T17"/>
    <mergeCell ref="V16:V17"/>
    <mergeCell ref="W16:W17"/>
    <mergeCell ref="B16:B17"/>
    <mergeCell ref="E16:E17"/>
    <mergeCell ref="R16:R17"/>
    <mergeCell ref="J16:J17"/>
    <mergeCell ref="K16:K17"/>
    <mergeCell ref="S16:S17"/>
    <mergeCell ref="L16:L17"/>
    <mergeCell ref="V23:V24"/>
    <mergeCell ref="T23:T24"/>
    <mergeCell ref="S23:S24"/>
    <mergeCell ref="R23:R24"/>
    <mergeCell ref="W23:W24"/>
    <mergeCell ref="S19:S20"/>
    <mergeCell ref="T19:T20"/>
    <mergeCell ref="V19:V20"/>
    <mergeCell ref="W19:W20"/>
  </mergeCells>
  <conditionalFormatting sqref="I66:I72">
    <cfRule type="cellIs" dxfId="1848" priority="1131" stopIfTrue="1" operator="lessThan">
      <formula>0%</formula>
    </cfRule>
    <cfRule type="cellIs" dxfId="1847" priority="1130" stopIfTrue="1" operator="greaterThan">
      <formula>1.5%</formula>
    </cfRule>
  </conditionalFormatting>
  <conditionalFormatting sqref="I74">
    <cfRule type="cellIs" dxfId="1846" priority="1145" stopIfTrue="1" operator="lessThan">
      <formula>438</formula>
    </cfRule>
  </conditionalFormatting>
  <conditionalFormatting sqref="J3 B2 J73:J65536">
    <cfRule type="cellIs" dxfId="1845" priority="1155" stopIfTrue="1" operator="lessThan">
      <formula>438</formula>
    </cfRule>
  </conditionalFormatting>
  <conditionalFormatting sqref="J3">
    <cfRule type="cellIs" dxfId="1844" priority="1152" stopIfTrue="1" operator="lessThan">
      <formula>456.25</formula>
    </cfRule>
  </conditionalFormatting>
  <conditionalFormatting sqref="J4:J5">
    <cfRule type="cellIs" dxfId="1843" priority="610" stopIfTrue="1" operator="lessThan">
      <formula>524</formula>
    </cfRule>
  </conditionalFormatting>
  <conditionalFormatting sqref="J7:J10 J12 J14:J16 J18:J19 J21:J23 J25:J60">
    <cfRule type="cellIs" dxfId="1842" priority="438" stopIfTrue="1" operator="lessThan">
      <formula>524</formula>
    </cfRule>
  </conditionalFormatting>
  <conditionalFormatting sqref="J61">
    <cfRule type="cellIs" dxfId="1841" priority="1147" stopIfTrue="1" operator="lessThan">
      <formula>462</formula>
    </cfRule>
  </conditionalFormatting>
  <conditionalFormatting sqref="J66:J72">
    <cfRule type="cellIs" dxfId="1840" priority="1150" stopIfTrue="1" operator="lessThan">
      <formula>73%</formula>
    </cfRule>
  </conditionalFormatting>
  <conditionalFormatting sqref="K4:K5 K7:K10 K12">
    <cfRule type="cellIs" dxfId="1839" priority="1010" stopIfTrue="1" operator="lessThan">
      <formula>540</formula>
    </cfRule>
  </conditionalFormatting>
  <conditionalFormatting sqref="K14:K16">
    <cfRule type="cellIs" dxfId="1838" priority="355" stopIfTrue="1" operator="lessThan">
      <formula>540</formula>
    </cfRule>
  </conditionalFormatting>
  <conditionalFormatting sqref="K18:K19">
    <cfRule type="cellIs" dxfId="1837" priority="269" stopIfTrue="1" operator="lessThan">
      <formula>540</formula>
    </cfRule>
  </conditionalFormatting>
  <conditionalFormatting sqref="K21:K23">
    <cfRule type="cellIs" dxfId="1836" priority="105" stopIfTrue="1" operator="lessThan">
      <formula>540</formula>
    </cfRule>
  </conditionalFormatting>
  <conditionalFormatting sqref="K25:K59">
    <cfRule type="cellIs" dxfId="1835" priority="57" stopIfTrue="1" operator="lessThan">
      <formula>540</formula>
    </cfRule>
  </conditionalFormatting>
  <conditionalFormatting sqref="P4:P12">
    <cfRule type="cellIs" dxfId="1834" priority="557" stopIfTrue="1" operator="greaterThan">
      <formula>1.1</formula>
    </cfRule>
  </conditionalFormatting>
  <conditionalFormatting sqref="P14:P62">
    <cfRule type="cellIs" dxfId="1833" priority="351" stopIfTrue="1" operator="greaterThan">
      <formula>1.1</formula>
    </cfRule>
  </conditionalFormatting>
  <conditionalFormatting sqref="P62:P63">
    <cfRule type="cellIs" dxfId="1832" priority="1148" stopIfTrue="1" operator="greaterThan">
      <formula>1.5%</formula>
    </cfRule>
    <cfRule type="cellIs" dxfId="1831" priority="1149" stopIfTrue="1" operator="lessThan">
      <formula>0%</formula>
    </cfRule>
  </conditionalFormatting>
  <conditionalFormatting sqref="P66">
    <cfRule type="cellIs" dxfId="1830" priority="1132" stopIfTrue="1" operator="greaterThan">
      <formula>1.1</formula>
    </cfRule>
  </conditionalFormatting>
  <conditionalFormatting sqref="R4:S5">
    <cfRule type="cellIs" dxfId="1829" priority="613" stopIfTrue="1" operator="lessThan">
      <formula>0.67</formula>
    </cfRule>
  </conditionalFormatting>
  <conditionalFormatting sqref="R61:S61">
    <cfRule type="cellIs" dxfId="1828" priority="998" stopIfTrue="1" operator="lessThan">
      <formula>0.6</formula>
    </cfRule>
  </conditionalFormatting>
  <conditionalFormatting sqref="R66:S66">
    <cfRule type="cellIs" dxfId="1827" priority="1" stopIfTrue="1" operator="lessThan">
      <formula>0.67</formula>
    </cfRule>
  </conditionalFormatting>
  <conditionalFormatting sqref="S7:S9 R7:S10 R12:S12 R14:S16 R18:S19 R21:S23 R25:S60">
    <cfRule type="cellIs" dxfId="1826" priority="487" stopIfTrue="1" operator="lessThan">
      <formula>0.67</formula>
    </cfRule>
  </conditionalFormatting>
  <conditionalFormatting sqref="T7:T10 T12">
    <cfRule type="cellIs" dxfId="1825" priority="422" stopIfTrue="1" operator="lessThan">
      <formula>0.74</formula>
    </cfRule>
  </conditionalFormatting>
  <conditionalFormatting sqref="T14:T16">
    <cfRule type="cellIs" dxfId="1824" priority="335" stopIfTrue="1" operator="lessThan">
      <formula>0.74</formula>
    </cfRule>
  </conditionalFormatting>
  <conditionalFormatting sqref="T18:T19">
    <cfRule type="cellIs" dxfId="1823" priority="253" stopIfTrue="1" operator="lessThan">
      <formula>0.74</formula>
    </cfRule>
  </conditionalFormatting>
  <conditionalFormatting sqref="T21:T23">
    <cfRule type="cellIs" dxfId="1822" priority="219" stopIfTrue="1" operator="lessThan">
      <formula>0.74</formula>
    </cfRule>
  </conditionalFormatting>
  <conditionalFormatting sqref="T25:T27">
    <cfRule type="cellIs" dxfId="1821" priority="45" stopIfTrue="1" operator="lessThan">
      <formula>0.67</formula>
    </cfRule>
  </conditionalFormatting>
  <conditionalFormatting sqref="T28:T45">
    <cfRule type="cellIs" dxfId="1820" priority="488" stopIfTrue="1" operator="lessThan">
      <formula>0.74</formula>
    </cfRule>
  </conditionalFormatting>
  <conditionalFormatting sqref="T62:T63">
    <cfRule type="cellIs" dxfId="1819" priority="1151" stopIfTrue="1" operator="lessThan">
      <formula>73%</formula>
    </cfRule>
  </conditionalFormatting>
  <conditionalFormatting sqref="T66 V66:W66">
    <cfRule type="cellIs" dxfId="1818" priority="1133" stopIfTrue="1" operator="lessThan">
      <formula>0.74</formula>
    </cfRule>
  </conditionalFormatting>
  <conditionalFormatting sqref="T79">
    <cfRule type="cellIs" dxfId="1817" priority="1137" stopIfTrue="1" operator="lessThan">
      <formula>0.74</formula>
    </cfRule>
  </conditionalFormatting>
  <conditionalFormatting sqref="T80">
    <cfRule type="cellIs" dxfId="1816" priority="1135" stopIfTrue="1" operator="greaterThan">
      <formula>1.1</formula>
    </cfRule>
  </conditionalFormatting>
  <conditionalFormatting sqref="T4:V5">
    <cfRule type="cellIs" dxfId="1815" priority="1000" stopIfTrue="1" operator="lessThan">
      <formula>0.74</formula>
    </cfRule>
  </conditionalFormatting>
  <conditionalFormatting sqref="T29:V29 T31:V31">
    <cfRule type="cellIs" dxfId="1814" priority="539" stopIfTrue="1" operator="lessThan">
      <formula>0.74</formula>
    </cfRule>
  </conditionalFormatting>
  <conditionalFormatting sqref="T46:V61">
    <cfRule type="cellIs" dxfId="1813" priority="1098" stopIfTrue="1" operator="lessThan">
      <formula>0.74</formula>
    </cfRule>
  </conditionalFormatting>
  <conditionalFormatting sqref="T3:W3">
    <cfRule type="cellIs" dxfId="1812" priority="1139" stopIfTrue="1" operator="lessThan">
      <formula>0.65</formula>
    </cfRule>
  </conditionalFormatting>
  <conditionalFormatting sqref="U6:U45">
    <cfRule type="cellIs" dxfId="1811" priority="506" stopIfTrue="1" operator="lessThan">
      <formula>0.74</formula>
    </cfRule>
  </conditionalFormatting>
  <conditionalFormatting sqref="U62:W63">
    <cfRule type="cellIs" dxfId="1810" priority="1154" stopIfTrue="1" operator="lessThan">
      <formula>75%</formula>
    </cfRule>
  </conditionalFormatting>
  <conditionalFormatting sqref="V7:V10 V12">
    <cfRule type="cellIs" dxfId="1809" priority="406" stopIfTrue="1" operator="lessThan">
      <formula>0.74</formula>
    </cfRule>
  </conditionalFormatting>
  <conditionalFormatting sqref="V14:V16">
    <cfRule type="cellIs" dxfId="1808" priority="319" stopIfTrue="1" operator="lessThan">
      <formula>0.74</formula>
    </cfRule>
  </conditionalFormatting>
  <conditionalFormatting sqref="V18:V19">
    <cfRule type="cellIs" dxfId="1807" priority="237" stopIfTrue="1" operator="lessThan">
      <formula>0.74</formula>
    </cfRule>
  </conditionalFormatting>
  <conditionalFormatting sqref="V21:V23">
    <cfRule type="cellIs" dxfId="1806" priority="203" stopIfTrue="1" operator="lessThan">
      <formula>0.74</formula>
    </cfRule>
  </conditionalFormatting>
  <conditionalFormatting sqref="V25:V45">
    <cfRule type="cellIs" dxfId="1805" priority="21" stopIfTrue="1" operator="lessThan">
      <formula>0.74</formula>
    </cfRule>
  </conditionalFormatting>
  <conditionalFormatting sqref="V79:W79">
    <cfRule type="cellIs" dxfId="1804" priority="1136" stopIfTrue="1" operator="lessThan">
      <formula>0.74</formula>
    </cfRule>
  </conditionalFormatting>
  <conditionalFormatting sqref="W4:W5">
    <cfRule type="cellIs" dxfId="1803" priority="999" stopIfTrue="1" operator="lessThan">
      <formula>0.95</formula>
    </cfRule>
  </conditionalFormatting>
  <conditionalFormatting sqref="W7:W10 W12">
    <cfRule type="cellIs" dxfId="1802" priority="404" stopIfTrue="1" operator="lessThan">
      <formula>0.95</formula>
    </cfRule>
  </conditionalFormatting>
  <conditionalFormatting sqref="W14:W16">
    <cfRule type="cellIs" dxfId="1801" priority="317" stopIfTrue="1" operator="lessThan">
      <formula>0.95</formula>
    </cfRule>
  </conditionalFormatting>
  <conditionalFormatting sqref="W18:W19">
    <cfRule type="cellIs" dxfId="1800" priority="235" stopIfTrue="1" operator="lessThan">
      <formula>0.95</formula>
    </cfRule>
  </conditionalFormatting>
  <conditionalFormatting sqref="W21:W23">
    <cfRule type="cellIs" dxfId="1799" priority="201" stopIfTrue="1" operator="lessThan">
      <formula>0.95</formula>
    </cfRule>
  </conditionalFormatting>
  <conditionalFormatting sqref="W25:W61">
    <cfRule type="cellIs" dxfId="1798" priority="39" stopIfTrue="1" operator="lessThan">
      <formula>0.95</formula>
    </cfRule>
  </conditionalFormatting>
  <printOptions horizontalCentered="1"/>
  <pageMargins left="0.10312499999999999" right="0.5" top="0.25" bottom="0.27" header="0.25" footer="0.27"/>
  <pageSetup paperSize="5" scale="35" orientation="landscape"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A0686-4570-485F-B444-B47E66FBFA6D}">
  <sheetPr codeName="Sheet12">
    <pageSetUpPr fitToPage="1"/>
  </sheetPr>
  <dimension ref="A2:AG65464"/>
  <sheetViews>
    <sheetView showZeros="0" showWhiteSpace="0" zoomScale="70" zoomScaleNormal="70" workbookViewId="0">
      <pane xSplit="3" ySplit="3" topLeftCell="E27" activePane="bottomRight" state="frozen"/>
      <selection activeCell="M66" sqref="M66"/>
      <selection pane="topRight" activeCell="M66" sqref="M66"/>
      <selection pane="bottomLeft" activeCell="M66" sqref="M66"/>
      <selection pane="bottomRight" activeCell="M66" sqref="M66"/>
    </sheetView>
  </sheetViews>
  <sheetFormatPr defaultColWidth="9.42578125" defaultRowHeight="12.75" x14ac:dyDescent="0.2"/>
  <cols>
    <col min="1" max="1" width="3.42578125" customWidth="1"/>
    <col min="2" max="2" width="15.42578125" style="1" bestFit="1" customWidth="1"/>
    <col min="3" max="3" width="32.42578125" style="1" customWidth="1"/>
    <col min="4" max="4" width="14.42578125" style="1" customWidth="1"/>
    <col min="5" max="5" width="12.5703125" style="1" customWidth="1"/>
    <col min="6" max="6" width="13.42578125" style="1" customWidth="1"/>
    <col min="7" max="7" width="12.42578125" customWidth="1"/>
    <col min="8" max="8" width="13.5703125" customWidth="1"/>
    <col min="9" max="9" width="11.42578125" style="1" customWidth="1"/>
    <col min="10" max="10" width="12" customWidth="1"/>
    <col min="11" max="11" width="13.5703125" customWidth="1"/>
    <col min="12" max="12" width="13.42578125" hidden="1" customWidth="1"/>
    <col min="13" max="13" width="10.5703125" customWidth="1"/>
    <col min="14" max="14" width="10.42578125" customWidth="1"/>
    <col min="15" max="15" width="8.5703125" customWidth="1"/>
    <col min="16" max="16" width="11" style="2" customWidth="1"/>
    <col min="17" max="17" width="12" style="1" customWidth="1"/>
    <col min="18" max="18" width="7.5703125" style="1" hidden="1" customWidth="1"/>
    <col min="19" max="19" width="12.5703125" style="1" customWidth="1"/>
    <col min="20" max="20" width="13.42578125" customWidth="1"/>
    <col min="21" max="21" width="13.5703125" customWidth="1"/>
    <col min="22" max="22" width="10.42578125" hidden="1" customWidth="1"/>
    <col min="23" max="23" width="13.42578125" customWidth="1"/>
    <col min="24" max="24" width="13.5703125" style="1" customWidth="1"/>
    <col min="25" max="25" width="12" customWidth="1"/>
    <col min="26" max="26" width="17" customWidth="1"/>
    <col min="27" max="27" width="15.42578125" customWidth="1"/>
    <col min="28" max="28" width="15.5703125" customWidth="1"/>
    <col min="29" max="29" width="14" customWidth="1"/>
    <col min="30" max="30" width="25.5703125" customWidth="1"/>
    <col min="31" max="31" width="52.42578125" customWidth="1"/>
  </cols>
  <sheetData>
    <row r="2" spans="2:33" ht="24" thickBot="1" x14ac:dyDescent="0.4">
      <c r="B2" s="1022" t="s">
        <v>406</v>
      </c>
      <c r="C2" s="1022"/>
      <c r="D2" s="1022"/>
      <c r="E2" s="1022"/>
      <c r="F2" s="1022"/>
      <c r="G2" s="1022"/>
      <c r="H2" s="1022"/>
      <c r="I2" s="1022"/>
      <c r="J2" s="1022"/>
      <c r="K2" s="1022"/>
      <c r="L2" s="1022"/>
      <c r="M2" s="1022"/>
      <c r="N2" s="1022"/>
      <c r="O2" s="1022"/>
      <c r="P2" s="1022"/>
      <c r="Q2" s="1022"/>
      <c r="R2" s="1022"/>
      <c r="S2" s="1022"/>
      <c r="T2" s="1022"/>
      <c r="U2" s="1022"/>
      <c r="V2" s="1022"/>
      <c r="W2" s="1022"/>
      <c r="X2" s="1065"/>
      <c r="Y2" s="1065"/>
    </row>
    <row r="3" spans="2:33" ht="67.5" customHeight="1" thickTop="1" thickBot="1" x14ac:dyDescent="0.25">
      <c r="B3" s="37" t="s">
        <v>0</v>
      </c>
      <c r="C3" s="38" t="s">
        <v>2</v>
      </c>
      <c r="D3" s="38" t="s">
        <v>12</v>
      </c>
      <c r="E3" s="38" t="s">
        <v>11</v>
      </c>
      <c r="F3" s="38" t="s">
        <v>15</v>
      </c>
      <c r="G3" s="38" t="s">
        <v>9</v>
      </c>
      <c r="H3" s="38" t="s">
        <v>17</v>
      </c>
      <c r="I3" s="38" t="s">
        <v>5</v>
      </c>
      <c r="J3" s="38" t="s">
        <v>494</v>
      </c>
      <c r="K3" s="38" t="s">
        <v>4</v>
      </c>
      <c r="L3" s="38" t="s">
        <v>540</v>
      </c>
      <c r="M3" s="38" t="s">
        <v>161</v>
      </c>
      <c r="N3" s="38" t="s">
        <v>10</v>
      </c>
      <c r="O3" s="38" t="s">
        <v>428</v>
      </c>
      <c r="P3" s="294" t="s">
        <v>34</v>
      </c>
      <c r="Q3" s="40" t="s">
        <v>55</v>
      </c>
      <c r="R3" s="40" t="s">
        <v>8</v>
      </c>
      <c r="S3" s="41" t="s">
        <v>464</v>
      </c>
      <c r="T3" s="41" t="s">
        <v>473</v>
      </c>
      <c r="U3" s="41" t="s">
        <v>307</v>
      </c>
      <c r="V3" s="41" t="s">
        <v>47</v>
      </c>
      <c r="W3" s="282" t="s">
        <v>308</v>
      </c>
      <c r="X3" s="283" t="s">
        <v>425</v>
      </c>
      <c r="Y3" s="1066" t="s">
        <v>1</v>
      </c>
      <c r="Z3" s="1067"/>
      <c r="AA3" s="1067"/>
      <c r="AB3" s="1067"/>
      <c r="AC3" s="1067"/>
      <c r="AD3" s="1067"/>
      <c r="AE3" s="1068"/>
      <c r="AF3">
        <v>15000</v>
      </c>
      <c r="AG3">
        <v>17000</v>
      </c>
    </row>
    <row r="4" spans="2:33" s="19" customFormat="1" ht="63" customHeight="1" thickTop="1" x14ac:dyDescent="0.2">
      <c r="B4" s="168">
        <f>[3]May_2017!$B8</f>
        <v>42857</v>
      </c>
      <c r="C4" s="26" t="str">
        <f>[3]May_2017!$D8</f>
        <v>CARIB (AMBER)</v>
      </c>
      <c r="D4" s="27">
        <v>3500</v>
      </c>
      <c r="E4" s="28">
        <v>0.46875</v>
      </c>
      <c r="F4" s="29">
        <f>SUM([3]May_2017!$J8)</f>
        <v>258.2</v>
      </c>
      <c r="G4" s="30">
        <f>SUM([3]May_2017!$F8)</f>
        <v>3727</v>
      </c>
      <c r="H4" s="29">
        <f>SUM([3]May_2017!$K8)</f>
        <v>256.24200000000002</v>
      </c>
      <c r="I4" s="31">
        <f>SUM([3]May_2017!$N8)</f>
        <v>16.2</v>
      </c>
      <c r="J4" s="32">
        <f>SUM([3]May_2017!$Q8)</f>
        <v>362.43111831442462</v>
      </c>
      <c r="K4" s="32">
        <f>SUM([3]May_2017!$E8)</f>
        <v>617</v>
      </c>
      <c r="L4" s="32">
        <v>412</v>
      </c>
      <c r="M4" s="169">
        <v>0.78472222222222221</v>
      </c>
      <c r="N4" s="32">
        <f>SUM([3]May_2017!$M8)</f>
        <v>253</v>
      </c>
      <c r="O4" s="236"/>
      <c r="P4" s="170"/>
      <c r="Q4" s="33">
        <f>SUM([3]May_2017!$P8)</f>
        <v>0.75832687838883428</v>
      </c>
      <c r="R4" s="32"/>
      <c r="S4" s="129">
        <f>($G4)/(($K4/60)*AF$3*(1/24))</f>
        <v>0.57988978930307944</v>
      </c>
      <c r="T4" s="129">
        <f>($G4)/(($K4/60)*AG$3*(1/24))</f>
        <v>0.51166746114977602</v>
      </c>
      <c r="U4" s="129">
        <f>(G4)*24/(K4/60)/15000</f>
        <v>0.57988978930307944</v>
      </c>
      <c r="V4" s="129">
        <f>(H4+H7)*24/(N4/60)/15000</f>
        <v>0.18453628458498028</v>
      </c>
      <c r="W4" s="227">
        <f>(G4)*24/(K4/60)/17000</f>
        <v>0.51166746114977602</v>
      </c>
      <c r="X4" s="233">
        <f>(704-(N4))/704</f>
        <v>0.640625</v>
      </c>
      <c r="Y4" s="1059" t="s">
        <v>539</v>
      </c>
      <c r="Z4" s="1060"/>
      <c r="AA4" s="1060"/>
      <c r="AB4" s="1060"/>
      <c r="AC4" s="1060"/>
      <c r="AD4" s="1060"/>
      <c r="AE4" s="1061"/>
    </row>
    <row r="5" spans="2:33" s="19" customFormat="1" ht="82.5" customHeight="1" x14ac:dyDescent="0.2">
      <c r="B5" s="1037">
        <f>[3]May_2017!$B9</f>
        <v>42858</v>
      </c>
      <c r="C5" s="26" t="str">
        <f>[3]May_2017!$D9</f>
        <v>CARIB (AMBER)</v>
      </c>
      <c r="D5" s="27">
        <v>4400</v>
      </c>
      <c r="E5" s="1051">
        <v>0.32430555555555557</v>
      </c>
      <c r="F5" s="29">
        <f>SUM([3]May_2017!$J9)</f>
        <v>305.60000000000002</v>
      </c>
      <c r="G5" s="30">
        <f>SUM([3]May_2017!$F9)</f>
        <v>4486</v>
      </c>
      <c r="H5" s="29">
        <f>SUM([3]May_2017!$K9)</f>
        <v>304.81600000000003</v>
      </c>
      <c r="I5" s="31">
        <f>SUM([3]May_2017!$N9)</f>
        <v>16</v>
      </c>
      <c r="J5" s="991">
        <f>SUM([3]May_2017!$Q9)</f>
        <v>505.15200000000004</v>
      </c>
      <c r="K5" s="991">
        <f>SUM([3]May_2017!$E9)</f>
        <v>625</v>
      </c>
      <c r="L5" s="32"/>
      <c r="M5" s="1017">
        <v>0.7895833333333333</v>
      </c>
      <c r="N5" s="32">
        <f>SUM([3]May_2017!$M9)</f>
        <v>49</v>
      </c>
      <c r="O5" s="236"/>
      <c r="P5" s="32"/>
      <c r="Q5" s="33">
        <f>SUM([3]May_2017!$P9)</f>
        <v>0.25654450261779832</v>
      </c>
      <c r="R5" s="32"/>
      <c r="S5" s="1039">
        <f>($G5+G6)/(($K5/60)*AF$3*(1/24))</f>
        <v>0.80824320000000005</v>
      </c>
      <c r="T5" s="1039">
        <f>($G5+G6)/(($K5/60)*AG$3*(1/24))</f>
        <v>0.71315576470588249</v>
      </c>
      <c r="U5" s="1039">
        <f>(G5+G6)*24/(K5/60)/15000</f>
        <v>0.80824320000000005</v>
      </c>
      <c r="V5" s="129"/>
      <c r="W5" s="1047">
        <f>(G5+G6)*24/(K5/60)/17000</f>
        <v>0.71315576470588238</v>
      </c>
      <c r="X5" s="1035">
        <f>(719-(N5+N6))/719</f>
        <v>0.91098748261474272</v>
      </c>
      <c r="Y5" s="1059" t="s">
        <v>541</v>
      </c>
      <c r="Z5" s="1060"/>
      <c r="AA5" s="1060"/>
      <c r="AB5" s="1060"/>
      <c r="AC5" s="1060"/>
      <c r="AD5" s="1060"/>
      <c r="AE5" s="1061"/>
    </row>
    <row r="6" spans="2:33" s="19" customFormat="1" ht="30" customHeight="1" x14ac:dyDescent="0.2">
      <c r="B6" s="1038"/>
      <c r="C6" s="26" t="str">
        <f>[3]May_2017!$D10</f>
        <v>STAG</v>
      </c>
      <c r="D6" s="27"/>
      <c r="E6" s="1053"/>
      <c r="F6" s="29">
        <f>SUM([3]May_2017!$J10)</f>
        <v>51.4</v>
      </c>
      <c r="G6" s="30">
        <f>SUM([3]May_2017!$F10)</f>
        <v>776</v>
      </c>
      <c r="H6" s="29">
        <f>SUM([3]May_2017!$K10)</f>
        <v>51.216000000000001</v>
      </c>
      <c r="I6" s="31">
        <f>SUM([3]May_2017!$N10)</f>
        <v>4</v>
      </c>
      <c r="J6" s="992"/>
      <c r="K6" s="992"/>
      <c r="L6" s="32"/>
      <c r="M6" s="1018"/>
      <c r="N6" s="32">
        <f>SUM([3]May_2017!$M10)</f>
        <v>15</v>
      </c>
      <c r="O6" s="236">
        <f>[4]May!$I$10/K5</f>
        <v>2.4E-2</v>
      </c>
      <c r="P6" s="32"/>
      <c r="Q6" s="33">
        <f>SUM([3]May_2017!$P10)</f>
        <v>0.35797665369649317</v>
      </c>
      <c r="R6" s="32"/>
      <c r="S6" s="1040"/>
      <c r="T6" s="1040"/>
      <c r="U6" s="1040"/>
      <c r="V6" s="129"/>
      <c r="W6" s="1048"/>
      <c r="X6" s="1036"/>
      <c r="Y6" s="1059"/>
      <c r="Z6" s="1060"/>
      <c r="AA6" s="1060"/>
      <c r="AB6" s="1060"/>
      <c r="AC6" s="1060"/>
      <c r="AD6" s="1060"/>
      <c r="AE6" s="1061"/>
    </row>
    <row r="7" spans="2:33" s="19" customFormat="1" ht="73.5" customHeight="1" x14ac:dyDescent="0.2">
      <c r="B7" s="1037">
        <f>[3]May_2017!$B11</f>
        <v>42859</v>
      </c>
      <c r="C7" s="26" t="str">
        <f>[3]May_2017!$D11</f>
        <v>STAG</v>
      </c>
      <c r="D7" s="27">
        <v>3500</v>
      </c>
      <c r="E7" s="1051">
        <v>0.35138888888888892</v>
      </c>
      <c r="F7" s="29">
        <f>SUM([3]May_2017!$J11)</f>
        <v>231.8</v>
      </c>
      <c r="G7" s="30">
        <f>SUM([3]May_2017!$F11)</f>
        <v>3443</v>
      </c>
      <c r="H7" s="29">
        <f>SUM([3]May_2017!$K11)</f>
        <v>230.08799999999999</v>
      </c>
      <c r="I7" s="31">
        <f>SUM([3]May_2017!$N11)</f>
        <v>14</v>
      </c>
      <c r="J7" s="991">
        <f>SUM([3]May_2017!$Q11)</f>
        <v>493.95121951219511</v>
      </c>
      <c r="K7" s="991">
        <f>SUM([3]May_2017!$E11)</f>
        <v>615</v>
      </c>
      <c r="L7" s="32"/>
      <c r="M7" s="1017">
        <v>0.78194444444444444</v>
      </c>
      <c r="N7" s="32">
        <f>SUM([3]May_2017!$M11)</f>
        <v>71</v>
      </c>
      <c r="O7" s="236"/>
      <c r="P7" s="32"/>
      <c r="Q7" s="33">
        <f>SUM([3]May_2017!$P11)</f>
        <v>0.73856773080242344</v>
      </c>
      <c r="R7" s="32"/>
      <c r="S7" s="1039">
        <f>($G7+G8)/(($K7/60)*AF$3*(1/24))</f>
        <v>0.79032195121951221</v>
      </c>
      <c r="T7" s="1039">
        <f>($G7+G8)/(($K7/60)*AG$3*(1/24))</f>
        <v>0.69734289813486372</v>
      </c>
      <c r="U7" s="1039">
        <f>(G7+G8)*24/(K7/60)/15000</f>
        <v>0.7903219512195121</v>
      </c>
      <c r="V7" s="129"/>
      <c r="W7" s="1047">
        <f>(G7+G8)*24/(K7/60)/17000</f>
        <v>0.69734289813486361</v>
      </c>
      <c r="X7" s="1035">
        <f>(706-(N7+N8))/706</f>
        <v>0.82577903682719545</v>
      </c>
      <c r="Y7" s="1059" t="s">
        <v>543</v>
      </c>
      <c r="Z7" s="1060"/>
      <c r="AA7" s="1060"/>
      <c r="AB7" s="1060"/>
      <c r="AC7" s="1060"/>
      <c r="AD7" s="1060"/>
      <c r="AE7" s="1061"/>
    </row>
    <row r="8" spans="2:33" s="19" customFormat="1" ht="42" customHeight="1" x14ac:dyDescent="0.2">
      <c r="B8" s="1038"/>
      <c r="C8" s="26" t="str">
        <f>[3]May_2017!$D12</f>
        <v xml:space="preserve">GINSENG </v>
      </c>
      <c r="D8" s="27">
        <v>1500</v>
      </c>
      <c r="E8" s="1053"/>
      <c r="F8" s="29">
        <f>SUM([3]May_2017!$J12)</f>
        <v>108</v>
      </c>
      <c r="G8" s="30">
        <f>SUM([3]May_2017!$F12)</f>
        <v>1620</v>
      </c>
      <c r="H8" s="29">
        <f>SUM([3]May_2017!$K12)</f>
        <v>106.92</v>
      </c>
      <c r="I8" s="31">
        <f>SUM([3]May_2017!$N12)</f>
        <v>7</v>
      </c>
      <c r="J8" s="992"/>
      <c r="K8" s="992"/>
      <c r="L8" s="32"/>
      <c r="M8" s="1018"/>
      <c r="N8" s="32">
        <f>SUM([3]May_2017!$M12)</f>
        <v>52</v>
      </c>
      <c r="O8" s="236">
        <f>[4]May!$I$12/K7</f>
        <v>7.8048780487804878E-2</v>
      </c>
      <c r="P8" s="32"/>
      <c r="Q8" s="33">
        <f>SUM([3]May_2017!$P12)</f>
        <v>0.99999999999999845</v>
      </c>
      <c r="R8" s="32"/>
      <c r="S8" s="1040"/>
      <c r="T8" s="1040"/>
      <c r="U8" s="1040"/>
      <c r="V8" s="129"/>
      <c r="W8" s="1048"/>
      <c r="X8" s="1036"/>
      <c r="Y8" s="1059" t="s">
        <v>542</v>
      </c>
      <c r="Z8" s="1060"/>
      <c r="AA8" s="1060"/>
      <c r="AB8" s="1060"/>
      <c r="AC8" s="1060"/>
      <c r="AD8" s="1060"/>
      <c r="AE8" s="1061"/>
    </row>
    <row r="9" spans="2:33" s="19" customFormat="1" ht="74.25" customHeight="1" x14ac:dyDescent="0.2">
      <c r="B9" s="168">
        <v>42860</v>
      </c>
      <c r="C9" s="26" t="str">
        <f>[3]May_2017!$D13</f>
        <v>MAXIMALT</v>
      </c>
      <c r="D9" s="27">
        <v>4200</v>
      </c>
      <c r="E9" s="28">
        <v>0.32430555555555557</v>
      </c>
      <c r="F9" s="29">
        <f>SUM([3]May_2017!$J13)</f>
        <v>301.3</v>
      </c>
      <c r="G9" s="30">
        <f>SUM([3]May_2017!$F13)</f>
        <v>4510</v>
      </c>
      <c r="H9" s="29">
        <f>SUM([3]May_2017!$K13)</f>
        <v>297.66000000000003</v>
      </c>
      <c r="I9" s="31">
        <f>SUM([3]May_2017!$N13)</f>
        <v>39</v>
      </c>
      <c r="J9" s="32">
        <f>SUM([3]May_2017!$Q13)</f>
        <v>504.85074626865668</v>
      </c>
      <c r="K9" s="32">
        <f>SUM([3]May_2017!$E13)</f>
        <v>536</v>
      </c>
      <c r="L9" s="32"/>
      <c r="M9" s="169">
        <v>0.72777777777777775</v>
      </c>
      <c r="N9" s="32">
        <f>SUM([3]May_2017!$M13)</f>
        <v>60</v>
      </c>
      <c r="O9" s="236"/>
      <c r="P9" s="32"/>
      <c r="Q9" s="33">
        <f>SUM([3]May_2017!$P13)</f>
        <v>1.2080982409558534</v>
      </c>
      <c r="R9" s="32"/>
      <c r="S9" s="129">
        <f>($G9)/(($K9/60)*AF$3*(1/24))</f>
        <v>0.8077611940298508</v>
      </c>
      <c r="T9" s="129">
        <f>($G9)/(($K9/60)*AG$3*(1/24))</f>
        <v>0.71273046532045659</v>
      </c>
      <c r="U9" s="129">
        <f>(G9)*24/(K9/60)/15000</f>
        <v>0.80776119402985069</v>
      </c>
      <c r="V9" s="129"/>
      <c r="W9" s="227">
        <f>(G9)*24/(K9/60)/17000</f>
        <v>0.71273046532045647</v>
      </c>
      <c r="X9" s="233">
        <f>(623-(N9))/623</f>
        <v>0.9036918138041734</v>
      </c>
      <c r="Y9" s="1059" t="s">
        <v>544</v>
      </c>
      <c r="Z9" s="1060"/>
      <c r="AA9" s="1060"/>
      <c r="AB9" s="1060"/>
      <c r="AC9" s="1060"/>
      <c r="AD9" s="1060"/>
      <c r="AE9" s="1061"/>
    </row>
    <row r="10" spans="2:33" s="19" customFormat="1" ht="42" customHeight="1" x14ac:dyDescent="0.2">
      <c r="B10" s="1037">
        <v>42863</v>
      </c>
      <c r="C10" s="26" t="str">
        <f>[3]May_2017!$D14</f>
        <v>J Cool (SODA WATER)</v>
      </c>
      <c r="D10" s="27">
        <v>300</v>
      </c>
      <c r="E10" s="1051">
        <v>0.3576388888888889</v>
      </c>
      <c r="F10" s="29">
        <f>SUM([3]May_2017!$J14)</f>
        <v>23.779</v>
      </c>
      <c r="G10" s="30">
        <f>SUM([3]May_2017!$F14)</f>
        <v>301</v>
      </c>
      <c r="H10" s="29">
        <f>SUM([3]May_2017!$K14)</f>
        <v>23.779</v>
      </c>
      <c r="I10" s="31">
        <f>SUM([3]May_2017!$N14)</f>
        <v>3.3</v>
      </c>
      <c r="J10" s="991">
        <f>SUM([3]May_2017!$Q14)</f>
        <v>331.35135135135135</v>
      </c>
      <c r="K10" s="991">
        <f>SUM([3]May_2017!$E14)</f>
        <v>666</v>
      </c>
      <c r="L10" s="285"/>
      <c r="M10" s="1017">
        <v>0.81805555555555554</v>
      </c>
      <c r="N10" s="32">
        <f>SUM([3]May_2017!$M14)</f>
        <v>62</v>
      </c>
      <c r="O10" s="236"/>
      <c r="P10" s="32"/>
      <c r="Q10" s="33">
        <f>SUM([3]May_2017!$P14)</f>
        <v>0</v>
      </c>
      <c r="R10" s="32"/>
      <c r="S10" s="1039">
        <f>($G10+G11+G12+G13)/(($K10/60)*AF$3*(1/24))</f>
        <v>0.53016216216216216</v>
      </c>
      <c r="T10" s="1039">
        <f>($G10+G11+G12+G13)/(($K10/60)*AG$3*(1/24))</f>
        <v>0.46779014308426076</v>
      </c>
      <c r="U10" s="1039">
        <f>(G10+G11+G12+G13)*24/(K10/60)/15000</f>
        <v>0.53016216216216216</v>
      </c>
      <c r="V10" s="129"/>
      <c r="W10" s="1047">
        <f>(G10+G11+G12+G13)*24/(K10/60)/17000</f>
        <v>0.46779014308426076</v>
      </c>
      <c r="X10" s="1035">
        <f>(751-(N10+N11+N12+N13))/751</f>
        <v>0.68042609853528624</v>
      </c>
      <c r="Y10" s="1059" t="s">
        <v>547</v>
      </c>
      <c r="Z10" s="1060"/>
      <c r="AA10" s="1060"/>
      <c r="AB10" s="1060"/>
      <c r="AC10" s="1060"/>
      <c r="AD10" s="1060"/>
      <c r="AE10" s="1061"/>
    </row>
    <row r="11" spans="2:33" s="19" customFormat="1" ht="30" customHeight="1" x14ac:dyDescent="0.2">
      <c r="B11" s="1050"/>
      <c r="C11" s="26" t="str">
        <f>[3]May_2017!$D15</f>
        <v>J Cool (KOLA)</v>
      </c>
      <c r="D11" s="27">
        <v>1200</v>
      </c>
      <c r="E11" s="1052"/>
      <c r="F11" s="29">
        <f>SUM([3]May_2017!$J15)</f>
        <v>94.920000000000016</v>
      </c>
      <c r="G11" s="30">
        <f>SUM([3]May_2017!$F15)</f>
        <v>1148</v>
      </c>
      <c r="H11" s="29">
        <f>SUM([3]May_2017!$K15)</f>
        <v>90.692000000000007</v>
      </c>
      <c r="I11" s="31">
        <f>SUM([3]May_2017!$N15)</f>
        <v>3.6333333333333302</v>
      </c>
      <c r="J11" s="1042"/>
      <c r="K11" s="1042"/>
      <c r="L11" s="285"/>
      <c r="M11" s="1055"/>
      <c r="N11" s="32">
        <f>SUM([3]May_2017!$M15)</f>
        <v>49</v>
      </c>
      <c r="O11" s="236">
        <f>[4]May!$I$15/K10</f>
        <v>3.6036036036036036E-2</v>
      </c>
      <c r="P11" s="32"/>
      <c r="Q11" s="33">
        <f>SUM([3]May_2017!$P15)</f>
        <v>4.4542772861357012</v>
      </c>
      <c r="R11" s="32"/>
      <c r="S11" s="1041"/>
      <c r="T11" s="1041"/>
      <c r="U11" s="1041"/>
      <c r="V11" s="129"/>
      <c r="W11" s="1049"/>
      <c r="X11" s="1054"/>
      <c r="Y11" s="1059" t="s">
        <v>545</v>
      </c>
      <c r="Z11" s="1060"/>
      <c r="AA11" s="1060"/>
      <c r="AB11" s="1060"/>
      <c r="AC11" s="1060"/>
      <c r="AD11" s="1060"/>
      <c r="AE11" s="1061"/>
    </row>
    <row r="12" spans="2:33" s="19" customFormat="1" ht="42" customHeight="1" x14ac:dyDescent="0.2">
      <c r="B12" s="1050"/>
      <c r="C12" s="26" t="str">
        <f>[3]May_2017!$D16</f>
        <v>J Cool (Cream)</v>
      </c>
      <c r="D12" s="27">
        <v>1200</v>
      </c>
      <c r="E12" s="1052"/>
      <c r="F12" s="29">
        <f>SUM([3]May_2017!$J16)</f>
        <v>90.4</v>
      </c>
      <c r="G12" s="30">
        <f>SUM([3]May_2017!$F16)</f>
        <v>1130</v>
      </c>
      <c r="H12" s="29">
        <f>SUM([3]May_2017!$K16)</f>
        <v>89.27</v>
      </c>
      <c r="I12" s="31">
        <f>SUM([3]May_2017!$N16)</f>
        <v>2.8</v>
      </c>
      <c r="J12" s="1042"/>
      <c r="K12" s="1042"/>
      <c r="L12" s="285"/>
      <c r="M12" s="1055"/>
      <c r="N12" s="32">
        <f>SUM([3]May_2017!$M16)</f>
        <v>67</v>
      </c>
      <c r="O12" s="236">
        <f>[4]May!$I$16/K10</f>
        <v>9.7597597597597591E-2</v>
      </c>
      <c r="P12" s="32"/>
      <c r="Q12" s="33">
        <f>SUM([3]May_2017!$P16)</f>
        <v>1.2500000000000107</v>
      </c>
      <c r="R12" s="32"/>
      <c r="S12" s="1041"/>
      <c r="T12" s="1041"/>
      <c r="U12" s="1041"/>
      <c r="V12" s="129"/>
      <c r="W12" s="1049"/>
      <c r="X12" s="1054"/>
      <c r="Y12" s="1059" t="s">
        <v>546</v>
      </c>
      <c r="Z12" s="1060"/>
      <c r="AA12" s="1060"/>
      <c r="AB12" s="1060"/>
      <c r="AC12" s="1060"/>
      <c r="AD12" s="1060"/>
      <c r="AE12" s="1061"/>
    </row>
    <row r="13" spans="2:33" s="19" customFormat="1" ht="54.75" customHeight="1" x14ac:dyDescent="0.2">
      <c r="B13" s="1038"/>
      <c r="C13" s="26" t="str">
        <f>[3]May_2017!$D17</f>
        <v>J Cool (GRAPE)</v>
      </c>
      <c r="D13" s="27">
        <v>1200</v>
      </c>
      <c r="E13" s="1053"/>
      <c r="F13" s="29">
        <f>SUM([3]May_2017!$J17)</f>
        <v>90.4</v>
      </c>
      <c r="G13" s="30">
        <f>SUM([3]May_2017!$F17)</f>
        <v>1099</v>
      </c>
      <c r="H13" s="29">
        <f>SUM([3]May_2017!$K17)</f>
        <v>86.820999999999998</v>
      </c>
      <c r="I13" s="31">
        <f>SUM([3]May_2017!$N17)</f>
        <v>20.3</v>
      </c>
      <c r="J13" s="992"/>
      <c r="K13" s="992"/>
      <c r="L13" s="285"/>
      <c r="M13" s="1018"/>
      <c r="N13" s="32">
        <f>SUM([3]May_2017!$M17)</f>
        <v>62</v>
      </c>
      <c r="O13" s="236">
        <f>[4]May!$I$17/K10</f>
        <v>5.2552552552552555E-2</v>
      </c>
      <c r="P13" s="32"/>
      <c r="Q13" s="33">
        <f>SUM([3]May_2017!$P17)</f>
        <v>3.9590707964601854</v>
      </c>
      <c r="R13" s="32"/>
      <c r="S13" s="1040"/>
      <c r="T13" s="1040"/>
      <c r="U13" s="1040"/>
      <c r="V13" s="129"/>
      <c r="W13" s="1048"/>
      <c r="X13" s="1036"/>
      <c r="Y13" s="1059" t="s">
        <v>548</v>
      </c>
      <c r="Z13" s="1060"/>
      <c r="AA13" s="1060"/>
      <c r="AB13" s="1060"/>
      <c r="AC13" s="1060"/>
      <c r="AD13" s="1060"/>
      <c r="AE13" s="1061"/>
    </row>
    <row r="14" spans="2:33" s="19" customFormat="1" ht="82.5" customHeight="1" x14ac:dyDescent="0.2">
      <c r="B14" s="168">
        <v>42864</v>
      </c>
      <c r="C14" s="26" t="str">
        <f>[3]May_2017!$D18</f>
        <v>STAG</v>
      </c>
      <c r="D14" s="27">
        <v>4900</v>
      </c>
      <c r="E14" s="28">
        <v>0.33263888888888887</v>
      </c>
      <c r="F14" s="29">
        <f>SUM([3]May_2017!$J18)</f>
        <v>321.89999999999998</v>
      </c>
      <c r="G14" s="30">
        <f>SUM([3]May_2017!$F18)</f>
        <v>4799</v>
      </c>
      <c r="H14" s="29">
        <f>SUM([3]May_2017!$K18)</f>
        <v>320.53400000000005</v>
      </c>
      <c r="I14" s="31">
        <f>SUM([3]May_2017!$N18)</f>
        <v>30</v>
      </c>
      <c r="J14" s="32">
        <f>SUM([3]May_2017!$Q18)</f>
        <v>457.77424483306839</v>
      </c>
      <c r="K14" s="32">
        <f>SUM([3]May_2017!$E18)</f>
        <v>629</v>
      </c>
      <c r="L14" s="285"/>
      <c r="M14" s="169">
        <v>0.79166666666666663</v>
      </c>
      <c r="N14" s="32">
        <f>SUM([3]May_2017!$M18)</f>
        <v>125</v>
      </c>
      <c r="O14" s="236"/>
      <c r="P14" s="32"/>
      <c r="Q14" s="33">
        <f>SUM([3]May_2017!$P18)</f>
        <v>0.42435538987260907</v>
      </c>
      <c r="R14" s="32"/>
      <c r="S14" s="129">
        <f t="shared" ref="S14:T16" si="0">($G14)/(($K14/60)*AF$3*(1/24))</f>
        <v>0.73243879173290938</v>
      </c>
      <c r="T14" s="129">
        <f t="shared" si="0"/>
        <v>0.64626952211727307</v>
      </c>
      <c r="U14" s="129">
        <f t="shared" ref="U14:U19" si="1">(G14)*24/(K14/60)/15000</f>
        <v>0.73243879173290938</v>
      </c>
      <c r="V14" s="129"/>
      <c r="W14" s="227">
        <f t="shared" ref="W14:W19" si="2">(G14)*24/(K14/60)/17000</f>
        <v>0.64626952211727295</v>
      </c>
      <c r="X14" s="233">
        <f>(716-(N14))/716</f>
        <v>0.82541899441340782</v>
      </c>
      <c r="Y14" s="1059" t="s">
        <v>549</v>
      </c>
      <c r="Z14" s="1060"/>
      <c r="AA14" s="1060"/>
      <c r="AB14" s="1060"/>
      <c r="AC14" s="1060"/>
      <c r="AD14" s="1060"/>
      <c r="AE14" s="1061"/>
    </row>
    <row r="15" spans="2:33" s="19" customFormat="1" ht="75.75" customHeight="1" x14ac:dyDescent="0.2">
      <c r="B15" s="168">
        <v>42865</v>
      </c>
      <c r="C15" s="26" t="str">
        <f>[3]May_2017!$D19</f>
        <v>STAG</v>
      </c>
      <c r="D15" s="27">
        <v>4900</v>
      </c>
      <c r="E15" s="28">
        <v>0.374305555555556</v>
      </c>
      <c r="F15" s="29">
        <f>SUM([3]May_2017!$J19)</f>
        <v>330.5</v>
      </c>
      <c r="G15" s="30">
        <f>SUM([3]May_2017!$F19)</f>
        <v>5000</v>
      </c>
      <c r="H15" s="29">
        <f>SUM([3]May_2017!$K19)</f>
        <v>330</v>
      </c>
      <c r="I15" s="31">
        <f>SUM([3]May_2017!$N19)</f>
        <v>24.75</v>
      </c>
      <c r="J15" s="32">
        <f>SUM([3]May_2017!$Q19)</f>
        <v>491.80327868852464</v>
      </c>
      <c r="K15" s="32">
        <f>SUM([3]May_2017!$E19)</f>
        <v>610</v>
      </c>
      <c r="L15" s="285"/>
      <c r="M15" s="169">
        <v>0.78472222222222221</v>
      </c>
      <c r="N15" s="32">
        <f>SUM([3]May_2017!$M19)</f>
        <v>74</v>
      </c>
      <c r="O15" s="236"/>
      <c r="P15" s="32">
        <v>17</v>
      </c>
      <c r="Q15" s="33">
        <f>SUM([3]May_2017!$P19)</f>
        <v>0.15128593040847202</v>
      </c>
      <c r="R15" s="32"/>
      <c r="S15" s="129">
        <f t="shared" si="0"/>
        <v>0.78688524590163944</v>
      </c>
      <c r="T15" s="129">
        <f t="shared" si="0"/>
        <v>0.69431051108968189</v>
      </c>
      <c r="U15" s="129">
        <f t="shared" si="1"/>
        <v>0.78688524590163944</v>
      </c>
      <c r="V15" s="129"/>
      <c r="W15" s="227">
        <f t="shared" si="2"/>
        <v>0.69431051108968189</v>
      </c>
      <c r="X15" s="233">
        <f>(705-(N15))/705</f>
        <v>0.89503546099290776</v>
      </c>
      <c r="Y15" s="1059" t="s">
        <v>550</v>
      </c>
      <c r="Z15" s="1060"/>
      <c r="AA15" s="1060"/>
      <c r="AB15" s="1060"/>
      <c r="AC15" s="1060"/>
      <c r="AD15" s="1060"/>
      <c r="AE15" s="1061"/>
    </row>
    <row r="16" spans="2:33" s="19" customFormat="1" ht="75.75" customHeight="1" x14ac:dyDescent="0.2">
      <c r="B16" s="168">
        <v>42866</v>
      </c>
      <c r="C16" s="26" t="str">
        <f>[3]May_2017!$D20</f>
        <v>CARIB (AMBER)</v>
      </c>
      <c r="D16" s="27">
        <v>5325</v>
      </c>
      <c r="E16" s="28">
        <v>0.38194444444444442</v>
      </c>
      <c r="F16" s="29">
        <f>SUM([3]May_2017!$J20)</f>
        <v>342.4</v>
      </c>
      <c r="G16" s="30">
        <f>SUM([3]May_2017!$F20)</f>
        <v>5049</v>
      </c>
      <c r="H16" s="29">
        <f>SUM([3]May_2017!$K20)</f>
        <v>340.83400000000006</v>
      </c>
      <c r="I16" s="31">
        <f>SUM([3]May_2017!$N20)</f>
        <v>11.75</v>
      </c>
      <c r="J16" s="32">
        <f>SUM([3]May_2017!$Q20)</f>
        <v>493.38762214983717</v>
      </c>
      <c r="K16" s="32">
        <f>SUM([3]May_2017!$E20)</f>
        <v>614</v>
      </c>
      <c r="L16" s="285"/>
      <c r="M16" s="169">
        <v>0.78819444444444453</v>
      </c>
      <c r="N16" s="32">
        <f>SUM([3]May_2017!$M20)</f>
        <v>128</v>
      </c>
      <c r="O16" s="236"/>
      <c r="P16" s="32"/>
      <c r="Q16" s="33">
        <f>SUM([3]May_2017!$P20)</f>
        <v>0.45735981308408796</v>
      </c>
      <c r="R16" s="32"/>
      <c r="S16" s="129">
        <f t="shared" si="0"/>
        <v>0.7894201954397394</v>
      </c>
      <c r="T16" s="129">
        <f t="shared" si="0"/>
        <v>0.69654723127035834</v>
      </c>
      <c r="U16" s="129">
        <f t="shared" si="1"/>
        <v>0.78942019543973951</v>
      </c>
      <c r="V16" s="129"/>
      <c r="W16" s="227">
        <f t="shared" si="2"/>
        <v>0.69654723127035834</v>
      </c>
      <c r="X16" s="233">
        <f>(915-(N16))/915</f>
        <v>0.86010928961748634</v>
      </c>
      <c r="Y16" s="1059" t="s">
        <v>551</v>
      </c>
      <c r="Z16" s="1060"/>
      <c r="AA16" s="1060"/>
      <c r="AB16" s="1060"/>
      <c r="AC16" s="1060"/>
      <c r="AD16" s="1060"/>
      <c r="AE16" s="1061"/>
    </row>
    <row r="17" spans="2:31" s="19" customFormat="1" ht="42" customHeight="1" x14ac:dyDescent="0.2">
      <c r="B17" s="168">
        <v>42867</v>
      </c>
      <c r="C17" s="26" t="str">
        <f>[3]May_2017!$D21</f>
        <v>CARIB (AMBER)</v>
      </c>
      <c r="D17" s="27">
        <v>4200</v>
      </c>
      <c r="E17" s="28">
        <v>0.32500000000000001</v>
      </c>
      <c r="F17" s="29">
        <f>SUM([3]May_2017!$J21)</f>
        <v>289.8</v>
      </c>
      <c r="G17" s="30">
        <f>SUM([3]May_2017!$F21)</f>
        <v>4372</v>
      </c>
      <c r="H17" s="29">
        <f>SUM([3]May_2017!$K21)</f>
        <v>288.55200000000002</v>
      </c>
      <c r="I17" s="31">
        <f>SUM([3]May_2017!$N21)</f>
        <v>9.75</v>
      </c>
      <c r="J17" s="32">
        <f>SUM([3]May_2017!$Q21)</f>
        <v>589.48314606741576</v>
      </c>
      <c r="K17" s="32">
        <f>SUM([3]May_2017!$E21)</f>
        <v>445</v>
      </c>
      <c r="L17" s="285"/>
      <c r="M17" s="169">
        <v>0.66666666666666663</v>
      </c>
      <c r="N17" s="32">
        <f>SUM([3]May_2017!$M21)</f>
        <v>14</v>
      </c>
      <c r="O17" s="236"/>
      <c r="P17" s="32"/>
      <c r="Q17" s="33">
        <f>SUM([3]May_2017!$P21)</f>
        <v>0.43064182194616646</v>
      </c>
      <c r="R17" s="32"/>
      <c r="S17" s="129">
        <f t="shared" ref="S17:T19" si="3">($G17)/(($K17/60)*AF$3*(1/24))</f>
        <v>0.94317303370786532</v>
      </c>
      <c r="T17" s="129">
        <f t="shared" si="3"/>
        <v>0.8322115003304692</v>
      </c>
      <c r="U17" s="129">
        <f t="shared" si="1"/>
        <v>0.9431730337078652</v>
      </c>
      <c r="V17" s="129"/>
      <c r="W17" s="227">
        <f t="shared" si="2"/>
        <v>0.8322115003304692</v>
      </c>
      <c r="X17" s="233">
        <f>(538-(N17))/538</f>
        <v>0.97397769516728627</v>
      </c>
      <c r="Y17" s="1059" t="s">
        <v>552</v>
      </c>
      <c r="Z17" s="1060"/>
      <c r="AA17" s="1060"/>
      <c r="AB17" s="1060"/>
      <c r="AC17" s="1060"/>
      <c r="AD17" s="1060"/>
      <c r="AE17" s="1061"/>
    </row>
    <row r="18" spans="2:31" s="19" customFormat="1" ht="97.5" customHeight="1" x14ac:dyDescent="0.2">
      <c r="B18" s="168">
        <v>42870</v>
      </c>
      <c r="C18" s="26" t="str">
        <f>[3]May_2017!$D22</f>
        <v xml:space="preserve">VITA MALT  </v>
      </c>
      <c r="D18" s="27">
        <v>3400</v>
      </c>
      <c r="E18" s="28">
        <v>0.34166666666666662</v>
      </c>
      <c r="F18" s="29">
        <f>SUM([3]May_2017!$J22)</f>
        <v>255.39999999999998</v>
      </c>
      <c r="G18" s="30">
        <f>SUM([3]May_2017!$F22)</f>
        <v>3410</v>
      </c>
      <c r="H18" s="29">
        <f>SUM([3]May_2017!$K22)</f>
        <v>253.70399999999998</v>
      </c>
      <c r="I18" s="31">
        <f>SUM([3]May_2017!$N22)</f>
        <v>5.5</v>
      </c>
      <c r="J18" s="32">
        <f>SUM([3]May_2017!$Q22)</f>
        <v>401.1764705882353</v>
      </c>
      <c r="K18" s="32">
        <f>SUM([3]May_2017!$E22)</f>
        <v>510</v>
      </c>
      <c r="L18" s="285"/>
      <c r="M18" s="169">
        <v>0.70972222222222225</v>
      </c>
      <c r="N18" s="32">
        <f>SUM([3]May_2017!$M22)</f>
        <v>128</v>
      </c>
      <c r="O18" s="236"/>
      <c r="P18" s="32"/>
      <c r="Q18" s="33">
        <f>SUM([3]May_2017!$P22)</f>
        <v>0.66405638214565321</v>
      </c>
      <c r="R18" s="32"/>
      <c r="S18" s="129">
        <f t="shared" si="3"/>
        <v>0.64188235294117646</v>
      </c>
      <c r="T18" s="129">
        <f t="shared" si="3"/>
        <v>0.56636678200692048</v>
      </c>
      <c r="U18" s="129">
        <f t="shared" si="1"/>
        <v>0.64188235294117646</v>
      </c>
      <c r="V18" s="129"/>
      <c r="W18" s="227">
        <f t="shared" si="2"/>
        <v>0.56636678200692037</v>
      </c>
      <c r="X18" s="233">
        <f>(604-(N18))/604</f>
        <v>0.78807947019867552</v>
      </c>
      <c r="Y18" s="1059" t="s">
        <v>553</v>
      </c>
      <c r="Z18" s="1060"/>
      <c r="AA18" s="1060"/>
      <c r="AB18" s="1060"/>
      <c r="AC18" s="1060"/>
      <c r="AD18" s="1060"/>
      <c r="AE18" s="1061"/>
    </row>
    <row r="19" spans="2:31" s="19" customFormat="1" ht="73.5" customHeight="1" x14ac:dyDescent="0.2">
      <c r="B19" s="168">
        <v>42871</v>
      </c>
      <c r="C19" s="26" t="str">
        <f>[3]May_2017!$D23</f>
        <v>STAG</v>
      </c>
      <c r="D19" s="27">
        <v>5530</v>
      </c>
      <c r="E19" s="28">
        <v>0.32777777777777778</v>
      </c>
      <c r="F19" s="29">
        <f>SUM([3]May_2017!$J23)</f>
        <v>388.6</v>
      </c>
      <c r="G19" s="30">
        <f>SUM([3]May_2017!$F23)</f>
        <v>5800</v>
      </c>
      <c r="H19" s="29">
        <f>SUM([3]May_2017!$K23)</f>
        <v>388.5</v>
      </c>
      <c r="I19" s="31">
        <f>SUM([3]May_2017!$N23)</f>
        <v>17</v>
      </c>
      <c r="J19" s="32">
        <f>SUM([3]May_2017!$Q23)</f>
        <v>568.62745098039215</v>
      </c>
      <c r="K19" s="32">
        <f>SUM([3]May_2017!$E23)</f>
        <v>612</v>
      </c>
      <c r="L19" s="285"/>
      <c r="M19" s="169">
        <v>0.78125</v>
      </c>
      <c r="N19" s="32">
        <f>SUM([3]May_2017!$M23)</f>
        <v>39</v>
      </c>
      <c r="O19" s="236"/>
      <c r="P19" s="32"/>
      <c r="Q19" s="33">
        <f>SUM([3]May_2017!$P23)</f>
        <v>2.57334019557444E-2</v>
      </c>
      <c r="R19" s="32"/>
      <c r="S19" s="129">
        <f t="shared" si="3"/>
        <v>0.90980392156862744</v>
      </c>
      <c r="T19" s="129">
        <f t="shared" si="3"/>
        <v>0.80276816608996537</v>
      </c>
      <c r="U19" s="129">
        <f t="shared" si="1"/>
        <v>0.90980392156862755</v>
      </c>
      <c r="V19" s="129"/>
      <c r="W19" s="227">
        <f t="shared" si="2"/>
        <v>0.80276816608996548</v>
      </c>
      <c r="X19" s="233">
        <f>(703-(N19))/703</f>
        <v>0.94452347083926036</v>
      </c>
      <c r="Y19" s="1059" t="s">
        <v>554</v>
      </c>
      <c r="Z19" s="1060"/>
      <c r="AA19" s="1060"/>
      <c r="AB19" s="1060"/>
      <c r="AC19" s="1060"/>
      <c r="AD19" s="1060"/>
      <c r="AE19" s="1061"/>
    </row>
    <row r="20" spans="2:31" s="19" customFormat="1" ht="42" customHeight="1" x14ac:dyDescent="0.2">
      <c r="B20" s="1037">
        <v>42872</v>
      </c>
      <c r="C20" s="26" t="str">
        <f>[3]May_2017!$D24</f>
        <v>CARIB (FLINT)</v>
      </c>
      <c r="D20" s="27">
        <v>3200</v>
      </c>
      <c r="E20" s="1051">
        <v>0.32361111111111113</v>
      </c>
      <c r="F20" s="989">
        <f>SUM([3]May_2017!$J24)</f>
        <v>351.2</v>
      </c>
      <c r="G20" s="30">
        <f>SUM([3]May_2017!$F24)</f>
        <v>2583</v>
      </c>
      <c r="H20" s="989">
        <f>SUM([3]May_2017!$K24)</f>
        <v>349</v>
      </c>
      <c r="I20" s="1004">
        <f>SUM([3]May_2017!$N24)</f>
        <v>15.16</v>
      </c>
      <c r="J20" s="991">
        <f>SUM([3]May_2017!$Q24)</f>
        <v>487.80487804878049</v>
      </c>
      <c r="K20" s="991">
        <f>SUM([3]May_2017!$E24)</f>
        <v>615</v>
      </c>
      <c r="L20" s="285"/>
      <c r="M20" s="1017">
        <v>0.78680555555555554</v>
      </c>
      <c r="N20" s="991">
        <f>SUM([3]May_2017!$M24)</f>
        <v>104</v>
      </c>
      <c r="O20" s="236"/>
      <c r="P20" s="32"/>
      <c r="Q20" s="1045">
        <f>SUM([3]May_2017!$P24)</f>
        <v>0.62642369020500821</v>
      </c>
      <c r="R20" s="32"/>
      <c r="S20" s="1039">
        <f>($G20+G21)/(($K20/60)*AF$3*(1/24))</f>
        <v>0.78048780487804881</v>
      </c>
      <c r="T20" s="1039">
        <f>($G20+G21)/(($K20/60)*AG$3*(1/24))</f>
        <v>0.68866571018651368</v>
      </c>
      <c r="U20" s="1039">
        <f>(G20+G21)*24/(K20/60)/15000</f>
        <v>0.78048780487804881</v>
      </c>
      <c r="V20" s="129"/>
      <c r="W20" s="1047">
        <f>(G20+G21)*24/(K20/60)/17000</f>
        <v>0.68866571018651368</v>
      </c>
      <c r="X20" s="1035">
        <f>(708-(N20))/708</f>
        <v>0.85310734463276838</v>
      </c>
      <c r="Y20" s="1056" t="s">
        <v>555</v>
      </c>
      <c r="Z20" s="1057"/>
      <c r="AA20" s="1057"/>
      <c r="AB20" s="1057"/>
      <c r="AC20" s="1057"/>
      <c r="AD20" s="1057"/>
      <c r="AE20" s="1058"/>
    </row>
    <row r="21" spans="2:31" s="19" customFormat="1" ht="86.25" customHeight="1" x14ac:dyDescent="0.2">
      <c r="B21" s="1038"/>
      <c r="C21" s="26" t="str">
        <f>[3]May_2017!$D25</f>
        <v>CARIB (AMBER)</v>
      </c>
      <c r="D21" s="27">
        <v>1425</v>
      </c>
      <c r="E21" s="1053"/>
      <c r="F21" s="990"/>
      <c r="G21" s="30">
        <f>SUM([3]May_2017!$F25)</f>
        <v>2417</v>
      </c>
      <c r="H21" s="990"/>
      <c r="I21" s="1005"/>
      <c r="J21" s="992"/>
      <c r="K21" s="992"/>
      <c r="L21" s="285"/>
      <c r="M21" s="1018"/>
      <c r="N21" s="992"/>
      <c r="O21" s="236"/>
      <c r="P21" s="32"/>
      <c r="Q21" s="1046"/>
      <c r="R21" s="32"/>
      <c r="S21" s="1040"/>
      <c r="T21" s="1040"/>
      <c r="U21" s="1040"/>
      <c r="V21" s="129"/>
      <c r="W21" s="1048"/>
      <c r="X21" s="1036"/>
      <c r="Y21" s="1059"/>
      <c r="Z21" s="1060"/>
      <c r="AA21" s="1060"/>
      <c r="AB21" s="1060"/>
      <c r="AC21" s="1060"/>
      <c r="AD21" s="1060"/>
      <c r="AE21" s="1061"/>
    </row>
    <row r="22" spans="2:31" s="19" customFormat="1" ht="37.5" customHeight="1" x14ac:dyDescent="0.2">
      <c r="B22" s="1037">
        <v>42873</v>
      </c>
      <c r="C22" s="26" t="str">
        <f>[3]May_2017!$D26</f>
        <v>CARIB (FLINT)</v>
      </c>
      <c r="D22" s="27">
        <f>D20-G20</f>
        <v>617</v>
      </c>
      <c r="E22" s="1051">
        <v>0.3298611111111111</v>
      </c>
      <c r="F22" s="989">
        <f>SUM([3]May_2017!$J26)</f>
        <v>143.60000000000002</v>
      </c>
      <c r="G22" s="30">
        <f>SUM([3]May_2017!$F26)</f>
        <v>451</v>
      </c>
      <c r="H22" s="989">
        <f>SUM([3]May_2017!$K26)</f>
        <v>143.22</v>
      </c>
      <c r="I22" s="1004">
        <f>SUM([3]May_2017!$N26)</f>
        <v>22</v>
      </c>
      <c r="J22" s="991">
        <f>SUM([3]May_2017!$Q26)</f>
        <v>484.51718494271682</v>
      </c>
      <c r="K22" s="991">
        <f>SUM([3]May_2017!$E26)</f>
        <v>611</v>
      </c>
      <c r="L22" s="285"/>
      <c r="M22" s="1017">
        <v>0.77777777777777779</v>
      </c>
      <c r="N22" s="991">
        <f>SUM([3]May_2017!$M26)</f>
        <v>40</v>
      </c>
      <c r="O22" s="236"/>
      <c r="P22" s="32"/>
      <c r="Q22" s="1045">
        <f>SUM([3]May_2017!$P26)</f>
        <v>0.26462395543177142</v>
      </c>
      <c r="R22" s="32"/>
      <c r="S22" s="1039">
        <f>($G22+G23+G24)/(($K22/60)*AF$3*(1/24))</f>
        <v>0.77522749590834705</v>
      </c>
      <c r="T22" s="1039">
        <f>($G22+G23+G24)/(($K22/60)*AG$3*(1/24))</f>
        <v>0.68402426109560033</v>
      </c>
      <c r="U22" s="1039">
        <f>(G22+G23+G24)*24/(K22/60)/15000</f>
        <v>0.77522749590834694</v>
      </c>
      <c r="V22" s="129"/>
      <c r="W22" s="1047">
        <f>(G22+G23+G24)*24/(K22/60)/17000</f>
        <v>0.68402426109560022</v>
      </c>
      <c r="X22" s="1035">
        <f>(694-(N22+N24))/694</f>
        <v>0.83717579250720464</v>
      </c>
      <c r="Y22" s="1056" t="s">
        <v>556</v>
      </c>
      <c r="Z22" s="1057"/>
      <c r="AA22" s="1057"/>
      <c r="AB22" s="1057"/>
      <c r="AC22" s="1057"/>
      <c r="AD22" s="1057"/>
      <c r="AE22" s="1058"/>
    </row>
    <row r="23" spans="2:31" s="19" customFormat="1" ht="42" customHeight="1" x14ac:dyDescent="0.2">
      <c r="B23" s="1050"/>
      <c r="C23" s="26" t="str">
        <f>[3]May_2017!$D27</f>
        <v>CARIB (AMBER)</v>
      </c>
      <c r="D23" s="27">
        <v>2000</v>
      </c>
      <c r="E23" s="1052"/>
      <c r="F23" s="990"/>
      <c r="G23" s="30">
        <f>SUM([3]May_2017!$F27)</f>
        <v>1719</v>
      </c>
      <c r="H23" s="990"/>
      <c r="I23" s="1005"/>
      <c r="J23" s="1042"/>
      <c r="K23" s="1042"/>
      <c r="L23" s="285"/>
      <c r="M23" s="1055"/>
      <c r="N23" s="992"/>
      <c r="O23" s="236">
        <f>[4]May!$I$25/K22</f>
        <v>9.8199672667757774E-3</v>
      </c>
      <c r="P23" s="32"/>
      <c r="Q23" s="1046"/>
      <c r="R23" s="32"/>
      <c r="S23" s="1041"/>
      <c r="T23" s="1041"/>
      <c r="U23" s="1041"/>
      <c r="V23" s="129"/>
      <c r="W23" s="1049"/>
      <c r="X23" s="1054"/>
      <c r="Y23" s="1059"/>
      <c r="Z23" s="1060"/>
      <c r="AA23" s="1060"/>
      <c r="AB23" s="1060"/>
      <c r="AC23" s="1060"/>
      <c r="AD23" s="1060"/>
      <c r="AE23" s="1061"/>
    </row>
    <row r="24" spans="2:31" s="19" customFormat="1" ht="84" customHeight="1" x14ac:dyDescent="0.2">
      <c r="B24" s="1038"/>
      <c r="C24" s="26" t="str">
        <f>[3]May_2017!$D28</f>
        <v>GUINNESS</v>
      </c>
      <c r="D24" s="1098">
        <v>4200</v>
      </c>
      <c r="E24" s="1053"/>
      <c r="F24" s="29">
        <f>SUM([3]May_2017!$J28)</f>
        <v>183.29999999999998</v>
      </c>
      <c r="G24" s="30">
        <f>SUM([3]May_2017!$F28)</f>
        <v>2764</v>
      </c>
      <c r="H24" s="29">
        <f>SUM([3]May_2017!$K28)</f>
        <v>182.42400000000001</v>
      </c>
      <c r="I24" s="31">
        <f>SUM([3]May_2017!$N28)</f>
        <v>7</v>
      </c>
      <c r="J24" s="992"/>
      <c r="K24" s="992"/>
      <c r="L24" s="285"/>
      <c r="M24" s="1018"/>
      <c r="N24" s="32">
        <f>SUM([3]May_2017!$M28)</f>
        <v>73</v>
      </c>
      <c r="O24" s="236">
        <f>[4]May!$I$26/K22</f>
        <v>3.927986906710311E-2</v>
      </c>
      <c r="P24" s="32"/>
      <c r="Q24" s="33">
        <f>SUM([3]May_2017!$P28)</f>
        <v>0.47790507364974166</v>
      </c>
      <c r="R24" s="32"/>
      <c r="S24" s="1040"/>
      <c r="T24" s="1040"/>
      <c r="U24" s="1040"/>
      <c r="V24" s="129"/>
      <c r="W24" s="1048"/>
      <c r="X24" s="1036"/>
      <c r="Y24" s="1059" t="s">
        <v>557</v>
      </c>
      <c r="Z24" s="1060"/>
      <c r="AA24" s="1060"/>
      <c r="AB24" s="1060"/>
      <c r="AC24" s="1060"/>
      <c r="AD24" s="1060"/>
      <c r="AE24" s="1061"/>
    </row>
    <row r="25" spans="2:31" s="19" customFormat="1" ht="57.75" customHeight="1" x14ac:dyDescent="0.2">
      <c r="B25" s="168">
        <v>42874</v>
      </c>
      <c r="C25" s="26" t="str">
        <f>[3]May_2017!$D29</f>
        <v>GUINNESS</v>
      </c>
      <c r="D25" s="1099"/>
      <c r="E25" s="28">
        <v>0.32291666666666669</v>
      </c>
      <c r="F25" s="29">
        <f>SUM([3]May_2017!$J29)</f>
        <v>91.2</v>
      </c>
      <c r="G25" s="30">
        <f>SUM([3]May_2017!$F29)</f>
        <v>1369</v>
      </c>
      <c r="H25" s="29">
        <f>SUM([3]May_2017!$K29)</f>
        <v>90.353999999999999</v>
      </c>
      <c r="I25" s="31">
        <f>SUM([3]May_2017!$N29)</f>
        <v>6</v>
      </c>
      <c r="J25" s="32">
        <f>SUM([3]May_2017!$Q29)</f>
        <v>510.18633540372673</v>
      </c>
      <c r="K25" s="32">
        <f>SUM([3]May_2017!$E29)</f>
        <v>161</v>
      </c>
      <c r="L25" s="285"/>
      <c r="M25" s="169">
        <v>0.46875</v>
      </c>
      <c r="N25" s="32">
        <f>SUM([3]May_2017!$M29)</f>
        <v>25</v>
      </c>
      <c r="O25" s="236"/>
      <c r="P25" s="32"/>
      <c r="Q25" s="33">
        <f>SUM([3]May_2017!$P29)</f>
        <v>0.92763157894737247</v>
      </c>
      <c r="R25" s="32"/>
      <c r="S25" s="129">
        <f t="shared" ref="S25:T27" si="4">($G25)/(($K25/60)*AF$3*(1/24))</f>
        <v>0.81629813664596274</v>
      </c>
      <c r="T25" s="129">
        <f t="shared" si="4"/>
        <v>0.72026306174643773</v>
      </c>
      <c r="U25" s="129">
        <f>(G25)*24/(K25/60)/15000</f>
        <v>0.81629813664596285</v>
      </c>
      <c r="V25" s="129"/>
      <c r="W25" s="227">
        <f>(G25)*24/(K25/60)/17000</f>
        <v>0.72026306174643784</v>
      </c>
      <c r="X25" s="233">
        <f>(261-(N25))/261</f>
        <v>0.90421455938697315</v>
      </c>
      <c r="Y25" s="1059" t="s">
        <v>558</v>
      </c>
      <c r="Z25" s="1060"/>
      <c r="AA25" s="1060"/>
      <c r="AB25" s="1060"/>
      <c r="AC25" s="1060"/>
      <c r="AD25" s="1060"/>
      <c r="AE25" s="1061"/>
    </row>
    <row r="26" spans="2:31" s="19" customFormat="1" ht="98.25" customHeight="1" x14ac:dyDescent="0.2">
      <c r="B26" s="296">
        <v>42881</v>
      </c>
      <c r="C26" s="26" t="str">
        <f>[3]May_2017!$D30</f>
        <v>STAG</v>
      </c>
      <c r="D26" s="27">
        <v>4200</v>
      </c>
      <c r="E26" s="28">
        <v>0.33333333333333331</v>
      </c>
      <c r="F26" s="29">
        <f>SUM([3]May_2017!$J30)</f>
        <v>207.7</v>
      </c>
      <c r="G26" s="30">
        <f>SUM([3]May_2017!$F30)</f>
        <v>3055</v>
      </c>
      <c r="H26" s="29">
        <f>SUM([3]May_2017!$K30)</f>
        <v>205.43</v>
      </c>
      <c r="I26" s="31">
        <f>SUM([3]May_2017!$N30)</f>
        <v>18.25</v>
      </c>
      <c r="J26" s="32">
        <f>SUM([3]May_2017!$Q30)</f>
        <v>319.33797909407667</v>
      </c>
      <c r="K26" s="32">
        <f>SUM([3]May_2017!$E30)</f>
        <v>574</v>
      </c>
      <c r="L26" s="172"/>
      <c r="M26" s="290">
        <v>0.76180555555555562</v>
      </c>
      <c r="N26" s="32">
        <f>SUM([3]May_2017!$M30)</f>
        <v>217</v>
      </c>
      <c r="O26" s="236"/>
      <c r="P26" s="32"/>
      <c r="Q26" s="33">
        <f>SUM([3]May_2017!$P30)</f>
        <v>1.0929224843524228</v>
      </c>
      <c r="R26" s="32"/>
      <c r="S26" s="129">
        <f t="shared" si="4"/>
        <v>0.51094076655052267</v>
      </c>
      <c r="T26" s="129">
        <f t="shared" si="4"/>
        <v>0.45083008813281411</v>
      </c>
      <c r="U26" s="129">
        <f>(G26)*24/(K26/60)/15000</f>
        <v>0.51094076655052267</v>
      </c>
      <c r="V26" s="129"/>
      <c r="W26" s="227">
        <f>(G26)*24/(K26/60)/17000</f>
        <v>0.45083008813281411</v>
      </c>
      <c r="X26" s="233">
        <f>(743-(N26))/743</f>
        <v>0.7079407806191117</v>
      </c>
      <c r="Y26" s="1059" t="s">
        <v>560</v>
      </c>
      <c r="Z26" s="1060"/>
      <c r="AA26" s="1060"/>
      <c r="AB26" s="1060"/>
      <c r="AC26" s="1060"/>
      <c r="AD26" s="1060"/>
      <c r="AE26" s="1061"/>
    </row>
    <row r="27" spans="2:31" s="19" customFormat="1" ht="42" customHeight="1" x14ac:dyDescent="0.2">
      <c r="B27" s="168">
        <v>42884</v>
      </c>
      <c r="C27" s="26" t="str">
        <f>[3]May_2017!$D31</f>
        <v>STAG</v>
      </c>
      <c r="D27" s="27">
        <v>4900</v>
      </c>
      <c r="E27" s="28">
        <v>0.3840277777777778</v>
      </c>
      <c r="F27" s="29">
        <f>SUM([3]May_2017!$J31)</f>
        <v>135.09999999999997</v>
      </c>
      <c r="G27" s="30">
        <f>SUM([3]May_2017!$F31)</f>
        <v>2021</v>
      </c>
      <c r="H27" s="29">
        <f>SUM([3]May_2017!$K31)</f>
        <v>133.386</v>
      </c>
      <c r="I27" s="31">
        <f>SUM([3]May_2017!$N31)</f>
        <v>25</v>
      </c>
      <c r="J27" s="32">
        <f>SUM([3]May_2017!$Q31)</f>
        <v>194.01600000000002</v>
      </c>
      <c r="K27" s="32">
        <f>SUM([3]May_2017!$E31)</f>
        <v>625</v>
      </c>
      <c r="L27" s="172"/>
      <c r="M27" s="290">
        <v>0.78819444444444453</v>
      </c>
      <c r="N27" s="32">
        <f>SUM([3]May_2017!$M31)</f>
        <v>393</v>
      </c>
      <c r="O27" s="236"/>
      <c r="P27" s="32"/>
      <c r="Q27" s="33">
        <f>SUM([3]May_2017!$P31)</f>
        <v>1.2686898593634128</v>
      </c>
      <c r="R27" s="32"/>
      <c r="S27" s="129">
        <f t="shared" si="4"/>
        <v>0.31042560000000002</v>
      </c>
      <c r="T27" s="129">
        <f t="shared" si="4"/>
        <v>0.27390494117647063</v>
      </c>
      <c r="U27" s="129">
        <f>(G27)*24/(K27/60)/15000</f>
        <v>0.31042560000000002</v>
      </c>
      <c r="V27" s="129"/>
      <c r="W27" s="227">
        <f>(G27)*24/(K27/60)/17000</f>
        <v>0.27390494117647057</v>
      </c>
      <c r="X27" s="233">
        <f>(678-(N27))/678</f>
        <v>0.42035398230088494</v>
      </c>
      <c r="Y27" s="1059" t="s">
        <v>561</v>
      </c>
      <c r="Z27" s="1060"/>
      <c r="AA27" s="1060"/>
      <c r="AB27" s="1060"/>
      <c r="AC27" s="1060"/>
      <c r="AD27" s="1060"/>
      <c r="AE27" s="1061"/>
    </row>
    <row r="28" spans="2:31" s="19" customFormat="1" ht="63.75" customHeight="1" x14ac:dyDescent="0.2">
      <c r="B28" s="168">
        <v>42885</v>
      </c>
      <c r="C28" s="26" t="str">
        <f>[3]May_2017!$D32</f>
        <v>STAG</v>
      </c>
      <c r="D28" s="27">
        <v>5600</v>
      </c>
      <c r="E28" s="28">
        <v>0.32013888888888892</v>
      </c>
      <c r="F28" s="29">
        <f>SUM([3]May_2017!$J32)</f>
        <v>418.20000000000005</v>
      </c>
      <c r="G28" s="30">
        <f>SUM([3]May_2017!$F32)</f>
        <v>6181</v>
      </c>
      <c r="H28" s="29">
        <f>SUM([3]May_2017!$K32)</f>
        <v>417.44600000000003</v>
      </c>
      <c r="I28" s="31">
        <f>SUM([3]May_2017!$N32)</f>
        <v>24</v>
      </c>
      <c r="J28" s="32">
        <f>SUM([3]May_2017!$Q32)</f>
        <v>488.61660079051381</v>
      </c>
      <c r="K28" s="32">
        <f>SUM([3]May_2017!$E32)</f>
        <v>759</v>
      </c>
      <c r="L28" s="172"/>
      <c r="M28" s="290">
        <v>0.875</v>
      </c>
      <c r="N28" s="32">
        <f>SUM([3]May_2017!$M32)</f>
        <v>41</v>
      </c>
      <c r="O28" s="236"/>
      <c r="P28" s="32">
        <f>[3]May_2017!$H$32</f>
        <v>420</v>
      </c>
      <c r="Q28" s="33">
        <f>SUM([3]May_2017!$P32)</f>
        <v>0.18029650884744597</v>
      </c>
      <c r="R28" s="32"/>
      <c r="S28" s="129">
        <f>($G28)/(($K28/60)*AF$3*(1/24))</f>
        <v>0.78178656126482216</v>
      </c>
      <c r="T28" s="129">
        <f>($G28)/(($K28/60)*AG$3*(1/24))</f>
        <v>0.68981167170425484</v>
      </c>
      <c r="U28" s="129">
        <f>(G28)*24/(K28/60)/15000</f>
        <v>0.78178656126482216</v>
      </c>
      <c r="V28" s="129"/>
      <c r="W28" s="227">
        <f>(G28)*24/(K28/60)/17000</f>
        <v>0.68981167170425484</v>
      </c>
      <c r="X28" s="233">
        <f>(842-(N28))/842</f>
        <v>0.95130641330166266</v>
      </c>
      <c r="Y28" s="1059" t="s">
        <v>564</v>
      </c>
      <c r="Z28" s="1060"/>
      <c r="AA28" s="1060"/>
      <c r="AB28" s="1060"/>
      <c r="AC28" s="1060"/>
      <c r="AD28" s="1060"/>
      <c r="AE28" s="1061"/>
    </row>
    <row r="29" spans="2:31" s="19" customFormat="1" ht="42" customHeight="1" x14ac:dyDescent="0.2">
      <c r="B29" s="1037">
        <v>42886</v>
      </c>
      <c r="C29" s="26" t="str">
        <f>[3]May_2017!$D33</f>
        <v>CARIB</v>
      </c>
      <c r="D29" s="27">
        <v>2800</v>
      </c>
      <c r="E29" s="28">
        <v>0.33680555555555558</v>
      </c>
      <c r="F29" s="29">
        <f>SUM([3]May_2017!$J33)</f>
        <v>190.8</v>
      </c>
      <c r="G29" s="30">
        <f>SUM([3]May_2017!$F33)</f>
        <v>2591</v>
      </c>
      <c r="H29" s="29">
        <f>SUM([3]May_2017!$K33)</f>
        <v>190.006</v>
      </c>
      <c r="I29" s="31">
        <f>SUM([3]May_2017!$N33)</f>
        <v>9.73</v>
      </c>
      <c r="J29" s="991">
        <f>SUM([3]May_2017!$Q33)</f>
        <v>478.95238095238096</v>
      </c>
      <c r="K29" s="991">
        <f>SUM([3]May_2017!$E33)</f>
        <v>630</v>
      </c>
      <c r="L29" s="172"/>
      <c r="M29" s="290">
        <v>0.60069444444444442</v>
      </c>
      <c r="N29" s="32">
        <f>SUM([3]May_2017!$M33)</f>
        <v>21</v>
      </c>
      <c r="O29" s="236"/>
      <c r="P29" s="32"/>
      <c r="Q29" s="33">
        <f>SUM([3]May_2017!$P33)</f>
        <v>0.41614255765199737</v>
      </c>
      <c r="R29" s="32"/>
      <c r="S29" s="1039">
        <f>($G29+G30)/(($K29/60)*AF$3*(1/24))</f>
        <v>0.76632380952380952</v>
      </c>
      <c r="T29" s="1039">
        <f>($G29+G30)/(($K29/60)*AG$3*(1/24))</f>
        <v>0.67616806722689071</v>
      </c>
      <c r="U29" s="1039">
        <f>(G29+G30)*24/(K29/60)/15000</f>
        <v>0.76632380952380952</v>
      </c>
      <c r="V29" s="129"/>
      <c r="W29" s="1047">
        <f>(G29+G30)*24/(K29/60)/17000</f>
        <v>0.67616806722689082</v>
      </c>
      <c r="X29" s="1035">
        <f>(731-(N29+N30))/731</f>
        <v>0.94664842681258554</v>
      </c>
      <c r="Y29" s="1059" t="s">
        <v>563</v>
      </c>
      <c r="Z29" s="1060"/>
      <c r="AA29" s="1060"/>
      <c r="AB29" s="1060"/>
      <c r="AC29" s="1060"/>
      <c r="AD29" s="1060"/>
      <c r="AE29" s="1061"/>
    </row>
    <row r="30" spans="2:31" s="19" customFormat="1" ht="42" customHeight="1" x14ac:dyDescent="0.2">
      <c r="B30" s="1038"/>
      <c r="C30" s="26" t="str">
        <f>[3]May_2017!$D34</f>
        <v>STAG</v>
      </c>
      <c r="D30" s="27">
        <v>2743</v>
      </c>
      <c r="E30" s="28">
        <v>0.5756944444444444</v>
      </c>
      <c r="F30" s="29">
        <f>SUM([3]May_2017!$J34)</f>
        <v>161.9</v>
      </c>
      <c r="G30" s="30">
        <f>SUM([3]May_2017!$F34)</f>
        <v>2438</v>
      </c>
      <c r="H30" s="29">
        <f>SUM([3]May_2017!$K34)</f>
        <v>160.90800000000002</v>
      </c>
      <c r="I30" s="31">
        <f>SUM([3]May_2017!$N34)</f>
        <v>11</v>
      </c>
      <c r="J30" s="992"/>
      <c r="K30" s="992"/>
      <c r="L30" s="172"/>
      <c r="M30" s="290">
        <v>0.79236111111111107</v>
      </c>
      <c r="N30" s="32">
        <f>SUM([3]May_2017!$M34)</f>
        <v>18</v>
      </c>
      <c r="O30" s="236">
        <f>[4]May!$I$32/K29</f>
        <v>1.5873015873015872E-2</v>
      </c>
      <c r="P30" s="32"/>
      <c r="Q30" s="33">
        <f>SUM([3]May_2017!$P34)</f>
        <v>0.61272390364421869</v>
      </c>
      <c r="R30" s="32"/>
      <c r="S30" s="1040"/>
      <c r="T30" s="1040"/>
      <c r="U30" s="1040"/>
      <c r="V30" s="129"/>
      <c r="W30" s="1048"/>
      <c r="X30" s="1036"/>
      <c r="Y30" s="1059" t="s">
        <v>562</v>
      </c>
      <c r="Z30" s="1060"/>
      <c r="AA30" s="1060"/>
      <c r="AB30" s="1060"/>
      <c r="AC30" s="1060"/>
      <c r="AD30" s="1060"/>
      <c r="AE30" s="1061"/>
    </row>
    <row r="31" spans="2:31" s="19" customFormat="1" ht="30" customHeight="1" thickBot="1" x14ac:dyDescent="0.25">
      <c r="B31" s="168"/>
      <c r="C31" s="26"/>
      <c r="D31" s="27"/>
      <c r="E31" s="28"/>
      <c r="F31" s="29"/>
      <c r="G31" s="30"/>
      <c r="H31" s="29"/>
      <c r="I31" s="31"/>
      <c r="J31" s="285"/>
      <c r="K31" s="285"/>
      <c r="L31" s="285"/>
      <c r="M31" s="169"/>
      <c r="N31" s="285"/>
      <c r="O31" s="236"/>
      <c r="P31" s="32"/>
      <c r="Q31" s="33"/>
      <c r="R31" s="32"/>
      <c r="S31" s="224"/>
      <c r="T31" s="224"/>
      <c r="U31" s="224"/>
      <c r="V31" s="129"/>
      <c r="W31" s="225"/>
      <c r="X31" s="288"/>
      <c r="Y31" s="1059"/>
      <c r="Z31" s="1060"/>
      <c r="AA31" s="1060"/>
      <c r="AB31" s="1060"/>
      <c r="AC31" s="1060"/>
      <c r="AD31" s="1060"/>
      <c r="AE31" s="1061"/>
    </row>
    <row r="32" spans="2:31" s="19" customFormat="1" ht="42" hidden="1" customHeight="1" x14ac:dyDescent="0.2">
      <c r="B32" s="168"/>
      <c r="C32" s="26"/>
      <c r="D32" s="27"/>
      <c r="E32" s="28"/>
      <c r="F32" s="29"/>
      <c r="G32" s="30"/>
      <c r="H32" s="29"/>
      <c r="I32" s="31"/>
      <c r="J32" s="285"/>
      <c r="K32" s="285"/>
      <c r="L32" s="285"/>
      <c r="M32" s="169"/>
      <c r="N32" s="285"/>
      <c r="O32" s="236"/>
      <c r="P32" s="32"/>
      <c r="Q32" s="33"/>
      <c r="R32" s="32"/>
      <c r="S32" s="224"/>
      <c r="T32" s="224"/>
      <c r="U32" s="224"/>
      <c r="V32" s="129"/>
      <c r="W32" s="225"/>
      <c r="X32" s="288"/>
      <c r="Y32" s="1059"/>
      <c r="Z32" s="1060"/>
      <c r="AA32" s="1060"/>
      <c r="AB32" s="1060"/>
      <c r="AC32" s="1060"/>
      <c r="AD32" s="1060"/>
      <c r="AE32" s="1061"/>
    </row>
    <row r="33" spans="2:31" s="19" customFormat="1" ht="42" hidden="1" customHeight="1" thickBot="1" x14ac:dyDescent="0.25">
      <c r="B33" s="168"/>
      <c r="C33" s="26"/>
      <c r="D33" s="27"/>
      <c r="E33" s="28"/>
      <c r="F33" s="29"/>
      <c r="G33" s="30"/>
      <c r="H33" s="29"/>
      <c r="I33" s="31"/>
      <c r="J33" s="285"/>
      <c r="K33" s="285"/>
      <c r="L33" s="285"/>
      <c r="M33" s="169"/>
      <c r="N33" s="285"/>
      <c r="O33" s="236"/>
      <c r="P33" s="32"/>
      <c r="Q33" s="33"/>
      <c r="R33" s="32"/>
      <c r="S33" s="224"/>
      <c r="T33" s="224"/>
      <c r="U33" s="224"/>
      <c r="V33" s="129"/>
      <c r="W33" s="225"/>
      <c r="X33" s="288"/>
      <c r="Y33" s="1059"/>
      <c r="Z33" s="1060"/>
      <c r="AA33" s="1060"/>
      <c r="AB33" s="1060"/>
      <c r="AC33" s="1060"/>
      <c r="AD33" s="1060"/>
      <c r="AE33" s="1061"/>
    </row>
    <row r="34" spans="2:31" s="19" customFormat="1" ht="42" hidden="1" customHeight="1" x14ac:dyDescent="0.2">
      <c r="B34" s="168"/>
      <c r="C34" s="26"/>
      <c r="D34" s="27"/>
      <c r="E34" s="28"/>
      <c r="F34" s="29"/>
      <c r="G34" s="30"/>
      <c r="H34" s="29"/>
      <c r="I34" s="31"/>
      <c r="J34" s="285"/>
      <c r="K34" s="285"/>
      <c r="L34" s="285"/>
      <c r="M34" s="169"/>
      <c r="N34" s="285"/>
      <c r="O34" s="236"/>
      <c r="P34" s="32"/>
      <c r="Q34" s="33"/>
      <c r="R34" s="32"/>
      <c r="S34" s="224"/>
      <c r="T34" s="224"/>
      <c r="U34" s="224"/>
      <c r="V34" s="129"/>
      <c r="W34" s="225"/>
      <c r="X34" s="288"/>
      <c r="Y34" s="1059"/>
      <c r="Z34" s="1060"/>
      <c r="AA34" s="1060"/>
      <c r="AB34" s="1060"/>
      <c r="AC34" s="1060"/>
      <c r="AD34" s="1060"/>
      <c r="AE34" s="1061"/>
    </row>
    <row r="35" spans="2:31" s="19" customFormat="1" ht="15" hidden="1" customHeight="1" x14ac:dyDescent="0.2">
      <c r="B35" s="168"/>
      <c r="C35" s="26"/>
      <c r="D35" s="27"/>
      <c r="E35" s="28"/>
      <c r="F35" s="29"/>
      <c r="G35" s="30"/>
      <c r="H35" s="29"/>
      <c r="I35" s="31"/>
      <c r="J35" s="285"/>
      <c r="K35" s="285"/>
      <c r="L35" s="285"/>
      <c r="M35" s="169"/>
      <c r="N35" s="285"/>
      <c r="O35" s="236"/>
      <c r="P35" s="32"/>
      <c r="Q35" s="33"/>
      <c r="R35" s="32"/>
      <c r="S35" s="224"/>
      <c r="T35" s="224"/>
      <c r="U35" s="224"/>
      <c r="V35" s="129"/>
      <c r="W35" s="225"/>
      <c r="X35" s="288"/>
      <c r="Y35" s="1059"/>
      <c r="Z35" s="1060"/>
      <c r="AA35" s="1060"/>
      <c r="AB35" s="1060"/>
      <c r="AC35" s="1060"/>
      <c r="AD35" s="1060"/>
      <c r="AE35" s="1061"/>
    </row>
    <row r="36" spans="2:31" s="19" customFormat="1" ht="12.75" hidden="1" customHeight="1" x14ac:dyDescent="0.2">
      <c r="B36" s="168"/>
      <c r="C36" s="26"/>
      <c r="D36" s="27"/>
      <c r="E36" s="28"/>
      <c r="F36" s="29"/>
      <c r="G36" s="30"/>
      <c r="H36" s="29"/>
      <c r="I36" s="31"/>
      <c r="J36" s="285"/>
      <c r="K36" s="285"/>
      <c r="L36" s="285"/>
      <c r="M36" s="169"/>
      <c r="N36" s="285"/>
      <c r="O36" s="236"/>
      <c r="P36" s="32"/>
      <c r="Q36" s="33"/>
      <c r="R36" s="32"/>
      <c r="S36" s="224"/>
      <c r="T36" s="224"/>
      <c r="U36" s="224"/>
      <c r="V36" s="129"/>
      <c r="W36" s="225"/>
      <c r="X36" s="288"/>
      <c r="Y36" s="1059"/>
      <c r="Z36" s="1060"/>
      <c r="AA36" s="1060"/>
      <c r="AB36" s="1060"/>
      <c r="AC36" s="1060"/>
      <c r="AD36" s="1060"/>
      <c r="AE36" s="1061"/>
    </row>
    <row r="37" spans="2:31" s="19" customFormat="1" ht="22.5" hidden="1" customHeight="1" x14ac:dyDescent="0.2">
      <c r="B37" s="168"/>
      <c r="C37" s="26"/>
      <c r="D37" s="27"/>
      <c r="E37" s="28"/>
      <c r="F37" s="29"/>
      <c r="G37" s="30"/>
      <c r="H37" s="29"/>
      <c r="I37" s="31"/>
      <c r="J37" s="285"/>
      <c r="K37" s="285"/>
      <c r="L37" s="285"/>
      <c r="M37" s="169"/>
      <c r="N37" s="285"/>
      <c r="O37" s="236"/>
      <c r="P37" s="32"/>
      <c r="Q37" s="33"/>
      <c r="R37" s="32"/>
      <c r="S37" s="224"/>
      <c r="T37" s="224"/>
      <c r="U37" s="224"/>
      <c r="V37" s="129"/>
      <c r="W37" s="225"/>
      <c r="X37" s="288"/>
      <c r="Y37" s="1059"/>
      <c r="Z37" s="1060"/>
      <c r="AA37" s="1060"/>
      <c r="AB37" s="1060"/>
      <c r="AC37" s="1060"/>
      <c r="AD37" s="1060"/>
      <c r="AE37" s="1061"/>
    </row>
    <row r="38" spans="2:31" s="19" customFormat="1" ht="16.5" hidden="1" customHeight="1" x14ac:dyDescent="0.2">
      <c r="B38" s="168"/>
      <c r="C38" s="26"/>
      <c r="D38" s="27"/>
      <c r="E38" s="28"/>
      <c r="F38" s="29"/>
      <c r="G38" s="30"/>
      <c r="H38" s="29"/>
      <c r="I38" s="31"/>
      <c r="J38" s="285"/>
      <c r="K38" s="285"/>
      <c r="L38" s="285"/>
      <c r="M38" s="169"/>
      <c r="N38" s="285"/>
      <c r="O38" s="236"/>
      <c r="P38" s="32"/>
      <c r="Q38" s="33"/>
      <c r="R38" s="32"/>
      <c r="S38" s="224"/>
      <c r="T38" s="224"/>
      <c r="U38" s="224"/>
      <c r="V38" s="129"/>
      <c r="W38" s="225"/>
      <c r="X38" s="288"/>
      <c r="Y38" s="1059"/>
      <c r="Z38" s="1060"/>
      <c r="AA38" s="1060"/>
      <c r="AB38" s="1060"/>
      <c r="AC38" s="1060"/>
      <c r="AD38" s="1060"/>
      <c r="AE38" s="1061"/>
    </row>
    <row r="39" spans="2:31" s="19" customFormat="1" ht="19.5" hidden="1" customHeight="1" x14ac:dyDescent="0.2">
      <c r="B39" s="168"/>
      <c r="C39" s="26"/>
      <c r="D39" s="27"/>
      <c r="E39" s="28"/>
      <c r="F39" s="29"/>
      <c r="G39" s="30"/>
      <c r="H39" s="29"/>
      <c r="I39" s="31"/>
      <c r="J39" s="285"/>
      <c r="K39" s="285"/>
      <c r="L39" s="285"/>
      <c r="M39" s="169"/>
      <c r="N39" s="285"/>
      <c r="O39" s="236"/>
      <c r="P39" s="32"/>
      <c r="Q39" s="33"/>
      <c r="R39" s="32"/>
      <c r="S39" s="224"/>
      <c r="T39" s="224"/>
      <c r="U39" s="224"/>
      <c r="V39" s="129"/>
      <c r="W39" s="225"/>
      <c r="X39" s="288"/>
      <c r="Y39" s="1059"/>
      <c r="Z39" s="1060"/>
      <c r="AA39" s="1060"/>
      <c r="AB39" s="1060"/>
      <c r="AC39" s="1060"/>
      <c r="AD39" s="1060"/>
      <c r="AE39" s="1061"/>
    </row>
    <row r="40" spans="2:31" s="19" customFormat="1" ht="19.5" hidden="1" customHeight="1" x14ac:dyDescent="0.2">
      <c r="B40" s="168"/>
      <c r="C40" s="26"/>
      <c r="D40" s="27"/>
      <c r="E40" s="28"/>
      <c r="F40" s="29"/>
      <c r="G40" s="30"/>
      <c r="H40" s="29"/>
      <c r="I40" s="31"/>
      <c r="J40" s="285"/>
      <c r="K40" s="285"/>
      <c r="L40" s="285"/>
      <c r="M40" s="169"/>
      <c r="N40" s="285"/>
      <c r="O40" s="236"/>
      <c r="P40" s="32"/>
      <c r="Q40" s="33"/>
      <c r="R40" s="32"/>
      <c r="S40" s="224"/>
      <c r="T40" s="224"/>
      <c r="U40" s="224"/>
      <c r="V40" s="129"/>
      <c r="W40" s="225"/>
      <c r="X40" s="288"/>
      <c r="Y40" s="1059"/>
      <c r="Z40" s="1060"/>
      <c r="AA40" s="1060"/>
      <c r="AB40" s="1060"/>
      <c r="AC40" s="1060"/>
      <c r="AD40" s="1060"/>
      <c r="AE40" s="1061"/>
    </row>
    <row r="41" spans="2:31" s="19" customFormat="1" ht="19.5" hidden="1" customHeight="1" x14ac:dyDescent="0.2">
      <c r="B41" s="168"/>
      <c r="C41" s="26"/>
      <c r="D41" s="27"/>
      <c r="E41" s="28"/>
      <c r="F41" s="29"/>
      <c r="G41" s="30"/>
      <c r="H41" s="29"/>
      <c r="I41" s="31"/>
      <c r="J41" s="285"/>
      <c r="K41" s="285"/>
      <c r="L41" s="285"/>
      <c r="M41" s="169"/>
      <c r="N41" s="285"/>
      <c r="O41" s="236"/>
      <c r="P41" s="32"/>
      <c r="Q41" s="33"/>
      <c r="R41" s="32"/>
      <c r="S41" s="224"/>
      <c r="T41" s="224"/>
      <c r="U41" s="224"/>
      <c r="V41" s="129"/>
      <c r="W41" s="225"/>
      <c r="X41" s="288"/>
      <c r="Y41" s="1059"/>
      <c r="Z41" s="1060"/>
      <c r="AA41" s="1060"/>
      <c r="AB41" s="1060"/>
      <c r="AC41" s="1060"/>
      <c r="AD41" s="1060"/>
      <c r="AE41" s="1061"/>
    </row>
    <row r="42" spans="2:31" s="19" customFormat="1" ht="19.5" hidden="1" customHeight="1" x14ac:dyDescent="0.2">
      <c r="B42" s="168"/>
      <c r="C42" s="26"/>
      <c r="D42" s="27"/>
      <c r="E42" s="28"/>
      <c r="F42" s="29"/>
      <c r="G42" s="30"/>
      <c r="H42" s="29"/>
      <c r="I42" s="31"/>
      <c r="J42" s="285"/>
      <c r="K42" s="285"/>
      <c r="L42" s="285"/>
      <c r="M42" s="169"/>
      <c r="N42" s="285"/>
      <c r="O42" s="236"/>
      <c r="P42" s="32"/>
      <c r="Q42" s="33"/>
      <c r="R42" s="32"/>
      <c r="S42" s="224"/>
      <c r="T42" s="224"/>
      <c r="U42" s="224"/>
      <c r="V42" s="129"/>
      <c r="W42" s="225"/>
      <c r="X42" s="288"/>
      <c r="Y42" s="1059"/>
      <c r="Z42" s="1060"/>
      <c r="AA42" s="1060"/>
      <c r="AB42" s="1060"/>
      <c r="AC42" s="1060"/>
      <c r="AD42" s="1060"/>
      <c r="AE42" s="1061"/>
    </row>
    <row r="43" spans="2:31" s="19" customFormat="1" ht="19.5" hidden="1" customHeight="1" x14ac:dyDescent="0.2">
      <c r="B43" s="168"/>
      <c r="C43" s="26"/>
      <c r="D43" s="27"/>
      <c r="E43" s="28"/>
      <c r="F43" s="29"/>
      <c r="G43" s="30"/>
      <c r="H43" s="29"/>
      <c r="I43" s="31"/>
      <c r="J43" s="32"/>
      <c r="K43" s="285"/>
      <c r="L43" s="285"/>
      <c r="M43" s="169"/>
      <c r="N43" s="285"/>
      <c r="O43" s="236"/>
      <c r="P43" s="32"/>
      <c r="Q43" s="33"/>
      <c r="R43" s="32"/>
      <c r="S43" s="224"/>
      <c r="T43" s="224"/>
      <c r="U43" s="224"/>
      <c r="V43" s="129"/>
      <c r="W43" s="225"/>
      <c r="X43" s="288"/>
      <c r="Y43" s="1059"/>
      <c r="Z43" s="1060"/>
      <c r="AA43" s="1060"/>
      <c r="AB43" s="1060"/>
      <c r="AC43" s="1060"/>
      <c r="AD43" s="1060"/>
      <c r="AE43" s="1061"/>
    </row>
    <row r="44" spans="2:31" s="19" customFormat="1" ht="19.5" hidden="1" customHeight="1" x14ac:dyDescent="0.2">
      <c r="B44" s="168"/>
      <c r="C44" s="26"/>
      <c r="D44" s="27"/>
      <c r="E44" s="28"/>
      <c r="F44" s="29"/>
      <c r="G44" s="30"/>
      <c r="H44" s="29"/>
      <c r="I44" s="31"/>
      <c r="J44" s="32"/>
      <c r="K44" s="285"/>
      <c r="L44" s="285"/>
      <c r="M44" s="169"/>
      <c r="N44" s="285"/>
      <c r="O44" s="236"/>
      <c r="P44" s="32"/>
      <c r="Q44" s="33"/>
      <c r="R44" s="32"/>
      <c r="S44" s="224"/>
      <c r="T44" s="224"/>
      <c r="U44" s="224"/>
      <c r="V44" s="129"/>
      <c r="W44" s="225"/>
      <c r="X44" s="288"/>
      <c r="Y44" s="1059"/>
      <c r="Z44" s="1060"/>
      <c r="AA44" s="1060"/>
      <c r="AB44" s="1060"/>
      <c r="AC44" s="1060"/>
      <c r="AD44" s="1060"/>
      <c r="AE44" s="1061"/>
    </row>
    <row r="45" spans="2:31" s="19" customFormat="1" ht="19.5" hidden="1" customHeight="1" x14ac:dyDescent="0.2">
      <c r="B45" s="168"/>
      <c r="C45" s="26"/>
      <c r="D45" s="27"/>
      <c r="E45" s="28"/>
      <c r="F45" s="29"/>
      <c r="G45" s="30"/>
      <c r="H45" s="29"/>
      <c r="I45" s="31"/>
      <c r="J45" s="32"/>
      <c r="K45" s="32"/>
      <c r="L45" s="32"/>
      <c r="M45" s="169"/>
      <c r="N45" s="32"/>
      <c r="O45" s="236"/>
      <c r="P45" s="32"/>
      <c r="Q45" s="33"/>
      <c r="R45" s="32"/>
      <c r="S45" s="224"/>
      <c r="T45" s="224"/>
      <c r="U45" s="224"/>
      <c r="V45" s="129"/>
      <c r="W45" s="225"/>
      <c r="X45" s="288"/>
      <c r="Y45" s="1059"/>
      <c r="Z45" s="1060"/>
      <c r="AA45" s="1060"/>
      <c r="AB45" s="1060"/>
      <c r="AC45" s="1060"/>
      <c r="AD45" s="1060"/>
      <c r="AE45" s="1061"/>
    </row>
    <row r="46" spans="2:31" s="19" customFormat="1" ht="19.5" hidden="1" customHeight="1" x14ac:dyDescent="0.2">
      <c r="B46" s="168"/>
      <c r="C46" s="26"/>
      <c r="D46" s="27"/>
      <c r="E46" s="28"/>
      <c r="F46" s="29"/>
      <c r="G46" s="30"/>
      <c r="H46" s="29"/>
      <c r="I46" s="31"/>
      <c r="J46" s="32"/>
      <c r="K46" s="32"/>
      <c r="L46" s="32"/>
      <c r="M46" s="169"/>
      <c r="N46" s="32"/>
      <c r="O46" s="236"/>
      <c r="P46" s="32"/>
      <c r="Q46" s="33"/>
      <c r="R46" s="32"/>
      <c r="S46" s="129"/>
      <c r="T46" s="129"/>
      <c r="U46" s="129"/>
      <c r="V46" s="129"/>
      <c r="W46" s="227"/>
      <c r="X46" s="233"/>
      <c r="Y46" s="1059"/>
      <c r="Z46" s="1060"/>
      <c r="AA46" s="1060"/>
      <c r="AB46" s="1060"/>
      <c r="AC46" s="1060"/>
      <c r="AD46" s="1060"/>
      <c r="AE46" s="1061"/>
    </row>
    <row r="47" spans="2:31" s="19" customFormat="1" ht="19.5" hidden="1" customHeight="1" x14ac:dyDescent="0.2">
      <c r="B47" s="168"/>
      <c r="C47" s="26"/>
      <c r="D47" s="27"/>
      <c r="E47" s="28"/>
      <c r="F47" s="29"/>
      <c r="G47" s="30"/>
      <c r="H47" s="29"/>
      <c r="I47" s="31"/>
      <c r="J47" s="32"/>
      <c r="K47" s="32"/>
      <c r="L47" s="32"/>
      <c r="M47" s="169"/>
      <c r="N47" s="32"/>
      <c r="O47" s="236"/>
      <c r="P47" s="32"/>
      <c r="Q47" s="33"/>
      <c r="R47" s="32"/>
      <c r="S47" s="129"/>
      <c r="T47" s="129"/>
      <c r="U47" s="129"/>
      <c r="V47" s="129"/>
      <c r="W47" s="227"/>
      <c r="X47" s="233"/>
      <c r="Y47" s="1059"/>
      <c r="Z47" s="1060"/>
      <c r="AA47" s="1060"/>
      <c r="AB47" s="1060"/>
      <c r="AC47" s="1060"/>
      <c r="AD47" s="1060"/>
      <c r="AE47" s="1061"/>
    </row>
    <row r="48" spans="2:31" s="19" customFormat="1" ht="19.5" hidden="1" customHeight="1" x14ac:dyDescent="0.2">
      <c r="B48" s="168"/>
      <c r="C48" s="26"/>
      <c r="D48" s="27"/>
      <c r="E48" s="28"/>
      <c r="F48" s="29"/>
      <c r="G48" s="30"/>
      <c r="H48" s="29"/>
      <c r="I48" s="31"/>
      <c r="J48" s="32"/>
      <c r="K48" s="32"/>
      <c r="L48" s="32"/>
      <c r="M48" s="169"/>
      <c r="N48" s="32"/>
      <c r="O48" s="236"/>
      <c r="P48" s="32"/>
      <c r="Q48" s="33"/>
      <c r="R48" s="32"/>
      <c r="S48" s="129"/>
      <c r="T48" s="129"/>
      <c r="U48" s="129"/>
      <c r="V48" s="129"/>
      <c r="W48" s="227"/>
      <c r="X48" s="233"/>
      <c r="Y48" s="1059"/>
      <c r="Z48" s="1060"/>
      <c r="AA48" s="1060"/>
      <c r="AB48" s="1060"/>
      <c r="AC48" s="1060"/>
      <c r="AD48" s="1060"/>
      <c r="AE48" s="1061"/>
    </row>
    <row r="49" spans="1:31" s="19" customFormat="1" ht="19.5" hidden="1" customHeight="1" x14ac:dyDescent="0.2">
      <c r="B49" s="168"/>
      <c r="C49" s="26"/>
      <c r="D49" s="27"/>
      <c r="E49" s="28"/>
      <c r="F49" s="29"/>
      <c r="G49" s="30"/>
      <c r="H49" s="29"/>
      <c r="I49" s="31"/>
      <c r="J49" s="32"/>
      <c r="K49" s="32"/>
      <c r="L49" s="32"/>
      <c r="M49" s="169"/>
      <c r="N49" s="32"/>
      <c r="O49" s="236"/>
      <c r="P49" s="32"/>
      <c r="Q49" s="33"/>
      <c r="R49" s="32"/>
      <c r="S49" s="129"/>
      <c r="T49" s="129"/>
      <c r="U49" s="129"/>
      <c r="V49" s="129"/>
      <c r="W49" s="227"/>
      <c r="X49" s="233"/>
      <c r="Y49" s="1059"/>
      <c r="Z49" s="1060"/>
      <c r="AA49" s="1060"/>
      <c r="AB49" s="1060"/>
      <c r="AC49" s="1060"/>
      <c r="AD49" s="1060"/>
      <c r="AE49" s="1061"/>
    </row>
    <row r="50" spans="1:31" s="19" customFormat="1" ht="19.5" hidden="1" customHeight="1" x14ac:dyDescent="0.2">
      <c r="B50" s="168"/>
      <c r="C50" s="26"/>
      <c r="D50" s="27"/>
      <c r="E50" s="28"/>
      <c r="F50" s="29"/>
      <c r="G50" s="30"/>
      <c r="H50" s="29"/>
      <c r="I50" s="31"/>
      <c r="J50" s="32"/>
      <c r="K50" s="32"/>
      <c r="L50" s="32"/>
      <c r="M50" s="169"/>
      <c r="N50" s="32"/>
      <c r="O50" s="236"/>
      <c r="P50" s="32"/>
      <c r="Q50" s="33"/>
      <c r="R50" s="32"/>
      <c r="S50" s="129"/>
      <c r="T50" s="129"/>
      <c r="U50" s="129"/>
      <c r="V50" s="129"/>
      <c r="W50" s="227"/>
      <c r="X50" s="233"/>
      <c r="Y50" s="1059"/>
      <c r="Z50" s="1060"/>
      <c r="AA50" s="1060"/>
      <c r="AB50" s="1060"/>
      <c r="AC50" s="1060"/>
      <c r="AD50" s="1060"/>
      <c r="AE50" s="1061"/>
    </row>
    <row r="51" spans="1:31" s="19" customFormat="1" ht="19.5" hidden="1" customHeight="1" x14ac:dyDescent="0.2">
      <c r="B51" s="168"/>
      <c r="C51" s="26"/>
      <c r="D51" s="27"/>
      <c r="E51" s="28"/>
      <c r="F51" s="29"/>
      <c r="G51" s="30"/>
      <c r="H51" s="29"/>
      <c r="I51" s="31"/>
      <c r="J51" s="32"/>
      <c r="K51" s="32"/>
      <c r="L51" s="32"/>
      <c r="M51" s="169"/>
      <c r="N51" s="32"/>
      <c r="O51" s="236"/>
      <c r="P51" s="32"/>
      <c r="Q51" s="33"/>
      <c r="R51" s="32"/>
      <c r="S51" s="129"/>
      <c r="T51" s="129"/>
      <c r="U51" s="129"/>
      <c r="V51" s="129"/>
      <c r="W51" s="227"/>
      <c r="X51" s="233"/>
      <c r="Y51" s="1059"/>
      <c r="Z51" s="1060"/>
      <c r="AA51" s="1060"/>
      <c r="AB51" s="1060"/>
      <c r="AC51" s="1060"/>
      <c r="AD51" s="1060"/>
      <c r="AE51" s="1061"/>
    </row>
    <row r="52" spans="1:31" s="19" customFormat="1" ht="19.5" hidden="1" customHeight="1" x14ac:dyDescent="0.2">
      <c r="B52" s="168"/>
      <c r="C52" s="26"/>
      <c r="D52" s="27"/>
      <c r="E52" s="28"/>
      <c r="F52" s="29"/>
      <c r="G52" s="30"/>
      <c r="H52" s="29"/>
      <c r="I52" s="31"/>
      <c r="J52" s="32"/>
      <c r="K52" s="32"/>
      <c r="L52" s="32"/>
      <c r="M52" s="169"/>
      <c r="N52" s="32"/>
      <c r="O52" s="236"/>
      <c r="P52" s="32"/>
      <c r="Q52" s="33"/>
      <c r="R52" s="32"/>
      <c r="S52" s="129"/>
      <c r="T52" s="129"/>
      <c r="U52" s="129"/>
      <c r="V52" s="129"/>
      <c r="W52" s="227"/>
      <c r="X52" s="233"/>
      <c r="Y52" s="1059"/>
      <c r="Z52" s="1060"/>
      <c r="AA52" s="1060"/>
      <c r="AB52" s="1060"/>
      <c r="AC52" s="1060"/>
      <c r="AD52" s="1060"/>
      <c r="AE52" s="1061"/>
    </row>
    <row r="53" spans="1:31" s="19" customFormat="1" ht="19.5" hidden="1" customHeight="1" x14ac:dyDescent="0.2">
      <c r="B53" s="168"/>
      <c r="C53" s="26"/>
      <c r="D53" s="27"/>
      <c r="E53" s="28"/>
      <c r="F53" s="29"/>
      <c r="G53" s="30"/>
      <c r="H53" s="29"/>
      <c r="I53" s="31"/>
      <c r="J53" s="32"/>
      <c r="K53" s="32"/>
      <c r="L53" s="32"/>
      <c r="M53" s="169"/>
      <c r="N53" s="32"/>
      <c r="O53" s="236"/>
      <c r="P53" s="32"/>
      <c r="Q53" s="33"/>
      <c r="R53" s="32"/>
      <c r="S53" s="129"/>
      <c r="T53" s="129"/>
      <c r="U53" s="129"/>
      <c r="V53" s="129"/>
      <c r="W53" s="227"/>
      <c r="X53" s="233"/>
      <c r="Y53" s="1059"/>
      <c r="Z53" s="1060"/>
      <c r="AA53" s="1060"/>
      <c r="AB53" s="1060"/>
      <c r="AC53" s="1060"/>
      <c r="AD53" s="1060"/>
      <c r="AE53" s="1061"/>
    </row>
    <row r="54" spans="1:31" s="19" customFormat="1" ht="19.5" hidden="1" customHeight="1" x14ac:dyDescent="0.2">
      <c r="B54" s="168"/>
      <c r="C54" s="26"/>
      <c r="D54" s="27"/>
      <c r="E54" s="28"/>
      <c r="F54" s="29"/>
      <c r="G54" s="30"/>
      <c r="H54" s="29"/>
      <c r="I54" s="31"/>
      <c r="J54" s="32"/>
      <c r="K54" s="32"/>
      <c r="L54" s="32"/>
      <c r="M54" s="169"/>
      <c r="N54" s="32"/>
      <c r="O54" s="236"/>
      <c r="P54" s="32"/>
      <c r="Q54" s="33"/>
      <c r="R54" s="32"/>
      <c r="S54" s="129"/>
      <c r="T54" s="129"/>
      <c r="U54" s="129"/>
      <c r="V54" s="129"/>
      <c r="W54" s="227"/>
      <c r="X54" s="233"/>
      <c r="Y54" s="1059"/>
      <c r="Z54" s="1060"/>
      <c r="AA54" s="1060"/>
      <c r="AB54" s="1060"/>
      <c r="AC54" s="1060"/>
      <c r="AD54" s="1060"/>
      <c r="AE54" s="1061"/>
    </row>
    <row r="55" spans="1:31" s="19" customFormat="1" ht="19.5" hidden="1" customHeight="1" x14ac:dyDescent="0.2">
      <c r="B55" s="168"/>
      <c r="C55" s="26"/>
      <c r="D55" s="27"/>
      <c r="E55" s="28"/>
      <c r="F55" s="29"/>
      <c r="G55" s="30"/>
      <c r="H55" s="29"/>
      <c r="I55" s="31"/>
      <c r="J55" s="32"/>
      <c r="K55" s="32"/>
      <c r="L55" s="32"/>
      <c r="M55" s="169"/>
      <c r="N55" s="32"/>
      <c r="O55" s="236"/>
      <c r="P55" s="32"/>
      <c r="Q55" s="33"/>
      <c r="R55" s="32"/>
      <c r="S55" s="129"/>
      <c r="T55" s="129"/>
      <c r="U55" s="129"/>
      <c r="V55" s="129"/>
      <c r="W55" s="227"/>
      <c r="X55" s="233"/>
      <c r="Y55" s="1059"/>
      <c r="Z55" s="1060"/>
      <c r="AA55" s="1060"/>
      <c r="AB55" s="1060"/>
      <c r="AC55" s="1060"/>
      <c r="AD55" s="1060"/>
      <c r="AE55" s="1061"/>
    </row>
    <row r="56" spans="1:31" s="19" customFormat="1" ht="19.5" hidden="1" customHeight="1" x14ac:dyDescent="0.2">
      <c r="B56" s="168"/>
      <c r="C56" s="26"/>
      <c r="D56" s="27"/>
      <c r="E56" s="28"/>
      <c r="F56" s="29"/>
      <c r="G56" s="30"/>
      <c r="H56" s="29"/>
      <c r="I56" s="31"/>
      <c r="J56" s="32"/>
      <c r="K56" s="32"/>
      <c r="L56" s="32"/>
      <c r="M56" s="169"/>
      <c r="N56" s="32"/>
      <c r="O56" s="236"/>
      <c r="P56" s="32"/>
      <c r="Q56" s="33"/>
      <c r="R56" s="32"/>
      <c r="S56" s="129"/>
      <c r="T56" s="129"/>
      <c r="U56" s="129"/>
      <c r="V56" s="129"/>
      <c r="W56" s="227"/>
      <c r="X56" s="233"/>
      <c r="Y56" s="1059"/>
      <c r="Z56" s="1060"/>
      <c r="AA56" s="1060"/>
      <c r="AB56" s="1060"/>
      <c r="AC56" s="1060"/>
      <c r="AD56" s="1060"/>
      <c r="AE56" s="1061"/>
    </row>
    <row r="57" spans="1:31" s="19" customFormat="1" ht="19.5" hidden="1" customHeight="1" x14ac:dyDescent="0.2">
      <c r="B57" s="168"/>
      <c r="C57" s="26"/>
      <c r="D57" s="27"/>
      <c r="E57" s="28"/>
      <c r="F57" s="29"/>
      <c r="G57" s="30"/>
      <c r="H57" s="29"/>
      <c r="I57" s="31"/>
      <c r="J57" s="32"/>
      <c r="K57" s="32"/>
      <c r="L57" s="32"/>
      <c r="M57" s="169"/>
      <c r="N57" s="32"/>
      <c r="O57" s="236"/>
      <c r="P57" s="32"/>
      <c r="Q57" s="33"/>
      <c r="R57" s="32"/>
      <c r="S57" s="129"/>
      <c r="T57" s="129"/>
      <c r="U57" s="129"/>
      <c r="V57" s="129"/>
      <c r="W57" s="227"/>
      <c r="X57" s="233"/>
      <c r="Y57" s="1059"/>
      <c r="Z57" s="1060"/>
      <c r="AA57" s="1060"/>
      <c r="AB57" s="1060"/>
      <c r="AC57" s="1060"/>
      <c r="AD57" s="1060"/>
      <c r="AE57" s="1061"/>
    </row>
    <row r="58" spans="1:31" s="19" customFormat="1" ht="19.5" hidden="1" customHeight="1" x14ac:dyDescent="0.2">
      <c r="B58" s="168"/>
      <c r="C58" s="26"/>
      <c r="D58" s="27"/>
      <c r="E58" s="28"/>
      <c r="F58" s="29"/>
      <c r="G58" s="30"/>
      <c r="H58" s="29"/>
      <c r="I58" s="31"/>
      <c r="J58" s="32"/>
      <c r="K58" s="32"/>
      <c r="L58" s="32"/>
      <c r="M58" s="169"/>
      <c r="N58" s="32"/>
      <c r="O58" s="236"/>
      <c r="P58" s="32"/>
      <c r="Q58" s="33"/>
      <c r="R58" s="32"/>
      <c r="S58" s="129"/>
      <c r="T58" s="129"/>
      <c r="U58" s="129"/>
      <c r="V58" s="129"/>
      <c r="W58" s="227"/>
      <c r="X58" s="233"/>
      <c r="Y58" s="1059"/>
      <c r="Z58" s="1060"/>
      <c r="AA58" s="1060"/>
      <c r="AB58" s="1060"/>
      <c r="AC58" s="1060"/>
      <c r="AD58" s="1060"/>
      <c r="AE58" s="1061"/>
    </row>
    <row r="59" spans="1:31" s="19" customFormat="1" ht="19.5" hidden="1" customHeight="1" thickBot="1" x14ac:dyDescent="0.25">
      <c r="B59" s="168"/>
      <c r="C59" s="26"/>
      <c r="D59" s="27"/>
      <c r="E59" s="28"/>
      <c r="F59" s="29"/>
      <c r="G59" s="30"/>
      <c r="H59" s="29"/>
      <c r="I59" s="31"/>
      <c r="J59" s="32"/>
      <c r="K59" s="32"/>
      <c r="L59" s="32"/>
      <c r="M59" s="169"/>
      <c r="N59" s="32"/>
      <c r="O59" s="236"/>
      <c r="P59" s="32"/>
      <c r="Q59" s="33"/>
      <c r="R59" s="32"/>
      <c r="S59" s="129"/>
      <c r="T59" s="129"/>
      <c r="U59" s="129"/>
      <c r="V59" s="129"/>
      <c r="W59" s="227"/>
      <c r="X59" s="233"/>
      <c r="Y59" s="1059"/>
      <c r="Z59" s="1060"/>
      <c r="AA59" s="1060"/>
      <c r="AB59" s="1060"/>
      <c r="AC59" s="1060"/>
      <c r="AD59" s="1060"/>
      <c r="AE59" s="1061"/>
    </row>
    <row r="60" spans="1:31" s="19" customFormat="1" ht="35.25" customHeight="1" thickBot="1" x14ac:dyDescent="0.25">
      <c r="B60" s="240" t="s">
        <v>3</v>
      </c>
      <c r="C60" s="241"/>
      <c r="D60" s="242">
        <f>SUM(D4:D58)</f>
        <v>80940</v>
      </c>
      <c r="E60" s="243">
        <f>AVERAGE(E4:E58)</f>
        <v>0.35979532163742689</v>
      </c>
      <c r="F60" s="244">
        <f>SUM(F4:F59)</f>
        <v>5367.3989999999994</v>
      </c>
      <c r="G60" s="242">
        <f>SUM(G4:G58)</f>
        <v>78259</v>
      </c>
      <c r="H60" s="244">
        <f>SUM(H4:H59)</f>
        <v>5331.8020000000024</v>
      </c>
      <c r="I60" s="245">
        <f>SUM(I4:I58)</f>
        <v>363.12333333333333</v>
      </c>
      <c r="J60" s="245">
        <f>G60/(K60/60)</f>
        <v>449.16204323703846</v>
      </c>
      <c r="K60" s="242">
        <f>SUM(K4:K58)</f>
        <v>10454</v>
      </c>
      <c r="L60" s="242">
        <f>SUM(L4:L58)</f>
        <v>412</v>
      </c>
      <c r="M60" s="246">
        <f>AVERAGE(M4:M59)</f>
        <v>0.75135233918128674</v>
      </c>
      <c r="N60" s="242">
        <f>SUM(N4:N58)</f>
        <v>2180</v>
      </c>
      <c r="O60" s="247">
        <f>[4]May!$I$54/K60</f>
        <v>2.4775205662904153E-2</v>
      </c>
      <c r="P60" s="245">
        <f>SUM(P4:P59)</f>
        <v>437</v>
      </c>
      <c r="Q60" s="292">
        <f>(F60-H60)/F60</f>
        <v>6.6320763557911437E-3</v>
      </c>
      <c r="R60" s="249">
        <f>SUM(R4:R58)</f>
        <v>0</v>
      </c>
      <c r="S60" s="250">
        <f>((S4*($G$4))+(S5*($G$5+$G$6))+(S7*($G$7+$G$8))+(S9*($G$9))+(S10*($G$10+$G$11+$G$12+$G$13))+(S14*($G$14))+(S15*($G$15))+(S16*($G$16))+(S17*($G$17))+(S18*($G$18))+(S19*($G$19))+(S20*($G$20+$G$21))+(S22*($G$22+$G$23+$G$24))+(S25*($G$25))+(S26*($G$26))+(S27*($G$27))+(S28*($G$28))+(S29*(G29+G30)))/($G$60)</f>
        <v>0.75074130822560015</v>
      </c>
      <c r="T60" s="250">
        <f>((T4*($G$4))+(T5*($G$5+$G$6))+(T7*($G$7+$G$8))+(T9*($G$9))+(T10*($G$10+$G$11+$G$12+$G$13))+(T14*($G$14))+(T15*($G$15))+(T16*($G$16))+(T17*($G$17))+(T18*($G$18))+(T19*($G$19))+(T20*($G$20+$G$21))+(T22*($G$22+$G$23+$G$24))+(T25*($G$25))+(T26*($G$26))+(T27*($G$27))+(T28*($G$28))+(T29*(G29+G30)))/($G$60)</f>
        <v>0.66241880137552944</v>
      </c>
      <c r="U60" s="251">
        <f>(G60)*24/(K60/60)/15000</f>
        <v>0.71865926917926148</v>
      </c>
      <c r="V60" s="251">
        <f>(F60)*24/(J60/60)/17000</f>
        <v>1.0122188085144124</v>
      </c>
      <c r="W60" s="251">
        <f>(G60)*24/(K60/60)/17000</f>
        <v>0.63411111986405433</v>
      </c>
      <c r="X60" s="252">
        <f>(12141-(N60-313))/12141</f>
        <v>0.84622354007083433</v>
      </c>
      <c r="Y60" s="1059"/>
      <c r="Z60" s="1060"/>
      <c r="AA60" s="1060"/>
      <c r="AB60" s="1060"/>
      <c r="AC60" s="1060"/>
      <c r="AD60" s="1060"/>
      <c r="AE60" s="1061"/>
    </row>
    <row r="61" spans="1:31" s="271" customFormat="1" ht="21" hidden="1" customHeight="1" thickTop="1" x14ac:dyDescent="0.3">
      <c r="A61" s="274"/>
      <c r="B61" s="260" t="s">
        <v>474</v>
      </c>
      <c r="C61" s="260"/>
      <c r="D61" s="261"/>
      <c r="E61" s="262"/>
      <c r="F61" s="263"/>
      <c r="G61" s="261"/>
      <c r="H61" s="263"/>
      <c r="I61" s="273"/>
      <c r="J61" s="273">
        <v>524</v>
      </c>
      <c r="K61" s="261"/>
      <c r="L61" s="261"/>
      <c r="M61" s="265"/>
      <c r="N61" s="261"/>
      <c r="O61" s="266"/>
      <c r="P61" s="264"/>
      <c r="Q61" s="267">
        <v>1.0999999999999999E-2</v>
      </c>
      <c r="R61" s="268"/>
      <c r="S61" s="268"/>
      <c r="T61" s="268">
        <v>0.6</v>
      </c>
      <c r="U61" s="268"/>
      <c r="V61" s="268"/>
      <c r="W61" s="268">
        <v>0.74</v>
      </c>
      <c r="X61" s="269">
        <v>0.95</v>
      </c>
      <c r="Y61" s="270"/>
      <c r="Z61" s="270"/>
      <c r="AA61" s="270"/>
      <c r="AB61" s="270"/>
      <c r="AC61" s="270"/>
      <c r="AD61" s="270"/>
      <c r="AE61" s="270"/>
    </row>
    <row r="62" spans="1:31" ht="21.75" customHeight="1" thickTop="1" x14ac:dyDescent="0.25">
      <c r="B62" s="11"/>
      <c r="C62" s="150" t="s">
        <v>35</v>
      </c>
      <c r="D62" s="210">
        <v>69300</v>
      </c>
      <c r="E62" s="1081" t="s">
        <v>559</v>
      </c>
      <c r="F62" s="1081"/>
      <c r="G62" s="210">
        <f>D62-G60</f>
        <v>-8959</v>
      </c>
      <c r="H62" s="150" t="s">
        <v>327</v>
      </c>
      <c r="I62" s="272">
        <f>G60/D62</f>
        <v>1.1292784992784992</v>
      </c>
      <c r="J62" s="152">
        <v>0</v>
      </c>
      <c r="K62" s="12"/>
      <c r="L62" s="12"/>
      <c r="M62" s="12"/>
      <c r="N62" s="12"/>
      <c r="O62" s="12"/>
      <c r="P62" s="13"/>
      <c r="Q62" s="14"/>
      <c r="R62" s="12"/>
      <c r="S62" s="15"/>
      <c r="T62" s="16"/>
      <c r="U62" s="15"/>
      <c r="V62" s="15"/>
      <c r="W62" s="15"/>
      <c r="X62" s="15"/>
      <c r="Y62" s="17" t="s">
        <v>48</v>
      </c>
    </row>
    <row r="63" spans="1:31" ht="20.25" customHeight="1" x14ac:dyDescent="0.25">
      <c r="B63" s="11"/>
      <c r="C63" s="150" t="s">
        <v>37</v>
      </c>
      <c r="D63" s="210">
        <f>April_17!D63+May_17!D62</f>
        <v>411710</v>
      </c>
      <c r="E63" s="1081" t="s">
        <v>36</v>
      </c>
      <c r="F63" s="1081"/>
      <c r="G63" s="210">
        <f>April_17!G63+May_17!G60</f>
        <v>407455</v>
      </c>
      <c r="H63" s="150" t="s">
        <v>326</v>
      </c>
      <c r="I63" s="212">
        <v>0</v>
      </c>
      <c r="J63" s="152"/>
      <c r="K63" s="12">
        <v>0</v>
      </c>
      <c r="L63" s="12"/>
      <c r="M63" s="12"/>
      <c r="N63" s="12"/>
      <c r="O63" s="12"/>
      <c r="P63" s="13"/>
      <c r="Q63" s="14"/>
      <c r="R63" s="12"/>
      <c r="S63" s="15"/>
      <c r="T63" s="16"/>
      <c r="U63" s="15"/>
      <c r="V63" s="15"/>
      <c r="W63" s="15"/>
      <c r="X63" s="15"/>
      <c r="Y63" s="17"/>
    </row>
    <row r="64" spans="1:31" ht="6.75" customHeight="1" thickBot="1" x14ac:dyDescent="0.3">
      <c r="C64" s="23"/>
      <c r="D64" s="42"/>
      <c r="E64" s="1082"/>
      <c r="F64" s="1082"/>
      <c r="G64" s="42"/>
      <c r="H64" s="44"/>
      <c r="I64" s="44"/>
      <c r="J64" s="149"/>
      <c r="P64"/>
      <c r="S64" s="10"/>
      <c r="Y64" s="17"/>
    </row>
    <row r="65" spans="2:30" ht="48.75" customHeight="1" thickTop="1" thickBot="1" x14ac:dyDescent="0.25">
      <c r="B65" s="7"/>
      <c r="C65" s="206" t="s">
        <v>19</v>
      </c>
      <c r="D65" s="207" t="s">
        <v>14</v>
      </c>
      <c r="E65" s="207" t="s">
        <v>23</v>
      </c>
      <c r="F65" s="207" t="s">
        <v>24</v>
      </c>
      <c r="G65" s="208" t="s">
        <v>15</v>
      </c>
      <c r="H65" s="207" t="s">
        <v>17</v>
      </c>
      <c r="I65" s="207" t="s">
        <v>16</v>
      </c>
      <c r="J65" s="209" t="s">
        <v>316</v>
      </c>
      <c r="P65"/>
      <c r="Q65" s="141" t="s">
        <v>325</v>
      </c>
      <c r="R65" s="90" t="s">
        <v>320</v>
      </c>
      <c r="S65" s="90" t="s">
        <v>466</v>
      </c>
      <c r="T65" s="90" t="s">
        <v>467</v>
      </c>
      <c r="U65" s="90" t="s">
        <v>323</v>
      </c>
      <c r="V65" s="142"/>
      <c r="W65" s="143" t="s">
        <v>324</v>
      </c>
      <c r="X65" s="228"/>
      <c r="Z65" s="165" t="s">
        <v>375</v>
      </c>
      <c r="AA65" s="166" t="s">
        <v>376</v>
      </c>
      <c r="AB65" s="166" t="s">
        <v>377</v>
      </c>
      <c r="AC65" s="167" t="s">
        <v>378</v>
      </c>
    </row>
    <row r="66" spans="2:30" ht="21" thickBot="1" x14ac:dyDescent="0.35">
      <c r="B66" s="8"/>
      <c r="C66" s="201">
        <v>1</v>
      </c>
      <c r="D66" s="202" t="s">
        <v>20</v>
      </c>
      <c r="E66" s="182">
        <f>SUM(G4,G5,G6,G7,G14,G15,G16,G17,G19,G20,G21,G22,G23,G26,G27,G28,G29:G30)</f>
        <v>60908</v>
      </c>
      <c r="F66" s="183">
        <f>SUM(K4,K5,K7,K14,K15,K16,K17,K19,K20,K22,K26,K27,K28,K29:K30)</f>
        <v>8581</v>
      </c>
      <c r="G66" s="184">
        <f>SUM(F4,F5,F6,F7,F14,F15,F16,F17,F19,F20,F22,F26,F27,F28,F29:F30)</f>
        <v>4128.7</v>
      </c>
      <c r="H66" s="184">
        <f>SUM(H4,H5,H6,H7,H14,H15,H16,H17,H19,H20,H22,H26,H27,H28,H29:H30)</f>
        <v>4110.1779999999999</v>
      </c>
      <c r="I66" s="97">
        <f t="shared" ref="I66:I71" si="5">(G66-H66)/G66</f>
        <v>4.4861578705161272E-3</v>
      </c>
      <c r="J66" s="186">
        <f>(E66+G8+G24)*24/(F66/60)/17000</f>
        <v>0.64451887549099585</v>
      </c>
      <c r="P66"/>
      <c r="Q66" s="253">
        <f>U80</f>
        <v>8.3853303868099381E-3</v>
      </c>
      <c r="R66" s="254"/>
      <c r="S66" s="255">
        <f>((January_17!$Q$60*January_17!$G$60)+(February_17!$R$60*February_17!$G$60)+(March_17!$R$60*March_17!$G$60)+(April_17!$R$60*April_17!$G$60)+(May_17!$S$60*May_17!$G$60))/($G$63)</f>
        <v>0.76257612896990423</v>
      </c>
      <c r="T66" s="255">
        <f>((January_17!$R$60*January_17!G60)+(February_17!$S$60*February_17!$G$60)+(March_17!$S$60*March_17!$G$60)+(April_17!$S$60*April_17!$G$60)+(May_17!T60*May_17!$G$60))/($G$63)</f>
        <v>0.67433817656392003</v>
      </c>
      <c r="U66" s="254">
        <f>U79</f>
        <v>0.73496702429492122</v>
      </c>
      <c r="V66" s="256"/>
      <c r="W66" s="257">
        <f>W79</f>
        <v>0.64850031555434218</v>
      </c>
      <c r="X66" s="229"/>
      <c r="Z66" s="176" t="s">
        <v>370</v>
      </c>
      <c r="AA66" s="178">
        <f>[5]May_2017!$F$29</f>
        <v>5.1478408849181027E-2</v>
      </c>
      <c r="AB66" s="178">
        <f>[5]May_2017!F85</f>
        <v>4.3371613523560601E-2</v>
      </c>
      <c r="AC66" s="179">
        <f>[5]YearToDate!F5</f>
        <v>5.7508070397275124E-2</v>
      </c>
    </row>
    <row r="67" spans="2:30" s="1" customFormat="1" ht="18.75" thickTop="1" x14ac:dyDescent="0.25">
      <c r="B67" s="8"/>
      <c r="C67" s="203">
        <v>2</v>
      </c>
      <c r="D67" s="204" t="s">
        <v>21</v>
      </c>
      <c r="E67" s="182">
        <f>SUM(G24,G25)</f>
        <v>4133</v>
      </c>
      <c r="F67" s="183">
        <f>SUM(K22,K25)</f>
        <v>772</v>
      </c>
      <c r="G67" s="184">
        <f>SUM(F24,F25)</f>
        <v>274.5</v>
      </c>
      <c r="H67" s="184">
        <f>SUM(H24,H25)</f>
        <v>272.77800000000002</v>
      </c>
      <c r="I67" s="97">
        <f t="shared" si="5"/>
        <v>6.273224043715774E-3</v>
      </c>
      <c r="J67" s="191">
        <f>(E67+G22+G23)*24/(F67/60)/17000</f>
        <v>0.69158183480646152</v>
      </c>
      <c r="K67"/>
      <c r="L67"/>
      <c r="M67"/>
      <c r="N67"/>
      <c r="O67"/>
      <c r="P67" s="2"/>
      <c r="T67"/>
      <c r="U67"/>
      <c r="V67"/>
      <c r="W67"/>
      <c r="Y67"/>
      <c r="Z67" s="213" t="s">
        <v>371</v>
      </c>
      <c r="AA67" s="216"/>
      <c r="AB67" s="215">
        <f>[5]May_2017!F86</f>
        <v>3.6376371702077984E-2</v>
      </c>
      <c r="AC67" s="214">
        <f>[5]YearToDate!F6</f>
        <v>7.4495145412179109E-2</v>
      </c>
      <c r="AD67"/>
    </row>
    <row r="68" spans="2:30" s="1" customFormat="1" ht="18" x14ac:dyDescent="0.25">
      <c r="B68" s="8"/>
      <c r="C68" s="201">
        <v>3</v>
      </c>
      <c r="D68" s="204" t="s">
        <v>124</v>
      </c>
      <c r="E68" s="187"/>
      <c r="F68" s="188"/>
      <c r="G68" s="189"/>
      <c r="H68" s="189"/>
      <c r="I68" s="109" t="e">
        <f t="shared" si="5"/>
        <v>#DIV/0!</v>
      </c>
      <c r="J68" s="191"/>
      <c r="K68"/>
      <c r="L68"/>
      <c r="M68"/>
      <c r="N68"/>
      <c r="O68"/>
      <c r="P68" s="2"/>
      <c r="T68"/>
      <c r="U68"/>
      <c r="V68"/>
      <c r="W68"/>
      <c r="Y68"/>
      <c r="Z68" s="177" t="s">
        <v>372</v>
      </c>
      <c r="AA68" s="217">
        <f>[5]May_2017!$F$30</f>
        <v>5.4076928889896472E-2</v>
      </c>
      <c r="AB68" s="180">
        <f>[5]May_2017!F87</f>
        <v>5.4994873409024446E-2</v>
      </c>
      <c r="AC68" s="181">
        <f>[5]YearToDate!F7</f>
        <v>5.2359214885581859E-2</v>
      </c>
      <c r="AD68"/>
    </row>
    <row r="69" spans="2:30" s="1" customFormat="1" ht="18" x14ac:dyDescent="0.25">
      <c r="B69" s="8"/>
      <c r="C69" s="203">
        <v>4</v>
      </c>
      <c r="D69" s="204" t="s">
        <v>18</v>
      </c>
      <c r="E69" s="182">
        <f>SUM(G9,G18)</f>
        <v>7920</v>
      </c>
      <c r="F69" s="183">
        <f>SUM(K9,K18)</f>
        <v>1046</v>
      </c>
      <c r="G69" s="182">
        <f>SUM(F9,F18)</f>
        <v>556.70000000000005</v>
      </c>
      <c r="H69" s="182">
        <f>SUM(H9,H18)</f>
        <v>551.36400000000003</v>
      </c>
      <c r="I69" s="295">
        <f t="shared" si="5"/>
        <v>9.5850547871385167E-3</v>
      </c>
      <c r="J69" s="191">
        <f>(E69)*24/(F69/60)/17000</f>
        <v>0.64136767517714544</v>
      </c>
      <c r="K69"/>
      <c r="L69"/>
      <c r="M69"/>
      <c r="N69"/>
      <c r="O69"/>
      <c r="P69" s="2"/>
      <c r="Q69" s="159"/>
      <c r="R69" s="159"/>
      <c r="S69" s="159"/>
      <c r="T69" s="160"/>
      <c r="U69" s="160"/>
      <c r="V69" s="161"/>
      <c r="W69" s="161"/>
      <c r="X69" s="234"/>
      <c r="Y69"/>
      <c r="Z69" s="213" t="s">
        <v>373</v>
      </c>
      <c r="AA69" s="216"/>
      <c r="AB69" s="215">
        <f>[5]May_2017!F88</f>
        <v>2.3803757060231159E-2</v>
      </c>
      <c r="AC69" s="214">
        <f>[5]YearToDate!F8</f>
        <v>5.4903170815414681E-2</v>
      </c>
    </row>
    <row r="70" spans="2:30" s="1" customFormat="1" ht="18" x14ac:dyDescent="0.25">
      <c r="B70" s="8"/>
      <c r="C70" s="201">
        <v>5</v>
      </c>
      <c r="D70" s="205" t="s">
        <v>26</v>
      </c>
      <c r="E70" s="192">
        <f>SUM(G8)</f>
        <v>1620</v>
      </c>
      <c r="F70" s="193">
        <f>SUM(K7)</f>
        <v>615</v>
      </c>
      <c r="G70" s="194">
        <f>SUM(F8)</f>
        <v>108</v>
      </c>
      <c r="H70" s="194">
        <f>SUM(H8)</f>
        <v>106.92</v>
      </c>
      <c r="I70" s="295">
        <f t="shared" si="5"/>
        <v>9.9999999999999846E-3</v>
      </c>
      <c r="J70" s="191">
        <f>(E70+G7)*24/(F70/60)/17000</f>
        <v>0.69734289813486361</v>
      </c>
      <c r="K70"/>
      <c r="L70"/>
      <c r="M70"/>
      <c r="N70"/>
      <c r="O70"/>
      <c r="P70" s="2"/>
      <c r="Q70" s="159"/>
      <c r="S70" s="8"/>
      <c r="T70"/>
      <c r="U70"/>
      <c r="V70" s="6"/>
      <c r="W70" s="6"/>
      <c r="X70" s="10"/>
      <c r="Y70"/>
      <c r="Z70" s="177" t="s">
        <v>374</v>
      </c>
      <c r="AA70" s="217"/>
      <c r="AB70" s="180">
        <f>[5]May_2017!F89</f>
        <v>4.5620815791289945E-2</v>
      </c>
      <c r="AC70" s="181">
        <f>[5]YearToDate!F9</f>
        <v>7.6171674114030377E-2</v>
      </c>
    </row>
    <row r="71" spans="2:30" s="1" customFormat="1" ht="18.75" thickBot="1" x14ac:dyDescent="0.3">
      <c r="B71" s="8"/>
      <c r="C71" s="203">
        <v>6</v>
      </c>
      <c r="D71" s="205" t="s">
        <v>25</v>
      </c>
      <c r="E71" s="192">
        <f>SUM(G10:G13)</f>
        <v>3678</v>
      </c>
      <c r="F71" s="193">
        <f>SUM(K10)</f>
        <v>666</v>
      </c>
      <c r="G71" s="194">
        <f>SUM(F10:F13)</f>
        <v>299.49900000000002</v>
      </c>
      <c r="H71" s="194">
        <f>SUM(H10:H13)</f>
        <v>290.56200000000001</v>
      </c>
      <c r="I71" s="97">
        <f t="shared" si="5"/>
        <v>2.9839832520308952E-2</v>
      </c>
      <c r="J71" s="186">
        <f>(E71)*24/(F71/60)/17000</f>
        <v>0.46779014308426076</v>
      </c>
      <c r="K71"/>
      <c r="L71"/>
      <c r="M71"/>
      <c r="N71"/>
      <c r="O71"/>
      <c r="P71" s="2"/>
      <c r="Q71" s="159"/>
      <c r="T71"/>
      <c r="U71"/>
      <c r="V71"/>
      <c r="W71"/>
      <c r="Y71"/>
      <c r="Z71" s="218" t="s">
        <v>25</v>
      </c>
      <c r="AA71" s="219"/>
      <c r="AB71" s="215">
        <f>[5]May_2017!F90</f>
        <v>1.2005610717796357E-2</v>
      </c>
      <c r="AC71" s="220">
        <f>[5]YearToDate!F10</f>
        <v>4.5790074270967041E-2</v>
      </c>
    </row>
    <row r="72" spans="2:30" s="1" customFormat="1" ht="19.5" thickTop="1" thickBot="1" x14ac:dyDescent="0.3">
      <c r="C72" s="112"/>
      <c r="D72" s="195" t="s">
        <v>22</v>
      </c>
      <c r="E72" s="196">
        <f>SUM(E66:E71)</f>
        <v>78259</v>
      </c>
      <c r="F72" s="197">
        <f>K60</f>
        <v>10454</v>
      </c>
      <c r="G72" s="198">
        <f>SUM(G66:G71)</f>
        <v>5367.3989999999994</v>
      </c>
      <c r="H72" s="198">
        <f>SUM(H66:H71)</f>
        <v>5331.8019999999997</v>
      </c>
      <c r="I72" s="199">
        <f>((G72)-(H72))/(G72)</f>
        <v>6.632076355791652E-3</v>
      </c>
      <c r="J72" s="200">
        <f>E72*24/(F72/60)/17000</f>
        <v>0.63411111986405433</v>
      </c>
      <c r="K72"/>
      <c r="L72"/>
      <c r="M72"/>
      <c r="N72"/>
      <c r="O72"/>
      <c r="P72" s="139"/>
      <c r="Q72" s="159"/>
      <c r="T72"/>
      <c r="U72"/>
      <c r="V72"/>
      <c r="W72"/>
      <c r="Y72"/>
      <c r="Z72" s="221" t="s">
        <v>379</v>
      </c>
      <c r="AA72" s="222"/>
      <c r="AB72" s="222">
        <f>[5]May_2017!$F$92</f>
        <v>4.5821620770908837E-2</v>
      </c>
      <c r="AC72" s="223">
        <f>[5]YearToDate!$F$12</f>
        <v>5.7449685942507892E-2</v>
      </c>
    </row>
    <row r="73" spans="2:30" s="1" customFormat="1" ht="16.5" thickTop="1" x14ac:dyDescent="0.25">
      <c r="J73"/>
      <c r="K73"/>
      <c r="L73"/>
      <c r="M73"/>
      <c r="N73"/>
      <c r="O73"/>
      <c r="P73" s="2"/>
      <c r="Q73" s="159"/>
      <c r="T73"/>
      <c r="U73"/>
      <c r="V73"/>
      <c r="W73"/>
      <c r="Y73"/>
    </row>
    <row r="74" spans="2:30" s="1" customFormat="1" ht="15.75" x14ac:dyDescent="0.25">
      <c r="E74" s="3"/>
      <c r="F74" s="119"/>
      <c r="G74" s="120"/>
      <c r="H74" s="120"/>
      <c r="I74"/>
      <c r="J74"/>
      <c r="K74"/>
      <c r="L74"/>
      <c r="M74"/>
      <c r="N74"/>
      <c r="O74"/>
      <c r="P74" s="2"/>
      <c r="Q74" s="159"/>
      <c r="T74"/>
      <c r="U74"/>
      <c r="V74"/>
      <c r="W74"/>
      <c r="Y74"/>
    </row>
    <row r="75" spans="2:30" s="1" customFormat="1" ht="13.5" customHeight="1" x14ac:dyDescent="0.25">
      <c r="J75"/>
      <c r="K75"/>
      <c r="L75"/>
      <c r="M75"/>
      <c r="N75"/>
      <c r="O75"/>
      <c r="P75" s="2"/>
      <c r="Q75" s="159"/>
      <c r="T75"/>
      <c r="U75"/>
      <c r="V75"/>
      <c r="W75"/>
      <c r="Y75" s="9"/>
    </row>
    <row r="76" spans="2:30" s="1" customFormat="1" x14ac:dyDescent="0.2">
      <c r="J76"/>
      <c r="K76"/>
      <c r="L76"/>
      <c r="M76"/>
      <c r="N76"/>
      <c r="O76"/>
      <c r="P76" s="2"/>
      <c r="Y76" s="9"/>
    </row>
    <row r="77" spans="2:30" s="1" customFormat="1" x14ac:dyDescent="0.2">
      <c r="J77"/>
      <c r="K77"/>
      <c r="L77"/>
      <c r="M77"/>
      <c r="N77"/>
      <c r="O77"/>
      <c r="P77" s="2"/>
      <c r="Y77" s="9"/>
    </row>
    <row r="78" spans="2:30" s="1" customFormat="1" ht="12.75" customHeight="1" x14ac:dyDescent="0.2">
      <c r="J78"/>
      <c r="K78"/>
      <c r="L78"/>
      <c r="M78"/>
      <c r="N78"/>
      <c r="O78"/>
      <c r="P78" s="2"/>
      <c r="T78"/>
      <c r="U78"/>
      <c r="V78"/>
      <c r="W78"/>
      <c r="Y78" s="9"/>
    </row>
    <row r="79" spans="2:30" s="1" customFormat="1" ht="21" hidden="1" customHeight="1" thickBot="1" x14ac:dyDescent="0.25">
      <c r="J79"/>
      <c r="K79"/>
      <c r="L79"/>
      <c r="M79"/>
      <c r="N79"/>
      <c r="O79"/>
      <c r="P79" s="2"/>
      <c r="Q79" s="3">
        <f>G63</f>
        <v>407455</v>
      </c>
      <c r="S79" s="3">
        <f>SUM(January_17!K60,February_17!K60,March_17!K60:K60,April_17!K60,May_17!K60)</f>
        <v>53221</v>
      </c>
      <c r="T79"/>
      <c r="U79" s="63">
        <f>(Q79)*24/(S79/60)/15000</f>
        <v>0.73496702429492122</v>
      </c>
      <c r="V79"/>
      <c r="W79" s="128">
        <f>(Q79)*24/(S79/60)/17000</f>
        <v>0.64850031555434218</v>
      </c>
      <c r="X79" s="230"/>
      <c r="Y79" s="9"/>
    </row>
    <row r="80" spans="2:30" s="1" customFormat="1" ht="21" hidden="1" customHeight="1" thickTop="1" thickBot="1" x14ac:dyDescent="0.35">
      <c r="J80"/>
      <c r="K80"/>
      <c r="L80"/>
      <c r="M80"/>
      <c r="N80"/>
      <c r="O80"/>
      <c r="P80" s="2"/>
      <c r="Q80" s="140">
        <f>SUM(January_17!F60,February_17!F60,March_17!F60,April_17!F60,May_17!F60)</f>
        <v>27933.435687074831</v>
      </c>
      <c r="S80" s="140">
        <f>SUM(January_17!H60,February_17!H60,March_17!H60,April_17!H60,May_17!H60)</f>
        <v>27699.204600000001</v>
      </c>
      <c r="T80"/>
      <c r="U80" s="87">
        <f>(Q80-S80)/Q80</f>
        <v>8.3853303868099381E-3</v>
      </c>
      <c r="V80"/>
      <c r="W80"/>
      <c r="Y80" s="9"/>
    </row>
    <row r="81" spans="10:25" s="1" customFormat="1" x14ac:dyDescent="0.2">
      <c r="J81"/>
      <c r="K81"/>
      <c r="L81"/>
      <c r="M81"/>
      <c r="N81"/>
      <c r="O81"/>
      <c r="P81" s="2"/>
      <c r="T81"/>
      <c r="U81"/>
      <c r="V81"/>
      <c r="W81"/>
      <c r="Y81" s="9"/>
    </row>
    <row r="82" spans="10:25" s="1" customFormat="1" x14ac:dyDescent="0.2">
      <c r="J82"/>
      <c r="K82"/>
      <c r="L82"/>
      <c r="M82"/>
      <c r="N82"/>
      <c r="O82"/>
      <c r="P82" s="2"/>
      <c r="T82"/>
      <c r="U82"/>
      <c r="V82"/>
      <c r="W82"/>
      <c r="Y82" s="9"/>
    </row>
    <row r="83" spans="10:25" s="1" customFormat="1" ht="12.75" customHeight="1" x14ac:dyDescent="0.2">
      <c r="J83"/>
      <c r="K83"/>
      <c r="L83"/>
      <c r="M83"/>
      <c r="N83"/>
      <c r="O83"/>
      <c r="P83" s="2"/>
      <c r="T83"/>
      <c r="U83"/>
      <c r="V83"/>
      <c r="W83"/>
      <c r="Y83" s="9"/>
    </row>
    <row r="84" spans="10:25" s="1" customFormat="1" ht="12.75" customHeight="1" x14ac:dyDescent="0.2">
      <c r="J84"/>
      <c r="K84"/>
      <c r="L84"/>
      <c r="M84"/>
      <c r="N84"/>
      <c r="O84"/>
      <c r="P84" s="2"/>
      <c r="T84"/>
      <c r="U84"/>
      <c r="V84"/>
      <c r="W84"/>
      <c r="Y84" s="9"/>
    </row>
    <row r="85" spans="10:25" s="1" customFormat="1" ht="12.75" customHeight="1" x14ac:dyDescent="0.2">
      <c r="J85"/>
      <c r="K85"/>
      <c r="L85"/>
      <c r="M85"/>
      <c r="N85"/>
      <c r="O85"/>
      <c r="P85" s="2"/>
      <c r="T85"/>
      <c r="U85"/>
      <c r="V85"/>
      <c r="W85"/>
      <c r="Y85" s="9"/>
    </row>
    <row r="86" spans="10:25" s="1" customFormat="1" ht="12.75" customHeight="1" x14ac:dyDescent="0.2">
      <c r="J86"/>
      <c r="K86"/>
      <c r="L86"/>
      <c r="M86"/>
      <c r="N86"/>
      <c r="O86"/>
      <c r="P86" s="2"/>
      <c r="T86"/>
      <c r="U86"/>
      <c r="V86"/>
      <c r="W86"/>
      <c r="Y86" s="9"/>
    </row>
    <row r="87" spans="10:25" s="1" customFormat="1" ht="12.75" customHeight="1" x14ac:dyDescent="0.2">
      <c r="J87"/>
      <c r="K87"/>
      <c r="L87"/>
      <c r="M87"/>
      <c r="N87"/>
      <c r="O87"/>
      <c r="P87" s="2"/>
      <c r="T87"/>
      <c r="U87"/>
      <c r="V87"/>
      <c r="W87"/>
      <c r="Y87" s="9"/>
    </row>
    <row r="88" spans="10:25" s="1" customFormat="1" x14ac:dyDescent="0.2">
      <c r="J88"/>
      <c r="K88"/>
      <c r="L88"/>
      <c r="M88"/>
      <c r="N88"/>
      <c r="O88"/>
      <c r="P88" s="2"/>
      <c r="T88"/>
      <c r="U88"/>
      <c r="V88"/>
      <c r="W88"/>
      <c r="Y88"/>
    </row>
    <row r="89" spans="10:25" s="1" customFormat="1" x14ac:dyDescent="0.2">
      <c r="J89"/>
      <c r="K89"/>
      <c r="L89"/>
      <c r="M89"/>
      <c r="N89"/>
      <c r="O89"/>
      <c r="P89" s="2"/>
      <c r="T89"/>
      <c r="U89"/>
      <c r="V89"/>
      <c r="W89"/>
      <c r="Y89"/>
    </row>
    <row r="90" spans="10:25" s="1" customFormat="1" x14ac:dyDescent="0.2">
      <c r="J90"/>
      <c r="K90"/>
      <c r="L90"/>
      <c r="M90"/>
      <c r="N90"/>
      <c r="O90"/>
      <c r="P90" s="2"/>
      <c r="T90"/>
      <c r="U90"/>
      <c r="V90"/>
      <c r="W90"/>
      <c r="Y90"/>
    </row>
    <row r="91" spans="10:25" s="1" customFormat="1" x14ac:dyDescent="0.2">
      <c r="J91"/>
      <c r="K91"/>
      <c r="L91"/>
      <c r="M91"/>
      <c r="N91"/>
      <c r="O91"/>
      <c r="P91" s="2"/>
      <c r="T91"/>
      <c r="U91"/>
      <c r="V91"/>
      <c r="W91"/>
      <c r="Y91"/>
    </row>
    <row r="92" spans="10:25" s="1" customFormat="1" x14ac:dyDescent="0.2">
      <c r="J92"/>
      <c r="K92"/>
      <c r="L92"/>
      <c r="M92"/>
      <c r="N92"/>
      <c r="O92"/>
      <c r="P92" s="2"/>
      <c r="T92"/>
      <c r="U92"/>
      <c r="V92"/>
      <c r="W92"/>
      <c r="Y92"/>
    </row>
    <row r="93" spans="10:25" s="1" customFormat="1" x14ac:dyDescent="0.2">
      <c r="J93"/>
      <c r="K93"/>
      <c r="L93"/>
      <c r="M93"/>
      <c r="N93"/>
      <c r="O93"/>
      <c r="P93" s="2"/>
      <c r="T93"/>
      <c r="U93"/>
      <c r="V93"/>
      <c r="W93"/>
      <c r="Y93"/>
    </row>
    <row r="94" spans="10:25" s="1" customFormat="1" x14ac:dyDescent="0.2">
      <c r="J94"/>
      <c r="K94"/>
      <c r="L94"/>
      <c r="M94"/>
      <c r="N94"/>
      <c r="O94"/>
      <c r="P94" s="2"/>
      <c r="T94"/>
      <c r="U94"/>
      <c r="V94"/>
      <c r="W94"/>
      <c r="Y94"/>
    </row>
    <row r="95" spans="10:25" s="1" customFormat="1" x14ac:dyDescent="0.2">
      <c r="J95"/>
      <c r="K95"/>
      <c r="L95"/>
      <c r="M95"/>
      <c r="N95"/>
      <c r="O95"/>
      <c r="P95" s="2"/>
      <c r="T95"/>
      <c r="U95"/>
      <c r="V95"/>
      <c r="W95"/>
      <c r="Y95"/>
    </row>
    <row r="96" spans="10:25" s="1" customFormat="1" x14ac:dyDescent="0.2">
      <c r="J96"/>
      <c r="K96"/>
      <c r="L96"/>
      <c r="M96"/>
      <c r="N96"/>
      <c r="O96"/>
      <c r="P96" s="2"/>
      <c r="T96"/>
      <c r="U96"/>
      <c r="V96"/>
      <c r="W96"/>
      <c r="Y96"/>
    </row>
    <row r="97" spans="10:25" s="1" customFormat="1" x14ac:dyDescent="0.2">
      <c r="J97"/>
      <c r="K97"/>
      <c r="L97"/>
      <c r="M97"/>
      <c r="N97"/>
      <c r="O97"/>
      <c r="P97" s="2"/>
      <c r="T97"/>
      <c r="U97"/>
      <c r="V97"/>
      <c r="W97"/>
      <c r="Y97"/>
    </row>
    <row r="98" spans="10:25" s="1" customFormat="1" x14ac:dyDescent="0.2">
      <c r="J98"/>
      <c r="K98"/>
      <c r="L98"/>
      <c r="M98"/>
      <c r="N98"/>
      <c r="O98"/>
      <c r="P98" s="2"/>
      <c r="T98"/>
      <c r="U98"/>
      <c r="V98"/>
      <c r="W98"/>
      <c r="Y98"/>
    </row>
    <row r="99" spans="10:25" s="1" customFormat="1" x14ac:dyDescent="0.2">
      <c r="J99"/>
      <c r="K99"/>
      <c r="L99"/>
      <c r="M99"/>
      <c r="N99"/>
      <c r="O99"/>
      <c r="P99" s="2"/>
      <c r="T99"/>
      <c r="U99"/>
      <c r="V99"/>
      <c r="W99"/>
      <c r="Y99"/>
    </row>
    <row r="100" spans="10:25" s="1" customFormat="1" x14ac:dyDescent="0.2">
      <c r="J100"/>
      <c r="K100"/>
      <c r="L100"/>
      <c r="M100"/>
      <c r="N100"/>
      <c r="O100"/>
      <c r="P100" s="2"/>
      <c r="T100"/>
      <c r="U100"/>
      <c r="V100"/>
      <c r="W100"/>
      <c r="Y100"/>
    </row>
    <row r="101" spans="10:25" s="1" customFormat="1" x14ac:dyDescent="0.2">
      <c r="J101"/>
      <c r="K101"/>
      <c r="L101"/>
      <c r="M101"/>
      <c r="N101"/>
      <c r="O101"/>
      <c r="P101" s="2"/>
      <c r="T101"/>
      <c r="U101"/>
      <c r="V101"/>
      <c r="W101"/>
      <c r="Y101"/>
    </row>
    <row r="102" spans="10:25" s="1" customFormat="1" x14ac:dyDescent="0.2">
      <c r="J102"/>
      <c r="K102"/>
      <c r="L102"/>
      <c r="M102"/>
      <c r="N102"/>
      <c r="O102"/>
      <c r="P102" s="2"/>
      <c r="T102"/>
      <c r="U102"/>
      <c r="V102"/>
      <c r="W102"/>
      <c r="Y102"/>
    </row>
    <row r="103" spans="10:25" s="1" customFormat="1" x14ac:dyDescent="0.2">
      <c r="J103"/>
      <c r="K103"/>
      <c r="L103"/>
      <c r="M103"/>
      <c r="N103"/>
      <c r="O103"/>
      <c r="P103" s="2"/>
      <c r="T103"/>
      <c r="U103"/>
      <c r="V103"/>
      <c r="W103"/>
      <c r="Y103"/>
    </row>
    <row r="104" spans="10:25" s="1" customFormat="1" x14ac:dyDescent="0.2">
      <c r="J104"/>
      <c r="K104"/>
      <c r="L104"/>
      <c r="M104"/>
      <c r="N104"/>
      <c r="O104"/>
      <c r="P104" s="2"/>
      <c r="T104"/>
      <c r="U104"/>
      <c r="V104"/>
      <c r="W104"/>
      <c r="Y104"/>
    </row>
    <row r="105" spans="10:25" s="1" customFormat="1" x14ac:dyDescent="0.2">
      <c r="J105"/>
      <c r="K105"/>
      <c r="L105"/>
      <c r="M105"/>
      <c r="N105"/>
      <c r="O105"/>
      <c r="P105" s="2"/>
      <c r="T105"/>
      <c r="U105"/>
      <c r="V105"/>
      <c r="W105"/>
      <c r="Y105"/>
    </row>
    <row r="106" spans="10:25" s="1" customFormat="1" x14ac:dyDescent="0.2">
      <c r="J106"/>
      <c r="K106"/>
      <c r="L106"/>
      <c r="M106"/>
      <c r="N106"/>
      <c r="O106"/>
      <c r="P106" s="2"/>
      <c r="T106"/>
      <c r="U106"/>
      <c r="V106"/>
      <c r="W106"/>
      <c r="Y106"/>
    </row>
    <row r="107" spans="10:25" s="1" customFormat="1" x14ac:dyDescent="0.2">
      <c r="J107"/>
      <c r="K107"/>
      <c r="L107"/>
      <c r="M107"/>
      <c r="N107"/>
      <c r="O107"/>
      <c r="P107" s="2"/>
      <c r="T107"/>
      <c r="U107"/>
      <c r="V107"/>
      <c r="W107"/>
      <c r="Y107"/>
    </row>
    <row r="108" spans="10:25" s="1" customFormat="1" x14ac:dyDescent="0.2">
      <c r="J108"/>
      <c r="K108"/>
      <c r="L108"/>
      <c r="M108"/>
      <c r="N108"/>
      <c r="O108"/>
      <c r="P108" s="2"/>
      <c r="T108"/>
      <c r="U108"/>
      <c r="V108"/>
      <c r="W108"/>
      <c r="Y108"/>
    </row>
    <row r="109" spans="10:25" s="1" customFormat="1" x14ac:dyDescent="0.2">
      <c r="J109"/>
      <c r="K109"/>
      <c r="L109"/>
      <c r="M109"/>
      <c r="N109"/>
      <c r="O109"/>
      <c r="P109" s="2"/>
      <c r="T109"/>
      <c r="U109"/>
      <c r="V109"/>
      <c r="W109"/>
      <c r="Y109"/>
    </row>
    <row r="110" spans="10:25" s="1" customFormat="1" x14ac:dyDescent="0.2">
      <c r="J110"/>
      <c r="K110"/>
      <c r="L110"/>
      <c r="M110"/>
      <c r="N110"/>
      <c r="O110"/>
      <c r="P110" s="2"/>
      <c r="T110"/>
      <c r="U110"/>
      <c r="V110"/>
      <c r="W110"/>
      <c r="Y110"/>
    </row>
    <row r="111" spans="10:25" s="1" customFormat="1" x14ac:dyDescent="0.2">
      <c r="J111"/>
      <c r="K111"/>
      <c r="L111"/>
      <c r="M111"/>
      <c r="N111"/>
      <c r="O111"/>
      <c r="P111" s="2"/>
      <c r="T111"/>
      <c r="U111"/>
      <c r="V111"/>
      <c r="W111"/>
      <c r="Y111"/>
    </row>
    <row r="112" spans="10:25" s="1" customFormat="1" x14ac:dyDescent="0.2">
      <c r="J112"/>
      <c r="K112"/>
      <c r="L112"/>
      <c r="M112"/>
      <c r="N112"/>
      <c r="O112"/>
      <c r="P112" s="2"/>
      <c r="T112"/>
      <c r="U112"/>
      <c r="V112"/>
      <c r="W112"/>
      <c r="Y112"/>
    </row>
    <row r="113" spans="10:25" s="1" customFormat="1" x14ac:dyDescent="0.2">
      <c r="J113"/>
      <c r="K113"/>
      <c r="L113"/>
      <c r="M113"/>
      <c r="N113"/>
      <c r="O113"/>
      <c r="P113" s="2"/>
      <c r="T113"/>
      <c r="U113"/>
      <c r="V113"/>
      <c r="W113"/>
      <c r="Y113"/>
    </row>
    <row r="114" spans="10:25" s="1" customFormat="1" x14ac:dyDescent="0.2">
      <c r="J114"/>
      <c r="K114"/>
      <c r="L114"/>
      <c r="M114"/>
      <c r="N114"/>
      <c r="O114"/>
      <c r="P114" s="2"/>
      <c r="T114"/>
      <c r="U114"/>
      <c r="V114"/>
      <c r="W114"/>
      <c r="Y114"/>
    </row>
    <row r="115" spans="10:25" s="1" customFormat="1" x14ac:dyDescent="0.2">
      <c r="J115"/>
      <c r="K115"/>
      <c r="L115"/>
      <c r="M115"/>
      <c r="N115"/>
      <c r="O115"/>
      <c r="P115" s="2"/>
      <c r="T115"/>
      <c r="U115"/>
      <c r="V115"/>
      <c r="W115"/>
      <c r="Y115"/>
    </row>
    <row r="116" spans="10:25" s="1" customFormat="1" x14ac:dyDescent="0.2">
      <c r="J116"/>
      <c r="K116"/>
      <c r="L116"/>
      <c r="M116"/>
      <c r="N116"/>
      <c r="O116"/>
      <c r="P116" s="2"/>
      <c r="T116"/>
      <c r="U116"/>
      <c r="V116"/>
      <c r="W116"/>
      <c r="Y116"/>
    </row>
    <row r="117" spans="10:25" s="1" customFormat="1" x14ac:dyDescent="0.2">
      <c r="J117"/>
      <c r="K117"/>
      <c r="L117"/>
      <c r="M117"/>
      <c r="N117"/>
      <c r="O117"/>
      <c r="P117" s="2"/>
      <c r="T117"/>
      <c r="U117"/>
      <c r="V117"/>
      <c r="W117"/>
      <c r="Y117"/>
    </row>
    <row r="118" spans="10:25" s="1" customFormat="1" x14ac:dyDescent="0.2">
      <c r="J118"/>
      <c r="K118"/>
      <c r="L118"/>
      <c r="M118"/>
      <c r="N118"/>
      <c r="O118"/>
      <c r="P118" s="2"/>
      <c r="T118"/>
      <c r="U118"/>
      <c r="V118"/>
      <c r="W118"/>
      <c r="Y118"/>
    </row>
    <row r="119" spans="10:25" s="1" customFormat="1" x14ac:dyDescent="0.2">
      <c r="J119"/>
      <c r="K119"/>
      <c r="L119"/>
      <c r="M119"/>
      <c r="N119"/>
      <c r="O119"/>
      <c r="P119" s="2"/>
      <c r="T119"/>
      <c r="U119"/>
      <c r="V119"/>
      <c r="W119"/>
      <c r="Y119"/>
    </row>
    <row r="120" spans="10:25" s="1" customFormat="1" x14ac:dyDescent="0.2">
      <c r="J120"/>
      <c r="K120"/>
      <c r="L120"/>
      <c r="M120"/>
      <c r="N120"/>
      <c r="O120"/>
      <c r="P120" s="2"/>
      <c r="T120"/>
      <c r="U120"/>
      <c r="V120"/>
      <c r="W120"/>
      <c r="Y120"/>
    </row>
    <row r="121" spans="10:25" s="1" customFormat="1" x14ac:dyDescent="0.2">
      <c r="J121"/>
      <c r="K121"/>
      <c r="L121"/>
      <c r="M121"/>
      <c r="N121"/>
      <c r="O121"/>
      <c r="P121" s="2"/>
      <c r="T121"/>
      <c r="U121"/>
      <c r="V121"/>
      <c r="W121"/>
      <c r="Y121"/>
    </row>
    <row r="122" spans="10:25" s="1" customFormat="1" x14ac:dyDescent="0.2">
      <c r="J122"/>
      <c r="K122"/>
      <c r="L122"/>
      <c r="M122"/>
      <c r="N122"/>
      <c r="O122"/>
      <c r="P122" s="2"/>
      <c r="T122"/>
      <c r="U122"/>
      <c r="V122"/>
      <c r="W122"/>
      <c r="Y122"/>
    </row>
    <row r="123" spans="10:25" s="1" customFormat="1" x14ac:dyDescent="0.2">
      <c r="J123"/>
      <c r="K123"/>
      <c r="L123"/>
      <c r="M123"/>
      <c r="N123"/>
      <c r="O123"/>
      <c r="P123" s="2"/>
      <c r="T123"/>
      <c r="U123"/>
      <c r="V123"/>
      <c r="W123"/>
      <c r="Y123"/>
    </row>
    <row r="124" spans="10:25" s="1" customFormat="1" x14ac:dyDescent="0.2">
      <c r="J124"/>
      <c r="K124"/>
      <c r="L124"/>
      <c r="M124"/>
      <c r="N124"/>
      <c r="O124"/>
      <c r="P124" s="2"/>
      <c r="T124"/>
      <c r="U124"/>
      <c r="V124"/>
      <c r="W124"/>
      <c r="Y124"/>
    </row>
    <row r="125" spans="10:25" s="1" customFormat="1" x14ac:dyDescent="0.2">
      <c r="J125"/>
      <c r="K125"/>
      <c r="L125"/>
      <c r="M125"/>
      <c r="N125"/>
      <c r="O125"/>
      <c r="P125" s="2"/>
      <c r="T125"/>
      <c r="U125"/>
      <c r="V125"/>
      <c r="W125"/>
      <c r="Y125"/>
    </row>
    <row r="126" spans="10:25" s="1" customFormat="1" x14ac:dyDescent="0.2">
      <c r="J126"/>
      <c r="K126"/>
      <c r="L126"/>
      <c r="M126"/>
      <c r="N126"/>
      <c r="O126"/>
      <c r="P126" s="2"/>
      <c r="T126"/>
      <c r="U126"/>
      <c r="V126"/>
      <c r="W126"/>
      <c r="Y126"/>
    </row>
    <row r="127" spans="10:25" s="1" customFormat="1" x14ac:dyDescent="0.2">
      <c r="J127"/>
      <c r="K127"/>
      <c r="L127"/>
      <c r="M127"/>
      <c r="N127"/>
      <c r="O127"/>
      <c r="P127" s="2"/>
      <c r="T127"/>
      <c r="U127"/>
      <c r="V127"/>
      <c r="W127"/>
      <c r="Y127"/>
    </row>
    <row r="128" spans="10:25" s="1" customFormat="1" x14ac:dyDescent="0.2">
      <c r="J128"/>
      <c r="K128"/>
      <c r="L128"/>
      <c r="M128"/>
      <c r="N128"/>
      <c r="O128"/>
      <c r="P128" s="2"/>
      <c r="T128"/>
      <c r="U128"/>
      <c r="V128"/>
      <c r="W128"/>
      <c r="Y128"/>
    </row>
    <row r="129" spans="10:25" s="1" customFormat="1" x14ac:dyDescent="0.2">
      <c r="J129"/>
      <c r="K129"/>
      <c r="L129"/>
      <c r="M129"/>
      <c r="N129"/>
      <c r="O129"/>
      <c r="P129" s="2"/>
      <c r="T129"/>
      <c r="U129"/>
      <c r="V129"/>
      <c r="W129"/>
      <c r="Y129"/>
    </row>
    <row r="130" spans="10:25" s="1" customFormat="1" x14ac:dyDescent="0.2">
      <c r="J130"/>
      <c r="K130"/>
      <c r="L130"/>
      <c r="M130"/>
      <c r="N130"/>
      <c r="O130"/>
      <c r="P130" s="2"/>
      <c r="T130"/>
      <c r="U130"/>
      <c r="V130"/>
      <c r="W130"/>
      <c r="Y130"/>
    </row>
    <row r="131" spans="10:25" s="1" customFormat="1" x14ac:dyDescent="0.2">
      <c r="J131"/>
      <c r="K131"/>
      <c r="L131"/>
      <c r="M131"/>
      <c r="N131"/>
      <c r="O131"/>
      <c r="P131" s="2"/>
      <c r="T131"/>
      <c r="U131"/>
      <c r="V131"/>
      <c r="W131"/>
      <c r="Y131"/>
    </row>
    <row r="132" spans="10:25" s="1" customFormat="1" x14ac:dyDescent="0.2">
      <c r="J132"/>
      <c r="K132"/>
      <c r="L132"/>
      <c r="M132"/>
      <c r="N132"/>
      <c r="O132"/>
      <c r="P132" s="2"/>
      <c r="T132"/>
      <c r="U132"/>
      <c r="V132"/>
      <c r="W132"/>
      <c r="Y132"/>
    </row>
    <row r="133" spans="10:25" s="1" customFormat="1" x14ac:dyDescent="0.2">
      <c r="J133"/>
      <c r="K133"/>
      <c r="L133"/>
      <c r="M133"/>
      <c r="N133"/>
      <c r="O133"/>
      <c r="P133" s="2"/>
      <c r="T133"/>
      <c r="U133"/>
      <c r="V133"/>
      <c r="W133"/>
      <c r="Y133"/>
    </row>
    <row r="134" spans="10:25" s="1" customFormat="1" x14ac:dyDescent="0.2">
      <c r="J134"/>
      <c r="K134"/>
      <c r="L134"/>
      <c r="M134"/>
      <c r="N134"/>
      <c r="O134"/>
      <c r="P134" s="2"/>
      <c r="T134"/>
      <c r="U134"/>
      <c r="V134"/>
      <c r="W134"/>
      <c r="Y134"/>
    </row>
    <row r="135" spans="10:25" s="1" customFormat="1" x14ac:dyDescent="0.2">
      <c r="J135"/>
      <c r="K135"/>
      <c r="L135"/>
      <c r="M135"/>
      <c r="N135"/>
      <c r="O135"/>
      <c r="P135" s="2"/>
      <c r="T135"/>
      <c r="U135"/>
      <c r="V135"/>
      <c r="W135"/>
      <c r="Y135"/>
    </row>
    <row r="136" spans="10:25" s="1" customFormat="1" x14ac:dyDescent="0.2">
      <c r="J136"/>
      <c r="K136"/>
      <c r="L136"/>
      <c r="M136"/>
      <c r="N136"/>
      <c r="O136"/>
      <c r="P136" s="2"/>
      <c r="T136"/>
      <c r="U136"/>
      <c r="V136"/>
      <c r="W136"/>
      <c r="Y136"/>
    </row>
    <row r="137" spans="10:25" s="1" customFormat="1" x14ac:dyDescent="0.2">
      <c r="J137"/>
      <c r="K137"/>
      <c r="L137"/>
      <c r="M137"/>
      <c r="N137"/>
      <c r="O137"/>
      <c r="P137" s="2"/>
      <c r="T137"/>
      <c r="U137"/>
      <c r="V137"/>
      <c r="W137"/>
      <c r="Y137"/>
    </row>
    <row r="138" spans="10:25" s="1" customFormat="1" x14ac:dyDescent="0.2">
      <c r="J138"/>
      <c r="K138"/>
      <c r="L138"/>
      <c r="M138"/>
      <c r="N138"/>
      <c r="O138"/>
      <c r="P138" s="2"/>
      <c r="T138"/>
      <c r="U138"/>
      <c r="V138"/>
      <c r="W138"/>
      <c r="Y138"/>
    </row>
    <row r="139" spans="10:25" s="1" customFormat="1" x14ac:dyDescent="0.2">
      <c r="J139"/>
      <c r="K139"/>
      <c r="L139"/>
      <c r="M139"/>
      <c r="N139"/>
      <c r="O139"/>
      <c r="P139" s="2"/>
      <c r="T139"/>
      <c r="U139"/>
      <c r="V139"/>
      <c r="W139"/>
      <c r="Y139"/>
    </row>
    <row r="140" spans="10:25" s="1" customFormat="1" x14ac:dyDescent="0.2">
      <c r="J140"/>
      <c r="K140"/>
      <c r="L140"/>
      <c r="M140"/>
      <c r="N140"/>
      <c r="O140"/>
      <c r="P140" s="2"/>
      <c r="T140"/>
      <c r="U140"/>
      <c r="V140"/>
      <c r="W140"/>
      <c r="Y140"/>
    </row>
    <row r="141" spans="10:25" s="1" customFormat="1" x14ac:dyDescent="0.2">
      <c r="J141"/>
      <c r="K141"/>
      <c r="L141"/>
      <c r="M141"/>
      <c r="N141"/>
      <c r="O141"/>
      <c r="P141" s="2"/>
      <c r="T141"/>
      <c r="U141"/>
      <c r="V141"/>
      <c r="W141"/>
      <c r="Y141"/>
    </row>
    <row r="142" spans="10:25" s="1" customFormat="1" x14ac:dyDescent="0.2">
      <c r="J142"/>
      <c r="K142"/>
      <c r="L142"/>
      <c r="M142"/>
      <c r="N142"/>
      <c r="O142"/>
      <c r="P142" s="2"/>
      <c r="T142"/>
      <c r="U142"/>
      <c r="V142"/>
      <c r="W142"/>
      <c r="Y142"/>
    </row>
    <row r="143" spans="10:25" s="1" customFormat="1" x14ac:dyDescent="0.2">
      <c r="J143"/>
      <c r="K143"/>
      <c r="L143"/>
      <c r="M143"/>
      <c r="N143"/>
      <c r="O143"/>
      <c r="P143" s="2"/>
      <c r="T143"/>
      <c r="U143"/>
      <c r="V143"/>
      <c r="W143"/>
      <c r="Y143"/>
    </row>
    <row r="144" spans="10:25" s="1" customFormat="1" x14ac:dyDescent="0.2">
      <c r="J144"/>
      <c r="K144"/>
      <c r="L144"/>
      <c r="M144"/>
      <c r="N144"/>
      <c r="O144"/>
      <c r="P144" s="2"/>
      <c r="T144"/>
      <c r="U144"/>
      <c r="V144"/>
      <c r="W144"/>
      <c r="Y144"/>
    </row>
    <row r="145" spans="10:25" s="1" customFormat="1" x14ac:dyDescent="0.2">
      <c r="J145"/>
      <c r="K145"/>
      <c r="L145"/>
      <c r="M145"/>
      <c r="N145"/>
      <c r="O145"/>
      <c r="P145" s="2"/>
      <c r="T145"/>
      <c r="U145"/>
      <c r="V145"/>
      <c r="W145"/>
      <c r="Y145"/>
    </row>
    <row r="146" spans="10:25" s="1" customFormat="1" x14ac:dyDescent="0.2">
      <c r="J146"/>
      <c r="K146"/>
      <c r="L146"/>
      <c r="M146"/>
      <c r="N146"/>
      <c r="O146"/>
      <c r="P146" s="2"/>
      <c r="T146"/>
      <c r="U146"/>
      <c r="V146"/>
      <c r="W146"/>
      <c r="Y146"/>
    </row>
    <row r="147" spans="10:25" s="1" customFormat="1" x14ac:dyDescent="0.2">
      <c r="J147"/>
      <c r="K147"/>
      <c r="L147"/>
      <c r="M147"/>
      <c r="N147"/>
      <c r="O147"/>
      <c r="P147" s="2"/>
      <c r="T147"/>
      <c r="U147"/>
      <c r="V147"/>
      <c r="W147"/>
      <c r="Y147"/>
    </row>
    <row r="148" spans="10:25" s="1" customFormat="1" x14ac:dyDescent="0.2">
      <c r="J148"/>
      <c r="K148"/>
      <c r="L148"/>
      <c r="M148"/>
      <c r="N148"/>
      <c r="O148"/>
      <c r="P148" s="2"/>
      <c r="T148"/>
      <c r="U148"/>
      <c r="V148"/>
      <c r="W148"/>
      <c r="Y148"/>
    </row>
    <row r="149" spans="10:25" s="1" customFormat="1" x14ac:dyDescent="0.2">
      <c r="J149"/>
      <c r="K149"/>
      <c r="L149"/>
      <c r="M149"/>
      <c r="N149"/>
      <c r="O149"/>
      <c r="P149" s="2"/>
      <c r="T149"/>
      <c r="U149"/>
      <c r="V149"/>
      <c r="W149"/>
      <c r="Y149"/>
    </row>
    <row r="150" spans="10:25" s="1" customFormat="1" x14ac:dyDescent="0.2">
      <c r="J150"/>
      <c r="K150"/>
      <c r="L150"/>
      <c r="M150"/>
      <c r="N150"/>
      <c r="O150"/>
      <c r="P150" s="2"/>
      <c r="T150"/>
      <c r="U150"/>
      <c r="V150"/>
      <c r="W150"/>
      <c r="Y150"/>
    </row>
    <row r="151" spans="10:25" s="1" customFormat="1" x14ac:dyDescent="0.2">
      <c r="J151"/>
      <c r="K151"/>
      <c r="L151"/>
      <c r="M151"/>
      <c r="N151"/>
      <c r="O151"/>
      <c r="P151" s="2"/>
      <c r="T151"/>
      <c r="U151"/>
      <c r="V151"/>
      <c r="W151"/>
      <c r="Y151"/>
    </row>
    <row r="152" spans="10:25" s="1" customFormat="1" x14ac:dyDescent="0.2">
      <c r="J152"/>
      <c r="K152"/>
      <c r="L152"/>
      <c r="M152"/>
      <c r="N152"/>
      <c r="O152"/>
      <c r="P152" s="2"/>
      <c r="T152"/>
      <c r="U152"/>
      <c r="V152"/>
      <c r="W152"/>
      <c r="Y152"/>
    </row>
    <row r="153" spans="10:25" s="1" customFormat="1" x14ac:dyDescent="0.2">
      <c r="J153"/>
      <c r="K153"/>
      <c r="L153"/>
      <c r="M153"/>
      <c r="N153"/>
      <c r="O153"/>
      <c r="P153" s="2"/>
      <c r="T153"/>
      <c r="U153"/>
      <c r="V153"/>
      <c r="W153"/>
      <c r="Y153"/>
    </row>
    <row r="154" spans="10:25" s="1" customFormat="1" x14ac:dyDescent="0.2">
      <c r="J154"/>
      <c r="K154"/>
      <c r="L154"/>
      <c r="M154"/>
      <c r="N154"/>
      <c r="O154"/>
      <c r="P154" s="2"/>
      <c r="T154"/>
      <c r="U154"/>
      <c r="V154"/>
      <c r="W154"/>
      <c r="Y154"/>
    </row>
    <row r="155" spans="10:25" s="1" customFormat="1" x14ac:dyDescent="0.2">
      <c r="J155"/>
      <c r="K155"/>
      <c r="L155"/>
      <c r="M155"/>
      <c r="N155"/>
      <c r="O155"/>
      <c r="P155" s="2"/>
      <c r="T155"/>
      <c r="U155"/>
      <c r="V155"/>
      <c r="W155"/>
      <c r="Y155"/>
    </row>
    <row r="156" spans="10:25" s="1" customFormat="1" x14ac:dyDescent="0.2">
      <c r="J156"/>
      <c r="K156"/>
      <c r="L156"/>
      <c r="M156"/>
      <c r="N156"/>
      <c r="O156"/>
      <c r="P156" s="2"/>
      <c r="T156"/>
      <c r="U156"/>
      <c r="V156"/>
      <c r="W156"/>
      <c r="Y156"/>
    </row>
    <row r="157" spans="10:25" s="1" customFormat="1" x14ac:dyDescent="0.2">
      <c r="J157"/>
      <c r="K157"/>
      <c r="L157"/>
      <c r="M157"/>
      <c r="N157"/>
      <c r="O157"/>
      <c r="P157" s="2"/>
      <c r="T157"/>
      <c r="U157"/>
      <c r="V157"/>
      <c r="W157"/>
      <c r="Y157"/>
    </row>
    <row r="158" spans="10:25" s="1" customFormat="1" x14ac:dyDescent="0.2">
      <c r="J158"/>
      <c r="K158"/>
      <c r="L158"/>
      <c r="M158"/>
      <c r="N158"/>
      <c r="O158"/>
      <c r="P158" s="2"/>
      <c r="T158"/>
      <c r="U158"/>
      <c r="V158"/>
      <c r="W158"/>
      <c r="Y158"/>
    </row>
    <row r="159" spans="10:25" s="1" customFormat="1" x14ac:dyDescent="0.2">
      <c r="J159"/>
      <c r="K159"/>
      <c r="L159"/>
      <c r="M159"/>
      <c r="N159"/>
      <c r="O159"/>
      <c r="P159" s="2"/>
      <c r="T159"/>
      <c r="U159"/>
      <c r="V159"/>
      <c r="W159"/>
      <c r="Y159"/>
    </row>
    <row r="160" spans="10:25" s="1" customFormat="1" x14ac:dyDescent="0.2">
      <c r="J160"/>
      <c r="K160"/>
      <c r="L160"/>
      <c r="M160"/>
      <c r="N160"/>
      <c r="O160"/>
      <c r="P160" s="2"/>
      <c r="T160"/>
      <c r="U160"/>
      <c r="V160"/>
      <c r="W160"/>
      <c r="Y160"/>
    </row>
    <row r="161" spans="10:25" s="1" customFormat="1" x14ac:dyDescent="0.2">
      <c r="J161"/>
      <c r="K161"/>
      <c r="L161"/>
      <c r="M161"/>
      <c r="N161"/>
      <c r="O161"/>
      <c r="P161" s="2"/>
      <c r="T161"/>
      <c r="U161"/>
      <c r="V161"/>
      <c r="W161"/>
      <c r="Y161"/>
    </row>
    <row r="162" spans="10:25" s="1" customFormat="1" x14ac:dyDescent="0.2">
      <c r="J162"/>
      <c r="K162"/>
      <c r="L162"/>
      <c r="M162"/>
      <c r="N162"/>
      <c r="O162"/>
      <c r="P162" s="2"/>
      <c r="T162"/>
      <c r="U162"/>
      <c r="V162"/>
      <c r="W162"/>
      <c r="Y162"/>
    </row>
    <row r="163" spans="10:25" s="1" customFormat="1" x14ac:dyDescent="0.2">
      <c r="J163"/>
      <c r="K163"/>
      <c r="L163"/>
      <c r="M163"/>
      <c r="N163"/>
      <c r="O163"/>
      <c r="P163" s="2"/>
      <c r="T163"/>
      <c r="U163"/>
      <c r="V163"/>
      <c r="W163"/>
      <c r="Y163"/>
    </row>
    <row r="164" spans="10:25" s="1" customFormat="1" x14ac:dyDescent="0.2">
      <c r="J164"/>
      <c r="K164"/>
      <c r="L164"/>
      <c r="M164"/>
      <c r="N164"/>
      <c r="O164"/>
      <c r="P164" s="2"/>
      <c r="T164"/>
      <c r="U164"/>
      <c r="V164"/>
      <c r="W164"/>
      <c r="Y164"/>
    </row>
    <row r="165" spans="10:25" s="1" customFormat="1" x14ac:dyDescent="0.2">
      <c r="J165"/>
      <c r="K165"/>
      <c r="L165"/>
      <c r="M165"/>
      <c r="N165"/>
      <c r="O165"/>
      <c r="P165" s="2"/>
      <c r="T165"/>
      <c r="U165"/>
      <c r="V165"/>
      <c r="W165"/>
      <c r="Y165"/>
    </row>
    <row r="166" spans="10:25" s="1" customFormat="1" x14ac:dyDescent="0.2">
      <c r="J166"/>
      <c r="K166"/>
      <c r="L166"/>
      <c r="M166"/>
      <c r="N166"/>
      <c r="O166"/>
      <c r="P166" s="2"/>
      <c r="T166"/>
      <c r="U166"/>
      <c r="V166"/>
      <c r="W166"/>
      <c r="Y166"/>
    </row>
    <row r="167" spans="10:25" s="1" customFormat="1" x14ac:dyDescent="0.2">
      <c r="J167"/>
      <c r="K167"/>
      <c r="L167"/>
      <c r="M167"/>
      <c r="N167"/>
      <c r="O167"/>
      <c r="P167" s="2"/>
      <c r="T167"/>
      <c r="U167"/>
      <c r="V167"/>
      <c r="W167"/>
      <c r="Y167"/>
    </row>
    <row r="168" spans="10:25" s="1" customFormat="1" x14ac:dyDescent="0.2">
      <c r="J168"/>
      <c r="K168"/>
      <c r="L168"/>
      <c r="M168"/>
      <c r="N168"/>
      <c r="O168"/>
      <c r="P168" s="2"/>
      <c r="T168"/>
      <c r="U168"/>
      <c r="V168"/>
      <c r="W168"/>
      <c r="Y168"/>
    </row>
    <row r="169" spans="10:25" s="1" customFormat="1" x14ac:dyDescent="0.2">
      <c r="J169"/>
      <c r="K169"/>
      <c r="L169"/>
      <c r="M169"/>
      <c r="N169"/>
      <c r="O169"/>
      <c r="P169" s="2"/>
      <c r="T169"/>
      <c r="U169"/>
      <c r="V169"/>
      <c r="W169"/>
      <c r="Y169"/>
    </row>
    <row r="170" spans="10:25" s="1" customFormat="1" x14ac:dyDescent="0.2">
      <c r="J170"/>
      <c r="K170"/>
      <c r="L170"/>
      <c r="M170"/>
      <c r="N170"/>
      <c r="O170"/>
      <c r="P170" s="2"/>
      <c r="T170"/>
      <c r="U170"/>
      <c r="V170"/>
      <c r="W170"/>
      <c r="Y170"/>
    </row>
    <row r="171" spans="10:25" s="1" customFormat="1" x14ac:dyDescent="0.2">
      <c r="J171"/>
      <c r="K171"/>
      <c r="L171"/>
      <c r="M171"/>
      <c r="N171"/>
      <c r="O171"/>
      <c r="P171" s="2"/>
      <c r="T171"/>
      <c r="U171"/>
      <c r="V171"/>
      <c r="W171"/>
      <c r="Y171"/>
    </row>
    <row r="172" spans="10:25" s="1" customFormat="1" x14ac:dyDescent="0.2">
      <c r="J172"/>
      <c r="K172"/>
      <c r="L172"/>
      <c r="M172"/>
      <c r="N172"/>
      <c r="O172"/>
      <c r="P172" s="2"/>
      <c r="T172"/>
      <c r="U172"/>
      <c r="V172"/>
      <c r="W172"/>
      <c r="Y172"/>
    </row>
    <row r="173" spans="10:25" s="1" customFormat="1" x14ac:dyDescent="0.2">
      <c r="J173"/>
      <c r="K173"/>
      <c r="L173"/>
      <c r="M173"/>
      <c r="N173"/>
      <c r="O173"/>
      <c r="P173" s="2"/>
      <c r="T173"/>
      <c r="U173"/>
      <c r="V173"/>
      <c r="W173"/>
      <c r="Y173"/>
    </row>
    <row r="174" spans="10:25" s="1" customFormat="1" x14ac:dyDescent="0.2">
      <c r="J174"/>
      <c r="K174"/>
      <c r="L174"/>
      <c r="M174"/>
      <c r="N174"/>
      <c r="O174"/>
      <c r="P174" s="2"/>
      <c r="T174"/>
      <c r="U174"/>
      <c r="V174"/>
      <c r="W174"/>
      <c r="Y174"/>
    </row>
    <row r="175" spans="10:25" s="1" customFormat="1" x14ac:dyDescent="0.2">
      <c r="J175"/>
      <c r="K175"/>
      <c r="L175"/>
      <c r="M175"/>
      <c r="N175"/>
      <c r="O175"/>
      <c r="P175" s="2"/>
      <c r="T175"/>
      <c r="U175"/>
      <c r="V175"/>
      <c r="W175"/>
      <c r="Y175"/>
    </row>
    <row r="176" spans="10:25" s="1" customFormat="1" x14ac:dyDescent="0.2">
      <c r="J176"/>
      <c r="K176"/>
      <c r="L176"/>
      <c r="M176"/>
      <c r="N176"/>
      <c r="O176"/>
      <c r="P176" s="2"/>
      <c r="T176"/>
      <c r="U176"/>
      <c r="V176"/>
      <c r="W176"/>
      <c r="Y176"/>
    </row>
    <row r="177" spans="10:25" s="1" customFormat="1" x14ac:dyDescent="0.2">
      <c r="J177"/>
      <c r="K177"/>
      <c r="L177"/>
      <c r="M177"/>
      <c r="N177"/>
      <c r="O177"/>
      <c r="P177" s="2"/>
      <c r="T177"/>
      <c r="U177"/>
      <c r="V177"/>
      <c r="W177"/>
      <c r="Y177"/>
    </row>
    <row r="178" spans="10:25" s="1" customFormat="1" x14ac:dyDescent="0.2">
      <c r="J178"/>
      <c r="K178"/>
      <c r="L178"/>
      <c r="M178"/>
      <c r="N178"/>
      <c r="O178"/>
      <c r="P178" s="2"/>
      <c r="T178"/>
      <c r="U178"/>
      <c r="V178"/>
      <c r="W178"/>
      <c r="Y178"/>
    </row>
    <row r="179" spans="10:25" s="1" customFormat="1" x14ac:dyDescent="0.2">
      <c r="J179"/>
      <c r="K179"/>
      <c r="L179"/>
      <c r="M179"/>
      <c r="N179"/>
      <c r="O179"/>
      <c r="P179" s="2"/>
      <c r="T179"/>
      <c r="U179"/>
      <c r="V179"/>
      <c r="W179"/>
      <c r="Y179"/>
    </row>
    <row r="180" spans="10:25" s="1" customFormat="1" x14ac:dyDescent="0.2">
      <c r="J180"/>
      <c r="K180"/>
      <c r="L180"/>
      <c r="M180"/>
      <c r="N180"/>
      <c r="O180"/>
      <c r="P180" s="2"/>
      <c r="T180"/>
      <c r="U180"/>
      <c r="V180"/>
      <c r="W180"/>
      <c r="Y180"/>
    </row>
    <row r="181" spans="10:25" s="1" customFormat="1" x14ac:dyDescent="0.2">
      <c r="J181"/>
      <c r="K181"/>
      <c r="L181"/>
      <c r="M181"/>
      <c r="N181"/>
      <c r="O181"/>
      <c r="P181" s="2"/>
      <c r="T181"/>
      <c r="U181"/>
      <c r="V181"/>
      <c r="W181"/>
      <c r="Y181"/>
    </row>
    <row r="182" spans="10:25" s="1" customFormat="1" x14ac:dyDescent="0.2">
      <c r="J182"/>
      <c r="K182"/>
      <c r="L182"/>
      <c r="M182"/>
      <c r="N182"/>
      <c r="O182"/>
      <c r="P182" s="2"/>
      <c r="T182"/>
      <c r="U182"/>
      <c r="V182"/>
      <c r="W182"/>
      <c r="Y182"/>
    </row>
    <row r="183" spans="10:25" s="1" customFormat="1" x14ac:dyDescent="0.2">
      <c r="J183"/>
      <c r="K183"/>
      <c r="L183"/>
      <c r="M183"/>
      <c r="N183"/>
      <c r="O183"/>
      <c r="P183" s="2"/>
      <c r="T183"/>
      <c r="U183"/>
      <c r="V183"/>
      <c r="W183"/>
      <c r="Y183"/>
    </row>
    <row r="184" spans="10:25" s="1" customFormat="1" x14ac:dyDescent="0.2">
      <c r="J184"/>
      <c r="K184"/>
      <c r="L184"/>
      <c r="M184"/>
      <c r="N184"/>
      <c r="O184"/>
      <c r="P184" s="2"/>
      <c r="T184"/>
      <c r="U184"/>
      <c r="V184"/>
      <c r="W184"/>
      <c r="Y184"/>
    </row>
    <row r="185" spans="10:25" s="1" customFormat="1" x14ac:dyDescent="0.2">
      <c r="J185"/>
      <c r="K185"/>
      <c r="L185"/>
      <c r="M185"/>
      <c r="N185"/>
      <c r="O185"/>
      <c r="P185" s="2"/>
      <c r="T185"/>
      <c r="U185"/>
      <c r="V185"/>
      <c r="W185"/>
      <c r="Y185"/>
    </row>
    <row r="186" spans="10:25" s="1" customFormat="1" x14ac:dyDescent="0.2">
      <c r="J186"/>
      <c r="K186"/>
      <c r="L186"/>
      <c r="M186"/>
      <c r="N186"/>
      <c r="O186"/>
      <c r="P186" s="2"/>
      <c r="T186"/>
      <c r="U186"/>
      <c r="V186"/>
      <c r="W186"/>
      <c r="Y186"/>
    </row>
    <row r="187" spans="10:25" s="1" customFormat="1" x14ac:dyDescent="0.2">
      <c r="J187"/>
      <c r="K187"/>
      <c r="L187"/>
      <c r="M187"/>
      <c r="N187"/>
      <c r="O187"/>
      <c r="P187" s="2"/>
      <c r="T187"/>
      <c r="U187"/>
      <c r="V187"/>
      <c r="W187"/>
      <c r="Y187"/>
    </row>
    <row r="188" spans="10:25" s="1" customFormat="1" x14ac:dyDescent="0.2">
      <c r="J188"/>
      <c r="K188"/>
      <c r="L188"/>
      <c r="M188"/>
      <c r="N188"/>
      <c r="O188"/>
      <c r="P188" s="2"/>
      <c r="T188"/>
      <c r="U188"/>
      <c r="V188"/>
      <c r="W188"/>
      <c r="Y188"/>
    </row>
    <row r="189" spans="10:25" s="1" customFormat="1" x14ac:dyDescent="0.2">
      <c r="J189"/>
      <c r="K189"/>
      <c r="L189"/>
      <c r="M189"/>
      <c r="N189"/>
      <c r="O189"/>
      <c r="P189" s="2"/>
      <c r="T189"/>
      <c r="U189"/>
      <c r="V189"/>
      <c r="W189"/>
      <c r="Y189"/>
    </row>
    <row r="190" spans="10:25" s="1" customFormat="1" x14ac:dyDescent="0.2">
      <c r="J190"/>
      <c r="K190"/>
      <c r="L190"/>
      <c r="M190"/>
      <c r="N190"/>
      <c r="O190"/>
      <c r="P190" s="2"/>
      <c r="T190"/>
      <c r="U190"/>
      <c r="V190"/>
      <c r="W190"/>
      <c r="Y190"/>
    </row>
    <row r="191" spans="10:25" s="1" customFormat="1" x14ac:dyDescent="0.2">
      <c r="J191"/>
      <c r="K191"/>
      <c r="L191"/>
      <c r="M191"/>
      <c r="N191"/>
      <c r="O191"/>
      <c r="P191" s="2"/>
      <c r="T191"/>
      <c r="U191"/>
      <c r="V191"/>
      <c r="W191"/>
      <c r="Y191"/>
    </row>
    <row r="192" spans="10:25" s="1" customFormat="1" x14ac:dyDescent="0.2">
      <c r="J192"/>
      <c r="K192"/>
      <c r="L192"/>
      <c r="M192"/>
      <c r="N192"/>
      <c r="O192"/>
      <c r="P192" s="2"/>
      <c r="T192"/>
      <c r="U192"/>
      <c r="V192"/>
      <c r="W192"/>
      <c r="Y192"/>
    </row>
    <row r="193" spans="10:25" s="1" customFormat="1" x14ac:dyDescent="0.2">
      <c r="J193"/>
      <c r="K193"/>
      <c r="L193"/>
      <c r="M193"/>
      <c r="N193"/>
      <c r="O193"/>
      <c r="P193" s="2"/>
      <c r="T193"/>
      <c r="U193"/>
      <c r="V193"/>
      <c r="W193"/>
      <c r="Y193"/>
    </row>
    <row r="194" spans="10:25" s="1" customFormat="1" x14ac:dyDescent="0.2">
      <c r="J194"/>
      <c r="K194"/>
      <c r="L194"/>
      <c r="M194"/>
      <c r="N194"/>
      <c r="O194"/>
      <c r="P194" s="2"/>
      <c r="T194"/>
      <c r="U194"/>
      <c r="V194"/>
      <c r="W194"/>
      <c r="Y194"/>
    </row>
    <row r="195" spans="10:25" s="1" customFormat="1" x14ac:dyDescent="0.2">
      <c r="J195"/>
      <c r="K195"/>
      <c r="L195"/>
      <c r="M195"/>
      <c r="N195"/>
      <c r="O195"/>
      <c r="P195" s="2"/>
      <c r="T195"/>
      <c r="U195"/>
      <c r="V195"/>
      <c r="W195"/>
      <c r="Y195"/>
    </row>
    <row r="196" spans="10:25" s="1" customFormat="1" x14ac:dyDescent="0.2">
      <c r="J196"/>
      <c r="K196"/>
      <c r="L196"/>
      <c r="M196"/>
      <c r="N196"/>
      <c r="O196"/>
      <c r="P196" s="2"/>
      <c r="T196"/>
      <c r="U196"/>
      <c r="V196"/>
      <c r="W196"/>
      <c r="Y196"/>
    </row>
    <row r="197" spans="10:25" s="1" customFormat="1" x14ac:dyDescent="0.2">
      <c r="J197"/>
      <c r="K197"/>
      <c r="L197"/>
      <c r="M197"/>
      <c r="N197"/>
      <c r="O197"/>
      <c r="P197" s="2"/>
      <c r="T197"/>
      <c r="U197"/>
      <c r="V197"/>
      <c r="W197"/>
      <c r="Y197"/>
    </row>
    <row r="198" spans="10:25" s="1" customFormat="1" x14ac:dyDescent="0.2">
      <c r="J198"/>
      <c r="K198"/>
      <c r="L198"/>
      <c r="M198"/>
      <c r="N198"/>
      <c r="O198"/>
      <c r="P198" s="2"/>
      <c r="T198"/>
      <c r="U198"/>
      <c r="V198"/>
      <c r="W198"/>
      <c r="Y198"/>
    </row>
    <row r="199" spans="10:25" s="1" customFormat="1" x14ac:dyDescent="0.2">
      <c r="J199"/>
      <c r="K199"/>
      <c r="L199"/>
      <c r="M199"/>
      <c r="N199"/>
      <c r="O199"/>
      <c r="P199" s="2"/>
      <c r="T199"/>
      <c r="U199"/>
      <c r="V199"/>
      <c r="W199"/>
      <c r="Y199"/>
    </row>
    <row r="200" spans="10:25" s="1" customFormat="1" x14ac:dyDescent="0.2">
      <c r="J200"/>
      <c r="K200"/>
      <c r="L200"/>
      <c r="M200"/>
      <c r="N200"/>
      <c r="O200"/>
      <c r="P200" s="2"/>
      <c r="T200"/>
      <c r="U200"/>
      <c r="V200"/>
      <c r="W200"/>
      <c r="Y200"/>
    </row>
    <row r="201" spans="10:25" s="1" customFormat="1" x14ac:dyDescent="0.2">
      <c r="J201"/>
      <c r="K201"/>
      <c r="L201"/>
      <c r="M201"/>
      <c r="N201"/>
      <c r="O201"/>
      <c r="P201" s="2"/>
      <c r="T201"/>
      <c r="U201"/>
      <c r="V201"/>
      <c r="W201"/>
      <c r="Y201"/>
    </row>
    <row r="202" spans="10:25" s="1" customFormat="1" x14ac:dyDescent="0.2">
      <c r="J202"/>
      <c r="K202"/>
      <c r="L202"/>
      <c r="M202"/>
      <c r="N202"/>
      <c r="O202"/>
      <c r="P202" s="2"/>
      <c r="T202"/>
      <c r="U202"/>
      <c r="V202"/>
      <c r="W202"/>
      <c r="Y202"/>
    </row>
    <row r="203" spans="10:25" s="1" customFormat="1" x14ac:dyDescent="0.2">
      <c r="J203"/>
      <c r="K203"/>
      <c r="L203"/>
      <c r="M203"/>
      <c r="N203"/>
      <c r="O203"/>
      <c r="P203" s="2"/>
      <c r="T203"/>
      <c r="U203"/>
      <c r="V203"/>
      <c r="W203"/>
      <c r="Y203"/>
    </row>
    <row r="204" spans="10:25" s="1" customFormat="1" x14ac:dyDescent="0.2">
      <c r="J204"/>
      <c r="K204"/>
      <c r="L204"/>
      <c r="M204"/>
      <c r="N204"/>
      <c r="O204"/>
      <c r="P204" s="2"/>
      <c r="T204"/>
      <c r="U204"/>
      <c r="V204"/>
      <c r="W204"/>
      <c r="Y204"/>
    </row>
    <row r="205" spans="10:25" s="1" customFormat="1" x14ac:dyDescent="0.2">
      <c r="J205"/>
      <c r="K205"/>
      <c r="L205"/>
      <c r="M205"/>
      <c r="N205"/>
      <c r="O205"/>
      <c r="P205" s="2"/>
      <c r="T205"/>
      <c r="U205"/>
      <c r="V205"/>
      <c r="W205"/>
      <c r="Y205"/>
    </row>
    <row r="206" spans="10:25" s="1" customFormat="1" x14ac:dyDescent="0.2">
      <c r="J206"/>
      <c r="K206"/>
      <c r="L206"/>
      <c r="M206"/>
      <c r="N206"/>
      <c r="O206"/>
      <c r="P206" s="2"/>
      <c r="T206"/>
      <c r="U206"/>
      <c r="V206"/>
      <c r="W206"/>
      <c r="Y206"/>
    </row>
    <row r="207" spans="10:25" s="1" customFormat="1" x14ac:dyDescent="0.2">
      <c r="J207"/>
      <c r="K207"/>
      <c r="L207"/>
      <c r="M207"/>
      <c r="N207"/>
      <c r="O207"/>
      <c r="P207" s="2"/>
      <c r="T207"/>
      <c r="U207"/>
      <c r="V207"/>
      <c r="W207"/>
      <c r="Y207"/>
    </row>
    <row r="208" spans="10:25" s="1" customFormat="1" x14ac:dyDescent="0.2">
      <c r="J208"/>
      <c r="K208"/>
      <c r="L208"/>
      <c r="M208"/>
      <c r="N208"/>
      <c r="O208"/>
      <c r="P208" s="2"/>
      <c r="T208"/>
      <c r="U208"/>
      <c r="V208"/>
      <c r="W208"/>
      <c r="Y208"/>
    </row>
    <row r="209" spans="10:25" s="1" customFormat="1" x14ac:dyDescent="0.2">
      <c r="J209"/>
      <c r="K209"/>
      <c r="L209"/>
      <c r="M209"/>
      <c r="N209"/>
      <c r="O209"/>
      <c r="P209" s="2"/>
      <c r="T209"/>
      <c r="U209"/>
      <c r="V209"/>
      <c r="W209"/>
      <c r="Y209"/>
    </row>
    <row r="210" spans="10:25" s="1" customFormat="1" x14ac:dyDescent="0.2">
      <c r="J210"/>
      <c r="K210"/>
      <c r="L210"/>
      <c r="M210"/>
      <c r="N210"/>
      <c r="O210"/>
      <c r="P210" s="2"/>
      <c r="T210"/>
      <c r="U210"/>
      <c r="V210"/>
      <c r="W210"/>
      <c r="Y210"/>
    </row>
    <row r="211" spans="10:25" s="1" customFormat="1" x14ac:dyDescent="0.2">
      <c r="J211"/>
      <c r="K211"/>
      <c r="L211"/>
      <c r="M211"/>
      <c r="N211"/>
      <c r="O211"/>
      <c r="P211" s="2"/>
      <c r="T211"/>
      <c r="U211"/>
      <c r="V211"/>
      <c r="W211"/>
      <c r="Y211"/>
    </row>
    <row r="212" spans="10:25" s="1" customFormat="1" x14ac:dyDescent="0.2">
      <c r="J212"/>
      <c r="K212"/>
      <c r="L212"/>
      <c r="M212"/>
      <c r="N212"/>
      <c r="O212"/>
      <c r="P212" s="2"/>
      <c r="T212"/>
      <c r="U212"/>
      <c r="V212"/>
      <c r="W212"/>
      <c r="Y212"/>
    </row>
    <row r="213" spans="10:25" s="1" customFormat="1" x14ac:dyDescent="0.2">
      <c r="J213"/>
      <c r="K213"/>
      <c r="L213"/>
      <c r="M213"/>
      <c r="N213"/>
      <c r="O213"/>
      <c r="P213" s="2"/>
      <c r="T213"/>
      <c r="U213"/>
      <c r="V213"/>
      <c r="W213"/>
      <c r="Y213"/>
    </row>
    <row r="214" spans="10:25" s="1" customFormat="1" x14ac:dyDescent="0.2">
      <c r="J214"/>
      <c r="K214"/>
      <c r="L214"/>
      <c r="M214"/>
      <c r="N214"/>
      <c r="O214"/>
      <c r="P214" s="2"/>
      <c r="T214"/>
      <c r="U214"/>
      <c r="V214"/>
      <c r="W214"/>
      <c r="Y214"/>
    </row>
    <row r="215" spans="10:25" s="1" customFormat="1" x14ac:dyDescent="0.2">
      <c r="J215"/>
      <c r="K215"/>
      <c r="L215"/>
      <c r="M215"/>
      <c r="N215"/>
      <c r="O215"/>
      <c r="P215" s="2"/>
      <c r="T215"/>
      <c r="U215"/>
      <c r="V215"/>
      <c r="W215"/>
      <c r="Y215"/>
    </row>
    <row r="216" spans="10:25" s="1" customFormat="1" x14ac:dyDescent="0.2">
      <c r="J216"/>
      <c r="K216"/>
      <c r="L216"/>
      <c r="M216"/>
      <c r="N216"/>
      <c r="O216"/>
      <c r="P216" s="2"/>
      <c r="T216"/>
      <c r="U216"/>
      <c r="V216"/>
      <c r="W216"/>
      <c r="Y216"/>
    </row>
    <row r="217" spans="10:25" s="1" customFormat="1" x14ac:dyDescent="0.2">
      <c r="J217"/>
      <c r="K217"/>
      <c r="L217"/>
      <c r="M217"/>
      <c r="N217"/>
      <c r="O217"/>
      <c r="P217" s="2"/>
      <c r="T217"/>
      <c r="U217"/>
      <c r="V217"/>
      <c r="W217"/>
      <c r="Y217"/>
    </row>
    <row r="218" spans="10:25" s="1" customFormat="1" x14ac:dyDescent="0.2">
      <c r="J218"/>
      <c r="K218"/>
      <c r="L218"/>
      <c r="M218"/>
      <c r="N218"/>
      <c r="O218"/>
      <c r="P218" s="2"/>
      <c r="T218"/>
      <c r="U218"/>
      <c r="V218"/>
      <c r="W218"/>
      <c r="Y218"/>
    </row>
    <row r="219" spans="10:25" s="1" customFormat="1" x14ac:dyDescent="0.2">
      <c r="J219"/>
      <c r="K219"/>
      <c r="L219"/>
      <c r="M219"/>
      <c r="N219"/>
      <c r="O219"/>
      <c r="P219" s="2"/>
      <c r="T219"/>
      <c r="U219"/>
      <c r="V219"/>
      <c r="W219"/>
      <c r="Y219"/>
    </row>
    <row r="220" spans="10:25" s="1" customFormat="1" x14ac:dyDescent="0.2">
      <c r="J220"/>
      <c r="K220"/>
      <c r="L220"/>
      <c r="M220"/>
      <c r="N220"/>
      <c r="O220"/>
      <c r="P220" s="2"/>
      <c r="T220"/>
      <c r="U220"/>
      <c r="V220"/>
      <c r="W220"/>
      <c r="Y220"/>
    </row>
    <row r="221" spans="10:25" s="1" customFormat="1" x14ac:dyDescent="0.2">
      <c r="J221"/>
      <c r="K221"/>
      <c r="L221"/>
      <c r="M221"/>
      <c r="N221"/>
      <c r="O221"/>
      <c r="P221" s="2"/>
      <c r="T221"/>
      <c r="U221"/>
      <c r="V221"/>
      <c r="W221"/>
      <c r="Y221"/>
    </row>
    <row r="222" spans="10:25" s="1" customFormat="1" x14ac:dyDescent="0.2">
      <c r="J222"/>
      <c r="K222"/>
      <c r="L222"/>
      <c r="M222"/>
      <c r="N222"/>
      <c r="O222"/>
      <c r="P222" s="2"/>
      <c r="T222"/>
      <c r="U222"/>
      <c r="V222"/>
      <c r="W222"/>
      <c r="Y222"/>
    </row>
    <row r="223" spans="10:25" s="1" customFormat="1" x14ac:dyDescent="0.2">
      <c r="J223"/>
      <c r="K223"/>
      <c r="L223"/>
      <c r="M223"/>
      <c r="N223"/>
      <c r="O223"/>
      <c r="P223" s="2"/>
      <c r="T223"/>
      <c r="U223"/>
      <c r="V223"/>
      <c r="W223"/>
      <c r="Y223"/>
    </row>
    <row r="224" spans="10:25" s="1" customFormat="1" x14ac:dyDescent="0.2">
      <c r="J224"/>
      <c r="K224"/>
      <c r="L224"/>
      <c r="M224"/>
      <c r="N224"/>
      <c r="O224"/>
      <c r="P224" s="2"/>
      <c r="T224"/>
      <c r="U224"/>
      <c r="V224"/>
      <c r="W224"/>
      <c r="Y224"/>
    </row>
    <row r="225" spans="10:25" s="1" customFormat="1" x14ac:dyDescent="0.2">
      <c r="J225"/>
      <c r="K225"/>
      <c r="L225"/>
      <c r="M225"/>
      <c r="N225"/>
      <c r="O225"/>
      <c r="P225" s="2"/>
      <c r="T225"/>
      <c r="U225"/>
      <c r="V225"/>
      <c r="W225"/>
      <c r="Y225"/>
    </row>
    <row r="226" spans="10:25" s="1" customFormat="1" x14ac:dyDescent="0.2">
      <c r="J226"/>
      <c r="K226"/>
      <c r="L226"/>
      <c r="M226"/>
      <c r="N226"/>
      <c r="O226"/>
      <c r="P226" s="2"/>
      <c r="T226"/>
      <c r="U226"/>
      <c r="V226"/>
      <c r="W226"/>
      <c r="Y226"/>
    </row>
    <row r="227" spans="10:25" s="1" customFormat="1" x14ac:dyDescent="0.2">
      <c r="J227"/>
      <c r="K227"/>
      <c r="L227"/>
      <c r="M227"/>
      <c r="N227"/>
      <c r="O227"/>
      <c r="P227" s="2"/>
      <c r="T227"/>
      <c r="U227"/>
      <c r="V227"/>
      <c r="W227"/>
      <c r="Y227"/>
    </row>
    <row r="228" spans="10:25" s="1" customFormat="1" x14ac:dyDescent="0.2">
      <c r="J228"/>
      <c r="K228"/>
      <c r="L228"/>
      <c r="M228"/>
      <c r="N228"/>
      <c r="O228"/>
      <c r="P228" s="2"/>
      <c r="T228"/>
      <c r="U228"/>
      <c r="V228"/>
      <c r="W228"/>
      <c r="Y228"/>
    </row>
    <row r="229" spans="10:25" s="1" customFormat="1" x14ac:dyDescent="0.2">
      <c r="J229"/>
      <c r="K229"/>
      <c r="L229"/>
      <c r="M229"/>
      <c r="N229"/>
      <c r="O229"/>
      <c r="P229" s="2"/>
      <c r="T229"/>
      <c r="U229"/>
      <c r="V229"/>
      <c r="W229"/>
      <c r="Y229"/>
    </row>
    <row r="230" spans="10:25" s="1" customFormat="1" x14ac:dyDescent="0.2">
      <c r="J230"/>
      <c r="K230"/>
      <c r="L230"/>
      <c r="M230"/>
      <c r="N230"/>
      <c r="O230"/>
      <c r="P230" s="2"/>
      <c r="T230"/>
      <c r="U230"/>
      <c r="V230"/>
      <c r="W230"/>
      <c r="Y230"/>
    </row>
    <row r="231" spans="10:25" s="1" customFormat="1" x14ac:dyDescent="0.2">
      <c r="J231"/>
      <c r="K231"/>
      <c r="L231"/>
      <c r="M231"/>
      <c r="N231"/>
      <c r="O231"/>
      <c r="P231" s="2"/>
      <c r="T231"/>
      <c r="U231"/>
      <c r="V231"/>
      <c r="W231"/>
      <c r="Y231"/>
    </row>
    <row r="232" spans="10:25" s="1" customFormat="1" x14ac:dyDescent="0.2">
      <c r="J232"/>
      <c r="K232"/>
      <c r="L232"/>
      <c r="M232"/>
      <c r="N232"/>
      <c r="O232"/>
      <c r="P232" s="2"/>
      <c r="T232"/>
      <c r="U232"/>
      <c r="V232"/>
      <c r="W232"/>
      <c r="Y232"/>
    </row>
    <row r="233" spans="10:25" s="1" customFormat="1" x14ac:dyDescent="0.2">
      <c r="J233"/>
      <c r="K233"/>
      <c r="L233"/>
      <c r="M233"/>
      <c r="N233"/>
      <c r="O233"/>
      <c r="P233" s="2"/>
      <c r="T233"/>
      <c r="U233"/>
      <c r="V233"/>
      <c r="W233"/>
      <c r="Y233"/>
    </row>
    <row r="234" spans="10:25" s="1" customFormat="1" x14ac:dyDescent="0.2">
      <c r="J234"/>
      <c r="K234"/>
      <c r="L234"/>
      <c r="M234"/>
      <c r="N234"/>
      <c r="O234"/>
      <c r="P234" s="2"/>
      <c r="T234"/>
      <c r="U234"/>
      <c r="V234"/>
      <c r="W234"/>
      <c r="Y234"/>
    </row>
    <row r="235" spans="10:25" s="1" customFormat="1" x14ac:dyDescent="0.2">
      <c r="J235"/>
      <c r="K235"/>
      <c r="L235"/>
      <c r="M235"/>
      <c r="N235"/>
      <c r="O235"/>
      <c r="P235" s="2"/>
      <c r="T235"/>
      <c r="U235"/>
      <c r="V235"/>
      <c r="W235"/>
      <c r="Y235"/>
    </row>
    <row r="236" spans="10:25" s="1" customFormat="1" x14ac:dyDescent="0.2">
      <c r="J236"/>
      <c r="K236"/>
      <c r="L236"/>
      <c r="M236"/>
      <c r="N236"/>
      <c r="O236"/>
      <c r="P236" s="2"/>
      <c r="T236"/>
      <c r="U236"/>
      <c r="V236"/>
      <c r="W236"/>
      <c r="Y236"/>
    </row>
    <row r="237" spans="10:25" s="1" customFormat="1" x14ac:dyDescent="0.2">
      <c r="J237"/>
      <c r="K237"/>
      <c r="L237"/>
      <c r="M237"/>
      <c r="N237"/>
      <c r="O237"/>
      <c r="P237" s="2"/>
      <c r="T237"/>
      <c r="U237"/>
      <c r="V237"/>
      <c r="W237"/>
      <c r="Y237"/>
    </row>
    <row r="238" spans="10:25" s="1" customFormat="1" x14ac:dyDescent="0.2">
      <c r="J238"/>
      <c r="K238"/>
      <c r="L238"/>
      <c r="M238"/>
      <c r="N238"/>
      <c r="O238"/>
      <c r="P238" s="2"/>
      <c r="T238"/>
      <c r="U238"/>
      <c r="V238"/>
      <c r="W238"/>
      <c r="Y238"/>
    </row>
    <row r="239" spans="10:25" s="1" customFormat="1" x14ac:dyDescent="0.2">
      <c r="J239"/>
      <c r="K239"/>
      <c r="L239"/>
      <c r="M239"/>
      <c r="N239"/>
      <c r="O239"/>
      <c r="P239" s="2"/>
      <c r="T239"/>
      <c r="U239"/>
      <c r="V239"/>
      <c r="W239"/>
      <c r="Y239"/>
    </row>
    <row r="240" spans="10:25" s="1" customFormat="1" x14ac:dyDescent="0.2">
      <c r="J240"/>
      <c r="K240"/>
      <c r="L240"/>
      <c r="M240"/>
      <c r="N240"/>
      <c r="O240"/>
      <c r="P240" s="2"/>
      <c r="T240"/>
      <c r="U240"/>
      <c r="V240"/>
      <c r="W240"/>
      <c r="Y240"/>
    </row>
    <row r="241" spans="10:25" s="1" customFormat="1" x14ac:dyDescent="0.2">
      <c r="J241"/>
      <c r="K241"/>
      <c r="L241"/>
      <c r="M241"/>
      <c r="N241"/>
      <c r="O241"/>
      <c r="P241" s="2"/>
      <c r="T241"/>
      <c r="U241"/>
      <c r="V241"/>
      <c r="W241"/>
      <c r="Y241"/>
    </row>
    <row r="242" spans="10:25" s="1" customFormat="1" x14ac:dyDescent="0.2">
      <c r="J242"/>
      <c r="K242"/>
      <c r="L242"/>
      <c r="M242"/>
      <c r="N242"/>
      <c r="O242"/>
      <c r="P242" s="2"/>
      <c r="T242"/>
      <c r="U242"/>
      <c r="V242"/>
      <c r="W242"/>
      <c r="Y242"/>
    </row>
    <row r="243" spans="10:25" s="1" customFormat="1" x14ac:dyDescent="0.2">
      <c r="J243"/>
      <c r="K243"/>
      <c r="L243"/>
      <c r="M243"/>
      <c r="N243"/>
      <c r="O243"/>
      <c r="P243" s="2"/>
      <c r="T243"/>
      <c r="U243"/>
      <c r="V243"/>
      <c r="W243"/>
      <c r="Y243"/>
    </row>
    <row r="244" spans="10:25" s="1" customFormat="1" x14ac:dyDescent="0.2">
      <c r="J244"/>
      <c r="K244"/>
      <c r="L244"/>
      <c r="M244"/>
      <c r="N244"/>
      <c r="O244"/>
      <c r="P244" s="2"/>
      <c r="T244"/>
      <c r="U244"/>
      <c r="V244"/>
      <c r="W244"/>
      <c r="Y244"/>
    </row>
    <row r="245" spans="10:25" s="1" customFormat="1" x14ac:dyDescent="0.2">
      <c r="J245"/>
      <c r="K245"/>
      <c r="L245"/>
      <c r="M245"/>
      <c r="N245"/>
      <c r="O245"/>
      <c r="P245" s="2"/>
      <c r="T245"/>
      <c r="U245"/>
      <c r="V245"/>
      <c r="W245"/>
      <c r="Y245"/>
    </row>
    <row r="246" spans="10:25" s="1" customFormat="1" x14ac:dyDescent="0.2">
      <c r="J246"/>
      <c r="K246"/>
      <c r="L246"/>
      <c r="M246"/>
      <c r="N246"/>
      <c r="O246"/>
      <c r="P246" s="2"/>
      <c r="T246"/>
      <c r="U246"/>
      <c r="V246"/>
      <c r="W246"/>
      <c r="Y246"/>
    </row>
    <row r="247" spans="10:25" s="1" customFormat="1" x14ac:dyDescent="0.2">
      <c r="J247"/>
      <c r="K247"/>
      <c r="L247"/>
      <c r="M247"/>
      <c r="N247"/>
      <c r="O247"/>
      <c r="P247" s="2"/>
      <c r="T247"/>
      <c r="U247"/>
      <c r="V247"/>
      <c r="W247"/>
      <c r="Y247"/>
    </row>
    <row r="248" spans="10:25" s="1" customFormat="1" x14ac:dyDescent="0.2">
      <c r="J248"/>
      <c r="K248"/>
      <c r="L248"/>
      <c r="M248"/>
      <c r="N248"/>
      <c r="O248"/>
      <c r="P248" s="2"/>
      <c r="T248"/>
      <c r="U248"/>
      <c r="V248"/>
      <c r="W248"/>
      <c r="Y248"/>
    </row>
    <row r="249" spans="10:25" s="1" customFormat="1" x14ac:dyDescent="0.2">
      <c r="J249"/>
      <c r="K249"/>
      <c r="L249"/>
      <c r="M249"/>
      <c r="N249"/>
      <c r="O249"/>
      <c r="P249" s="2"/>
      <c r="T249"/>
      <c r="U249"/>
      <c r="V249"/>
      <c r="W249"/>
      <c r="Y249"/>
    </row>
    <row r="250" spans="10:25" s="1" customFormat="1" x14ac:dyDescent="0.2">
      <c r="J250"/>
      <c r="K250"/>
      <c r="L250"/>
      <c r="M250"/>
      <c r="N250"/>
      <c r="O250"/>
      <c r="P250" s="2"/>
      <c r="T250"/>
      <c r="U250"/>
      <c r="V250"/>
      <c r="W250"/>
      <c r="Y250"/>
    </row>
    <row r="251" spans="10:25" s="1" customFormat="1" x14ac:dyDescent="0.2">
      <c r="J251"/>
      <c r="K251"/>
      <c r="L251"/>
      <c r="M251"/>
      <c r="N251"/>
      <c r="O251"/>
      <c r="P251" s="2"/>
      <c r="T251"/>
      <c r="U251"/>
      <c r="V251"/>
      <c r="W251"/>
      <c r="Y251"/>
    </row>
    <row r="252" spans="10:25" s="1" customFormat="1" x14ac:dyDescent="0.2">
      <c r="J252"/>
      <c r="K252"/>
      <c r="L252"/>
      <c r="M252"/>
      <c r="N252"/>
      <c r="O252"/>
      <c r="P252" s="2"/>
      <c r="T252"/>
      <c r="U252"/>
      <c r="V252"/>
      <c r="W252"/>
      <c r="Y252"/>
    </row>
    <row r="253" spans="10:25" s="1" customFormat="1" x14ac:dyDescent="0.2">
      <c r="J253"/>
      <c r="K253"/>
      <c r="L253"/>
      <c r="M253"/>
      <c r="N253"/>
      <c r="O253"/>
      <c r="P253" s="2"/>
      <c r="T253"/>
      <c r="U253"/>
      <c r="V253"/>
      <c r="W253"/>
      <c r="Y253"/>
    </row>
    <row r="254" spans="10:25" s="1" customFormat="1" x14ac:dyDescent="0.2">
      <c r="J254"/>
      <c r="K254"/>
      <c r="L254"/>
      <c r="M254"/>
      <c r="N254"/>
      <c r="O254"/>
      <c r="P254" s="2"/>
      <c r="T254"/>
      <c r="U254"/>
      <c r="V254"/>
      <c r="W254"/>
      <c r="Y254"/>
    </row>
    <row r="255" spans="10:25" s="1" customFormat="1" x14ac:dyDescent="0.2">
      <c r="J255"/>
      <c r="K255"/>
      <c r="L255"/>
      <c r="M255"/>
      <c r="N255"/>
      <c r="O255"/>
      <c r="P255" s="2"/>
      <c r="T255"/>
      <c r="U255"/>
      <c r="V255"/>
      <c r="W255"/>
      <c r="Y255"/>
    </row>
    <row r="256" spans="10:25" s="1" customFormat="1" x14ac:dyDescent="0.2">
      <c r="J256"/>
      <c r="K256"/>
      <c r="L256"/>
      <c r="M256"/>
      <c r="N256"/>
      <c r="O256"/>
      <c r="P256" s="2"/>
      <c r="T256"/>
      <c r="U256"/>
      <c r="V256"/>
      <c r="W256"/>
      <c r="Y256"/>
    </row>
    <row r="257" spans="10:25" s="1" customFormat="1" x14ac:dyDescent="0.2">
      <c r="J257"/>
      <c r="K257"/>
      <c r="L257"/>
      <c r="M257"/>
      <c r="N257"/>
      <c r="O257"/>
      <c r="P257" s="2"/>
      <c r="T257"/>
      <c r="U257"/>
      <c r="V257"/>
      <c r="W257"/>
      <c r="Y257"/>
    </row>
    <row r="258" spans="10:25" s="1" customFormat="1" x14ac:dyDescent="0.2">
      <c r="J258"/>
      <c r="K258"/>
      <c r="L258"/>
      <c r="M258"/>
      <c r="N258"/>
      <c r="O258"/>
      <c r="P258" s="2"/>
      <c r="T258"/>
      <c r="U258"/>
      <c r="V258"/>
      <c r="W258"/>
      <c r="Y258"/>
    </row>
    <row r="259" spans="10:25" s="1" customFormat="1" x14ac:dyDescent="0.2">
      <c r="J259"/>
      <c r="K259"/>
      <c r="L259"/>
      <c r="M259"/>
      <c r="N259"/>
      <c r="O259"/>
      <c r="P259" s="2"/>
      <c r="T259"/>
      <c r="U259"/>
      <c r="V259"/>
      <c r="W259"/>
      <c r="Y259"/>
    </row>
    <row r="260" spans="10:25" s="1" customFormat="1" x14ac:dyDescent="0.2">
      <c r="J260"/>
      <c r="K260"/>
      <c r="L260"/>
      <c r="M260"/>
      <c r="N260"/>
      <c r="O260"/>
      <c r="P260" s="2"/>
      <c r="T260"/>
      <c r="U260"/>
      <c r="V260"/>
      <c r="W260"/>
      <c r="Y260"/>
    </row>
    <row r="261" spans="10:25" s="1" customFormat="1" x14ac:dyDescent="0.2">
      <c r="J261"/>
      <c r="K261"/>
      <c r="L261"/>
      <c r="M261"/>
      <c r="N261"/>
      <c r="O261"/>
      <c r="P261" s="2"/>
      <c r="T261"/>
      <c r="U261"/>
      <c r="V261"/>
      <c r="W261"/>
      <c r="Y261"/>
    </row>
    <row r="262" spans="10:25" s="1" customFormat="1" x14ac:dyDescent="0.2">
      <c r="J262"/>
      <c r="K262"/>
      <c r="L262"/>
      <c r="M262"/>
      <c r="N262"/>
      <c r="O262"/>
      <c r="P262" s="2"/>
      <c r="T262"/>
      <c r="U262"/>
      <c r="V262"/>
      <c r="W262"/>
      <c r="Y262"/>
    </row>
    <row r="263" spans="10:25" s="1" customFormat="1" x14ac:dyDescent="0.2">
      <c r="J263"/>
      <c r="K263"/>
      <c r="L263"/>
      <c r="M263"/>
      <c r="N263"/>
      <c r="O263"/>
      <c r="P263" s="2"/>
      <c r="T263"/>
      <c r="U263"/>
      <c r="V263"/>
      <c r="W263"/>
      <c r="Y263"/>
    </row>
    <row r="264" spans="10:25" s="1" customFormat="1" x14ac:dyDescent="0.2">
      <c r="J264"/>
      <c r="K264"/>
      <c r="L264"/>
      <c r="M264"/>
      <c r="N264"/>
      <c r="O264"/>
      <c r="P264" s="2"/>
      <c r="T264"/>
      <c r="U264"/>
      <c r="V264"/>
      <c r="W264"/>
      <c r="Y264"/>
    </row>
    <row r="265" spans="10:25" s="1" customFormat="1" x14ac:dyDescent="0.2">
      <c r="J265"/>
      <c r="K265"/>
      <c r="L265"/>
      <c r="M265"/>
      <c r="N265"/>
      <c r="O265"/>
      <c r="P265" s="2"/>
      <c r="T265"/>
      <c r="U265"/>
      <c r="V265"/>
      <c r="W265"/>
      <c r="Y265"/>
    </row>
    <row r="266" spans="10:25" s="1" customFormat="1" x14ac:dyDescent="0.2">
      <c r="J266"/>
      <c r="K266"/>
      <c r="L266"/>
      <c r="M266"/>
      <c r="N266"/>
      <c r="O266"/>
      <c r="P266" s="2"/>
      <c r="T266"/>
      <c r="U266"/>
      <c r="V266"/>
      <c r="W266"/>
      <c r="Y266"/>
    </row>
    <row r="267" spans="10:25" s="1" customFormat="1" x14ac:dyDescent="0.2">
      <c r="J267"/>
      <c r="K267"/>
      <c r="L267"/>
      <c r="M267"/>
      <c r="N267"/>
      <c r="O267"/>
      <c r="P267" s="2"/>
      <c r="T267"/>
      <c r="U267"/>
      <c r="V267"/>
      <c r="W267"/>
      <c r="Y267"/>
    </row>
    <row r="268" spans="10:25" s="1" customFormat="1" x14ac:dyDescent="0.2">
      <c r="J268"/>
      <c r="K268"/>
      <c r="L268"/>
      <c r="M268"/>
      <c r="N268"/>
      <c r="O268"/>
      <c r="P268" s="2"/>
      <c r="T268"/>
      <c r="U268"/>
      <c r="V268"/>
      <c r="W268"/>
      <c r="Y268"/>
    </row>
    <row r="269" spans="10:25" s="1" customFormat="1" x14ac:dyDescent="0.2">
      <c r="J269"/>
      <c r="K269"/>
      <c r="L269"/>
      <c r="M269"/>
      <c r="N269"/>
      <c r="O269"/>
      <c r="P269" s="2"/>
      <c r="T269"/>
      <c r="U269"/>
      <c r="V269"/>
      <c r="W269"/>
      <c r="Y269"/>
    </row>
    <row r="270" spans="10:25" s="1" customFormat="1" x14ac:dyDescent="0.2">
      <c r="J270"/>
      <c r="K270"/>
      <c r="L270"/>
      <c r="M270"/>
      <c r="N270"/>
      <c r="O270"/>
      <c r="P270" s="2"/>
      <c r="T270"/>
      <c r="U270"/>
      <c r="V270"/>
      <c r="W270"/>
      <c r="Y270"/>
    </row>
    <row r="271" spans="10:25" s="1" customFormat="1" x14ac:dyDescent="0.2">
      <c r="J271"/>
      <c r="K271"/>
      <c r="L271"/>
      <c r="M271"/>
      <c r="N271"/>
      <c r="O271"/>
      <c r="P271" s="2"/>
      <c r="T271"/>
      <c r="U271"/>
      <c r="V271"/>
      <c r="W271"/>
      <c r="Y271"/>
    </row>
    <row r="272" spans="10:25" s="1" customFormat="1" x14ac:dyDescent="0.2">
      <c r="J272"/>
      <c r="K272"/>
      <c r="L272"/>
      <c r="M272"/>
      <c r="N272"/>
      <c r="O272"/>
      <c r="P272" s="2"/>
      <c r="T272"/>
      <c r="U272"/>
      <c r="V272"/>
      <c r="W272"/>
      <c r="Y272"/>
    </row>
    <row r="273" spans="10:25" s="1" customFormat="1" x14ac:dyDescent="0.2">
      <c r="J273"/>
      <c r="K273"/>
      <c r="L273"/>
      <c r="M273"/>
      <c r="N273"/>
      <c r="O273"/>
      <c r="P273" s="2"/>
      <c r="T273"/>
      <c r="U273"/>
      <c r="V273"/>
      <c r="W273"/>
      <c r="Y273"/>
    </row>
    <row r="274" spans="10:25" s="1" customFormat="1" x14ac:dyDescent="0.2">
      <c r="J274"/>
      <c r="K274"/>
      <c r="L274"/>
      <c r="M274"/>
      <c r="N274"/>
      <c r="O274"/>
      <c r="P274" s="2"/>
      <c r="T274"/>
      <c r="U274"/>
      <c r="V274"/>
      <c r="W274"/>
      <c r="Y274"/>
    </row>
    <row r="275" spans="10:25" s="1" customFormat="1" x14ac:dyDescent="0.2">
      <c r="J275"/>
      <c r="K275"/>
      <c r="L275"/>
      <c r="M275"/>
      <c r="N275"/>
      <c r="O275"/>
      <c r="P275" s="2"/>
      <c r="T275"/>
      <c r="U275"/>
      <c r="V275"/>
      <c r="W275"/>
      <c r="Y275"/>
    </row>
    <row r="276" spans="10:25" s="1" customFormat="1" x14ac:dyDescent="0.2">
      <c r="J276"/>
      <c r="K276"/>
      <c r="L276"/>
      <c r="M276"/>
      <c r="N276"/>
      <c r="O276"/>
      <c r="P276" s="2"/>
      <c r="T276"/>
      <c r="U276"/>
      <c r="V276"/>
      <c r="W276"/>
      <c r="Y276"/>
    </row>
    <row r="277" spans="10:25" s="1" customFormat="1" x14ac:dyDescent="0.2">
      <c r="J277"/>
      <c r="K277"/>
      <c r="L277"/>
      <c r="M277"/>
      <c r="N277"/>
      <c r="O277"/>
      <c r="P277" s="2"/>
      <c r="T277"/>
      <c r="U277"/>
      <c r="V277"/>
      <c r="W277"/>
      <c r="Y277"/>
    </row>
    <row r="278" spans="10:25" s="1" customFormat="1" x14ac:dyDescent="0.2">
      <c r="J278"/>
      <c r="K278"/>
      <c r="L278"/>
      <c r="M278"/>
      <c r="N278"/>
      <c r="O278"/>
      <c r="P278" s="2"/>
      <c r="T278"/>
      <c r="U278"/>
      <c r="V278"/>
      <c r="W278"/>
      <c r="Y278"/>
    </row>
    <row r="279" spans="10:25" s="1" customFormat="1" x14ac:dyDescent="0.2">
      <c r="J279"/>
      <c r="K279"/>
      <c r="L279"/>
      <c r="M279"/>
      <c r="N279"/>
      <c r="O279"/>
      <c r="P279" s="2"/>
      <c r="T279"/>
      <c r="U279"/>
      <c r="V279"/>
      <c r="W279"/>
      <c r="Y279"/>
    </row>
    <row r="280" spans="10:25" s="1" customFormat="1" x14ac:dyDescent="0.2">
      <c r="J280"/>
      <c r="K280"/>
      <c r="L280"/>
      <c r="M280"/>
      <c r="N280"/>
      <c r="O280"/>
      <c r="P280" s="2"/>
      <c r="T280"/>
      <c r="U280"/>
      <c r="V280"/>
      <c r="W280"/>
      <c r="Y280"/>
    </row>
    <row r="281" spans="10:25" s="1" customFormat="1" x14ac:dyDescent="0.2">
      <c r="J281"/>
      <c r="K281"/>
      <c r="L281"/>
      <c r="M281"/>
      <c r="N281"/>
      <c r="O281"/>
      <c r="P281" s="2"/>
      <c r="T281"/>
      <c r="U281"/>
      <c r="V281"/>
      <c r="W281"/>
      <c r="Y281"/>
    </row>
    <row r="282" spans="10:25" s="1" customFormat="1" x14ac:dyDescent="0.2">
      <c r="J282"/>
      <c r="K282"/>
      <c r="L282"/>
      <c r="M282"/>
      <c r="N282"/>
      <c r="O282"/>
      <c r="P282" s="2"/>
      <c r="T282"/>
      <c r="U282"/>
      <c r="V282"/>
      <c r="W282"/>
      <c r="Y282"/>
    </row>
    <row r="283" spans="10:25" s="1" customFormat="1" x14ac:dyDescent="0.2">
      <c r="J283"/>
      <c r="K283"/>
      <c r="L283"/>
      <c r="M283"/>
      <c r="N283"/>
      <c r="O283"/>
      <c r="P283" s="2"/>
      <c r="T283"/>
      <c r="U283"/>
      <c r="V283"/>
      <c r="W283"/>
      <c r="Y283"/>
    </row>
    <row r="284" spans="10:25" s="1" customFormat="1" x14ac:dyDescent="0.2">
      <c r="J284"/>
      <c r="K284"/>
      <c r="L284"/>
      <c r="M284"/>
      <c r="N284"/>
      <c r="O284"/>
      <c r="P284" s="2"/>
      <c r="T284"/>
      <c r="U284"/>
      <c r="V284"/>
      <c r="W284"/>
      <c r="Y284"/>
    </row>
    <row r="285" spans="10:25" s="1" customFormat="1" x14ac:dyDescent="0.2">
      <c r="J285"/>
      <c r="K285"/>
      <c r="L285"/>
      <c r="M285"/>
      <c r="N285"/>
      <c r="O285"/>
      <c r="P285" s="2"/>
      <c r="T285"/>
      <c r="U285"/>
      <c r="V285"/>
      <c r="W285"/>
      <c r="Y285"/>
    </row>
    <row r="286" spans="10:25" s="1" customFormat="1" x14ac:dyDescent="0.2">
      <c r="J286"/>
      <c r="K286"/>
      <c r="L286"/>
      <c r="M286"/>
      <c r="N286"/>
      <c r="O286"/>
      <c r="P286" s="2"/>
      <c r="T286"/>
      <c r="U286"/>
      <c r="V286"/>
      <c r="W286"/>
      <c r="Y286"/>
    </row>
    <row r="287" spans="10:25" s="1" customFormat="1" x14ac:dyDescent="0.2">
      <c r="J287"/>
      <c r="K287"/>
      <c r="L287"/>
      <c r="M287"/>
      <c r="N287"/>
      <c r="O287"/>
      <c r="P287" s="2"/>
      <c r="T287"/>
      <c r="U287"/>
      <c r="V287"/>
      <c r="W287"/>
      <c r="Y287"/>
    </row>
    <row r="288" spans="10:25" s="1" customFormat="1" x14ac:dyDescent="0.2">
      <c r="J288"/>
      <c r="K288"/>
      <c r="L288"/>
      <c r="M288"/>
      <c r="N288"/>
      <c r="O288"/>
      <c r="P288" s="2"/>
      <c r="T288"/>
      <c r="U288"/>
      <c r="V288"/>
      <c r="W288"/>
      <c r="Y288"/>
    </row>
    <row r="289" spans="10:25" s="1" customFormat="1" x14ac:dyDescent="0.2">
      <c r="J289"/>
      <c r="K289"/>
      <c r="L289"/>
      <c r="M289"/>
      <c r="N289"/>
      <c r="O289"/>
      <c r="P289" s="2"/>
      <c r="T289"/>
      <c r="U289"/>
      <c r="V289"/>
      <c r="W289"/>
      <c r="Y289"/>
    </row>
    <row r="290" spans="10:25" s="1" customFormat="1" x14ac:dyDescent="0.2">
      <c r="J290"/>
      <c r="K290"/>
      <c r="L290"/>
      <c r="M290"/>
      <c r="N290"/>
      <c r="O290"/>
      <c r="P290" s="2"/>
      <c r="T290"/>
      <c r="U290"/>
      <c r="V290"/>
      <c r="W290"/>
      <c r="Y290"/>
    </row>
    <row r="291" spans="10:25" s="1" customFormat="1" x14ac:dyDescent="0.2">
      <c r="J291"/>
      <c r="K291"/>
      <c r="L291"/>
      <c r="M291"/>
      <c r="N291"/>
      <c r="O291"/>
      <c r="P291" s="2"/>
      <c r="T291"/>
      <c r="U291"/>
      <c r="V291"/>
      <c r="W291"/>
      <c r="Y291"/>
    </row>
    <row r="292" spans="10:25" s="1" customFormat="1" x14ac:dyDescent="0.2">
      <c r="J292"/>
      <c r="K292"/>
      <c r="L292"/>
      <c r="M292"/>
      <c r="N292"/>
      <c r="O292"/>
      <c r="P292" s="2"/>
      <c r="T292"/>
      <c r="U292"/>
      <c r="V292"/>
      <c r="W292"/>
      <c r="Y292"/>
    </row>
    <row r="293" spans="10:25" s="1" customFormat="1" x14ac:dyDescent="0.2">
      <c r="J293"/>
      <c r="K293"/>
      <c r="L293"/>
      <c r="M293"/>
      <c r="N293"/>
      <c r="O293"/>
      <c r="P293" s="2"/>
      <c r="T293"/>
      <c r="U293"/>
      <c r="V293"/>
      <c r="W293"/>
      <c r="Y293"/>
    </row>
    <row r="294" spans="10:25" s="1" customFormat="1" x14ac:dyDescent="0.2">
      <c r="J294"/>
      <c r="K294"/>
      <c r="L294"/>
      <c r="M294"/>
      <c r="N294"/>
      <c r="O294"/>
      <c r="P294" s="2"/>
      <c r="T294"/>
      <c r="U294"/>
      <c r="V294"/>
      <c r="W294"/>
      <c r="Y294"/>
    </row>
    <row r="295" spans="10:25" s="1" customFormat="1" x14ac:dyDescent="0.2">
      <c r="J295"/>
      <c r="K295"/>
      <c r="L295"/>
      <c r="M295"/>
      <c r="N295"/>
      <c r="O295"/>
      <c r="P295" s="2"/>
      <c r="T295"/>
      <c r="U295"/>
      <c r="V295"/>
      <c r="W295"/>
      <c r="Y295"/>
    </row>
    <row r="296" spans="10:25" s="1" customFormat="1" x14ac:dyDescent="0.2">
      <c r="J296"/>
      <c r="K296"/>
      <c r="L296"/>
      <c r="M296"/>
      <c r="N296"/>
      <c r="O296"/>
      <c r="P296" s="2"/>
      <c r="T296"/>
      <c r="U296"/>
      <c r="V296"/>
      <c r="W296"/>
      <c r="Y296"/>
    </row>
    <row r="297" spans="10:25" s="1" customFormat="1" x14ac:dyDescent="0.2">
      <c r="J297"/>
      <c r="K297"/>
      <c r="L297"/>
      <c r="M297"/>
      <c r="N297"/>
      <c r="O297"/>
      <c r="P297" s="2"/>
      <c r="T297"/>
      <c r="U297"/>
      <c r="V297"/>
      <c r="W297"/>
      <c r="Y297"/>
    </row>
    <row r="298" spans="10:25" s="1" customFormat="1" x14ac:dyDescent="0.2">
      <c r="J298"/>
      <c r="K298"/>
      <c r="L298"/>
      <c r="M298"/>
      <c r="N298"/>
      <c r="O298"/>
      <c r="P298" s="2"/>
      <c r="T298"/>
      <c r="U298"/>
      <c r="V298"/>
      <c r="W298"/>
      <c r="Y298"/>
    </row>
    <row r="299" spans="10:25" s="1" customFormat="1" x14ac:dyDescent="0.2">
      <c r="J299"/>
      <c r="K299"/>
      <c r="L299"/>
      <c r="M299"/>
      <c r="N299"/>
      <c r="O299"/>
      <c r="P299" s="2"/>
      <c r="T299"/>
      <c r="U299"/>
      <c r="V299"/>
      <c r="W299"/>
      <c r="Y299"/>
    </row>
    <row r="300" spans="10:25" s="1" customFormat="1" x14ac:dyDescent="0.2">
      <c r="J300"/>
      <c r="K300"/>
      <c r="L300"/>
      <c r="M300"/>
      <c r="N300"/>
      <c r="O300"/>
      <c r="P300" s="2"/>
      <c r="T300"/>
      <c r="U300"/>
      <c r="V300"/>
      <c r="W300"/>
      <c r="Y300"/>
    </row>
    <row r="301" spans="10:25" s="1" customFormat="1" x14ac:dyDescent="0.2">
      <c r="J301"/>
      <c r="K301"/>
      <c r="L301"/>
      <c r="M301"/>
      <c r="N301"/>
      <c r="O301"/>
      <c r="P301" s="2"/>
      <c r="T301"/>
      <c r="U301"/>
      <c r="V301"/>
      <c r="W301"/>
      <c r="Y301"/>
    </row>
    <row r="302" spans="10:25" s="1" customFormat="1" x14ac:dyDescent="0.2">
      <c r="J302"/>
      <c r="K302"/>
      <c r="L302"/>
      <c r="M302"/>
      <c r="N302"/>
      <c r="O302"/>
      <c r="P302" s="2"/>
      <c r="T302"/>
      <c r="U302"/>
      <c r="V302"/>
      <c r="W302"/>
      <c r="Y302"/>
    </row>
    <row r="303" spans="10:25" s="1" customFormat="1" x14ac:dyDescent="0.2">
      <c r="J303"/>
      <c r="K303"/>
      <c r="L303"/>
      <c r="M303"/>
      <c r="N303"/>
      <c r="O303"/>
      <c r="P303" s="2"/>
      <c r="T303"/>
      <c r="U303"/>
      <c r="V303"/>
      <c r="W303"/>
      <c r="Y303"/>
    </row>
    <row r="304" spans="10:25" s="1" customFormat="1" x14ac:dyDescent="0.2">
      <c r="J304"/>
      <c r="K304"/>
      <c r="L304"/>
      <c r="M304"/>
      <c r="N304"/>
      <c r="O304"/>
      <c r="P304" s="2"/>
      <c r="T304"/>
      <c r="U304"/>
      <c r="V304"/>
      <c r="W304"/>
      <c r="Y304"/>
    </row>
    <row r="305" spans="10:25" s="1" customFormat="1" x14ac:dyDescent="0.2">
      <c r="J305"/>
      <c r="K305"/>
      <c r="L305"/>
      <c r="M305"/>
      <c r="N305"/>
      <c r="O305"/>
      <c r="P305" s="2"/>
      <c r="T305"/>
      <c r="U305"/>
      <c r="V305"/>
      <c r="W305"/>
      <c r="Y305"/>
    </row>
    <row r="306" spans="10:25" s="1" customFormat="1" x14ac:dyDescent="0.2">
      <c r="J306"/>
      <c r="K306"/>
      <c r="L306"/>
      <c r="M306"/>
      <c r="N306"/>
      <c r="O306"/>
      <c r="P306" s="2"/>
      <c r="T306"/>
      <c r="U306"/>
      <c r="V306"/>
      <c r="W306"/>
      <c r="Y306"/>
    </row>
    <row r="307" spans="10:25" s="1" customFormat="1" x14ac:dyDescent="0.2">
      <c r="J307"/>
      <c r="K307"/>
      <c r="L307"/>
      <c r="M307"/>
      <c r="N307"/>
      <c r="O307"/>
      <c r="P307" s="2"/>
      <c r="T307"/>
      <c r="U307"/>
      <c r="V307"/>
      <c r="W307"/>
      <c r="Y307"/>
    </row>
    <row r="308" spans="10:25" s="1" customFormat="1" x14ac:dyDescent="0.2">
      <c r="J308"/>
      <c r="K308"/>
      <c r="L308"/>
      <c r="M308"/>
      <c r="N308"/>
      <c r="O308"/>
      <c r="P308" s="2"/>
      <c r="T308"/>
      <c r="U308"/>
      <c r="V308"/>
      <c r="W308"/>
      <c r="Y308"/>
    </row>
    <row r="309" spans="10:25" s="1" customFormat="1" x14ac:dyDescent="0.2">
      <c r="J309"/>
      <c r="K309"/>
      <c r="L309"/>
      <c r="M309"/>
      <c r="N309"/>
      <c r="O309"/>
      <c r="P309" s="2"/>
      <c r="T309"/>
      <c r="U309"/>
      <c r="V309"/>
      <c r="W309"/>
      <c r="Y309"/>
    </row>
    <row r="310" spans="10:25" s="1" customFormat="1" x14ac:dyDescent="0.2">
      <c r="J310"/>
      <c r="K310"/>
      <c r="L310"/>
      <c r="M310"/>
      <c r="N310"/>
      <c r="O310"/>
      <c r="P310" s="2"/>
      <c r="T310"/>
      <c r="U310"/>
      <c r="V310"/>
      <c r="W310"/>
      <c r="Y310"/>
    </row>
    <row r="311" spans="10:25" s="1" customFormat="1" x14ac:dyDescent="0.2">
      <c r="J311"/>
      <c r="K311"/>
      <c r="L311"/>
      <c r="M311"/>
      <c r="N311"/>
      <c r="O311"/>
      <c r="P311" s="2"/>
      <c r="T311"/>
      <c r="U311"/>
      <c r="V311"/>
      <c r="W311"/>
      <c r="Y311"/>
    </row>
    <row r="312" spans="10:25" s="1" customFormat="1" x14ac:dyDescent="0.2">
      <c r="J312"/>
      <c r="K312"/>
      <c r="L312"/>
      <c r="M312"/>
      <c r="N312"/>
      <c r="O312"/>
      <c r="P312" s="2"/>
      <c r="T312"/>
      <c r="U312"/>
      <c r="V312"/>
      <c r="W312"/>
      <c r="Y312"/>
    </row>
    <row r="313" spans="10:25" s="1" customFormat="1" x14ac:dyDescent="0.2">
      <c r="J313"/>
      <c r="K313"/>
      <c r="L313"/>
      <c r="M313"/>
      <c r="N313"/>
      <c r="O313"/>
      <c r="P313" s="2"/>
      <c r="T313"/>
      <c r="U313"/>
      <c r="V313"/>
      <c r="W313"/>
      <c r="Y313"/>
    </row>
    <row r="314" spans="10:25" s="1" customFormat="1" x14ac:dyDescent="0.2">
      <c r="J314"/>
      <c r="K314"/>
      <c r="L314"/>
      <c r="M314"/>
      <c r="N314"/>
      <c r="O314"/>
      <c r="P314" s="2"/>
      <c r="T314"/>
      <c r="U314"/>
      <c r="V314"/>
      <c r="W314"/>
      <c r="Y314"/>
    </row>
    <row r="315" spans="10:25" s="1" customFormat="1" x14ac:dyDescent="0.2">
      <c r="J315"/>
      <c r="K315"/>
      <c r="L315"/>
      <c r="M315"/>
      <c r="N315"/>
      <c r="O315"/>
      <c r="P315" s="2"/>
      <c r="T315"/>
      <c r="U315"/>
      <c r="V315"/>
      <c r="W315"/>
      <c r="Y315"/>
    </row>
    <row r="316" spans="10:25" s="1" customFormat="1" x14ac:dyDescent="0.2">
      <c r="J316"/>
      <c r="K316"/>
      <c r="L316"/>
      <c r="M316"/>
      <c r="N316"/>
      <c r="O316"/>
      <c r="P316" s="2"/>
      <c r="T316"/>
      <c r="U316"/>
      <c r="V316"/>
      <c r="W316"/>
      <c r="Y316"/>
    </row>
    <row r="317" spans="10:25" s="1" customFormat="1" x14ac:dyDescent="0.2">
      <c r="J317"/>
      <c r="K317"/>
      <c r="L317"/>
      <c r="M317"/>
      <c r="N317"/>
      <c r="O317"/>
      <c r="P317" s="2"/>
      <c r="T317"/>
      <c r="U317"/>
      <c r="V317"/>
      <c r="W317"/>
      <c r="Y317"/>
    </row>
    <row r="318" spans="10:25" s="1" customFormat="1" x14ac:dyDescent="0.2">
      <c r="J318"/>
      <c r="K318"/>
      <c r="L318"/>
      <c r="M318"/>
      <c r="N318"/>
      <c r="O318"/>
      <c r="P318" s="2"/>
      <c r="T318"/>
      <c r="U318"/>
      <c r="V318"/>
      <c r="W318"/>
      <c r="Y318"/>
    </row>
    <row r="319" spans="10:25" s="1" customFormat="1" x14ac:dyDescent="0.2">
      <c r="J319"/>
      <c r="K319"/>
      <c r="L319"/>
      <c r="M319"/>
      <c r="N319"/>
      <c r="O319"/>
      <c r="P319" s="2"/>
      <c r="T319"/>
      <c r="U319"/>
      <c r="V319"/>
      <c r="W319"/>
      <c r="Y319"/>
    </row>
    <row r="320" spans="10:25" s="1" customFormat="1" x14ac:dyDescent="0.2">
      <c r="J320"/>
      <c r="K320"/>
      <c r="L320"/>
      <c r="M320"/>
      <c r="N320"/>
      <c r="O320"/>
      <c r="P320" s="2"/>
      <c r="T320"/>
      <c r="U320"/>
      <c r="V320"/>
      <c r="W320"/>
      <c r="Y320"/>
    </row>
    <row r="321" spans="10:25" s="1" customFormat="1" x14ac:dyDescent="0.2">
      <c r="J321"/>
      <c r="K321"/>
      <c r="L321"/>
      <c r="M321"/>
      <c r="N321"/>
      <c r="O321"/>
      <c r="P321" s="2"/>
      <c r="T321"/>
      <c r="U321"/>
      <c r="V321"/>
      <c r="W321"/>
      <c r="Y321"/>
    </row>
    <row r="322" spans="10:25" s="1" customFormat="1" x14ac:dyDescent="0.2">
      <c r="J322"/>
      <c r="K322"/>
      <c r="L322"/>
      <c r="M322"/>
      <c r="N322"/>
      <c r="O322"/>
      <c r="P322" s="2"/>
      <c r="T322"/>
      <c r="U322"/>
      <c r="V322"/>
      <c r="W322"/>
      <c r="Y322"/>
    </row>
    <row r="323" spans="10:25" s="1" customFormat="1" x14ac:dyDescent="0.2">
      <c r="J323"/>
      <c r="K323"/>
      <c r="L323"/>
      <c r="M323"/>
      <c r="N323"/>
      <c r="O323"/>
      <c r="P323" s="2"/>
      <c r="T323"/>
      <c r="U323"/>
      <c r="V323"/>
      <c r="W323"/>
      <c r="Y323"/>
    </row>
    <row r="324" spans="10:25" s="1" customFormat="1" x14ac:dyDescent="0.2">
      <c r="J324"/>
      <c r="K324"/>
      <c r="L324"/>
      <c r="M324"/>
      <c r="N324"/>
      <c r="O324"/>
      <c r="P324" s="2"/>
      <c r="T324"/>
      <c r="U324"/>
      <c r="V324"/>
      <c r="W324"/>
      <c r="Y324"/>
    </row>
    <row r="325" spans="10:25" s="1" customFormat="1" x14ac:dyDescent="0.2">
      <c r="J325"/>
      <c r="K325"/>
      <c r="L325"/>
      <c r="M325"/>
      <c r="N325"/>
      <c r="O325"/>
      <c r="P325" s="2"/>
      <c r="T325"/>
      <c r="U325"/>
      <c r="V325"/>
      <c r="W325"/>
      <c r="Y325"/>
    </row>
    <row r="326" spans="10:25" s="1" customFormat="1" x14ac:dyDescent="0.2">
      <c r="J326"/>
      <c r="K326"/>
      <c r="L326"/>
      <c r="M326"/>
      <c r="N326"/>
      <c r="O326"/>
      <c r="P326" s="2"/>
      <c r="T326"/>
      <c r="U326"/>
      <c r="V326"/>
      <c r="W326"/>
      <c r="Y326"/>
    </row>
    <row r="327" spans="10:25" s="1" customFormat="1" x14ac:dyDescent="0.2">
      <c r="J327"/>
      <c r="K327"/>
      <c r="L327"/>
      <c r="M327"/>
      <c r="N327"/>
      <c r="O327"/>
      <c r="P327" s="2"/>
      <c r="T327"/>
      <c r="U327"/>
      <c r="V327"/>
      <c r="W327"/>
      <c r="Y327"/>
    </row>
    <row r="328" spans="10:25" s="1" customFormat="1" x14ac:dyDescent="0.2">
      <c r="J328"/>
      <c r="K328"/>
      <c r="L328"/>
      <c r="M328"/>
      <c r="N328"/>
      <c r="O328"/>
      <c r="P328" s="2"/>
      <c r="T328"/>
      <c r="U328"/>
      <c r="V328"/>
      <c r="W328"/>
      <c r="Y328"/>
    </row>
    <row r="329" spans="10:25" s="1" customFormat="1" x14ac:dyDescent="0.2">
      <c r="J329"/>
      <c r="K329"/>
      <c r="L329"/>
      <c r="M329"/>
      <c r="N329"/>
      <c r="O329"/>
      <c r="P329" s="2"/>
      <c r="T329"/>
      <c r="U329"/>
      <c r="V329"/>
      <c r="W329"/>
      <c r="Y329"/>
    </row>
    <row r="330" spans="10:25" s="1" customFormat="1" x14ac:dyDescent="0.2">
      <c r="J330"/>
      <c r="K330"/>
      <c r="L330"/>
      <c r="M330"/>
      <c r="N330"/>
      <c r="O330"/>
      <c r="P330" s="2"/>
      <c r="T330"/>
      <c r="U330"/>
      <c r="V330"/>
      <c r="W330"/>
      <c r="Y330"/>
    </row>
    <row r="331" spans="10:25" s="1" customFormat="1" x14ac:dyDescent="0.2">
      <c r="J331"/>
      <c r="K331"/>
      <c r="L331"/>
      <c r="M331"/>
      <c r="N331"/>
      <c r="O331"/>
      <c r="P331" s="2"/>
      <c r="T331"/>
      <c r="U331"/>
      <c r="V331"/>
      <c r="W331"/>
      <c r="Y331"/>
    </row>
    <row r="332" spans="10:25" s="1" customFormat="1" x14ac:dyDescent="0.2">
      <c r="J332"/>
      <c r="K332"/>
      <c r="L332"/>
      <c r="M332"/>
      <c r="N332"/>
      <c r="O332"/>
      <c r="P332" s="2"/>
      <c r="T332"/>
      <c r="U332"/>
      <c r="V332"/>
      <c r="W332"/>
      <c r="Y332"/>
    </row>
    <row r="333" spans="10:25" s="1" customFormat="1" x14ac:dyDescent="0.2">
      <c r="J333"/>
      <c r="K333"/>
      <c r="L333"/>
      <c r="M333"/>
      <c r="N333"/>
      <c r="O333"/>
      <c r="P333" s="2"/>
      <c r="T333"/>
      <c r="U333"/>
      <c r="V333"/>
      <c r="W333"/>
      <c r="Y333"/>
    </row>
    <row r="334" spans="10:25" s="1" customFormat="1" x14ac:dyDescent="0.2">
      <c r="J334"/>
      <c r="K334"/>
      <c r="L334"/>
      <c r="M334"/>
      <c r="N334"/>
      <c r="O334"/>
      <c r="P334" s="2"/>
      <c r="T334"/>
      <c r="U334"/>
      <c r="V334"/>
      <c r="W334"/>
      <c r="Y334"/>
    </row>
    <row r="335" spans="10:25" s="1" customFormat="1" x14ac:dyDescent="0.2">
      <c r="J335"/>
      <c r="K335"/>
      <c r="L335"/>
      <c r="M335"/>
      <c r="N335"/>
      <c r="O335"/>
      <c r="P335" s="2"/>
      <c r="T335"/>
      <c r="U335"/>
      <c r="V335"/>
      <c r="W335"/>
      <c r="Y335"/>
    </row>
    <row r="336" spans="10:25" s="1" customFormat="1" x14ac:dyDescent="0.2">
      <c r="J336"/>
      <c r="K336"/>
      <c r="L336"/>
      <c r="M336"/>
      <c r="N336"/>
      <c r="O336"/>
      <c r="P336" s="2"/>
      <c r="T336"/>
      <c r="U336"/>
      <c r="V336"/>
      <c r="W336"/>
      <c r="Y336"/>
    </row>
    <row r="337" spans="10:25" s="1" customFormat="1" x14ac:dyDescent="0.2">
      <c r="J337"/>
      <c r="K337"/>
      <c r="L337"/>
      <c r="M337"/>
      <c r="N337"/>
      <c r="O337"/>
      <c r="P337" s="2"/>
      <c r="T337"/>
      <c r="U337"/>
      <c r="V337"/>
      <c r="W337"/>
      <c r="Y337"/>
    </row>
    <row r="338" spans="10:25" s="1" customFormat="1" x14ac:dyDescent="0.2">
      <c r="J338"/>
      <c r="K338"/>
      <c r="L338"/>
      <c r="M338"/>
      <c r="N338"/>
      <c r="O338"/>
      <c r="P338" s="2"/>
      <c r="T338"/>
      <c r="U338"/>
      <c r="V338"/>
      <c r="W338"/>
      <c r="Y338"/>
    </row>
    <row r="339" spans="10:25" s="1" customFormat="1" x14ac:dyDescent="0.2">
      <c r="J339"/>
      <c r="K339"/>
      <c r="L339"/>
      <c r="M339"/>
      <c r="N339"/>
      <c r="O339"/>
      <c r="P339" s="2"/>
      <c r="T339"/>
      <c r="U339"/>
      <c r="V339"/>
      <c r="W339"/>
      <c r="Y339"/>
    </row>
    <row r="340" spans="10:25" s="1" customFormat="1" x14ac:dyDescent="0.2">
      <c r="J340"/>
      <c r="K340"/>
      <c r="L340"/>
      <c r="M340"/>
      <c r="N340"/>
      <c r="O340"/>
      <c r="P340" s="2"/>
      <c r="T340"/>
      <c r="U340"/>
      <c r="V340"/>
      <c r="W340"/>
      <c r="Y340"/>
    </row>
    <row r="341" spans="10:25" s="1" customFormat="1" x14ac:dyDescent="0.2">
      <c r="J341"/>
      <c r="K341"/>
      <c r="L341"/>
      <c r="M341"/>
      <c r="N341"/>
      <c r="O341"/>
      <c r="P341" s="2"/>
      <c r="T341"/>
      <c r="U341"/>
      <c r="V341"/>
      <c r="W341"/>
      <c r="Y341"/>
    </row>
    <row r="342" spans="10:25" s="1" customFormat="1" x14ac:dyDescent="0.2">
      <c r="J342"/>
      <c r="K342"/>
      <c r="L342"/>
      <c r="M342"/>
      <c r="N342"/>
      <c r="O342"/>
      <c r="P342" s="2"/>
      <c r="T342"/>
      <c r="U342"/>
      <c r="V342"/>
      <c r="W342"/>
      <c r="Y342"/>
    </row>
    <row r="343" spans="10:25" s="1" customFormat="1" x14ac:dyDescent="0.2">
      <c r="J343"/>
      <c r="K343"/>
      <c r="L343"/>
      <c r="M343"/>
      <c r="N343"/>
      <c r="O343"/>
      <c r="P343" s="2"/>
      <c r="T343"/>
      <c r="U343"/>
      <c r="V343"/>
      <c r="W343"/>
      <c r="Y343"/>
    </row>
    <row r="344" spans="10:25" s="1" customFormat="1" x14ac:dyDescent="0.2">
      <c r="J344"/>
      <c r="K344"/>
      <c r="L344"/>
      <c r="M344"/>
      <c r="N344"/>
      <c r="O344"/>
      <c r="P344" s="2"/>
      <c r="T344"/>
      <c r="U344"/>
      <c r="V344"/>
      <c r="W344"/>
      <c r="Y344"/>
    </row>
    <row r="345" spans="10:25" s="1" customFormat="1" x14ac:dyDescent="0.2">
      <c r="J345"/>
      <c r="K345"/>
      <c r="L345"/>
      <c r="M345"/>
      <c r="N345"/>
      <c r="O345"/>
      <c r="P345" s="2"/>
      <c r="T345"/>
      <c r="U345"/>
      <c r="V345"/>
      <c r="W345"/>
      <c r="Y345"/>
    </row>
    <row r="346" spans="10:25" s="1" customFormat="1" x14ac:dyDescent="0.2">
      <c r="J346"/>
      <c r="K346"/>
      <c r="L346"/>
      <c r="M346"/>
      <c r="N346"/>
      <c r="O346"/>
      <c r="P346" s="2"/>
      <c r="T346"/>
      <c r="U346"/>
      <c r="V346"/>
      <c r="W346"/>
      <c r="Y346"/>
    </row>
    <row r="347" spans="10:25" s="1" customFormat="1" x14ac:dyDescent="0.2">
      <c r="J347"/>
      <c r="K347"/>
      <c r="L347"/>
      <c r="M347"/>
      <c r="N347"/>
      <c r="O347"/>
      <c r="P347" s="2"/>
      <c r="T347"/>
      <c r="U347"/>
      <c r="V347"/>
      <c r="W347"/>
      <c r="Y347"/>
    </row>
    <row r="348" spans="10:25" s="1" customFormat="1" x14ac:dyDescent="0.2">
      <c r="J348"/>
      <c r="K348"/>
      <c r="L348"/>
      <c r="M348"/>
      <c r="N348"/>
      <c r="O348"/>
      <c r="P348" s="2"/>
      <c r="T348"/>
      <c r="U348"/>
      <c r="V348"/>
      <c r="W348"/>
      <c r="Y348"/>
    </row>
    <row r="349" spans="10:25" s="1" customFormat="1" x14ac:dyDescent="0.2">
      <c r="J349"/>
      <c r="K349"/>
      <c r="L349"/>
      <c r="M349"/>
      <c r="N349"/>
      <c r="O349"/>
      <c r="P349" s="2"/>
      <c r="T349"/>
      <c r="U349"/>
      <c r="V349"/>
      <c r="W349"/>
      <c r="Y349"/>
    </row>
    <row r="350" spans="10:25" s="1" customFormat="1" x14ac:dyDescent="0.2">
      <c r="J350"/>
      <c r="K350"/>
      <c r="L350"/>
      <c r="M350"/>
      <c r="N350"/>
      <c r="O350"/>
      <c r="P350" s="2"/>
      <c r="T350"/>
      <c r="U350"/>
      <c r="V350"/>
      <c r="W350"/>
      <c r="Y350"/>
    </row>
    <row r="351" spans="10:25" s="1" customFormat="1" x14ac:dyDescent="0.2">
      <c r="J351"/>
      <c r="K351"/>
      <c r="L351"/>
      <c r="M351"/>
      <c r="N351"/>
      <c r="O351"/>
      <c r="P351" s="2"/>
      <c r="T351"/>
      <c r="U351"/>
      <c r="V351"/>
      <c r="W351"/>
      <c r="Y351"/>
    </row>
    <row r="352" spans="10:25" s="1" customFormat="1" x14ac:dyDescent="0.2">
      <c r="J352"/>
      <c r="K352"/>
      <c r="L352"/>
      <c r="M352"/>
      <c r="N352"/>
      <c r="O352"/>
      <c r="P352" s="2"/>
      <c r="T352"/>
      <c r="U352"/>
      <c r="V352"/>
      <c r="W352"/>
      <c r="Y352"/>
    </row>
    <row r="353" spans="10:25" s="1" customFormat="1" x14ac:dyDescent="0.2">
      <c r="J353"/>
      <c r="K353"/>
      <c r="L353"/>
      <c r="M353"/>
      <c r="N353"/>
      <c r="O353"/>
      <c r="P353" s="2"/>
      <c r="T353"/>
      <c r="U353"/>
      <c r="V353"/>
      <c r="W353"/>
      <c r="Y353"/>
    </row>
    <row r="354" spans="10:25" s="1" customFormat="1" x14ac:dyDescent="0.2">
      <c r="J354"/>
      <c r="K354"/>
      <c r="L354"/>
      <c r="M354"/>
      <c r="N354"/>
      <c r="O354"/>
      <c r="P354" s="2"/>
      <c r="T354"/>
      <c r="U354"/>
      <c r="V354"/>
      <c r="W354"/>
      <c r="Y354"/>
    </row>
    <row r="355" spans="10:25" s="1" customFormat="1" x14ac:dyDescent="0.2">
      <c r="J355"/>
      <c r="K355"/>
      <c r="L355"/>
      <c r="M355"/>
      <c r="N355"/>
      <c r="O355"/>
      <c r="P355" s="2"/>
      <c r="T355"/>
      <c r="U355"/>
      <c r="V355"/>
      <c r="W355"/>
      <c r="Y355"/>
    </row>
    <row r="356" spans="10:25" s="1" customFormat="1" x14ac:dyDescent="0.2">
      <c r="J356"/>
      <c r="K356"/>
      <c r="L356"/>
      <c r="M356"/>
      <c r="N356"/>
      <c r="O356"/>
      <c r="P356" s="2"/>
      <c r="T356"/>
      <c r="U356"/>
      <c r="V356"/>
      <c r="W356"/>
      <c r="Y356"/>
    </row>
    <row r="357" spans="10:25" s="1" customFormat="1" x14ac:dyDescent="0.2">
      <c r="J357"/>
      <c r="K357"/>
      <c r="L357"/>
      <c r="M357"/>
      <c r="N357"/>
      <c r="O357"/>
      <c r="P357" s="2"/>
      <c r="T357"/>
      <c r="U357"/>
      <c r="V357"/>
      <c r="W357"/>
      <c r="Y357"/>
    </row>
    <row r="358" spans="10:25" s="1" customFormat="1" x14ac:dyDescent="0.2">
      <c r="J358"/>
      <c r="K358"/>
      <c r="L358"/>
      <c r="M358"/>
      <c r="N358"/>
      <c r="O358"/>
      <c r="P358" s="2"/>
      <c r="T358"/>
      <c r="U358"/>
      <c r="V358"/>
      <c r="W358"/>
      <c r="Y358"/>
    </row>
    <row r="359" spans="10:25" s="1" customFormat="1" x14ac:dyDescent="0.2">
      <c r="J359"/>
      <c r="K359"/>
      <c r="L359"/>
      <c r="M359"/>
      <c r="N359"/>
      <c r="O359"/>
      <c r="P359" s="2"/>
      <c r="T359"/>
      <c r="U359"/>
      <c r="V359"/>
      <c r="W359"/>
      <c r="Y359"/>
    </row>
    <row r="360" spans="10:25" s="1" customFormat="1" x14ac:dyDescent="0.2">
      <c r="J360"/>
      <c r="K360"/>
      <c r="L360"/>
      <c r="M360"/>
      <c r="N360"/>
      <c r="O360"/>
      <c r="P360" s="2"/>
      <c r="T360"/>
      <c r="U360"/>
      <c r="V360"/>
      <c r="W360"/>
      <c r="Y360"/>
    </row>
    <row r="361" spans="10:25" s="1" customFormat="1" x14ac:dyDescent="0.2">
      <c r="J361"/>
      <c r="K361"/>
      <c r="L361"/>
      <c r="M361"/>
      <c r="N361"/>
      <c r="O361"/>
      <c r="P361" s="2"/>
      <c r="T361"/>
      <c r="U361"/>
      <c r="V361"/>
      <c r="W361"/>
      <c r="Y361"/>
    </row>
    <row r="362" spans="10:25" s="1" customFormat="1" x14ac:dyDescent="0.2">
      <c r="J362"/>
      <c r="K362"/>
      <c r="L362"/>
      <c r="M362"/>
      <c r="N362"/>
      <c r="O362"/>
      <c r="P362" s="2"/>
      <c r="T362"/>
      <c r="U362"/>
      <c r="V362"/>
      <c r="W362"/>
      <c r="Y362"/>
    </row>
    <row r="363" spans="10:25" s="1" customFormat="1" x14ac:dyDescent="0.2">
      <c r="J363"/>
      <c r="K363"/>
      <c r="L363"/>
      <c r="M363"/>
      <c r="N363"/>
      <c r="O363"/>
      <c r="P363" s="2"/>
      <c r="T363"/>
      <c r="U363"/>
      <c r="V363"/>
      <c r="W363"/>
      <c r="Y363"/>
    </row>
    <row r="364" spans="10:25" s="1" customFormat="1" x14ac:dyDescent="0.2">
      <c r="J364"/>
      <c r="K364"/>
      <c r="L364"/>
      <c r="M364"/>
      <c r="N364"/>
      <c r="O364"/>
      <c r="P364" s="2"/>
      <c r="T364"/>
      <c r="U364"/>
      <c r="V364"/>
      <c r="W364"/>
      <c r="Y364"/>
    </row>
    <row r="365" spans="10:25" s="1" customFormat="1" x14ac:dyDescent="0.2">
      <c r="J365"/>
      <c r="K365"/>
      <c r="L365"/>
      <c r="M365"/>
      <c r="N365"/>
      <c r="O365"/>
      <c r="P365" s="2"/>
      <c r="T365"/>
      <c r="U365"/>
      <c r="V365"/>
      <c r="W365"/>
      <c r="Y365"/>
    </row>
    <row r="366" spans="10:25" s="1" customFormat="1" x14ac:dyDescent="0.2">
      <c r="J366"/>
      <c r="K366"/>
      <c r="L366"/>
      <c r="M366"/>
      <c r="N366"/>
      <c r="O366"/>
      <c r="P366" s="2"/>
      <c r="T366"/>
      <c r="U366"/>
      <c r="V366"/>
      <c r="W366"/>
      <c r="Y366"/>
    </row>
    <row r="367" spans="10:25" s="1" customFormat="1" x14ac:dyDescent="0.2">
      <c r="J367"/>
      <c r="K367"/>
      <c r="L367"/>
      <c r="M367"/>
      <c r="N367"/>
      <c r="O367"/>
      <c r="P367" s="2"/>
      <c r="T367"/>
      <c r="U367"/>
      <c r="V367"/>
      <c r="W367"/>
      <c r="Y367"/>
    </row>
    <row r="368" spans="10:25" s="1" customFormat="1" x14ac:dyDescent="0.2">
      <c r="J368"/>
      <c r="K368"/>
      <c r="L368"/>
      <c r="M368"/>
      <c r="N368"/>
      <c r="O368"/>
      <c r="P368" s="2"/>
      <c r="T368"/>
      <c r="U368"/>
      <c r="V368"/>
      <c r="W368"/>
      <c r="Y368"/>
    </row>
    <row r="369" spans="10:25" s="1" customFormat="1" x14ac:dyDescent="0.2">
      <c r="J369"/>
      <c r="K369"/>
      <c r="L369"/>
      <c r="M369"/>
      <c r="N369"/>
      <c r="O369"/>
      <c r="P369" s="2"/>
      <c r="T369"/>
      <c r="U369"/>
      <c r="V369"/>
      <c r="W369"/>
      <c r="Y369"/>
    </row>
    <row r="370" spans="10:25" s="1" customFormat="1" x14ac:dyDescent="0.2">
      <c r="J370"/>
      <c r="K370"/>
      <c r="L370"/>
      <c r="M370"/>
      <c r="N370"/>
      <c r="O370"/>
      <c r="P370" s="2"/>
      <c r="T370"/>
      <c r="U370"/>
      <c r="V370"/>
      <c r="W370"/>
      <c r="Y370"/>
    </row>
    <row r="371" spans="10:25" s="1" customFormat="1" x14ac:dyDescent="0.2">
      <c r="J371"/>
      <c r="K371"/>
      <c r="L371"/>
      <c r="M371"/>
      <c r="N371"/>
      <c r="O371"/>
      <c r="P371" s="2"/>
      <c r="T371"/>
      <c r="U371"/>
      <c r="V371"/>
      <c r="W371"/>
      <c r="Y371"/>
    </row>
    <row r="372" spans="10:25" s="1" customFormat="1" x14ac:dyDescent="0.2">
      <c r="J372"/>
      <c r="K372"/>
      <c r="L372"/>
      <c r="M372"/>
      <c r="N372"/>
      <c r="O372"/>
      <c r="P372" s="2"/>
      <c r="T372"/>
      <c r="U372"/>
      <c r="V372"/>
      <c r="W372"/>
      <c r="Y372"/>
    </row>
    <row r="373" spans="10:25" s="1" customFormat="1" x14ac:dyDescent="0.2">
      <c r="J373"/>
      <c r="K373"/>
      <c r="L373"/>
      <c r="M373"/>
      <c r="N373"/>
      <c r="O373"/>
      <c r="P373" s="2"/>
      <c r="T373"/>
      <c r="U373"/>
      <c r="V373"/>
      <c r="W373"/>
      <c r="Y373"/>
    </row>
    <row r="374" spans="10:25" s="1" customFormat="1" x14ac:dyDescent="0.2">
      <c r="J374"/>
      <c r="K374"/>
      <c r="L374"/>
      <c r="M374"/>
      <c r="N374"/>
      <c r="O374"/>
      <c r="P374" s="2"/>
      <c r="T374"/>
      <c r="U374"/>
      <c r="V374"/>
      <c r="W374"/>
      <c r="Y374"/>
    </row>
    <row r="375" spans="10:25" s="1" customFormat="1" x14ac:dyDescent="0.2">
      <c r="J375"/>
      <c r="K375"/>
      <c r="L375"/>
      <c r="M375"/>
      <c r="N375"/>
      <c r="O375"/>
      <c r="P375" s="2"/>
      <c r="T375"/>
      <c r="U375"/>
      <c r="V375"/>
      <c r="W375"/>
      <c r="Y375"/>
    </row>
    <row r="376" spans="10:25" s="1" customFormat="1" x14ac:dyDescent="0.2">
      <c r="J376"/>
      <c r="K376"/>
      <c r="L376"/>
      <c r="M376"/>
      <c r="N376"/>
      <c r="O376"/>
      <c r="P376" s="2"/>
      <c r="T376"/>
      <c r="U376"/>
      <c r="V376"/>
      <c r="W376"/>
      <c r="Y376"/>
    </row>
    <row r="377" spans="10:25" s="1" customFormat="1" x14ac:dyDescent="0.2">
      <c r="J377"/>
      <c r="K377"/>
      <c r="L377"/>
      <c r="M377"/>
      <c r="N377"/>
      <c r="O377"/>
      <c r="P377" s="2"/>
      <c r="T377"/>
      <c r="U377"/>
      <c r="V377"/>
      <c r="W377"/>
      <c r="Y377"/>
    </row>
    <row r="378" spans="10:25" s="1" customFormat="1" x14ac:dyDescent="0.2">
      <c r="J378"/>
      <c r="K378"/>
      <c r="L378"/>
      <c r="M378"/>
      <c r="N378"/>
      <c r="O378"/>
      <c r="P378" s="2"/>
      <c r="T378"/>
      <c r="U378"/>
      <c r="V378"/>
      <c r="W378"/>
      <c r="Y378"/>
    </row>
    <row r="379" spans="10:25" s="1" customFormat="1" x14ac:dyDescent="0.2">
      <c r="J379"/>
      <c r="K379"/>
      <c r="L379"/>
      <c r="M379"/>
      <c r="N379"/>
      <c r="O379"/>
      <c r="P379" s="2"/>
      <c r="T379"/>
      <c r="U379"/>
      <c r="V379"/>
      <c r="W379"/>
      <c r="Y379"/>
    </row>
    <row r="380" spans="10:25" s="1" customFormat="1" x14ac:dyDescent="0.2">
      <c r="J380"/>
      <c r="K380"/>
      <c r="L380"/>
      <c r="M380"/>
      <c r="N380"/>
      <c r="O380"/>
      <c r="P380" s="2"/>
      <c r="T380"/>
      <c r="U380"/>
      <c r="V380"/>
      <c r="W380"/>
      <c r="Y380"/>
    </row>
    <row r="381" spans="10:25" s="1" customFormat="1" x14ac:dyDescent="0.2">
      <c r="J381"/>
      <c r="K381"/>
      <c r="L381"/>
      <c r="M381"/>
      <c r="N381"/>
      <c r="O381"/>
      <c r="P381" s="2"/>
      <c r="T381"/>
      <c r="U381"/>
      <c r="V381"/>
      <c r="W381"/>
      <c r="Y381"/>
    </row>
    <row r="382" spans="10:25" s="1" customFormat="1" x14ac:dyDescent="0.2">
      <c r="J382"/>
      <c r="K382"/>
      <c r="L382"/>
      <c r="M382"/>
      <c r="N382"/>
      <c r="O382"/>
      <c r="P382" s="2"/>
      <c r="T382"/>
      <c r="U382"/>
      <c r="V382"/>
      <c r="W382"/>
      <c r="Y382"/>
    </row>
    <row r="383" spans="10:25" s="1" customFormat="1" x14ac:dyDescent="0.2">
      <c r="J383"/>
      <c r="K383"/>
      <c r="L383"/>
      <c r="M383"/>
      <c r="N383"/>
      <c r="O383"/>
      <c r="P383" s="2"/>
      <c r="T383"/>
      <c r="U383"/>
      <c r="V383"/>
      <c r="W383"/>
      <c r="Y383"/>
    </row>
    <row r="384" spans="10:25" s="1" customFormat="1" x14ac:dyDescent="0.2">
      <c r="J384"/>
      <c r="K384"/>
      <c r="L384"/>
      <c r="M384"/>
      <c r="N384"/>
      <c r="O384"/>
      <c r="P384" s="2"/>
      <c r="T384"/>
      <c r="U384"/>
      <c r="V384"/>
      <c r="W384"/>
      <c r="Y384"/>
    </row>
    <row r="385" spans="10:25" s="1" customFormat="1" x14ac:dyDescent="0.2">
      <c r="J385"/>
      <c r="K385"/>
      <c r="L385"/>
      <c r="M385"/>
      <c r="N385"/>
      <c r="O385"/>
      <c r="P385" s="2"/>
      <c r="T385"/>
      <c r="U385"/>
      <c r="V385"/>
      <c r="W385"/>
      <c r="Y385"/>
    </row>
    <row r="386" spans="10:25" s="1" customFormat="1" x14ac:dyDescent="0.2">
      <c r="J386"/>
      <c r="K386"/>
      <c r="L386"/>
      <c r="M386"/>
      <c r="N386"/>
      <c r="O386"/>
      <c r="P386" s="2"/>
      <c r="T386"/>
      <c r="U386"/>
      <c r="V386"/>
      <c r="W386"/>
      <c r="Y386"/>
    </row>
    <row r="387" spans="10:25" s="1" customFormat="1" x14ac:dyDescent="0.2">
      <c r="J387"/>
      <c r="K387"/>
      <c r="L387"/>
      <c r="M387"/>
      <c r="N387"/>
      <c r="O387"/>
      <c r="P387" s="2"/>
      <c r="T387"/>
      <c r="U387"/>
      <c r="V387"/>
      <c r="W387"/>
      <c r="Y387"/>
    </row>
    <row r="388" spans="10:25" s="1" customFormat="1" x14ac:dyDescent="0.2">
      <c r="J388"/>
      <c r="K388"/>
      <c r="L388"/>
      <c r="M388"/>
      <c r="N388"/>
      <c r="O388"/>
      <c r="P388" s="2"/>
      <c r="T388"/>
      <c r="U388"/>
      <c r="V388"/>
      <c r="W388"/>
      <c r="Y388"/>
    </row>
    <row r="389" spans="10:25" s="1" customFormat="1" x14ac:dyDescent="0.2">
      <c r="J389"/>
      <c r="K389"/>
      <c r="L389"/>
      <c r="M389"/>
      <c r="N389"/>
      <c r="O389"/>
      <c r="P389" s="2"/>
      <c r="T389"/>
      <c r="U389"/>
      <c r="V389"/>
      <c r="W389"/>
      <c r="Y389"/>
    </row>
    <row r="390" spans="10:25" s="1" customFormat="1" x14ac:dyDescent="0.2">
      <c r="J390"/>
      <c r="K390"/>
      <c r="L390"/>
      <c r="M390"/>
      <c r="N390"/>
      <c r="O390"/>
      <c r="P390" s="2"/>
      <c r="T390"/>
      <c r="U390"/>
      <c r="V390"/>
      <c r="W390"/>
      <c r="Y390"/>
    </row>
    <row r="391" spans="10:25" s="1" customFormat="1" x14ac:dyDescent="0.2">
      <c r="J391"/>
      <c r="K391"/>
      <c r="L391"/>
      <c r="M391"/>
      <c r="N391"/>
      <c r="O391"/>
      <c r="P391" s="2"/>
      <c r="T391"/>
      <c r="U391"/>
      <c r="V391"/>
      <c r="W391"/>
      <c r="Y391"/>
    </row>
    <row r="392" spans="10:25" s="1" customFormat="1" x14ac:dyDescent="0.2">
      <c r="J392"/>
      <c r="K392"/>
      <c r="L392"/>
      <c r="M392"/>
      <c r="N392"/>
      <c r="O392"/>
      <c r="P392" s="2"/>
      <c r="T392"/>
      <c r="U392"/>
      <c r="V392"/>
      <c r="W392"/>
      <c r="Y392"/>
    </row>
    <row r="393" spans="10:25" s="1" customFormat="1" x14ac:dyDescent="0.2">
      <c r="J393"/>
      <c r="K393"/>
      <c r="L393"/>
      <c r="M393"/>
      <c r="N393"/>
      <c r="O393"/>
      <c r="P393" s="2"/>
      <c r="T393"/>
      <c r="U393"/>
      <c r="V393"/>
      <c r="W393"/>
      <c r="Y393"/>
    </row>
    <row r="394" spans="10:25" s="1" customFormat="1" x14ac:dyDescent="0.2">
      <c r="J394"/>
      <c r="K394"/>
      <c r="L394"/>
      <c r="M394"/>
      <c r="N394"/>
      <c r="O394"/>
      <c r="P394" s="2"/>
      <c r="T394"/>
      <c r="U394"/>
      <c r="V394"/>
      <c r="W394"/>
      <c r="Y394"/>
    </row>
    <row r="395" spans="10:25" s="1" customFormat="1" x14ac:dyDescent="0.2">
      <c r="J395"/>
      <c r="K395"/>
      <c r="L395"/>
      <c r="M395"/>
      <c r="N395"/>
      <c r="O395"/>
      <c r="P395" s="2"/>
      <c r="T395"/>
      <c r="U395"/>
      <c r="V395"/>
      <c r="W395"/>
      <c r="Y395"/>
    </row>
    <row r="396" spans="10:25" s="1" customFormat="1" x14ac:dyDescent="0.2">
      <c r="J396"/>
      <c r="K396"/>
      <c r="L396"/>
      <c r="M396"/>
      <c r="N396"/>
      <c r="O396"/>
      <c r="P396" s="2"/>
      <c r="T396"/>
      <c r="U396"/>
      <c r="V396"/>
      <c r="W396"/>
      <c r="Y396"/>
    </row>
    <row r="397" spans="10:25" s="1" customFormat="1" x14ac:dyDescent="0.2">
      <c r="J397"/>
      <c r="K397"/>
      <c r="L397"/>
      <c r="M397"/>
      <c r="N397"/>
      <c r="O397"/>
      <c r="P397" s="2"/>
      <c r="T397"/>
      <c r="U397"/>
      <c r="V397"/>
      <c r="W397"/>
      <c r="Y397"/>
    </row>
    <row r="398" spans="10:25" s="1" customFormat="1" x14ac:dyDescent="0.2">
      <c r="J398"/>
      <c r="K398"/>
      <c r="L398"/>
      <c r="M398"/>
      <c r="N398"/>
      <c r="O398"/>
      <c r="P398" s="2"/>
      <c r="T398"/>
      <c r="U398"/>
      <c r="V398"/>
      <c r="W398"/>
      <c r="Y398"/>
    </row>
    <row r="399" spans="10:25" s="1" customFormat="1" x14ac:dyDescent="0.2">
      <c r="J399"/>
      <c r="K399"/>
      <c r="L399"/>
      <c r="M399"/>
      <c r="N399"/>
      <c r="O399"/>
      <c r="P399" s="2"/>
      <c r="T399"/>
      <c r="U399"/>
      <c r="V399"/>
      <c r="W399"/>
      <c r="Y399"/>
    </row>
    <row r="400" spans="10:25" s="1" customFormat="1" x14ac:dyDescent="0.2">
      <c r="J400"/>
      <c r="K400"/>
      <c r="L400"/>
      <c r="M400"/>
      <c r="N400"/>
      <c r="O400"/>
      <c r="P400" s="2"/>
      <c r="T400"/>
      <c r="U400"/>
      <c r="V400"/>
      <c r="W400"/>
      <c r="Y400"/>
    </row>
    <row r="401" spans="10:25" s="1" customFormat="1" x14ac:dyDescent="0.2">
      <c r="J401"/>
      <c r="K401"/>
      <c r="L401"/>
      <c r="M401"/>
      <c r="N401"/>
      <c r="O401"/>
      <c r="P401" s="2"/>
      <c r="T401"/>
      <c r="U401"/>
      <c r="V401"/>
      <c r="W401"/>
      <c r="Y401"/>
    </row>
    <row r="402" spans="10:25" s="1" customFormat="1" x14ac:dyDescent="0.2">
      <c r="J402"/>
      <c r="K402"/>
      <c r="L402"/>
      <c r="M402"/>
      <c r="N402"/>
      <c r="O402"/>
      <c r="P402" s="2"/>
      <c r="T402"/>
      <c r="U402"/>
      <c r="V402"/>
      <c r="W402"/>
      <c r="Y402"/>
    </row>
    <row r="403" spans="10:25" s="1" customFormat="1" x14ac:dyDescent="0.2">
      <c r="J403"/>
      <c r="K403"/>
      <c r="L403"/>
      <c r="M403"/>
      <c r="N403"/>
      <c r="O403"/>
      <c r="P403" s="2"/>
      <c r="T403"/>
      <c r="U403"/>
      <c r="V403"/>
      <c r="W403"/>
      <c r="Y403"/>
    </row>
    <row r="404" spans="10:25" s="1" customFormat="1" x14ac:dyDescent="0.2">
      <c r="J404"/>
      <c r="K404"/>
      <c r="L404"/>
      <c r="M404"/>
      <c r="N404"/>
      <c r="O404"/>
      <c r="P404" s="2"/>
      <c r="T404"/>
      <c r="U404"/>
      <c r="V404"/>
      <c r="W404"/>
      <c r="Y404"/>
    </row>
    <row r="405" spans="10:25" s="1" customFormat="1" x14ac:dyDescent="0.2">
      <c r="J405"/>
      <c r="K405"/>
      <c r="L405"/>
      <c r="M405"/>
      <c r="N405"/>
      <c r="O405"/>
      <c r="P405" s="2"/>
      <c r="T405"/>
      <c r="U405"/>
      <c r="V405"/>
      <c r="W405"/>
      <c r="Y405"/>
    </row>
    <row r="406" spans="10:25" s="1" customFormat="1" x14ac:dyDescent="0.2">
      <c r="J406"/>
      <c r="K406"/>
      <c r="L406"/>
      <c r="M406"/>
      <c r="N406"/>
      <c r="O406"/>
      <c r="P406" s="2"/>
      <c r="T406"/>
      <c r="U406"/>
      <c r="V406"/>
      <c r="W406"/>
      <c r="Y406"/>
    </row>
    <row r="407" spans="10:25" s="1" customFormat="1" x14ac:dyDescent="0.2">
      <c r="J407"/>
      <c r="K407"/>
      <c r="L407"/>
      <c r="M407"/>
      <c r="N407"/>
      <c r="O407"/>
      <c r="P407" s="2"/>
      <c r="T407"/>
      <c r="U407"/>
      <c r="V407"/>
      <c r="W407"/>
      <c r="Y407"/>
    </row>
    <row r="408" spans="10:25" s="1" customFormat="1" x14ac:dyDescent="0.2">
      <c r="J408"/>
      <c r="K408"/>
      <c r="L408"/>
      <c r="M408"/>
      <c r="N408"/>
      <c r="O408"/>
      <c r="P408" s="2"/>
      <c r="T408"/>
      <c r="U408"/>
      <c r="V408"/>
      <c r="W408"/>
      <c r="Y408"/>
    </row>
    <row r="409" spans="10:25" s="1" customFormat="1" x14ac:dyDescent="0.2">
      <c r="J409"/>
      <c r="K409"/>
      <c r="L409"/>
      <c r="M409"/>
      <c r="N409"/>
      <c r="O409"/>
      <c r="P409" s="2"/>
      <c r="T409"/>
      <c r="U409"/>
      <c r="V409"/>
      <c r="W409"/>
      <c r="Y409"/>
    </row>
    <row r="410" spans="10:25" s="1" customFormat="1" x14ac:dyDescent="0.2">
      <c r="J410"/>
      <c r="K410"/>
      <c r="L410"/>
      <c r="M410"/>
      <c r="N410"/>
      <c r="O410"/>
      <c r="P410" s="2"/>
      <c r="T410"/>
      <c r="U410"/>
      <c r="V410"/>
      <c r="W410"/>
      <c r="Y410"/>
    </row>
    <row r="411" spans="10:25" s="1" customFormat="1" x14ac:dyDescent="0.2">
      <c r="J411"/>
      <c r="K411"/>
      <c r="L411"/>
      <c r="M411"/>
      <c r="N411"/>
      <c r="O411"/>
      <c r="P411" s="2"/>
      <c r="T411"/>
      <c r="U411"/>
      <c r="V411"/>
      <c r="W411"/>
      <c r="Y411"/>
    </row>
    <row r="412" spans="10:25" s="1" customFormat="1" x14ac:dyDescent="0.2">
      <c r="J412"/>
      <c r="K412"/>
      <c r="L412"/>
      <c r="M412"/>
      <c r="N412"/>
      <c r="O412"/>
      <c r="P412" s="2"/>
      <c r="T412"/>
      <c r="U412"/>
      <c r="V412"/>
      <c r="W412"/>
      <c r="Y412"/>
    </row>
    <row r="413" spans="10:25" s="1" customFormat="1" x14ac:dyDescent="0.2">
      <c r="J413"/>
      <c r="K413"/>
      <c r="L413"/>
      <c r="M413"/>
      <c r="N413"/>
      <c r="O413"/>
      <c r="P413" s="2"/>
      <c r="T413"/>
      <c r="U413"/>
      <c r="V413"/>
      <c r="W413"/>
      <c r="Y413"/>
    </row>
    <row r="414" spans="10:25" s="1" customFormat="1" x14ac:dyDescent="0.2">
      <c r="J414"/>
      <c r="K414"/>
      <c r="L414"/>
      <c r="M414"/>
      <c r="N414"/>
      <c r="O414"/>
      <c r="P414" s="2"/>
      <c r="T414"/>
      <c r="U414"/>
      <c r="V414"/>
      <c r="W414"/>
      <c r="Y414"/>
    </row>
    <row r="415" spans="10:25" s="1" customFormat="1" x14ac:dyDescent="0.2">
      <c r="J415"/>
      <c r="K415"/>
      <c r="L415"/>
      <c r="M415"/>
      <c r="N415"/>
      <c r="O415"/>
      <c r="P415" s="2"/>
      <c r="T415"/>
      <c r="U415"/>
      <c r="V415"/>
      <c r="W415"/>
      <c r="Y415"/>
    </row>
    <row r="416" spans="10:25" s="1" customFormat="1" x14ac:dyDescent="0.2">
      <c r="J416"/>
      <c r="K416"/>
      <c r="L416"/>
      <c r="M416"/>
      <c r="N416"/>
      <c r="O416"/>
      <c r="P416" s="2"/>
      <c r="T416"/>
      <c r="U416"/>
      <c r="V416"/>
      <c r="W416"/>
      <c r="Y416"/>
    </row>
    <row r="417" spans="10:25" s="1" customFormat="1" x14ac:dyDescent="0.2">
      <c r="J417"/>
      <c r="K417"/>
      <c r="L417"/>
      <c r="M417"/>
      <c r="N417"/>
      <c r="O417"/>
      <c r="P417" s="2"/>
      <c r="T417"/>
      <c r="U417"/>
      <c r="V417"/>
      <c r="W417"/>
      <c r="Y417"/>
    </row>
    <row r="418" spans="10:25" s="1" customFormat="1" x14ac:dyDescent="0.2">
      <c r="J418"/>
      <c r="K418"/>
      <c r="L418"/>
      <c r="M418"/>
      <c r="N418"/>
      <c r="O418"/>
      <c r="P418" s="2"/>
      <c r="T418"/>
      <c r="U418"/>
      <c r="V418"/>
      <c r="W418"/>
      <c r="Y418"/>
    </row>
    <row r="419" spans="10:25" s="1" customFormat="1" x14ac:dyDescent="0.2">
      <c r="J419"/>
      <c r="K419"/>
      <c r="L419"/>
      <c r="M419"/>
      <c r="N419"/>
      <c r="O419"/>
      <c r="P419" s="2"/>
      <c r="T419"/>
      <c r="U419"/>
      <c r="V419"/>
      <c r="W419"/>
      <c r="Y419"/>
    </row>
    <row r="420" spans="10:25" s="1" customFormat="1" x14ac:dyDescent="0.2">
      <c r="J420"/>
      <c r="K420"/>
      <c r="L420"/>
      <c r="M420"/>
      <c r="N420"/>
      <c r="O420"/>
      <c r="P420" s="2"/>
      <c r="T420"/>
      <c r="U420"/>
      <c r="V420"/>
      <c r="W420"/>
      <c r="Y420"/>
    </row>
    <row r="421" spans="10:25" s="1" customFormat="1" x14ac:dyDescent="0.2">
      <c r="J421"/>
      <c r="K421"/>
      <c r="L421"/>
      <c r="M421"/>
      <c r="N421"/>
      <c r="O421"/>
      <c r="P421" s="2"/>
      <c r="T421"/>
      <c r="U421"/>
      <c r="V421"/>
      <c r="W421"/>
      <c r="Y421"/>
    </row>
    <row r="422" spans="10:25" s="1" customFormat="1" x14ac:dyDescent="0.2">
      <c r="J422"/>
      <c r="K422"/>
      <c r="L422"/>
      <c r="M422"/>
      <c r="N422"/>
      <c r="O422"/>
      <c r="P422" s="2"/>
      <c r="T422"/>
      <c r="U422"/>
      <c r="V422"/>
      <c r="W422"/>
      <c r="Y422"/>
    </row>
    <row r="423" spans="10:25" s="1" customFormat="1" x14ac:dyDescent="0.2">
      <c r="J423"/>
      <c r="K423"/>
      <c r="L423"/>
      <c r="M423"/>
      <c r="N423"/>
      <c r="O423"/>
      <c r="P423" s="2"/>
      <c r="T423"/>
      <c r="U423"/>
      <c r="V423"/>
      <c r="W423"/>
      <c r="Y423"/>
    </row>
    <row r="424" spans="10:25" s="1" customFormat="1" x14ac:dyDescent="0.2">
      <c r="J424"/>
      <c r="K424"/>
      <c r="L424"/>
      <c r="M424"/>
      <c r="N424"/>
      <c r="O424"/>
      <c r="P424" s="2"/>
      <c r="T424"/>
      <c r="U424"/>
      <c r="V424"/>
      <c r="W424"/>
      <c r="Y424"/>
    </row>
    <row r="425" spans="10:25" s="1" customFormat="1" x14ac:dyDescent="0.2">
      <c r="J425"/>
      <c r="K425"/>
      <c r="L425"/>
      <c r="M425"/>
      <c r="N425"/>
      <c r="O425"/>
      <c r="P425" s="2"/>
      <c r="T425"/>
      <c r="U425"/>
      <c r="V425"/>
      <c r="W425"/>
      <c r="Y425"/>
    </row>
    <row r="426" spans="10:25" s="1" customFormat="1" x14ac:dyDescent="0.2">
      <c r="J426"/>
      <c r="K426"/>
      <c r="L426"/>
      <c r="M426"/>
      <c r="N426"/>
      <c r="O426"/>
      <c r="P426" s="2"/>
      <c r="T426"/>
      <c r="U426"/>
      <c r="V426"/>
      <c r="W426"/>
      <c r="Y426"/>
    </row>
    <row r="427" spans="10:25" s="1" customFormat="1" x14ac:dyDescent="0.2">
      <c r="J427"/>
      <c r="K427"/>
      <c r="L427"/>
      <c r="M427"/>
      <c r="N427"/>
      <c r="O427"/>
      <c r="P427" s="2"/>
      <c r="T427"/>
      <c r="U427"/>
      <c r="V427"/>
      <c r="W427"/>
      <c r="Y427"/>
    </row>
    <row r="428" spans="10:25" s="1" customFormat="1" x14ac:dyDescent="0.2">
      <c r="J428"/>
      <c r="K428"/>
      <c r="L428"/>
      <c r="M428"/>
      <c r="N428"/>
      <c r="O428"/>
      <c r="P428" s="2"/>
      <c r="T428"/>
      <c r="U428"/>
      <c r="V428"/>
      <c r="W428"/>
      <c r="Y428"/>
    </row>
    <row r="429" spans="10:25" s="1" customFormat="1" x14ac:dyDescent="0.2">
      <c r="J429"/>
      <c r="K429"/>
      <c r="L429"/>
      <c r="M429"/>
      <c r="N429"/>
      <c r="O429"/>
      <c r="P429" s="2"/>
      <c r="T429"/>
      <c r="U429"/>
      <c r="V429"/>
      <c r="W429"/>
      <c r="Y429"/>
    </row>
    <row r="430" spans="10:25" s="1" customFormat="1" x14ac:dyDescent="0.2">
      <c r="J430"/>
      <c r="K430"/>
      <c r="L430"/>
      <c r="M430"/>
      <c r="N430"/>
      <c r="O430"/>
      <c r="P430" s="2"/>
      <c r="T430"/>
      <c r="U430"/>
      <c r="V430"/>
      <c r="W430"/>
      <c r="Y430"/>
    </row>
    <row r="431" spans="10:25" s="1" customFormat="1" x14ac:dyDescent="0.2">
      <c r="J431"/>
      <c r="K431"/>
      <c r="L431"/>
      <c r="M431"/>
      <c r="N431"/>
      <c r="O431"/>
      <c r="P431" s="2"/>
      <c r="T431"/>
      <c r="U431"/>
      <c r="V431"/>
      <c r="W431"/>
      <c r="Y431"/>
    </row>
    <row r="432" spans="10:25" s="1" customFormat="1" x14ac:dyDescent="0.2">
      <c r="J432"/>
      <c r="K432"/>
      <c r="L432"/>
      <c r="M432"/>
      <c r="N432"/>
      <c r="O432"/>
      <c r="P432" s="2"/>
      <c r="T432"/>
      <c r="U432"/>
      <c r="V432"/>
      <c r="W432"/>
      <c r="Y432"/>
    </row>
    <row r="433" spans="10:25" s="1" customFormat="1" x14ac:dyDescent="0.2">
      <c r="J433"/>
      <c r="K433"/>
      <c r="L433"/>
      <c r="M433"/>
      <c r="N433"/>
      <c r="O433"/>
      <c r="P433" s="2"/>
      <c r="T433"/>
      <c r="U433"/>
      <c r="V433"/>
      <c r="W433"/>
      <c r="Y433"/>
    </row>
    <row r="434" spans="10:25" s="1" customFormat="1" x14ac:dyDescent="0.2">
      <c r="J434"/>
      <c r="K434"/>
      <c r="L434"/>
      <c r="M434"/>
      <c r="N434"/>
      <c r="O434"/>
      <c r="P434" s="2"/>
      <c r="T434"/>
      <c r="U434"/>
      <c r="V434"/>
      <c r="W434"/>
      <c r="Y434"/>
    </row>
    <row r="435" spans="10:25" s="1" customFormat="1" x14ac:dyDescent="0.2">
      <c r="J435"/>
      <c r="K435"/>
      <c r="L435"/>
      <c r="M435"/>
      <c r="N435"/>
      <c r="O435"/>
      <c r="P435" s="2"/>
      <c r="T435"/>
      <c r="U435"/>
      <c r="V435"/>
      <c r="W435"/>
      <c r="Y435"/>
    </row>
    <row r="436" spans="10:25" s="1" customFormat="1" x14ac:dyDescent="0.2">
      <c r="J436"/>
      <c r="K436"/>
      <c r="L436"/>
      <c r="M436"/>
      <c r="N436"/>
      <c r="O436"/>
      <c r="P436" s="2"/>
      <c r="T436"/>
      <c r="U436"/>
      <c r="V436"/>
      <c r="W436"/>
      <c r="Y436"/>
    </row>
    <row r="437" spans="10:25" s="1" customFormat="1" x14ac:dyDescent="0.2">
      <c r="J437"/>
      <c r="K437"/>
      <c r="L437"/>
      <c r="M437"/>
      <c r="N437"/>
      <c r="O437"/>
      <c r="P437" s="2"/>
      <c r="T437"/>
      <c r="U437"/>
      <c r="V437"/>
      <c r="W437"/>
      <c r="Y437"/>
    </row>
    <row r="438" spans="10:25" s="1" customFormat="1" x14ac:dyDescent="0.2">
      <c r="J438"/>
      <c r="K438"/>
      <c r="L438"/>
      <c r="M438"/>
      <c r="N438"/>
      <c r="O438"/>
      <c r="P438" s="2"/>
      <c r="T438"/>
      <c r="U438"/>
      <c r="V438"/>
      <c r="W438"/>
      <c r="Y438"/>
    </row>
    <row r="439" spans="10:25" s="1" customFormat="1" x14ac:dyDescent="0.2">
      <c r="J439"/>
      <c r="K439"/>
      <c r="L439"/>
      <c r="M439"/>
      <c r="N439"/>
      <c r="O439"/>
      <c r="P439" s="2"/>
      <c r="T439"/>
      <c r="U439"/>
      <c r="V439"/>
      <c r="W439"/>
      <c r="Y439"/>
    </row>
    <row r="440" spans="10:25" s="1" customFormat="1" x14ac:dyDescent="0.2">
      <c r="J440"/>
      <c r="K440"/>
      <c r="L440"/>
      <c r="M440"/>
      <c r="N440"/>
      <c r="O440"/>
      <c r="P440" s="2"/>
      <c r="T440"/>
      <c r="U440"/>
      <c r="V440"/>
      <c r="W440"/>
      <c r="Y440"/>
    </row>
    <row r="441" spans="10:25" s="1" customFormat="1" x14ac:dyDescent="0.2">
      <c r="J441"/>
      <c r="K441"/>
      <c r="L441"/>
      <c r="M441"/>
      <c r="N441"/>
      <c r="O441"/>
      <c r="P441" s="2"/>
      <c r="T441"/>
      <c r="U441"/>
      <c r="V441"/>
      <c r="W441"/>
      <c r="Y441"/>
    </row>
    <row r="442" spans="10:25" s="1" customFormat="1" x14ac:dyDescent="0.2">
      <c r="J442"/>
      <c r="K442"/>
      <c r="L442"/>
      <c r="M442"/>
      <c r="N442"/>
      <c r="O442"/>
      <c r="P442" s="2"/>
      <c r="T442"/>
      <c r="U442"/>
      <c r="V442"/>
      <c r="W442"/>
      <c r="Y442"/>
    </row>
    <row r="443" spans="10:25" s="1" customFormat="1" x14ac:dyDescent="0.2">
      <c r="J443"/>
      <c r="K443"/>
      <c r="L443"/>
      <c r="M443"/>
      <c r="N443"/>
      <c r="O443"/>
      <c r="P443" s="2"/>
      <c r="T443"/>
      <c r="U443"/>
      <c r="V443"/>
      <c r="W443"/>
      <c r="Y443"/>
    </row>
    <row r="444" spans="10:25" s="1" customFormat="1" x14ac:dyDescent="0.2">
      <c r="J444"/>
      <c r="K444"/>
      <c r="L444"/>
      <c r="M444"/>
      <c r="N444"/>
      <c r="O444"/>
      <c r="P444" s="2"/>
      <c r="T444"/>
      <c r="U444"/>
      <c r="V444"/>
      <c r="W444"/>
      <c r="Y444"/>
    </row>
    <row r="445" spans="10:25" s="1" customFormat="1" x14ac:dyDescent="0.2">
      <c r="J445"/>
      <c r="K445"/>
      <c r="L445"/>
      <c r="M445"/>
      <c r="N445"/>
      <c r="O445"/>
      <c r="P445" s="2"/>
      <c r="T445"/>
      <c r="U445"/>
      <c r="V445"/>
      <c r="W445"/>
      <c r="Y445"/>
    </row>
    <row r="446" spans="10:25" s="1" customFormat="1" x14ac:dyDescent="0.2">
      <c r="J446"/>
      <c r="K446"/>
      <c r="L446"/>
      <c r="M446"/>
      <c r="N446"/>
      <c r="O446"/>
      <c r="P446" s="2"/>
      <c r="T446"/>
      <c r="U446"/>
      <c r="V446"/>
      <c r="W446"/>
      <c r="Y446"/>
    </row>
    <row r="447" spans="10:25" s="1" customFormat="1" x14ac:dyDescent="0.2">
      <c r="J447"/>
      <c r="K447"/>
      <c r="L447"/>
      <c r="M447"/>
      <c r="N447"/>
      <c r="O447"/>
      <c r="P447" s="2"/>
      <c r="T447"/>
      <c r="U447"/>
      <c r="V447"/>
      <c r="W447"/>
      <c r="Y447"/>
    </row>
    <row r="448" spans="10:25" s="1" customFormat="1" x14ac:dyDescent="0.2">
      <c r="J448"/>
      <c r="K448"/>
      <c r="L448"/>
      <c r="M448"/>
      <c r="N448"/>
      <c r="O448"/>
      <c r="P448" s="2"/>
      <c r="T448"/>
      <c r="U448"/>
      <c r="V448"/>
      <c r="W448"/>
      <c r="Y448"/>
    </row>
    <row r="449" spans="10:25" s="1" customFormat="1" x14ac:dyDescent="0.2">
      <c r="J449"/>
      <c r="K449"/>
      <c r="L449"/>
      <c r="M449"/>
      <c r="N449"/>
      <c r="O449"/>
      <c r="P449" s="2"/>
      <c r="T449"/>
      <c r="U449"/>
      <c r="V449"/>
      <c r="W449"/>
      <c r="Y449"/>
    </row>
    <row r="450" spans="10:25" s="1" customFormat="1" x14ac:dyDescent="0.2">
      <c r="J450"/>
      <c r="K450"/>
      <c r="L450"/>
      <c r="M450"/>
      <c r="N450"/>
      <c r="O450"/>
      <c r="P450" s="2"/>
      <c r="T450"/>
      <c r="U450"/>
      <c r="V450"/>
      <c r="W450"/>
      <c r="Y450"/>
    </row>
    <row r="451" spans="10:25" s="1" customFormat="1" x14ac:dyDescent="0.2">
      <c r="J451"/>
      <c r="K451"/>
      <c r="L451"/>
      <c r="M451"/>
      <c r="N451"/>
      <c r="O451"/>
      <c r="P451" s="2"/>
      <c r="T451"/>
      <c r="U451"/>
      <c r="V451"/>
      <c r="W451"/>
      <c r="Y451"/>
    </row>
    <row r="452" spans="10:25" s="1" customFormat="1" x14ac:dyDescent="0.2">
      <c r="J452"/>
      <c r="K452"/>
      <c r="L452"/>
      <c r="M452"/>
      <c r="N452"/>
      <c r="O452"/>
      <c r="P452" s="2"/>
      <c r="T452"/>
      <c r="U452"/>
      <c r="V452"/>
      <c r="W452"/>
      <c r="Y452"/>
    </row>
    <row r="453" spans="10:25" s="1" customFormat="1" x14ac:dyDescent="0.2">
      <c r="J453"/>
      <c r="K453"/>
      <c r="L453"/>
      <c r="M453"/>
      <c r="N453"/>
      <c r="O453"/>
      <c r="P453" s="2"/>
      <c r="T453"/>
      <c r="U453"/>
      <c r="V453"/>
      <c r="W453"/>
      <c r="Y453"/>
    </row>
    <row r="454" spans="10:25" s="1" customFormat="1" x14ac:dyDescent="0.2">
      <c r="J454"/>
      <c r="K454"/>
      <c r="L454"/>
      <c r="M454"/>
      <c r="N454"/>
      <c r="O454"/>
      <c r="P454" s="2"/>
      <c r="T454"/>
      <c r="U454"/>
      <c r="V454"/>
      <c r="W454"/>
      <c r="Y454"/>
    </row>
    <row r="455" spans="10:25" s="1" customFormat="1" x14ac:dyDescent="0.2">
      <c r="J455"/>
      <c r="K455"/>
      <c r="L455"/>
      <c r="M455"/>
      <c r="N455"/>
      <c r="O455"/>
      <c r="P455" s="2"/>
      <c r="T455"/>
      <c r="U455"/>
      <c r="V455"/>
      <c r="W455"/>
      <c r="Y455"/>
    </row>
    <row r="456" spans="10:25" s="1" customFormat="1" x14ac:dyDescent="0.2">
      <c r="J456"/>
      <c r="K456"/>
      <c r="L456"/>
      <c r="M456"/>
      <c r="N456"/>
      <c r="O456"/>
      <c r="P456" s="2"/>
      <c r="T456"/>
      <c r="U456"/>
      <c r="V456"/>
      <c r="W456"/>
      <c r="Y456"/>
    </row>
    <row r="457" spans="10:25" s="1" customFormat="1" x14ac:dyDescent="0.2">
      <c r="J457"/>
      <c r="K457"/>
      <c r="L457"/>
      <c r="M457"/>
      <c r="N457"/>
      <c r="O457"/>
      <c r="P457" s="2"/>
      <c r="T457"/>
      <c r="U457"/>
      <c r="V457"/>
      <c r="W457"/>
      <c r="Y457"/>
    </row>
    <row r="458" spans="10:25" s="1" customFormat="1" x14ac:dyDescent="0.2">
      <c r="J458"/>
      <c r="K458"/>
      <c r="L458"/>
      <c r="M458"/>
      <c r="N458"/>
      <c r="O458"/>
      <c r="P458" s="2"/>
      <c r="T458"/>
      <c r="U458"/>
      <c r="V458"/>
      <c r="W458"/>
      <c r="Y458"/>
    </row>
    <row r="459" spans="10:25" s="1" customFormat="1" x14ac:dyDescent="0.2">
      <c r="J459"/>
      <c r="K459"/>
      <c r="L459"/>
      <c r="M459"/>
      <c r="N459"/>
      <c r="O459"/>
      <c r="P459" s="2"/>
      <c r="T459"/>
      <c r="U459"/>
      <c r="V459"/>
      <c r="W459"/>
      <c r="Y459"/>
    </row>
    <row r="460" spans="10:25" s="1" customFormat="1" x14ac:dyDescent="0.2">
      <c r="J460"/>
      <c r="K460"/>
      <c r="L460"/>
      <c r="M460"/>
      <c r="N460"/>
      <c r="O460"/>
      <c r="P460" s="2"/>
      <c r="T460"/>
      <c r="U460"/>
      <c r="V460"/>
      <c r="W460"/>
      <c r="Y460"/>
    </row>
    <row r="461" spans="10:25" s="1" customFormat="1" x14ac:dyDescent="0.2">
      <c r="J461"/>
      <c r="K461"/>
      <c r="L461"/>
      <c r="M461"/>
      <c r="N461"/>
      <c r="O461"/>
      <c r="P461" s="2"/>
      <c r="T461"/>
      <c r="U461"/>
      <c r="V461"/>
      <c r="W461"/>
      <c r="Y461"/>
    </row>
    <row r="462" spans="10:25" s="1" customFormat="1" x14ac:dyDescent="0.2">
      <c r="J462"/>
      <c r="K462"/>
      <c r="L462"/>
      <c r="M462"/>
      <c r="N462"/>
      <c r="O462"/>
      <c r="P462" s="2"/>
      <c r="T462"/>
      <c r="U462"/>
      <c r="V462"/>
      <c r="W462"/>
      <c r="Y462"/>
    </row>
    <row r="463" spans="10:25" s="1" customFormat="1" x14ac:dyDescent="0.2">
      <c r="J463"/>
      <c r="K463"/>
      <c r="L463"/>
      <c r="M463"/>
      <c r="N463"/>
      <c r="O463"/>
      <c r="P463" s="2"/>
      <c r="T463"/>
      <c r="U463"/>
      <c r="V463"/>
      <c r="W463"/>
      <c r="Y463"/>
    </row>
    <row r="464" spans="10:25" s="1" customFormat="1" x14ac:dyDescent="0.2">
      <c r="J464"/>
      <c r="K464"/>
      <c r="L464"/>
      <c r="M464"/>
      <c r="N464"/>
      <c r="O464"/>
      <c r="P464" s="2"/>
      <c r="T464"/>
      <c r="U464"/>
      <c r="V464"/>
      <c r="W464"/>
      <c r="Y464"/>
    </row>
    <row r="465" spans="10:25" s="1" customFormat="1" x14ac:dyDescent="0.2">
      <c r="J465"/>
      <c r="K465"/>
      <c r="L465"/>
      <c r="M465"/>
      <c r="N465"/>
      <c r="O465"/>
      <c r="P465" s="2"/>
      <c r="T465"/>
      <c r="U465"/>
      <c r="V465"/>
      <c r="W465"/>
      <c r="Y465"/>
    </row>
    <row r="466" spans="10:25" s="1" customFormat="1" x14ac:dyDescent="0.2">
      <c r="J466"/>
      <c r="K466"/>
      <c r="L466"/>
      <c r="M466"/>
      <c r="N466"/>
      <c r="O466"/>
      <c r="P466" s="2"/>
      <c r="T466"/>
      <c r="U466"/>
      <c r="V466"/>
      <c r="W466"/>
      <c r="Y466"/>
    </row>
    <row r="467" spans="10:25" s="1" customFormat="1" x14ac:dyDescent="0.2">
      <c r="J467"/>
      <c r="K467"/>
      <c r="L467"/>
      <c r="M467"/>
      <c r="N467"/>
      <c r="O467"/>
      <c r="P467" s="2"/>
      <c r="T467"/>
      <c r="U467"/>
      <c r="V467"/>
      <c r="W467"/>
      <c r="Y467"/>
    </row>
    <row r="468" spans="10:25" s="1" customFormat="1" x14ac:dyDescent="0.2">
      <c r="J468"/>
      <c r="K468"/>
      <c r="L468"/>
      <c r="M468"/>
      <c r="N468"/>
      <c r="O468"/>
      <c r="P468" s="2"/>
      <c r="T468"/>
      <c r="U468"/>
      <c r="V468"/>
      <c r="W468"/>
      <c r="Y468"/>
    </row>
    <row r="469" spans="10:25" s="1" customFormat="1" x14ac:dyDescent="0.2">
      <c r="J469"/>
      <c r="K469"/>
      <c r="L469"/>
      <c r="M469"/>
      <c r="N469"/>
      <c r="O469"/>
      <c r="P469" s="2"/>
      <c r="T469"/>
      <c r="U469"/>
      <c r="V469"/>
      <c r="W469"/>
      <c r="Y469"/>
    </row>
    <row r="470" spans="10:25" s="1" customFormat="1" x14ac:dyDescent="0.2">
      <c r="J470"/>
      <c r="K470"/>
      <c r="L470"/>
      <c r="M470"/>
      <c r="N470"/>
      <c r="O470"/>
      <c r="P470" s="2"/>
      <c r="T470"/>
      <c r="U470"/>
      <c r="V470"/>
      <c r="W470"/>
      <c r="Y470"/>
    </row>
    <row r="471" spans="10:25" s="1" customFormat="1" x14ac:dyDescent="0.2">
      <c r="J471"/>
      <c r="K471"/>
      <c r="L471"/>
      <c r="M471"/>
      <c r="N471"/>
      <c r="O471"/>
      <c r="P471" s="2"/>
      <c r="T471"/>
      <c r="U471"/>
      <c r="V471"/>
      <c r="W471"/>
      <c r="Y471"/>
    </row>
    <row r="472" spans="10:25" s="1" customFormat="1" x14ac:dyDescent="0.2">
      <c r="J472"/>
      <c r="K472"/>
      <c r="L472"/>
      <c r="M472"/>
      <c r="N472"/>
      <c r="O472"/>
      <c r="P472" s="2"/>
      <c r="T472"/>
      <c r="U472"/>
      <c r="V472"/>
      <c r="W472"/>
      <c r="Y472"/>
    </row>
    <row r="473" spans="10:25" s="1" customFormat="1" x14ac:dyDescent="0.2">
      <c r="J473"/>
      <c r="K473"/>
      <c r="L473"/>
      <c r="M473"/>
      <c r="N473"/>
      <c r="O473"/>
      <c r="P473" s="2"/>
      <c r="T473"/>
      <c r="U473"/>
      <c r="V473"/>
      <c r="W473"/>
      <c r="Y473"/>
    </row>
    <row r="474" spans="10:25" s="1" customFormat="1" x14ac:dyDescent="0.2">
      <c r="J474"/>
      <c r="K474"/>
      <c r="L474"/>
      <c r="M474"/>
      <c r="N474"/>
      <c r="O474"/>
      <c r="P474" s="2"/>
      <c r="T474"/>
      <c r="U474"/>
      <c r="V474"/>
      <c r="W474"/>
      <c r="Y474"/>
    </row>
    <row r="475" spans="10:25" s="1" customFormat="1" x14ac:dyDescent="0.2">
      <c r="J475"/>
      <c r="K475"/>
      <c r="L475"/>
      <c r="M475"/>
      <c r="N475"/>
      <c r="O475"/>
      <c r="P475" s="2"/>
      <c r="T475"/>
      <c r="U475"/>
      <c r="V475"/>
      <c r="W475"/>
      <c r="Y475"/>
    </row>
    <row r="476" spans="10:25" s="1" customFormat="1" x14ac:dyDescent="0.2">
      <c r="J476"/>
      <c r="K476"/>
      <c r="L476"/>
      <c r="M476"/>
      <c r="N476"/>
      <c r="O476"/>
      <c r="P476" s="2"/>
      <c r="T476"/>
      <c r="U476"/>
      <c r="V476"/>
      <c r="W476"/>
      <c r="Y476"/>
    </row>
    <row r="477" spans="10:25" s="1" customFormat="1" x14ac:dyDescent="0.2">
      <c r="J477"/>
      <c r="K477"/>
      <c r="L477"/>
      <c r="M477"/>
      <c r="N477"/>
      <c r="O477"/>
      <c r="P477" s="2"/>
      <c r="T477"/>
      <c r="U477"/>
      <c r="V477"/>
      <c r="W477"/>
      <c r="Y477"/>
    </row>
    <row r="478" spans="10:25" s="1" customFormat="1" x14ac:dyDescent="0.2">
      <c r="J478"/>
      <c r="K478"/>
      <c r="L478"/>
      <c r="M478"/>
      <c r="N478"/>
      <c r="O478"/>
      <c r="P478" s="2"/>
      <c r="T478"/>
      <c r="U478"/>
      <c r="V478"/>
      <c r="W478"/>
      <c r="Y478"/>
    </row>
    <row r="479" spans="10:25" s="1" customFormat="1" x14ac:dyDescent="0.2">
      <c r="J479"/>
      <c r="K479"/>
      <c r="L479"/>
      <c r="M479"/>
      <c r="N479"/>
      <c r="O479"/>
      <c r="P479" s="2"/>
      <c r="T479"/>
      <c r="U479"/>
      <c r="V479"/>
      <c r="W479"/>
      <c r="Y479"/>
    </row>
    <row r="480" spans="10:25" s="1" customFormat="1" x14ac:dyDescent="0.2">
      <c r="J480"/>
      <c r="K480"/>
      <c r="L480"/>
      <c r="M480"/>
      <c r="N480"/>
      <c r="O480"/>
      <c r="P480" s="2"/>
      <c r="T480"/>
      <c r="U480"/>
      <c r="V480"/>
      <c r="W480"/>
      <c r="Y480"/>
    </row>
    <row r="481" spans="10:25" s="1" customFormat="1" x14ac:dyDescent="0.2">
      <c r="J481"/>
      <c r="K481"/>
      <c r="L481"/>
      <c r="M481"/>
      <c r="N481"/>
      <c r="O481"/>
      <c r="P481" s="2"/>
      <c r="T481"/>
      <c r="U481"/>
      <c r="V481"/>
      <c r="W481"/>
      <c r="Y481"/>
    </row>
    <row r="482" spans="10:25" s="1" customFormat="1" x14ac:dyDescent="0.2">
      <c r="J482"/>
      <c r="K482"/>
      <c r="L482"/>
      <c r="M482"/>
      <c r="N482"/>
      <c r="O482"/>
      <c r="P482" s="2"/>
      <c r="T482"/>
      <c r="U482"/>
      <c r="V482"/>
      <c r="W482"/>
      <c r="Y482"/>
    </row>
    <row r="483" spans="10:25" s="1" customFormat="1" x14ac:dyDescent="0.2">
      <c r="J483"/>
      <c r="K483"/>
      <c r="L483"/>
      <c r="M483"/>
      <c r="N483"/>
      <c r="O483"/>
      <c r="P483" s="2"/>
      <c r="T483"/>
      <c r="U483"/>
      <c r="V483"/>
      <c r="W483"/>
      <c r="Y483"/>
    </row>
    <row r="484" spans="10:25" s="1" customFormat="1" x14ac:dyDescent="0.2">
      <c r="J484"/>
      <c r="K484"/>
      <c r="L484"/>
      <c r="M484"/>
      <c r="N484"/>
      <c r="O484"/>
      <c r="P484" s="2"/>
      <c r="T484"/>
      <c r="U484"/>
      <c r="V484"/>
      <c r="W484"/>
      <c r="Y484"/>
    </row>
    <row r="485" spans="10:25" s="1" customFormat="1" x14ac:dyDescent="0.2">
      <c r="J485"/>
      <c r="K485"/>
      <c r="L485"/>
      <c r="M485"/>
      <c r="N485"/>
      <c r="O485"/>
      <c r="P485" s="2"/>
      <c r="T485"/>
      <c r="U485"/>
      <c r="V485"/>
      <c r="W485"/>
      <c r="Y485"/>
    </row>
    <row r="486" spans="10:25" s="1" customFormat="1" x14ac:dyDescent="0.2">
      <c r="J486"/>
      <c r="K486"/>
      <c r="L486"/>
      <c r="M486"/>
      <c r="N486"/>
      <c r="O486"/>
      <c r="P486" s="2"/>
      <c r="T486"/>
      <c r="U486"/>
      <c r="V486"/>
      <c r="W486"/>
      <c r="Y486"/>
    </row>
    <row r="487" spans="10:25" s="1" customFormat="1" x14ac:dyDescent="0.2">
      <c r="J487"/>
      <c r="K487"/>
      <c r="L487"/>
      <c r="M487"/>
      <c r="N487"/>
      <c r="O487"/>
      <c r="P487" s="2"/>
      <c r="T487"/>
      <c r="U487"/>
      <c r="V487"/>
      <c r="W487"/>
      <c r="Y487"/>
    </row>
    <row r="488" spans="10:25" s="1" customFormat="1" x14ac:dyDescent="0.2">
      <c r="J488"/>
      <c r="K488"/>
      <c r="L488"/>
      <c r="M488"/>
      <c r="N488"/>
      <c r="O488"/>
      <c r="P488" s="2"/>
      <c r="T488"/>
      <c r="U488"/>
      <c r="V488"/>
      <c r="W488"/>
      <c r="Y488"/>
    </row>
    <row r="489" spans="10:25" s="1" customFormat="1" x14ac:dyDescent="0.2">
      <c r="J489"/>
      <c r="K489"/>
      <c r="L489"/>
      <c r="M489"/>
      <c r="N489"/>
      <c r="O489"/>
      <c r="P489" s="2"/>
      <c r="T489"/>
      <c r="U489"/>
      <c r="V489"/>
      <c r="W489"/>
      <c r="Y489"/>
    </row>
    <row r="490" spans="10:25" s="1" customFormat="1" x14ac:dyDescent="0.2">
      <c r="J490"/>
      <c r="K490"/>
      <c r="L490"/>
      <c r="M490"/>
      <c r="N490"/>
      <c r="O490"/>
      <c r="P490" s="2"/>
      <c r="T490"/>
      <c r="U490"/>
      <c r="V490"/>
      <c r="W490"/>
      <c r="Y490"/>
    </row>
    <row r="491" spans="10:25" s="1" customFormat="1" x14ac:dyDescent="0.2">
      <c r="J491"/>
      <c r="K491"/>
      <c r="L491"/>
      <c r="M491"/>
      <c r="N491"/>
      <c r="O491"/>
      <c r="P491" s="2"/>
      <c r="T491"/>
      <c r="U491"/>
      <c r="V491"/>
      <c r="W491"/>
      <c r="Y491"/>
    </row>
    <row r="492" spans="10:25" s="1" customFormat="1" x14ac:dyDescent="0.2">
      <c r="J492"/>
      <c r="K492"/>
      <c r="L492"/>
      <c r="M492"/>
      <c r="N492"/>
      <c r="O492"/>
      <c r="P492" s="2"/>
      <c r="T492"/>
      <c r="U492"/>
      <c r="V492"/>
      <c r="W492"/>
      <c r="Y492"/>
    </row>
    <row r="493" spans="10:25" s="1" customFormat="1" x14ac:dyDescent="0.2">
      <c r="J493"/>
      <c r="K493"/>
      <c r="L493"/>
      <c r="M493"/>
      <c r="N493"/>
      <c r="O493"/>
      <c r="P493" s="2"/>
      <c r="T493"/>
      <c r="U493"/>
      <c r="V493"/>
      <c r="W493"/>
      <c r="Y493"/>
    </row>
    <row r="494" spans="10:25" s="1" customFormat="1" x14ac:dyDescent="0.2">
      <c r="J494"/>
      <c r="K494"/>
      <c r="L494"/>
      <c r="M494"/>
      <c r="N494"/>
      <c r="O494"/>
      <c r="P494" s="2"/>
      <c r="T494"/>
      <c r="U494"/>
      <c r="V494"/>
      <c r="W494"/>
      <c r="Y494"/>
    </row>
    <row r="495" spans="10:25" s="1" customFormat="1" x14ac:dyDescent="0.2">
      <c r="J495"/>
      <c r="K495"/>
      <c r="L495"/>
      <c r="M495"/>
      <c r="N495"/>
      <c r="O495"/>
      <c r="P495" s="2"/>
      <c r="T495"/>
      <c r="U495"/>
      <c r="V495"/>
      <c r="W495"/>
      <c r="Y495"/>
    </row>
    <row r="496" spans="10:25" s="1" customFormat="1" x14ac:dyDescent="0.2">
      <c r="J496"/>
      <c r="K496"/>
      <c r="L496"/>
      <c r="M496"/>
      <c r="N496"/>
      <c r="O496"/>
      <c r="P496" s="2"/>
      <c r="T496"/>
      <c r="U496"/>
      <c r="V496"/>
      <c r="W496"/>
      <c r="Y496"/>
    </row>
    <row r="497" spans="10:25" s="1" customFormat="1" x14ac:dyDescent="0.2">
      <c r="J497"/>
      <c r="K497"/>
      <c r="L497"/>
      <c r="M497"/>
      <c r="N497"/>
      <c r="O497"/>
      <c r="P497" s="2"/>
      <c r="T497"/>
      <c r="U497"/>
      <c r="V497"/>
      <c r="W497"/>
      <c r="Y497"/>
    </row>
    <row r="498" spans="10:25" s="1" customFormat="1" x14ac:dyDescent="0.2">
      <c r="J498"/>
      <c r="K498"/>
      <c r="L498"/>
      <c r="M498"/>
      <c r="N498"/>
      <c r="O498"/>
      <c r="P498" s="2"/>
      <c r="T498"/>
      <c r="U498"/>
      <c r="V498"/>
      <c r="W498"/>
      <c r="Y498"/>
    </row>
    <row r="499" spans="10:25" s="1" customFormat="1" x14ac:dyDescent="0.2">
      <c r="J499"/>
      <c r="K499"/>
      <c r="L499"/>
      <c r="M499"/>
      <c r="N499"/>
      <c r="O499"/>
      <c r="P499" s="2"/>
      <c r="T499"/>
      <c r="U499"/>
      <c r="V499"/>
      <c r="W499"/>
      <c r="Y499"/>
    </row>
    <row r="500" spans="10:25" s="1" customFormat="1" x14ac:dyDescent="0.2">
      <c r="J500"/>
      <c r="K500"/>
      <c r="L500"/>
      <c r="M500"/>
      <c r="N500"/>
      <c r="O500"/>
      <c r="P500" s="2"/>
      <c r="T500"/>
      <c r="U500"/>
      <c r="V500"/>
      <c r="W500"/>
      <c r="Y500"/>
    </row>
    <row r="501" spans="10:25" s="1" customFormat="1" x14ac:dyDescent="0.2">
      <c r="J501"/>
      <c r="K501"/>
      <c r="L501"/>
      <c r="M501"/>
      <c r="N501"/>
      <c r="O501"/>
      <c r="P501" s="2"/>
      <c r="T501"/>
      <c r="U501"/>
      <c r="V501"/>
      <c r="W501"/>
      <c r="Y501"/>
    </row>
    <row r="502" spans="10:25" s="1" customFormat="1" x14ac:dyDescent="0.2">
      <c r="J502"/>
      <c r="K502"/>
      <c r="L502"/>
      <c r="M502"/>
      <c r="N502"/>
      <c r="O502"/>
      <c r="P502" s="2"/>
      <c r="T502"/>
      <c r="U502"/>
      <c r="V502"/>
      <c r="W502"/>
      <c r="Y502"/>
    </row>
    <row r="503" spans="10:25" s="1" customFormat="1" x14ac:dyDescent="0.2">
      <c r="J503"/>
      <c r="K503"/>
      <c r="L503"/>
      <c r="M503"/>
      <c r="N503"/>
      <c r="O503"/>
      <c r="P503" s="2"/>
      <c r="T503"/>
      <c r="U503"/>
      <c r="V503"/>
      <c r="W503"/>
      <c r="Y503"/>
    </row>
    <row r="504" spans="10:25" s="1" customFormat="1" x14ac:dyDescent="0.2">
      <c r="J504"/>
      <c r="K504"/>
      <c r="L504"/>
      <c r="M504"/>
      <c r="N504"/>
      <c r="O504"/>
      <c r="P504" s="2"/>
      <c r="T504"/>
      <c r="U504"/>
      <c r="V504"/>
      <c r="W504"/>
      <c r="Y504"/>
    </row>
    <row r="505" spans="10:25" s="1" customFormat="1" x14ac:dyDescent="0.2">
      <c r="J505"/>
      <c r="K505"/>
      <c r="L505"/>
      <c r="M505"/>
      <c r="N505"/>
      <c r="O505"/>
      <c r="P505" s="2"/>
      <c r="T505"/>
      <c r="U505"/>
      <c r="V505"/>
      <c r="W505"/>
      <c r="Y505"/>
    </row>
    <row r="506" spans="10:25" s="1" customFormat="1" x14ac:dyDescent="0.2">
      <c r="J506"/>
      <c r="K506"/>
      <c r="L506"/>
      <c r="M506"/>
      <c r="N506"/>
      <c r="O506"/>
      <c r="P506" s="2"/>
      <c r="T506"/>
      <c r="U506"/>
      <c r="V506"/>
      <c r="W506"/>
      <c r="Y506"/>
    </row>
    <row r="507" spans="10:25" s="1" customFormat="1" x14ac:dyDescent="0.2">
      <c r="J507"/>
      <c r="K507"/>
      <c r="L507"/>
      <c r="M507"/>
      <c r="N507"/>
      <c r="O507"/>
      <c r="P507" s="2"/>
      <c r="T507"/>
      <c r="U507"/>
      <c r="V507"/>
      <c r="W507"/>
      <c r="Y507"/>
    </row>
    <row r="508" spans="10:25" s="1" customFormat="1" x14ac:dyDescent="0.2">
      <c r="J508"/>
      <c r="K508"/>
      <c r="L508"/>
      <c r="M508"/>
      <c r="N508"/>
      <c r="O508"/>
      <c r="P508" s="2"/>
      <c r="T508"/>
      <c r="U508"/>
      <c r="V508"/>
      <c r="W508"/>
      <c r="Y508"/>
    </row>
    <row r="509" spans="10:25" s="1" customFormat="1" x14ac:dyDescent="0.2">
      <c r="J509"/>
      <c r="K509"/>
      <c r="L509"/>
      <c r="M509"/>
      <c r="N509"/>
      <c r="O509"/>
      <c r="P509" s="2"/>
      <c r="T509"/>
      <c r="U509"/>
      <c r="V509"/>
      <c r="W509"/>
      <c r="Y509"/>
    </row>
    <row r="510" spans="10:25" s="1" customFormat="1" x14ac:dyDescent="0.2">
      <c r="J510"/>
      <c r="K510"/>
      <c r="L510"/>
      <c r="M510"/>
      <c r="N510"/>
      <c r="O510"/>
      <c r="P510" s="2"/>
      <c r="T510"/>
      <c r="U510"/>
      <c r="V510"/>
      <c r="W510"/>
      <c r="Y510"/>
    </row>
    <row r="511" spans="10:25" s="1" customFormat="1" x14ac:dyDescent="0.2">
      <c r="J511"/>
      <c r="K511"/>
      <c r="L511"/>
      <c r="M511"/>
      <c r="N511"/>
      <c r="O511"/>
      <c r="P511" s="2"/>
      <c r="T511"/>
      <c r="U511"/>
      <c r="V511"/>
      <c r="W511"/>
      <c r="Y511"/>
    </row>
    <row r="512" spans="10:25" s="1" customFormat="1" x14ac:dyDescent="0.2">
      <c r="J512"/>
      <c r="K512"/>
      <c r="L512"/>
      <c r="M512"/>
      <c r="N512"/>
      <c r="O512"/>
      <c r="P512" s="2"/>
      <c r="T512"/>
      <c r="U512"/>
      <c r="V512"/>
      <c r="W512"/>
      <c r="Y512"/>
    </row>
    <row r="513" spans="10:25" s="1" customFormat="1" x14ac:dyDescent="0.2">
      <c r="J513"/>
      <c r="K513"/>
      <c r="L513"/>
      <c r="M513"/>
      <c r="N513"/>
      <c r="O513"/>
      <c r="P513" s="2"/>
      <c r="T513"/>
      <c r="U513"/>
      <c r="V513"/>
      <c r="W513"/>
      <c r="Y513"/>
    </row>
    <row r="514" spans="10:25" s="1" customFormat="1" x14ac:dyDescent="0.2">
      <c r="J514"/>
      <c r="K514"/>
      <c r="L514"/>
      <c r="M514"/>
      <c r="N514"/>
      <c r="O514"/>
      <c r="P514" s="2"/>
      <c r="T514"/>
      <c r="U514"/>
      <c r="V514"/>
      <c r="W514"/>
      <c r="Y514"/>
    </row>
    <row r="515" spans="10:25" s="1" customFormat="1" x14ac:dyDescent="0.2">
      <c r="J515"/>
      <c r="K515"/>
      <c r="L515"/>
      <c r="M515"/>
      <c r="N515"/>
      <c r="O515"/>
      <c r="P515" s="2"/>
      <c r="T515"/>
      <c r="U515"/>
      <c r="V515"/>
      <c r="W515"/>
      <c r="Y515"/>
    </row>
    <row r="516" spans="10:25" s="1" customFormat="1" x14ac:dyDescent="0.2">
      <c r="J516"/>
      <c r="K516"/>
      <c r="L516"/>
      <c r="M516"/>
      <c r="N516"/>
      <c r="O516"/>
      <c r="P516" s="2"/>
      <c r="T516"/>
      <c r="U516"/>
      <c r="V516"/>
      <c r="W516"/>
      <c r="Y516"/>
    </row>
    <row r="517" spans="10:25" s="1" customFormat="1" x14ac:dyDescent="0.2">
      <c r="J517"/>
      <c r="K517"/>
      <c r="L517"/>
      <c r="M517"/>
      <c r="N517"/>
      <c r="O517"/>
      <c r="P517" s="2"/>
      <c r="T517"/>
      <c r="U517"/>
      <c r="V517"/>
      <c r="W517"/>
      <c r="Y517"/>
    </row>
    <row r="518" spans="10:25" s="1" customFormat="1" x14ac:dyDescent="0.2">
      <c r="J518"/>
      <c r="K518"/>
      <c r="L518"/>
      <c r="M518"/>
      <c r="N518"/>
      <c r="O518"/>
      <c r="P518" s="2"/>
      <c r="T518"/>
      <c r="U518"/>
      <c r="V518"/>
      <c r="W518"/>
      <c r="Y518"/>
    </row>
    <row r="519" spans="10:25" s="1" customFormat="1" x14ac:dyDescent="0.2">
      <c r="J519"/>
      <c r="K519"/>
      <c r="L519"/>
      <c r="M519"/>
      <c r="N519"/>
      <c r="O519"/>
      <c r="P519" s="2"/>
      <c r="T519"/>
      <c r="U519"/>
      <c r="V519"/>
      <c r="W519"/>
      <c r="Y519"/>
    </row>
    <row r="520" spans="10:25" s="1" customFormat="1" x14ac:dyDescent="0.2">
      <c r="J520"/>
      <c r="K520"/>
      <c r="L520"/>
      <c r="M520"/>
      <c r="N520"/>
      <c r="O520"/>
      <c r="P520" s="2"/>
      <c r="T520"/>
      <c r="U520"/>
      <c r="V520"/>
      <c r="W520"/>
      <c r="Y520"/>
    </row>
    <row r="521" spans="10:25" s="1" customFormat="1" x14ac:dyDescent="0.2">
      <c r="J521"/>
      <c r="K521"/>
      <c r="L521"/>
      <c r="M521"/>
      <c r="N521"/>
      <c r="O521"/>
      <c r="P521" s="2"/>
      <c r="T521"/>
      <c r="U521"/>
      <c r="V521"/>
      <c r="W521"/>
      <c r="Y521"/>
    </row>
    <row r="522" spans="10:25" s="1" customFormat="1" x14ac:dyDescent="0.2">
      <c r="J522"/>
      <c r="K522"/>
      <c r="L522"/>
      <c r="M522"/>
      <c r="N522"/>
      <c r="O522"/>
      <c r="P522" s="2"/>
      <c r="T522"/>
      <c r="U522"/>
      <c r="V522"/>
      <c r="W522"/>
      <c r="Y522"/>
    </row>
    <row r="523" spans="10:25" s="1" customFormat="1" x14ac:dyDescent="0.2">
      <c r="J523"/>
      <c r="K523"/>
      <c r="L523"/>
      <c r="M523"/>
      <c r="N523"/>
      <c r="O523"/>
      <c r="P523" s="2"/>
      <c r="T523"/>
      <c r="U523"/>
      <c r="V523"/>
      <c r="W523"/>
      <c r="Y523"/>
    </row>
    <row r="524" spans="10:25" s="1" customFormat="1" x14ac:dyDescent="0.2">
      <c r="J524"/>
      <c r="K524"/>
      <c r="L524"/>
      <c r="M524"/>
      <c r="N524"/>
      <c r="O524"/>
      <c r="P524" s="2"/>
      <c r="T524"/>
      <c r="U524"/>
      <c r="V524"/>
      <c r="W524"/>
      <c r="Y524"/>
    </row>
    <row r="525" spans="10:25" s="1" customFormat="1" x14ac:dyDescent="0.2">
      <c r="J525"/>
      <c r="K525"/>
      <c r="L525"/>
      <c r="M525"/>
      <c r="N525"/>
      <c r="O525"/>
      <c r="P525" s="2"/>
      <c r="T525"/>
      <c r="U525"/>
      <c r="V525"/>
      <c r="W525"/>
      <c r="Y525"/>
    </row>
    <row r="526" spans="10:25" s="1" customFormat="1" x14ac:dyDescent="0.2">
      <c r="J526"/>
      <c r="K526"/>
      <c r="L526"/>
      <c r="M526"/>
      <c r="N526"/>
      <c r="O526"/>
      <c r="P526" s="2"/>
      <c r="T526"/>
      <c r="U526"/>
      <c r="V526"/>
      <c r="W526"/>
      <c r="Y526"/>
    </row>
    <row r="527" spans="10:25" s="1" customFormat="1" x14ac:dyDescent="0.2">
      <c r="J527"/>
      <c r="K527"/>
      <c r="L527"/>
      <c r="M527"/>
      <c r="N527"/>
      <c r="O527"/>
      <c r="P527" s="2"/>
      <c r="T527"/>
      <c r="U527"/>
      <c r="V527"/>
      <c r="W527"/>
      <c r="Y527"/>
    </row>
    <row r="528" spans="10:25" s="1" customFormat="1" x14ac:dyDescent="0.2">
      <c r="J528"/>
      <c r="K528"/>
      <c r="L528"/>
      <c r="M528"/>
      <c r="N528"/>
      <c r="O528"/>
      <c r="P528" s="2"/>
      <c r="T528"/>
      <c r="U528"/>
      <c r="V528"/>
      <c r="W528"/>
      <c r="Y528"/>
    </row>
    <row r="529" spans="10:25" s="1" customFormat="1" x14ac:dyDescent="0.2">
      <c r="J529"/>
      <c r="K529"/>
      <c r="L529"/>
      <c r="M529"/>
      <c r="N529"/>
      <c r="O529"/>
      <c r="P529" s="2"/>
      <c r="T529"/>
      <c r="U529"/>
      <c r="V529"/>
      <c r="W529"/>
      <c r="Y529"/>
    </row>
    <row r="530" spans="10:25" s="1" customFormat="1" x14ac:dyDescent="0.2">
      <c r="J530"/>
      <c r="K530"/>
      <c r="L530"/>
      <c r="M530"/>
      <c r="N530"/>
      <c r="O530"/>
      <c r="P530" s="2"/>
      <c r="T530"/>
      <c r="U530"/>
      <c r="V530"/>
      <c r="W530"/>
      <c r="Y530"/>
    </row>
    <row r="531" spans="10:25" s="1" customFormat="1" x14ac:dyDescent="0.2">
      <c r="J531"/>
      <c r="K531"/>
      <c r="L531"/>
      <c r="M531"/>
      <c r="N531"/>
      <c r="O531"/>
      <c r="P531" s="2"/>
      <c r="T531"/>
      <c r="U531"/>
      <c r="V531"/>
      <c r="W531"/>
      <c r="Y531"/>
    </row>
    <row r="532" spans="10:25" s="1" customFormat="1" x14ac:dyDescent="0.2">
      <c r="J532"/>
      <c r="K532"/>
      <c r="L532"/>
      <c r="M532"/>
      <c r="N532"/>
      <c r="O532"/>
      <c r="P532" s="2"/>
      <c r="T532"/>
      <c r="U532"/>
      <c r="V532"/>
      <c r="W532"/>
      <c r="Y532"/>
    </row>
    <row r="533" spans="10:25" s="1" customFormat="1" x14ac:dyDescent="0.2">
      <c r="J533"/>
      <c r="K533"/>
      <c r="L533"/>
      <c r="M533"/>
      <c r="N533"/>
      <c r="O533"/>
      <c r="P533" s="2"/>
      <c r="T533"/>
      <c r="U533"/>
      <c r="V533"/>
      <c r="W533"/>
      <c r="Y533"/>
    </row>
    <row r="534" spans="10:25" s="1" customFormat="1" x14ac:dyDescent="0.2">
      <c r="J534"/>
      <c r="K534"/>
      <c r="L534"/>
      <c r="M534"/>
      <c r="N534"/>
      <c r="O534"/>
      <c r="P534" s="2"/>
      <c r="T534"/>
      <c r="U534"/>
      <c r="V534"/>
      <c r="W534"/>
      <c r="Y534"/>
    </row>
    <row r="535" spans="10:25" s="1" customFormat="1" x14ac:dyDescent="0.2">
      <c r="J535"/>
      <c r="K535"/>
      <c r="L535"/>
      <c r="M535"/>
      <c r="N535"/>
      <c r="O535"/>
      <c r="P535" s="2"/>
      <c r="T535"/>
      <c r="U535"/>
      <c r="V535"/>
      <c r="W535"/>
      <c r="Y535"/>
    </row>
    <row r="536" spans="10:25" s="1" customFormat="1" x14ac:dyDescent="0.2">
      <c r="J536"/>
      <c r="K536"/>
      <c r="L536"/>
      <c r="M536"/>
      <c r="N536"/>
      <c r="O536"/>
      <c r="P536" s="2"/>
      <c r="T536"/>
      <c r="U536"/>
      <c r="V536"/>
      <c r="W536"/>
      <c r="Y536"/>
    </row>
    <row r="537" spans="10:25" s="1" customFormat="1" x14ac:dyDescent="0.2">
      <c r="J537"/>
      <c r="K537"/>
      <c r="L537"/>
      <c r="M537"/>
      <c r="N537"/>
      <c r="O537"/>
      <c r="P537" s="2"/>
      <c r="T537"/>
      <c r="U537"/>
      <c r="V537"/>
      <c r="W537"/>
      <c r="Y537"/>
    </row>
    <row r="538" spans="10:25" s="1" customFormat="1" x14ac:dyDescent="0.2">
      <c r="J538"/>
      <c r="K538"/>
      <c r="L538"/>
      <c r="M538"/>
      <c r="N538"/>
      <c r="O538"/>
      <c r="P538" s="2"/>
      <c r="T538"/>
      <c r="U538"/>
      <c r="V538"/>
      <c r="W538"/>
      <c r="Y538"/>
    </row>
    <row r="539" spans="10:25" s="1" customFormat="1" x14ac:dyDescent="0.2">
      <c r="J539"/>
      <c r="K539"/>
      <c r="L539"/>
      <c r="M539"/>
      <c r="N539"/>
      <c r="O539"/>
      <c r="P539" s="2"/>
      <c r="T539"/>
      <c r="U539"/>
      <c r="V539"/>
      <c r="W539"/>
      <c r="Y539"/>
    </row>
    <row r="540" spans="10:25" s="1" customFormat="1" x14ac:dyDescent="0.2">
      <c r="J540"/>
      <c r="K540"/>
      <c r="L540"/>
      <c r="M540"/>
      <c r="N540"/>
      <c r="O540"/>
      <c r="P540" s="2"/>
      <c r="T540"/>
      <c r="U540"/>
      <c r="V540"/>
      <c r="W540"/>
      <c r="Y540"/>
    </row>
    <row r="541" spans="10:25" s="1" customFormat="1" x14ac:dyDescent="0.2">
      <c r="J541"/>
      <c r="K541"/>
      <c r="L541"/>
      <c r="M541"/>
      <c r="N541"/>
      <c r="O541"/>
      <c r="P541" s="2"/>
      <c r="T541"/>
      <c r="U541"/>
      <c r="V541"/>
      <c r="W541"/>
      <c r="Y541"/>
    </row>
    <row r="542" spans="10:25" s="1" customFormat="1" x14ac:dyDescent="0.2">
      <c r="J542"/>
      <c r="K542"/>
      <c r="L542"/>
      <c r="M542"/>
      <c r="N542"/>
      <c r="O542"/>
      <c r="P542" s="2"/>
      <c r="T542"/>
      <c r="U542"/>
      <c r="V542"/>
      <c r="W542"/>
      <c r="Y542"/>
    </row>
    <row r="543" spans="10:25" s="1" customFormat="1" x14ac:dyDescent="0.2">
      <c r="J543"/>
      <c r="K543"/>
      <c r="L543"/>
      <c r="M543"/>
      <c r="N543"/>
      <c r="O543"/>
      <c r="P543" s="2"/>
      <c r="T543"/>
      <c r="U543"/>
      <c r="V543"/>
      <c r="W543"/>
      <c r="Y543"/>
    </row>
    <row r="544" spans="10:25" s="1" customFormat="1" x14ac:dyDescent="0.2">
      <c r="J544"/>
      <c r="K544"/>
      <c r="L544"/>
      <c r="M544"/>
      <c r="N544"/>
      <c r="O544"/>
      <c r="P544" s="2"/>
      <c r="T544"/>
      <c r="U544"/>
      <c r="V544"/>
      <c r="W544"/>
      <c r="Y544"/>
    </row>
    <row r="545" spans="10:25" s="1" customFormat="1" x14ac:dyDescent="0.2">
      <c r="J545"/>
      <c r="K545"/>
      <c r="L545"/>
      <c r="M545"/>
      <c r="N545"/>
      <c r="O545"/>
      <c r="P545" s="2"/>
      <c r="T545"/>
      <c r="U545"/>
      <c r="V545"/>
      <c r="W545"/>
      <c r="Y545"/>
    </row>
    <row r="546" spans="10:25" s="1" customFormat="1" x14ac:dyDescent="0.2">
      <c r="J546"/>
      <c r="K546"/>
      <c r="L546"/>
      <c r="M546"/>
      <c r="N546"/>
      <c r="O546"/>
      <c r="P546" s="2"/>
      <c r="T546"/>
      <c r="U546"/>
      <c r="V546"/>
      <c r="W546"/>
      <c r="Y546"/>
    </row>
    <row r="547" spans="10:25" s="1" customFormat="1" x14ac:dyDescent="0.2">
      <c r="J547"/>
      <c r="K547"/>
      <c r="L547"/>
      <c r="M547"/>
      <c r="N547"/>
      <c r="O547"/>
      <c r="P547" s="2"/>
      <c r="T547"/>
      <c r="U547"/>
      <c r="V547"/>
      <c r="W547"/>
      <c r="Y547"/>
    </row>
    <row r="548" spans="10:25" s="1" customFormat="1" x14ac:dyDescent="0.2">
      <c r="J548"/>
      <c r="K548"/>
      <c r="L548"/>
      <c r="M548"/>
      <c r="N548"/>
      <c r="O548"/>
      <c r="P548" s="2"/>
      <c r="T548"/>
      <c r="U548"/>
      <c r="V548"/>
      <c r="W548"/>
      <c r="Y548"/>
    </row>
    <row r="549" spans="10:25" s="1" customFormat="1" x14ac:dyDescent="0.2">
      <c r="J549"/>
      <c r="K549"/>
      <c r="L549"/>
      <c r="M549"/>
      <c r="N549"/>
      <c r="O549"/>
      <c r="P549" s="2"/>
      <c r="T549"/>
      <c r="U549"/>
      <c r="V549"/>
      <c r="W549"/>
      <c r="Y549"/>
    </row>
    <row r="550" spans="10:25" s="1" customFormat="1" x14ac:dyDescent="0.2">
      <c r="J550"/>
      <c r="K550"/>
      <c r="L550"/>
      <c r="M550"/>
      <c r="N550"/>
      <c r="O550"/>
      <c r="P550" s="2"/>
      <c r="T550"/>
      <c r="U550"/>
      <c r="V550"/>
      <c r="W550"/>
      <c r="Y550"/>
    </row>
    <row r="551" spans="10:25" s="1" customFormat="1" x14ac:dyDescent="0.2">
      <c r="J551"/>
      <c r="K551"/>
      <c r="L551"/>
      <c r="M551"/>
      <c r="N551"/>
      <c r="O551"/>
      <c r="P551" s="2"/>
      <c r="T551"/>
      <c r="U551"/>
      <c r="V551"/>
      <c r="W551"/>
      <c r="Y551"/>
    </row>
    <row r="552" spans="10:25" s="1" customFormat="1" x14ac:dyDescent="0.2">
      <c r="J552"/>
      <c r="K552"/>
      <c r="L552"/>
      <c r="M552"/>
      <c r="N552"/>
      <c r="O552"/>
      <c r="P552" s="2"/>
      <c r="T552"/>
      <c r="U552"/>
      <c r="V552"/>
      <c r="W552"/>
      <c r="Y552"/>
    </row>
    <row r="553" spans="10:25" s="1" customFormat="1" x14ac:dyDescent="0.2">
      <c r="J553"/>
      <c r="K553"/>
      <c r="L553"/>
      <c r="M553"/>
      <c r="N553"/>
      <c r="O553"/>
      <c r="P553" s="2"/>
      <c r="T553"/>
      <c r="U553"/>
      <c r="V553"/>
      <c r="W553"/>
      <c r="Y553"/>
    </row>
    <row r="554" spans="10:25" s="1" customFormat="1" x14ac:dyDescent="0.2">
      <c r="J554"/>
      <c r="K554"/>
      <c r="L554"/>
      <c r="M554"/>
      <c r="N554"/>
      <c r="O554"/>
      <c r="P554" s="2"/>
      <c r="T554"/>
      <c r="U554"/>
      <c r="V554"/>
      <c r="W554"/>
      <c r="Y554"/>
    </row>
    <row r="555" spans="10:25" s="1" customFormat="1" x14ac:dyDescent="0.2">
      <c r="J555"/>
      <c r="K555"/>
      <c r="L555"/>
      <c r="M555"/>
      <c r="N555"/>
      <c r="O555"/>
      <c r="P555" s="2"/>
      <c r="T555"/>
      <c r="U555"/>
      <c r="V555"/>
      <c r="W555"/>
      <c r="Y555"/>
    </row>
    <row r="556" spans="10:25" s="1" customFormat="1" x14ac:dyDescent="0.2">
      <c r="J556"/>
      <c r="K556"/>
      <c r="L556"/>
      <c r="M556"/>
      <c r="N556"/>
      <c r="O556"/>
      <c r="P556" s="2"/>
      <c r="T556"/>
      <c r="U556"/>
      <c r="V556"/>
      <c r="W556"/>
      <c r="Y556"/>
    </row>
    <row r="557" spans="10:25" s="1" customFormat="1" x14ac:dyDescent="0.2">
      <c r="J557"/>
      <c r="K557"/>
      <c r="L557"/>
      <c r="M557"/>
      <c r="N557"/>
      <c r="O557"/>
      <c r="P557" s="2"/>
      <c r="T557"/>
      <c r="U557"/>
      <c r="V557"/>
      <c r="W557"/>
      <c r="Y557"/>
    </row>
    <row r="558" spans="10:25" s="1" customFormat="1" x14ac:dyDescent="0.2">
      <c r="J558"/>
      <c r="K558"/>
      <c r="L558"/>
      <c r="M558"/>
      <c r="N558"/>
      <c r="O558"/>
      <c r="P558" s="2"/>
      <c r="T558"/>
      <c r="U558"/>
      <c r="V558"/>
      <c r="W558"/>
      <c r="Y558"/>
    </row>
    <row r="559" spans="10:25" s="1" customFormat="1" x14ac:dyDescent="0.2">
      <c r="J559"/>
      <c r="K559"/>
      <c r="L559"/>
      <c r="M559"/>
      <c r="N559"/>
      <c r="O559"/>
      <c r="P559" s="2"/>
      <c r="T559"/>
      <c r="U559"/>
      <c r="V559"/>
      <c r="W559"/>
      <c r="Y559"/>
    </row>
    <row r="560" spans="10:25" s="1" customFormat="1" x14ac:dyDescent="0.2">
      <c r="J560"/>
      <c r="K560"/>
      <c r="L560"/>
      <c r="M560"/>
      <c r="N560"/>
      <c r="O560"/>
      <c r="P560" s="2"/>
      <c r="T560"/>
      <c r="U560"/>
      <c r="V560"/>
      <c r="W560"/>
      <c r="Y560"/>
    </row>
    <row r="561" spans="10:25" s="1" customFormat="1" x14ac:dyDescent="0.2">
      <c r="J561"/>
      <c r="K561"/>
      <c r="L561"/>
      <c r="M561"/>
      <c r="N561"/>
      <c r="O561"/>
      <c r="P561" s="2"/>
      <c r="T561"/>
      <c r="U561"/>
      <c r="V561"/>
      <c r="W561"/>
      <c r="Y561"/>
    </row>
    <row r="562" spans="10:25" s="1" customFormat="1" x14ac:dyDescent="0.2">
      <c r="J562"/>
      <c r="K562"/>
      <c r="L562"/>
      <c r="M562"/>
      <c r="N562"/>
      <c r="O562"/>
      <c r="P562" s="2"/>
      <c r="T562"/>
      <c r="U562"/>
      <c r="V562"/>
      <c r="W562"/>
      <c r="Y562"/>
    </row>
    <row r="563" spans="10:25" s="1" customFormat="1" x14ac:dyDescent="0.2">
      <c r="J563"/>
      <c r="K563"/>
      <c r="L563"/>
      <c r="M563"/>
      <c r="N563"/>
      <c r="O563"/>
      <c r="P563" s="2"/>
      <c r="T563"/>
      <c r="U563"/>
      <c r="V563"/>
      <c r="W563"/>
      <c r="Y563"/>
    </row>
    <row r="564" spans="10:25" s="1" customFormat="1" x14ac:dyDescent="0.2">
      <c r="J564"/>
      <c r="K564"/>
      <c r="L564"/>
      <c r="M564"/>
      <c r="N564"/>
      <c r="O564"/>
      <c r="P564" s="2"/>
      <c r="T564"/>
      <c r="U564"/>
      <c r="V564"/>
      <c r="W564"/>
      <c r="Y564"/>
    </row>
    <row r="565" spans="10:25" s="1" customFormat="1" x14ac:dyDescent="0.2">
      <c r="J565"/>
      <c r="K565"/>
      <c r="L565"/>
      <c r="M565"/>
      <c r="N565"/>
      <c r="O565"/>
      <c r="P565" s="2"/>
      <c r="T565"/>
      <c r="U565"/>
      <c r="V565"/>
      <c r="W565"/>
      <c r="Y565"/>
    </row>
    <row r="566" spans="10:25" s="1" customFormat="1" x14ac:dyDescent="0.2">
      <c r="J566"/>
      <c r="K566"/>
      <c r="L566"/>
      <c r="M566"/>
      <c r="N566"/>
      <c r="O566"/>
      <c r="P566" s="2"/>
      <c r="T566"/>
      <c r="U566"/>
      <c r="V566"/>
      <c r="W566"/>
      <c r="Y566"/>
    </row>
    <row r="567" spans="10:25" s="1" customFormat="1" x14ac:dyDescent="0.2">
      <c r="J567"/>
      <c r="K567"/>
      <c r="L567"/>
      <c r="M567"/>
      <c r="N567"/>
      <c r="O567"/>
      <c r="P567" s="2"/>
      <c r="T567"/>
      <c r="U567"/>
      <c r="V567"/>
      <c r="W567"/>
      <c r="Y567"/>
    </row>
    <row r="568" spans="10:25" s="1" customFormat="1" x14ac:dyDescent="0.2">
      <c r="J568"/>
      <c r="K568"/>
      <c r="L568"/>
      <c r="M568"/>
      <c r="N568"/>
      <c r="O568"/>
      <c r="P568" s="2"/>
      <c r="T568"/>
      <c r="U568"/>
      <c r="V568"/>
      <c r="W568"/>
      <c r="Y568"/>
    </row>
    <row r="569" spans="10:25" s="1" customFormat="1" x14ac:dyDescent="0.2">
      <c r="J569"/>
      <c r="K569"/>
      <c r="L569"/>
      <c r="M569"/>
      <c r="N569"/>
      <c r="O569"/>
      <c r="P569" s="2"/>
      <c r="T569"/>
      <c r="U569"/>
      <c r="V569"/>
      <c r="W569"/>
      <c r="Y569"/>
    </row>
    <row r="570" spans="10:25" s="1" customFormat="1" x14ac:dyDescent="0.2">
      <c r="J570"/>
      <c r="K570"/>
      <c r="L570"/>
      <c r="M570"/>
      <c r="N570"/>
      <c r="O570"/>
      <c r="P570" s="2"/>
      <c r="T570"/>
      <c r="U570"/>
      <c r="V570"/>
      <c r="W570"/>
      <c r="Y570"/>
    </row>
    <row r="571" spans="10:25" s="1" customFormat="1" x14ac:dyDescent="0.2">
      <c r="J571"/>
      <c r="K571"/>
      <c r="L571"/>
      <c r="M571"/>
      <c r="N571"/>
      <c r="O571"/>
      <c r="P571" s="2"/>
      <c r="T571"/>
      <c r="U571"/>
      <c r="V571"/>
      <c r="W571"/>
      <c r="Y571"/>
    </row>
    <row r="572" spans="10:25" s="1" customFormat="1" x14ac:dyDescent="0.2">
      <c r="J572"/>
      <c r="K572"/>
      <c r="L572"/>
      <c r="M572"/>
      <c r="N572"/>
      <c r="O572"/>
      <c r="P572" s="2"/>
      <c r="T572"/>
      <c r="U572"/>
      <c r="V572"/>
      <c r="W572"/>
      <c r="Y572"/>
    </row>
    <row r="573" spans="10:25" s="1" customFormat="1" x14ac:dyDescent="0.2">
      <c r="J573"/>
      <c r="K573"/>
      <c r="L573"/>
      <c r="M573"/>
      <c r="N573"/>
      <c r="O573"/>
      <c r="P573" s="2"/>
      <c r="T573"/>
      <c r="U573"/>
      <c r="V573"/>
      <c r="W573"/>
      <c r="Y573"/>
    </row>
    <row r="574" spans="10:25" s="1" customFormat="1" x14ac:dyDescent="0.2">
      <c r="J574"/>
      <c r="K574"/>
      <c r="L574"/>
      <c r="M574"/>
      <c r="N574"/>
      <c r="O574"/>
      <c r="P574" s="2"/>
      <c r="T574"/>
      <c r="U574"/>
      <c r="V574"/>
      <c r="W574"/>
      <c r="Y574"/>
    </row>
    <row r="575" spans="10:25" s="1" customFormat="1" x14ac:dyDescent="0.2">
      <c r="J575"/>
      <c r="K575"/>
      <c r="L575"/>
      <c r="M575"/>
      <c r="N575"/>
      <c r="O575"/>
      <c r="P575" s="2"/>
      <c r="T575"/>
      <c r="U575"/>
      <c r="V575"/>
      <c r="W575"/>
      <c r="Y575"/>
    </row>
    <row r="576" spans="10:25" s="1" customFormat="1" x14ac:dyDescent="0.2">
      <c r="J576"/>
      <c r="K576"/>
      <c r="L576"/>
      <c r="M576"/>
      <c r="N576"/>
      <c r="O576"/>
      <c r="P576" s="2"/>
      <c r="T576"/>
      <c r="U576"/>
      <c r="V576"/>
      <c r="W576"/>
      <c r="Y576"/>
    </row>
    <row r="577" spans="10:25" s="1" customFormat="1" x14ac:dyDescent="0.2">
      <c r="J577"/>
      <c r="K577"/>
      <c r="L577"/>
      <c r="M577"/>
      <c r="N577"/>
      <c r="O577"/>
      <c r="P577" s="2"/>
      <c r="T577"/>
      <c r="U577"/>
      <c r="V577"/>
      <c r="W577"/>
      <c r="Y577"/>
    </row>
    <row r="578" spans="10:25" s="1" customFormat="1" x14ac:dyDescent="0.2">
      <c r="J578"/>
      <c r="K578"/>
      <c r="L578"/>
      <c r="M578"/>
      <c r="N578"/>
      <c r="O578"/>
      <c r="P578" s="2"/>
      <c r="T578"/>
      <c r="U578"/>
      <c r="V578"/>
      <c r="W578"/>
      <c r="Y578"/>
    </row>
    <row r="579" spans="10:25" s="1" customFormat="1" x14ac:dyDescent="0.2">
      <c r="J579"/>
      <c r="K579"/>
      <c r="L579"/>
      <c r="M579"/>
      <c r="N579"/>
      <c r="O579"/>
      <c r="P579" s="2"/>
      <c r="T579"/>
      <c r="U579"/>
      <c r="V579"/>
      <c r="W579"/>
      <c r="Y579"/>
    </row>
    <row r="580" spans="10:25" s="1" customFormat="1" x14ac:dyDescent="0.2">
      <c r="J580"/>
      <c r="K580"/>
      <c r="L580"/>
      <c r="M580"/>
      <c r="N580"/>
      <c r="O580"/>
      <c r="P580" s="2"/>
      <c r="T580"/>
      <c r="U580"/>
      <c r="V580"/>
      <c r="W580"/>
      <c r="Y580"/>
    </row>
    <row r="581" spans="10:25" s="1" customFormat="1" x14ac:dyDescent="0.2">
      <c r="J581"/>
      <c r="K581"/>
      <c r="L581"/>
      <c r="M581"/>
      <c r="N581"/>
      <c r="O581"/>
      <c r="P581" s="2"/>
      <c r="T581"/>
      <c r="U581"/>
      <c r="V581"/>
      <c r="W581"/>
      <c r="Y581"/>
    </row>
    <row r="582" spans="10:25" s="1" customFormat="1" x14ac:dyDescent="0.2">
      <c r="J582"/>
      <c r="K582"/>
      <c r="L582"/>
      <c r="M582"/>
      <c r="N582"/>
      <c r="O582"/>
      <c r="P582" s="2"/>
      <c r="T582"/>
      <c r="U582"/>
      <c r="V582"/>
      <c r="W582"/>
      <c r="Y582"/>
    </row>
    <row r="583" spans="10:25" s="1" customFormat="1" x14ac:dyDescent="0.2">
      <c r="J583"/>
      <c r="K583"/>
      <c r="L583"/>
      <c r="M583"/>
      <c r="N583"/>
      <c r="O583"/>
      <c r="P583" s="2"/>
      <c r="T583"/>
      <c r="U583"/>
      <c r="V583"/>
      <c r="W583"/>
      <c r="Y583"/>
    </row>
    <row r="584" spans="10:25" s="1" customFormat="1" x14ac:dyDescent="0.2">
      <c r="J584"/>
      <c r="K584"/>
      <c r="L584"/>
      <c r="M584"/>
      <c r="N584"/>
      <c r="O584"/>
      <c r="P584" s="2"/>
      <c r="T584"/>
      <c r="U584"/>
      <c r="V584"/>
      <c r="W584"/>
      <c r="Y584"/>
    </row>
    <row r="585" spans="10:25" s="1" customFormat="1" x14ac:dyDescent="0.2">
      <c r="J585"/>
      <c r="K585"/>
      <c r="L585"/>
      <c r="M585"/>
      <c r="N585"/>
      <c r="O585"/>
      <c r="P585" s="2"/>
      <c r="T585"/>
      <c r="U585"/>
      <c r="V585"/>
      <c r="W585"/>
      <c r="Y585"/>
    </row>
    <row r="586" spans="10:25" s="1" customFormat="1" x14ac:dyDescent="0.2">
      <c r="J586"/>
      <c r="K586"/>
      <c r="L586"/>
      <c r="M586"/>
      <c r="N586"/>
      <c r="O586"/>
      <c r="P586" s="2"/>
      <c r="T586"/>
      <c r="U586"/>
      <c r="V586"/>
      <c r="W586"/>
      <c r="Y586"/>
    </row>
    <row r="587" spans="10:25" s="1" customFormat="1" x14ac:dyDescent="0.2">
      <c r="J587"/>
      <c r="K587"/>
      <c r="L587"/>
      <c r="M587"/>
      <c r="N587"/>
      <c r="O587"/>
      <c r="P587" s="2"/>
      <c r="T587"/>
      <c r="U587"/>
      <c r="V587"/>
      <c r="W587"/>
      <c r="Y587"/>
    </row>
    <row r="588" spans="10:25" s="1" customFormat="1" x14ac:dyDescent="0.2">
      <c r="J588"/>
      <c r="K588"/>
      <c r="L588"/>
      <c r="M588"/>
      <c r="N588"/>
      <c r="O588"/>
      <c r="P588" s="2"/>
      <c r="T588"/>
      <c r="U588"/>
      <c r="V588"/>
      <c r="W588"/>
      <c r="Y588"/>
    </row>
    <row r="589" spans="10:25" s="1" customFormat="1" x14ac:dyDescent="0.2">
      <c r="J589"/>
      <c r="K589"/>
      <c r="L589"/>
      <c r="M589"/>
      <c r="N589"/>
      <c r="O589"/>
      <c r="P589" s="2"/>
      <c r="T589"/>
      <c r="U589"/>
      <c r="V589"/>
      <c r="W589"/>
      <c r="Y589"/>
    </row>
    <row r="590" spans="10:25" s="1" customFormat="1" x14ac:dyDescent="0.2">
      <c r="J590"/>
      <c r="K590"/>
      <c r="L590"/>
      <c r="M590"/>
      <c r="N590"/>
      <c r="O590"/>
      <c r="P590" s="2"/>
      <c r="T590"/>
      <c r="U590"/>
      <c r="V590"/>
      <c r="W590"/>
      <c r="Y590"/>
    </row>
    <row r="591" spans="10:25" s="1" customFormat="1" x14ac:dyDescent="0.2">
      <c r="J591"/>
      <c r="K591"/>
      <c r="L591"/>
      <c r="M591"/>
      <c r="N591"/>
      <c r="O591"/>
      <c r="P591" s="2"/>
      <c r="T591"/>
      <c r="U591"/>
      <c r="V591"/>
      <c r="W591"/>
      <c r="Y591"/>
    </row>
    <row r="592" spans="10:25" s="1" customFormat="1" x14ac:dyDescent="0.2">
      <c r="J592"/>
      <c r="K592"/>
      <c r="L592"/>
      <c r="M592"/>
      <c r="N592"/>
      <c r="O592"/>
      <c r="P592" s="2"/>
      <c r="T592"/>
      <c r="U592"/>
      <c r="V592"/>
      <c r="W592"/>
      <c r="Y592"/>
    </row>
    <row r="593" spans="10:25" s="1" customFormat="1" x14ac:dyDescent="0.2">
      <c r="J593"/>
      <c r="K593"/>
      <c r="L593"/>
      <c r="M593"/>
      <c r="N593"/>
      <c r="O593"/>
      <c r="P593" s="2"/>
      <c r="T593"/>
      <c r="U593"/>
      <c r="V593"/>
      <c r="W593"/>
      <c r="Y593"/>
    </row>
    <row r="594" spans="10:25" s="1" customFormat="1" x14ac:dyDescent="0.2">
      <c r="J594"/>
      <c r="K594"/>
      <c r="L594"/>
      <c r="M594"/>
      <c r="N594"/>
      <c r="O594"/>
      <c r="P594" s="2"/>
      <c r="T594"/>
      <c r="U594"/>
      <c r="V594"/>
      <c r="W594"/>
      <c r="Y594"/>
    </row>
    <row r="595" spans="10:25" s="1" customFormat="1" x14ac:dyDescent="0.2">
      <c r="J595"/>
      <c r="K595"/>
      <c r="L595"/>
      <c r="M595"/>
      <c r="N595"/>
      <c r="O595"/>
      <c r="P595" s="2"/>
      <c r="T595"/>
      <c r="U595"/>
      <c r="V595"/>
      <c r="W595"/>
      <c r="Y595"/>
    </row>
    <row r="596" spans="10:25" s="1" customFormat="1" x14ac:dyDescent="0.2">
      <c r="J596"/>
      <c r="K596"/>
      <c r="L596"/>
      <c r="M596"/>
      <c r="N596"/>
      <c r="O596"/>
      <c r="P596" s="2"/>
      <c r="T596"/>
      <c r="U596"/>
      <c r="V596"/>
      <c r="W596"/>
      <c r="Y596"/>
    </row>
    <row r="597" spans="10:25" s="1" customFormat="1" x14ac:dyDescent="0.2">
      <c r="J597"/>
      <c r="K597"/>
      <c r="L597"/>
      <c r="M597"/>
      <c r="N597"/>
      <c r="O597"/>
      <c r="P597" s="2"/>
      <c r="T597"/>
      <c r="U597"/>
      <c r="V597"/>
      <c r="W597"/>
      <c r="Y597"/>
    </row>
    <row r="598" spans="10:25" s="1" customFormat="1" x14ac:dyDescent="0.2">
      <c r="J598"/>
      <c r="K598"/>
      <c r="L598"/>
      <c r="M598"/>
      <c r="N598"/>
      <c r="O598"/>
      <c r="P598" s="2"/>
      <c r="T598"/>
      <c r="U598"/>
      <c r="V598"/>
      <c r="W598"/>
      <c r="Y598"/>
    </row>
    <row r="599" spans="10:25" s="1" customFormat="1" x14ac:dyDescent="0.2">
      <c r="J599"/>
      <c r="K599"/>
      <c r="L599"/>
      <c r="M599"/>
      <c r="N599"/>
      <c r="O599"/>
      <c r="P599" s="2"/>
      <c r="T599"/>
      <c r="U599"/>
      <c r="V599"/>
      <c r="W599"/>
      <c r="Y599"/>
    </row>
    <row r="600" spans="10:25" s="1" customFormat="1" x14ac:dyDescent="0.2">
      <c r="J600"/>
      <c r="K600"/>
      <c r="L600"/>
      <c r="M600"/>
      <c r="N600"/>
      <c r="O600"/>
      <c r="P600" s="2"/>
      <c r="T600"/>
      <c r="U600"/>
      <c r="V600"/>
      <c r="W600"/>
      <c r="Y600"/>
    </row>
    <row r="601" spans="10:25" s="1" customFormat="1" x14ac:dyDescent="0.2">
      <c r="J601"/>
      <c r="K601"/>
      <c r="L601"/>
      <c r="M601"/>
      <c r="N601"/>
      <c r="O601"/>
      <c r="P601" s="2"/>
      <c r="T601"/>
      <c r="U601"/>
      <c r="V601"/>
      <c r="W601"/>
      <c r="Y601"/>
    </row>
    <row r="602" spans="10:25" s="1" customFormat="1" x14ac:dyDescent="0.2">
      <c r="J602"/>
      <c r="K602"/>
      <c r="L602"/>
      <c r="M602"/>
      <c r="N602"/>
      <c r="O602"/>
      <c r="P602" s="2"/>
      <c r="T602"/>
      <c r="U602"/>
      <c r="V602"/>
      <c r="W602"/>
      <c r="Y602"/>
    </row>
    <row r="603" spans="10:25" s="1" customFormat="1" x14ac:dyDescent="0.2">
      <c r="J603"/>
      <c r="K603"/>
      <c r="L603"/>
      <c r="M603"/>
      <c r="N603"/>
      <c r="O603"/>
      <c r="P603" s="2"/>
      <c r="T603"/>
      <c r="U603"/>
      <c r="V603"/>
      <c r="W603"/>
      <c r="Y603"/>
    </row>
    <row r="604" spans="10:25" s="1" customFormat="1" x14ac:dyDescent="0.2">
      <c r="J604"/>
      <c r="K604"/>
      <c r="L604"/>
      <c r="M604"/>
      <c r="N604"/>
      <c r="O604"/>
      <c r="P604" s="2"/>
      <c r="T604"/>
      <c r="U604"/>
      <c r="V604"/>
      <c r="W604"/>
      <c r="Y604"/>
    </row>
    <row r="605" spans="10:25" s="1" customFormat="1" x14ac:dyDescent="0.2">
      <c r="J605"/>
      <c r="K605"/>
      <c r="L605"/>
      <c r="M605"/>
      <c r="N605"/>
      <c r="O605"/>
      <c r="P605" s="2"/>
      <c r="T605"/>
      <c r="U605"/>
      <c r="V605"/>
      <c r="W605"/>
      <c r="Y605"/>
    </row>
    <row r="606" spans="10:25" s="1" customFormat="1" x14ac:dyDescent="0.2">
      <c r="J606"/>
      <c r="K606"/>
      <c r="L606"/>
      <c r="M606"/>
      <c r="N606"/>
      <c r="O606"/>
      <c r="P606" s="2"/>
      <c r="T606"/>
      <c r="U606"/>
      <c r="V606"/>
      <c r="W606"/>
      <c r="Y606"/>
    </row>
    <row r="607" spans="10:25" s="1" customFormat="1" x14ac:dyDescent="0.2">
      <c r="J607"/>
      <c r="K607"/>
      <c r="L607"/>
      <c r="M607"/>
      <c r="N607"/>
      <c r="O607"/>
      <c r="P607" s="2"/>
      <c r="T607"/>
      <c r="U607"/>
      <c r="V607"/>
      <c r="W607"/>
      <c r="Y607"/>
    </row>
    <row r="608" spans="10:25" s="1" customFormat="1" x14ac:dyDescent="0.2">
      <c r="J608"/>
      <c r="K608"/>
      <c r="L608"/>
      <c r="M608"/>
      <c r="N608"/>
      <c r="O608"/>
      <c r="P608" s="2"/>
      <c r="T608"/>
      <c r="U608"/>
      <c r="V608"/>
      <c r="W608"/>
      <c r="Y608"/>
    </row>
    <row r="609" spans="10:25" s="1" customFormat="1" x14ac:dyDescent="0.2">
      <c r="J609"/>
      <c r="K609"/>
      <c r="L609"/>
      <c r="M609"/>
      <c r="N609"/>
      <c r="O609"/>
      <c r="P609" s="2"/>
      <c r="T609"/>
      <c r="U609"/>
      <c r="V609"/>
      <c r="W609"/>
      <c r="Y609"/>
    </row>
    <row r="610" spans="10:25" s="1" customFormat="1" x14ac:dyDescent="0.2">
      <c r="J610"/>
      <c r="K610"/>
      <c r="L610"/>
      <c r="M610"/>
      <c r="N610"/>
      <c r="O610"/>
      <c r="P610" s="2"/>
      <c r="T610"/>
      <c r="U610"/>
      <c r="V610"/>
      <c r="W610"/>
      <c r="Y610"/>
    </row>
    <row r="611" spans="10:25" s="1" customFormat="1" x14ac:dyDescent="0.2">
      <c r="J611"/>
      <c r="K611"/>
      <c r="L611"/>
      <c r="M611"/>
      <c r="N611"/>
      <c r="O611"/>
      <c r="P611" s="2"/>
      <c r="T611"/>
      <c r="U611"/>
      <c r="V611"/>
      <c r="W611"/>
      <c r="Y611"/>
    </row>
    <row r="612" spans="10:25" s="1" customFormat="1" x14ac:dyDescent="0.2">
      <c r="J612"/>
      <c r="K612"/>
      <c r="L612"/>
      <c r="M612"/>
      <c r="N612"/>
      <c r="O612"/>
      <c r="P612" s="2"/>
      <c r="T612"/>
      <c r="U612"/>
      <c r="V612"/>
      <c r="W612"/>
      <c r="Y612"/>
    </row>
    <row r="613" spans="10:25" s="1" customFormat="1" x14ac:dyDescent="0.2">
      <c r="J613"/>
      <c r="K613"/>
      <c r="L613"/>
      <c r="M613"/>
      <c r="N613"/>
      <c r="O613"/>
      <c r="P613" s="2"/>
      <c r="T613"/>
      <c r="U613"/>
      <c r="V613"/>
      <c r="W613"/>
      <c r="Y613"/>
    </row>
    <row r="614" spans="10:25" s="1" customFormat="1" x14ac:dyDescent="0.2">
      <c r="J614"/>
      <c r="K614"/>
      <c r="L614"/>
      <c r="M614"/>
      <c r="N614"/>
      <c r="O614"/>
      <c r="P614" s="2"/>
      <c r="T614"/>
      <c r="U614"/>
      <c r="V614"/>
      <c r="W614"/>
      <c r="Y614"/>
    </row>
    <row r="615" spans="10:25" s="1" customFormat="1" x14ac:dyDescent="0.2">
      <c r="J615"/>
      <c r="K615"/>
      <c r="L615"/>
      <c r="M615"/>
      <c r="N615"/>
      <c r="O615"/>
      <c r="P615" s="2"/>
      <c r="T615"/>
      <c r="U615"/>
      <c r="V615"/>
      <c r="W615"/>
      <c r="Y615"/>
    </row>
    <row r="616" spans="10:25" s="1" customFormat="1" x14ac:dyDescent="0.2">
      <c r="J616"/>
      <c r="K616"/>
      <c r="L616"/>
      <c r="M616"/>
      <c r="N616"/>
      <c r="O616"/>
      <c r="P616" s="2"/>
      <c r="T616"/>
      <c r="U616"/>
      <c r="V616"/>
      <c r="W616"/>
      <c r="Y616"/>
    </row>
    <row r="617" spans="10:25" s="1" customFormat="1" x14ac:dyDescent="0.2">
      <c r="J617"/>
      <c r="K617"/>
      <c r="L617"/>
      <c r="M617"/>
      <c r="N617"/>
      <c r="O617"/>
      <c r="P617" s="2"/>
      <c r="T617"/>
      <c r="U617"/>
      <c r="V617"/>
      <c r="W617"/>
      <c r="Y617"/>
    </row>
    <row r="618" spans="10:25" s="1" customFormat="1" x14ac:dyDescent="0.2">
      <c r="J618"/>
      <c r="K618"/>
      <c r="L618"/>
      <c r="M618"/>
      <c r="N618"/>
      <c r="O618"/>
      <c r="P618" s="2"/>
      <c r="T618"/>
      <c r="U618"/>
      <c r="V618"/>
      <c r="W618"/>
      <c r="Y618"/>
    </row>
    <row r="619" spans="10:25" s="1" customFormat="1" x14ac:dyDescent="0.2">
      <c r="J619"/>
      <c r="K619"/>
      <c r="L619"/>
      <c r="M619"/>
      <c r="N619"/>
      <c r="O619"/>
      <c r="P619" s="2"/>
      <c r="T619"/>
      <c r="U619"/>
      <c r="V619"/>
      <c r="W619"/>
      <c r="Y619"/>
    </row>
    <row r="620" spans="10:25" s="1" customFormat="1" x14ac:dyDescent="0.2">
      <c r="J620"/>
      <c r="K620"/>
      <c r="L620"/>
      <c r="M620"/>
      <c r="N620"/>
      <c r="O620"/>
      <c r="P620" s="2"/>
      <c r="T620"/>
      <c r="U620"/>
      <c r="V620"/>
      <c r="W620"/>
      <c r="Y620"/>
    </row>
    <row r="621" spans="10:25" s="1" customFormat="1" x14ac:dyDescent="0.2">
      <c r="J621"/>
      <c r="K621"/>
      <c r="L621"/>
      <c r="M621"/>
      <c r="N621"/>
      <c r="O621"/>
      <c r="P621" s="2"/>
      <c r="T621"/>
      <c r="U621"/>
      <c r="V621"/>
      <c r="W621"/>
      <c r="Y621"/>
    </row>
    <row r="622" spans="10:25" s="1" customFormat="1" x14ac:dyDescent="0.2">
      <c r="J622"/>
      <c r="K622"/>
      <c r="L622"/>
      <c r="M622"/>
      <c r="N622"/>
      <c r="O622"/>
      <c r="P622" s="2"/>
      <c r="T622"/>
      <c r="U622"/>
      <c r="V622"/>
      <c r="W622"/>
      <c r="Y622"/>
    </row>
    <row r="623" spans="10:25" s="1" customFormat="1" x14ac:dyDescent="0.2">
      <c r="J623"/>
      <c r="K623"/>
      <c r="L623"/>
      <c r="M623"/>
      <c r="N623"/>
      <c r="O623"/>
      <c r="P623" s="2"/>
      <c r="T623"/>
      <c r="U623"/>
      <c r="V623"/>
      <c r="W623"/>
      <c r="Y623"/>
    </row>
    <row r="624" spans="10:25" s="1" customFormat="1" x14ac:dyDescent="0.2">
      <c r="J624"/>
      <c r="K624"/>
      <c r="L624"/>
      <c r="M624"/>
      <c r="N624"/>
      <c r="O624"/>
      <c r="P624" s="2"/>
      <c r="T624"/>
      <c r="U624"/>
      <c r="V624"/>
      <c r="W624"/>
      <c r="Y624"/>
    </row>
    <row r="625" spans="10:25" s="1" customFormat="1" x14ac:dyDescent="0.2">
      <c r="J625"/>
      <c r="K625"/>
      <c r="L625"/>
      <c r="M625"/>
      <c r="N625"/>
      <c r="O625"/>
      <c r="P625" s="2"/>
      <c r="T625"/>
      <c r="U625"/>
      <c r="V625"/>
      <c r="W625"/>
      <c r="Y625"/>
    </row>
    <row r="626" spans="10:25" s="1" customFormat="1" x14ac:dyDescent="0.2">
      <c r="J626"/>
      <c r="K626"/>
      <c r="L626"/>
      <c r="M626"/>
      <c r="N626"/>
      <c r="O626"/>
      <c r="P626" s="2"/>
      <c r="T626"/>
      <c r="U626"/>
      <c r="V626"/>
      <c r="W626"/>
      <c r="Y626"/>
    </row>
    <row r="627" spans="10:25" s="1" customFormat="1" x14ac:dyDescent="0.2">
      <c r="J627"/>
      <c r="K627"/>
      <c r="L627"/>
      <c r="M627"/>
      <c r="N627"/>
      <c r="O627"/>
      <c r="P627" s="2"/>
      <c r="T627"/>
      <c r="U627"/>
      <c r="V627"/>
      <c r="W627"/>
      <c r="Y627"/>
    </row>
    <row r="628" spans="10:25" s="1" customFormat="1" x14ac:dyDescent="0.2">
      <c r="J628"/>
      <c r="K628"/>
      <c r="L628"/>
      <c r="M628"/>
      <c r="N628"/>
      <c r="O628"/>
      <c r="P628" s="2"/>
      <c r="T628"/>
      <c r="U628"/>
      <c r="V628"/>
      <c r="W628"/>
      <c r="Y628"/>
    </row>
    <row r="629" spans="10:25" s="1" customFormat="1" x14ac:dyDescent="0.2">
      <c r="J629"/>
      <c r="K629"/>
      <c r="L629"/>
      <c r="M629"/>
      <c r="N629"/>
      <c r="O629"/>
      <c r="P629" s="2"/>
      <c r="T629"/>
      <c r="U629"/>
      <c r="V629"/>
      <c r="W629"/>
      <c r="Y629"/>
    </row>
    <row r="630" spans="10:25" s="1" customFormat="1" x14ac:dyDescent="0.2">
      <c r="J630"/>
      <c r="K630"/>
      <c r="L630"/>
      <c r="M630"/>
      <c r="N630"/>
      <c r="O630"/>
      <c r="P630" s="2"/>
      <c r="T630"/>
      <c r="U630"/>
      <c r="V630"/>
      <c r="W630"/>
      <c r="Y630"/>
    </row>
    <row r="631" spans="10:25" s="1" customFormat="1" x14ac:dyDescent="0.2">
      <c r="J631"/>
      <c r="K631"/>
      <c r="L631"/>
      <c r="M631"/>
      <c r="N631"/>
      <c r="O631"/>
      <c r="P631" s="2"/>
      <c r="T631"/>
      <c r="U631"/>
      <c r="V631"/>
      <c r="W631"/>
      <c r="Y631"/>
    </row>
    <row r="632" spans="10:25" s="1" customFormat="1" x14ac:dyDescent="0.2">
      <c r="J632"/>
      <c r="K632"/>
      <c r="L632"/>
      <c r="M632"/>
      <c r="N632"/>
      <c r="O632"/>
      <c r="P632" s="2"/>
      <c r="T632"/>
      <c r="U632"/>
      <c r="V632"/>
      <c r="W632"/>
      <c r="Y632"/>
    </row>
    <row r="633" spans="10:25" s="1" customFormat="1" x14ac:dyDescent="0.2">
      <c r="J633"/>
      <c r="K633"/>
      <c r="L633"/>
      <c r="M633"/>
      <c r="N633"/>
      <c r="O633"/>
      <c r="P633" s="2"/>
      <c r="T633"/>
      <c r="U633"/>
      <c r="V633"/>
      <c r="W633"/>
      <c r="Y633"/>
    </row>
    <row r="634" spans="10:25" s="1" customFormat="1" x14ac:dyDescent="0.2">
      <c r="J634"/>
      <c r="K634"/>
      <c r="L634"/>
      <c r="M634"/>
      <c r="N634"/>
      <c r="O634"/>
      <c r="P634" s="2"/>
      <c r="T634"/>
      <c r="U634"/>
      <c r="V634"/>
      <c r="W634"/>
      <c r="Y634"/>
    </row>
    <row r="635" spans="10:25" s="1" customFormat="1" x14ac:dyDescent="0.2">
      <c r="J635"/>
      <c r="K635"/>
      <c r="L635"/>
      <c r="M635"/>
      <c r="N635"/>
      <c r="O635"/>
      <c r="P635" s="2"/>
      <c r="T635"/>
      <c r="U635"/>
      <c r="V635"/>
      <c r="W635"/>
      <c r="Y635"/>
    </row>
    <row r="636" spans="10:25" s="1" customFormat="1" x14ac:dyDescent="0.2">
      <c r="J636"/>
      <c r="K636"/>
      <c r="L636"/>
      <c r="M636"/>
      <c r="N636"/>
      <c r="O636"/>
      <c r="P636" s="2"/>
      <c r="T636"/>
      <c r="U636"/>
      <c r="V636"/>
      <c r="W636"/>
      <c r="Y636"/>
    </row>
    <row r="637" spans="10:25" s="1" customFormat="1" x14ac:dyDescent="0.2">
      <c r="J637"/>
      <c r="K637"/>
      <c r="L637"/>
      <c r="M637"/>
      <c r="N637"/>
      <c r="O637"/>
      <c r="P637" s="2"/>
      <c r="T637"/>
      <c r="U637"/>
      <c r="V637"/>
      <c r="W637"/>
      <c r="Y637"/>
    </row>
    <row r="638" spans="10:25" s="1" customFormat="1" x14ac:dyDescent="0.2">
      <c r="J638"/>
      <c r="K638"/>
      <c r="L638"/>
      <c r="M638"/>
      <c r="N638"/>
      <c r="O638"/>
      <c r="P638" s="2"/>
      <c r="T638"/>
      <c r="U638"/>
      <c r="V638"/>
      <c r="W638"/>
      <c r="Y638"/>
    </row>
    <row r="639" spans="10:25" s="1" customFormat="1" x14ac:dyDescent="0.2">
      <c r="J639"/>
      <c r="K639"/>
      <c r="L639"/>
      <c r="M639"/>
      <c r="N639"/>
      <c r="O639"/>
      <c r="P639" s="2"/>
      <c r="T639"/>
      <c r="U639"/>
      <c r="V639"/>
      <c r="W639"/>
      <c r="Y639"/>
    </row>
    <row r="640" spans="10:25" s="1" customFormat="1" x14ac:dyDescent="0.2">
      <c r="J640"/>
      <c r="K640"/>
      <c r="L640"/>
      <c r="M640"/>
      <c r="N640"/>
      <c r="O640"/>
      <c r="P640" s="2"/>
      <c r="T640"/>
      <c r="U640"/>
      <c r="V640"/>
      <c r="W640"/>
      <c r="Y640"/>
    </row>
    <row r="641" spans="10:25" s="1" customFormat="1" x14ac:dyDescent="0.2">
      <c r="J641"/>
      <c r="K641"/>
      <c r="L641"/>
      <c r="M641"/>
      <c r="N641"/>
      <c r="O641"/>
      <c r="P641" s="2"/>
      <c r="T641"/>
      <c r="U641"/>
      <c r="V641"/>
      <c r="W641"/>
      <c r="Y641"/>
    </row>
    <row r="642" spans="10:25" s="1" customFormat="1" x14ac:dyDescent="0.2">
      <c r="J642"/>
      <c r="K642"/>
      <c r="L642"/>
      <c r="M642"/>
      <c r="N642"/>
      <c r="O642"/>
      <c r="P642" s="2"/>
      <c r="T642"/>
      <c r="U642"/>
      <c r="V642"/>
      <c r="W642"/>
      <c r="Y642"/>
    </row>
    <row r="643" spans="10:25" s="1" customFormat="1" x14ac:dyDescent="0.2">
      <c r="J643"/>
      <c r="K643"/>
      <c r="L643"/>
      <c r="M643"/>
      <c r="N643"/>
      <c r="O643"/>
      <c r="P643" s="2"/>
      <c r="T643"/>
      <c r="U643"/>
      <c r="V643"/>
      <c r="W643"/>
      <c r="Y643"/>
    </row>
    <row r="644" spans="10:25" s="1" customFormat="1" x14ac:dyDescent="0.2">
      <c r="J644"/>
      <c r="K644"/>
      <c r="L644"/>
      <c r="M644"/>
      <c r="N644"/>
      <c r="O644"/>
      <c r="P644" s="2"/>
      <c r="T644"/>
      <c r="U644"/>
      <c r="V644"/>
      <c r="W644"/>
      <c r="Y644"/>
    </row>
    <row r="645" spans="10:25" s="1" customFormat="1" x14ac:dyDescent="0.2">
      <c r="J645"/>
      <c r="K645"/>
      <c r="L645"/>
      <c r="M645"/>
      <c r="N645"/>
      <c r="O645"/>
      <c r="P645" s="2"/>
      <c r="T645"/>
      <c r="U645"/>
      <c r="V645"/>
      <c r="W645"/>
      <c r="Y645"/>
    </row>
    <row r="646" spans="10:25" s="1" customFormat="1" x14ac:dyDescent="0.2">
      <c r="J646"/>
      <c r="K646"/>
      <c r="L646"/>
      <c r="M646"/>
      <c r="N646"/>
      <c r="O646"/>
      <c r="P646" s="2"/>
      <c r="T646"/>
      <c r="U646"/>
      <c r="V646"/>
      <c r="W646"/>
      <c r="Y646"/>
    </row>
    <row r="647" spans="10:25" s="1" customFormat="1" x14ac:dyDescent="0.2">
      <c r="J647"/>
      <c r="K647"/>
      <c r="L647"/>
      <c r="M647"/>
      <c r="N647"/>
      <c r="O647"/>
      <c r="P647" s="2"/>
      <c r="T647"/>
      <c r="U647"/>
      <c r="V647"/>
      <c r="W647"/>
      <c r="Y647"/>
    </row>
    <row r="648" spans="10:25" s="1" customFormat="1" x14ac:dyDescent="0.2">
      <c r="J648"/>
      <c r="K648"/>
      <c r="L648"/>
      <c r="M648"/>
      <c r="N648"/>
      <c r="O648"/>
      <c r="P648" s="2"/>
      <c r="T648"/>
      <c r="U648"/>
      <c r="V648"/>
      <c r="W648"/>
      <c r="Y648"/>
    </row>
    <row r="649" spans="10:25" s="1" customFormat="1" x14ac:dyDescent="0.2">
      <c r="J649"/>
      <c r="K649"/>
      <c r="L649"/>
      <c r="M649"/>
      <c r="N649"/>
      <c r="O649"/>
      <c r="P649" s="2"/>
      <c r="T649"/>
      <c r="U649"/>
      <c r="V649"/>
      <c r="W649"/>
      <c r="Y649"/>
    </row>
    <row r="650" spans="10:25" s="1" customFormat="1" x14ac:dyDescent="0.2">
      <c r="J650"/>
      <c r="K650"/>
      <c r="L650"/>
      <c r="M650"/>
      <c r="N650"/>
      <c r="O650"/>
      <c r="P650" s="2"/>
      <c r="T650"/>
      <c r="U650"/>
      <c r="V650"/>
      <c r="W650"/>
      <c r="Y650"/>
    </row>
    <row r="651" spans="10:25" s="1" customFormat="1" x14ac:dyDescent="0.2">
      <c r="J651"/>
      <c r="K651"/>
      <c r="L651"/>
      <c r="M651"/>
      <c r="N651"/>
      <c r="O651"/>
      <c r="P651" s="2"/>
      <c r="T651"/>
      <c r="U651"/>
      <c r="V651"/>
      <c r="W651"/>
      <c r="Y651"/>
    </row>
    <row r="652" spans="10:25" s="1" customFormat="1" x14ac:dyDescent="0.2">
      <c r="J652"/>
      <c r="K652"/>
      <c r="L652"/>
      <c r="M652"/>
      <c r="N652"/>
      <c r="O652"/>
      <c r="P652" s="2"/>
      <c r="T652"/>
      <c r="U652"/>
      <c r="V652"/>
      <c r="W652"/>
      <c r="Y652"/>
    </row>
    <row r="653" spans="10:25" s="1" customFormat="1" x14ac:dyDescent="0.2">
      <c r="J653"/>
      <c r="K653"/>
      <c r="L653"/>
      <c r="M653"/>
      <c r="N653"/>
      <c r="O653"/>
      <c r="P653" s="2"/>
      <c r="T653"/>
      <c r="U653"/>
      <c r="V653"/>
      <c r="W653"/>
      <c r="Y653"/>
    </row>
    <row r="654" spans="10:25" s="1" customFormat="1" x14ac:dyDescent="0.2">
      <c r="J654"/>
      <c r="K654"/>
      <c r="L654"/>
      <c r="M654"/>
      <c r="N654"/>
      <c r="O654"/>
      <c r="P654" s="2"/>
      <c r="T654"/>
      <c r="U654"/>
      <c r="V654"/>
      <c r="W654"/>
      <c r="Y654"/>
    </row>
    <row r="655" spans="10:25" s="1" customFormat="1" x14ac:dyDescent="0.2">
      <c r="J655"/>
      <c r="K655"/>
      <c r="L655"/>
      <c r="M655"/>
      <c r="N655"/>
      <c r="O655"/>
      <c r="P655" s="2"/>
      <c r="T655"/>
      <c r="U655"/>
      <c r="V655"/>
      <c r="W655"/>
      <c r="Y655"/>
    </row>
    <row r="656" spans="10:25" s="1" customFormat="1" x14ac:dyDescent="0.2">
      <c r="J656"/>
      <c r="K656"/>
      <c r="L656"/>
      <c r="M656"/>
      <c r="N656"/>
      <c r="O656"/>
      <c r="P656" s="2"/>
      <c r="T656"/>
      <c r="U656"/>
      <c r="V656"/>
      <c r="W656"/>
      <c r="Y656"/>
    </row>
    <row r="657" spans="10:25" s="1" customFormat="1" x14ac:dyDescent="0.2">
      <c r="J657"/>
      <c r="K657"/>
      <c r="L657"/>
      <c r="M657"/>
      <c r="N657"/>
      <c r="O657"/>
      <c r="P657" s="2"/>
      <c r="T657"/>
      <c r="U657"/>
      <c r="V657"/>
      <c r="W657"/>
      <c r="Y657"/>
    </row>
    <row r="658" spans="10:25" s="1" customFormat="1" x14ac:dyDescent="0.2">
      <c r="J658"/>
      <c r="K658"/>
      <c r="L658"/>
      <c r="M658"/>
      <c r="N658"/>
      <c r="O658"/>
      <c r="P658" s="2"/>
      <c r="T658"/>
      <c r="U658"/>
      <c r="V658"/>
      <c r="W658"/>
      <c r="Y658"/>
    </row>
    <row r="659" spans="10:25" s="1" customFormat="1" x14ac:dyDescent="0.2">
      <c r="J659"/>
      <c r="K659"/>
      <c r="L659"/>
      <c r="M659"/>
      <c r="N659"/>
      <c r="O659"/>
      <c r="P659" s="2"/>
      <c r="T659"/>
      <c r="U659"/>
      <c r="V659"/>
      <c r="W659"/>
      <c r="Y659"/>
    </row>
    <row r="660" spans="10:25" s="1" customFormat="1" x14ac:dyDescent="0.2">
      <c r="J660"/>
      <c r="K660"/>
      <c r="L660"/>
      <c r="M660"/>
      <c r="N660"/>
      <c r="O660"/>
      <c r="P660" s="2"/>
      <c r="T660"/>
      <c r="U660"/>
      <c r="V660"/>
      <c r="W660"/>
      <c r="Y660"/>
    </row>
    <row r="661" spans="10:25" s="1" customFormat="1" x14ac:dyDescent="0.2">
      <c r="J661"/>
      <c r="K661"/>
      <c r="L661"/>
      <c r="M661"/>
      <c r="N661"/>
      <c r="O661"/>
      <c r="P661" s="2"/>
      <c r="T661"/>
      <c r="U661"/>
      <c r="V661"/>
      <c r="W661"/>
      <c r="Y661"/>
    </row>
    <row r="662" spans="10:25" s="1" customFormat="1" x14ac:dyDescent="0.2">
      <c r="J662"/>
      <c r="K662"/>
      <c r="L662"/>
      <c r="M662"/>
      <c r="N662"/>
      <c r="O662"/>
      <c r="P662" s="2"/>
      <c r="T662"/>
      <c r="U662"/>
      <c r="V662"/>
      <c r="W662"/>
      <c r="Y662"/>
    </row>
    <row r="663" spans="10:25" s="1" customFormat="1" x14ac:dyDescent="0.2">
      <c r="J663"/>
      <c r="K663"/>
      <c r="L663"/>
      <c r="M663"/>
      <c r="N663"/>
      <c r="O663"/>
      <c r="P663" s="2"/>
      <c r="T663"/>
      <c r="U663"/>
      <c r="V663"/>
      <c r="W663"/>
      <c r="Y663"/>
    </row>
    <row r="664" spans="10:25" s="1" customFormat="1" x14ac:dyDescent="0.2">
      <c r="J664"/>
      <c r="K664"/>
      <c r="L664"/>
      <c r="M664"/>
      <c r="N664"/>
      <c r="O664"/>
      <c r="P664" s="2"/>
      <c r="T664"/>
      <c r="U664"/>
      <c r="V664"/>
      <c r="W664"/>
      <c r="Y664"/>
    </row>
    <row r="665" spans="10:25" s="1" customFormat="1" x14ac:dyDescent="0.2">
      <c r="J665"/>
      <c r="K665"/>
      <c r="L665"/>
      <c r="M665"/>
      <c r="N665"/>
      <c r="O665"/>
      <c r="P665" s="2"/>
      <c r="T665"/>
      <c r="U665"/>
      <c r="V665"/>
      <c r="W665"/>
      <c r="Y665"/>
    </row>
    <row r="666" spans="10:25" s="1" customFormat="1" x14ac:dyDescent="0.2">
      <c r="J666"/>
      <c r="K666"/>
      <c r="L666"/>
      <c r="M666"/>
      <c r="N666"/>
      <c r="O666"/>
      <c r="P666" s="2"/>
      <c r="T666"/>
      <c r="U666"/>
      <c r="V666"/>
      <c r="W666"/>
      <c r="Y666"/>
    </row>
    <row r="667" spans="10:25" s="1" customFormat="1" x14ac:dyDescent="0.2">
      <c r="J667"/>
      <c r="K667"/>
      <c r="L667"/>
      <c r="M667"/>
      <c r="N667"/>
      <c r="O667"/>
      <c r="P667" s="2"/>
      <c r="T667"/>
      <c r="U667"/>
      <c r="V667"/>
      <c r="W667"/>
      <c r="Y667"/>
    </row>
    <row r="668" spans="10:25" s="1" customFormat="1" x14ac:dyDescent="0.2">
      <c r="J668"/>
      <c r="K668"/>
      <c r="L668"/>
      <c r="M668"/>
      <c r="N668"/>
      <c r="O668"/>
      <c r="P668" s="2"/>
      <c r="T668"/>
      <c r="U668"/>
      <c r="V668"/>
      <c r="W668"/>
      <c r="Y668"/>
    </row>
    <row r="669" spans="10:25" s="1" customFormat="1" x14ac:dyDescent="0.2">
      <c r="J669"/>
      <c r="K669"/>
      <c r="L669"/>
      <c r="M669"/>
      <c r="N669"/>
      <c r="O669"/>
      <c r="P669" s="2"/>
      <c r="T669"/>
      <c r="U669"/>
      <c r="V669"/>
      <c r="W669"/>
      <c r="Y669"/>
    </row>
    <row r="670" spans="10:25" s="1" customFormat="1" x14ac:dyDescent="0.2">
      <c r="J670"/>
      <c r="K670"/>
      <c r="L670"/>
      <c r="M670"/>
      <c r="N670"/>
      <c r="O670"/>
      <c r="P670" s="2"/>
      <c r="T670"/>
      <c r="U670"/>
      <c r="V670"/>
      <c r="W670"/>
      <c r="Y670"/>
    </row>
    <row r="671" spans="10:25" s="1" customFormat="1" x14ac:dyDescent="0.2">
      <c r="J671"/>
      <c r="K671"/>
      <c r="L671"/>
      <c r="M671"/>
      <c r="N671"/>
      <c r="O671"/>
      <c r="P671" s="2"/>
      <c r="T671"/>
      <c r="U671"/>
      <c r="V671"/>
      <c r="W671"/>
      <c r="Y671"/>
    </row>
    <row r="672" spans="10:25" s="1" customFormat="1" x14ac:dyDescent="0.2">
      <c r="J672"/>
      <c r="K672"/>
      <c r="L672"/>
      <c r="M672"/>
      <c r="N672"/>
      <c r="O672"/>
      <c r="P672" s="2"/>
      <c r="T672"/>
      <c r="U672"/>
      <c r="V672"/>
      <c r="W672"/>
      <c r="Y672"/>
    </row>
    <row r="673" spans="10:25" s="1" customFormat="1" x14ac:dyDescent="0.2">
      <c r="J673"/>
      <c r="K673"/>
      <c r="L673"/>
      <c r="M673"/>
      <c r="N673"/>
      <c r="O673"/>
      <c r="P673" s="2"/>
      <c r="T673"/>
      <c r="U673"/>
      <c r="V673"/>
      <c r="W673"/>
      <c r="Y673"/>
    </row>
    <row r="674" spans="10:25" s="1" customFormat="1" x14ac:dyDescent="0.2">
      <c r="J674"/>
      <c r="K674"/>
      <c r="L674"/>
      <c r="M674"/>
      <c r="N674"/>
      <c r="O674"/>
      <c r="P674" s="2"/>
      <c r="T674"/>
      <c r="U674"/>
      <c r="V674"/>
      <c r="W674"/>
      <c r="Y674"/>
    </row>
    <row r="675" spans="10:25" s="1" customFormat="1" x14ac:dyDescent="0.2">
      <c r="J675"/>
      <c r="K675"/>
      <c r="L675"/>
      <c r="M675"/>
      <c r="N675"/>
      <c r="O675"/>
      <c r="P675" s="2"/>
      <c r="T675"/>
      <c r="U675"/>
      <c r="V675"/>
      <c r="W675"/>
      <c r="Y675"/>
    </row>
    <row r="676" spans="10:25" s="1" customFormat="1" x14ac:dyDescent="0.2">
      <c r="J676"/>
      <c r="K676"/>
      <c r="L676"/>
      <c r="M676"/>
      <c r="N676"/>
      <c r="O676"/>
      <c r="P676" s="2"/>
      <c r="T676"/>
      <c r="U676"/>
      <c r="V676"/>
      <c r="W676"/>
      <c r="Y676"/>
    </row>
    <row r="677" spans="10:25" s="1" customFormat="1" x14ac:dyDescent="0.2">
      <c r="J677"/>
      <c r="K677"/>
      <c r="L677"/>
      <c r="M677"/>
      <c r="N677"/>
      <c r="O677"/>
      <c r="P677" s="2"/>
      <c r="T677"/>
      <c r="U677"/>
      <c r="V677"/>
      <c r="W677"/>
      <c r="Y677"/>
    </row>
    <row r="678" spans="10:25" s="1" customFormat="1" x14ac:dyDescent="0.2">
      <c r="J678"/>
      <c r="K678"/>
      <c r="L678"/>
      <c r="M678"/>
      <c r="N678"/>
      <c r="O678"/>
      <c r="P678" s="2"/>
      <c r="T678"/>
      <c r="U678"/>
      <c r="V678"/>
      <c r="W678"/>
      <c r="Y678"/>
    </row>
    <row r="679" spans="10:25" s="1" customFormat="1" x14ac:dyDescent="0.2">
      <c r="J679"/>
      <c r="K679"/>
      <c r="L679"/>
      <c r="M679"/>
      <c r="N679"/>
      <c r="O679"/>
      <c r="P679" s="2"/>
      <c r="T679"/>
      <c r="U679"/>
      <c r="V679"/>
      <c r="W679"/>
      <c r="Y679"/>
    </row>
    <row r="680" spans="10:25" s="1" customFormat="1" x14ac:dyDescent="0.2">
      <c r="J680"/>
      <c r="K680"/>
      <c r="L680"/>
      <c r="M680"/>
      <c r="N680"/>
      <c r="O680"/>
      <c r="P680" s="2"/>
      <c r="T680"/>
      <c r="U680"/>
      <c r="V680"/>
      <c r="W680"/>
      <c r="Y680"/>
    </row>
    <row r="681" spans="10:25" s="1" customFormat="1" x14ac:dyDescent="0.2">
      <c r="J681"/>
      <c r="K681"/>
      <c r="L681"/>
      <c r="M681"/>
      <c r="N681"/>
      <c r="O681"/>
      <c r="P681" s="2"/>
      <c r="T681"/>
      <c r="U681"/>
      <c r="V681"/>
      <c r="W681"/>
      <c r="Y681"/>
    </row>
    <row r="682" spans="10:25" s="1" customFormat="1" x14ac:dyDescent="0.2">
      <c r="J682"/>
      <c r="K682"/>
      <c r="L682"/>
      <c r="M682"/>
      <c r="N682"/>
      <c r="O682"/>
      <c r="P682" s="2"/>
      <c r="T682"/>
      <c r="U682"/>
      <c r="V682"/>
      <c r="W682"/>
      <c r="Y682"/>
    </row>
    <row r="683" spans="10:25" s="1" customFormat="1" x14ac:dyDescent="0.2">
      <c r="J683"/>
      <c r="K683"/>
      <c r="L683"/>
      <c r="M683"/>
      <c r="N683"/>
      <c r="O683"/>
      <c r="P683" s="2"/>
      <c r="T683"/>
      <c r="U683"/>
      <c r="V683"/>
      <c r="W683"/>
      <c r="Y683"/>
    </row>
    <row r="684" spans="10:25" s="1" customFormat="1" x14ac:dyDescent="0.2">
      <c r="J684"/>
      <c r="K684"/>
      <c r="L684"/>
      <c r="M684"/>
      <c r="N684"/>
      <c r="O684"/>
      <c r="P684" s="2"/>
      <c r="T684"/>
      <c r="U684"/>
      <c r="V684"/>
      <c r="W684"/>
      <c r="Y684"/>
    </row>
    <row r="685" spans="10:25" s="1" customFormat="1" x14ac:dyDescent="0.2">
      <c r="J685"/>
      <c r="K685"/>
      <c r="L685"/>
      <c r="M685"/>
      <c r="N685"/>
      <c r="O685"/>
      <c r="P685" s="2"/>
      <c r="T685"/>
      <c r="U685"/>
      <c r="V685"/>
      <c r="W685"/>
      <c r="Y685"/>
    </row>
    <row r="686" spans="10:25" s="1" customFormat="1" x14ac:dyDescent="0.2">
      <c r="J686"/>
      <c r="K686"/>
      <c r="L686"/>
      <c r="M686"/>
      <c r="N686"/>
      <c r="O686"/>
      <c r="P686" s="2"/>
      <c r="T686"/>
      <c r="U686"/>
      <c r="V686"/>
      <c r="W686"/>
      <c r="Y686"/>
    </row>
    <row r="687" spans="10:25" s="1" customFormat="1" x14ac:dyDescent="0.2">
      <c r="J687"/>
      <c r="K687"/>
      <c r="L687"/>
      <c r="M687"/>
      <c r="N687"/>
      <c r="O687"/>
      <c r="P687" s="2"/>
      <c r="T687"/>
      <c r="U687"/>
      <c r="V687"/>
      <c r="W687"/>
      <c r="Y687"/>
    </row>
    <row r="688" spans="10:25" s="1" customFormat="1" x14ac:dyDescent="0.2">
      <c r="J688"/>
      <c r="K688"/>
      <c r="L688"/>
      <c r="M688"/>
      <c r="N688"/>
      <c r="O688"/>
      <c r="P688" s="2"/>
      <c r="T688"/>
      <c r="U688"/>
      <c r="V688"/>
      <c r="W688"/>
      <c r="Y688"/>
    </row>
    <row r="689" spans="10:25" s="1" customFormat="1" x14ac:dyDescent="0.2">
      <c r="J689"/>
      <c r="K689"/>
      <c r="L689"/>
      <c r="M689"/>
      <c r="N689"/>
      <c r="O689"/>
      <c r="P689" s="2"/>
      <c r="T689"/>
      <c r="U689"/>
      <c r="V689"/>
      <c r="W689"/>
      <c r="Y689"/>
    </row>
    <row r="690" spans="10:25" s="1" customFormat="1" x14ac:dyDescent="0.2">
      <c r="J690"/>
      <c r="K690"/>
      <c r="L690"/>
      <c r="M690"/>
      <c r="N690"/>
      <c r="O690"/>
      <c r="P690" s="2"/>
      <c r="T690"/>
      <c r="U690"/>
      <c r="V690"/>
      <c r="W690"/>
      <c r="Y690"/>
    </row>
    <row r="691" spans="10:25" s="1" customFormat="1" x14ac:dyDescent="0.2">
      <c r="J691"/>
      <c r="K691"/>
      <c r="L691"/>
      <c r="M691"/>
      <c r="N691"/>
      <c r="O691"/>
      <c r="P691" s="2"/>
      <c r="T691"/>
      <c r="U691"/>
      <c r="V691"/>
      <c r="W691"/>
      <c r="Y691"/>
    </row>
    <row r="692" spans="10:25" s="1" customFormat="1" x14ac:dyDescent="0.2">
      <c r="J692"/>
      <c r="K692"/>
      <c r="L692"/>
      <c r="M692"/>
      <c r="N692"/>
      <c r="O692"/>
      <c r="P692" s="2"/>
      <c r="T692"/>
      <c r="U692"/>
      <c r="V692"/>
      <c r="W692"/>
      <c r="Y692"/>
    </row>
    <row r="693" spans="10:25" s="1" customFormat="1" x14ac:dyDescent="0.2">
      <c r="J693"/>
      <c r="K693"/>
      <c r="L693"/>
      <c r="M693"/>
      <c r="N693"/>
      <c r="O693"/>
      <c r="P693" s="2"/>
      <c r="T693"/>
      <c r="U693"/>
      <c r="V693"/>
      <c r="W693"/>
      <c r="Y693"/>
    </row>
    <row r="694" spans="10:25" s="1" customFormat="1" x14ac:dyDescent="0.2">
      <c r="J694"/>
      <c r="K694"/>
      <c r="L694"/>
      <c r="M694"/>
      <c r="N694"/>
      <c r="O694"/>
      <c r="P694" s="2"/>
      <c r="T694"/>
      <c r="U694"/>
      <c r="V694"/>
      <c r="W694"/>
      <c r="Y694"/>
    </row>
    <row r="695" spans="10:25" s="1" customFormat="1" x14ac:dyDescent="0.2">
      <c r="J695"/>
      <c r="K695"/>
      <c r="L695"/>
      <c r="M695"/>
      <c r="N695"/>
      <c r="O695"/>
      <c r="P695" s="2"/>
      <c r="T695"/>
      <c r="U695"/>
      <c r="V695"/>
      <c r="W695"/>
      <c r="Y695"/>
    </row>
    <row r="696" spans="10:25" s="1" customFormat="1" x14ac:dyDescent="0.2">
      <c r="J696"/>
      <c r="K696"/>
      <c r="L696"/>
      <c r="M696"/>
      <c r="N696"/>
      <c r="O696"/>
      <c r="P696" s="2"/>
      <c r="T696"/>
      <c r="U696"/>
      <c r="V696"/>
      <c r="W696"/>
      <c r="Y696"/>
    </row>
    <row r="697" spans="10:25" s="1" customFormat="1" x14ac:dyDescent="0.2">
      <c r="J697"/>
      <c r="K697"/>
      <c r="L697"/>
      <c r="M697"/>
      <c r="N697"/>
      <c r="O697"/>
      <c r="P697" s="2"/>
      <c r="T697"/>
      <c r="U697"/>
      <c r="V697"/>
      <c r="W697"/>
      <c r="Y697"/>
    </row>
    <row r="698" spans="10:25" s="1" customFormat="1" x14ac:dyDescent="0.2">
      <c r="J698"/>
      <c r="K698"/>
      <c r="L698"/>
      <c r="M698"/>
      <c r="N698"/>
      <c r="O698"/>
      <c r="P698" s="2"/>
      <c r="T698"/>
      <c r="U698"/>
      <c r="V698"/>
      <c r="W698"/>
      <c r="Y698"/>
    </row>
    <row r="699" spans="10:25" s="1" customFormat="1" x14ac:dyDescent="0.2">
      <c r="J699"/>
      <c r="K699"/>
      <c r="L699"/>
      <c r="M699"/>
      <c r="N699"/>
      <c r="O699"/>
      <c r="P699" s="2"/>
      <c r="T699"/>
      <c r="U699"/>
      <c r="V699"/>
      <c r="W699"/>
      <c r="Y699"/>
    </row>
    <row r="700" spans="10:25" s="1" customFormat="1" x14ac:dyDescent="0.2">
      <c r="J700"/>
      <c r="K700"/>
      <c r="L700"/>
      <c r="M700"/>
      <c r="N700"/>
      <c r="O700"/>
      <c r="P700" s="2"/>
      <c r="T700"/>
      <c r="U700"/>
      <c r="V700"/>
      <c r="W700"/>
      <c r="Y700"/>
    </row>
    <row r="701" spans="10:25" s="1" customFormat="1" x14ac:dyDescent="0.2">
      <c r="J701"/>
      <c r="K701"/>
      <c r="L701"/>
      <c r="M701"/>
      <c r="N701"/>
      <c r="O701"/>
      <c r="P701" s="2"/>
      <c r="T701"/>
      <c r="U701"/>
      <c r="V701"/>
      <c r="W701"/>
      <c r="Y701"/>
    </row>
    <row r="702" spans="10:25" s="1" customFormat="1" x14ac:dyDescent="0.2">
      <c r="J702"/>
      <c r="K702"/>
      <c r="L702"/>
      <c r="M702"/>
      <c r="N702"/>
      <c r="O702"/>
      <c r="P702" s="2"/>
      <c r="T702"/>
      <c r="U702"/>
      <c r="V702"/>
      <c r="W702"/>
      <c r="Y702"/>
    </row>
    <row r="703" spans="10:25" s="1" customFormat="1" x14ac:dyDescent="0.2">
      <c r="J703"/>
      <c r="K703"/>
      <c r="L703"/>
      <c r="M703"/>
      <c r="N703"/>
      <c r="O703"/>
      <c r="P703" s="2"/>
      <c r="T703"/>
      <c r="U703"/>
      <c r="V703"/>
      <c r="W703"/>
      <c r="Y703"/>
    </row>
    <row r="704" spans="10:25" s="1" customFormat="1" x14ac:dyDescent="0.2">
      <c r="J704"/>
      <c r="K704"/>
      <c r="L704"/>
      <c r="M704"/>
      <c r="N704"/>
      <c r="O704"/>
      <c r="P704" s="2"/>
      <c r="T704"/>
      <c r="U704"/>
      <c r="V704"/>
      <c r="W704"/>
      <c r="Y704"/>
    </row>
    <row r="705" spans="10:25" s="1" customFormat="1" x14ac:dyDescent="0.2">
      <c r="J705"/>
      <c r="K705"/>
      <c r="L705"/>
      <c r="M705"/>
      <c r="N705"/>
      <c r="O705"/>
      <c r="P705" s="2"/>
      <c r="T705"/>
      <c r="U705"/>
      <c r="V705"/>
      <c r="W705"/>
      <c r="Y705"/>
    </row>
    <row r="706" spans="10:25" s="1" customFormat="1" x14ac:dyDescent="0.2">
      <c r="J706"/>
      <c r="K706"/>
      <c r="L706"/>
      <c r="M706"/>
      <c r="N706"/>
      <c r="O706"/>
      <c r="P706" s="2"/>
      <c r="T706"/>
      <c r="U706"/>
      <c r="V706"/>
      <c r="W706"/>
      <c r="Y706"/>
    </row>
    <row r="707" spans="10:25" s="1" customFormat="1" x14ac:dyDescent="0.2">
      <c r="J707"/>
      <c r="K707"/>
      <c r="L707"/>
      <c r="M707"/>
      <c r="N707"/>
      <c r="O707"/>
      <c r="P707" s="2"/>
      <c r="T707"/>
      <c r="U707"/>
      <c r="V707"/>
      <c r="W707"/>
      <c r="Y707"/>
    </row>
    <row r="708" spans="10:25" s="1" customFormat="1" x14ac:dyDescent="0.2">
      <c r="J708"/>
      <c r="K708"/>
      <c r="L708"/>
      <c r="M708"/>
      <c r="N708"/>
      <c r="O708"/>
      <c r="P708" s="2"/>
      <c r="T708"/>
      <c r="U708"/>
      <c r="V708"/>
      <c r="W708"/>
      <c r="Y708"/>
    </row>
    <row r="709" spans="10:25" s="1" customFormat="1" x14ac:dyDescent="0.2">
      <c r="J709"/>
      <c r="K709"/>
      <c r="L709"/>
      <c r="M709"/>
      <c r="N709"/>
      <c r="O709"/>
      <c r="P709" s="2"/>
      <c r="T709"/>
      <c r="U709"/>
      <c r="V709"/>
      <c r="W709"/>
      <c r="Y709"/>
    </row>
    <row r="710" spans="10:25" s="1" customFormat="1" x14ac:dyDescent="0.2">
      <c r="J710"/>
      <c r="K710"/>
      <c r="L710"/>
      <c r="M710"/>
      <c r="N710"/>
      <c r="O710"/>
      <c r="P710" s="2"/>
      <c r="T710"/>
      <c r="U710"/>
      <c r="V710"/>
      <c r="W710"/>
      <c r="Y710"/>
    </row>
    <row r="711" spans="10:25" s="1" customFormat="1" x14ac:dyDescent="0.2">
      <c r="J711"/>
      <c r="K711"/>
      <c r="L711"/>
      <c r="M711"/>
      <c r="N711"/>
      <c r="O711"/>
      <c r="P711" s="2"/>
      <c r="T711"/>
      <c r="U711"/>
      <c r="V711"/>
      <c r="W711"/>
      <c r="Y711"/>
    </row>
    <row r="712" spans="10:25" s="1" customFormat="1" x14ac:dyDescent="0.2">
      <c r="J712"/>
      <c r="K712"/>
      <c r="L712"/>
      <c r="M712"/>
      <c r="N712"/>
      <c r="O712"/>
      <c r="P712" s="2"/>
      <c r="T712"/>
      <c r="U712"/>
      <c r="V712"/>
      <c r="W712"/>
      <c r="Y712"/>
    </row>
    <row r="713" spans="10:25" s="1" customFormat="1" x14ac:dyDescent="0.2">
      <c r="J713"/>
      <c r="K713"/>
      <c r="L713"/>
      <c r="M713"/>
      <c r="N713"/>
      <c r="O713"/>
      <c r="P713" s="2"/>
      <c r="T713"/>
      <c r="U713"/>
      <c r="V713"/>
      <c r="W713"/>
      <c r="Y713"/>
    </row>
    <row r="714" spans="10:25" s="1" customFormat="1" x14ac:dyDescent="0.2">
      <c r="J714"/>
      <c r="K714"/>
      <c r="L714"/>
      <c r="M714"/>
      <c r="N714"/>
      <c r="O714"/>
      <c r="P714" s="2"/>
      <c r="T714"/>
      <c r="U714"/>
      <c r="V714"/>
      <c r="W714"/>
      <c r="Y714"/>
    </row>
    <row r="715" spans="10:25" s="1" customFormat="1" x14ac:dyDescent="0.2">
      <c r="J715"/>
      <c r="K715"/>
      <c r="L715"/>
      <c r="M715"/>
      <c r="N715"/>
      <c r="O715"/>
      <c r="P715" s="2"/>
      <c r="T715"/>
      <c r="U715"/>
      <c r="V715"/>
      <c r="W715"/>
      <c r="Y715"/>
    </row>
    <row r="716" spans="10:25" s="1" customFormat="1" x14ac:dyDescent="0.2">
      <c r="J716"/>
      <c r="K716"/>
      <c r="L716"/>
      <c r="M716"/>
      <c r="N716"/>
      <c r="O716"/>
      <c r="P716" s="2"/>
      <c r="T716"/>
      <c r="U716"/>
      <c r="V716"/>
      <c r="W716"/>
      <c r="Y716"/>
    </row>
    <row r="717" spans="10:25" s="1" customFormat="1" x14ac:dyDescent="0.2">
      <c r="J717"/>
      <c r="K717"/>
      <c r="L717"/>
      <c r="M717"/>
      <c r="N717"/>
      <c r="O717"/>
      <c r="P717" s="2"/>
      <c r="T717"/>
      <c r="U717"/>
      <c r="V717"/>
      <c r="W717"/>
      <c r="Y717"/>
    </row>
    <row r="718" spans="10:25" s="1" customFormat="1" x14ac:dyDescent="0.2">
      <c r="J718"/>
      <c r="K718"/>
      <c r="L718"/>
      <c r="M718"/>
      <c r="N718"/>
      <c r="O718"/>
      <c r="P718" s="2"/>
      <c r="T718"/>
      <c r="U718"/>
      <c r="V718"/>
      <c r="W718"/>
      <c r="Y718"/>
    </row>
    <row r="719" spans="10:25" s="1" customFormat="1" x14ac:dyDescent="0.2">
      <c r="J719"/>
      <c r="K719"/>
      <c r="L719"/>
      <c r="M719"/>
      <c r="N719"/>
      <c r="O719"/>
      <c r="P719" s="2"/>
      <c r="T719"/>
      <c r="U719"/>
      <c r="V719"/>
      <c r="W719"/>
      <c r="Y719"/>
    </row>
    <row r="720" spans="10:25" s="1" customFormat="1" x14ac:dyDescent="0.2">
      <c r="J720"/>
      <c r="K720"/>
      <c r="L720"/>
      <c r="M720"/>
      <c r="N720"/>
      <c r="O720"/>
      <c r="P720" s="2"/>
      <c r="T720"/>
      <c r="U720"/>
      <c r="V720"/>
      <c r="W720"/>
      <c r="Y720"/>
    </row>
    <row r="721" spans="10:25" s="1" customFormat="1" x14ac:dyDescent="0.2">
      <c r="J721"/>
      <c r="K721"/>
      <c r="L721"/>
      <c r="M721"/>
      <c r="N721"/>
      <c r="O721"/>
      <c r="P721" s="2"/>
      <c r="T721"/>
      <c r="U721"/>
      <c r="V721"/>
      <c r="W721"/>
      <c r="Y721"/>
    </row>
    <row r="722" spans="10:25" s="1" customFormat="1" x14ac:dyDescent="0.2">
      <c r="J722"/>
      <c r="K722"/>
      <c r="L722"/>
      <c r="M722"/>
      <c r="N722"/>
      <c r="O722"/>
      <c r="P722" s="2"/>
      <c r="T722"/>
      <c r="U722"/>
      <c r="V722"/>
      <c r="W722"/>
      <c r="Y722"/>
    </row>
    <row r="723" spans="10:25" s="1" customFormat="1" x14ac:dyDescent="0.2">
      <c r="J723"/>
      <c r="K723"/>
      <c r="L723"/>
      <c r="M723"/>
      <c r="N723"/>
      <c r="O723"/>
      <c r="P723" s="2"/>
      <c r="T723"/>
      <c r="U723"/>
      <c r="V723"/>
      <c r="W723"/>
      <c r="Y723"/>
    </row>
    <row r="724" spans="10:25" s="1" customFormat="1" x14ac:dyDescent="0.2">
      <c r="J724"/>
      <c r="K724"/>
      <c r="L724"/>
      <c r="M724"/>
      <c r="N724"/>
      <c r="O724"/>
      <c r="P724" s="2"/>
      <c r="T724"/>
      <c r="U724"/>
      <c r="V724"/>
      <c r="W724"/>
      <c r="Y724"/>
    </row>
    <row r="725" spans="10:25" s="1" customFormat="1" x14ac:dyDescent="0.2">
      <c r="J725"/>
      <c r="K725"/>
      <c r="L725"/>
      <c r="M725"/>
      <c r="N725"/>
      <c r="O725"/>
      <c r="P725" s="2"/>
      <c r="T725"/>
      <c r="U725"/>
      <c r="V725"/>
      <c r="W725"/>
      <c r="Y725"/>
    </row>
    <row r="726" spans="10:25" s="1" customFormat="1" x14ac:dyDescent="0.2">
      <c r="J726"/>
      <c r="K726"/>
      <c r="L726"/>
      <c r="M726"/>
      <c r="N726"/>
      <c r="O726"/>
      <c r="P726" s="2"/>
      <c r="T726"/>
      <c r="U726"/>
      <c r="V726"/>
      <c r="W726"/>
      <c r="Y726"/>
    </row>
    <row r="727" spans="10:25" s="1" customFormat="1" x14ac:dyDescent="0.2">
      <c r="J727"/>
      <c r="K727"/>
      <c r="L727"/>
      <c r="M727"/>
      <c r="N727"/>
      <c r="O727"/>
      <c r="P727" s="2"/>
      <c r="T727"/>
      <c r="U727"/>
      <c r="V727"/>
      <c r="W727"/>
      <c r="Y727"/>
    </row>
    <row r="728" spans="10:25" s="1" customFormat="1" x14ac:dyDescent="0.2">
      <c r="J728"/>
      <c r="K728"/>
      <c r="L728"/>
      <c r="M728"/>
      <c r="N728"/>
      <c r="O728"/>
      <c r="P728" s="2"/>
      <c r="T728"/>
      <c r="U728"/>
      <c r="V728"/>
      <c r="W728"/>
      <c r="Y728"/>
    </row>
    <row r="729" spans="10:25" s="1" customFormat="1" x14ac:dyDescent="0.2">
      <c r="J729"/>
      <c r="K729"/>
      <c r="L729"/>
      <c r="M729"/>
      <c r="N729"/>
      <c r="O729"/>
      <c r="P729" s="2"/>
      <c r="T729"/>
      <c r="U729"/>
      <c r="V729"/>
      <c r="W729"/>
      <c r="Y729"/>
    </row>
    <row r="730" spans="10:25" s="1" customFormat="1" x14ac:dyDescent="0.2">
      <c r="J730"/>
      <c r="K730"/>
      <c r="L730"/>
      <c r="M730"/>
      <c r="N730"/>
      <c r="O730"/>
      <c r="P730" s="2"/>
      <c r="T730"/>
      <c r="U730"/>
      <c r="V730"/>
      <c r="W730"/>
      <c r="Y730"/>
    </row>
    <row r="731" spans="10:25" s="1" customFormat="1" x14ac:dyDescent="0.2">
      <c r="J731"/>
      <c r="K731"/>
      <c r="L731"/>
      <c r="M731"/>
      <c r="N731"/>
      <c r="O731"/>
      <c r="P731" s="2"/>
      <c r="T731"/>
      <c r="U731"/>
      <c r="V731"/>
      <c r="W731"/>
      <c r="Y731"/>
    </row>
    <row r="732" spans="10:25" s="1" customFormat="1" x14ac:dyDescent="0.2">
      <c r="J732"/>
      <c r="K732"/>
      <c r="L732"/>
      <c r="M732"/>
      <c r="N732"/>
      <c r="O732"/>
      <c r="P732" s="2"/>
      <c r="T732"/>
      <c r="U732"/>
      <c r="V732"/>
      <c r="W732"/>
      <c r="Y732"/>
    </row>
    <row r="733" spans="10:25" s="1" customFormat="1" x14ac:dyDescent="0.2">
      <c r="J733"/>
      <c r="K733"/>
      <c r="L733"/>
      <c r="M733"/>
      <c r="N733"/>
      <c r="O733"/>
      <c r="P733" s="2"/>
      <c r="T733"/>
      <c r="U733"/>
      <c r="V733"/>
      <c r="W733"/>
      <c r="Y733"/>
    </row>
    <row r="734" spans="10:25" s="1" customFormat="1" x14ac:dyDescent="0.2">
      <c r="J734"/>
      <c r="K734"/>
      <c r="L734"/>
      <c r="M734"/>
      <c r="N734"/>
      <c r="O734"/>
      <c r="P734" s="2"/>
      <c r="T734"/>
      <c r="U734"/>
      <c r="V734"/>
      <c r="W734"/>
      <c r="Y734"/>
    </row>
    <row r="735" spans="10:25" s="1" customFormat="1" x14ac:dyDescent="0.2">
      <c r="J735"/>
      <c r="K735"/>
      <c r="L735"/>
      <c r="M735"/>
      <c r="N735"/>
      <c r="O735"/>
      <c r="P735" s="2"/>
      <c r="T735"/>
      <c r="U735"/>
      <c r="V735"/>
      <c r="W735"/>
      <c r="Y735"/>
    </row>
    <row r="65464" spans="13:13" x14ac:dyDescent="0.2">
      <c r="M65464">
        <v>4</v>
      </c>
    </row>
  </sheetData>
  <mergeCells count="129">
    <mergeCell ref="B29:B30"/>
    <mergeCell ref="Y47:AE47"/>
    <mergeCell ref="Y34:AE34"/>
    <mergeCell ref="D24:D25"/>
    <mergeCell ref="T22:T24"/>
    <mergeCell ref="U22:U24"/>
    <mergeCell ref="Y35:AE35"/>
    <mergeCell ref="Y40:AE40"/>
    <mergeCell ref="Y41:AE41"/>
    <mergeCell ref="Y42:AE42"/>
    <mergeCell ref="K29:K30"/>
    <mergeCell ref="J29:J30"/>
    <mergeCell ref="X29:X30"/>
    <mergeCell ref="W29:W30"/>
    <mergeCell ref="U29:U30"/>
    <mergeCell ref="S29:S30"/>
    <mergeCell ref="T29:T30"/>
    <mergeCell ref="Y30:AE30"/>
    <mergeCell ref="Y31:AE31"/>
    <mergeCell ref="Y32:AE32"/>
    <mergeCell ref="Y33:AE33"/>
    <mergeCell ref="Y43:AE43"/>
    <mergeCell ref="Y44:AE44"/>
    <mergeCell ref="Y45:AE45"/>
    <mergeCell ref="E63:F63"/>
    <mergeCell ref="E64:F64"/>
    <mergeCell ref="Y56:AE56"/>
    <mergeCell ref="Y57:AE57"/>
    <mergeCell ref="Y58:AE58"/>
    <mergeCell ref="Y59:AE59"/>
    <mergeCell ref="E62:F62"/>
    <mergeCell ref="Y60:AE60"/>
    <mergeCell ref="W5:W6"/>
    <mergeCell ref="U5:U6"/>
    <mergeCell ref="T5:T6"/>
    <mergeCell ref="S5:S6"/>
    <mergeCell ref="E5:E6"/>
    <mergeCell ref="J5:J6"/>
    <mergeCell ref="K5:K6"/>
    <mergeCell ref="M5:M6"/>
    <mergeCell ref="Y52:AE52"/>
    <mergeCell ref="Y53:AE53"/>
    <mergeCell ref="Y54:AE54"/>
    <mergeCell ref="Y55:AE55"/>
    <mergeCell ref="Y46:AE46"/>
    <mergeCell ref="Y49:AE49"/>
    <mergeCell ref="Y50:AE50"/>
    <mergeCell ref="Y51:AE51"/>
    <mergeCell ref="Y48:AE48"/>
    <mergeCell ref="Y36:AE36"/>
    <mergeCell ref="Y37:AE37"/>
    <mergeCell ref="Y38:AE38"/>
    <mergeCell ref="Y39:AE39"/>
    <mergeCell ref="Y24:AE24"/>
    <mergeCell ref="Y25:AE25"/>
    <mergeCell ref="Y19:AE19"/>
    <mergeCell ref="Y20:AE21"/>
    <mergeCell ref="Y26:AE26"/>
    <mergeCell ref="Y27:AE27"/>
    <mergeCell ref="Y22:AE23"/>
    <mergeCell ref="Y28:AE28"/>
    <mergeCell ref="Y29:AE29"/>
    <mergeCell ref="X10:X13"/>
    <mergeCell ref="W10:W13"/>
    <mergeCell ref="B2:Y2"/>
    <mergeCell ref="Y3:AE3"/>
    <mergeCell ref="Y4:AE4"/>
    <mergeCell ref="B5:B6"/>
    <mergeCell ref="X5:X6"/>
    <mergeCell ref="U7:U8"/>
    <mergeCell ref="W7:W8"/>
    <mergeCell ref="X7:X8"/>
    <mergeCell ref="B7:B8"/>
    <mergeCell ref="E7:E8"/>
    <mergeCell ref="J7:J8"/>
    <mergeCell ref="K7:K8"/>
    <mergeCell ref="M7:M8"/>
    <mergeCell ref="S7:S8"/>
    <mergeCell ref="T7:T8"/>
    <mergeCell ref="Y8:AE8"/>
    <mergeCell ref="Y9:AE9"/>
    <mergeCell ref="Y5:AE5"/>
    <mergeCell ref="Y6:AE6"/>
    <mergeCell ref="Y7:AE7"/>
    <mergeCell ref="E10:E13"/>
    <mergeCell ref="B10:B13"/>
    <mergeCell ref="Y16:AE16"/>
    <mergeCell ref="Y17:AE17"/>
    <mergeCell ref="Y18:AE18"/>
    <mergeCell ref="Y14:AE14"/>
    <mergeCell ref="Y15:AE15"/>
    <mergeCell ref="Y10:AE10"/>
    <mergeCell ref="Y11:AE11"/>
    <mergeCell ref="Y12:AE12"/>
    <mergeCell ref="Y13:AE13"/>
    <mergeCell ref="M10:M13"/>
    <mergeCell ref="E20:E21"/>
    <mergeCell ref="I20:I21"/>
    <mergeCell ref="J20:J21"/>
    <mergeCell ref="K20:K21"/>
    <mergeCell ref="B22:B24"/>
    <mergeCell ref="E22:E24"/>
    <mergeCell ref="J22:J24"/>
    <mergeCell ref="W20:W21"/>
    <mergeCell ref="B20:B21"/>
    <mergeCell ref="X20:X21"/>
    <mergeCell ref="K10:K13"/>
    <mergeCell ref="W22:W24"/>
    <mergeCell ref="X22:X24"/>
    <mergeCell ref="F22:F23"/>
    <mergeCell ref="H22:H23"/>
    <mergeCell ref="J10:J13"/>
    <mergeCell ref="I22:I23"/>
    <mergeCell ref="K22:K24"/>
    <mergeCell ref="M22:M24"/>
    <mergeCell ref="S22:S24"/>
    <mergeCell ref="N22:N23"/>
    <mergeCell ref="Q22:Q23"/>
    <mergeCell ref="M20:M21"/>
    <mergeCell ref="N20:N21"/>
    <mergeCell ref="Q20:Q21"/>
    <mergeCell ref="S20:S21"/>
    <mergeCell ref="T20:T21"/>
    <mergeCell ref="U20:U21"/>
    <mergeCell ref="F20:F21"/>
    <mergeCell ref="H20:H21"/>
    <mergeCell ref="U10:U13"/>
    <mergeCell ref="T10:T13"/>
    <mergeCell ref="S10:S13"/>
  </mergeCells>
  <conditionalFormatting sqref="B2 J73:J65536">
    <cfRule type="cellIs" dxfId="1797" priority="1497" stopIfTrue="1" operator="lessThan">
      <formula>438</formula>
    </cfRule>
  </conditionalFormatting>
  <conditionalFormatting sqref="I66:I72">
    <cfRule type="cellIs" dxfId="1796" priority="1473" stopIfTrue="1" operator="lessThan">
      <formula>0%</formula>
    </cfRule>
    <cfRule type="cellIs" dxfId="1795" priority="1472" stopIfTrue="1" operator="greaterThan">
      <formula>1.5%</formula>
    </cfRule>
  </conditionalFormatting>
  <conditionalFormatting sqref="I74">
    <cfRule type="cellIs" dxfId="1794" priority="1487" stopIfTrue="1" operator="lessThan">
      <formula>438</formula>
    </cfRule>
  </conditionalFormatting>
  <conditionalFormatting sqref="J3">
    <cfRule type="cellIs" dxfId="1793" priority="3" stopIfTrue="1" operator="lessThan">
      <formula>456.25</formula>
    </cfRule>
    <cfRule type="cellIs" dxfId="1792" priority="5" stopIfTrue="1" operator="lessThan">
      <formula>438</formula>
    </cfRule>
  </conditionalFormatting>
  <conditionalFormatting sqref="J4:J5 J7 J9:J10">
    <cfRule type="cellIs" dxfId="1791" priority="157" stopIfTrue="1" operator="lessThan">
      <formula>524</formula>
    </cfRule>
  </conditionalFormatting>
  <conditionalFormatting sqref="J14:J20 J22">
    <cfRule type="cellIs" dxfId="1790" priority="156" stopIfTrue="1" operator="lessThan">
      <formula>524</formula>
    </cfRule>
  </conditionalFormatting>
  <conditionalFormatting sqref="J25:J29">
    <cfRule type="cellIs" dxfId="1789" priority="71" stopIfTrue="1" operator="lessThan">
      <formula>524</formula>
    </cfRule>
  </conditionalFormatting>
  <conditionalFormatting sqref="J31:J60">
    <cfRule type="cellIs" dxfId="1788" priority="957" stopIfTrue="1" operator="lessThan">
      <formula>524</formula>
    </cfRule>
  </conditionalFormatting>
  <conditionalFormatting sqref="J61">
    <cfRule type="cellIs" dxfId="1787" priority="1489" stopIfTrue="1" operator="lessThan">
      <formula>462</formula>
    </cfRule>
  </conditionalFormatting>
  <conditionalFormatting sqref="J66:J72">
    <cfRule type="cellIs" dxfId="1786" priority="1492" stopIfTrue="1" operator="lessThan">
      <formula>73%</formula>
    </cfRule>
  </conditionalFormatting>
  <conditionalFormatting sqref="K14:K20 K22">
    <cfRule type="cellIs" dxfId="1785" priority="108" stopIfTrue="1" operator="lessThan">
      <formula>540</formula>
    </cfRule>
  </conditionalFormatting>
  <conditionalFormatting sqref="K25:K29">
    <cfRule type="cellIs" dxfId="1784" priority="47" stopIfTrue="1" operator="lessThan">
      <formula>540</formula>
    </cfRule>
  </conditionalFormatting>
  <conditionalFormatting sqref="K4:L5 L6 K7:L7 L8 K9:L9 K10">
    <cfRule type="cellIs" dxfId="1783" priority="160" stopIfTrue="1" operator="lessThan">
      <formula>540</formula>
    </cfRule>
  </conditionalFormatting>
  <conditionalFormatting sqref="K31:L59">
    <cfRule type="cellIs" dxfId="1782" priority="958" stopIfTrue="1" operator="lessThan">
      <formula>540</formula>
    </cfRule>
  </conditionalFormatting>
  <conditionalFormatting sqref="L10:L30">
    <cfRule type="cellIs" dxfId="1781" priority="228" stopIfTrue="1" operator="lessThan">
      <formula>540</formula>
    </cfRule>
  </conditionalFormatting>
  <conditionalFormatting sqref="Q4:Q20 Q22">
    <cfRule type="cellIs" dxfId="1780" priority="180" stopIfTrue="1" operator="greaterThan">
      <formula>1.1</formula>
    </cfRule>
  </conditionalFormatting>
  <conditionalFormatting sqref="Q24:Q62">
    <cfRule type="cellIs" dxfId="1779" priority="72" stopIfTrue="1" operator="greaterThan">
      <formula>1.1</formula>
    </cfRule>
  </conditionalFormatting>
  <conditionalFormatting sqref="Q62:Q63">
    <cfRule type="cellIs" dxfId="1778" priority="1490" stopIfTrue="1" operator="greaterThan">
      <formula>1.5%</formula>
    </cfRule>
    <cfRule type="cellIs" dxfId="1777" priority="1491" stopIfTrue="1" operator="lessThan">
      <formula>0%</formula>
    </cfRule>
  </conditionalFormatting>
  <conditionalFormatting sqref="Q66">
    <cfRule type="cellIs" dxfId="1776" priority="1474" stopIfTrue="1" operator="greaterThan">
      <formula>1.1</formula>
    </cfRule>
  </conditionalFormatting>
  <conditionalFormatting sqref="S4:T5 S7:T7 S9:T10">
    <cfRule type="cellIs" dxfId="1775" priority="158" stopIfTrue="1" operator="lessThan">
      <formula>0.67</formula>
    </cfRule>
  </conditionalFormatting>
  <conditionalFormatting sqref="S14:T20 S22:T22">
    <cfRule type="cellIs" dxfId="1774" priority="106" stopIfTrue="1" operator="lessThan">
      <formula>0.67</formula>
    </cfRule>
  </conditionalFormatting>
  <conditionalFormatting sqref="S25:T29">
    <cfRule type="cellIs" dxfId="1773" priority="45" stopIfTrue="1" operator="lessThan">
      <formula>0.67</formula>
    </cfRule>
  </conditionalFormatting>
  <conditionalFormatting sqref="S31:T60">
    <cfRule type="cellIs" dxfId="1772" priority="1006" stopIfTrue="1" operator="lessThan">
      <formula>0.67</formula>
    </cfRule>
  </conditionalFormatting>
  <conditionalFormatting sqref="S61:T61">
    <cfRule type="cellIs" dxfId="1771" priority="1340" stopIfTrue="1" operator="lessThan">
      <formula>0.6</formula>
    </cfRule>
  </conditionalFormatting>
  <conditionalFormatting sqref="S66:T66">
    <cfRule type="cellIs" dxfId="1770" priority="1" stopIfTrue="1" operator="lessThan">
      <formula>0.67</formula>
    </cfRule>
  </conditionalFormatting>
  <conditionalFormatting sqref="U14:U20 U22">
    <cfRule type="cellIs" dxfId="1769" priority="90" stopIfTrue="1" operator="lessThan">
      <formula>0.74</formula>
    </cfRule>
  </conditionalFormatting>
  <conditionalFormatting sqref="U25:U29">
    <cfRule type="cellIs" dxfId="1768" priority="29" stopIfTrue="1" operator="lessThan">
      <formula>0.74</formula>
    </cfRule>
  </conditionalFormatting>
  <conditionalFormatting sqref="U62:U63">
    <cfRule type="cellIs" dxfId="1767" priority="1493" stopIfTrue="1" operator="lessThan">
      <formula>73%</formula>
    </cfRule>
  </conditionalFormatting>
  <conditionalFormatting sqref="U66 W66:X66">
    <cfRule type="cellIs" dxfId="1766" priority="1475" stopIfTrue="1" operator="lessThan">
      <formula>0.74</formula>
    </cfRule>
  </conditionalFormatting>
  <conditionalFormatting sqref="U79">
    <cfRule type="cellIs" dxfId="1765" priority="1479" stopIfTrue="1" operator="lessThan">
      <formula>0.74</formula>
    </cfRule>
  </conditionalFormatting>
  <conditionalFormatting sqref="U80">
    <cfRule type="cellIs" dxfId="1764" priority="1477" stopIfTrue="1" operator="greaterThan">
      <formula>1.1</formula>
    </cfRule>
  </conditionalFormatting>
  <conditionalFormatting sqref="U4:W5 V6 U7:W7 V8 U9:W9 U10 W10">
    <cfRule type="cellIs" dxfId="1763" priority="172" stopIfTrue="1" operator="lessThan">
      <formula>0.74</formula>
    </cfRule>
  </conditionalFormatting>
  <conditionalFormatting sqref="U31:W61">
    <cfRule type="cellIs" dxfId="1762" priority="1007" stopIfTrue="1" operator="lessThan">
      <formula>0.74</formula>
    </cfRule>
  </conditionalFormatting>
  <conditionalFormatting sqref="U3:X3">
    <cfRule type="cellIs" dxfId="1761" priority="1481" stopIfTrue="1" operator="lessThan">
      <formula>0.65</formula>
    </cfRule>
  </conditionalFormatting>
  <conditionalFormatting sqref="V10:V30">
    <cfRule type="cellIs" dxfId="1760" priority="276" stopIfTrue="1" operator="lessThan">
      <formula>0.74</formula>
    </cfRule>
  </conditionalFormatting>
  <conditionalFormatting sqref="V62:X63">
    <cfRule type="cellIs" dxfId="1759" priority="1496" stopIfTrue="1" operator="lessThan">
      <formula>75%</formula>
    </cfRule>
  </conditionalFormatting>
  <conditionalFormatting sqref="W14:W20 W22">
    <cfRule type="cellIs" dxfId="1758" priority="74" stopIfTrue="1" operator="lessThan">
      <formula>0.74</formula>
    </cfRule>
  </conditionalFormatting>
  <conditionalFormatting sqref="W25:W29">
    <cfRule type="cellIs" dxfId="1757" priority="13" stopIfTrue="1" operator="lessThan">
      <formula>0.74</formula>
    </cfRule>
  </conditionalFormatting>
  <conditionalFormatting sqref="W79:X79">
    <cfRule type="cellIs" dxfId="1756" priority="1478" stopIfTrue="1" operator="lessThan">
      <formula>0.74</formula>
    </cfRule>
  </conditionalFormatting>
  <conditionalFormatting sqref="X4:X5 X7 X9:X10">
    <cfRule type="cellIs" dxfId="1755" priority="159" stopIfTrue="1" operator="lessThan">
      <formula>0.95</formula>
    </cfRule>
  </conditionalFormatting>
  <conditionalFormatting sqref="X14:X20 X22">
    <cfRule type="cellIs" dxfId="1754" priority="73" stopIfTrue="1" operator="lessThan">
      <formula>0.95</formula>
    </cfRule>
  </conditionalFormatting>
  <conditionalFormatting sqref="X25:X29">
    <cfRule type="cellIs" dxfId="1753" priority="12" stopIfTrue="1" operator="lessThan">
      <formula>0.95</formula>
    </cfRule>
  </conditionalFormatting>
  <conditionalFormatting sqref="X31:X61">
    <cfRule type="cellIs" dxfId="1752" priority="1023" stopIfTrue="1" operator="lessThan">
      <formula>0.95</formula>
    </cfRule>
  </conditionalFormatting>
  <printOptions horizontalCentered="1"/>
  <pageMargins left="0.10312499999999999" right="0.5" top="0.25" bottom="0.27" header="0.25" footer="0.27"/>
  <pageSetup paperSize="5" scale="40" fitToHeight="0" orientation="landscape"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7041E-D326-4940-9198-2BADBF5E3B07}">
  <sheetPr codeName="Sheet13">
    <pageSetUpPr fitToPage="1"/>
  </sheetPr>
  <dimension ref="A2:AG65464"/>
  <sheetViews>
    <sheetView showZeros="0" showWhiteSpace="0" zoomScale="70" zoomScaleNormal="70" workbookViewId="0">
      <pane xSplit="3" ySplit="3" topLeftCell="D34" activePane="bottomRight" state="frozen"/>
      <selection activeCell="M66" sqref="M66"/>
      <selection pane="topRight" activeCell="M66" sqref="M66"/>
      <selection pane="bottomLeft" activeCell="M66" sqref="M66"/>
      <selection pane="bottomRight" activeCell="M66" sqref="M66"/>
    </sheetView>
  </sheetViews>
  <sheetFormatPr defaultColWidth="9.42578125" defaultRowHeight="12.75" x14ac:dyDescent="0.2"/>
  <cols>
    <col min="1" max="1" width="3.42578125" customWidth="1"/>
    <col min="2" max="2" width="15.42578125" style="1" bestFit="1" customWidth="1"/>
    <col min="3" max="3" width="32.42578125" style="1" customWidth="1"/>
    <col min="4" max="4" width="14.42578125" style="1" customWidth="1"/>
    <col min="5" max="5" width="12.5703125" style="1" customWidth="1"/>
    <col min="6" max="6" width="12.42578125" style="1" customWidth="1"/>
    <col min="7" max="8" width="12.42578125" customWidth="1"/>
    <col min="9" max="9" width="11.42578125" style="1" customWidth="1"/>
    <col min="10" max="10" width="12" customWidth="1"/>
    <col min="11" max="11" width="13.5703125" customWidth="1"/>
    <col min="12" max="12" width="13.42578125" hidden="1" customWidth="1"/>
    <col min="13" max="13" width="10.5703125" customWidth="1"/>
    <col min="14" max="14" width="10.42578125" customWidth="1"/>
    <col min="15" max="15" width="10" customWidth="1"/>
    <col min="16" max="16" width="12" style="2" customWidth="1"/>
    <col min="17" max="17" width="14.42578125" style="1" customWidth="1"/>
    <col min="18" max="18" width="7.5703125" style="1" hidden="1" customWidth="1"/>
    <col min="19" max="19" width="13.42578125" style="1" customWidth="1"/>
    <col min="20" max="20" width="12.5703125" customWidth="1"/>
    <col min="21" max="21" width="13.42578125" customWidth="1"/>
    <col min="22" max="22" width="10.42578125" hidden="1" customWidth="1"/>
    <col min="23" max="23" width="12.5703125" customWidth="1"/>
    <col min="24" max="24" width="14.5703125" style="1" customWidth="1"/>
    <col min="25" max="25" width="12" customWidth="1"/>
    <col min="26" max="26" width="17" customWidth="1"/>
    <col min="27" max="27" width="15.42578125" customWidth="1"/>
    <col min="28" max="28" width="15.5703125" customWidth="1"/>
    <col min="29" max="29" width="14" customWidth="1"/>
    <col min="30" max="30" width="25.5703125" customWidth="1"/>
    <col min="31" max="31" width="52.42578125" customWidth="1"/>
  </cols>
  <sheetData>
    <row r="2" spans="2:33" ht="24" thickBot="1" x14ac:dyDescent="0.4">
      <c r="B2" s="1022" t="s">
        <v>406</v>
      </c>
      <c r="C2" s="1022"/>
      <c r="D2" s="1022"/>
      <c r="E2" s="1022"/>
      <c r="F2" s="1022"/>
      <c r="G2" s="1022"/>
      <c r="H2" s="1022"/>
      <c r="I2" s="1022"/>
      <c r="J2" s="1022"/>
      <c r="K2" s="1022"/>
      <c r="L2" s="1022"/>
      <c r="M2" s="1022"/>
      <c r="N2" s="1022"/>
      <c r="O2" s="1022"/>
      <c r="P2" s="1022"/>
      <c r="Q2" s="1022"/>
      <c r="R2" s="1022"/>
      <c r="S2" s="1022"/>
      <c r="T2" s="1022"/>
      <c r="U2" s="1022"/>
      <c r="V2" s="1022"/>
      <c r="W2" s="1022"/>
      <c r="X2" s="1065"/>
      <c r="Y2" s="1065"/>
    </row>
    <row r="3" spans="2:33" ht="67.5" customHeight="1" thickTop="1" thickBot="1" x14ac:dyDescent="0.25">
      <c r="B3" s="37" t="s">
        <v>0</v>
      </c>
      <c r="C3" s="38" t="s">
        <v>2</v>
      </c>
      <c r="D3" s="38" t="s">
        <v>12</v>
      </c>
      <c r="E3" s="38" t="s">
        <v>11</v>
      </c>
      <c r="F3" s="38" t="s">
        <v>15</v>
      </c>
      <c r="G3" s="38" t="s">
        <v>9</v>
      </c>
      <c r="H3" s="38" t="s">
        <v>17</v>
      </c>
      <c r="I3" s="38" t="s">
        <v>5</v>
      </c>
      <c r="J3" s="38" t="s">
        <v>494</v>
      </c>
      <c r="K3" s="38" t="s">
        <v>4</v>
      </c>
      <c r="L3" s="38" t="s">
        <v>540</v>
      </c>
      <c r="M3" s="38" t="s">
        <v>161</v>
      </c>
      <c r="N3" s="38" t="s">
        <v>10</v>
      </c>
      <c r="O3" s="38" t="s">
        <v>428</v>
      </c>
      <c r="P3" s="294" t="s">
        <v>34</v>
      </c>
      <c r="Q3" s="40" t="s">
        <v>55</v>
      </c>
      <c r="R3" s="40" t="s">
        <v>8</v>
      </c>
      <c r="S3" s="41" t="s">
        <v>464</v>
      </c>
      <c r="T3" s="41" t="s">
        <v>473</v>
      </c>
      <c r="U3" s="41" t="s">
        <v>307</v>
      </c>
      <c r="V3" s="41" t="s">
        <v>47</v>
      </c>
      <c r="W3" s="282" t="s">
        <v>308</v>
      </c>
      <c r="X3" s="283" t="s">
        <v>425</v>
      </c>
      <c r="Y3" s="1066" t="s">
        <v>1</v>
      </c>
      <c r="Z3" s="1067"/>
      <c r="AA3" s="1067"/>
      <c r="AB3" s="1067"/>
      <c r="AC3" s="1067"/>
      <c r="AD3" s="1067"/>
      <c r="AE3" s="1068"/>
      <c r="AF3">
        <v>15000</v>
      </c>
      <c r="AG3">
        <v>17000</v>
      </c>
    </row>
    <row r="4" spans="2:33" s="19" customFormat="1" ht="40.5" customHeight="1" thickTop="1" x14ac:dyDescent="0.2">
      <c r="B4" s="168">
        <f>[3]June_2017!$B8</f>
        <v>42887</v>
      </c>
      <c r="C4" s="26" t="str">
        <f>[3]June_2017!$D8</f>
        <v>CARIB (AMBER)</v>
      </c>
      <c r="D4" s="27">
        <v>4625</v>
      </c>
      <c r="E4" s="28">
        <v>0.32916666666666666</v>
      </c>
      <c r="F4" s="29">
        <f>[3]June_2017!$J8</f>
        <v>345.70000000000005</v>
      </c>
      <c r="G4" s="30">
        <f>[3]June_2017!$F8</f>
        <v>5198</v>
      </c>
      <c r="H4" s="29">
        <f>[3]June_2017!$K8</f>
        <v>343.06800000000004</v>
      </c>
      <c r="I4" s="31">
        <f>[3]June_2017!$N8</f>
        <v>28.75</v>
      </c>
      <c r="J4" s="32">
        <f>[3]June_2017!$Q8</f>
        <v>494.26307448494447</v>
      </c>
      <c r="K4" s="32">
        <f>[3]June_2017!$E8</f>
        <v>631</v>
      </c>
      <c r="L4" s="32">
        <v>412</v>
      </c>
      <c r="M4" s="169">
        <v>0.79375000000000007</v>
      </c>
      <c r="N4" s="32">
        <f>[3]June_2017!$M8</f>
        <v>46</v>
      </c>
      <c r="O4" s="236"/>
      <c r="P4" s="170"/>
      <c r="Q4" s="33">
        <f>[3]June_2017!$P8</f>
        <v>0.76135377494937939</v>
      </c>
      <c r="R4" s="32"/>
      <c r="S4" s="129">
        <f t="shared" ref="S4:T6" si="0">($G4)/(($K4/60)*AF$3*(1/24))</f>
        <v>0.79082091917591135</v>
      </c>
      <c r="T4" s="129">
        <f t="shared" si="0"/>
        <v>0.69778316397874518</v>
      </c>
      <c r="U4" s="129">
        <f>(G4)*24/(K4/60)/15000</f>
        <v>0.79082091917591124</v>
      </c>
      <c r="V4" s="129">
        <f t="shared" ref="V4:V10" si="1">(H4+H7)*24/(N4/60)/15000</f>
        <v>0.91527652173913032</v>
      </c>
      <c r="W4" s="227">
        <f>(G4)*24/(K4/60)/17000</f>
        <v>0.69778316397874518</v>
      </c>
      <c r="X4" s="233">
        <f>(724-(N4))/724</f>
        <v>0.93646408839779005</v>
      </c>
      <c r="Y4" s="1059" t="s">
        <v>566</v>
      </c>
      <c r="Z4" s="1060"/>
      <c r="AA4" s="1060"/>
      <c r="AB4" s="1060"/>
      <c r="AC4" s="1060"/>
      <c r="AD4" s="1060"/>
      <c r="AE4" s="1061"/>
    </row>
    <row r="5" spans="2:33" s="19" customFormat="1" ht="42" customHeight="1" x14ac:dyDescent="0.2">
      <c r="B5" s="168">
        <f>[3]June_2017!$B9</f>
        <v>42888</v>
      </c>
      <c r="C5" s="26" t="str">
        <f>[3]June_2017!$D9</f>
        <v>CARIB (AMBER)</v>
      </c>
      <c r="D5" s="297">
        <f>2800/2</f>
        <v>1400</v>
      </c>
      <c r="E5" s="28">
        <v>0.32361111111111113</v>
      </c>
      <c r="F5" s="29">
        <f>[3]June_2017!$J9</f>
        <v>59.000000000000014</v>
      </c>
      <c r="G5" s="30">
        <f>[3]June_2017!$F9</f>
        <v>871</v>
      </c>
      <c r="H5" s="29">
        <f>[3]June_2017!$K9</f>
        <v>57.486000000000004</v>
      </c>
      <c r="I5" s="31">
        <f>[3]June_2017!$N9</f>
        <v>8</v>
      </c>
      <c r="J5" s="32">
        <f>[3]June_2017!$Q9</f>
        <v>106.6530612244898</v>
      </c>
      <c r="K5" s="32">
        <f>[3]June_2017!$E9</f>
        <v>490</v>
      </c>
      <c r="L5" s="32">
        <v>413</v>
      </c>
      <c r="M5" s="169">
        <v>0.43194444444444446</v>
      </c>
      <c r="N5" s="32">
        <f>[3]June_2017!$M9</f>
        <v>388</v>
      </c>
      <c r="O5" s="236"/>
      <c r="P5" s="32"/>
      <c r="Q5" s="33">
        <f>[3]June_2017!$P9</f>
        <v>2.5661016949152704</v>
      </c>
      <c r="R5" s="32"/>
      <c r="S5" s="129">
        <f t="shared" si="0"/>
        <v>0.17064489795918369</v>
      </c>
      <c r="T5" s="129">
        <f t="shared" si="0"/>
        <v>0.15056902761104446</v>
      </c>
      <c r="U5" s="129">
        <f>(G5)*24/(K5/60)/15000</f>
        <v>0.17064489795918367</v>
      </c>
      <c r="V5" s="129">
        <f t="shared" si="1"/>
        <v>7.2439422680412369E-2</v>
      </c>
      <c r="W5" s="227">
        <f>(G5)*24/(K5/60)/17000</f>
        <v>0.15056902761104443</v>
      </c>
      <c r="X5" s="233">
        <f>(666-(N5))/666</f>
        <v>0.41741741741741739</v>
      </c>
      <c r="Y5" s="1059" t="s">
        <v>567</v>
      </c>
      <c r="Z5" s="1060"/>
      <c r="AA5" s="1060"/>
      <c r="AB5" s="1060"/>
      <c r="AC5" s="1060"/>
      <c r="AD5" s="1060"/>
      <c r="AE5" s="1061"/>
    </row>
    <row r="6" spans="2:33" s="19" customFormat="1" ht="55.5" customHeight="1" x14ac:dyDescent="0.2">
      <c r="B6" s="296">
        <v>42892</v>
      </c>
      <c r="C6" s="26" t="str">
        <f>[3]June_2017!$D10</f>
        <v>SHANDY  LIME</v>
      </c>
      <c r="D6" s="298">
        <v>1800</v>
      </c>
      <c r="E6" s="28">
        <v>0.59722222222222221</v>
      </c>
      <c r="F6" s="29">
        <f>[3]June_2017!$J10</f>
        <v>48</v>
      </c>
      <c r="G6" s="30">
        <f>[3]June_2017!$F10</f>
        <v>701</v>
      </c>
      <c r="H6" s="29">
        <f>[3]June_2017!$K10</f>
        <v>46.266000000000005</v>
      </c>
      <c r="I6" s="31">
        <f>[3]June_2017!$N10</f>
        <v>9.42</v>
      </c>
      <c r="J6" s="32">
        <f>[3]June_2017!$Q10</f>
        <v>76.472727272727283</v>
      </c>
      <c r="K6" s="32">
        <f>[3]June_2017!$E10</f>
        <v>550</v>
      </c>
      <c r="L6" s="32">
        <v>414</v>
      </c>
      <c r="M6" s="169">
        <v>0.69791666666666663</v>
      </c>
      <c r="N6" s="32">
        <f>[3]June_2017!$M10</f>
        <v>400</v>
      </c>
      <c r="O6" s="236"/>
      <c r="P6" s="32"/>
      <c r="Q6" s="33">
        <f>[3]June_2017!$P10</f>
        <v>3.6124999999999887</v>
      </c>
      <c r="R6" s="32"/>
      <c r="S6" s="129">
        <f t="shared" si="0"/>
        <v>0.12235636363636365</v>
      </c>
      <c r="T6" s="129">
        <f t="shared" si="0"/>
        <v>0.10796149732620322</v>
      </c>
      <c r="U6" s="129">
        <f>(G6)*24/(K6/60)/15000</f>
        <v>0.12235636363636365</v>
      </c>
      <c r="V6" s="129">
        <f t="shared" si="1"/>
        <v>3.2867999999999994E-2</v>
      </c>
      <c r="W6" s="227">
        <f>(G6)*24/(K6/60)/17000</f>
        <v>0.10796149732620322</v>
      </c>
      <c r="X6" s="233">
        <f>(720-(N6))/720</f>
        <v>0.44444444444444442</v>
      </c>
      <c r="Y6" s="1059" t="s">
        <v>568</v>
      </c>
      <c r="Z6" s="1060"/>
      <c r="AA6" s="1060"/>
      <c r="AB6" s="1060"/>
      <c r="AC6" s="1060"/>
      <c r="AD6" s="1060"/>
      <c r="AE6" s="1061"/>
    </row>
    <row r="7" spans="2:33" s="19" customFormat="1" ht="78" customHeight="1" x14ac:dyDescent="0.2">
      <c r="B7" s="1037">
        <v>42893</v>
      </c>
      <c r="C7" s="26" t="str">
        <f>[3]June_2017!$D11</f>
        <v>CARIB (AMBER)</v>
      </c>
      <c r="D7" s="27">
        <v>1400</v>
      </c>
      <c r="E7" s="1051">
        <v>0.3611111111111111</v>
      </c>
      <c r="F7" s="29">
        <f>[3]June_2017!$J11</f>
        <v>96.8</v>
      </c>
      <c r="G7" s="30">
        <f>[3]June_2017!$F11</f>
        <v>1447</v>
      </c>
      <c r="H7" s="29">
        <f>[3]June_2017!$K11</f>
        <v>95.50200000000001</v>
      </c>
      <c r="I7" s="31">
        <f>[3]June_2017!$N11</f>
        <v>16.25</v>
      </c>
      <c r="J7" s="991">
        <f>[3]June_2017!$Q11</f>
        <v>481.15200000000004</v>
      </c>
      <c r="K7" s="991">
        <f>[3]June_2017!$E11</f>
        <v>625</v>
      </c>
      <c r="L7" s="32">
        <v>415</v>
      </c>
      <c r="M7" s="1017">
        <v>0.84027777777777779</v>
      </c>
      <c r="N7" s="32">
        <f>[3]June_2017!$M11</f>
        <v>65</v>
      </c>
      <c r="O7" s="236"/>
      <c r="P7" s="32"/>
      <c r="Q7" s="33">
        <f>[3]June_2017!$P11</f>
        <v>1.3409090909090782</v>
      </c>
      <c r="R7" s="32"/>
      <c r="S7" s="1039">
        <f>($G7+G8)/(($K7/60)*AF$3*(1/24))</f>
        <v>0.76984320000000006</v>
      </c>
      <c r="T7" s="1039">
        <f>($G7+G8)/(($K7/60)*AG$3*(1/24))</f>
        <v>0.67927341176470601</v>
      </c>
      <c r="U7" s="1039">
        <f>(G7+G8)*24/(K7/60)/15000</f>
        <v>0.76984320000000006</v>
      </c>
      <c r="V7" s="129">
        <f t="shared" si="1"/>
        <v>0.38220701538461549</v>
      </c>
      <c r="W7" s="1047">
        <f>(G7+G8)*24/(K7/60)/17000</f>
        <v>0.6792734117647059</v>
      </c>
      <c r="X7" s="1035">
        <f>(778-(N7+N8))/778</f>
        <v>0.73778920308483287</v>
      </c>
      <c r="Y7" s="1059" t="s">
        <v>570</v>
      </c>
      <c r="Z7" s="1060"/>
      <c r="AA7" s="1060"/>
      <c r="AB7" s="1060"/>
      <c r="AC7" s="1060"/>
      <c r="AD7" s="1060"/>
      <c r="AE7" s="1061"/>
    </row>
    <row r="8" spans="2:33" s="19" customFormat="1" ht="80.25" customHeight="1" x14ac:dyDescent="0.2">
      <c r="B8" s="1038"/>
      <c r="C8" s="26" t="str">
        <f>[3]June_2017!$D12</f>
        <v>GUINNESS</v>
      </c>
      <c r="D8" s="1098">
        <v>4900</v>
      </c>
      <c r="E8" s="1053"/>
      <c r="F8" s="29">
        <f>[3]June_2017!$J12</f>
        <v>237.09999999999997</v>
      </c>
      <c r="G8" s="30">
        <f>[3]June_2017!$F12</f>
        <v>3565</v>
      </c>
      <c r="H8" s="29">
        <f>[3]June_2017!$K12</f>
        <v>235.29000000000002</v>
      </c>
      <c r="I8" s="31">
        <f>[3]June_2017!$N12</f>
        <v>25.75</v>
      </c>
      <c r="J8" s="992"/>
      <c r="K8" s="992"/>
      <c r="L8" s="32">
        <v>416</v>
      </c>
      <c r="M8" s="1018"/>
      <c r="N8" s="32">
        <f>[3]June_2017!$M12</f>
        <v>139</v>
      </c>
      <c r="O8" s="236">
        <f>SUM([4]Jun!$I$12)/K7</f>
        <v>3.6799999999999999E-2</v>
      </c>
      <c r="P8" s="32"/>
      <c r="Q8" s="33">
        <f>[3]June_2017!$P12</f>
        <v>0.76339097427243596</v>
      </c>
      <c r="R8" s="32"/>
      <c r="S8" s="1040"/>
      <c r="T8" s="1040"/>
      <c r="U8" s="1040"/>
      <c r="V8" s="129">
        <f t="shared" si="1"/>
        <v>0.29350722302158272</v>
      </c>
      <c r="W8" s="1048"/>
      <c r="X8" s="1036"/>
      <c r="Y8" s="1059" t="s">
        <v>569</v>
      </c>
      <c r="Z8" s="1060"/>
      <c r="AA8" s="1060"/>
      <c r="AB8" s="1060"/>
      <c r="AC8" s="1060"/>
      <c r="AD8" s="1060"/>
      <c r="AE8" s="1061"/>
    </row>
    <row r="9" spans="2:33" s="19" customFormat="1" ht="39.75" customHeight="1" x14ac:dyDescent="0.2">
      <c r="B9" s="1037">
        <v>42894</v>
      </c>
      <c r="C9" s="26" t="str">
        <f>[3]June_2017!$D13</f>
        <v>GUINNESS</v>
      </c>
      <c r="D9" s="1099"/>
      <c r="E9" s="1051">
        <v>0.3298611111111111</v>
      </c>
      <c r="F9" s="29">
        <f>[3]June_2017!$J13</f>
        <v>91.3</v>
      </c>
      <c r="G9" s="30">
        <f>[3]June_2017!$F13</f>
        <v>1374</v>
      </c>
      <c r="H9" s="29">
        <f>[3]June_2017!$K13</f>
        <v>90.683999999999997</v>
      </c>
      <c r="I9" s="31">
        <f>[3]June_2017!$N13</f>
        <v>7.75</v>
      </c>
      <c r="J9" s="991">
        <f>[3]June_2017!$Q13</f>
        <v>338.53372434017592</v>
      </c>
      <c r="K9" s="991">
        <f>[3]June_2017!$E13</f>
        <v>682</v>
      </c>
      <c r="L9" s="29"/>
      <c r="M9" s="1017">
        <v>0.83333333333333337</v>
      </c>
      <c r="N9" s="32">
        <f>[3]June_2017!$M13</f>
        <v>19</v>
      </c>
      <c r="O9" s="236"/>
      <c r="P9" s="32"/>
      <c r="Q9" s="33">
        <f>[3]June_2017!$P13</f>
        <v>0.67469879518072251</v>
      </c>
      <c r="R9" s="32"/>
      <c r="S9" s="1039">
        <f>($G9+G10)/(($K9/60)*AF$3*(1/24))</f>
        <v>0.54165395894428159</v>
      </c>
      <c r="T9" s="1039">
        <f>($G9+G10)/(($K9/60)*AG$3*(1/24))</f>
        <v>0.47792996377436608</v>
      </c>
      <c r="U9" s="1039">
        <f>(G9+G10)*24/(K9/60)/15000</f>
        <v>0.54165395894428148</v>
      </c>
      <c r="V9" s="129">
        <f t="shared" si="1"/>
        <v>0.80532884210526312</v>
      </c>
      <c r="W9" s="1047">
        <f>(G9+G10)*24/(K9/60)/17000</f>
        <v>0.47792996377436603</v>
      </c>
      <c r="X9" s="1035">
        <f>(770-(N9+N10))/770</f>
        <v>0.75324675324675328</v>
      </c>
      <c r="Y9" s="1059" t="s">
        <v>571</v>
      </c>
      <c r="Z9" s="1060"/>
      <c r="AA9" s="1060"/>
      <c r="AB9" s="1060"/>
      <c r="AC9" s="1060"/>
      <c r="AD9" s="1060"/>
      <c r="AE9" s="1061"/>
    </row>
    <row r="10" spans="2:33" s="19" customFormat="1" ht="62.25" customHeight="1" x14ac:dyDescent="0.2">
      <c r="B10" s="1038"/>
      <c r="C10" s="26" t="str">
        <f>[3]June_2017!$D14</f>
        <v>MACKESON</v>
      </c>
      <c r="D10" s="27">
        <v>2800</v>
      </c>
      <c r="E10" s="1053"/>
      <c r="F10" s="29">
        <f>[3]June_2017!$J14</f>
        <v>165</v>
      </c>
      <c r="G10" s="30">
        <f>[3]June_2017!$F14</f>
        <v>2474</v>
      </c>
      <c r="H10" s="29">
        <f>[3]June_2017!$K14</f>
        <v>163.28400000000002</v>
      </c>
      <c r="I10" s="31">
        <f>[3]June_2017!$N14</f>
        <v>12</v>
      </c>
      <c r="J10" s="992"/>
      <c r="K10" s="992"/>
      <c r="L10" s="29"/>
      <c r="M10" s="1018"/>
      <c r="N10" s="32">
        <f>[3]June_2017!$M14</f>
        <v>171</v>
      </c>
      <c r="O10" s="236">
        <f>SUM([4]Jun!$I$14)/K9</f>
        <v>0.18475073313782991</v>
      </c>
      <c r="P10" s="32"/>
      <c r="Q10" s="33">
        <f>[3]June_2017!$P14</f>
        <v>1.0399999999999878</v>
      </c>
      <c r="R10" s="32"/>
      <c r="S10" s="1040"/>
      <c r="T10" s="1040"/>
      <c r="U10" s="1040"/>
      <c r="V10" s="129">
        <f t="shared" si="1"/>
        <v>0.26655663157894743</v>
      </c>
      <c r="W10" s="1048"/>
      <c r="X10" s="1036"/>
      <c r="Y10" s="1059" t="s">
        <v>572</v>
      </c>
      <c r="Z10" s="1060"/>
      <c r="AA10" s="1060"/>
      <c r="AB10" s="1060"/>
      <c r="AC10" s="1060"/>
      <c r="AD10" s="1060"/>
      <c r="AE10" s="1061"/>
    </row>
    <row r="11" spans="2:33" s="19" customFormat="1" ht="30" customHeight="1" x14ac:dyDescent="0.2">
      <c r="B11" s="1037">
        <v>42895</v>
      </c>
      <c r="C11" s="26" t="str">
        <f>[3]June_2017!$D15</f>
        <v>CARIB (AMBER)</v>
      </c>
      <c r="D11" s="27">
        <v>2800</v>
      </c>
      <c r="E11" s="1051">
        <v>0.33333333333333331</v>
      </c>
      <c r="F11" s="29">
        <f>[3]June_2017!$J15</f>
        <v>192</v>
      </c>
      <c r="G11" s="30">
        <f>[3]June_2017!$F15</f>
        <v>2874</v>
      </c>
      <c r="H11" s="29">
        <f>[3]June_2017!$K15</f>
        <v>189.684</v>
      </c>
      <c r="I11" s="31">
        <f>[3]June_2017!$N15</f>
        <v>10.25</v>
      </c>
      <c r="J11" s="991">
        <f>[3]June_2017!$Q15</f>
        <v>427.79220779220782</v>
      </c>
      <c r="K11" s="991">
        <f>[3]June_2017!$E15</f>
        <v>539</v>
      </c>
      <c r="L11" s="29"/>
      <c r="M11" s="1017">
        <v>0.73611111111111116</v>
      </c>
      <c r="N11" s="32">
        <f>[3]June_2017!$M15</f>
        <v>21</v>
      </c>
      <c r="O11" s="236"/>
      <c r="P11" s="32"/>
      <c r="Q11" s="33">
        <f>[3]June_2017!$P15</f>
        <v>1.2062500000000012</v>
      </c>
      <c r="R11" s="32"/>
      <c r="S11" s="1039">
        <f>($G11+G12)/(($K11/60)*AF$3*(1/24))</f>
        <v>0.68446753246753256</v>
      </c>
      <c r="T11" s="1039">
        <f>($G11+G12)/(($K11/60)*AG$3*(1/24))</f>
        <v>0.60394194041252869</v>
      </c>
      <c r="U11" s="1039">
        <f>(G11+G12)*24/(K11/60)/15000</f>
        <v>0.68446753246753256</v>
      </c>
      <c r="V11" s="129">
        <f>(H11+H14)*24/(N11/60)/15000</f>
        <v>2.1204205714285713</v>
      </c>
      <c r="W11" s="1047">
        <f>(G11+G12)*24/(K11/60)/17000</f>
        <v>0.60394194041252869</v>
      </c>
      <c r="X11" s="1035">
        <f>(638-(N11+N12))/638</f>
        <v>0.91849529780564265</v>
      </c>
      <c r="Y11" s="1059" t="s">
        <v>574</v>
      </c>
      <c r="Z11" s="1060"/>
      <c r="AA11" s="1060"/>
      <c r="AB11" s="1060"/>
      <c r="AC11" s="1060"/>
      <c r="AD11" s="1060"/>
      <c r="AE11" s="1061"/>
    </row>
    <row r="12" spans="2:33" s="19" customFormat="1" ht="30" customHeight="1" x14ac:dyDescent="0.2">
      <c r="B12" s="1038"/>
      <c r="C12" s="26" t="str">
        <f>[3]June_2017!$D16</f>
        <v>STAG</v>
      </c>
      <c r="D12" s="27">
        <v>1400</v>
      </c>
      <c r="E12" s="1053"/>
      <c r="F12" s="29">
        <f>[3]June_2017!$J16</f>
        <v>69.400000000000006</v>
      </c>
      <c r="G12" s="30">
        <f>[3]June_2017!$F16</f>
        <v>969</v>
      </c>
      <c r="H12" s="29">
        <f>[3]June_2017!$K16</f>
        <v>68.704000000000008</v>
      </c>
      <c r="I12" s="31">
        <f>[3]June_2017!$N16</f>
        <v>2</v>
      </c>
      <c r="J12" s="992"/>
      <c r="K12" s="992"/>
      <c r="L12" s="29"/>
      <c r="M12" s="1018"/>
      <c r="N12" s="32">
        <f>[3]June_2017!$M16</f>
        <v>31</v>
      </c>
      <c r="O12" s="236">
        <f>SUM([4]Jun!$I$16)/K11</f>
        <v>4.4526901669758812E-2</v>
      </c>
      <c r="P12" s="32"/>
      <c r="Q12" s="33">
        <f>[3]June_2017!$P16</f>
        <v>1.0028818443804004</v>
      </c>
      <c r="R12" s="32"/>
      <c r="S12" s="1040"/>
      <c r="T12" s="1040"/>
      <c r="U12" s="1040"/>
      <c r="V12" s="129">
        <f>(H12+H15)*24/(N12/60)/15000</f>
        <v>0.33518864516129027</v>
      </c>
      <c r="W12" s="1048"/>
      <c r="X12" s="1036"/>
      <c r="Y12" s="1059" t="s">
        <v>575</v>
      </c>
      <c r="Z12" s="1060"/>
      <c r="AA12" s="1060"/>
      <c r="AB12" s="1060"/>
      <c r="AC12" s="1060"/>
      <c r="AD12" s="1060"/>
      <c r="AE12" s="1061"/>
    </row>
    <row r="13" spans="2:33" s="19" customFormat="1" ht="102" customHeight="1" x14ac:dyDescent="0.2">
      <c r="B13" s="296">
        <v>42898</v>
      </c>
      <c r="C13" s="26" t="str">
        <f>[3]June_2017!$D17</f>
        <v>STAG</v>
      </c>
      <c r="D13" s="27">
        <v>3500</v>
      </c>
      <c r="E13" s="28">
        <v>0.33333333333333331</v>
      </c>
      <c r="F13" s="29">
        <f>[3]June_2017!$J17</f>
        <v>312.60000000000002</v>
      </c>
      <c r="G13" s="30">
        <f>[3]June_2017!$F17</f>
        <v>4720</v>
      </c>
      <c r="H13" s="29">
        <f>[3]June_2017!$K17</f>
        <v>311.52000000000004</v>
      </c>
      <c r="I13" s="31">
        <f>[3]June_2017!$N17</f>
        <v>18.75</v>
      </c>
      <c r="J13" s="32">
        <f>[3]June_2017!$Q17</f>
        <v>418.9349112426035</v>
      </c>
      <c r="K13" s="32">
        <f>[3]June_2017!$E17</f>
        <v>676</v>
      </c>
      <c r="L13" s="29"/>
      <c r="M13" s="169">
        <v>0.8208333333333333</v>
      </c>
      <c r="N13" s="32">
        <f>[3]June_2017!$M17</f>
        <v>35</v>
      </c>
      <c r="O13" s="236"/>
      <c r="P13" s="32"/>
      <c r="Q13" s="33">
        <f>[3]June_2017!$P17</f>
        <v>0.34548944337811388</v>
      </c>
      <c r="R13" s="32"/>
      <c r="S13" s="129">
        <f>($G13)/(($K13/60)*AF$3*(1/24))</f>
        <v>0.67029585798816571</v>
      </c>
      <c r="T13" s="129">
        <f>($G13)/(($K13/60)*AG$3*(1/24))</f>
        <v>0.59143752175426378</v>
      </c>
      <c r="U13" s="129">
        <f>(G13)*24/(K13/60)/15000</f>
        <v>0.6702958579881656</v>
      </c>
      <c r="V13" s="129">
        <f>(H13+H16)*24/(N13/60)/15000</f>
        <v>1.4797220571428573</v>
      </c>
      <c r="W13" s="227">
        <f>(G13)*24/(K13/60)/17000</f>
        <v>0.59143752175426378</v>
      </c>
      <c r="X13" s="233">
        <f>(753-(N13))/753</f>
        <v>0.95351925630810097</v>
      </c>
      <c r="Y13" s="1059" t="s">
        <v>579</v>
      </c>
      <c r="Z13" s="1060"/>
      <c r="AA13" s="1060"/>
      <c r="AB13" s="1060"/>
      <c r="AC13" s="1060"/>
      <c r="AD13" s="1060"/>
      <c r="AE13" s="1061"/>
    </row>
    <row r="14" spans="2:33" s="19" customFormat="1" ht="38.25" customHeight="1" x14ac:dyDescent="0.2">
      <c r="B14" s="1037">
        <v>42899</v>
      </c>
      <c r="C14" s="26" t="str">
        <f>[3]June_2017!$D18</f>
        <v>CARIB (AMBER)</v>
      </c>
      <c r="D14" s="27">
        <v>4200</v>
      </c>
      <c r="E14" s="1051">
        <v>0.3298611111111111</v>
      </c>
      <c r="F14" s="29">
        <f>[3]June_2017!$J18</f>
        <v>275.60000000000002</v>
      </c>
      <c r="G14" s="30">
        <f>[3]June_2017!$F18</f>
        <v>3938</v>
      </c>
      <c r="H14" s="29">
        <f>[3]June_2017!$K18</f>
        <v>274.15800000000002</v>
      </c>
      <c r="I14" s="31">
        <f>[3]June_2017!$N18</f>
        <v>13.25</v>
      </c>
      <c r="J14" s="991">
        <f>[3]June_2017!$Q18</f>
        <v>452.94509151414303</v>
      </c>
      <c r="K14" s="991">
        <f>[3]June_2017!$E18</f>
        <v>601</v>
      </c>
      <c r="L14" s="29"/>
      <c r="M14" s="1017">
        <v>0.77222222222222225</v>
      </c>
      <c r="N14" s="32">
        <f>[3]June_2017!$M18</f>
        <v>29</v>
      </c>
      <c r="O14" s="236"/>
      <c r="P14" s="32"/>
      <c r="Q14" s="33">
        <f>[3]June_2017!$P18</f>
        <v>0.52322206095791257</v>
      </c>
      <c r="R14" s="32"/>
      <c r="S14" s="1039">
        <f>($G14+G15)/(($K14/60)*AF$3*(1/24))</f>
        <v>0.72471214642262904</v>
      </c>
      <c r="T14" s="1039">
        <f>($G14+G15)/(($K14/60)*AG$3*(1/24))</f>
        <v>0.63945189390231971</v>
      </c>
      <c r="U14" s="1039">
        <f>(G14+G15)*24/(K14/60)/15000</f>
        <v>0.72471214642262893</v>
      </c>
      <c r="V14" s="129">
        <f>(H14+H17)*24/(N14/60)/15000</f>
        <v>1.322456275862069</v>
      </c>
      <c r="W14" s="1047">
        <f>(G14+G15)*24/(K14/60)/17000</f>
        <v>0.6394518939023196</v>
      </c>
      <c r="X14" s="1035">
        <f>(691-(N14+N15))/691</f>
        <v>0.9290882778581766</v>
      </c>
      <c r="Y14" s="1059" t="s">
        <v>578</v>
      </c>
      <c r="Z14" s="1060"/>
      <c r="AA14" s="1060"/>
      <c r="AB14" s="1060"/>
      <c r="AC14" s="1060"/>
      <c r="AD14" s="1060"/>
      <c r="AE14" s="1061"/>
    </row>
    <row r="15" spans="2:33" s="19" customFormat="1" ht="21" customHeight="1" x14ac:dyDescent="0.2">
      <c r="B15" s="1038"/>
      <c r="C15" s="26" t="str">
        <f>[3]June_2017!$D19</f>
        <v>STAG</v>
      </c>
      <c r="D15" s="303"/>
      <c r="E15" s="1053"/>
      <c r="F15" s="29">
        <f>[3]June_2017!$J19</f>
        <v>40.199999999999996</v>
      </c>
      <c r="G15" s="30">
        <f>[3]June_2017!$F19</f>
        <v>599</v>
      </c>
      <c r="H15" s="29">
        <f>[3]June_2017!$K19</f>
        <v>39.533999999999999</v>
      </c>
      <c r="I15" s="31">
        <f>[3]June_2017!$N19</f>
        <v>2.75</v>
      </c>
      <c r="J15" s="992"/>
      <c r="K15" s="992"/>
      <c r="L15" s="29"/>
      <c r="M15" s="1018"/>
      <c r="N15" s="32">
        <f>[3]June_2017!$M19</f>
        <v>20</v>
      </c>
      <c r="O15" s="236">
        <f>SUM([4]Jun!$I19)/K14</f>
        <v>2.329450915141431E-2</v>
      </c>
      <c r="P15" s="32"/>
      <c r="Q15" s="33">
        <f>[3]June_2017!$P19</f>
        <v>1.6567164179104401</v>
      </c>
      <c r="R15" s="32"/>
      <c r="S15" s="1040"/>
      <c r="T15" s="1040"/>
      <c r="U15" s="1040"/>
      <c r="V15" s="129"/>
      <c r="W15" s="1048"/>
      <c r="X15" s="1036"/>
      <c r="Y15" s="1059" t="s">
        <v>577</v>
      </c>
      <c r="Z15" s="1060"/>
      <c r="AA15" s="1060"/>
      <c r="AB15" s="1060"/>
      <c r="AC15" s="1060"/>
      <c r="AD15" s="1060"/>
      <c r="AE15" s="1061"/>
    </row>
    <row r="16" spans="2:33" s="19" customFormat="1" ht="57" customHeight="1" x14ac:dyDescent="0.2">
      <c r="B16" s="296">
        <v>42900</v>
      </c>
      <c r="C16" s="26" t="str">
        <f>[3]June_2017!$D20</f>
        <v>STAG</v>
      </c>
      <c r="D16" s="27">
        <v>4200</v>
      </c>
      <c r="E16" s="28">
        <v>0.3298611111111111</v>
      </c>
      <c r="F16" s="29">
        <f>[3]June_2017!$J20</f>
        <v>229.80000000000004</v>
      </c>
      <c r="G16" s="30">
        <f>[3]June_2017!$F20</f>
        <v>3382</v>
      </c>
      <c r="H16" s="29">
        <f>[3]June_2017!$K20</f>
        <v>227.96200000000002</v>
      </c>
      <c r="I16" s="31">
        <f>[3]June_2017!$N20</f>
        <v>25</v>
      </c>
      <c r="J16" s="32">
        <f>[3]June_2017!$Q20</f>
        <v>327.29032258064512</v>
      </c>
      <c r="K16" s="32">
        <f>[3]June_2017!$E20</f>
        <v>620</v>
      </c>
      <c r="L16" s="29"/>
      <c r="M16" s="169">
        <v>0.78749999999999998</v>
      </c>
      <c r="N16" s="32">
        <f>[3]June_2017!$M20</f>
        <v>213</v>
      </c>
      <c r="O16" s="236"/>
      <c r="P16" s="32"/>
      <c r="Q16" s="33">
        <f>[3]June_2017!$P20</f>
        <v>0.79982593559618009</v>
      </c>
      <c r="R16" s="32"/>
      <c r="S16" s="129">
        <f>($G16)/(($K16/60)*AF$3*(1/24))</f>
        <v>0.52366451612903231</v>
      </c>
      <c r="T16" s="129">
        <f>($G16)/(($K16/60)*AG$3*(1/24))</f>
        <v>0.4620569259962049</v>
      </c>
      <c r="U16" s="129">
        <f>(G16)*24/(K16/60)/15000</f>
        <v>0.5236645161290322</v>
      </c>
      <c r="V16" s="129">
        <f>(H16+H19)*24/(N16/60)/15000</f>
        <v>0.10708642253521128</v>
      </c>
      <c r="W16" s="227">
        <f>(G16)*24/(K16/60)/17000</f>
        <v>0.4620569259962049</v>
      </c>
      <c r="X16" s="233">
        <f>(753-(N16))/753</f>
        <v>0.71713147410358569</v>
      </c>
      <c r="Y16" s="1059" t="s">
        <v>580</v>
      </c>
      <c r="Z16" s="1060"/>
      <c r="AA16" s="1060"/>
      <c r="AB16" s="1060"/>
      <c r="AC16" s="1060"/>
      <c r="AD16" s="1060"/>
      <c r="AE16" s="1061"/>
    </row>
    <row r="17" spans="2:31" s="19" customFormat="1" ht="42" customHeight="1" x14ac:dyDescent="0.2">
      <c r="B17" s="1037">
        <v>42902</v>
      </c>
      <c r="C17" s="26" t="str">
        <f>[3]June_2017!$D21</f>
        <v>STAG</v>
      </c>
      <c r="D17" s="27">
        <v>1400</v>
      </c>
      <c r="E17" s="1051">
        <v>0.32430555555555557</v>
      </c>
      <c r="F17" s="29">
        <f>[3]June_2017!$J21</f>
        <v>126</v>
      </c>
      <c r="G17" s="30">
        <f>[3]June_2017!$F21</f>
        <v>1899</v>
      </c>
      <c r="H17" s="29">
        <f>[3]June_2017!$K21</f>
        <v>125.334</v>
      </c>
      <c r="I17" s="31">
        <f>[3]June_2017!$N21</f>
        <v>18.75</v>
      </c>
      <c r="J17" s="991">
        <f>[3]June_2017!$Q21</f>
        <v>450.61016949152537</v>
      </c>
      <c r="K17" s="991">
        <f>[3]June_2017!$E21</f>
        <v>590</v>
      </c>
      <c r="L17" s="29"/>
      <c r="M17" s="1017">
        <v>0.77361111111111114</v>
      </c>
      <c r="N17" s="32">
        <f>[3]June_2017!$M21</f>
        <v>23</v>
      </c>
      <c r="O17" s="236"/>
      <c r="P17" s="32"/>
      <c r="Q17" s="33">
        <f>[3]June_2017!$P21</f>
        <v>0.52857142857142603</v>
      </c>
      <c r="R17" s="32"/>
      <c r="S17" s="1039">
        <f>($G17+G18)/(($K17/60)*AF$3*(1/24))</f>
        <v>0.7209762711864407</v>
      </c>
      <c r="T17" s="1039">
        <f>($G17+G18)/(($K17/60)*AG$3*(1/24))</f>
        <v>0.63615553339980058</v>
      </c>
      <c r="U17" s="1039">
        <f>(G17+G18)*24/(K17/60)/15000</f>
        <v>0.72097627118644059</v>
      </c>
      <c r="V17" s="129">
        <f>(H17+H20)*24/(N17/60)/15000</f>
        <v>1.808239304347826</v>
      </c>
      <c r="W17" s="1047">
        <f>(G17+G18)*24/(K17/60)/17000</f>
        <v>0.63615553339980058</v>
      </c>
      <c r="X17" s="1035">
        <f>(683-(N17+N18))/683</f>
        <v>0.85797950219619323</v>
      </c>
      <c r="Y17" s="1059" t="s">
        <v>581</v>
      </c>
      <c r="Z17" s="1060"/>
      <c r="AA17" s="1060"/>
      <c r="AB17" s="1060"/>
      <c r="AC17" s="1060"/>
      <c r="AD17" s="1060"/>
      <c r="AE17" s="1061"/>
    </row>
    <row r="18" spans="2:31" s="19" customFormat="1" ht="65.25" customHeight="1" x14ac:dyDescent="0.2">
      <c r="B18" s="1038"/>
      <c r="C18" s="26" t="str">
        <f>[3]June_2017!$D22</f>
        <v>MACKESON</v>
      </c>
      <c r="D18" s="27">
        <v>2800</v>
      </c>
      <c r="E18" s="1053"/>
      <c r="F18" s="29">
        <f>[3]June_2017!$J22</f>
        <v>167.7</v>
      </c>
      <c r="G18" s="30">
        <f>[3]June_2017!$F22</f>
        <v>2532</v>
      </c>
      <c r="H18" s="29">
        <f>[3]June_2017!$K22</f>
        <v>167.11199999999999</v>
      </c>
      <c r="I18" s="31">
        <f>[3]June_2017!$N22</f>
        <v>8.25</v>
      </c>
      <c r="J18" s="992"/>
      <c r="K18" s="992"/>
      <c r="L18" s="29"/>
      <c r="M18" s="1018"/>
      <c r="N18" s="32">
        <f>[3]June_2017!$M22</f>
        <v>74</v>
      </c>
      <c r="O18" s="236">
        <f>SUM([4]Jun!$I22)/K17</f>
        <v>3.898305084745763E-2</v>
      </c>
      <c r="P18" s="32"/>
      <c r="Q18" s="33">
        <f>[3]June_2017!$P22</f>
        <v>0.35062611806797489</v>
      </c>
      <c r="R18" s="32"/>
      <c r="S18" s="1040"/>
      <c r="T18" s="1040"/>
      <c r="U18" s="1040"/>
      <c r="V18" s="129"/>
      <c r="W18" s="1048"/>
      <c r="X18" s="1036"/>
      <c r="Y18" s="1059" t="s">
        <v>582</v>
      </c>
      <c r="Z18" s="1060"/>
      <c r="AA18" s="1060"/>
      <c r="AB18" s="1060"/>
      <c r="AC18" s="1060"/>
      <c r="AD18" s="1060"/>
      <c r="AE18" s="1061"/>
    </row>
    <row r="19" spans="2:31" s="19" customFormat="1" ht="49.5" customHeight="1" x14ac:dyDescent="0.2">
      <c r="B19" s="296">
        <v>42905</v>
      </c>
      <c r="C19" s="26" t="str">
        <f>[3]June_2017!$D23</f>
        <v>CARIB (FLINT)</v>
      </c>
      <c r="D19" s="27"/>
      <c r="E19" s="28">
        <v>0.43472222222222223</v>
      </c>
      <c r="F19" s="29">
        <f>[3]June_2017!$J23</f>
        <v>10.599999999999994</v>
      </c>
      <c r="G19" s="30">
        <f>[3]June_2017!$F23</f>
        <v>146</v>
      </c>
      <c r="H19" s="29">
        <f>[3]June_2017!$K23</f>
        <v>9.636000000000001</v>
      </c>
      <c r="I19" s="31">
        <f>[3]June_2017!$N23</f>
        <v>2</v>
      </c>
      <c r="J19" s="32">
        <f>[3]June_2017!$Q23</f>
        <v>37.276595744680854</v>
      </c>
      <c r="K19" s="32">
        <f>[3]June_2017!$E23</f>
        <v>235</v>
      </c>
      <c r="L19" s="29"/>
      <c r="M19" s="169">
        <v>0.48958333333333331</v>
      </c>
      <c r="N19" s="32">
        <f>[3]June_2017!$M23</f>
        <v>471</v>
      </c>
      <c r="O19" s="236"/>
      <c r="P19" s="32"/>
      <c r="Q19" s="33">
        <f>[3]June_2017!$P23</f>
        <v>9.094339622641451</v>
      </c>
      <c r="R19" s="32"/>
      <c r="S19" s="129">
        <f>($G19)/(($K19/60)*AF$3*(1/24))</f>
        <v>5.9642553191489367E-2</v>
      </c>
      <c r="T19" s="129">
        <f>($G19)/(($K19/60)*AG$3*(1/24))</f>
        <v>5.2625782227784738E-2</v>
      </c>
      <c r="U19" s="129">
        <f>(G19)*24/(K19/60)/15000</f>
        <v>5.964255319148936E-2</v>
      </c>
      <c r="V19" s="129">
        <f>(H19+H22)*24/(N19/60)/15000</f>
        <v>5.200631847133759E-2</v>
      </c>
      <c r="W19" s="227">
        <f>(G19)*24/(K19/60)/17000</f>
        <v>5.2625782227784731E-2</v>
      </c>
      <c r="X19" s="233">
        <f>(600-(N19))/600</f>
        <v>0.215</v>
      </c>
      <c r="Y19" s="1059" t="s">
        <v>584</v>
      </c>
      <c r="Z19" s="1060"/>
      <c r="AA19" s="1060"/>
      <c r="AB19" s="1060"/>
      <c r="AC19" s="1060"/>
      <c r="AD19" s="1060"/>
      <c r="AE19" s="1061"/>
    </row>
    <row r="20" spans="2:31" s="19" customFormat="1" ht="117" customHeight="1" x14ac:dyDescent="0.2">
      <c r="B20" s="296">
        <v>42906</v>
      </c>
      <c r="C20" s="26" t="str">
        <f>[3]June_2017!$D24</f>
        <v>CARIB (AMBER)</v>
      </c>
      <c r="D20" s="27">
        <v>4200</v>
      </c>
      <c r="E20" s="28">
        <v>0.57291666666666663</v>
      </c>
      <c r="F20" s="29">
        <f>[3]June_2017!$J24</f>
        <v>308.89999999999998</v>
      </c>
      <c r="G20" s="30">
        <f>[3]June_2017!$F24</f>
        <v>4665</v>
      </c>
      <c r="H20" s="29">
        <f>[3]June_2017!$K24</f>
        <v>307.89</v>
      </c>
      <c r="I20" s="31">
        <f>[3]June_2017!$N24</f>
        <v>15.75</v>
      </c>
      <c r="J20" s="32">
        <f>[3]June_2017!$Q24</f>
        <v>307.9207920792079</v>
      </c>
      <c r="K20" s="32">
        <f>[3]June_2017!$E24</f>
        <v>909</v>
      </c>
      <c r="L20" s="29"/>
      <c r="M20" s="169">
        <v>0.99375000000000002</v>
      </c>
      <c r="N20" s="32">
        <f>[3]June_2017!$M24</f>
        <v>483</v>
      </c>
      <c r="O20" s="236"/>
      <c r="P20" s="32"/>
      <c r="Q20" s="33">
        <f>[3]June_2017!$P24</f>
        <v>0.32696665587568496</v>
      </c>
      <c r="R20" s="32"/>
      <c r="S20" s="129">
        <f>($G20)/(($K20/60)*AF$3*(1/24))</f>
        <v>0.49267326732673267</v>
      </c>
      <c r="T20" s="129">
        <f>($G20)/(($K20/60)*AG$3*(1/24))</f>
        <v>0.43471170646476415</v>
      </c>
      <c r="U20" s="129">
        <f>(G20)*24/(K20/60)/15000</f>
        <v>0.49267326732673267</v>
      </c>
      <c r="V20" s="129">
        <f>(H20+H23)*24/(N20/60)/15000</f>
        <v>0.16089719254658383</v>
      </c>
      <c r="W20" s="227">
        <f>(G20)*24/(K20/60)/17000</f>
        <v>0.43471170646476409</v>
      </c>
      <c r="X20" s="233">
        <f>(621-(N20))/621</f>
        <v>0.22222222222222221</v>
      </c>
      <c r="Y20" s="1059" t="s">
        <v>583</v>
      </c>
      <c r="Z20" s="1060"/>
      <c r="AA20" s="1060"/>
      <c r="AB20" s="1060"/>
      <c r="AC20" s="1060"/>
      <c r="AD20" s="1060"/>
      <c r="AE20" s="1061"/>
    </row>
    <row r="21" spans="2:31" s="19" customFormat="1" ht="57" customHeight="1" x14ac:dyDescent="0.2">
      <c r="B21" s="1037">
        <v>42907</v>
      </c>
      <c r="C21" s="26" t="str">
        <f>[3]June_2017!$D25</f>
        <v>CARIB (AMBER)</v>
      </c>
      <c r="D21" s="27">
        <v>3500</v>
      </c>
      <c r="E21" s="1051">
        <v>0.32291666666666669</v>
      </c>
      <c r="F21" s="29">
        <f>[3]June_2017!$J25</f>
        <v>204.8</v>
      </c>
      <c r="G21" s="30">
        <f>[3]June_2017!$F25</f>
        <v>3102</v>
      </c>
      <c r="H21" s="29">
        <f>[3]June_2017!$K25</f>
        <v>204.732</v>
      </c>
      <c r="I21" s="31">
        <f>[3]June_2017!$N25</f>
        <v>14.25</v>
      </c>
      <c r="J21" s="991">
        <f>[3]June_2017!$Q25</f>
        <v>499.7802197802198</v>
      </c>
      <c r="K21" s="991">
        <f>[3]June_2017!$E25</f>
        <v>819</v>
      </c>
      <c r="L21" s="29"/>
      <c r="M21" s="1017">
        <v>0.92986111111111114</v>
      </c>
      <c r="N21" s="32">
        <f>[3]June_2017!$M25</f>
        <v>59</v>
      </c>
      <c r="O21" s="236"/>
      <c r="P21" s="32"/>
      <c r="Q21" s="33">
        <f>[3]June_2017!$P25</f>
        <v>3.3203125000005884E-2</v>
      </c>
      <c r="R21" s="32"/>
      <c r="S21" s="1039">
        <f>($G21+G22)/(($K21/60)*AF$3*(1/24))</f>
        <v>0.79964835164835169</v>
      </c>
      <c r="T21" s="1039">
        <f>($G21+G22)/(($K21/60)*AG$3*(1/24))</f>
        <v>0.70557207498383967</v>
      </c>
      <c r="U21" s="1039">
        <f>(G21+G22)*24/(K21/60)/15000</f>
        <v>0.79964835164835169</v>
      </c>
      <c r="V21" s="129">
        <f>(H21+H24)*24/(N21/60)/15000</f>
        <v>0.94986305084745759</v>
      </c>
      <c r="W21" s="1047">
        <f>(G21+G22)*24/(K21/60)/17000</f>
        <v>0.70557207498383967</v>
      </c>
      <c r="X21" s="1035">
        <f>(912-(N21+N22))/912</f>
        <v>0.84868421052631582</v>
      </c>
      <c r="Y21" s="1059" t="s">
        <v>585</v>
      </c>
      <c r="Z21" s="1060"/>
      <c r="AA21" s="1060"/>
      <c r="AB21" s="1060"/>
      <c r="AC21" s="1060"/>
      <c r="AD21" s="1060"/>
      <c r="AE21" s="1061"/>
    </row>
    <row r="22" spans="2:31" s="19" customFormat="1" ht="77.25" customHeight="1" x14ac:dyDescent="0.2">
      <c r="B22" s="1038"/>
      <c r="C22" s="26" t="str">
        <f>[3]June_2017!$D26</f>
        <v>STARMALT</v>
      </c>
      <c r="D22" s="27">
        <v>3500</v>
      </c>
      <c r="E22" s="1053"/>
      <c r="F22" s="29">
        <f>[3]June_2017!$J26</f>
        <v>248.89999999999998</v>
      </c>
      <c r="G22" s="30">
        <f>[3]June_2017!$F26</f>
        <v>3720</v>
      </c>
      <c r="H22" s="29">
        <f>[3]June_2017!$K26</f>
        <v>245.52</v>
      </c>
      <c r="I22" s="31">
        <f>[3]June_2017!$N26</f>
        <v>21.75</v>
      </c>
      <c r="J22" s="992"/>
      <c r="K22" s="992"/>
      <c r="L22" s="29"/>
      <c r="M22" s="1018"/>
      <c r="N22" s="32">
        <f>[3]June_2017!$M26</f>
        <v>79</v>
      </c>
      <c r="O22" s="236">
        <f>SUM([4]Jun!$I26)/K21</f>
        <v>5.128205128205128E-2</v>
      </c>
      <c r="P22" s="32"/>
      <c r="Q22" s="33">
        <f>[3]June_2017!$P26</f>
        <v>1.357975090397737</v>
      </c>
      <c r="R22" s="32"/>
      <c r="S22" s="1040"/>
      <c r="T22" s="1040"/>
      <c r="U22" s="1040"/>
      <c r="V22" s="129"/>
      <c r="W22" s="1048"/>
      <c r="X22" s="1036"/>
      <c r="Y22" s="1059" t="s">
        <v>586</v>
      </c>
      <c r="Z22" s="1060"/>
      <c r="AA22" s="1060"/>
      <c r="AB22" s="1060"/>
      <c r="AC22" s="1060"/>
      <c r="AD22" s="1060"/>
      <c r="AE22" s="1061"/>
    </row>
    <row r="23" spans="2:31" s="19" customFormat="1" ht="75" customHeight="1" x14ac:dyDescent="0.2">
      <c r="B23" s="296">
        <v>42908</v>
      </c>
      <c r="C23" s="26" t="str">
        <f>[3]June_2017!$D27</f>
        <v>STAG</v>
      </c>
      <c r="D23" s="27">
        <v>7800</v>
      </c>
      <c r="E23" s="28">
        <v>0.3263888888888889</v>
      </c>
      <c r="F23" s="29">
        <f>[3]June_2017!$J27</f>
        <v>503.7</v>
      </c>
      <c r="G23" s="30">
        <f>[3]June_2017!$F27</f>
        <v>7514</v>
      </c>
      <c r="H23" s="29">
        <f>[3]June_2017!$K27</f>
        <v>501.62400000000002</v>
      </c>
      <c r="I23" s="31">
        <f>[3]June_2017!$N27</f>
        <v>57</v>
      </c>
      <c r="J23" s="32">
        <f>[3]June_2017!$Q27</f>
        <v>482.18181818181819</v>
      </c>
      <c r="K23" s="32">
        <f>[3]June_2017!$E27</f>
        <v>935</v>
      </c>
      <c r="L23" s="29"/>
      <c r="M23" s="169">
        <v>1.0104166666666667</v>
      </c>
      <c r="N23" s="32">
        <f>[3]June_2017!$M27</f>
        <v>171</v>
      </c>
      <c r="O23" s="236"/>
      <c r="P23" s="32"/>
      <c r="Q23" s="33">
        <f>[3]June_2017!$P27</f>
        <v>0.41215008933888525</v>
      </c>
      <c r="R23" s="32"/>
      <c r="S23" s="129">
        <f>($G23)/(($K23/60)*AF$3*(1/24))</f>
        <v>0.77149090909090923</v>
      </c>
      <c r="T23" s="129">
        <f>($G23)/(($K23/60)*AG$3*(1/24))</f>
        <v>0.68072727272727263</v>
      </c>
      <c r="U23" s="129">
        <f>(G23)*24/(K23/60)/15000</f>
        <v>0.77149090909090912</v>
      </c>
      <c r="V23" s="129">
        <f>(H23+H26)*24/(N23/60)/15000</f>
        <v>0.34760421052631585</v>
      </c>
      <c r="W23" s="227">
        <f>(G23)*24/(K23/60)/17000</f>
        <v>0.68072727272727274</v>
      </c>
      <c r="X23" s="233">
        <f>(1030-(N23))/1030</f>
        <v>0.83398058252427187</v>
      </c>
      <c r="Y23" s="1059" t="s">
        <v>587</v>
      </c>
      <c r="Z23" s="1060"/>
      <c r="AA23" s="1060"/>
      <c r="AB23" s="1060"/>
      <c r="AC23" s="1060"/>
      <c r="AD23" s="1060"/>
      <c r="AE23" s="1061"/>
    </row>
    <row r="24" spans="2:31" s="19" customFormat="1" ht="49.5" customHeight="1" x14ac:dyDescent="0.2">
      <c r="B24" s="296">
        <v>42909</v>
      </c>
      <c r="C24" s="26" t="str">
        <f>[3]June_2017!$D28</f>
        <v>GUINNESS</v>
      </c>
      <c r="D24" s="27">
        <v>5600</v>
      </c>
      <c r="E24" s="28">
        <v>0.33263888888888887</v>
      </c>
      <c r="F24" s="29">
        <f>[3]June_2017!$J28</f>
        <v>381.1</v>
      </c>
      <c r="G24" s="30">
        <f>[3]June_2017!$F28</f>
        <v>5743</v>
      </c>
      <c r="H24" s="29">
        <f>[3]June_2017!$K28</f>
        <v>379.03800000000001</v>
      </c>
      <c r="I24" s="31">
        <f>[3]June_2017!$N28</f>
        <v>21</v>
      </c>
      <c r="J24" s="32">
        <f>[3]June_2017!$Q28</f>
        <v>526.88073394495416</v>
      </c>
      <c r="K24" s="32">
        <f>[3]June_2017!$E28</f>
        <v>654</v>
      </c>
      <c r="L24" s="29"/>
      <c r="M24" s="169">
        <v>0.81597222222222221</v>
      </c>
      <c r="N24" s="32">
        <f>[3]June_2017!$M28</f>
        <v>56</v>
      </c>
      <c r="O24" s="236"/>
      <c r="P24" s="32"/>
      <c r="Q24" s="33">
        <f>[3]June_2017!$P28</f>
        <v>0.54106533718184502</v>
      </c>
      <c r="R24" s="32"/>
      <c r="S24" s="129">
        <f>($G24)/(($K24/60)*AF$3*(1/24))</f>
        <v>0.84300917431192657</v>
      </c>
      <c r="T24" s="129">
        <f>($G24)/(($K24/60)*AG$3*(1/24))</f>
        <v>0.74383162439287642</v>
      </c>
      <c r="U24" s="129">
        <f>(G24)*24/(K24/60)/15000</f>
        <v>0.84300917431192657</v>
      </c>
      <c r="V24" s="129">
        <f>(H24+H27)*24/(N24/60)/15000</f>
        <v>1.020888</v>
      </c>
      <c r="W24" s="227">
        <f>(G24)*24/(K24/60)/17000</f>
        <v>0.74383162439287642</v>
      </c>
      <c r="X24" s="233">
        <f>(748-(N24))/748</f>
        <v>0.92513368983957223</v>
      </c>
      <c r="Y24" s="1059" t="s">
        <v>588</v>
      </c>
      <c r="Z24" s="1060"/>
      <c r="AA24" s="1060"/>
      <c r="AB24" s="1060"/>
      <c r="AC24" s="1060"/>
      <c r="AD24" s="1060"/>
      <c r="AE24" s="1061"/>
    </row>
    <row r="25" spans="2:31" s="19" customFormat="1" ht="57" customHeight="1" x14ac:dyDescent="0.2">
      <c r="B25" s="1037">
        <v>42912</v>
      </c>
      <c r="C25" s="26" t="str">
        <f>[3]June_2017!$D29</f>
        <v>CARIB (AMBER)</v>
      </c>
      <c r="D25" s="27">
        <v>5525</v>
      </c>
      <c r="E25" s="1051">
        <v>0.33333333333333331</v>
      </c>
      <c r="F25" s="29">
        <f>[3]June_2017!$J29</f>
        <v>406.59999999999997</v>
      </c>
      <c r="G25" s="30">
        <f>[3]June_2017!$F29</f>
        <v>6131</v>
      </c>
      <c r="H25" s="29">
        <f>[3]June_2017!$K29</f>
        <v>404.64600000000002</v>
      </c>
      <c r="I25" s="31">
        <f>[3]June_2017!$N29</f>
        <v>17</v>
      </c>
      <c r="J25" s="991">
        <f>[3]June_2017!$Q29</f>
        <v>559.15194346289752</v>
      </c>
      <c r="K25" s="991">
        <f>[3]June_2017!$E29</f>
        <v>849</v>
      </c>
      <c r="L25" s="29"/>
      <c r="M25" s="1017">
        <v>0.79305555555555562</v>
      </c>
      <c r="N25" s="32">
        <f>[3]June_2017!$M29</f>
        <v>40</v>
      </c>
      <c r="O25" s="236"/>
      <c r="P25" s="32"/>
      <c r="Q25" s="33">
        <f>[3]June_2017!$P29</f>
        <v>0.48057058534184727</v>
      </c>
      <c r="R25" s="32"/>
      <c r="S25" s="1039">
        <f>($G25+G26)/(($K25/60)*AF$3*(1/24))</f>
        <v>0.89464310954063608</v>
      </c>
      <c r="T25" s="1039">
        <f>($G25+G26)/(($K25/60)*AG$3*(1/24))</f>
        <v>0.78939097900644362</v>
      </c>
      <c r="U25" s="1039">
        <f>(G25+G26)*24/(K25/60)/15000</f>
        <v>0.89464310954063597</v>
      </c>
      <c r="V25" s="129">
        <f>(H25+H28)*24/(N25/60)/15000</f>
        <v>1.463616</v>
      </c>
      <c r="W25" s="1047">
        <f>(G25+G26)*24/(K25/60)/17000</f>
        <v>0.78939097900644351</v>
      </c>
      <c r="X25" s="1035">
        <f>(942-(N25+N26))/942</f>
        <v>0.88747346072186839</v>
      </c>
      <c r="Y25" s="1059" t="s">
        <v>589</v>
      </c>
      <c r="Z25" s="1060"/>
      <c r="AA25" s="1060"/>
      <c r="AB25" s="1060"/>
      <c r="AC25" s="1060"/>
      <c r="AD25" s="1060"/>
      <c r="AE25" s="1061"/>
    </row>
    <row r="26" spans="2:31" s="19" customFormat="1" ht="49.5" customHeight="1" x14ac:dyDescent="0.2">
      <c r="B26" s="1038"/>
      <c r="C26" s="26" t="str">
        <f>[3]June_2017!$D30</f>
        <v>TING</v>
      </c>
      <c r="D26" s="27">
        <v>1800</v>
      </c>
      <c r="E26" s="1053"/>
      <c r="F26" s="29">
        <f>[3]June_2017!$J30</f>
        <v>118.8</v>
      </c>
      <c r="G26" s="30">
        <f>[3]June_2017!$F30</f>
        <v>1781</v>
      </c>
      <c r="H26" s="29">
        <f>[3]June_2017!$K30</f>
        <v>117.54600000000001</v>
      </c>
      <c r="I26" s="31">
        <f>[3]June_2017!$N30</f>
        <v>13</v>
      </c>
      <c r="J26" s="992"/>
      <c r="K26" s="992"/>
      <c r="L26" s="29"/>
      <c r="M26" s="1018"/>
      <c r="N26" s="32">
        <f>[3]June_2017!$M30</f>
        <v>66</v>
      </c>
      <c r="O26" s="236">
        <f>[4]Jun!$I30/K25</f>
        <v>6.3604240282685506E-2</v>
      </c>
      <c r="P26" s="32"/>
      <c r="Q26" s="33">
        <f>[3]June_2017!$P30</f>
        <v>1.0555555555555478</v>
      </c>
      <c r="R26" s="32"/>
      <c r="S26" s="1040"/>
      <c r="T26" s="1040"/>
      <c r="U26" s="1040"/>
      <c r="V26" s="129"/>
      <c r="W26" s="1048"/>
      <c r="X26" s="1036"/>
      <c r="Y26" s="1059" t="s">
        <v>590</v>
      </c>
      <c r="Z26" s="1060"/>
      <c r="AA26" s="1060"/>
      <c r="AB26" s="1060"/>
      <c r="AC26" s="1060"/>
      <c r="AD26" s="1060"/>
      <c r="AE26" s="1061"/>
    </row>
    <row r="27" spans="2:31" s="19" customFormat="1" ht="56.25" customHeight="1" x14ac:dyDescent="0.2">
      <c r="B27" s="1037">
        <v>42913</v>
      </c>
      <c r="C27" s="26" t="str">
        <f>[3]June_2017!$D31</f>
        <v>CARIB (FLINT)</v>
      </c>
      <c r="D27" s="27">
        <v>3300</v>
      </c>
      <c r="E27" s="1051">
        <v>0.3263888888888889</v>
      </c>
      <c r="F27" s="29">
        <f>[3]June_2017!$J31</f>
        <v>217.60000000000002</v>
      </c>
      <c r="G27" s="30">
        <f>[3]June_2017!$F31</f>
        <v>3280</v>
      </c>
      <c r="H27" s="29">
        <f>[3]June_2017!$K31</f>
        <v>216.48000000000002</v>
      </c>
      <c r="I27" s="31">
        <f>[3]June_2017!$N31</f>
        <v>21</v>
      </c>
      <c r="J27" s="991">
        <f>[3]June_2017!$Q31</f>
        <v>413.08189655172413</v>
      </c>
      <c r="K27" s="991">
        <f>[3]June_2017!$E31</f>
        <v>928</v>
      </c>
      <c r="L27" s="29"/>
      <c r="M27" s="1017">
        <v>1.0597222222222222</v>
      </c>
      <c r="N27" s="32">
        <f>[3]June_2017!$M31</f>
        <v>112</v>
      </c>
      <c r="O27" s="236"/>
      <c r="P27" s="32"/>
      <c r="Q27" s="33">
        <f>[3]June_2017!$P31</f>
        <v>0.51470588235294323</v>
      </c>
      <c r="R27" s="32"/>
      <c r="S27" s="1039">
        <f>($G27+G28)/(($K27/60)*AF$3*(1/24))</f>
        <v>0.66093103448275869</v>
      </c>
      <c r="T27" s="1039">
        <f>($G27+G28)/(($K27/60)*AG$3*(1/24))</f>
        <v>0.58317444219066938</v>
      </c>
      <c r="U27" s="1039">
        <f>(G27+G28)*24/(K27/60)/15000</f>
        <v>0.66093103448275858</v>
      </c>
      <c r="V27" s="129">
        <f>(H27+H30)*24/(N27/60)/15000</f>
        <v>0.26503714285714292</v>
      </c>
      <c r="W27" s="1047">
        <f>(G27+G28)*24/(K27/60)/17000</f>
        <v>0.58317444219066938</v>
      </c>
      <c r="X27" s="1035">
        <f>(1114-(N27+N28))/1114</f>
        <v>0.78096947935368044</v>
      </c>
      <c r="Y27" s="1059" t="s">
        <v>591</v>
      </c>
      <c r="Z27" s="1060"/>
      <c r="AA27" s="1060"/>
      <c r="AB27" s="1060"/>
      <c r="AC27" s="1060"/>
      <c r="AD27" s="1060"/>
      <c r="AE27" s="1061"/>
    </row>
    <row r="28" spans="2:31" s="19" customFormat="1" ht="39" customHeight="1" x14ac:dyDescent="0.2">
      <c r="B28" s="1038"/>
      <c r="C28" s="26" t="str">
        <f>[3]June_2017!$D32</f>
        <v>STAG</v>
      </c>
      <c r="D28" s="27">
        <v>3500</v>
      </c>
      <c r="E28" s="1053"/>
      <c r="F28" s="29">
        <f>[3]June_2017!$J32</f>
        <v>206.89999999999998</v>
      </c>
      <c r="G28" s="30">
        <f>[3]June_2017!$F32</f>
        <v>3109</v>
      </c>
      <c r="H28" s="29">
        <f>[3]June_2017!$K32</f>
        <v>205.19400000000002</v>
      </c>
      <c r="I28" s="31">
        <f>[3]June_2017!$N32</f>
        <v>22</v>
      </c>
      <c r="J28" s="992"/>
      <c r="K28" s="992"/>
      <c r="L28" s="29"/>
      <c r="M28" s="1018"/>
      <c r="N28" s="32">
        <f>[3]June_2017!$M32</f>
        <v>132</v>
      </c>
      <c r="O28" s="236">
        <f>[4]Jun!$I32/K27</f>
        <v>2.1551724137931036E-2</v>
      </c>
      <c r="P28" s="32"/>
      <c r="Q28" s="33">
        <f>[3]June_2017!$P32</f>
        <v>0.82455292411791237</v>
      </c>
      <c r="R28" s="32"/>
      <c r="S28" s="1040"/>
      <c r="T28" s="1040"/>
      <c r="U28" s="1040"/>
      <c r="V28" s="129"/>
      <c r="W28" s="1048"/>
      <c r="X28" s="1036"/>
      <c r="Y28" s="1100" t="s">
        <v>594</v>
      </c>
      <c r="Z28" s="1101"/>
      <c r="AA28" s="1101"/>
      <c r="AB28" s="1101"/>
      <c r="AC28" s="1101"/>
      <c r="AD28" s="1101"/>
      <c r="AE28" s="1102"/>
    </row>
    <row r="29" spans="2:31" s="19" customFormat="1" ht="49.5" customHeight="1" x14ac:dyDescent="0.2">
      <c r="B29" s="1037">
        <v>42914</v>
      </c>
      <c r="C29" s="26" t="str">
        <f>[3]June_2017!$D33</f>
        <v xml:space="preserve">STAG </v>
      </c>
      <c r="D29" s="27">
        <v>1400</v>
      </c>
      <c r="E29" s="1051">
        <v>0.33055555555555555</v>
      </c>
      <c r="F29" s="29">
        <f>[3]June_2017!$J33</f>
        <v>101.5</v>
      </c>
      <c r="G29" s="30">
        <f>[3]June_2017!$F33</f>
        <v>1512</v>
      </c>
      <c r="H29" s="29">
        <f>[3]June_2017!$K33</f>
        <v>99.792000000000002</v>
      </c>
      <c r="I29" s="31">
        <f>[3]June_2017!$N33</f>
        <v>8.5</v>
      </c>
      <c r="J29" s="991">
        <f>[3]June_2017!$Q33</f>
        <v>390.88636363636363</v>
      </c>
      <c r="K29" s="991">
        <f>[3]June_2017!$E33</f>
        <v>880</v>
      </c>
      <c r="L29" s="29"/>
      <c r="M29" s="1017">
        <v>0.96388888888888891</v>
      </c>
      <c r="N29" s="32">
        <f>[3]June_2017!$M33</f>
        <v>32</v>
      </c>
      <c r="O29" s="236"/>
      <c r="P29" s="32"/>
      <c r="Q29" s="33">
        <f>[3]June_2017!$P33</f>
        <v>1.6827586206896537</v>
      </c>
      <c r="R29" s="32"/>
      <c r="S29" s="1039">
        <f>($G29+G30+G31+G32)/(($K29/60)*AF$3*(1/24))</f>
        <v>0.62541818181818187</v>
      </c>
      <c r="T29" s="1039">
        <f>($G29+G30+G31+G32)/(($K29/60)*AG$3*(1/24))</f>
        <v>0.55183957219251345</v>
      </c>
      <c r="U29" s="1039">
        <f>(G29+G30+G31+G32)*24/(K29/60)/15000</f>
        <v>0.62541818181818187</v>
      </c>
      <c r="V29" s="129">
        <f>(H29+H32)*24/(N29/60)/15000</f>
        <v>0.60548400000000002</v>
      </c>
      <c r="W29" s="1047">
        <f>(G29+G30+G31+G32)*24/(K29/60)/17000</f>
        <v>0.55183957219251345</v>
      </c>
      <c r="X29" s="1035">
        <f>(958-(N29+N30+N31+N32))/958</f>
        <v>0.71816283924843427</v>
      </c>
      <c r="Y29" s="1059" t="s">
        <v>592</v>
      </c>
      <c r="Z29" s="1060"/>
      <c r="AA29" s="1060"/>
      <c r="AB29" s="1060"/>
      <c r="AC29" s="1060"/>
      <c r="AD29" s="1060"/>
      <c r="AE29" s="1061"/>
    </row>
    <row r="30" spans="2:31" s="19" customFormat="1" ht="49.5" customHeight="1" x14ac:dyDescent="0.2">
      <c r="B30" s="1050"/>
      <c r="C30" s="26" t="str">
        <f>[3]June_2017!$D34</f>
        <v>SHANDY GINGER</v>
      </c>
      <c r="D30" s="27">
        <v>1400</v>
      </c>
      <c r="E30" s="1052"/>
      <c r="F30" s="29">
        <f>[3]June_2017!$J34</f>
        <v>95.4</v>
      </c>
      <c r="G30" s="30">
        <f>[3]June_2017!$F34</f>
        <v>1405</v>
      </c>
      <c r="H30" s="29">
        <f>[3]June_2017!$K34</f>
        <v>92.73</v>
      </c>
      <c r="I30" s="31">
        <f>[3]June_2017!$N34</f>
        <v>7</v>
      </c>
      <c r="J30" s="1042"/>
      <c r="K30" s="1042"/>
      <c r="L30" s="29"/>
      <c r="M30" s="1055"/>
      <c r="N30" s="32">
        <f>[3]June_2017!$M34</f>
        <v>42</v>
      </c>
      <c r="O30" s="236">
        <f>[4]Jun!$I34/K29</f>
        <v>3.0681818181818182E-2</v>
      </c>
      <c r="P30" s="32"/>
      <c r="Q30" s="33">
        <f>[3]June_2017!$P34</f>
        <v>2.7987421383647813</v>
      </c>
      <c r="R30" s="32"/>
      <c r="S30" s="1041"/>
      <c r="T30" s="1041"/>
      <c r="U30" s="1041"/>
      <c r="V30" s="129"/>
      <c r="W30" s="1049"/>
      <c r="X30" s="1054"/>
      <c r="Y30" s="1059" t="s">
        <v>593</v>
      </c>
      <c r="Z30" s="1060"/>
      <c r="AA30" s="1060"/>
      <c r="AB30" s="1060"/>
      <c r="AC30" s="1060"/>
      <c r="AD30" s="1060"/>
      <c r="AE30" s="1061"/>
    </row>
    <row r="31" spans="2:31" s="19" customFormat="1" ht="62.25" customHeight="1" x14ac:dyDescent="0.2">
      <c r="B31" s="1050"/>
      <c r="C31" s="26" t="str">
        <f>[3]June_2017!$D35</f>
        <v>SHANDY SORREL</v>
      </c>
      <c r="D31" s="27">
        <v>1400</v>
      </c>
      <c r="E31" s="1052"/>
      <c r="F31" s="29">
        <f>[3]June_2017!$J35</f>
        <v>85.6</v>
      </c>
      <c r="G31" s="30">
        <f>[3]June_2017!$F35</f>
        <v>1270</v>
      </c>
      <c r="H31" s="29">
        <f>[3]June_2017!$K35</f>
        <v>83.820000000000007</v>
      </c>
      <c r="I31" s="31">
        <f>[3]June_2017!$N35</f>
        <v>18.75</v>
      </c>
      <c r="J31" s="1042"/>
      <c r="K31" s="1042"/>
      <c r="L31" s="29"/>
      <c r="M31" s="1055"/>
      <c r="N31" s="32">
        <f>[3]June_2017!$M35</f>
        <v>101</v>
      </c>
      <c r="O31" s="236">
        <f>[4]Jun!$I$35/K29</f>
        <v>4.6590909090909093E-2</v>
      </c>
      <c r="P31" s="32"/>
      <c r="Q31" s="33">
        <f>[3]June_2017!$P35</f>
        <v>2.0794392523364338</v>
      </c>
      <c r="R31" s="32"/>
      <c r="S31" s="1041"/>
      <c r="T31" s="1041"/>
      <c r="U31" s="1041"/>
      <c r="V31" s="129"/>
      <c r="W31" s="1049"/>
      <c r="X31" s="1054"/>
      <c r="Y31" s="1059" t="s">
        <v>595</v>
      </c>
      <c r="Z31" s="1060"/>
      <c r="AA31" s="1060"/>
      <c r="AB31" s="1060"/>
      <c r="AC31" s="1060"/>
      <c r="AD31" s="1060"/>
      <c r="AE31" s="1061"/>
    </row>
    <row r="32" spans="2:31" s="19" customFormat="1" ht="33.75" customHeight="1" x14ac:dyDescent="0.2">
      <c r="B32" s="1038"/>
      <c r="C32" s="26" t="str">
        <f>[3]June_2017!$D36</f>
        <v>GINSENG</v>
      </c>
      <c r="D32" s="27">
        <v>1400</v>
      </c>
      <c r="E32" s="1053"/>
      <c r="F32" s="29">
        <f>[3]June_2017!$J36</f>
        <v>104.6</v>
      </c>
      <c r="G32" s="30">
        <f>[3]June_2017!$F36</f>
        <v>1546</v>
      </c>
      <c r="H32" s="29">
        <f>[3]June_2017!$K36</f>
        <v>102.036</v>
      </c>
      <c r="I32" s="31">
        <f>[3]June_2017!$N36</f>
        <v>23</v>
      </c>
      <c r="J32" s="992"/>
      <c r="K32" s="992"/>
      <c r="L32" s="29"/>
      <c r="M32" s="1018"/>
      <c r="N32" s="32">
        <f>[3]June_2017!$M36</f>
        <v>95</v>
      </c>
      <c r="O32" s="236">
        <f>[4]Jun!$I36/K29</f>
        <v>0.10795454545454546</v>
      </c>
      <c r="P32" s="32"/>
      <c r="Q32" s="33">
        <f>[3]June_2017!$P36</f>
        <v>2.4512428298279092</v>
      </c>
      <c r="R32" s="32"/>
      <c r="S32" s="1040"/>
      <c r="T32" s="1040"/>
      <c r="U32" s="1040"/>
      <c r="V32" s="129"/>
      <c r="W32" s="1048"/>
      <c r="X32" s="1036"/>
      <c r="Y32" s="1059"/>
      <c r="Z32" s="1060"/>
      <c r="AA32" s="1060"/>
      <c r="AB32" s="1060"/>
      <c r="AC32" s="1060"/>
      <c r="AD32" s="1060"/>
      <c r="AE32" s="1061"/>
    </row>
    <row r="33" spans="2:31" s="19" customFormat="1" ht="59.25" customHeight="1" x14ac:dyDescent="0.2">
      <c r="B33" s="1037">
        <v>42915</v>
      </c>
      <c r="C33" s="26" t="str">
        <f>[3]June_2017!$D37</f>
        <v>CARIB</v>
      </c>
      <c r="D33" s="27">
        <v>3500</v>
      </c>
      <c r="E33" s="1051">
        <v>0.32916666666666666</v>
      </c>
      <c r="F33" s="29">
        <f>[3]June_2017!$J37</f>
        <v>284.39999999999998</v>
      </c>
      <c r="G33" s="30">
        <f>[3]June_2017!$F37</f>
        <v>4079</v>
      </c>
      <c r="H33" s="29">
        <f>[3]June_2017!$K37</f>
        <v>282.70400000000001</v>
      </c>
      <c r="I33" s="31">
        <f>[3]June_2017!$N37</f>
        <v>9</v>
      </c>
      <c r="J33" s="991">
        <f>[3]June_2017!$Q37</f>
        <v>412.2488038277512</v>
      </c>
      <c r="K33" s="991">
        <f>[3]June_2017!$E37</f>
        <v>836</v>
      </c>
      <c r="L33" s="29"/>
      <c r="M33" s="1017">
        <v>0.93611111111111101</v>
      </c>
      <c r="N33" s="32">
        <f>[3]June_2017!$M37</f>
        <v>65</v>
      </c>
      <c r="O33" s="236"/>
      <c r="P33" s="32"/>
      <c r="Q33" s="33">
        <f>[3]June_2017!$P37</f>
        <v>0.59634317862164898</v>
      </c>
      <c r="R33" s="32"/>
      <c r="S33" s="1039">
        <f>($G33+G34)/(($K33/60)*AF$3*(1/24))</f>
        <v>0.65959808612440196</v>
      </c>
      <c r="T33" s="1039">
        <f>($G33+G34)/(($K33/60)*AG$3*(1/24))</f>
        <v>0.58199831128623702</v>
      </c>
      <c r="U33" s="1039">
        <f>(G33+G34)*24/(K33/60)/15000</f>
        <v>0.65959808612440185</v>
      </c>
      <c r="V33" s="129">
        <f>(H33+H36)*24/(N33/60)/15000</f>
        <v>0.41753206153846162</v>
      </c>
      <c r="W33" s="1047">
        <f>(G33+G34)*24/(K33/60)/17000</f>
        <v>0.58199831128623691</v>
      </c>
      <c r="X33" s="1035">
        <f>(911-(N33+N34))/911</f>
        <v>0.71130625686059279</v>
      </c>
      <c r="Y33" s="1059" t="s">
        <v>596</v>
      </c>
      <c r="Z33" s="1060"/>
      <c r="AA33" s="1060"/>
      <c r="AB33" s="1060"/>
      <c r="AC33" s="1060"/>
      <c r="AD33" s="1060"/>
      <c r="AE33" s="1061"/>
    </row>
    <row r="34" spans="2:31" s="19" customFormat="1" ht="41.25" customHeight="1" x14ac:dyDescent="0.2">
      <c r="B34" s="1038"/>
      <c r="C34" s="26" t="str">
        <f>[3]June_2017!$D38</f>
        <v>GINSENG APPLE</v>
      </c>
      <c r="D34" s="27">
        <v>1400</v>
      </c>
      <c r="E34" s="1053"/>
      <c r="F34" s="29">
        <f>[3]June_2017!$J38</f>
        <v>110.7</v>
      </c>
      <c r="G34" s="30">
        <f>[3]June_2017!$F38</f>
        <v>1665</v>
      </c>
      <c r="H34" s="29">
        <f>[3]June_2017!$K38</f>
        <v>109.89</v>
      </c>
      <c r="I34" s="31">
        <f>[3]June_2017!$N38</f>
        <v>13</v>
      </c>
      <c r="J34" s="992"/>
      <c r="K34" s="992"/>
      <c r="L34" s="29"/>
      <c r="M34" s="1018"/>
      <c r="N34" s="32">
        <f>[3]June_2017!$M38</f>
        <v>198</v>
      </c>
      <c r="O34" s="236">
        <f>[4]Jun!$I$38/K33</f>
        <v>5.9808612440191387E-2</v>
      </c>
      <c r="P34" s="32"/>
      <c r="Q34" s="33">
        <f>[3]June_2017!$P38</f>
        <v>0.73170731707317271</v>
      </c>
      <c r="R34" s="32"/>
      <c r="S34" s="1040"/>
      <c r="T34" s="1040"/>
      <c r="U34" s="1040"/>
      <c r="V34" s="129"/>
      <c r="W34" s="1048"/>
      <c r="X34" s="1036"/>
      <c r="Y34" s="1059" t="s">
        <v>597</v>
      </c>
      <c r="Z34" s="1060"/>
      <c r="AA34" s="1060"/>
      <c r="AB34" s="1060"/>
      <c r="AC34" s="1060"/>
      <c r="AD34" s="1060"/>
      <c r="AE34" s="1061"/>
    </row>
    <row r="35" spans="2:31" s="19" customFormat="1" ht="101.25" customHeight="1" x14ac:dyDescent="0.25">
      <c r="B35" s="296">
        <v>42916</v>
      </c>
      <c r="C35" s="26" t="str">
        <f>[3]June_2017!$D39</f>
        <v>MACKESON</v>
      </c>
      <c r="D35" s="27">
        <v>5600</v>
      </c>
      <c r="E35" s="28">
        <v>0.3298611111111111</v>
      </c>
      <c r="F35" s="29">
        <f>[3]June_2017!$J39</f>
        <v>388.2</v>
      </c>
      <c r="G35" s="30">
        <f>[3]June_2017!$F39</f>
        <v>5864</v>
      </c>
      <c r="H35" s="29">
        <f>[3]June_2017!$K39</f>
        <v>387.024</v>
      </c>
      <c r="I35" s="31">
        <f>[3]June_2017!$N39</f>
        <v>17</v>
      </c>
      <c r="J35" s="32">
        <f>[3]June_2017!$Q39</f>
        <v>406.28175519630486</v>
      </c>
      <c r="K35" s="32">
        <f>[3]June_2017!$E39</f>
        <v>866</v>
      </c>
      <c r="L35" s="29"/>
      <c r="M35" s="169">
        <v>0.96388888888888891</v>
      </c>
      <c r="N35" s="32">
        <f>[3]June_2017!$M39</f>
        <v>241</v>
      </c>
      <c r="O35" s="236"/>
      <c r="P35" s="32"/>
      <c r="Q35" s="33">
        <f>[3]June_2017!$P39</f>
        <v>0.30293663060277892</v>
      </c>
      <c r="R35" s="32"/>
      <c r="S35" s="129">
        <f>($G35)/(($K35/60)*AF$3*(1/24))</f>
        <v>0.6500508083140879</v>
      </c>
      <c r="T35" s="129">
        <f>($G35)/(($K35/60)*AG$3*(1/24))</f>
        <v>0.5735742426300775</v>
      </c>
      <c r="U35" s="129">
        <f>(G35)*24/(K35/60)/15000</f>
        <v>0.65005080831408779</v>
      </c>
      <c r="V35" s="129">
        <f>(H35+H38)*24/(N35/60)/15000</f>
        <v>0.15416723651452285</v>
      </c>
      <c r="W35" s="227">
        <f>(G35)*24/(K35/60)/17000</f>
        <v>0.57357424263007739</v>
      </c>
      <c r="X35" s="233">
        <f>(958-(N35))/958</f>
        <v>0.74843423799582465</v>
      </c>
      <c r="Y35" s="1103" t="s">
        <v>598</v>
      </c>
      <c r="Z35" s="1104"/>
      <c r="AA35" s="1104"/>
      <c r="AB35" s="1104"/>
      <c r="AC35" s="1104"/>
      <c r="AD35" s="1104"/>
      <c r="AE35" s="1105"/>
    </row>
    <row r="36" spans="2:31" s="19" customFormat="1" ht="27.75" customHeight="1" thickBot="1" x14ac:dyDescent="0.25">
      <c r="B36" s="291"/>
      <c r="C36" s="26"/>
      <c r="D36" s="27"/>
      <c r="E36" s="28"/>
      <c r="F36" s="29"/>
      <c r="G36" s="30"/>
      <c r="H36" s="29"/>
      <c r="I36" s="31"/>
      <c r="J36" s="29"/>
      <c r="K36" s="30"/>
      <c r="L36" s="29"/>
      <c r="M36" s="31"/>
      <c r="N36" s="32"/>
      <c r="O36" s="236"/>
      <c r="P36" s="32"/>
      <c r="Q36" s="33"/>
      <c r="R36" s="32"/>
      <c r="S36" s="224"/>
      <c r="T36" s="224"/>
      <c r="U36" s="224"/>
      <c r="V36" s="129"/>
      <c r="W36" s="227"/>
      <c r="X36" s="233"/>
      <c r="Y36" s="1059"/>
      <c r="Z36" s="1060"/>
      <c r="AA36" s="1060"/>
      <c r="AB36" s="1060"/>
      <c r="AC36" s="1060"/>
      <c r="AD36" s="1060"/>
      <c r="AE36" s="1061"/>
    </row>
    <row r="37" spans="2:31" s="19" customFormat="1" ht="49.5" hidden="1" customHeight="1" thickBot="1" x14ac:dyDescent="0.25">
      <c r="B37" s="291"/>
      <c r="C37" s="26"/>
      <c r="D37" s="27"/>
      <c r="E37" s="28"/>
      <c r="F37" s="29"/>
      <c r="G37" s="30"/>
      <c r="H37" s="29"/>
      <c r="I37" s="31"/>
      <c r="J37" s="29"/>
      <c r="K37" s="30"/>
      <c r="L37" s="29"/>
      <c r="M37" s="31"/>
      <c r="N37" s="32"/>
      <c r="O37" s="236"/>
      <c r="P37" s="32"/>
      <c r="Q37" s="33"/>
      <c r="R37" s="32"/>
      <c r="S37" s="224"/>
      <c r="T37" s="224"/>
      <c r="U37" s="224"/>
      <c r="V37" s="129"/>
      <c r="W37" s="227"/>
      <c r="X37" s="233"/>
      <c r="Y37" s="1059"/>
      <c r="Z37" s="1060"/>
      <c r="AA37" s="1060"/>
      <c r="AB37" s="1060"/>
      <c r="AC37" s="1060"/>
      <c r="AD37" s="1060"/>
      <c r="AE37" s="1061"/>
    </row>
    <row r="38" spans="2:31" s="19" customFormat="1" ht="49.5" hidden="1" customHeight="1" x14ac:dyDescent="0.2">
      <c r="B38" s="291"/>
      <c r="C38" s="26"/>
      <c r="D38" s="27"/>
      <c r="E38" s="28"/>
      <c r="F38" s="29"/>
      <c r="G38" s="30"/>
      <c r="H38" s="29"/>
      <c r="I38" s="31"/>
      <c r="J38" s="29"/>
      <c r="K38" s="30"/>
      <c r="L38" s="29"/>
      <c r="M38" s="31"/>
      <c r="N38" s="32"/>
      <c r="O38" s="236"/>
      <c r="P38" s="32"/>
      <c r="Q38" s="33"/>
      <c r="R38" s="32"/>
      <c r="S38" s="224"/>
      <c r="T38" s="224"/>
      <c r="U38" s="224"/>
      <c r="V38" s="129"/>
      <c r="W38" s="227"/>
      <c r="X38" s="233"/>
      <c r="Y38" s="1059"/>
      <c r="Z38" s="1060"/>
      <c r="AA38" s="1060"/>
      <c r="AB38" s="1060"/>
      <c r="AC38" s="1060"/>
      <c r="AD38" s="1060"/>
      <c r="AE38" s="1061"/>
    </row>
    <row r="39" spans="2:31" s="19" customFormat="1" ht="49.5" hidden="1" customHeight="1" x14ac:dyDescent="0.2">
      <c r="B39" s="291"/>
      <c r="C39" s="26"/>
      <c r="D39" s="27"/>
      <c r="E39" s="28"/>
      <c r="F39" s="29"/>
      <c r="G39" s="30"/>
      <c r="H39" s="29"/>
      <c r="I39" s="31"/>
      <c r="J39" s="29"/>
      <c r="K39" s="30"/>
      <c r="L39" s="29"/>
      <c r="M39" s="31"/>
      <c r="N39" s="32"/>
      <c r="O39" s="236"/>
      <c r="P39" s="32"/>
      <c r="Q39" s="33"/>
      <c r="R39" s="32"/>
      <c r="S39" s="224"/>
      <c r="T39" s="224"/>
      <c r="U39" s="224"/>
      <c r="V39" s="129"/>
      <c r="W39" s="227"/>
      <c r="X39" s="233"/>
      <c r="Y39" s="1059"/>
      <c r="Z39" s="1060"/>
      <c r="AA39" s="1060"/>
      <c r="AB39" s="1060"/>
      <c r="AC39" s="1060"/>
      <c r="AD39" s="1060"/>
      <c r="AE39" s="1061"/>
    </row>
    <row r="40" spans="2:31" s="19" customFormat="1" ht="49.5" hidden="1" customHeight="1" x14ac:dyDescent="0.2">
      <c r="B40" s="168"/>
      <c r="C40" s="26"/>
      <c r="D40" s="27"/>
      <c r="E40" s="28"/>
      <c r="F40" s="29"/>
      <c r="G40" s="30"/>
      <c r="H40" s="29"/>
      <c r="I40" s="31"/>
      <c r="J40" s="285"/>
      <c r="K40" s="285"/>
      <c r="L40" s="285"/>
      <c r="M40" s="169"/>
      <c r="N40" s="285"/>
      <c r="O40" s="236"/>
      <c r="P40" s="32"/>
      <c r="Q40" s="33"/>
      <c r="R40" s="32"/>
      <c r="S40" s="224"/>
      <c r="T40" s="224"/>
      <c r="U40" s="224"/>
      <c r="V40" s="129"/>
      <c r="W40" s="225"/>
      <c r="X40" s="288"/>
      <c r="Y40" s="1059"/>
      <c r="Z40" s="1060"/>
      <c r="AA40" s="1060"/>
      <c r="AB40" s="1060"/>
      <c r="AC40" s="1060"/>
      <c r="AD40" s="1060"/>
      <c r="AE40" s="1061"/>
    </row>
    <row r="41" spans="2:31" s="19" customFormat="1" ht="49.5" hidden="1" customHeight="1" x14ac:dyDescent="0.2">
      <c r="B41" s="168"/>
      <c r="C41" s="26"/>
      <c r="D41" s="27"/>
      <c r="E41" s="28"/>
      <c r="F41" s="29"/>
      <c r="G41" s="30"/>
      <c r="H41" s="29"/>
      <c r="I41" s="31"/>
      <c r="J41" s="285"/>
      <c r="K41" s="285"/>
      <c r="L41" s="285"/>
      <c r="M41" s="169"/>
      <c r="N41" s="285"/>
      <c r="O41" s="236"/>
      <c r="P41" s="32"/>
      <c r="Q41" s="33"/>
      <c r="R41" s="32"/>
      <c r="S41" s="224"/>
      <c r="T41" s="224"/>
      <c r="U41" s="224"/>
      <c r="V41" s="129"/>
      <c r="W41" s="225"/>
      <c r="X41" s="288"/>
      <c r="Y41" s="1059"/>
      <c r="Z41" s="1060"/>
      <c r="AA41" s="1060"/>
      <c r="AB41" s="1060"/>
      <c r="AC41" s="1060"/>
      <c r="AD41" s="1060"/>
      <c r="AE41" s="1061"/>
    </row>
    <row r="42" spans="2:31" s="19" customFormat="1" ht="49.5" hidden="1" customHeight="1" x14ac:dyDescent="0.2">
      <c r="B42" s="168"/>
      <c r="C42" s="26"/>
      <c r="D42" s="27"/>
      <c r="E42" s="28"/>
      <c r="F42" s="29"/>
      <c r="G42" s="30"/>
      <c r="H42" s="29"/>
      <c r="I42" s="31"/>
      <c r="J42" s="285"/>
      <c r="K42" s="285"/>
      <c r="L42" s="285"/>
      <c r="M42" s="169"/>
      <c r="N42" s="285"/>
      <c r="O42" s="236"/>
      <c r="P42" s="32"/>
      <c r="Q42" s="33"/>
      <c r="R42" s="32"/>
      <c r="S42" s="224"/>
      <c r="T42" s="224"/>
      <c r="U42" s="224"/>
      <c r="V42" s="129"/>
      <c r="W42" s="225"/>
      <c r="X42" s="288"/>
      <c r="Y42" s="1059"/>
      <c r="Z42" s="1060"/>
      <c r="AA42" s="1060"/>
      <c r="AB42" s="1060"/>
      <c r="AC42" s="1060"/>
      <c r="AD42" s="1060"/>
      <c r="AE42" s="1061"/>
    </row>
    <row r="43" spans="2:31" s="19" customFormat="1" ht="49.5" hidden="1" customHeight="1" x14ac:dyDescent="0.2">
      <c r="B43" s="168"/>
      <c r="C43" s="26"/>
      <c r="D43" s="27"/>
      <c r="E43" s="28"/>
      <c r="F43" s="29"/>
      <c r="G43" s="30"/>
      <c r="H43" s="29"/>
      <c r="I43" s="31"/>
      <c r="J43" s="32"/>
      <c r="K43" s="285"/>
      <c r="L43" s="285"/>
      <c r="M43" s="169"/>
      <c r="N43" s="285"/>
      <c r="O43" s="236"/>
      <c r="P43" s="32"/>
      <c r="Q43" s="33"/>
      <c r="R43" s="32"/>
      <c r="S43" s="224"/>
      <c r="T43" s="224"/>
      <c r="U43" s="224"/>
      <c r="V43" s="129"/>
      <c r="W43" s="225"/>
      <c r="X43" s="288"/>
      <c r="Y43" s="1059"/>
      <c r="Z43" s="1060"/>
      <c r="AA43" s="1060"/>
      <c r="AB43" s="1060"/>
      <c r="AC43" s="1060"/>
      <c r="AD43" s="1060"/>
      <c r="AE43" s="1061"/>
    </row>
    <row r="44" spans="2:31" s="19" customFormat="1" ht="49.5" hidden="1" customHeight="1" x14ac:dyDescent="0.2">
      <c r="B44" s="168"/>
      <c r="C44" s="26"/>
      <c r="D44" s="27"/>
      <c r="E44" s="28"/>
      <c r="F44" s="29"/>
      <c r="G44" s="30"/>
      <c r="H44" s="29"/>
      <c r="I44" s="31"/>
      <c r="J44" s="32"/>
      <c r="K44" s="285"/>
      <c r="L44" s="285"/>
      <c r="M44" s="169"/>
      <c r="N44" s="285"/>
      <c r="O44" s="236"/>
      <c r="P44" s="32"/>
      <c r="Q44" s="33"/>
      <c r="R44" s="32"/>
      <c r="S44" s="224"/>
      <c r="T44" s="224"/>
      <c r="U44" s="224"/>
      <c r="V44" s="129"/>
      <c r="W44" s="225"/>
      <c r="X44" s="288"/>
      <c r="Y44" s="1059"/>
      <c r="Z44" s="1060"/>
      <c r="AA44" s="1060"/>
      <c r="AB44" s="1060"/>
      <c r="AC44" s="1060"/>
      <c r="AD44" s="1060"/>
      <c r="AE44" s="1061"/>
    </row>
    <row r="45" spans="2:31" s="19" customFormat="1" ht="49.5" hidden="1" customHeight="1" x14ac:dyDescent="0.2">
      <c r="B45" s="168"/>
      <c r="C45" s="26"/>
      <c r="D45" s="27"/>
      <c r="E45" s="28"/>
      <c r="F45" s="29"/>
      <c r="G45" s="30"/>
      <c r="H45" s="29"/>
      <c r="I45" s="31"/>
      <c r="J45" s="32"/>
      <c r="K45" s="32"/>
      <c r="L45" s="32"/>
      <c r="M45" s="169"/>
      <c r="N45" s="32"/>
      <c r="O45" s="236"/>
      <c r="P45" s="32"/>
      <c r="Q45" s="33"/>
      <c r="R45" s="32"/>
      <c r="S45" s="224"/>
      <c r="T45" s="224"/>
      <c r="U45" s="224"/>
      <c r="V45" s="129"/>
      <c r="W45" s="225"/>
      <c r="X45" s="288"/>
      <c r="Y45" s="1059"/>
      <c r="Z45" s="1060"/>
      <c r="AA45" s="1060"/>
      <c r="AB45" s="1060"/>
      <c r="AC45" s="1060"/>
      <c r="AD45" s="1060"/>
      <c r="AE45" s="1061"/>
    </row>
    <row r="46" spans="2:31" s="19" customFormat="1" ht="49.5" hidden="1" customHeight="1" x14ac:dyDescent="0.2">
      <c r="B46" s="168"/>
      <c r="C46" s="26"/>
      <c r="D46" s="27"/>
      <c r="E46" s="28"/>
      <c r="F46" s="29"/>
      <c r="G46" s="30"/>
      <c r="H46" s="29"/>
      <c r="I46" s="31"/>
      <c r="J46" s="32"/>
      <c r="K46" s="32"/>
      <c r="L46" s="32"/>
      <c r="M46" s="169"/>
      <c r="N46" s="32"/>
      <c r="O46" s="236"/>
      <c r="P46" s="32"/>
      <c r="Q46" s="33"/>
      <c r="R46" s="32"/>
      <c r="S46" s="129"/>
      <c r="T46" s="129"/>
      <c r="U46" s="129"/>
      <c r="V46" s="129"/>
      <c r="W46" s="227"/>
      <c r="X46" s="233"/>
      <c r="Y46" s="1059"/>
      <c r="Z46" s="1060"/>
      <c r="AA46" s="1060"/>
      <c r="AB46" s="1060"/>
      <c r="AC46" s="1060"/>
      <c r="AD46" s="1060"/>
      <c r="AE46" s="1061"/>
    </row>
    <row r="47" spans="2:31" s="19" customFormat="1" ht="49.5" hidden="1" customHeight="1" x14ac:dyDescent="0.2">
      <c r="B47" s="168"/>
      <c r="C47" s="26"/>
      <c r="D47" s="27"/>
      <c r="E47" s="28"/>
      <c r="F47" s="29"/>
      <c r="G47" s="30"/>
      <c r="H47" s="29"/>
      <c r="I47" s="31"/>
      <c r="J47" s="32"/>
      <c r="K47" s="32"/>
      <c r="L47" s="32"/>
      <c r="M47" s="169"/>
      <c r="N47" s="32"/>
      <c r="O47" s="236"/>
      <c r="P47" s="32"/>
      <c r="Q47" s="33"/>
      <c r="R47" s="32"/>
      <c r="S47" s="129"/>
      <c r="T47" s="129"/>
      <c r="U47" s="129"/>
      <c r="V47" s="129"/>
      <c r="W47" s="227"/>
      <c r="X47" s="233"/>
      <c r="Y47" s="1059"/>
      <c r="Z47" s="1060"/>
      <c r="AA47" s="1060"/>
      <c r="AB47" s="1060"/>
      <c r="AC47" s="1060"/>
      <c r="AD47" s="1060"/>
      <c r="AE47" s="1061"/>
    </row>
    <row r="48" spans="2:31" s="19" customFormat="1" ht="49.5" hidden="1" customHeight="1" x14ac:dyDescent="0.2">
      <c r="B48" s="168"/>
      <c r="C48" s="26"/>
      <c r="D48" s="27"/>
      <c r="E48" s="28"/>
      <c r="F48" s="29"/>
      <c r="G48" s="30"/>
      <c r="H48" s="29"/>
      <c r="I48" s="31"/>
      <c r="J48" s="32"/>
      <c r="K48" s="32"/>
      <c r="L48" s="32"/>
      <c r="M48" s="169"/>
      <c r="N48" s="32"/>
      <c r="O48" s="236"/>
      <c r="P48" s="32"/>
      <c r="Q48" s="33"/>
      <c r="R48" s="32"/>
      <c r="S48" s="129"/>
      <c r="T48" s="129"/>
      <c r="U48" s="129"/>
      <c r="V48" s="129"/>
      <c r="W48" s="227"/>
      <c r="X48" s="233"/>
      <c r="Y48" s="1059"/>
      <c r="Z48" s="1060"/>
      <c r="AA48" s="1060"/>
      <c r="AB48" s="1060"/>
      <c r="AC48" s="1060"/>
      <c r="AD48" s="1060"/>
      <c r="AE48" s="1061"/>
    </row>
    <row r="49" spans="1:31" s="19" customFormat="1" ht="49.5" hidden="1" customHeight="1" x14ac:dyDescent="0.2">
      <c r="B49" s="168"/>
      <c r="C49" s="26"/>
      <c r="D49" s="27"/>
      <c r="E49" s="28"/>
      <c r="F49" s="29"/>
      <c r="G49" s="30"/>
      <c r="H49" s="29"/>
      <c r="I49" s="31"/>
      <c r="J49" s="32"/>
      <c r="K49" s="32"/>
      <c r="L49" s="32"/>
      <c r="M49" s="169"/>
      <c r="N49" s="32"/>
      <c r="O49" s="236"/>
      <c r="P49" s="32"/>
      <c r="Q49" s="33"/>
      <c r="R49" s="32"/>
      <c r="S49" s="129"/>
      <c r="T49" s="129"/>
      <c r="U49" s="129"/>
      <c r="V49" s="129"/>
      <c r="W49" s="227"/>
      <c r="X49" s="233"/>
      <c r="Y49" s="1059"/>
      <c r="Z49" s="1060"/>
      <c r="AA49" s="1060"/>
      <c r="AB49" s="1060"/>
      <c r="AC49" s="1060"/>
      <c r="AD49" s="1060"/>
      <c r="AE49" s="1061"/>
    </row>
    <row r="50" spans="1:31" s="19" customFormat="1" ht="49.5" hidden="1" customHeight="1" x14ac:dyDescent="0.2">
      <c r="B50" s="168"/>
      <c r="C50" s="26"/>
      <c r="D50" s="27"/>
      <c r="E50" s="28"/>
      <c r="F50" s="29"/>
      <c r="G50" s="30"/>
      <c r="H50" s="29"/>
      <c r="I50" s="31"/>
      <c r="J50" s="32"/>
      <c r="K50" s="32"/>
      <c r="L50" s="32"/>
      <c r="M50" s="169"/>
      <c r="N50" s="32"/>
      <c r="O50" s="236"/>
      <c r="P50" s="32"/>
      <c r="Q50" s="33"/>
      <c r="R50" s="32"/>
      <c r="S50" s="129"/>
      <c r="T50" s="129"/>
      <c r="U50" s="129"/>
      <c r="V50" s="129"/>
      <c r="W50" s="227"/>
      <c r="X50" s="233"/>
      <c r="Y50" s="1059"/>
      <c r="Z50" s="1060"/>
      <c r="AA50" s="1060"/>
      <c r="AB50" s="1060"/>
      <c r="AC50" s="1060"/>
      <c r="AD50" s="1060"/>
      <c r="AE50" s="1061"/>
    </row>
    <row r="51" spans="1:31" s="19" customFormat="1" ht="49.5" hidden="1" customHeight="1" x14ac:dyDescent="0.2">
      <c r="B51" s="168"/>
      <c r="C51" s="26"/>
      <c r="D51" s="27"/>
      <c r="E51" s="28"/>
      <c r="F51" s="29"/>
      <c r="G51" s="30"/>
      <c r="H51" s="29"/>
      <c r="I51" s="31"/>
      <c r="J51" s="32"/>
      <c r="K51" s="32"/>
      <c r="L51" s="32"/>
      <c r="M51" s="169"/>
      <c r="N51" s="32"/>
      <c r="O51" s="236"/>
      <c r="P51" s="32"/>
      <c r="Q51" s="33"/>
      <c r="R51" s="32"/>
      <c r="S51" s="129"/>
      <c r="T51" s="129"/>
      <c r="U51" s="129"/>
      <c r="V51" s="129"/>
      <c r="W51" s="227"/>
      <c r="X51" s="233"/>
      <c r="Y51" s="1059"/>
      <c r="Z51" s="1060"/>
      <c r="AA51" s="1060"/>
      <c r="AB51" s="1060"/>
      <c r="AC51" s="1060"/>
      <c r="AD51" s="1060"/>
      <c r="AE51" s="1061"/>
    </row>
    <row r="52" spans="1:31" s="19" customFormat="1" ht="49.5" hidden="1" customHeight="1" x14ac:dyDescent="0.2">
      <c r="B52" s="168"/>
      <c r="C52" s="26"/>
      <c r="D52" s="27"/>
      <c r="E52" s="28"/>
      <c r="F52" s="29"/>
      <c r="G52" s="30"/>
      <c r="H52" s="29"/>
      <c r="I52" s="31"/>
      <c r="J52" s="32"/>
      <c r="K52" s="32"/>
      <c r="L52" s="32"/>
      <c r="M52" s="169"/>
      <c r="N52" s="32"/>
      <c r="O52" s="236"/>
      <c r="P52" s="32"/>
      <c r="Q52" s="33"/>
      <c r="R52" s="32"/>
      <c r="S52" s="129"/>
      <c r="T52" s="129"/>
      <c r="U52" s="129"/>
      <c r="V52" s="129"/>
      <c r="W52" s="227"/>
      <c r="X52" s="233"/>
      <c r="Y52" s="1059"/>
      <c r="Z52" s="1060"/>
      <c r="AA52" s="1060"/>
      <c r="AB52" s="1060"/>
      <c r="AC52" s="1060"/>
      <c r="AD52" s="1060"/>
      <c r="AE52" s="1061"/>
    </row>
    <row r="53" spans="1:31" s="19" customFormat="1" ht="49.5" hidden="1" customHeight="1" x14ac:dyDescent="0.2">
      <c r="B53" s="168"/>
      <c r="C53" s="26"/>
      <c r="D53" s="27"/>
      <c r="E53" s="28"/>
      <c r="F53" s="29"/>
      <c r="G53" s="30"/>
      <c r="H53" s="29"/>
      <c r="I53" s="31"/>
      <c r="J53" s="32"/>
      <c r="K53" s="32"/>
      <c r="L53" s="32"/>
      <c r="M53" s="169"/>
      <c r="N53" s="32"/>
      <c r="O53" s="236"/>
      <c r="P53" s="32"/>
      <c r="Q53" s="33"/>
      <c r="R53" s="32"/>
      <c r="S53" s="129"/>
      <c r="T53" s="129"/>
      <c r="U53" s="129"/>
      <c r="V53" s="129"/>
      <c r="W53" s="227"/>
      <c r="X53" s="233"/>
      <c r="Y53" s="1059"/>
      <c r="Z53" s="1060"/>
      <c r="AA53" s="1060"/>
      <c r="AB53" s="1060"/>
      <c r="AC53" s="1060"/>
      <c r="AD53" s="1060"/>
      <c r="AE53" s="1061"/>
    </row>
    <row r="54" spans="1:31" s="19" customFormat="1" ht="49.5" hidden="1" customHeight="1" x14ac:dyDescent="0.2">
      <c r="B54" s="168"/>
      <c r="C54" s="26"/>
      <c r="D54" s="27"/>
      <c r="E54" s="28"/>
      <c r="F54" s="29"/>
      <c r="G54" s="30"/>
      <c r="H54" s="29"/>
      <c r="I54" s="31"/>
      <c r="J54" s="32"/>
      <c r="K54" s="32"/>
      <c r="L54" s="32"/>
      <c r="M54" s="169"/>
      <c r="N54" s="32"/>
      <c r="O54" s="236"/>
      <c r="P54" s="32"/>
      <c r="Q54" s="33"/>
      <c r="R54" s="32"/>
      <c r="S54" s="129"/>
      <c r="T54" s="129"/>
      <c r="U54" s="129"/>
      <c r="V54" s="129"/>
      <c r="W54" s="227"/>
      <c r="X54" s="233"/>
      <c r="Y54" s="1059"/>
      <c r="Z54" s="1060"/>
      <c r="AA54" s="1060"/>
      <c r="AB54" s="1060"/>
      <c r="AC54" s="1060"/>
      <c r="AD54" s="1060"/>
      <c r="AE54" s="1061"/>
    </row>
    <row r="55" spans="1:31" s="19" customFormat="1" ht="49.5" hidden="1" customHeight="1" x14ac:dyDescent="0.2">
      <c r="B55" s="168"/>
      <c r="C55" s="26"/>
      <c r="D55" s="27"/>
      <c r="E55" s="28"/>
      <c r="F55" s="29"/>
      <c r="G55" s="30"/>
      <c r="H55" s="29"/>
      <c r="I55" s="31"/>
      <c r="J55" s="32"/>
      <c r="K55" s="32"/>
      <c r="L55" s="32"/>
      <c r="M55" s="169"/>
      <c r="N55" s="32"/>
      <c r="O55" s="236"/>
      <c r="P55" s="32"/>
      <c r="Q55" s="33"/>
      <c r="R55" s="32"/>
      <c r="S55" s="129"/>
      <c r="T55" s="129"/>
      <c r="U55" s="129"/>
      <c r="V55" s="129"/>
      <c r="W55" s="227"/>
      <c r="X55" s="233"/>
      <c r="Y55" s="1059"/>
      <c r="Z55" s="1060"/>
      <c r="AA55" s="1060"/>
      <c r="AB55" s="1060"/>
      <c r="AC55" s="1060"/>
      <c r="AD55" s="1060"/>
      <c r="AE55" s="1061"/>
    </row>
    <row r="56" spans="1:31" s="19" customFormat="1" ht="49.5" hidden="1" customHeight="1" x14ac:dyDescent="0.2">
      <c r="B56" s="168"/>
      <c r="C56" s="26"/>
      <c r="D56" s="27"/>
      <c r="E56" s="28"/>
      <c r="F56" s="29"/>
      <c r="G56" s="30"/>
      <c r="H56" s="29"/>
      <c r="I56" s="31"/>
      <c r="J56" s="32"/>
      <c r="K56" s="32"/>
      <c r="L56" s="32"/>
      <c r="M56" s="169"/>
      <c r="N56" s="32"/>
      <c r="O56" s="236"/>
      <c r="P56" s="32"/>
      <c r="Q56" s="33"/>
      <c r="R56" s="32"/>
      <c r="S56" s="129"/>
      <c r="T56" s="129"/>
      <c r="U56" s="129"/>
      <c r="V56" s="129"/>
      <c r="W56" s="227"/>
      <c r="X56" s="233"/>
      <c r="Y56" s="1059"/>
      <c r="Z56" s="1060"/>
      <c r="AA56" s="1060"/>
      <c r="AB56" s="1060"/>
      <c r="AC56" s="1060"/>
      <c r="AD56" s="1060"/>
      <c r="AE56" s="1061"/>
    </row>
    <row r="57" spans="1:31" s="19" customFormat="1" ht="49.5" hidden="1" customHeight="1" x14ac:dyDescent="0.2">
      <c r="B57" s="168"/>
      <c r="C57" s="26"/>
      <c r="D57" s="27"/>
      <c r="E57" s="28"/>
      <c r="F57" s="29"/>
      <c r="G57" s="30"/>
      <c r="H57" s="29"/>
      <c r="I57" s="31"/>
      <c r="J57" s="32"/>
      <c r="K57" s="32"/>
      <c r="L57" s="32"/>
      <c r="M57" s="169"/>
      <c r="N57" s="32"/>
      <c r="O57" s="236"/>
      <c r="P57" s="32"/>
      <c r="Q57" s="33"/>
      <c r="R57" s="32"/>
      <c r="S57" s="129"/>
      <c r="T57" s="129"/>
      <c r="U57" s="129"/>
      <c r="V57" s="129"/>
      <c r="W57" s="227"/>
      <c r="X57" s="233"/>
      <c r="Y57" s="1059"/>
      <c r="Z57" s="1060"/>
      <c r="AA57" s="1060"/>
      <c r="AB57" s="1060"/>
      <c r="AC57" s="1060"/>
      <c r="AD57" s="1060"/>
      <c r="AE57" s="1061"/>
    </row>
    <row r="58" spans="1:31" s="19" customFormat="1" ht="49.5" hidden="1" customHeight="1" x14ac:dyDescent="0.2">
      <c r="B58" s="168"/>
      <c r="C58" s="26"/>
      <c r="D58" s="27"/>
      <c r="E58" s="28"/>
      <c r="F58" s="29"/>
      <c r="G58" s="30"/>
      <c r="H58" s="29"/>
      <c r="I58" s="31"/>
      <c r="J58" s="32"/>
      <c r="K58" s="32"/>
      <c r="L58" s="32"/>
      <c r="M58" s="169"/>
      <c r="N58" s="32"/>
      <c r="O58" s="236"/>
      <c r="P58" s="32"/>
      <c r="Q58" s="33"/>
      <c r="R58" s="32"/>
      <c r="S58" s="129"/>
      <c r="T58" s="129"/>
      <c r="U58" s="129"/>
      <c r="V58" s="129"/>
      <c r="W58" s="227"/>
      <c r="X58" s="233"/>
      <c r="Y58" s="1059"/>
      <c r="Z58" s="1060"/>
      <c r="AA58" s="1060"/>
      <c r="AB58" s="1060"/>
      <c r="AC58" s="1060"/>
      <c r="AD58" s="1060"/>
      <c r="AE58" s="1061"/>
    </row>
    <row r="59" spans="1:31" s="19" customFormat="1" ht="49.5" hidden="1" customHeight="1" thickBot="1" x14ac:dyDescent="0.25">
      <c r="B59" s="168"/>
      <c r="C59" s="26"/>
      <c r="D59" s="27"/>
      <c r="E59" s="28"/>
      <c r="F59" s="29"/>
      <c r="G59" s="30"/>
      <c r="H59" s="29"/>
      <c r="I59" s="31"/>
      <c r="J59" s="32"/>
      <c r="K59" s="32"/>
      <c r="L59" s="32"/>
      <c r="M59" s="169"/>
      <c r="N59" s="32"/>
      <c r="O59" s="236"/>
      <c r="P59" s="32"/>
      <c r="Q59" s="33"/>
      <c r="R59" s="32"/>
      <c r="S59" s="129"/>
      <c r="T59" s="129"/>
      <c r="U59" s="129"/>
      <c r="V59" s="129"/>
      <c r="W59" s="227"/>
      <c r="X59" s="233"/>
      <c r="Y59" s="1059"/>
      <c r="Z59" s="1060"/>
      <c r="AA59" s="1060"/>
      <c r="AB59" s="1060"/>
      <c r="AC59" s="1060"/>
      <c r="AD59" s="1060"/>
      <c r="AE59" s="1061"/>
    </row>
    <row r="60" spans="1:31" s="19" customFormat="1" ht="49.5" customHeight="1" thickBot="1" x14ac:dyDescent="0.25">
      <c r="B60" s="240" t="s">
        <v>3</v>
      </c>
      <c r="C60" s="241"/>
      <c r="D60" s="242">
        <f>SUM(D4:D58)</f>
        <v>92050</v>
      </c>
      <c r="E60" s="243">
        <f>AVERAGE(E4:E58)</f>
        <v>0.36152777777777784</v>
      </c>
      <c r="F60" s="244">
        <f>SUM(F4:F59)</f>
        <v>6234.5</v>
      </c>
      <c r="G60" s="242">
        <f>SUM(G4:G58)</f>
        <v>93075</v>
      </c>
      <c r="H60" s="244">
        <f>SUM(H4:H59)</f>
        <v>6185.8900000000012</v>
      </c>
      <c r="I60" s="245">
        <f>SUM(I4:I58)</f>
        <v>507.92</v>
      </c>
      <c r="J60" s="245">
        <f>G60/(K60/60)</f>
        <v>401.32950053898674</v>
      </c>
      <c r="K60" s="242">
        <f>SUM(K4:K58)</f>
        <v>13915</v>
      </c>
      <c r="L60" s="242">
        <f>SUM(L4:L58)</f>
        <v>2070</v>
      </c>
      <c r="M60" s="246">
        <f>AVERAGE(M4:M59)</f>
        <v>0.82218749999999985</v>
      </c>
      <c r="N60" s="242">
        <f>SUM(N4:N58)</f>
        <v>4117</v>
      </c>
      <c r="O60" s="247">
        <f>[4]Jun!$I$54/K60</f>
        <v>4.0100610851598995E-2</v>
      </c>
      <c r="P60" s="245">
        <f>SUM(P4:P59)</f>
        <v>0</v>
      </c>
      <c r="Q60" s="292">
        <f>(F60-H60)/F60</f>
        <v>7.79693640227745E-3</v>
      </c>
      <c r="R60" s="249">
        <f>SUM(R4:R58)</f>
        <v>0</v>
      </c>
      <c r="S60" s="250">
        <f>((S4*($G$4))+(S5*($G$5))+(S6*($G$6))+(S7*($G$7+$G$8))+(S9*($G$9+$G$10))+(S11*($G$11+$G$12))+(S13*($G$13))+(S14*($G$14+$G$15))+(S16*($G$16))+(S17*($G$17+$G$18))+(S19*($G$19))+(S20*($G$20))+(S21*($G$21+$G$22)+(S23*($G$23))+(S24*($G$24))+(S25*($G$25+$G$26))+(S27*($G$27+$G$28))+(S29*($G$29+$G$30+$G$31+$G$32))+(S33*($G$33+$G$34))+(S35*($G$35))))/($G$60)</f>
        <v>0.70076393368339451</v>
      </c>
      <c r="T60" s="250">
        <f>((T4*($G$4))+(T5*($G$5))+(T6*($G$6))+(T7*($G$7+$G$8))+(T9*($G$9+$G$10))+(T11*($G$11+$G$12))+(T13*($G$13))+(T14*($G$14+$G$15))+(T16*($G$16))+(T17*($G$17+$G$18))+(T19*($G$19))+(T20*($G$20))+(T21*($G$21+$G$22)+(T23*($G$23))+(T24*($G$24))+(T25*($G$25+$G$26))+(T27*($G$27+$G$28))+(T29*($G$29+$G$30+$G$31+$G$32))+(T33*($G$33+$G$34))+(T35*($G$35))))/($G$60)</f>
        <v>0.61832111795593636</v>
      </c>
      <c r="U60" s="251">
        <f>(G60)*24/(K60/60)/AF3</f>
        <v>0.64212720086237873</v>
      </c>
      <c r="V60" s="251">
        <f>(F60)*24/(J60/60)/17000</f>
        <v>1.3158734227615299</v>
      </c>
      <c r="W60" s="251">
        <f>(G60)*24/(K60/60)/AG3</f>
        <v>0.56658282429033413</v>
      </c>
      <c r="X60" s="252">
        <f>(15929-(N60-962))/15929</f>
        <v>0.80193358026241446</v>
      </c>
      <c r="Y60" s="1059"/>
      <c r="Z60" s="1060"/>
      <c r="AA60" s="1060"/>
      <c r="AB60" s="1060"/>
      <c r="AC60" s="1060"/>
      <c r="AD60" s="1060"/>
      <c r="AE60" s="1061"/>
    </row>
    <row r="61" spans="1:31" s="271" customFormat="1" ht="49.5" hidden="1" customHeight="1" thickTop="1" x14ac:dyDescent="0.3">
      <c r="A61" s="274"/>
      <c r="B61" s="260" t="s">
        <v>474</v>
      </c>
      <c r="C61" s="260"/>
      <c r="D61" s="261"/>
      <c r="E61" s="262"/>
      <c r="F61" s="263"/>
      <c r="G61" s="261"/>
      <c r="H61" s="263"/>
      <c r="I61" s="273"/>
      <c r="J61" s="273">
        <v>524</v>
      </c>
      <c r="K61" s="261"/>
      <c r="L61" s="261"/>
      <c r="M61" s="265"/>
      <c r="N61" s="261"/>
      <c r="O61" s="266"/>
      <c r="P61" s="264"/>
      <c r="Q61" s="267">
        <v>1.0999999999999999E-2</v>
      </c>
      <c r="R61" s="268"/>
      <c r="S61" s="268"/>
      <c r="T61" s="268">
        <v>0.6</v>
      </c>
      <c r="U61" s="268"/>
      <c r="V61" s="268"/>
      <c r="W61" s="268">
        <v>0.74</v>
      </c>
      <c r="X61" s="269">
        <v>0.95</v>
      </c>
      <c r="Y61" s="270"/>
      <c r="Z61" s="270"/>
      <c r="AA61" s="270"/>
      <c r="AB61" s="270"/>
      <c r="AC61" s="270"/>
      <c r="AD61" s="270"/>
      <c r="AE61" s="270"/>
    </row>
    <row r="62" spans="1:31" ht="24.75" customHeight="1" thickTop="1" x14ac:dyDescent="0.25">
      <c r="B62" s="11"/>
      <c r="C62" s="150" t="s">
        <v>35</v>
      </c>
      <c r="D62" s="210">
        <v>88110</v>
      </c>
      <c r="E62" s="1081" t="s">
        <v>565</v>
      </c>
      <c r="F62" s="1081"/>
      <c r="G62" s="210">
        <f>D62-G60</f>
        <v>-4965</v>
      </c>
      <c r="H62" s="150" t="s">
        <v>327</v>
      </c>
      <c r="I62" s="272">
        <f>G60/D62</f>
        <v>1.0563500170241744</v>
      </c>
      <c r="J62" s="152">
        <v>0</v>
      </c>
      <c r="K62" s="12"/>
      <c r="L62" s="12"/>
      <c r="M62" s="12"/>
      <c r="N62" s="12"/>
      <c r="O62" s="12"/>
      <c r="P62" s="13"/>
      <c r="Q62" s="14"/>
      <c r="R62" s="12"/>
      <c r="S62" s="15"/>
      <c r="T62" s="16"/>
      <c r="U62" s="15"/>
      <c r="V62" s="15"/>
      <c r="W62" s="15"/>
      <c r="X62" s="15"/>
      <c r="Y62" s="17" t="s">
        <v>48</v>
      </c>
    </row>
    <row r="63" spans="1:31" ht="20.25" customHeight="1" x14ac:dyDescent="0.25">
      <c r="B63" s="11"/>
      <c r="C63" s="150" t="s">
        <v>37</v>
      </c>
      <c r="D63" s="210">
        <f>May_17!D63+'June_17 '!D62</f>
        <v>499820</v>
      </c>
      <c r="E63" s="1081" t="s">
        <v>36</v>
      </c>
      <c r="F63" s="1081"/>
      <c r="G63" s="210">
        <f>May_17!G63+'June_17 '!G60</f>
        <v>500530</v>
      </c>
      <c r="H63" s="150" t="s">
        <v>326</v>
      </c>
      <c r="I63" s="212">
        <v>0</v>
      </c>
      <c r="J63" s="152"/>
      <c r="K63" s="12">
        <v>0</v>
      </c>
      <c r="L63" s="12"/>
      <c r="M63" s="12"/>
      <c r="N63" s="12"/>
      <c r="O63" s="12"/>
      <c r="P63" s="13"/>
      <c r="Q63" s="14"/>
      <c r="R63" s="12"/>
      <c r="S63" s="15"/>
      <c r="T63" s="16"/>
      <c r="U63" s="15"/>
      <c r="V63" s="15"/>
      <c r="W63" s="15"/>
      <c r="X63" s="15"/>
      <c r="Y63" s="17"/>
    </row>
    <row r="64" spans="1:31" ht="6.75" customHeight="1" thickBot="1" x14ac:dyDescent="0.3">
      <c r="C64" s="23"/>
      <c r="D64" s="42"/>
      <c r="E64" s="1082"/>
      <c r="F64" s="1082"/>
      <c r="G64" s="42"/>
      <c r="H64" s="44"/>
      <c r="I64" s="44"/>
      <c r="J64" s="149"/>
      <c r="P64"/>
      <c r="S64" s="10"/>
      <c r="Y64" s="17"/>
    </row>
    <row r="65" spans="2:30" ht="48.75" customHeight="1" thickTop="1" thickBot="1" x14ac:dyDescent="0.25">
      <c r="B65" s="7"/>
      <c r="C65" s="206" t="s">
        <v>19</v>
      </c>
      <c r="D65" s="207" t="s">
        <v>14</v>
      </c>
      <c r="E65" s="207" t="s">
        <v>23</v>
      </c>
      <c r="F65" s="207" t="s">
        <v>24</v>
      </c>
      <c r="G65" s="208" t="s">
        <v>15</v>
      </c>
      <c r="H65" s="207" t="s">
        <v>17</v>
      </c>
      <c r="I65" s="207" t="s">
        <v>16</v>
      </c>
      <c r="J65" s="209" t="s">
        <v>316</v>
      </c>
      <c r="P65"/>
      <c r="Q65" s="141" t="s">
        <v>325</v>
      </c>
      <c r="R65" s="90" t="s">
        <v>320</v>
      </c>
      <c r="S65" s="90" t="s">
        <v>466</v>
      </c>
      <c r="T65" s="90" t="s">
        <v>467</v>
      </c>
      <c r="U65" s="90" t="s">
        <v>323</v>
      </c>
      <c r="V65" s="142"/>
      <c r="W65" s="143" t="s">
        <v>324</v>
      </c>
      <c r="X65" s="300" t="s">
        <v>576</v>
      </c>
      <c r="Z65" s="165" t="s">
        <v>375</v>
      </c>
      <c r="AA65" s="166" t="s">
        <v>376</v>
      </c>
      <c r="AB65" s="166" t="s">
        <v>377</v>
      </c>
      <c r="AC65" s="167" t="s">
        <v>378</v>
      </c>
    </row>
    <row r="66" spans="2:30" ht="21" thickBot="1" x14ac:dyDescent="0.35">
      <c r="B66" s="8"/>
      <c r="C66" s="201">
        <v>1</v>
      </c>
      <c r="D66" s="202" t="s">
        <v>20</v>
      </c>
      <c r="E66" s="182">
        <f>SUM(G4,G5,G7,G11,G12,G13,G14,G15,G16,G17,G19,G20,G21,G23,G25,G27:G28,G29,G33)</f>
        <v>59435</v>
      </c>
      <c r="F66" s="183">
        <f>SUM(K4,K5,K7,K11,K13,K14,K16,K17,K19,K20,K21,K23,K25,K27,K29,K33)</f>
        <v>11163</v>
      </c>
      <c r="G66" s="184">
        <f>SUM(F4,F5,F7,F11,F12,F13,F14,F15,F16,F17,F19,F20,F21,F23,F25,F27:F28,F29,F33)</f>
        <v>3992.1</v>
      </c>
      <c r="H66" s="184">
        <f>SUM(H4,H5,H7,H11,H12,H13,H14,H15,H16,H17,H19,H20,H21,H23,H25,H27:H28,H29,H33)</f>
        <v>3965.65</v>
      </c>
      <c r="I66" s="97">
        <f t="shared" ref="I66:I71" si="2">(G66-H66)/G66</f>
        <v>6.6255855314245179E-3</v>
      </c>
      <c r="J66" s="186">
        <f>(E66+G8+G18+G22+G26+G30+G31+G32+G33)*24/(F66/60)/17000</f>
        <v>0.60198618334729759</v>
      </c>
      <c r="P66"/>
      <c r="Q66" s="253">
        <f>U80</f>
        <v>8.2779682584634695E-3</v>
      </c>
      <c r="R66" s="254"/>
      <c r="S66" s="255">
        <f>((January_17!$Q$60*January_17!$G$60)+(February_17!$R$60*February_17!$G$60)+(March_17!$R$60*March_17!$G$60)+(April_17!$R$60*April_17!$G$60)+(May_17!$S$60*May_17!$G$60)+('June_17 '!$S$60*'June_17 '!G$60))/($G$63)</f>
        <v>0.7510819726230481</v>
      </c>
      <c r="T66" s="255">
        <f>((January_17!$R$60*January_17!$G$60)+(February_17!$S$60*February_17!$G$60)+(March_17!$S$60*March_17!$G$60)+(April_17!$S$60*April_17!$G$60)+(May_17!T60*May_17!$G$60)+($T$60*$G$60))/($G$63)</f>
        <v>0.66392164263001385</v>
      </c>
      <c r="U66" s="254">
        <f>U79</f>
        <v>0.7157244995233556</v>
      </c>
      <c r="V66" s="256"/>
      <c r="W66" s="257">
        <f>W79</f>
        <v>0.63152161722649014</v>
      </c>
      <c r="X66" s="301">
        <f>AVERAGE(January_17!U60,February_17!W60,March_17!W60,April_17!W60,May_17!X60,'June_17 '!X60)</f>
        <v>0.84012178340736765</v>
      </c>
      <c r="Z66" s="176" t="s">
        <v>370</v>
      </c>
      <c r="AA66" s="178">
        <f>[5]June_2017!$F$33</f>
        <v>3.3528836754643208E-2</v>
      </c>
      <c r="AB66" s="178">
        <f>[5]June_2017!$F$85</f>
        <v>3.2218677966890964E-2</v>
      </c>
      <c r="AC66" s="179">
        <f>[5]YearToDate!F5</f>
        <v>5.7508070397275124E-2</v>
      </c>
    </row>
    <row r="67" spans="2:30" s="1" customFormat="1" ht="18.75" thickTop="1" x14ac:dyDescent="0.25">
      <c r="B67" s="8"/>
      <c r="C67" s="203">
        <v>2</v>
      </c>
      <c r="D67" s="204" t="s">
        <v>21</v>
      </c>
      <c r="E67" s="182">
        <f>SUM(G8,G9,G10,G18,G24,G35)</f>
        <v>21552</v>
      </c>
      <c r="F67" s="183">
        <f>SUM(K7,K9,K17,K24,K35)</f>
        <v>3417</v>
      </c>
      <c r="G67" s="184">
        <f>SUM(F8,F9,F10,F18,F24,F35)</f>
        <v>1430.3999999999999</v>
      </c>
      <c r="H67" s="184">
        <f>SUM(H8,H9,H10,H18,H24,H35)</f>
        <v>1422.4319999999998</v>
      </c>
      <c r="I67" s="97">
        <f t="shared" si="2"/>
        <v>5.5704697986577708E-3</v>
      </c>
      <c r="J67" s="186">
        <f>(E67+G7+G17)*24/(F67/60)/17000</f>
        <v>0.61721014305634447</v>
      </c>
      <c r="K67"/>
      <c r="L67"/>
      <c r="M67"/>
      <c r="N67"/>
      <c r="O67"/>
      <c r="P67" s="2"/>
      <c r="T67"/>
      <c r="U67"/>
      <c r="V67"/>
      <c r="W67"/>
      <c r="Y67"/>
      <c r="Z67" s="213" t="s">
        <v>371</v>
      </c>
      <c r="AA67" s="216">
        <f>[5]June_2017!$F$34</f>
        <v>2.3138227433607012E-2</v>
      </c>
      <c r="AB67" s="215">
        <f>[5]June_2017!$F$86</f>
        <v>3.0485075223431978E-2</v>
      </c>
      <c r="AC67" s="214">
        <f>[5]YearToDate!F6</f>
        <v>7.4495145412179109E-2</v>
      </c>
      <c r="AD67"/>
    </row>
    <row r="68" spans="2:30" s="1" customFormat="1" ht="18" x14ac:dyDescent="0.25">
      <c r="B68" s="8"/>
      <c r="C68" s="201">
        <v>3</v>
      </c>
      <c r="D68" s="204" t="s">
        <v>124</v>
      </c>
      <c r="E68" s="187"/>
      <c r="F68" s="188"/>
      <c r="G68" s="189"/>
      <c r="H68" s="189"/>
      <c r="I68" s="109" t="e">
        <f t="shared" si="2"/>
        <v>#DIV/0!</v>
      </c>
      <c r="J68" s="191"/>
      <c r="K68"/>
      <c r="L68"/>
      <c r="M68"/>
      <c r="N68"/>
      <c r="O68"/>
      <c r="P68" s="2"/>
      <c r="T68"/>
      <c r="U68"/>
      <c r="V68"/>
      <c r="W68"/>
      <c r="Y68"/>
      <c r="Z68" s="177" t="s">
        <v>372</v>
      </c>
      <c r="AA68" s="217"/>
      <c r="AB68" s="180">
        <f>[5]June_2017!$F$87</f>
        <v>2.2263702503591845E-2</v>
      </c>
      <c r="AC68" s="181">
        <f>[5]YearToDate!F7</f>
        <v>5.2359214885581859E-2</v>
      </c>
      <c r="AD68"/>
    </row>
    <row r="69" spans="2:30" s="1" customFormat="1" ht="18" x14ac:dyDescent="0.25">
      <c r="B69" s="8"/>
      <c r="C69" s="203">
        <v>4</v>
      </c>
      <c r="D69" s="204" t="s">
        <v>18</v>
      </c>
      <c r="E69" s="182">
        <f>SUM(G22)</f>
        <v>3720</v>
      </c>
      <c r="F69" s="183">
        <f>SUM(K21)</f>
        <v>819</v>
      </c>
      <c r="G69" s="182">
        <f>SUM(F22)</f>
        <v>248.89999999999998</v>
      </c>
      <c r="H69" s="182">
        <f>SUM(H22)</f>
        <v>245.52</v>
      </c>
      <c r="I69" s="295">
        <f t="shared" si="2"/>
        <v>1.357975090397737E-2</v>
      </c>
      <c r="J69" s="304">
        <f>(E69+G21)*24/(F69/60)/17000</f>
        <v>0.70557207498383967</v>
      </c>
      <c r="K69"/>
      <c r="L69"/>
      <c r="M69"/>
      <c r="N69"/>
      <c r="O69"/>
      <c r="P69" s="2"/>
      <c r="Q69" s="159"/>
      <c r="R69" s="159"/>
      <c r="S69" s="159"/>
      <c r="T69" s="160"/>
      <c r="U69" s="160"/>
      <c r="V69" s="161"/>
      <c r="W69" s="161"/>
      <c r="X69" s="234"/>
      <c r="Y69"/>
      <c r="Z69" s="213" t="s">
        <v>373</v>
      </c>
      <c r="AA69" s="216"/>
      <c r="AB69" s="215">
        <f>[5]June_2017!$F$88</f>
        <v>2.4145510376268744E-2</v>
      </c>
      <c r="AC69" s="214">
        <f>[5]YearToDate!F8</f>
        <v>5.4903170815414681E-2</v>
      </c>
    </row>
    <row r="70" spans="2:30" s="1" customFormat="1" ht="18" x14ac:dyDescent="0.25">
      <c r="B70" s="8"/>
      <c r="C70" s="201">
        <v>5</v>
      </c>
      <c r="D70" s="205" t="s">
        <v>26</v>
      </c>
      <c r="E70" s="192">
        <f>SUM(G6,G26,G30,G31,G32,G34)</f>
        <v>8368</v>
      </c>
      <c r="F70" s="193">
        <f>SUM(K6,K25,K29,K33)</f>
        <v>3115</v>
      </c>
      <c r="G70" s="194">
        <f>SUM(F6,F26,F30,F31,F32,F34)</f>
        <v>563.10000000000014</v>
      </c>
      <c r="H70" s="194">
        <f>SUM(H6,H26,H30,H31,H32,H34)</f>
        <v>552.28800000000001</v>
      </c>
      <c r="I70" s="295">
        <f t="shared" si="2"/>
        <v>1.9200852424081198E-2</v>
      </c>
      <c r="J70" s="186">
        <f>(E70+G25+G29+G33)*24/(F70/60)/17000</f>
        <v>0.54630535360211496</v>
      </c>
      <c r="K70"/>
      <c r="L70"/>
      <c r="M70"/>
      <c r="N70"/>
      <c r="O70"/>
      <c r="P70" s="2"/>
      <c r="Q70" s="159"/>
      <c r="S70" s="8"/>
      <c r="T70"/>
      <c r="U70"/>
      <c r="V70" s="6"/>
      <c r="W70" s="6"/>
      <c r="X70" s="10"/>
      <c r="Y70"/>
      <c r="Z70" s="177" t="s">
        <v>374</v>
      </c>
      <c r="AA70" s="217"/>
      <c r="AB70" s="239" t="e">
        <f>[5]June_2017!$F$89</f>
        <v>#DIV/0!</v>
      </c>
      <c r="AC70" s="181">
        <f>[5]YearToDate!F9</f>
        <v>7.6171674114030377E-2</v>
      </c>
    </row>
    <row r="71" spans="2:30" s="1" customFormat="1" ht="18.75" thickBot="1" x14ac:dyDescent="0.3">
      <c r="B71" s="8"/>
      <c r="C71" s="203">
        <v>6</v>
      </c>
      <c r="D71" s="205" t="s">
        <v>25</v>
      </c>
      <c r="E71" s="192"/>
      <c r="F71" s="193"/>
      <c r="G71" s="194"/>
      <c r="H71" s="194"/>
      <c r="I71" s="109" t="e">
        <f t="shared" si="2"/>
        <v>#DIV/0!</v>
      </c>
      <c r="J71" s="191"/>
      <c r="K71"/>
      <c r="L71"/>
      <c r="M71"/>
      <c r="N71"/>
      <c r="O71"/>
      <c r="P71" s="2"/>
      <c r="Q71" s="159"/>
      <c r="T71"/>
      <c r="U71"/>
      <c r="V71"/>
      <c r="W71"/>
      <c r="Y71"/>
      <c r="Z71" s="218" t="s">
        <v>25</v>
      </c>
      <c r="AA71" s="219"/>
      <c r="AB71" s="302" t="e">
        <f>[5]June_2017!$F$90</f>
        <v>#DIV/0!</v>
      </c>
      <c r="AC71" s="220">
        <f>[5]YearToDate!F10</f>
        <v>4.5790074270967041E-2</v>
      </c>
    </row>
    <row r="72" spans="2:30" s="1" customFormat="1" ht="19.5" thickTop="1" thickBot="1" x14ac:dyDescent="0.3">
      <c r="C72" s="112"/>
      <c r="D72" s="195" t="s">
        <v>22</v>
      </c>
      <c r="E72" s="196">
        <f>SUM(E66:E71)</f>
        <v>93075</v>
      </c>
      <c r="F72" s="197">
        <f>K60</f>
        <v>13915</v>
      </c>
      <c r="G72" s="198">
        <f>SUM(G66:G71)</f>
        <v>6234.5</v>
      </c>
      <c r="H72" s="198">
        <f>SUM(H66:H71)</f>
        <v>6185.8900000000012</v>
      </c>
      <c r="I72" s="199">
        <f>((G72)-(H72))/(G72)</f>
        <v>7.79693640227745E-3</v>
      </c>
      <c r="J72" s="200">
        <f>E72*24/(F72/60)/17000</f>
        <v>0.56658282429033413</v>
      </c>
      <c r="K72"/>
      <c r="L72"/>
      <c r="M72"/>
      <c r="N72"/>
      <c r="O72"/>
      <c r="P72" s="139"/>
      <c r="Q72" s="159"/>
      <c r="T72"/>
      <c r="U72"/>
      <c r="V72"/>
      <c r="W72"/>
      <c r="Y72"/>
      <c r="Z72" s="221" t="s">
        <v>379</v>
      </c>
      <c r="AA72" s="222"/>
      <c r="AB72" s="222">
        <f>[5]June_2017!$F$92</f>
        <v>2.8510746510445117E-2</v>
      </c>
      <c r="AC72" s="223">
        <f>[5]YearToDate!$F$12</f>
        <v>5.7449685942507892E-2</v>
      </c>
    </row>
    <row r="73" spans="2:30" s="1" customFormat="1" ht="16.5" thickTop="1" x14ac:dyDescent="0.25">
      <c r="J73"/>
      <c r="K73"/>
      <c r="L73"/>
      <c r="M73"/>
      <c r="N73"/>
      <c r="O73"/>
      <c r="P73" s="2"/>
      <c r="Q73" s="159"/>
      <c r="T73"/>
      <c r="U73"/>
      <c r="V73"/>
      <c r="W73"/>
      <c r="Y73"/>
    </row>
    <row r="74" spans="2:30" s="1" customFormat="1" ht="15.75" x14ac:dyDescent="0.25">
      <c r="E74" s="3"/>
      <c r="F74" s="119"/>
      <c r="G74" s="120"/>
      <c r="H74" s="120"/>
      <c r="I74"/>
      <c r="J74"/>
      <c r="K74"/>
      <c r="L74"/>
      <c r="M74"/>
      <c r="N74"/>
      <c r="O74"/>
      <c r="P74" s="2"/>
      <c r="Q74" s="159"/>
      <c r="T74"/>
      <c r="U74"/>
      <c r="V74"/>
      <c r="W74"/>
      <c r="Y74"/>
    </row>
    <row r="75" spans="2:30" s="1" customFormat="1" ht="13.5" customHeight="1" x14ac:dyDescent="0.25">
      <c r="J75"/>
      <c r="K75"/>
      <c r="L75"/>
      <c r="M75"/>
      <c r="N75"/>
      <c r="O75"/>
      <c r="P75" s="2"/>
      <c r="Q75" s="159"/>
      <c r="T75"/>
      <c r="U75"/>
      <c r="V75"/>
      <c r="W75"/>
      <c r="Y75" s="9"/>
    </row>
    <row r="76" spans="2:30" s="1" customFormat="1" x14ac:dyDescent="0.2">
      <c r="J76"/>
      <c r="K76"/>
      <c r="L76"/>
      <c r="M76"/>
      <c r="N76"/>
      <c r="O76"/>
      <c r="P76" s="2"/>
      <c r="Y76" s="9"/>
    </row>
    <row r="77" spans="2:30" s="1" customFormat="1" x14ac:dyDescent="0.2">
      <c r="J77"/>
      <c r="K77"/>
      <c r="L77"/>
      <c r="M77"/>
      <c r="N77"/>
      <c r="O77"/>
      <c r="P77" s="2"/>
      <c r="Y77" s="9"/>
    </row>
    <row r="78" spans="2:30" s="1" customFormat="1" ht="12.75" customHeight="1" x14ac:dyDescent="0.2">
      <c r="J78"/>
      <c r="K78"/>
      <c r="L78"/>
      <c r="M78"/>
      <c r="N78"/>
      <c r="O78"/>
      <c r="P78" s="2"/>
      <c r="T78"/>
      <c r="U78"/>
      <c r="V78"/>
      <c r="W78"/>
      <c r="Y78" s="9"/>
    </row>
    <row r="79" spans="2:30" s="1" customFormat="1" ht="21" hidden="1" customHeight="1" thickBot="1" x14ac:dyDescent="0.25">
      <c r="J79"/>
      <c r="K79"/>
      <c r="L79"/>
      <c r="M79"/>
      <c r="N79"/>
      <c r="O79"/>
      <c r="P79" s="2"/>
      <c r="Q79" s="3">
        <f>G63</f>
        <v>500530</v>
      </c>
      <c r="S79" s="3">
        <f>SUM(January_17!K60,February_17!K60,March_17!K60:K60,April_17!K60,May_17!K60,'June_17 '!K60)</f>
        <v>67136</v>
      </c>
      <c r="T79"/>
      <c r="U79" s="63">
        <f>(Q79)*24/(S79/60)/15000</f>
        <v>0.7157244995233556</v>
      </c>
      <c r="V79"/>
      <c r="W79" s="128">
        <f>(Q79)*24/(S79/60)/17000</f>
        <v>0.63152161722649014</v>
      </c>
      <c r="X79" s="230"/>
      <c r="Y79" s="9"/>
    </row>
    <row r="80" spans="2:30" s="1" customFormat="1" ht="21" hidden="1" customHeight="1" thickTop="1" thickBot="1" x14ac:dyDescent="0.35">
      <c r="J80"/>
      <c r="K80"/>
      <c r="L80"/>
      <c r="M80"/>
      <c r="N80"/>
      <c r="O80"/>
      <c r="P80" s="2"/>
      <c r="Q80" s="140">
        <f>SUM(January_17!F60,February_17!F60,March_17!F60,April_17!F60,May_17!F60,'June_17 '!F60)</f>
        <v>34167.935687074831</v>
      </c>
      <c r="S80" s="140">
        <f>SUM(January_17!H60,February_17!H60,March_17!H60,April_17!H60,May_17!H60,'June_17 '!H60)</f>
        <v>33885.094600000004</v>
      </c>
      <c r="T80"/>
      <c r="U80" s="87">
        <f>(Q80-S80)/Q80</f>
        <v>8.2779682584634695E-3</v>
      </c>
      <c r="V80"/>
      <c r="W80"/>
      <c r="Y80" s="9"/>
    </row>
    <row r="81" spans="10:25" s="1" customFormat="1" x14ac:dyDescent="0.2">
      <c r="J81"/>
      <c r="K81"/>
      <c r="L81"/>
      <c r="M81"/>
      <c r="N81"/>
      <c r="O81"/>
      <c r="P81" s="2"/>
      <c r="T81"/>
      <c r="U81"/>
      <c r="V81"/>
      <c r="W81"/>
      <c r="Y81" s="9"/>
    </row>
    <row r="82" spans="10:25" s="1" customFormat="1" x14ac:dyDescent="0.2">
      <c r="J82"/>
      <c r="K82"/>
      <c r="L82"/>
      <c r="M82"/>
      <c r="N82"/>
      <c r="O82"/>
      <c r="P82" s="2"/>
      <c r="T82"/>
      <c r="U82"/>
      <c r="V82"/>
      <c r="W82"/>
      <c r="Y82" s="9"/>
    </row>
    <row r="83" spans="10:25" s="1" customFormat="1" ht="12.75" customHeight="1" x14ac:dyDescent="0.2">
      <c r="J83"/>
      <c r="K83"/>
      <c r="L83"/>
      <c r="M83"/>
      <c r="N83"/>
      <c r="O83"/>
      <c r="P83" s="2"/>
      <c r="T83"/>
      <c r="U83"/>
      <c r="V83"/>
      <c r="W83"/>
      <c r="Y83" s="9"/>
    </row>
    <row r="84" spans="10:25" s="1" customFormat="1" ht="12.75" customHeight="1" x14ac:dyDescent="0.2">
      <c r="J84"/>
      <c r="K84"/>
      <c r="L84"/>
      <c r="M84"/>
      <c r="N84"/>
      <c r="O84"/>
      <c r="P84" s="2"/>
      <c r="T84"/>
      <c r="U84"/>
      <c r="V84"/>
      <c r="W84"/>
      <c r="Y84" s="9"/>
    </row>
    <row r="85" spans="10:25" s="1" customFormat="1" ht="12.75" customHeight="1" x14ac:dyDescent="0.2">
      <c r="J85"/>
      <c r="K85"/>
      <c r="L85"/>
      <c r="M85"/>
      <c r="N85"/>
      <c r="O85"/>
      <c r="P85" s="2"/>
      <c r="T85"/>
      <c r="U85"/>
      <c r="V85"/>
      <c r="W85"/>
      <c r="Y85" s="9"/>
    </row>
    <row r="86" spans="10:25" s="1" customFormat="1" ht="12.75" customHeight="1" x14ac:dyDescent="0.2">
      <c r="J86"/>
      <c r="K86"/>
      <c r="L86"/>
      <c r="M86"/>
      <c r="N86"/>
      <c r="O86"/>
      <c r="P86" s="2"/>
      <c r="T86"/>
      <c r="U86"/>
      <c r="V86"/>
      <c r="W86"/>
      <c r="Y86" s="9"/>
    </row>
    <row r="87" spans="10:25" s="1" customFormat="1" ht="12.75" customHeight="1" x14ac:dyDescent="0.2">
      <c r="J87"/>
      <c r="K87"/>
      <c r="L87"/>
      <c r="M87"/>
      <c r="N87"/>
      <c r="O87"/>
      <c r="P87" s="2"/>
      <c r="T87"/>
      <c r="U87"/>
      <c r="V87"/>
      <c r="W87"/>
      <c r="Y87" s="9"/>
    </row>
    <row r="88" spans="10:25" s="1" customFormat="1" x14ac:dyDescent="0.2">
      <c r="J88"/>
      <c r="K88"/>
      <c r="L88"/>
      <c r="M88"/>
      <c r="N88"/>
      <c r="O88"/>
      <c r="P88" s="2"/>
      <c r="T88"/>
      <c r="U88"/>
      <c r="V88"/>
      <c r="W88"/>
      <c r="Y88"/>
    </row>
    <row r="89" spans="10:25" s="1" customFormat="1" x14ac:dyDescent="0.2">
      <c r="J89"/>
      <c r="K89"/>
      <c r="L89"/>
      <c r="M89"/>
      <c r="N89"/>
      <c r="O89"/>
      <c r="P89" s="2"/>
      <c r="T89"/>
      <c r="U89"/>
      <c r="V89"/>
      <c r="W89"/>
      <c r="Y89"/>
    </row>
    <row r="90" spans="10:25" s="1" customFormat="1" x14ac:dyDescent="0.2">
      <c r="J90"/>
      <c r="K90"/>
      <c r="L90"/>
      <c r="M90"/>
      <c r="N90"/>
      <c r="O90"/>
      <c r="P90" s="2"/>
      <c r="T90"/>
      <c r="U90"/>
      <c r="V90"/>
      <c r="W90"/>
      <c r="Y90"/>
    </row>
    <row r="91" spans="10:25" s="1" customFormat="1" x14ac:dyDescent="0.2">
      <c r="J91"/>
      <c r="K91"/>
      <c r="L91"/>
      <c r="M91"/>
      <c r="N91"/>
      <c r="O91"/>
      <c r="P91" s="2"/>
      <c r="T91"/>
      <c r="U91"/>
      <c r="V91"/>
      <c r="W91"/>
      <c r="Y91"/>
    </row>
    <row r="92" spans="10:25" s="1" customFormat="1" x14ac:dyDescent="0.2">
      <c r="J92"/>
      <c r="K92"/>
      <c r="L92"/>
      <c r="M92"/>
      <c r="N92"/>
      <c r="O92"/>
      <c r="P92" s="2"/>
      <c r="T92"/>
      <c r="U92"/>
      <c r="V92"/>
      <c r="W92"/>
      <c r="Y92"/>
    </row>
    <row r="93" spans="10:25" s="1" customFormat="1" x14ac:dyDescent="0.2">
      <c r="J93"/>
      <c r="K93"/>
      <c r="L93"/>
      <c r="M93"/>
      <c r="N93"/>
      <c r="O93"/>
      <c r="P93" s="2"/>
      <c r="T93"/>
      <c r="U93"/>
      <c r="V93"/>
      <c r="W93"/>
      <c r="Y93"/>
    </row>
    <row r="94" spans="10:25" s="1" customFormat="1" x14ac:dyDescent="0.2">
      <c r="J94"/>
      <c r="K94"/>
      <c r="L94"/>
      <c r="M94"/>
      <c r="N94"/>
      <c r="O94"/>
      <c r="P94" s="2"/>
      <c r="T94"/>
      <c r="U94"/>
      <c r="V94"/>
      <c r="W94"/>
      <c r="Y94"/>
    </row>
    <row r="95" spans="10:25" s="1" customFormat="1" x14ac:dyDescent="0.2">
      <c r="J95"/>
      <c r="K95"/>
      <c r="L95"/>
      <c r="M95"/>
      <c r="N95"/>
      <c r="O95"/>
      <c r="P95" s="2"/>
      <c r="T95"/>
      <c r="U95"/>
      <c r="V95"/>
      <c r="W95"/>
      <c r="Y95"/>
    </row>
    <row r="96" spans="10:25" s="1" customFormat="1" x14ac:dyDescent="0.2">
      <c r="J96"/>
      <c r="K96"/>
      <c r="L96"/>
      <c r="M96"/>
      <c r="N96"/>
      <c r="O96"/>
      <c r="P96" s="2"/>
      <c r="T96"/>
      <c r="U96"/>
      <c r="V96"/>
      <c r="W96"/>
      <c r="Y96"/>
    </row>
    <row r="97" spans="10:25" s="1" customFormat="1" x14ac:dyDescent="0.2">
      <c r="J97"/>
      <c r="K97"/>
      <c r="L97"/>
      <c r="M97"/>
      <c r="N97"/>
      <c r="O97"/>
      <c r="P97" s="2"/>
      <c r="T97"/>
      <c r="U97"/>
      <c r="V97"/>
      <c r="W97"/>
      <c r="Y97"/>
    </row>
    <row r="98" spans="10:25" s="1" customFormat="1" x14ac:dyDescent="0.2">
      <c r="J98"/>
      <c r="K98"/>
      <c r="L98"/>
      <c r="M98"/>
      <c r="N98"/>
      <c r="O98"/>
      <c r="P98" s="2"/>
      <c r="T98"/>
      <c r="U98"/>
      <c r="V98"/>
      <c r="W98"/>
      <c r="Y98"/>
    </row>
    <row r="99" spans="10:25" s="1" customFormat="1" x14ac:dyDescent="0.2">
      <c r="J99"/>
      <c r="K99"/>
      <c r="L99"/>
      <c r="M99"/>
      <c r="N99"/>
      <c r="O99"/>
      <c r="P99" s="2"/>
      <c r="T99"/>
      <c r="U99"/>
      <c r="V99"/>
      <c r="W99"/>
      <c r="Y99"/>
    </row>
    <row r="100" spans="10:25" s="1" customFormat="1" x14ac:dyDescent="0.2">
      <c r="J100"/>
      <c r="K100"/>
      <c r="L100"/>
      <c r="M100"/>
      <c r="N100"/>
      <c r="O100"/>
      <c r="P100" s="2"/>
      <c r="T100"/>
      <c r="U100"/>
      <c r="V100"/>
      <c r="W100"/>
      <c r="Y100"/>
    </row>
    <row r="101" spans="10:25" s="1" customFormat="1" x14ac:dyDescent="0.2">
      <c r="J101"/>
      <c r="K101"/>
      <c r="L101"/>
      <c r="M101"/>
      <c r="N101"/>
      <c r="O101"/>
      <c r="P101" s="2"/>
      <c r="T101"/>
      <c r="U101"/>
      <c r="V101"/>
      <c r="W101"/>
      <c r="Y101"/>
    </row>
    <row r="102" spans="10:25" s="1" customFormat="1" x14ac:dyDescent="0.2">
      <c r="J102"/>
      <c r="K102"/>
      <c r="L102"/>
      <c r="M102"/>
      <c r="N102"/>
      <c r="O102"/>
      <c r="P102" s="2"/>
      <c r="T102"/>
      <c r="U102"/>
      <c r="V102"/>
      <c r="W102"/>
      <c r="Y102"/>
    </row>
    <row r="103" spans="10:25" s="1" customFormat="1" x14ac:dyDescent="0.2">
      <c r="J103"/>
      <c r="K103"/>
      <c r="L103"/>
      <c r="M103"/>
      <c r="N103"/>
      <c r="O103"/>
      <c r="P103" s="2"/>
      <c r="T103"/>
      <c r="U103"/>
      <c r="V103"/>
      <c r="W103"/>
      <c r="Y103"/>
    </row>
    <row r="104" spans="10:25" s="1" customFormat="1" x14ac:dyDescent="0.2">
      <c r="J104"/>
      <c r="K104"/>
      <c r="L104"/>
      <c r="M104"/>
      <c r="N104"/>
      <c r="O104"/>
      <c r="P104" s="2"/>
      <c r="T104"/>
      <c r="U104"/>
      <c r="V104"/>
      <c r="W104"/>
      <c r="Y104"/>
    </row>
    <row r="105" spans="10:25" s="1" customFormat="1" x14ac:dyDescent="0.2">
      <c r="J105"/>
      <c r="K105"/>
      <c r="L105"/>
      <c r="M105"/>
      <c r="N105"/>
      <c r="O105"/>
      <c r="P105" s="2"/>
      <c r="T105"/>
      <c r="U105"/>
      <c r="V105"/>
      <c r="W105"/>
      <c r="Y105"/>
    </row>
    <row r="106" spans="10:25" s="1" customFormat="1" x14ac:dyDescent="0.2">
      <c r="J106"/>
      <c r="K106"/>
      <c r="L106"/>
      <c r="M106"/>
      <c r="N106"/>
      <c r="O106"/>
      <c r="P106" s="2"/>
      <c r="T106"/>
      <c r="U106"/>
      <c r="V106"/>
      <c r="W106"/>
      <c r="Y106"/>
    </row>
    <row r="107" spans="10:25" s="1" customFormat="1" x14ac:dyDescent="0.2">
      <c r="J107"/>
      <c r="K107"/>
      <c r="L107"/>
      <c r="M107"/>
      <c r="N107"/>
      <c r="O107"/>
      <c r="P107" s="2"/>
      <c r="T107"/>
      <c r="U107"/>
      <c r="V107"/>
      <c r="W107"/>
      <c r="Y107"/>
    </row>
    <row r="108" spans="10:25" s="1" customFormat="1" x14ac:dyDescent="0.2">
      <c r="J108"/>
      <c r="K108"/>
      <c r="L108"/>
      <c r="M108"/>
      <c r="N108"/>
      <c r="O108"/>
      <c r="P108" s="2"/>
      <c r="T108"/>
      <c r="U108"/>
      <c r="V108"/>
      <c r="W108"/>
      <c r="Y108"/>
    </row>
    <row r="109" spans="10:25" s="1" customFormat="1" x14ac:dyDescent="0.2">
      <c r="J109"/>
      <c r="K109"/>
      <c r="L109"/>
      <c r="M109"/>
      <c r="N109"/>
      <c r="O109"/>
      <c r="P109" s="2"/>
      <c r="T109"/>
      <c r="U109"/>
      <c r="V109"/>
      <c r="W109"/>
      <c r="Y109"/>
    </row>
    <row r="110" spans="10:25" s="1" customFormat="1" x14ac:dyDescent="0.2">
      <c r="J110"/>
      <c r="K110"/>
      <c r="L110"/>
      <c r="M110"/>
      <c r="N110"/>
      <c r="O110"/>
      <c r="P110" s="2"/>
      <c r="T110"/>
      <c r="U110"/>
      <c r="V110"/>
      <c r="W110"/>
      <c r="Y110"/>
    </row>
    <row r="111" spans="10:25" s="1" customFormat="1" x14ac:dyDescent="0.2">
      <c r="J111"/>
      <c r="K111"/>
      <c r="L111"/>
      <c r="M111"/>
      <c r="N111"/>
      <c r="O111"/>
      <c r="P111" s="2"/>
      <c r="T111"/>
      <c r="U111"/>
      <c r="V111"/>
      <c r="W111"/>
      <c r="Y111"/>
    </row>
    <row r="112" spans="10:25" s="1" customFormat="1" x14ac:dyDescent="0.2">
      <c r="J112"/>
      <c r="K112"/>
      <c r="L112"/>
      <c r="M112"/>
      <c r="N112"/>
      <c r="O112"/>
      <c r="P112" s="2"/>
      <c r="T112"/>
      <c r="U112"/>
      <c r="V112"/>
      <c r="W112"/>
      <c r="Y112"/>
    </row>
    <row r="113" spans="10:25" s="1" customFormat="1" x14ac:dyDescent="0.2">
      <c r="J113"/>
      <c r="K113"/>
      <c r="L113"/>
      <c r="M113"/>
      <c r="N113"/>
      <c r="O113"/>
      <c r="P113" s="2"/>
      <c r="T113"/>
      <c r="U113"/>
      <c r="V113"/>
      <c r="W113"/>
      <c r="Y113"/>
    </row>
    <row r="114" spans="10:25" s="1" customFormat="1" x14ac:dyDescent="0.2">
      <c r="J114"/>
      <c r="K114"/>
      <c r="L114"/>
      <c r="M114"/>
      <c r="N114"/>
      <c r="O114"/>
      <c r="P114" s="2"/>
      <c r="T114"/>
      <c r="U114"/>
      <c r="V114"/>
      <c r="W114"/>
      <c r="Y114"/>
    </row>
    <row r="115" spans="10:25" s="1" customFormat="1" x14ac:dyDescent="0.2">
      <c r="J115"/>
      <c r="K115"/>
      <c r="L115"/>
      <c r="M115"/>
      <c r="N115"/>
      <c r="O115"/>
      <c r="P115" s="2"/>
      <c r="T115"/>
      <c r="U115"/>
      <c r="V115"/>
      <c r="W115"/>
      <c r="Y115"/>
    </row>
    <row r="116" spans="10:25" s="1" customFormat="1" x14ac:dyDescent="0.2">
      <c r="J116"/>
      <c r="K116"/>
      <c r="L116"/>
      <c r="M116"/>
      <c r="N116"/>
      <c r="O116"/>
      <c r="P116" s="2"/>
      <c r="T116"/>
      <c r="U116"/>
      <c r="V116"/>
      <c r="W116"/>
      <c r="Y116"/>
    </row>
    <row r="117" spans="10:25" s="1" customFormat="1" x14ac:dyDescent="0.2">
      <c r="J117"/>
      <c r="K117"/>
      <c r="L117"/>
      <c r="M117"/>
      <c r="N117"/>
      <c r="O117"/>
      <c r="P117" s="2"/>
      <c r="T117"/>
      <c r="U117"/>
      <c r="V117"/>
      <c r="W117"/>
      <c r="Y117"/>
    </row>
    <row r="118" spans="10:25" s="1" customFormat="1" x14ac:dyDescent="0.2">
      <c r="J118"/>
      <c r="K118"/>
      <c r="L118"/>
      <c r="M118"/>
      <c r="N118"/>
      <c r="O118"/>
      <c r="P118" s="2"/>
      <c r="T118"/>
      <c r="U118"/>
      <c r="V118"/>
      <c r="W118"/>
      <c r="Y118"/>
    </row>
    <row r="119" spans="10:25" s="1" customFormat="1" x14ac:dyDescent="0.2">
      <c r="J119"/>
      <c r="K119"/>
      <c r="L119"/>
      <c r="M119"/>
      <c r="N119"/>
      <c r="O119"/>
      <c r="P119" s="2"/>
      <c r="T119"/>
      <c r="U119"/>
      <c r="V119"/>
      <c r="W119"/>
      <c r="Y119"/>
    </row>
    <row r="120" spans="10:25" s="1" customFormat="1" x14ac:dyDescent="0.2">
      <c r="J120"/>
      <c r="K120"/>
      <c r="L120"/>
      <c r="M120"/>
      <c r="N120"/>
      <c r="O120"/>
      <c r="P120" s="2"/>
      <c r="T120"/>
      <c r="U120"/>
      <c r="V120"/>
      <c r="W120"/>
      <c r="Y120"/>
    </row>
    <row r="121" spans="10:25" s="1" customFormat="1" x14ac:dyDescent="0.2">
      <c r="J121"/>
      <c r="K121"/>
      <c r="L121"/>
      <c r="M121"/>
      <c r="N121"/>
      <c r="O121"/>
      <c r="P121" s="2"/>
      <c r="T121"/>
      <c r="U121"/>
      <c r="V121"/>
      <c r="W121"/>
      <c r="Y121"/>
    </row>
    <row r="122" spans="10:25" s="1" customFormat="1" x14ac:dyDescent="0.2">
      <c r="J122"/>
      <c r="K122"/>
      <c r="L122"/>
      <c r="M122"/>
      <c r="N122"/>
      <c r="O122"/>
      <c r="P122" s="2"/>
      <c r="T122"/>
      <c r="U122"/>
      <c r="V122"/>
      <c r="W122"/>
      <c r="Y122"/>
    </row>
    <row r="123" spans="10:25" s="1" customFormat="1" x14ac:dyDescent="0.2">
      <c r="J123"/>
      <c r="K123"/>
      <c r="L123"/>
      <c r="M123"/>
      <c r="N123"/>
      <c r="O123"/>
      <c r="P123" s="2"/>
      <c r="T123"/>
      <c r="U123"/>
      <c r="V123"/>
      <c r="W123"/>
      <c r="Y123"/>
    </row>
    <row r="124" spans="10:25" s="1" customFormat="1" x14ac:dyDescent="0.2">
      <c r="J124"/>
      <c r="K124"/>
      <c r="L124"/>
      <c r="M124"/>
      <c r="N124"/>
      <c r="O124"/>
      <c r="P124" s="2"/>
      <c r="T124"/>
      <c r="U124"/>
      <c r="V124"/>
      <c r="W124"/>
      <c r="Y124"/>
    </row>
    <row r="125" spans="10:25" s="1" customFormat="1" x14ac:dyDescent="0.2">
      <c r="J125"/>
      <c r="K125"/>
      <c r="L125"/>
      <c r="M125"/>
      <c r="N125"/>
      <c r="O125"/>
      <c r="P125" s="2"/>
      <c r="T125"/>
      <c r="U125"/>
      <c r="V125"/>
      <c r="W125"/>
      <c r="Y125"/>
    </row>
    <row r="126" spans="10:25" s="1" customFormat="1" x14ac:dyDescent="0.2">
      <c r="J126"/>
      <c r="K126"/>
      <c r="L126"/>
      <c r="M126"/>
      <c r="N126"/>
      <c r="O126"/>
      <c r="P126" s="2"/>
      <c r="T126"/>
      <c r="U126"/>
      <c r="V126"/>
      <c r="W126"/>
      <c r="Y126"/>
    </row>
    <row r="127" spans="10:25" s="1" customFormat="1" x14ac:dyDescent="0.2">
      <c r="J127"/>
      <c r="K127"/>
      <c r="L127"/>
      <c r="M127"/>
      <c r="N127"/>
      <c r="O127"/>
      <c r="P127" s="2"/>
      <c r="T127"/>
      <c r="U127"/>
      <c r="V127"/>
      <c r="W127"/>
      <c r="Y127"/>
    </row>
    <row r="128" spans="10:25" s="1" customFormat="1" x14ac:dyDescent="0.2">
      <c r="J128"/>
      <c r="K128"/>
      <c r="L128"/>
      <c r="M128"/>
      <c r="N128"/>
      <c r="O128"/>
      <c r="P128" s="2"/>
      <c r="T128"/>
      <c r="U128"/>
      <c r="V128"/>
      <c r="W128"/>
      <c r="Y128"/>
    </row>
    <row r="129" spans="10:25" s="1" customFormat="1" x14ac:dyDescent="0.2">
      <c r="J129"/>
      <c r="K129"/>
      <c r="L129"/>
      <c r="M129"/>
      <c r="N129"/>
      <c r="O129"/>
      <c r="P129" s="2"/>
      <c r="T129"/>
      <c r="U129"/>
      <c r="V129"/>
      <c r="W129"/>
      <c r="Y129"/>
    </row>
    <row r="130" spans="10:25" s="1" customFormat="1" x14ac:dyDescent="0.2">
      <c r="J130"/>
      <c r="K130"/>
      <c r="L130"/>
      <c r="M130"/>
      <c r="N130"/>
      <c r="O130"/>
      <c r="P130" s="2"/>
      <c r="T130"/>
      <c r="U130"/>
      <c r="V130"/>
      <c r="W130"/>
      <c r="Y130"/>
    </row>
    <row r="131" spans="10:25" s="1" customFormat="1" x14ac:dyDescent="0.2">
      <c r="J131"/>
      <c r="K131"/>
      <c r="L131"/>
      <c r="M131"/>
      <c r="N131"/>
      <c r="O131"/>
      <c r="P131" s="2"/>
      <c r="T131"/>
      <c r="U131"/>
      <c r="V131"/>
      <c r="W131"/>
      <c r="Y131"/>
    </row>
    <row r="132" spans="10:25" s="1" customFormat="1" x14ac:dyDescent="0.2">
      <c r="J132"/>
      <c r="K132"/>
      <c r="L132"/>
      <c r="M132"/>
      <c r="N132"/>
      <c r="O132"/>
      <c r="P132" s="2"/>
      <c r="T132"/>
      <c r="U132"/>
      <c r="V132"/>
      <c r="W132"/>
      <c r="Y132"/>
    </row>
    <row r="133" spans="10:25" s="1" customFormat="1" x14ac:dyDescent="0.2">
      <c r="J133"/>
      <c r="K133"/>
      <c r="L133"/>
      <c r="M133"/>
      <c r="N133"/>
      <c r="O133"/>
      <c r="P133" s="2"/>
      <c r="T133"/>
      <c r="U133"/>
      <c r="V133"/>
      <c r="W133"/>
      <c r="Y133"/>
    </row>
    <row r="134" spans="10:25" s="1" customFormat="1" x14ac:dyDescent="0.2">
      <c r="J134"/>
      <c r="K134"/>
      <c r="L134"/>
      <c r="M134"/>
      <c r="N134"/>
      <c r="O134"/>
      <c r="P134" s="2"/>
      <c r="T134"/>
      <c r="U134"/>
      <c r="V134"/>
      <c r="W134"/>
      <c r="Y134"/>
    </row>
    <row r="135" spans="10:25" s="1" customFormat="1" x14ac:dyDescent="0.2">
      <c r="J135"/>
      <c r="K135"/>
      <c r="L135"/>
      <c r="M135"/>
      <c r="N135"/>
      <c r="O135"/>
      <c r="P135" s="2"/>
      <c r="T135"/>
      <c r="U135"/>
      <c r="V135"/>
      <c r="W135"/>
      <c r="Y135"/>
    </row>
    <row r="136" spans="10:25" s="1" customFormat="1" x14ac:dyDescent="0.2">
      <c r="J136"/>
      <c r="K136"/>
      <c r="L136"/>
      <c r="M136"/>
      <c r="N136"/>
      <c r="O136"/>
      <c r="P136" s="2"/>
      <c r="T136"/>
      <c r="U136"/>
      <c r="V136"/>
      <c r="W136"/>
      <c r="Y136"/>
    </row>
    <row r="137" spans="10:25" s="1" customFormat="1" x14ac:dyDescent="0.2">
      <c r="J137"/>
      <c r="K137"/>
      <c r="L137"/>
      <c r="M137"/>
      <c r="N137"/>
      <c r="O137"/>
      <c r="P137" s="2"/>
      <c r="T137"/>
      <c r="U137"/>
      <c r="V137"/>
      <c r="W137"/>
      <c r="Y137"/>
    </row>
    <row r="138" spans="10:25" s="1" customFormat="1" x14ac:dyDescent="0.2">
      <c r="J138"/>
      <c r="K138"/>
      <c r="L138"/>
      <c r="M138"/>
      <c r="N138"/>
      <c r="O138"/>
      <c r="P138" s="2"/>
      <c r="T138"/>
      <c r="U138"/>
      <c r="V138"/>
      <c r="W138"/>
      <c r="Y138"/>
    </row>
    <row r="139" spans="10:25" s="1" customFormat="1" x14ac:dyDescent="0.2">
      <c r="J139"/>
      <c r="K139"/>
      <c r="L139"/>
      <c r="M139"/>
      <c r="N139"/>
      <c r="O139"/>
      <c r="P139" s="2"/>
      <c r="T139"/>
      <c r="U139"/>
      <c r="V139"/>
      <c r="W139"/>
      <c r="Y139"/>
    </row>
    <row r="140" spans="10:25" s="1" customFormat="1" x14ac:dyDescent="0.2">
      <c r="J140"/>
      <c r="K140"/>
      <c r="L140"/>
      <c r="M140"/>
      <c r="N140"/>
      <c r="O140"/>
      <c r="P140" s="2"/>
      <c r="T140"/>
      <c r="U140"/>
      <c r="V140"/>
      <c r="W140"/>
      <c r="Y140"/>
    </row>
    <row r="141" spans="10:25" s="1" customFormat="1" x14ac:dyDescent="0.2">
      <c r="J141"/>
      <c r="K141"/>
      <c r="L141"/>
      <c r="M141"/>
      <c r="N141"/>
      <c r="O141"/>
      <c r="P141" s="2"/>
      <c r="T141"/>
      <c r="U141"/>
      <c r="V141"/>
      <c r="W141"/>
      <c r="Y141"/>
    </row>
    <row r="142" spans="10:25" s="1" customFormat="1" x14ac:dyDescent="0.2">
      <c r="J142"/>
      <c r="K142"/>
      <c r="L142"/>
      <c r="M142"/>
      <c r="N142"/>
      <c r="O142"/>
      <c r="P142" s="2"/>
      <c r="T142"/>
      <c r="U142"/>
      <c r="V142"/>
      <c r="W142"/>
      <c r="Y142"/>
    </row>
    <row r="143" spans="10:25" s="1" customFormat="1" x14ac:dyDescent="0.2">
      <c r="J143"/>
      <c r="K143"/>
      <c r="L143"/>
      <c r="M143"/>
      <c r="N143"/>
      <c r="O143"/>
      <c r="P143" s="2"/>
      <c r="T143"/>
      <c r="U143"/>
      <c r="V143"/>
      <c r="W143"/>
      <c r="Y143"/>
    </row>
    <row r="144" spans="10:25" s="1" customFormat="1" x14ac:dyDescent="0.2">
      <c r="J144"/>
      <c r="K144"/>
      <c r="L144"/>
      <c r="M144"/>
      <c r="N144"/>
      <c r="O144"/>
      <c r="P144" s="2"/>
      <c r="T144"/>
      <c r="U144"/>
      <c r="V144"/>
      <c r="W144"/>
      <c r="Y144"/>
    </row>
    <row r="145" spans="10:25" s="1" customFormat="1" x14ac:dyDescent="0.2">
      <c r="J145"/>
      <c r="K145"/>
      <c r="L145"/>
      <c r="M145"/>
      <c r="N145"/>
      <c r="O145"/>
      <c r="P145" s="2"/>
      <c r="T145"/>
      <c r="U145"/>
      <c r="V145"/>
      <c r="W145"/>
      <c r="Y145"/>
    </row>
    <row r="146" spans="10:25" s="1" customFormat="1" x14ac:dyDescent="0.2">
      <c r="J146"/>
      <c r="K146"/>
      <c r="L146"/>
      <c r="M146"/>
      <c r="N146"/>
      <c r="O146"/>
      <c r="P146" s="2"/>
      <c r="T146"/>
      <c r="U146"/>
      <c r="V146"/>
      <c r="W146"/>
      <c r="Y146"/>
    </row>
    <row r="147" spans="10:25" s="1" customFormat="1" x14ac:dyDescent="0.2">
      <c r="J147"/>
      <c r="K147"/>
      <c r="L147"/>
      <c r="M147"/>
      <c r="N147"/>
      <c r="O147"/>
      <c r="P147" s="2"/>
      <c r="T147"/>
      <c r="U147"/>
      <c r="V147"/>
      <c r="W147"/>
      <c r="Y147"/>
    </row>
    <row r="148" spans="10:25" s="1" customFormat="1" x14ac:dyDescent="0.2">
      <c r="J148"/>
      <c r="K148"/>
      <c r="L148"/>
      <c r="M148"/>
      <c r="N148"/>
      <c r="O148"/>
      <c r="P148" s="2"/>
      <c r="T148"/>
      <c r="U148"/>
      <c r="V148"/>
      <c r="W148"/>
      <c r="Y148"/>
    </row>
    <row r="149" spans="10:25" s="1" customFormat="1" x14ac:dyDescent="0.2">
      <c r="J149"/>
      <c r="K149"/>
      <c r="L149"/>
      <c r="M149"/>
      <c r="N149"/>
      <c r="O149"/>
      <c r="P149" s="2"/>
      <c r="T149"/>
      <c r="U149"/>
      <c r="V149"/>
      <c r="W149"/>
      <c r="Y149"/>
    </row>
    <row r="150" spans="10:25" s="1" customFormat="1" x14ac:dyDescent="0.2">
      <c r="J150"/>
      <c r="K150"/>
      <c r="L150"/>
      <c r="M150"/>
      <c r="N150"/>
      <c r="O150"/>
      <c r="P150" s="2"/>
      <c r="T150"/>
      <c r="U150"/>
      <c r="V150"/>
      <c r="W150"/>
      <c r="Y150"/>
    </row>
    <row r="151" spans="10:25" s="1" customFormat="1" x14ac:dyDescent="0.2">
      <c r="J151"/>
      <c r="K151"/>
      <c r="L151"/>
      <c r="M151"/>
      <c r="N151"/>
      <c r="O151"/>
      <c r="P151" s="2"/>
      <c r="T151"/>
      <c r="U151"/>
      <c r="V151"/>
      <c r="W151"/>
      <c r="Y151"/>
    </row>
    <row r="152" spans="10:25" s="1" customFormat="1" x14ac:dyDescent="0.2">
      <c r="J152"/>
      <c r="K152"/>
      <c r="L152"/>
      <c r="M152"/>
      <c r="N152"/>
      <c r="O152"/>
      <c r="P152" s="2"/>
      <c r="T152"/>
      <c r="U152"/>
      <c r="V152"/>
      <c r="W152"/>
      <c r="Y152"/>
    </row>
    <row r="153" spans="10:25" s="1" customFormat="1" x14ac:dyDescent="0.2">
      <c r="J153"/>
      <c r="K153"/>
      <c r="L153"/>
      <c r="M153"/>
      <c r="N153"/>
      <c r="O153"/>
      <c r="P153" s="2"/>
      <c r="T153"/>
      <c r="U153"/>
      <c r="V153"/>
      <c r="W153"/>
      <c r="Y153"/>
    </row>
    <row r="154" spans="10:25" s="1" customFormat="1" x14ac:dyDescent="0.2">
      <c r="J154"/>
      <c r="K154"/>
      <c r="L154"/>
      <c r="M154"/>
      <c r="N154"/>
      <c r="O154"/>
      <c r="P154" s="2"/>
      <c r="T154"/>
      <c r="U154"/>
      <c r="V154"/>
      <c r="W154"/>
      <c r="Y154"/>
    </row>
    <row r="155" spans="10:25" s="1" customFormat="1" x14ac:dyDescent="0.2">
      <c r="J155"/>
      <c r="K155"/>
      <c r="L155"/>
      <c r="M155"/>
      <c r="N155"/>
      <c r="O155"/>
      <c r="P155" s="2"/>
      <c r="T155"/>
      <c r="U155"/>
      <c r="V155"/>
      <c r="W155"/>
      <c r="Y155"/>
    </row>
    <row r="156" spans="10:25" s="1" customFormat="1" x14ac:dyDescent="0.2">
      <c r="J156"/>
      <c r="K156"/>
      <c r="L156"/>
      <c r="M156"/>
      <c r="N156"/>
      <c r="O156"/>
      <c r="P156" s="2"/>
      <c r="T156"/>
      <c r="U156"/>
      <c r="V156"/>
      <c r="W156"/>
      <c r="Y156"/>
    </row>
    <row r="157" spans="10:25" s="1" customFormat="1" x14ac:dyDescent="0.2">
      <c r="J157"/>
      <c r="K157"/>
      <c r="L157"/>
      <c r="M157"/>
      <c r="N157"/>
      <c r="O157"/>
      <c r="P157" s="2"/>
      <c r="T157"/>
      <c r="U157"/>
      <c r="V157"/>
      <c r="W157"/>
      <c r="Y157"/>
    </row>
    <row r="158" spans="10:25" s="1" customFormat="1" x14ac:dyDescent="0.2">
      <c r="J158"/>
      <c r="K158"/>
      <c r="L158"/>
      <c r="M158"/>
      <c r="N158"/>
      <c r="O158"/>
      <c r="P158" s="2"/>
      <c r="T158"/>
      <c r="U158"/>
      <c r="V158"/>
      <c r="W158"/>
      <c r="Y158"/>
    </row>
    <row r="159" spans="10:25" s="1" customFormat="1" x14ac:dyDescent="0.2">
      <c r="J159"/>
      <c r="K159"/>
      <c r="L159"/>
      <c r="M159"/>
      <c r="N159"/>
      <c r="O159"/>
      <c r="P159" s="2"/>
      <c r="T159"/>
      <c r="U159"/>
      <c r="V159"/>
      <c r="W159"/>
      <c r="Y159"/>
    </row>
    <row r="160" spans="10:25" s="1" customFormat="1" x14ac:dyDescent="0.2">
      <c r="J160"/>
      <c r="K160"/>
      <c r="L160"/>
      <c r="M160"/>
      <c r="N160"/>
      <c r="O160"/>
      <c r="P160" s="2"/>
      <c r="T160"/>
      <c r="U160"/>
      <c r="V160"/>
      <c r="W160"/>
      <c r="Y160"/>
    </row>
    <row r="161" spans="10:25" s="1" customFormat="1" x14ac:dyDescent="0.2">
      <c r="J161"/>
      <c r="K161"/>
      <c r="L161"/>
      <c r="M161"/>
      <c r="N161"/>
      <c r="O161"/>
      <c r="P161" s="2"/>
      <c r="T161"/>
      <c r="U161"/>
      <c r="V161"/>
      <c r="W161"/>
      <c r="Y161"/>
    </row>
    <row r="162" spans="10:25" s="1" customFormat="1" x14ac:dyDescent="0.2">
      <c r="J162"/>
      <c r="K162"/>
      <c r="L162"/>
      <c r="M162"/>
      <c r="N162"/>
      <c r="O162"/>
      <c r="P162" s="2"/>
      <c r="T162"/>
      <c r="U162"/>
      <c r="V162"/>
      <c r="W162"/>
      <c r="Y162"/>
    </row>
    <row r="163" spans="10:25" s="1" customFormat="1" x14ac:dyDescent="0.2">
      <c r="J163"/>
      <c r="K163"/>
      <c r="L163"/>
      <c r="M163"/>
      <c r="N163"/>
      <c r="O163"/>
      <c r="P163" s="2"/>
      <c r="T163"/>
      <c r="U163"/>
      <c r="V163"/>
      <c r="W163"/>
      <c r="Y163"/>
    </row>
    <row r="164" spans="10:25" s="1" customFormat="1" x14ac:dyDescent="0.2">
      <c r="J164"/>
      <c r="K164"/>
      <c r="L164"/>
      <c r="M164"/>
      <c r="N164"/>
      <c r="O164"/>
      <c r="P164" s="2"/>
      <c r="T164"/>
      <c r="U164"/>
      <c r="V164"/>
      <c r="W164"/>
      <c r="Y164"/>
    </row>
    <row r="165" spans="10:25" s="1" customFormat="1" x14ac:dyDescent="0.2">
      <c r="J165"/>
      <c r="K165"/>
      <c r="L165"/>
      <c r="M165"/>
      <c r="N165"/>
      <c r="O165"/>
      <c r="P165" s="2"/>
      <c r="T165"/>
      <c r="U165"/>
      <c r="V165"/>
      <c r="W165"/>
      <c r="Y165"/>
    </row>
    <row r="166" spans="10:25" s="1" customFormat="1" x14ac:dyDescent="0.2">
      <c r="J166"/>
      <c r="K166"/>
      <c r="L166"/>
      <c r="M166"/>
      <c r="N166"/>
      <c r="O166"/>
      <c r="P166" s="2"/>
      <c r="T166"/>
      <c r="U166"/>
      <c r="V166"/>
      <c r="W166"/>
      <c r="Y166"/>
    </row>
    <row r="167" spans="10:25" s="1" customFormat="1" x14ac:dyDescent="0.2">
      <c r="J167"/>
      <c r="K167"/>
      <c r="L167"/>
      <c r="M167"/>
      <c r="N167"/>
      <c r="O167"/>
      <c r="P167" s="2"/>
      <c r="T167"/>
      <c r="U167"/>
      <c r="V167"/>
      <c r="W167"/>
      <c r="Y167"/>
    </row>
    <row r="168" spans="10:25" s="1" customFormat="1" x14ac:dyDescent="0.2">
      <c r="J168"/>
      <c r="K168"/>
      <c r="L168"/>
      <c r="M168"/>
      <c r="N168"/>
      <c r="O168"/>
      <c r="P168" s="2"/>
      <c r="T168"/>
      <c r="U168"/>
      <c r="V168"/>
      <c r="W168"/>
      <c r="Y168"/>
    </row>
    <row r="169" spans="10:25" s="1" customFormat="1" x14ac:dyDescent="0.2">
      <c r="J169"/>
      <c r="K169"/>
      <c r="L169"/>
      <c r="M169"/>
      <c r="N169"/>
      <c r="O169"/>
      <c r="P169" s="2"/>
      <c r="T169"/>
      <c r="U169"/>
      <c r="V169"/>
      <c r="W169"/>
      <c r="Y169"/>
    </row>
    <row r="170" spans="10:25" s="1" customFormat="1" x14ac:dyDescent="0.2">
      <c r="J170"/>
      <c r="K170"/>
      <c r="L170"/>
      <c r="M170"/>
      <c r="N170"/>
      <c r="O170"/>
      <c r="P170" s="2"/>
      <c r="T170"/>
      <c r="U170"/>
      <c r="V170"/>
      <c r="W170"/>
      <c r="Y170"/>
    </row>
    <row r="171" spans="10:25" s="1" customFormat="1" x14ac:dyDescent="0.2">
      <c r="J171"/>
      <c r="K171"/>
      <c r="L171"/>
      <c r="M171"/>
      <c r="N171"/>
      <c r="O171"/>
      <c r="P171" s="2"/>
      <c r="T171"/>
      <c r="U171"/>
      <c r="V171"/>
      <c r="W171"/>
      <c r="Y171"/>
    </row>
    <row r="172" spans="10:25" s="1" customFormat="1" x14ac:dyDescent="0.2">
      <c r="J172"/>
      <c r="K172"/>
      <c r="L172"/>
      <c r="M172"/>
      <c r="N172"/>
      <c r="O172"/>
      <c r="P172" s="2"/>
      <c r="T172"/>
      <c r="U172"/>
      <c r="V172"/>
      <c r="W172"/>
      <c r="Y172"/>
    </row>
    <row r="173" spans="10:25" s="1" customFormat="1" x14ac:dyDescent="0.2">
      <c r="J173"/>
      <c r="K173"/>
      <c r="L173"/>
      <c r="M173"/>
      <c r="N173"/>
      <c r="O173"/>
      <c r="P173" s="2"/>
      <c r="T173"/>
      <c r="U173"/>
      <c r="V173"/>
      <c r="W173"/>
      <c r="Y173"/>
    </row>
    <row r="174" spans="10:25" s="1" customFormat="1" x14ac:dyDescent="0.2">
      <c r="J174"/>
      <c r="K174"/>
      <c r="L174"/>
      <c r="M174"/>
      <c r="N174"/>
      <c r="O174"/>
      <c r="P174" s="2"/>
      <c r="T174"/>
      <c r="U174"/>
      <c r="V174"/>
      <c r="W174"/>
      <c r="Y174"/>
    </row>
    <row r="175" spans="10:25" s="1" customFormat="1" x14ac:dyDescent="0.2">
      <c r="J175"/>
      <c r="K175"/>
      <c r="L175"/>
      <c r="M175"/>
      <c r="N175"/>
      <c r="O175"/>
      <c r="P175" s="2"/>
      <c r="T175"/>
      <c r="U175"/>
      <c r="V175"/>
      <c r="W175"/>
      <c r="Y175"/>
    </row>
    <row r="176" spans="10:25" s="1" customFormat="1" x14ac:dyDescent="0.2">
      <c r="J176"/>
      <c r="K176"/>
      <c r="L176"/>
      <c r="M176"/>
      <c r="N176"/>
      <c r="O176"/>
      <c r="P176" s="2"/>
      <c r="T176"/>
      <c r="U176"/>
      <c r="V176"/>
      <c r="W176"/>
      <c r="Y176"/>
    </row>
    <row r="177" spans="10:25" s="1" customFormat="1" x14ac:dyDescent="0.2">
      <c r="J177"/>
      <c r="K177"/>
      <c r="L177"/>
      <c r="M177"/>
      <c r="N177"/>
      <c r="O177"/>
      <c r="P177" s="2"/>
      <c r="T177"/>
      <c r="U177"/>
      <c r="V177"/>
      <c r="W177"/>
      <c r="Y177"/>
    </row>
    <row r="178" spans="10:25" s="1" customFormat="1" x14ac:dyDescent="0.2">
      <c r="J178"/>
      <c r="K178"/>
      <c r="L178"/>
      <c r="M178"/>
      <c r="N178"/>
      <c r="O178"/>
      <c r="P178" s="2"/>
      <c r="T178"/>
      <c r="U178"/>
      <c r="V178"/>
      <c r="W178"/>
      <c r="Y178"/>
    </row>
    <row r="179" spans="10:25" s="1" customFormat="1" x14ac:dyDescent="0.2">
      <c r="J179"/>
      <c r="K179"/>
      <c r="L179"/>
      <c r="M179"/>
      <c r="N179"/>
      <c r="O179"/>
      <c r="P179" s="2"/>
      <c r="T179"/>
      <c r="U179"/>
      <c r="V179"/>
      <c r="W179"/>
      <c r="Y179"/>
    </row>
    <row r="180" spans="10:25" s="1" customFormat="1" x14ac:dyDescent="0.2">
      <c r="J180"/>
      <c r="K180"/>
      <c r="L180"/>
      <c r="M180"/>
      <c r="N180"/>
      <c r="O180"/>
      <c r="P180" s="2"/>
      <c r="T180"/>
      <c r="U180"/>
      <c r="V180"/>
      <c r="W180"/>
      <c r="Y180"/>
    </row>
    <row r="181" spans="10:25" s="1" customFormat="1" x14ac:dyDescent="0.2">
      <c r="J181"/>
      <c r="K181"/>
      <c r="L181"/>
      <c r="M181"/>
      <c r="N181"/>
      <c r="O181"/>
      <c r="P181" s="2"/>
      <c r="T181"/>
      <c r="U181"/>
      <c r="V181"/>
      <c r="W181"/>
      <c r="Y181"/>
    </row>
    <row r="182" spans="10:25" s="1" customFormat="1" x14ac:dyDescent="0.2">
      <c r="J182"/>
      <c r="K182"/>
      <c r="L182"/>
      <c r="M182"/>
      <c r="N182"/>
      <c r="O182"/>
      <c r="P182" s="2"/>
      <c r="T182"/>
      <c r="U182"/>
      <c r="V182"/>
      <c r="W182"/>
      <c r="Y182"/>
    </row>
    <row r="183" spans="10:25" s="1" customFormat="1" x14ac:dyDescent="0.2">
      <c r="J183"/>
      <c r="K183"/>
      <c r="L183"/>
      <c r="M183"/>
      <c r="N183"/>
      <c r="O183"/>
      <c r="P183" s="2"/>
      <c r="T183"/>
      <c r="U183"/>
      <c r="V183"/>
      <c r="W183"/>
      <c r="Y183"/>
    </row>
    <row r="184" spans="10:25" s="1" customFormat="1" x14ac:dyDescent="0.2">
      <c r="J184"/>
      <c r="K184"/>
      <c r="L184"/>
      <c r="M184"/>
      <c r="N184"/>
      <c r="O184"/>
      <c r="P184" s="2"/>
      <c r="T184"/>
      <c r="U184"/>
      <c r="V184"/>
      <c r="W184"/>
      <c r="Y184"/>
    </row>
    <row r="185" spans="10:25" s="1" customFormat="1" x14ac:dyDescent="0.2">
      <c r="J185"/>
      <c r="K185"/>
      <c r="L185"/>
      <c r="M185"/>
      <c r="N185"/>
      <c r="O185"/>
      <c r="P185" s="2"/>
      <c r="T185"/>
      <c r="U185"/>
      <c r="V185"/>
      <c r="W185"/>
      <c r="Y185"/>
    </row>
    <row r="186" spans="10:25" s="1" customFormat="1" x14ac:dyDescent="0.2">
      <c r="J186"/>
      <c r="K186"/>
      <c r="L186"/>
      <c r="M186"/>
      <c r="N186"/>
      <c r="O186"/>
      <c r="P186" s="2"/>
      <c r="T186"/>
      <c r="U186"/>
      <c r="V186"/>
      <c r="W186"/>
      <c r="Y186"/>
    </row>
    <row r="187" spans="10:25" s="1" customFormat="1" x14ac:dyDescent="0.2">
      <c r="J187"/>
      <c r="K187"/>
      <c r="L187"/>
      <c r="M187"/>
      <c r="N187"/>
      <c r="O187"/>
      <c r="P187" s="2"/>
      <c r="T187"/>
      <c r="U187"/>
      <c r="V187"/>
      <c r="W187"/>
      <c r="Y187"/>
    </row>
    <row r="188" spans="10:25" s="1" customFormat="1" x14ac:dyDescent="0.2">
      <c r="J188"/>
      <c r="K188"/>
      <c r="L188"/>
      <c r="M188"/>
      <c r="N188"/>
      <c r="O188"/>
      <c r="P188" s="2"/>
      <c r="T188"/>
      <c r="U188"/>
      <c r="V188"/>
      <c r="W188"/>
      <c r="Y188"/>
    </row>
    <row r="189" spans="10:25" s="1" customFormat="1" x14ac:dyDescent="0.2">
      <c r="J189"/>
      <c r="K189"/>
      <c r="L189"/>
      <c r="M189"/>
      <c r="N189"/>
      <c r="O189"/>
      <c r="P189" s="2"/>
      <c r="T189"/>
      <c r="U189"/>
      <c r="V189"/>
      <c r="W189"/>
      <c r="Y189"/>
    </row>
    <row r="190" spans="10:25" s="1" customFormat="1" x14ac:dyDescent="0.2">
      <c r="J190"/>
      <c r="K190"/>
      <c r="L190"/>
      <c r="M190"/>
      <c r="N190"/>
      <c r="O190"/>
      <c r="P190" s="2"/>
      <c r="T190"/>
      <c r="U190"/>
      <c r="V190"/>
      <c r="W190"/>
      <c r="Y190"/>
    </row>
    <row r="191" spans="10:25" s="1" customFormat="1" x14ac:dyDescent="0.2">
      <c r="J191"/>
      <c r="K191"/>
      <c r="L191"/>
      <c r="M191"/>
      <c r="N191"/>
      <c r="O191"/>
      <c r="P191" s="2"/>
      <c r="T191"/>
      <c r="U191"/>
      <c r="V191"/>
      <c r="W191"/>
      <c r="Y191"/>
    </row>
    <row r="192" spans="10:25" s="1" customFormat="1" x14ac:dyDescent="0.2">
      <c r="J192"/>
      <c r="K192"/>
      <c r="L192"/>
      <c r="M192"/>
      <c r="N192"/>
      <c r="O192"/>
      <c r="P192" s="2"/>
      <c r="T192"/>
      <c r="U192"/>
      <c r="V192"/>
      <c r="W192"/>
      <c r="Y192"/>
    </row>
    <row r="193" spans="10:25" s="1" customFormat="1" x14ac:dyDescent="0.2">
      <c r="J193"/>
      <c r="K193"/>
      <c r="L193"/>
      <c r="M193"/>
      <c r="N193"/>
      <c r="O193"/>
      <c r="P193" s="2"/>
      <c r="T193"/>
      <c r="U193"/>
      <c r="V193"/>
      <c r="W193"/>
      <c r="Y193"/>
    </row>
    <row r="194" spans="10:25" s="1" customFormat="1" x14ac:dyDescent="0.2">
      <c r="J194"/>
      <c r="K194"/>
      <c r="L194"/>
      <c r="M194"/>
      <c r="N194"/>
      <c r="O194"/>
      <c r="P194" s="2"/>
      <c r="T194"/>
      <c r="U194"/>
      <c r="V194"/>
      <c r="W194"/>
      <c r="Y194"/>
    </row>
    <row r="195" spans="10:25" s="1" customFormat="1" x14ac:dyDescent="0.2">
      <c r="J195"/>
      <c r="K195"/>
      <c r="L195"/>
      <c r="M195"/>
      <c r="N195"/>
      <c r="O195"/>
      <c r="P195" s="2"/>
      <c r="T195"/>
      <c r="U195"/>
      <c r="V195"/>
      <c r="W195"/>
      <c r="Y195"/>
    </row>
    <row r="196" spans="10:25" s="1" customFormat="1" x14ac:dyDescent="0.2">
      <c r="J196"/>
      <c r="K196"/>
      <c r="L196"/>
      <c r="M196"/>
      <c r="N196"/>
      <c r="O196"/>
      <c r="P196" s="2"/>
      <c r="T196"/>
      <c r="U196"/>
      <c r="V196"/>
      <c r="W196"/>
      <c r="Y196"/>
    </row>
    <row r="197" spans="10:25" s="1" customFormat="1" x14ac:dyDescent="0.2">
      <c r="J197"/>
      <c r="K197"/>
      <c r="L197"/>
      <c r="M197"/>
      <c r="N197"/>
      <c r="O197"/>
      <c r="P197" s="2"/>
      <c r="T197"/>
      <c r="U197"/>
      <c r="V197"/>
      <c r="W197"/>
      <c r="Y197"/>
    </row>
    <row r="198" spans="10:25" s="1" customFormat="1" x14ac:dyDescent="0.2">
      <c r="J198"/>
      <c r="K198"/>
      <c r="L198"/>
      <c r="M198"/>
      <c r="N198"/>
      <c r="O198"/>
      <c r="P198" s="2"/>
      <c r="T198"/>
      <c r="U198"/>
      <c r="V198"/>
      <c r="W198"/>
      <c r="Y198"/>
    </row>
    <row r="199" spans="10:25" s="1" customFormat="1" x14ac:dyDescent="0.2">
      <c r="J199"/>
      <c r="K199"/>
      <c r="L199"/>
      <c r="M199"/>
      <c r="N199"/>
      <c r="O199"/>
      <c r="P199" s="2"/>
      <c r="T199"/>
      <c r="U199"/>
      <c r="V199"/>
      <c r="W199"/>
      <c r="Y199"/>
    </row>
    <row r="200" spans="10:25" s="1" customFormat="1" x14ac:dyDescent="0.2">
      <c r="J200"/>
      <c r="K200"/>
      <c r="L200"/>
      <c r="M200"/>
      <c r="N200"/>
      <c r="O200"/>
      <c r="P200" s="2"/>
      <c r="T200"/>
      <c r="U200"/>
      <c r="V200"/>
      <c r="W200"/>
      <c r="Y200"/>
    </row>
    <row r="201" spans="10:25" s="1" customFormat="1" x14ac:dyDescent="0.2">
      <c r="J201"/>
      <c r="K201"/>
      <c r="L201"/>
      <c r="M201"/>
      <c r="N201"/>
      <c r="O201"/>
      <c r="P201" s="2"/>
      <c r="T201"/>
      <c r="U201"/>
      <c r="V201"/>
      <c r="W201"/>
      <c r="Y201"/>
    </row>
    <row r="202" spans="10:25" s="1" customFormat="1" x14ac:dyDescent="0.2">
      <c r="J202"/>
      <c r="K202"/>
      <c r="L202"/>
      <c r="M202"/>
      <c r="N202"/>
      <c r="O202"/>
      <c r="P202" s="2"/>
      <c r="T202"/>
      <c r="U202"/>
      <c r="V202"/>
      <c r="W202"/>
      <c r="Y202"/>
    </row>
    <row r="203" spans="10:25" s="1" customFormat="1" x14ac:dyDescent="0.2">
      <c r="J203"/>
      <c r="K203"/>
      <c r="L203"/>
      <c r="M203"/>
      <c r="N203"/>
      <c r="O203"/>
      <c r="P203" s="2"/>
      <c r="T203"/>
      <c r="U203"/>
      <c r="V203"/>
      <c r="W203"/>
      <c r="Y203"/>
    </row>
    <row r="204" spans="10:25" s="1" customFormat="1" x14ac:dyDescent="0.2">
      <c r="J204"/>
      <c r="K204"/>
      <c r="L204"/>
      <c r="M204"/>
      <c r="N204"/>
      <c r="O204"/>
      <c r="P204" s="2"/>
      <c r="T204"/>
      <c r="U204"/>
      <c r="V204"/>
      <c r="W204"/>
      <c r="Y204"/>
    </row>
    <row r="205" spans="10:25" s="1" customFormat="1" x14ac:dyDescent="0.2">
      <c r="J205"/>
      <c r="K205"/>
      <c r="L205"/>
      <c r="M205"/>
      <c r="N205"/>
      <c r="O205"/>
      <c r="P205" s="2"/>
      <c r="T205"/>
      <c r="U205"/>
      <c r="V205"/>
      <c r="W205"/>
      <c r="Y205"/>
    </row>
    <row r="206" spans="10:25" s="1" customFormat="1" x14ac:dyDescent="0.2">
      <c r="J206"/>
      <c r="K206"/>
      <c r="L206"/>
      <c r="M206"/>
      <c r="N206"/>
      <c r="O206"/>
      <c r="P206" s="2"/>
      <c r="T206"/>
      <c r="U206"/>
      <c r="V206"/>
      <c r="W206"/>
      <c r="Y206"/>
    </row>
    <row r="207" spans="10:25" s="1" customFormat="1" x14ac:dyDescent="0.2">
      <c r="J207"/>
      <c r="K207"/>
      <c r="L207"/>
      <c r="M207"/>
      <c r="N207"/>
      <c r="O207"/>
      <c r="P207" s="2"/>
      <c r="T207"/>
      <c r="U207"/>
      <c r="V207"/>
      <c r="W207"/>
      <c r="Y207"/>
    </row>
    <row r="208" spans="10:25" s="1" customFormat="1" x14ac:dyDescent="0.2">
      <c r="J208"/>
      <c r="K208"/>
      <c r="L208"/>
      <c r="M208"/>
      <c r="N208"/>
      <c r="O208"/>
      <c r="P208" s="2"/>
      <c r="T208"/>
      <c r="U208"/>
      <c r="V208"/>
      <c r="W208"/>
      <c r="Y208"/>
    </row>
    <row r="209" spans="10:25" s="1" customFormat="1" x14ac:dyDescent="0.2">
      <c r="J209"/>
      <c r="K209"/>
      <c r="L209"/>
      <c r="M209"/>
      <c r="N209"/>
      <c r="O209"/>
      <c r="P209" s="2"/>
      <c r="T209"/>
      <c r="U209"/>
      <c r="V209"/>
      <c r="W209"/>
      <c r="Y209"/>
    </row>
    <row r="210" spans="10:25" s="1" customFormat="1" x14ac:dyDescent="0.2">
      <c r="J210"/>
      <c r="K210"/>
      <c r="L210"/>
      <c r="M210"/>
      <c r="N210"/>
      <c r="O210"/>
      <c r="P210" s="2"/>
      <c r="T210"/>
      <c r="U210"/>
      <c r="V210"/>
      <c r="W210"/>
      <c r="Y210"/>
    </row>
    <row r="211" spans="10:25" s="1" customFormat="1" x14ac:dyDescent="0.2">
      <c r="J211"/>
      <c r="K211"/>
      <c r="L211"/>
      <c r="M211"/>
      <c r="N211"/>
      <c r="O211"/>
      <c r="P211" s="2"/>
      <c r="T211"/>
      <c r="U211"/>
      <c r="V211"/>
      <c r="W211"/>
      <c r="Y211"/>
    </row>
    <row r="212" spans="10:25" s="1" customFormat="1" x14ac:dyDescent="0.2">
      <c r="J212"/>
      <c r="K212"/>
      <c r="L212"/>
      <c r="M212"/>
      <c r="N212"/>
      <c r="O212"/>
      <c r="P212" s="2"/>
      <c r="T212"/>
      <c r="U212"/>
      <c r="V212"/>
      <c r="W212"/>
      <c r="Y212"/>
    </row>
    <row r="213" spans="10:25" s="1" customFormat="1" x14ac:dyDescent="0.2">
      <c r="J213"/>
      <c r="K213"/>
      <c r="L213"/>
      <c r="M213"/>
      <c r="N213"/>
      <c r="O213"/>
      <c r="P213" s="2"/>
      <c r="T213"/>
      <c r="U213"/>
      <c r="V213"/>
      <c r="W213"/>
      <c r="Y213"/>
    </row>
    <row r="214" spans="10:25" s="1" customFormat="1" x14ac:dyDescent="0.2">
      <c r="J214"/>
      <c r="K214"/>
      <c r="L214"/>
      <c r="M214"/>
      <c r="N214"/>
      <c r="O214"/>
      <c r="P214" s="2"/>
      <c r="T214"/>
      <c r="U214"/>
      <c r="V214"/>
      <c r="W214"/>
      <c r="Y214"/>
    </row>
    <row r="215" spans="10:25" s="1" customFormat="1" x14ac:dyDescent="0.2">
      <c r="J215"/>
      <c r="K215"/>
      <c r="L215"/>
      <c r="M215"/>
      <c r="N215"/>
      <c r="O215"/>
      <c r="P215" s="2"/>
      <c r="T215"/>
      <c r="U215"/>
      <c r="V215"/>
      <c r="W215"/>
      <c r="Y215"/>
    </row>
    <row r="216" spans="10:25" s="1" customFormat="1" x14ac:dyDescent="0.2">
      <c r="J216"/>
      <c r="K216"/>
      <c r="L216"/>
      <c r="M216"/>
      <c r="N216"/>
      <c r="O216"/>
      <c r="P216" s="2"/>
      <c r="T216"/>
      <c r="U216"/>
      <c r="V216"/>
      <c r="W216"/>
      <c r="Y216"/>
    </row>
    <row r="217" spans="10:25" s="1" customFormat="1" x14ac:dyDescent="0.2">
      <c r="J217"/>
      <c r="K217"/>
      <c r="L217"/>
      <c r="M217"/>
      <c r="N217"/>
      <c r="O217"/>
      <c r="P217" s="2"/>
      <c r="T217"/>
      <c r="U217"/>
      <c r="V217"/>
      <c r="W217"/>
      <c r="Y217"/>
    </row>
    <row r="218" spans="10:25" s="1" customFormat="1" x14ac:dyDescent="0.2">
      <c r="J218"/>
      <c r="K218"/>
      <c r="L218"/>
      <c r="M218"/>
      <c r="N218"/>
      <c r="O218"/>
      <c r="P218" s="2"/>
      <c r="T218"/>
      <c r="U218"/>
      <c r="V218"/>
      <c r="W218"/>
      <c r="Y218"/>
    </row>
    <row r="219" spans="10:25" s="1" customFormat="1" x14ac:dyDescent="0.2">
      <c r="J219"/>
      <c r="K219"/>
      <c r="L219"/>
      <c r="M219"/>
      <c r="N219"/>
      <c r="O219"/>
      <c r="P219" s="2"/>
      <c r="T219"/>
      <c r="U219"/>
      <c r="V219"/>
      <c r="W219"/>
      <c r="Y219"/>
    </row>
    <row r="220" spans="10:25" s="1" customFormat="1" x14ac:dyDescent="0.2">
      <c r="J220"/>
      <c r="K220"/>
      <c r="L220"/>
      <c r="M220"/>
      <c r="N220"/>
      <c r="O220"/>
      <c r="P220" s="2"/>
      <c r="T220"/>
      <c r="U220"/>
      <c r="V220"/>
      <c r="W220"/>
      <c r="Y220"/>
    </row>
    <row r="221" spans="10:25" s="1" customFormat="1" x14ac:dyDescent="0.2">
      <c r="J221"/>
      <c r="K221"/>
      <c r="L221"/>
      <c r="M221"/>
      <c r="N221"/>
      <c r="O221"/>
      <c r="P221" s="2"/>
      <c r="T221"/>
      <c r="U221"/>
      <c r="V221"/>
      <c r="W221"/>
      <c r="Y221"/>
    </row>
    <row r="222" spans="10:25" s="1" customFormat="1" x14ac:dyDescent="0.2">
      <c r="J222"/>
      <c r="K222"/>
      <c r="L222"/>
      <c r="M222"/>
      <c r="N222"/>
      <c r="O222"/>
      <c r="P222" s="2"/>
      <c r="T222"/>
      <c r="U222"/>
      <c r="V222"/>
      <c r="W222"/>
      <c r="Y222"/>
    </row>
    <row r="223" spans="10:25" s="1" customFormat="1" x14ac:dyDescent="0.2">
      <c r="J223"/>
      <c r="K223"/>
      <c r="L223"/>
      <c r="M223"/>
      <c r="N223"/>
      <c r="O223"/>
      <c r="P223" s="2"/>
      <c r="T223"/>
      <c r="U223"/>
      <c r="V223"/>
      <c r="W223"/>
      <c r="Y223"/>
    </row>
    <row r="224" spans="10:25" s="1" customFormat="1" x14ac:dyDescent="0.2">
      <c r="J224"/>
      <c r="K224"/>
      <c r="L224"/>
      <c r="M224"/>
      <c r="N224"/>
      <c r="O224"/>
      <c r="P224" s="2"/>
      <c r="T224"/>
      <c r="U224"/>
      <c r="V224"/>
      <c r="W224"/>
      <c r="Y224"/>
    </row>
    <row r="225" spans="10:25" s="1" customFormat="1" x14ac:dyDescent="0.2">
      <c r="J225"/>
      <c r="K225"/>
      <c r="L225"/>
      <c r="M225"/>
      <c r="N225"/>
      <c r="O225"/>
      <c r="P225" s="2"/>
      <c r="T225"/>
      <c r="U225"/>
      <c r="V225"/>
      <c r="W225"/>
      <c r="Y225"/>
    </row>
    <row r="226" spans="10:25" s="1" customFormat="1" x14ac:dyDescent="0.2">
      <c r="J226"/>
      <c r="K226"/>
      <c r="L226"/>
      <c r="M226"/>
      <c r="N226"/>
      <c r="O226"/>
      <c r="P226" s="2"/>
      <c r="T226"/>
      <c r="U226"/>
      <c r="V226"/>
      <c r="W226"/>
      <c r="Y226"/>
    </row>
    <row r="227" spans="10:25" s="1" customFormat="1" x14ac:dyDescent="0.2">
      <c r="J227"/>
      <c r="K227"/>
      <c r="L227"/>
      <c r="M227"/>
      <c r="N227"/>
      <c r="O227"/>
      <c r="P227" s="2"/>
      <c r="T227"/>
      <c r="U227"/>
      <c r="V227"/>
      <c r="W227"/>
      <c r="Y227"/>
    </row>
    <row r="228" spans="10:25" s="1" customFormat="1" x14ac:dyDescent="0.2">
      <c r="J228"/>
      <c r="K228"/>
      <c r="L228"/>
      <c r="M228"/>
      <c r="N228"/>
      <c r="O228"/>
      <c r="P228" s="2"/>
      <c r="T228"/>
      <c r="U228"/>
      <c r="V228"/>
      <c r="W228"/>
      <c r="Y228"/>
    </row>
    <row r="229" spans="10:25" s="1" customFormat="1" x14ac:dyDescent="0.2">
      <c r="J229"/>
      <c r="K229"/>
      <c r="L229"/>
      <c r="M229"/>
      <c r="N229"/>
      <c r="O229"/>
      <c r="P229" s="2"/>
      <c r="T229"/>
      <c r="U229"/>
      <c r="V229"/>
      <c r="W229"/>
      <c r="Y229"/>
    </row>
    <row r="230" spans="10:25" s="1" customFormat="1" x14ac:dyDescent="0.2">
      <c r="J230"/>
      <c r="K230"/>
      <c r="L230"/>
      <c r="M230"/>
      <c r="N230"/>
      <c r="O230"/>
      <c r="P230" s="2"/>
      <c r="T230"/>
      <c r="U230"/>
      <c r="V230"/>
      <c r="W230"/>
      <c r="Y230"/>
    </row>
    <row r="231" spans="10:25" s="1" customFormat="1" x14ac:dyDescent="0.2">
      <c r="J231"/>
      <c r="K231"/>
      <c r="L231"/>
      <c r="M231"/>
      <c r="N231"/>
      <c r="O231"/>
      <c r="P231" s="2"/>
      <c r="T231"/>
      <c r="U231"/>
      <c r="V231"/>
      <c r="W231"/>
      <c r="Y231"/>
    </row>
    <row r="232" spans="10:25" s="1" customFormat="1" x14ac:dyDescent="0.2">
      <c r="J232"/>
      <c r="K232"/>
      <c r="L232"/>
      <c r="M232"/>
      <c r="N232"/>
      <c r="O232"/>
      <c r="P232" s="2"/>
      <c r="T232"/>
      <c r="U232"/>
      <c r="V232"/>
      <c r="W232"/>
      <c r="Y232"/>
    </row>
    <row r="233" spans="10:25" s="1" customFormat="1" x14ac:dyDescent="0.2">
      <c r="J233"/>
      <c r="K233"/>
      <c r="L233"/>
      <c r="M233"/>
      <c r="N233"/>
      <c r="O233"/>
      <c r="P233" s="2"/>
      <c r="T233"/>
      <c r="U233"/>
      <c r="V233"/>
      <c r="W233"/>
      <c r="Y233"/>
    </row>
    <row r="234" spans="10:25" s="1" customFormat="1" x14ac:dyDescent="0.2">
      <c r="J234"/>
      <c r="K234"/>
      <c r="L234"/>
      <c r="M234"/>
      <c r="N234"/>
      <c r="O234"/>
      <c r="P234" s="2"/>
      <c r="T234"/>
      <c r="U234"/>
      <c r="V234"/>
      <c r="W234"/>
      <c r="Y234"/>
    </row>
    <row r="235" spans="10:25" s="1" customFormat="1" x14ac:dyDescent="0.2">
      <c r="J235"/>
      <c r="K235"/>
      <c r="L235"/>
      <c r="M235"/>
      <c r="N235"/>
      <c r="O235"/>
      <c r="P235" s="2"/>
      <c r="T235"/>
      <c r="U235"/>
      <c r="V235"/>
      <c r="W235"/>
      <c r="Y235"/>
    </row>
    <row r="236" spans="10:25" s="1" customFormat="1" x14ac:dyDescent="0.2">
      <c r="J236"/>
      <c r="K236"/>
      <c r="L236"/>
      <c r="M236"/>
      <c r="N236"/>
      <c r="O236"/>
      <c r="P236" s="2"/>
      <c r="T236"/>
      <c r="U236"/>
      <c r="V236"/>
      <c r="W236"/>
      <c r="Y236"/>
    </row>
    <row r="237" spans="10:25" s="1" customFormat="1" x14ac:dyDescent="0.2">
      <c r="J237"/>
      <c r="K237"/>
      <c r="L237"/>
      <c r="M237"/>
      <c r="N237"/>
      <c r="O237"/>
      <c r="P237" s="2"/>
      <c r="T237"/>
      <c r="U237"/>
      <c r="V237"/>
      <c r="W237"/>
      <c r="Y237"/>
    </row>
    <row r="238" spans="10:25" s="1" customFormat="1" x14ac:dyDescent="0.2">
      <c r="J238"/>
      <c r="K238"/>
      <c r="L238"/>
      <c r="M238"/>
      <c r="N238"/>
      <c r="O238"/>
      <c r="P238" s="2"/>
      <c r="T238"/>
      <c r="U238"/>
      <c r="V238"/>
      <c r="W238"/>
      <c r="Y238"/>
    </row>
    <row r="239" spans="10:25" s="1" customFormat="1" x14ac:dyDescent="0.2">
      <c r="J239"/>
      <c r="K239"/>
      <c r="L239"/>
      <c r="M239"/>
      <c r="N239"/>
      <c r="O239"/>
      <c r="P239" s="2"/>
      <c r="T239"/>
      <c r="U239"/>
      <c r="V239"/>
      <c r="W239"/>
      <c r="Y239"/>
    </row>
    <row r="240" spans="10:25" s="1" customFormat="1" x14ac:dyDescent="0.2">
      <c r="J240"/>
      <c r="K240"/>
      <c r="L240"/>
      <c r="M240"/>
      <c r="N240"/>
      <c r="O240"/>
      <c r="P240" s="2"/>
      <c r="T240"/>
      <c r="U240"/>
      <c r="V240"/>
      <c r="W240"/>
      <c r="Y240"/>
    </row>
    <row r="241" spans="10:25" s="1" customFormat="1" x14ac:dyDescent="0.2">
      <c r="J241"/>
      <c r="K241"/>
      <c r="L241"/>
      <c r="M241"/>
      <c r="N241"/>
      <c r="O241"/>
      <c r="P241" s="2"/>
      <c r="T241"/>
      <c r="U241"/>
      <c r="V241"/>
      <c r="W241"/>
      <c r="Y241"/>
    </row>
    <row r="242" spans="10:25" s="1" customFormat="1" x14ac:dyDescent="0.2">
      <c r="J242"/>
      <c r="K242"/>
      <c r="L242"/>
      <c r="M242"/>
      <c r="N242"/>
      <c r="O242"/>
      <c r="P242" s="2"/>
      <c r="T242"/>
      <c r="U242"/>
      <c r="V242"/>
      <c r="W242"/>
      <c r="Y242"/>
    </row>
    <row r="243" spans="10:25" s="1" customFormat="1" x14ac:dyDescent="0.2">
      <c r="J243"/>
      <c r="K243"/>
      <c r="L243"/>
      <c r="M243"/>
      <c r="N243"/>
      <c r="O243"/>
      <c r="P243" s="2"/>
      <c r="T243"/>
      <c r="U243"/>
      <c r="V243"/>
      <c r="W243"/>
      <c r="Y243"/>
    </row>
    <row r="244" spans="10:25" s="1" customFormat="1" x14ac:dyDescent="0.2">
      <c r="J244"/>
      <c r="K244"/>
      <c r="L244"/>
      <c r="M244"/>
      <c r="N244"/>
      <c r="O244"/>
      <c r="P244" s="2"/>
      <c r="T244"/>
      <c r="U244"/>
      <c r="V244"/>
      <c r="W244"/>
      <c r="Y244"/>
    </row>
    <row r="245" spans="10:25" s="1" customFormat="1" x14ac:dyDescent="0.2">
      <c r="J245"/>
      <c r="K245"/>
      <c r="L245"/>
      <c r="M245"/>
      <c r="N245"/>
      <c r="O245"/>
      <c r="P245" s="2"/>
      <c r="T245"/>
      <c r="U245"/>
      <c r="V245"/>
      <c r="W245"/>
      <c r="Y245"/>
    </row>
    <row r="246" spans="10:25" s="1" customFormat="1" x14ac:dyDescent="0.2">
      <c r="J246"/>
      <c r="K246"/>
      <c r="L246"/>
      <c r="M246"/>
      <c r="N246"/>
      <c r="O246"/>
      <c r="P246" s="2"/>
      <c r="T246"/>
      <c r="U246"/>
      <c r="V246"/>
      <c r="W246"/>
      <c r="Y246"/>
    </row>
    <row r="247" spans="10:25" s="1" customFormat="1" x14ac:dyDescent="0.2">
      <c r="J247"/>
      <c r="K247"/>
      <c r="L247"/>
      <c r="M247"/>
      <c r="N247"/>
      <c r="O247"/>
      <c r="P247" s="2"/>
      <c r="T247"/>
      <c r="U247"/>
      <c r="V247"/>
      <c r="W247"/>
      <c r="Y247"/>
    </row>
    <row r="248" spans="10:25" s="1" customFormat="1" x14ac:dyDescent="0.2">
      <c r="J248"/>
      <c r="K248"/>
      <c r="L248"/>
      <c r="M248"/>
      <c r="N248"/>
      <c r="O248"/>
      <c r="P248" s="2"/>
      <c r="T248"/>
      <c r="U248"/>
      <c r="V248"/>
      <c r="W248"/>
      <c r="Y248"/>
    </row>
    <row r="249" spans="10:25" s="1" customFormat="1" x14ac:dyDescent="0.2">
      <c r="J249"/>
      <c r="K249"/>
      <c r="L249"/>
      <c r="M249"/>
      <c r="N249"/>
      <c r="O249"/>
      <c r="P249" s="2"/>
      <c r="T249"/>
      <c r="U249"/>
      <c r="V249"/>
      <c r="W249"/>
      <c r="Y249"/>
    </row>
    <row r="250" spans="10:25" s="1" customFormat="1" x14ac:dyDescent="0.2">
      <c r="J250"/>
      <c r="K250"/>
      <c r="L250"/>
      <c r="M250"/>
      <c r="N250"/>
      <c r="O250"/>
      <c r="P250" s="2"/>
      <c r="T250"/>
      <c r="U250"/>
      <c r="V250"/>
      <c r="W250"/>
      <c r="Y250"/>
    </row>
    <row r="251" spans="10:25" s="1" customFormat="1" x14ac:dyDescent="0.2">
      <c r="J251"/>
      <c r="K251"/>
      <c r="L251"/>
      <c r="M251"/>
      <c r="N251"/>
      <c r="O251"/>
      <c r="P251" s="2"/>
      <c r="T251"/>
      <c r="U251"/>
      <c r="V251"/>
      <c r="W251"/>
      <c r="Y251"/>
    </row>
    <row r="252" spans="10:25" s="1" customFormat="1" x14ac:dyDescent="0.2">
      <c r="J252"/>
      <c r="K252"/>
      <c r="L252"/>
      <c r="M252"/>
      <c r="N252"/>
      <c r="O252"/>
      <c r="P252" s="2"/>
      <c r="T252"/>
      <c r="U252"/>
      <c r="V252"/>
      <c r="W252"/>
      <c r="Y252"/>
    </row>
    <row r="253" spans="10:25" s="1" customFormat="1" x14ac:dyDescent="0.2">
      <c r="J253"/>
      <c r="K253"/>
      <c r="L253"/>
      <c r="M253"/>
      <c r="N253"/>
      <c r="O253"/>
      <c r="P253" s="2"/>
      <c r="T253"/>
      <c r="U253"/>
      <c r="V253"/>
      <c r="W253"/>
      <c r="Y253"/>
    </row>
    <row r="254" spans="10:25" s="1" customFormat="1" x14ac:dyDescent="0.2">
      <c r="J254"/>
      <c r="K254"/>
      <c r="L254"/>
      <c r="M254"/>
      <c r="N254"/>
      <c r="O254"/>
      <c r="P254" s="2"/>
      <c r="T254"/>
      <c r="U254"/>
      <c r="V254"/>
      <c r="W254"/>
      <c r="Y254"/>
    </row>
    <row r="255" spans="10:25" s="1" customFormat="1" x14ac:dyDescent="0.2">
      <c r="J255"/>
      <c r="K255"/>
      <c r="L255"/>
      <c r="M255"/>
      <c r="N255"/>
      <c r="O255"/>
      <c r="P255" s="2"/>
      <c r="T255"/>
      <c r="U255"/>
      <c r="V255"/>
      <c r="W255"/>
      <c r="Y255"/>
    </row>
    <row r="256" spans="10:25" s="1" customFormat="1" x14ac:dyDescent="0.2">
      <c r="J256"/>
      <c r="K256"/>
      <c r="L256"/>
      <c r="M256"/>
      <c r="N256"/>
      <c r="O256"/>
      <c r="P256" s="2"/>
      <c r="T256"/>
      <c r="U256"/>
      <c r="V256"/>
      <c r="W256"/>
      <c r="Y256"/>
    </row>
    <row r="257" spans="10:25" s="1" customFormat="1" x14ac:dyDescent="0.2">
      <c r="J257"/>
      <c r="K257"/>
      <c r="L257"/>
      <c r="M257"/>
      <c r="N257"/>
      <c r="O257"/>
      <c r="P257" s="2"/>
      <c r="T257"/>
      <c r="U257"/>
      <c r="V257"/>
      <c r="W257"/>
      <c r="Y257"/>
    </row>
    <row r="258" spans="10:25" s="1" customFormat="1" x14ac:dyDescent="0.2">
      <c r="J258"/>
      <c r="K258"/>
      <c r="L258"/>
      <c r="M258"/>
      <c r="N258"/>
      <c r="O258"/>
      <c r="P258" s="2"/>
      <c r="T258"/>
      <c r="U258"/>
      <c r="V258"/>
      <c r="W258"/>
      <c r="Y258"/>
    </row>
    <row r="259" spans="10:25" s="1" customFormat="1" x14ac:dyDescent="0.2">
      <c r="J259"/>
      <c r="K259"/>
      <c r="L259"/>
      <c r="M259"/>
      <c r="N259"/>
      <c r="O259"/>
      <c r="P259" s="2"/>
      <c r="T259"/>
      <c r="U259"/>
      <c r="V259"/>
      <c r="W259"/>
      <c r="Y259"/>
    </row>
    <row r="260" spans="10:25" s="1" customFormat="1" x14ac:dyDescent="0.2">
      <c r="J260"/>
      <c r="K260"/>
      <c r="L260"/>
      <c r="M260"/>
      <c r="N260"/>
      <c r="O260"/>
      <c r="P260" s="2"/>
      <c r="T260"/>
      <c r="U260"/>
      <c r="V260"/>
      <c r="W260"/>
      <c r="Y260"/>
    </row>
    <row r="261" spans="10:25" s="1" customFormat="1" x14ac:dyDescent="0.2">
      <c r="J261"/>
      <c r="K261"/>
      <c r="L261"/>
      <c r="M261"/>
      <c r="N261"/>
      <c r="O261"/>
      <c r="P261" s="2"/>
      <c r="T261"/>
      <c r="U261"/>
      <c r="V261"/>
      <c r="W261"/>
      <c r="Y261"/>
    </row>
    <row r="262" spans="10:25" s="1" customFormat="1" x14ac:dyDescent="0.2">
      <c r="J262"/>
      <c r="K262"/>
      <c r="L262"/>
      <c r="M262"/>
      <c r="N262"/>
      <c r="O262"/>
      <c r="P262" s="2"/>
      <c r="T262"/>
      <c r="U262"/>
      <c r="V262"/>
      <c r="W262"/>
      <c r="Y262"/>
    </row>
    <row r="263" spans="10:25" s="1" customFormat="1" x14ac:dyDescent="0.2">
      <c r="J263"/>
      <c r="K263"/>
      <c r="L263"/>
      <c r="M263"/>
      <c r="N263"/>
      <c r="O263"/>
      <c r="P263" s="2"/>
      <c r="T263"/>
      <c r="U263"/>
      <c r="V263"/>
      <c r="W263"/>
      <c r="Y263"/>
    </row>
    <row r="264" spans="10:25" s="1" customFormat="1" x14ac:dyDescent="0.2">
      <c r="J264"/>
      <c r="K264"/>
      <c r="L264"/>
      <c r="M264"/>
      <c r="N264"/>
      <c r="O264"/>
      <c r="P264" s="2"/>
      <c r="T264"/>
      <c r="U264"/>
      <c r="V264"/>
      <c r="W264"/>
      <c r="Y264"/>
    </row>
    <row r="265" spans="10:25" s="1" customFormat="1" x14ac:dyDescent="0.2">
      <c r="J265"/>
      <c r="K265"/>
      <c r="L265"/>
      <c r="M265"/>
      <c r="N265"/>
      <c r="O265"/>
      <c r="P265" s="2"/>
      <c r="T265"/>
      <c r="U265"/>
      <c r="V265"/>
      <c r="W265"/>
      <c r="Y265"/>
    </row>
    <row r="266" spans="10:25" s="1" customFormat="1" x14ac:dyDescent="0.2">
      <c r="J266"/>
      <c r="K266"/>
      <c r="L266"/>
      <c r="M266"/>
      <c r="N266"/>
      <c r="O266"/>
      <c r="P266" s="2"/>
      <c r="T266"/>
      <c r="U266"/>
      <c r="V266"/>
      <c r="W266"/>
      <c r="Y266"/>
    </row>
    <row r="267" spans="10:25" s="1" customFormat="1" x14ac:dyDescent="0.2">
      <c r="J267"/>
      <c r="K267"/>
      <c r="L267"/>
      <c r="M267"/>
      <c r="N267"/>
      <c r="O267"/>
      <c r="P267" s="2"/>
      <c r="T267"/>
      <c r="U267"/>
      <c r="V267"/>
      <c r="W267"/>
      <c r="Y267"/>
    </row>
    <row r="268" spans="10:25" s="1" customFormat="1" x14ac:dyDescent="0.2">
      <c r="J268"/>
      <c r="K268"/>
      <c r="L268"/>
      <c r="M268"/>
      <c r="N268"/>
      <c r="O268"/>
      <c r="P268" s="2"/>
      <c r="T268"/>
      <c r="U268"/>
      <c r="V268"/>
      <c r="W268"/>
      <c r="Y268"/>
    </row>
    <row r="269" spans="10:25" s="1" customFormat="1" x14ac:dyDescent="0.2">
      <c r="J269"/>
      <c r="K269"/>
      <c r="L269"/>
      <c r="M269"/>
      <c r="N269"/>
      <c r="O269"/>
      <c r="P269" s="2"/>
      <c r="T269"/>
      <c r="U269"/>
      <c r="V269"/>
      <c r="W269"/>
      <c r="Y269"/>
    </row>
    <row r="270" spans="10:25" s="1" customFormat="1" x14ac:dyDescent="0.2">
      <c r="J270"/>
      <c r="K270"/>
      <c r="L270"/>
      <c r="M270"/>
      <c r="N270"/>
      <c r="O270"/>
      <c r="P270" s="2"/>
      <c r="T270"/>
      <c r="U270"/>
      <c r="V270"/>
      <c r="W270"/>
      <c r="Y270"/>
    </row>
    <row r="271" spans="10:25" s="1" customFormat="1" x14ac:dyDescent="0.2">
      <c r="J271"/>
      <c r="K271"/>
      <c r="L271"/>
      <c r="M271"/>
      <c r="N271"/>
      <c r="O271"/>
      <c r="P271" s="2"/>
      <c r="T271"/>
      <c r="U271"/>
      <c r="V271"/>
      <c r="W271"/>
      <c r="Y271"/>
    </row>
    <row r="272" spans="10:25" s="1" customFormat="1" x14ac:dyDescent="0.2">
      <c r="J272"/>
      <c r="K272"/>
      <c r="L272"/>
      <c r="M272"/>
      <c r="N272"/>
      <c r="O272"/>
      <c r="P272" s="2"/>
      <c r="T272"/>
      <c r="U272"/>
      <c r="V272"/>
      <c r="W272"/>
      <c r="Y272"/>
    </row>
    <row r="273" spans="10:25" s="1" customFormat="1" x14ac:dyDescent="0.2">
      <c r="J273"/>
      <c r="K273"/>
      <c r="L273"/>
      <c r="M273"/>
      <c r="N273"/>
      <c r="O273"/>
      <c r="P273" s="2"/>
      <c r="T273"/>
      <c r="U273"/>
      <c r="V273"/>
      <c r="W273"/>
      <c r="Y273"/>
    </row>
    <row r="274" spans="10:25" s="1" customFormat="1" x14ac:dyDescent="0.2">
      <c r="J274"/>
      <c r="K274"/>
      <c r="L274"/>
      <c r="M274"/>
      <c r="N274"/>
      <c r="O274"/>
      <c r="P274" s="2"/>
      <c r="T274"/>
      <c r="U274"/>
      <c r="V274"/>
      <c r="W274"/>
      <c r="Y274"/>
    </row>
    <row r="275" spans="10:25" s="1" customFormat="1" x14ac:dyDescent="0.2">
      <c r="J275"/>
      <c r="K275"/>
      <c r="L275"/>
      <c r="M275"/>
      <c r="N275"/>
      <c r="O275"/>
      <c r="P275" s="2"/>
      <c r="T275"/>
      <c r="U275"/>
      <c r="V275"/>
      <c r="W275"/>
      <c r="Y275"/>
    </row>
    <row r="276" spans="10:25" s="1" customFormat="1" x14ac:dyDescent="0.2">
      <c r="J276"/>
      <c r="K276"/>
      <c r="L276"/>
      <c r="M276"/>
      <c r="N276"/>
      <c r="O276"/>
      <c r="P276" s="2"/>
      <c r="T276"/>
      <c r="U276"/>
      <c r="V276"/>
      <c r="W276"/>
      <c r="Y276"/>
    </row>
    <row r="277" spans="10:25" s="1" customFormat="1" x14ac:dyDescent="0.2">
      <c r="J277"/>
      <c r="K277"/>
      <c r="L277"/>
      <c r="M277"/>
      <c r="N277"/>
      <c r="O277"/>
      <c r="P277" s="2"/>
      <c r="T277"/>
      <c r="U277"/>
      <c r="V277"/>
      <c r="W277"/>
      <c r="Y277"/>
    </row>
    <row r="278" spans="10:25" s="1" customFormat="1" x14ac:dyDescent="0.2">
      <c r="J278"/>
      <c r="K278"/>
      <c r="L278"/>
      <c r="M278"/>
      <c r="N278"/>
      <c r="O278"/>
      <c r="P278" s="2"/>
      <c r="T278"/>
      <c r="U278"/>
      <c r="V278"/>
      <c r="W278"/>
      <c r="Y278"/>
    </row>
    <row r="279" spans="10:25" s="1" customFormat="1" x14ac:dyDescent="0.2">
      <c r="J279"/>
      <c r="K279"/>
      <c r="L279"/>
      <c r="M279"/>
      <c r="N279"/>
      <c r="O279"/>
      <c r="P279" s="2"/>
      <c r="T279"/>
      <c r="U279"/>
      <c r="V279"/>
      <c r="W279"/>
      <c r="Y279"/>
    </row>
    <row r="280" spans="10:25" s="1" customFormat="1" x14ac:dyDescent="0.2">
      <c r="J280"/>
      <c r="K280"/>
      <c r="L280"/>
      <c r="M280"/>
      <c r="N280"/>
      <c r="O280"/>
      <c r="P280" s="2"/>
      <c r="T280"/>
      <c r="U280"/>
      <c r="V280"/>
      <c r="W280"/>
      <c r="Y280"/>
    </row>
    <row r="281" spans="10:25" s="1" customFormat="1" x14ac:dyDescent="0.2">
      <c r="J281"/>
      <c r="K281"/>
      <c r="L281"/>
      <c r="M281"/>
      <c r="N281"/>
      <c r="O281"/>
      <c r="P281" s="2"/>
      <c r="T281"/>
      <c r="U281"/>
      <c r="V281"/>
      <c r="W281"/>
      <c r="Y281"/>
    </row>
    <row r="282" spans="10:25" s="1" customFormat="1" x14ac:dyDescent="0.2">
      <c r="J282"/>
      <c r="K282"/>
      <c r="L282"/>
      <c r="M282"/>
      <c r="N282"/>
      <c r="O282"/>
      <c r="P282" s="2"/>
      <c r="T282"/>
      <c r="U282"/>
      <c r="V282"/>
      <c r="W282"/>
      <c r="Y282"/>
    </row>
    <row r="283" spans="10:25" s="1" customFormat="1" x14ac:dyDescent="0.2">
      <c r="J283"/>
      <c r="K283"/>
      <c r="L283"/>
      <c r="M283"/>
      <c r="N283"/>
      <c r="O283"/>
      <c r="P283" s="2"/>
      <c r="T283"/>
      <c r="U283"/>
      <c r="V283"/>
      <c r="W283"/>
      <c r="Y283"/>
    </row>
    <row r="284" spans="10:25" s="1" customFormat="1" x14ac:dyDescent="0.2">
      <c r="J284"/>
      <c r="K284"/>
      <c r="L284"/>
      <c r="M284"/>
      <c r="N284"/>
      <c r="O284"/>
      <c r="P284" s="2"/>
      <c r="T284"/>
      <c r="U284"/>
      <c r="V284"/>
      <c r="W284"/>
      <c r="Y284"/>
    </row>
    <row r="285" spans="10:25" s="1" customFormat="1" x14ac:dyDescent="0.2">
      <c r="J285"/>
      <c r="K285"/>
      <c r="L285"/>
      <c r="M285"/>
      <c r="N285"/>
      <c r="O285"/>
      <c r="P285" s="2"/>
      <c r="T285"/>
      <c r="U285"/>
      <c r="V285"/>
      <c r="W285"/>
      <c r="Y285"/>
    </row>
    <row r="286" spans="10:25" s="1" customFormat="1" x14ac:dyDescent="0.2">
      <c r="J286"/>
      <c r="K286"/>
      <c r="L286"/>
      <c r="M286"/>
      <c r="N286"/>
      <c r="O286"/>
      <c r="P286" s="2"/>
      <c r="T286"/>
      <c r="U286"/>
      <c r="V286"/>
      <c r="W286"/>
      <c r="Y286"/>
    </row>
    <row r="287" spans="10:25" s="1" customFormat="1" x14ac:dyDescent="0.2">
      <c r="J287"/>
      <c r="K287"/>
      <c r="L287"/>
      <c r="M287"/>
      <c r="N287"/>
      <c r="O287"/>
      <c r="P287" s="2"/>
      <c r="T287"/>
      <c r="U287"/>
      <c r="V287"/>
      <c r="W287"/>
      <c r="Y287"/>
    </row>
    <row r="288" spans="10:25" s="1" customFormat="1" x14ac:dyDescent="0.2">
      <c r="J288"/>
      <c r="K288"/>
      <c r="L288"/>
      <c r="M288"/>
      <c r="N288"/>
      <c r="O288"/>
      <c r="P288" s="2"/>
      <c r="T288"/>
      <c r="U288"/>
      <c r="V288"/>
      <c r="W288"/>
      <c r="Y288"/>
    </row>
    <row r="289" spans="10:25" s="1" customFormat="1" x14ac:dyDescent="0.2">
      <c r="J289"/>
      <c r="K289"/>
      <c r="L289"/>
      <c r="M289"/>
      <c r="N289"/>
      <c r="O289"/>
      <c r="P289" s="2"/>
      <c r="T289"/>
      <c r="U289"/>
      <c r="V289"/>
      <c r="W289"/>
      <c r="Y289"/>
    </row>
    <row r="290" spans="10:25" s="1" customFormat="1" x14ac:dyDescent="0.2">
      <c r="J290"/>
      <c r="K290"/>
      <c r="L290"/>
      <c r="M290"/>
      <c r="N290"/>
      <c r="O290"/>
      <c r="P290" s="2"/>
      <c r="T290"/>
      <c r="U290"/>
      <c r="V290"/>
      <c r="W290"/>
      <c r="Y290"/>
    </row>
    <row r="291" spans="10:25" s="1" customFormat="1" x14ac:dyDescent="0.2">
      <c r="J291"/>
      <c r="K291"/>
      <c r="L291"/>
      <c r="M291"/>
      <c r="N291"/>
      <c r="O291"/>
      <c r="P291" s="2"/>
      <c r="T291"/>
      <c r="U291"/>
      <c r="V291"/>
      <c r="W291"/>
      <c r="Y291"/>
    </row>
    <row r="292" spans="10:25" s="1" customFormat="1" x14ac:dyDescent="0.2">
      <c r="J292"/>
      <c r="K292"/>
      <c r="L292"/>
      <c r="M292"/>
      <c r="N292"/>
      <c r="O292"/>
      <c r="P292" s="2"/>
      <c r="T292"/>
      <c r="U292"/>
      <c r="V292"/>
      <c r="W292"/>
      <c r="Y292"/>
    </row>
    <row r="293" spans="10:25" s="1" customFormat="1" x14ac:dyDescent="0.2">
      <c r="J293"/>
      <c r="K293"/>
      <c r="L293"/>
      <c r="M293"/>
      <c r="N293"/>
      <c r="O293"/>
      <c r="P293" s="2"/>
      <c r="T293"/>
      <c r="U293"/>
      <c r="V293"/>
      <c r="W293"/>
      <c r="Y293"/>
    </row>
    <row r="294" spans="10:25" s="1" customFormat="1" x14ac:dyDescent="0.2">
      <c r="J294"/>
      <c r="K294"/>
      <c r="L294"/>
      <c r="M294"/>
      <c r="N294"/>
      <c r="O294"/>
      <c r="P294" s="2"/>
      <c r="T294"/>
      <c r="U294"/>
      <c r="V294"/>
      <c r="W294"/>
      <c r="Y294"/>
    </row>
    <row r="295" spans="10:25" s="1" customFormat="1" x14ac:dyDescent="0.2">
      <c r="J295"/>
      <c r="K295"/>
      <c r="L295"/>
      <c r="M295"/>
      <c r="N295"/>
      <c r="O295"/>
      <c r="P295" s="2"/>
      <c r="T295"/>
      <c r="U295"/>
      <c r="V295"/>
      <c r="W295"/>
      <c r="Y295"/>
    </row>
    <row r="296" spans="10:25" s="1" customFormat="1" x14ac:dyDescent="0.2">
      <c r="J296"/>
      <c r="K296"/>
      <c r="L296"/>
      <c r="M296"/>
      <c r="N296"/>
      <c r="O296"/>
      <c r="P296" s="2"/>
      <c r="T296"/>
      <c r="U296"/>
      <c r="V296"/>
      <c r="W296"/>
      <c r="Y296"/>
    </row>
    <row r="297" spans="10:25" s="1" customFormat="1" x14ac:dyDescent="0.2">
      <c r="J297"/>
      <c r="K297"/>
      <c r="L297"/>
      <c r="M297"/>
      <c r="N297"/>
      <c r="O297"/>
      <c r="P297" s="2"/>
      <c r="T297"/>
      <c r="U297"/>
      <c r="V297"/>
      <c r="W297"/>
      <c r="Y297"/>
    </row>
    <row r="298" spans="10:25" s="1" customFormat="1" x14ac:dyDescent="0.2">
      <c r="J298"/>
      <c r="K298"/>
      <c r="L298"/>
      <c r="M298"/>
      <c r="N298"/>
      <c r="O298"/>
      <c r="P298" s="2"/>
      <c r="T298"/>
      <c r="U298"/>
      <c r="V298"/>
      <c r="W298"/>
      <c r="Y298"/>
    </row>
    <row r="299" spans="10:25" s="1" customFormat="1" x14ac:dyDescent="0.2">
      <c r="J299"/>
      <c r="K299"/>
      <c r="L299"/>
      <c r="M299"/>
      <c r="N299"/>
      <c r="O299"/>
      <c r="P299" s="2"/>
      <c r="T299"/>
      <c r="U299"/>
      <c r="V299"/>
      <c r="W299"/>
      <c r="Y299"/>
    </row>
    <row r="300" spans="10:25" s="1" customFormat="1" x14ac:dyDescent="0.2">
      <c r="J300"/>
      <c r="K300"/>
      <c r="L300"/>
      <c r="M300"/>
      <c r="N300"/>
      <c r="O300"/>
      <c r="P300" s="2"/>
      <c r="T300"/>
      <c r="U300"/>
      <c r="V300"/>
      <c r="W300"/>
      <c r="Y300"/>
    </row>
    <row r="301" spans="10:25" s="1" customFormat="1" x14ac:dyDescent="0.2">
      <c r="J301"/>
      <c r="K301"/>
      <c r="L301"/>
      <c r="M301"/>
      <c r="N301"/>
      <c r="O301"/>
      <c r="P301" s="2"/>
      <c r="T301"/>
      <c r="U301"/>
      <c r="V301"/>
      <c r="W301"/>
      <c r="Y301"/>
    </row>
    <row r="302" spans="10:25" s="1" customFormat="1" x14ac:dyDescent="0.2">
      <c r="J302"/>
      <c r="K302"/>
      <c r="L302"/>
      <c r="M302"/>
      <c r="N302"/>
      <c r="O302"/>
      <c r="P302" s="2"/>
      <c r="T302"/>
      <c r="U302"/>
      <c r="V302"/>
      <c r="W302"/>
      <c r="Y302"/>
    </row>
    <row r="303" spans="10:25" s="1" customFormat="1" x14ac:dyDescent="0.2">
      <c r="J303"/>
      <c r="K303"/>
      <c r="L303"/>
      <c r="M303"/>
      <c r="N303"/>
      <c r="O303"/>
      <c r="P303" s="2"/>
      <c r="T303"/>
      <c r="U303"/>
      <c r="V303"/>
      <c r="W303"/>
      <c r="Y303"/>
    </row>
    <row r="304" spans="10:25" s="1" customFormat="1" x14ac:dyDescent="0.2">
      <c r="J304"/>
      <c r="K304"/>
      <c r="L304"/>
      <c r="M304"/>
      <c r="N304"/>
      <c r="O304"/>
      <c r="P304" s="2"/>
      <c r="T304"/>
      <c r="U304"/>
      <c r="V304"/>
      <c r="W304"/>
      <c r="Y304"/>
    </row>
    <row r="305" spans="10:25" s="1" customFormat="1" x14ac:dyDescent="0.2">
      <c r="J305"/>
      <c r="K305"/>
      <c r="L305"/>
      <c r="M305"/>
      <c r="N305"/>
      <c r="O305"/>
      <c r="P305" s="2"/>
      <c r="T305"/>
      <c r="U305"/>
      <c r="V305"/>
      <c r="W305"/>
      <c r="Y305"/>
    </row>
    <row r="306" spans="10:25" s="1" customFormat="1" x14ac:dyDescent="0.2">
      <c r="J306"/>
      <c r="K306"/>
      <c r="L306"/>
      <c r="M306"/>
      <c r="N306"/>
      <c r="O306"/>
      <c r="P306" s="2"/>
      <c r="T306"/>
      <c r="U306"/>
      <c r="V306"/>
      <c r="W306"/>
      <c r="Y306"/>
    </row>
    <row r="307" spans="10:25" s="1" customFormat="1" x14ac:dyDescent="0.2">
      <c r="J307"/>
      <c r="K307"/>
      <c r="L307"/>
      <c r="M307"/>
      <c r="N307"/>
      <c r="O307"/>
      <c r="P307" s="2"/>
      <c r="T307"/>
      <c r="U307"/>
      <c r="V307"/>
      <c r="W307"/>
      <c r="Y307"/>
    </row>
    <row r="308" spans="10:25" s="1" customFormat="1" x14ac:dyDescent="0.2">
      <c r="J308"/>
      <c r="K308"/>
      <c r="L308"/>
      <c r="M308"/>
      <c r="N308"/>
      <c r="O308"/>
      <c r="P308" s="2"/>
      <c r="T308"/>
      <c r="U308"/>
      <c r="V308"/>
      <c r="W308"/>
      <c r="Y308"/>
    </row>
    <row r="309" spans="10:25" s="1" customFormat="1" x14ac:dyDescent="0.2">
      <c r="J309"/>
      <c r="K309"/>
      <c r="L309"/>
      <c r="M309"/>
      <c r="N309"/>
      <c r="O309"/>
      <c r="P309" s="2"/>
      <c r="T309"/>
      <c r="U309"/>
      <c r="V309"/>
      <c r="W309"/>
      <c r="Y309"/>
    </row>
    <row r="310" spans="10:25" s="1" customFormat="1" x14ac:dyDescent="0.2">
      <c r="J310"/>
      <c r="K310"/>
      <c r="L310"/>
      <c r="M310"/>
      <c r="N310"/>
      <c r="O310"/>
      <c r="P310" s="2"/>
      <c r="T310"/>
      <c r="U310"/>
      <c r="V310"/>
      <c r="W310"/>
      <c r="Y310"/>
    </row>
    <row r="311" spans="10:25" s="1" customFormat="1" x14ac:dyDescent="0.2">
      <c r="J311"/>
      <c r="K311"/>
      <c r="L311"/>
      <c r="M311"/>
      <c r="N311"/>
      <c r="O311"/>
      <c r="P311" s="2"/>
      <c r="T311"/>
      <c r="U311"/>
      <c r="V311"/>
      <c r="W311"/>
      <c r="Y311"/>
    </row>
    <row r="312" spans="10:25" s="1" customFormat="1" x14ac:dyDescent="0.2">
      <c r="J312"/>
      <c r="K312"/>
      <c r="L312"/>
      <c r="M312"/>
      <c r="N312"/>
      <c r="O312"/>
      <c r="P312" s="2"/>
      <c r="T312"/>
      <c r="U312"/>
      <c r="V312"/>
      <c r="W312"/>
      <c r="Y312"/>
    </row>
    <row r="313" spans="10:25" s="1" customFormat="1" x14ac:dyDescent="0.2">
      <c r="J313"/>
      <c r="K313"/>
      <c r="L313"/>
      <c r="M313"/>
      <c r="N313"/>
      <c r="O313"/>
      <c r="P313" s="2"/>
      <c r="T313"/>
      <c r="U313"/>
      <c r="V313"/>
      <c r="W313"/>
      <c r="Y313"/>
    </row>
    <row r="314" spans="10:25" s="1" customFormat="1" x14ac:dyDescent="0.2">
      <c r="J314"/>
      <c r="K314"/>
      <c r="L314"/>
      <c r="M314"/>
      <c r="N314"/>
      <c r="O314"/>
      <c r="P314" s="2"/>
      <c r="T314"/>
      <c r="U314"/>
      <c r="V314"/>
      <c r="W314"/>
      <c r="Y314"/>
    </row>
    <row r="315" spans="10:25" s="1" customFormat="1" x14ac:dyDescent="0.2">
      <c r="J315"/>
      <c r="K315"/>
      <c r="L315"/>
      <c r="M315"/>
      <c r="N315"/>
      <c r="O315"/>
      <c r="P315" s="2"/>
      <c r="T315"/>
      <c r="U315"/>
      <c r="V315"/>
      <c r="W315"/>
      <c r="Y315"/>
    </row>
    <row r="316" spans="10:25" s="1" customFormat="1" x14ac:dyDescent="0.2">
      <c r="J316"/>
      <c r="K316"/>
      <c r="L316"/>
      <c r="M316"/>
      <c r="N316"/>
      <c r="O316"/>
      <c r="P316" s="2"/>
      <c r="T316"/>
      <c r="U316"/>
      <c r="V316"/>
      <c r="W316"/>
      <c r="Y316"/>
    </row>
    <row r="317" spans="10:25" s="1" customFormat="1" x14ac:dyDescent="0.2">
      <c r="J317"/>
      <c r="K317"/>
      <c r="L317"/>
      <c r="M317"/>
      <c r="N317"/>
      <c r="O317"/>
      <c r="P317" s="2"/>
      <c r="T317"/>
      <c r="U317"/>
      <c r="V317"/>
      <c r="W317"/>
      <c r="Y317"/>
    </row>
    <row r="318" spans="10:25" s="1" customFormat="1" x14ac:dyDescent="0.2">
      <c r="J318"/>
      <c r="K318"/>
      <c r="L318"/>
      <c r="M318"/>
      <c r="N318"/>
      <c r="O318"/>
      <c r="P318" s="2"/>
      <c r="T318"/>
      <c r="U318"/>
      <c r="V318"/>
      <c r="W318"/>
      <c r="Y318"/>
    </row>
    <row r="319" spans="10:25" s="1" customFormat="1" x14ac:dyDescent="0.2">
      <c r="J319"/>
      <c r="K319"/>
      <c r="L319"/>
      <c r="M319"/>
      <c r="N319"/>
      <c r="O319"/>
      <c r="P319" s="2"/>
      <c r="T319"/>
      <c r="U319"/>
      <c r="V319"/>
      <c r="W319"/>
      <c r="Y319"/>
    </row>
    <row r="320" spans="10:25" s="1" customFormat="1" x14ac:dyDescent="0.2">
      <c r="J320"/>
      <c r="K320"/>
      <c r="L320"/>
      <c r="M320"/>
      <c r="N320"/>
      <c r="O320"/>
      <c r="P320" s="2"/>
      <c r="T320"/>
      <c r="U320"/>
      <c r="V320"/>
      <c r="W320"/>
      <c r="Y320"/>
    </row>
    <row r="321" spans="10:25" s="1" customFormat="1" x14ac:dyDescent="0.2">
      <c r="J321"/>
      <c r="K321"/>
      <c r="L321"/>
      <c r="M321"/>
      <c r="N321"/>
      <c r="O321"/>
      <c r="P321" s="2"/>
      <c r="T321"/>
      <c r="U321"/>
      <c r="V321"/>
      <c r="W321"/>
      <c r="Y321"/>
    </row>
    <row r="322" spans="10:25" s="1" customFormat="1" x14ac:dyDescent="0.2">
      <c r="J322"/>
      <c r="K322"/>
      <c r="L322"/>
      <c r="M322"/>
      <c r="N322"/>
      <c r="O322"/>
      <c r="P322" s="2"/>
      <c r="T322"/>
      <c r="U322"/>
      <c r="V322"/>
      <c r="W322"/>
      <c r="Y322"/>
    </row>
    <row r="323" spans="10:25" s="1" customFormat="1" x14ac:dyDescent="0.2">
      <c r="J323"/>
      <c r="K323"/>
      <c r="L323"/>
      <c r="M323"/>
      <c r="N323"/>
      <c r="O323"/>
      <c r="P323" s="2"/>
      <c r="T323"/>
      <c r="U323"/>
      <c r="V323"/>
      <c r="W323"/>
      <c r="Y323"/>
    </row>
    <row r="324" spans="10:25" s="1" customFormat="1" x14ac:dyDescent="0.2">
      <c r="J324"/>
      <c r="K324"/>
      <c r="L324"/>
      <c r="M324"/>
      <c r="N324"/>
      <c r="O324"/>
      <c r="P324" s="2"/>
      <c r="T324"/>
      <c r="U324"/>
      <c r="V324"/>
      <c r="W324"/>
      <c r="Y324"/>
    </row>
    <row r="325" spans="10:25" s="1" customFormat="1" x14ac:dyDescent="0.2">
      <c r="J325"/>
      <c r="K325"/>
      <c r="L325"/>
      <c r="M325"/>
      <c r="N325"/>
      <c r="O325"/>
      <c r="P325" s="2"/>
      <c r="T325"/>
      <c r="U325"/>
      <c r="V325"/>
      <c r="W325"/>
      <c r="Y325"/>
    </row>
    <row r="326" spans="10:25" s="1" customFormat="1" x14ac:dyDescent="0.2">
      <c r="J326"/>
      <c r="K326"/>
      <c r="L326"/>
      <c r="M326"/>
      <c r="N326"/>
      <c r="O326"/>
      <c r="P326" s="2"/>
      <c r="T326"/>
      <c r="U326"/>
      <c r="V326"/>
      <c r="W326"/>
      <c r="Y326"/>
    </row>
    <row r="327" spans="10:25" s="1" customFormat="1" x14ac:dyDescent="0.2">
      <c r="J327"/>
      <c r="K327"/>
      <c r="L327"/>
      <c r="M327"/>
      <c r="N327"/>
      <c r="O327"/>
      <c r="P327" s="2"/>
      <c r="T327"/>
      <c r="U327"/>
      <c r="V327"/>
      <c r="W327"/>
      <c r="Y327"/>
    </row>
    <row r="328" spans="10:25" s="1" customFormat="1" x14ac:dyDescent="0.2">
      <c r="J328"/>
      <c r="K328"/>
      <c r="L328"/>
      <c r="M328"/>
      <c r="N328"/>
      <c r="O328"/>
      <c r="P328" s="2"/>
      <c r="T328"/>
      <c r="U328"/>
      <c r="V328"/>
      <c r="W328"/>
      <c r="Y328"/>
    </row>
    <row r="329" spans="10:25" s="1" customFormat="1" x14ac:dyDescent="0.2">
      <c r="J329"/>
      <c r="K329"/>
      <c r="L329"/>
      <c r="M329"/>
      <c r="N329"/>
      <c r="O329"/>
      <c r="P329" s="2"/>
      <c r="T329"/>
      <c r="U329"/>
      <c r="V329"/>
      <c r="W329"/>
      <c r="Y329"/>
    </row>
    <row r="330" spans="10:25" s="1" customFormat="1" x14ac:dyDescent="0.2">
      <c r="J330"/>
      <c r="K330"/>
      <c r="L330"/>
      <c r="M330"/>
      <c r="N330"/>
      <c r="O330"/>
      <c r="P330" s="2"/>
      <c r="T330"/>
      <c r="U330"/>
      <c r="V330"/>
      <c r="W330"/>
      <c r="Y330"/>
    </row>
    <row r="331" spans="10:25" s="1" customFormat="1" x14ac:dyDescent="0.2">
      <c r="J331"/>
      <c r="K331"/>
      <c r="L331"/>
      <c r="M331"/>
      <c r="N331"/>
      <c r="O331"/>
      <c r="P331" s="2"/>
      <c r="T331"/>
      <c r="U331"/>
      <c r="V331"/>
      <c r="W331"/>
      <c r="Y331"/>
    </row>
    <row r="332" spans="10:25" s="1" customFormat="1" x14ac:dyDescent="0.2">
      <c r="J332"/>
      <c r="K332"/>
      <c r="L332"/>
      <c r="M332"/>
      <c r="N332"/>
      <c r="O332"/>
      <c r="P332" s="2"/>
      <c r="T332"/>
      <c r="U332"/>
      <c r="V332"/>
      <c r="W332"/>
      <c r="Y332"/>
    </row>
    <row r="333" spans="10:25" s="1" customFormat="1" x14ac:dyDescent="0.2">
      <c r="J333"/>
      <c r="K333"/>
      <c r="L333"/>
      <c r="M333"/>
      <c r="N333"/>
      <c r="O333"/>
      <c r="P333" s="2"/>
      <c r="T333"/>
      <c r="U333"/>
      <c r="V333"/>
      <c r="W333"/>
      <c r="Y333"/>
    </row>
    <row r="334" spans="10:25" s="1" customFormat="1" x14ac:dyDescent="0.2">
      <c r="J334"/>
      <c r="K334"/>
      <c r="L334"/>
      <c r="M334"/>
      <c r="N334"/>
      <c r="O334"/>
      <c r="P334" s="2"/>
      <c r="T334"/>
      <c r="U334"/>
      <c r="V334"/>
      <c r="W334"/>
      <c r="Y334"/>
    </row>
    <row r="335" spans="10:25" s="1" customFormat="1" x14ac:dyDescent="0.2">
      <c r="J335"/>
      <c r="K335"/>
      <c r="L335"/>
      <c r="M335"/>
      <c r="N335"/>
      <c r="O335"/>
      <c r="P335" s="2"/>
      <c r="T335"/>
      <c r="U335"/>
      <c r="V335"/>
      <c r="W335"/>
      <c r="Y335"/>
    </row>
    <row r="336" spans="10:25" s="1" customFormat="1" x14ac:dyDescent="0.2">
      <c r="J336"/>
      <c r="K336"/>
      <c r="L336"/>
      <c r="M336"/>
      <c r="N336"/>
      <c r="O336"/>
      <c r="P336" s="2"/>
      <c r="T336"/>
      <c r="U336"/>
      <c r="V336"/>
      <c r="W336"/>
      <c r="Y336"/>
    </row>
    <row r="337" spans="10:25" s="1" customFormat="1" x14ac:dyDescent="0.2">
      <c r="J337"/>
      <c r="K337"/>
      <c r="L337"/>
      <c r="M337"/>
      <c r="N337"/>
      <c r="O337"/>
      <c r="P337" s="2"/>
      <c r="T337"/>
      <c r="U337"/>
      <c r="V337"/>
      <c r="W337"/>
      <c r="Y337"/>
    </row>
    <row r="338" spans="10:25" s="1" customFormat="1" x14ac:dyDescent="0.2">
      <c r="J338"/>
      <c r="K338"/>
      <c r="L338"/>
      <c r="M338"/>
      <c r="N338"/>
      <c r="O338"/>
      <c r="P338" s="2"/>
      <c r="T338"/>
      <c r="U338"/>
      <c r="V338"/>
      <c r="W338"/>
      <c r="Y338"/>
    </row>
    <row r="339" spans="10:25" s="1" customFormat="1" x14ac:dyDescent="0.2">
      <c r="J339"/>
      <c r="K339"/>
      <c r="L339"/>
      <c r="M339"/>
      <c r="N339"/>
      <c r="O339"/>
      <c r="P339" s="2"/>
      <c r="T339"/>
      <c r="U339"/>
      <c r="V339"/>
      <c r="W339"/>
      <c r="Y339"/>
    </row>
    <row r="340" spans="10:25" s="1" customFormat="1" x14ac:dyDescent="0.2">
      <c r="J340"/>
      <c r="K340"/>
      <c r="L340"/>
      <c r="M340"/>
      <c r="N340"/>
      <c r="O340"/>
      <c r="P340" s="2"/>
      <c r="T340"/>
      <c r="U340"/>
      <c r="V340"/>
      <c r="W340"/>
      <c r="Y340"/>
    </row>
    <row r="341" spans="10:25" s="1" customFormat="1" x14ac:dyDescent="0.2">
      <c r="J341"/>
      <c r="K341"/>
      <c r="L341"/>
      <c r="M341"/>
      <c r="N341"/>
      <c r="O341"/>
      <c r="P341" s="2"/>
      <c r="T341"/>
      <c r="U341"/>
      <c r="V341"/>
      <c r="W341"/>
      <c r="Y341"/>
    </row>
    <row r="342" spans="10:25" s="1" customFormat="1" x14ac:dyDescent="0.2">
      <c r="J342"/>
      <c r="K342"/>
      <c r="L342"/>
      <c r="M342"/>
      <c r="N342"/>
      <c r="O342"/>
      <c r="P342" s="2"/>
      <c r="T342"/>
      <c r="U342"/>
      <c r="V342"/>
      <c r="W342"/>
      <c r="Y342"/>
    </row>
    <row r="343" spans="10:25" s="1" customFormat="1" x14ac:dyDescent="0.2">
      <c r="J343"/>
      <c r="K343"/>
      <c r="L343"/>
      <c r="M343"/>
      <c r="N343"/>
      <c r="O343"/>
      <c r="P343" s="2"/>
      <c r="T343"/>
      <c r="U343"/>
      <c r="V343"/>
      <c r="W343"/>
      <c r="Y343"/>
    </row>
    <row r="344" spans="10:25" s="1" customFormat="1" x14ac:dyDescent="0.2">
      <c r="J344"/>
      <c r="K344"/>
      <c r="L344"/>
      <c r="M344"/>
      <c r="N344"/>
      <c r="O344"/>
      <c r="P344" s="2"/>
      <c r="T344"/>
      <c r="U344"/>
      <c r="V344"/>
      <c r="W344"/>
      <c r="Y344"/>
    </row>
    <row r="345" spans="10:25" s="1" customFormat="1" x14ac:dyDescent="0.2">
      <c r="J345"/>
      <c r="K345"/>
      <c r="L345"/>
      <c r="M345"/>
      <c r="N345"/>
      <c r="O345"/>
      <c r="P345" s="2"/>
      <c r="T345"/>
      <c r="U345"/>
      <c r="V345"/>
      <c r="W345"/>
      <c r="Y345"/>
    </row>
    <row r="346" spans="10:25" s="1" customFormat="1" x14ac:dyDescent="0.2">
      <c r="J346"/>
      <c r="K346"/>
      <c r="L346"/>
      <c r="M346"/>
      <c r="N346"/>
      <c r="O346"/>
      <c r="P346" s="2"/>
      <c r="T346"/>
      <c r="U346"/>
      <c r="V346"/>
      <c r="W346"/>
      <c r="Y346"/>
    </row>
    <row r="347" spans="10:25" s="1" customFormat="1" x14ac:dyDescent="0.2">
      <c r="J347"/>
      <c r="K347"/>
      <c r="L347"/>
      <c r="M347"/>
      <c r="N347"/>
      <c r="O347"/>
      <c r="P347" s="2"/>
      <c r="T347"/>
      <c r="U347"/>
      <c r="V347"/>
      <c r="W347"/>
      <c r="Y347"/>
    </row>
    <row r="348" spans="10:25" s="1" customFormat="1" x14ac:dyDescent="0.2">
      <c r="J348"/>
      <c r="K348"/>
      <c r="L348"/>
      <c r="M348"/>
      <c r="N348"/>
      <c r="O348"/>
      <c r="P348" s="2"/>
      <c r="T348"/>
      <c r="U348"/>
      <c r="V348"/>
      <c r="W348"/>
      <c r="Y348"/>
    </row>
    <row r="349" spans="10:25" s="1" customFormat="1" x14ac:dyDescent="0.2">
      <c r="J349"/>
      <c r="K349"/>
      <c r="L349"/>
      <c r="M349"/>
      <c r="N349"/>
      <c r="O349"/>
      <c r="P349" s="2"/>
      <c r="T349"/>
      <c r="U349"/>
      <c r="V349"/>
      <c r="W349"/>
      <c r="Y349"/>
    </row>
    <row r="350" spans="10:25" s="1" customFormat="1" x14ac:dyDescent="0.2">
      <c r="J350"/>
      <c r="K350"/>
      <c r="L350"/>
      <c r="M350"/>
      <c r="N350"/>
      <c r="O350"/>
      <c r="P350" s="2"/>
      <c r="T350"/>
      <c r="U350"/>
      <c r="V350"/>
      <c r="W350"/>
      <c r="Y350"/>
    </row>
    <row r="351" spans="10:25" s="1" customFormat="1" x14ac:dyDescent="0.2">
      <c r="J351"/>
      <c r="K351"/>
      <c r="L351"/>
      <c r="M351"/>
      <c r="N351"/>
      <c r="O351"/>
      <c r="P351" s="2"/>
      <c r="T351"/>
      <c r="U351"/>
      <c r="V351"/>
      <c r="W351"/>
      <c r="Y351"/>
    </row>
    <row r="352" spans="10:25" s="1" customFormat="1" x14ac:dyDescent="0.2">
      <c r="J352"/>
      <c r="K352"/>
      <c r="L352"/>
      <c r="M352"/>
      <c r="N352"/>
      <c r="O352"/>
      <c r="P352" s="2"/>
      <c r="T352"/>
      <c r="U352"/>
      <c r="V352"/>
      <c r="W352"/>
      <c r="Y352"/>
    </row>
    <row r="353" spans="10:25" s="1" customFormat="1" x14ac:dyDescent="0.2">
      <c r="J353"/>
      <c r="K353"/>
      <c r="L353"/>
      <c r="M353"/>
      <c r="N353"/>
      <c r="O353"/>
      <c r="P353" s="2"/>
      <c r="T353"/>
      <c r="U353"/>
      <c r="V353"/>
      <c r="W353"/>
      <c r="Y353"/>
    </row>
    <row r="354" spans="10:25" s="1" customFormat="1" x14ac:dyDescent="0.2">
      <c r="J354"/>
      <c r="K354"/>
      <c r="L354"/>
      <c r="M354"/>
      <c r="N354"/>
      <c r="O354"/>
      <c r="P354" s="2"/>
      <c r="T354"/>
      <c r="U354"/>
      <c r="V354"/>
      <c r="W354"/>
      <c r="Y354"/>
    </row>
    <row r="355" spans="10:25" s="1" customFormat="1" x14ac:dyDescent="0.2">
      <c r="J355"/>
      <c r="K355"/>
      <c r="L355"/>
      <c r="M355"/>
      <c r="N355"/>
      <c r="O355"/>
      <c r="P355" s="2"/>
      <c r="T355"/>
      <c r="U355"/>
      <c r="V355"/>
      <c r="W355"/>
      <c r="Y355"/>
    </row>
    <row r="356" spans="10:25" s="1" customFormat="1" x14ac:dyDescent="0.2">
      <c r="J356"/>
      <c r="K356"/>
      <c r="L356"/>
      <c r="M356"/>
      <c r="N356"/>
      <c r="O356"/>
      <c r="P356" s="2"/>
      <c r="T356"/>
      <c r="U356"/>
      <c r="V356"/>
      <c r="W356"/>
      <c r="Y356"/>
    </row>
    <row r="357" spans="10:25" s="1" customFormat="1" x14ac:dyDescent="0.2">
      <c r="J357"/>
      <c r="K357"/>
      <c r="L357"/>
      <c r="M357"/>
      <c r="N357"/>
      <c r="O357"/>
      <c r="P357" s="2"/>
      <c r="T357"/>
      <c r="U357"/>
      <c r="V357"/>
      <c r="W357"/>
      <c r="Y357"/>
    </row>
    <row r="358" spans="10:25" s="1" customFormat="1" x14ac:dyDescent="0.2">
      <c r="J358"/>
      <c r="K358"/>
      <c r="L358"/>
      <c r="M358"/>
      <c r="N358"/>
      <c r="O358"/>
      <c r="P358" s="2"/>
      <c r="T358"/>
      <c r="U358"/>
      <c r="V358"/>
      <c r="W358"/>
      <c r="Y358"/>
    </row>
    <row r="359" spans="10:25" s="1" customFormat="1" x14ac:dyDescent="0.2">
      <c r="J359"/>
      <c r="K359"/>
      <c r="L359"/>
      <c r="M359"/>
      <c r="N359"/>
      <c r="O359"/>
      <c r="P359" s="2"/>
      <c r="T359"/>
      <c r="U359"/>
      <c r="V359"/>
      <c r="W359"/>
      <c r="Y359"/>
    </row>
    <row r="360" spans="10:25" s="1" customFormat="1" x14ac:dyDescent="0.2">
      <c r="J360"/>
      <c r="K360"/>
      <c r="L360"/>
      <c r="M360"/>
      <c r="N360"/>
      <c r="O360"/>
      <c r="P360" s="2"/>
      <c r="T360"/>
      <c r="U360"/>
      <c r="V360"/>
      <c r="W360"/>
      <c r="Y360"/>
    </row>
    <row r="361" spans="10:25" s="1" customFormat="1" x14ac:dyDescent="0.2">
      <c r="J361"/>
      <c r="K361"/>
      <c r="L361"/>
      <c r="M361"/>
      <c r="N361"/>
      <c r="O361"/>
      <c r="P361" s="2"/>
      <c r="T361"/>
      <c r="U361"/>
      <c r="V361"/>
      <c r="W361"/>
      <c r="Y361"/>
    </row>
    <row r="362" spans="10:25" s="1" customFormat="1" x14ac:dyDescent="0.2">
      <c r="J362"/>
      <c r="K362"/>
      <c r="L362"/>
      <c r="M362"/>
      <c r="N362"/>
      <c r="O362"/>
      <c r="P362" s="2"/>
      <c r="T362"/>
      <c r="U362"/>
      <c r="V362"/>
      <c r="W362"/>
      <c r="Y362"/>
    </row>
    <row r="363" spans="10:25" s="1" customFormat="1" x14ac:dyDescent="0.2">
      <c r="J363"/>
      <c r="K363"/>
      <c r="L363"/>
      <c r="M363"/>
      <c r="N363"/>
      <c r="O363"/>
      <c r="P363" s="2"/>
      <c r="T363"/>
      <c r="U363"/>
      <c r="V363"/>
      <c r="W363"/>
      <c r="Y363"/>
    </row>
    <row r="364" spans="10:25" s="1" customFormat="1" x14ac:dyDescent="0.2">
      <c r="J364"/>
      <c r="K364"/>
      <c r="L364"/>
      <c r="M364"/>
      <c r="N364"/>
      <c r="O364"/>
      <c r="P364" s="2"/>
      <c r="T364"/>
      <c r="U364"/>
      <c r="V364"/>
      <c r="W364"/>
      <c r="Y364"/>
    </row>
    <row r="365" spans="10:25" s="1" customFormat="1" x14ac:dyDescent="0.2">
      <c r="J365"/>
      <c r="K365"/>
      <c r="L365"/>
      <c r="M365"/>
      <c r="N365"/>
      <c r="O365"/>
      <c r="P365" s="2"/>
      <c r="T365"/>
      <c r="U365"/>
      <c r="V365"/>
      <c r="W365"/>
      <c r="Y365"/>
    </row>
    <row r="366" spans="10:25" s="1" customFormat="1" x14ac:dyDescent="0.2">
      <c r="J366"/>
      <c r="K366"/>
      <c r="L366"/>
      <c r="M366"/>
      <c r="N366"/>
      <c r="O366"/>
      <c r="P366" s="2"/>
      <c r="T366"/>
      <c r="U366"/>
      <c r="V366"/>
      <c r="W366"/>
      <c r="Y366"/>
    </row>
    <row r="367" spans="10:25" s="1" customFormat="1" x14ac:dyDescent="0.2">
      <c r="J367"/>
      <c r="K367"/>
      <c r="L367"/>
      <c r="M367"/>
      <c r="N367"/>
      <c r="O367"/>
      <c r="P367" s="2"/>
      <c r="T367"/>
      <c r="U367"/>
      <c r="V367"/>
      <c r="W367"/>
      <c r="Y367"/>
    </row>
    <row r="368" spans="10:25" s="1" customFormat="1" x14ac:dyDescent="0.2">
      <c r="J368"/>
      <c r="K368"/>
      <c r="L368"/>
      <c r="M368"/>
      <c r="N368"/>
      <c r="O368"/>
      <c r="P368" s="2"/>
      <c r="T368"/>
      <c r="U368"/>
      <c r="V368"/>
      <c r="W368"/>
      <c r="Y368"/>
    </row>
    <row r="369" spans="10:25" s="1" customFormat="1" x14ac:dyDescent="0.2">
      <c r="J369"/>
      <c r="K369"/>
      <c r="L369"/>
      <c r="M369"/>
      <c r="N369"/>
      <c r="O369"/>
      <c r="P369" s="2"/>
      <c r="T369"/>
      <c r="U369"/>
      <c r="V369"/>
      <c r="W369"/>
      <c r="Y369"/>
    </row>
    <row r="370" spans="10:25" s="1" customFormat="1" x14ac:dyDescent="0.2">
      <c r="J370"/>
      <c r="K370"/>
      <c r="L370"/>
      <c r="M370"/>
      <c r="N370"/>
      <c r="O370"/>
      <c r="P370" s="2"/>
      <c r="T370"/>
      <c r="U370"/>
      <c r="V370"/>
      <c r="W370"/>
      <c r="Y370"/>
    </row>
    <row r="371" spans="10:25" s="1" customFormat="1" x14ac:dyDescent="0.2">
      <c r="J371"/>
      <c r="K371"/>
      <c r="L371"/>
      <c r="M371"/>
      <c r="N371"/>
      <c r="O371"/>
      <c r="P371" s="2"/>
      <c r="T371"/>
      <c r="U371"/>
      <c r="V371"/>
      <c r="W371"/>
      <c r="Y371"/>
    </row>
    <row r="372" spans="10:25" s="1" customFormat="1" x14ac:dyDescent="0.2">
      <c r="J372"/>
      <c r="K372"/>
      <c r="L372"/>
      <c r="M372"/>
      <c r="N372"/>
      <c r="O372"/>
      <c r="P372" s="2"/>
      <c r="T372"/>
      <c r="U372"/>
      <c r="V372"/>
      <c r="W372"/>
      <c r="Y372"/>
    </row>
    <row r="373" spans="10:25" s="1" customFormat="1" x14ac:dyDescent="0.2">
      <c r="J373"/>
      <c r="K373"/>
      <c r="L373"/>
      <c r="M373"/>
      <c r="N373"/>
      <c r="O373"/>
      <c r="P373" s="2"/>
      <c r="T373"/>
      <c r="U373"/>
      <c r="V373"/>
      <c r="W373"/>
      <c r="Y373"/>
    </row>
    <row r="374" spans="10:25" s="1" customFormat="1" x14ac:dyDescent="0.2">
      <c r="J374"/>
      <c r="K374"/>
      <c r="L374"/>
      <c r="M374"/>
      <c r="N374"/>
      <c r="O374"/>
      <c r="P374" s="2"/>
      <c r="T374"/>
      <c r="U374"/>
      <c r="V374"/>
      <c r="W374"/>
      <c r="Y374"/>
    </row>
    <row r="375" spans="10:25" s="1" customFormat="1" x14ac:dyDescent="0.2">
      <c r="J375"/>
      <c r="K375"/>
      <c r="L375"/>
      <c r="M375"/>
      <c r="N375"/>
      <c r="O375"/>
      <c r="P375" s="2"/>
      <c r="T375"/>
      <c r="U375"/>
      <c r="V375"/>
      <c r="W375"/>
      <c r="Y375"/>
    </row>
    <row r="376" spans="10:25" s="1" customFormat="1" x14ac:dyDescent="0.2">
      <c r="J376"/>
      <c r="K376"/>
      <c r="L376"/>
      <c r="M376"/>
      <c r="N376"/>
      <c r="O376"/>
      <c r="P376" s="2"/>
      <c r="T376"/>
      <c r="U376"/>
      <c r="V376"/>
      <c r="W376"/>
      <c r="Y376"/>
    </row>
    <row r="377" spans="10:25" s="1" customFormat="1" x14ac:dyDescent="0.2">
      <c r="J377"/>
      <c r="K377"/>
      <c r="L377"/>
      <c r="M377"/>
      <c r="N377"/>
      <c r="O377"/>
      <c r="P377" s="2"/>
      <c r="T377"/>
      <c r="U377"/>
      <c r="V377"/>
      <c r="W377"/>
      <c r="Y377"/>
    </row>
    <row r="378" spans="10:25" s="1" customFormat="1" x14ac:dyDescent="0.2">
      <c r="J378"/>
      <c r="K378"/>
      <c r="L378"/>
      <c r="M378"/>
      <c r="N378"/>
      <c r="O378"/>
      <c r="P378" s="2"/>
      <c r="T378"/>
      <c r="U378"/>
      <c r="V378"/>
      <c r="W378"/>
      <c r="Y378"/>
    </row>
    <row r="379" spans="10:25" s="1" customFormat="1" x14ac:dyDescent="0.2">
      <c r="J379"/>
      <c r="K379"/>
      <c r="L379"/>
      <c r="M379"/>
      <c r="N379"/>
      <c r="O379"/>
      <c r="P379" s="2"/>
      <c r="T379"/>
      <c r="U379"/>
      <c r="V379"/>
      <c r="W379"/>
      <c r="Y379"/>
    </row>
    <row r="380" spans="10:25" s="1" customFormat="1" x14ac:dyDescent="0.2">
      <c r="J380"/>
      <c r="K380"/>
      <c r="L380"/>
      <c r="M380"/>
      <c r="N380"/>
      <c r="O380"/>
      <c r="P380" s="2"/>
      <c r="T380"/>
      <c r="U380"/>
      <c r="V380"/>
      <c r="W380"/>
      <c r="Y380"/>
    </row>
    <row r="381" spans="10:25" s="1" customFormat="1" x14ac:dyDescent="0.2">
      <c r="J381"/>
      <c r="K381"/>
      <c r="L381"/>
      <c r="M381"/>
      <c r="N381"/>
      <c r="O381"/>
      <c r="P381" s="2"/>
      <c r="T381"/>
      <c r="U381"/>
      <c r="V381"/>
      <c r="W381"/>
      <c r="Y381"/>
    </row>
    <row r="382" spans="10:25" s="1" customFormat="1" x14ac:dyDescent="0.2">
      <c r="J382"/>
      <c r="K382"/>
      <c r="L382"/>
      <c r="M382"/>
      <c r="N382"/>
      <c r="O382"/>
      <c r="P382" s="2"/>
      <c r="T382"/>
      <c r="U382"/>
      <c r="V382"/>
      <c r="W382"/>
      <c r="Y382"/>
    </row>
    <row r="383" spans="10:25" s="1" customFormat="1" x14ac:dyDescent="0.2">
      <c r="J383"/>
      <c r="K383"/>
      <c r="L383"/>
      <c r="M383"/>
      <c r="N383"/>
      <c r="O383"/>
      <c r="P383" s="2"/>
      <c r="T383"/>
      <c r="U383"/>
      <c r="V383"/>
      <c r="W383"/>
      <c r="Y383"/>
    </row>
    <row r="384" spans="10:25" s="1" customFormat="1" x14ac:dyDescent="0.2">
      <c r="J384"/>
      <c r="K384"/>
      <c r="L384"/>
      <c r="M384"/>
      <c r="N384"/>
      <c r="O384"/>
      <c r="P384" s="2"/>
      <c r="T384"/>
      <c r="U384"/>
      <c r="V384"/>
      <c r="W384"/>
      <c r="Y384"/>
    </row>
    <row r="385" spans="10:25" s="1" customFormat="1" x14ac:dyDescent="0.2">
      <c r="J385"/>
      <c r="K385"/>
      <c r="L385"/>
      <c r="M385"/>
      <c r="N385"/>
      <c r="O385"/>
      <c r="P385" s="2"/>
      <c r="T385"/>
      <c r="U385"/>
      <c r="V385"/>
      <c r="W385"/>
      <c r="Y385"/>
    </row>
    <row r="386" spans="10:25" s="1" customFormat="1" x14ac:dyDescent="0.2">
      <c r="J386"/>
      <c r="K386"/>
      <c r="L386"/>
      <c r="M386"/>
      <c r="N386"/>
      <c r="O386"/>
      <c r="P386" s="2"/>
      <c r="T386"/>
      <c r="U386"/>
      <c r="V386"/>
      <c r="W386"/>
      <c r="Y386"/>
    </row>
    <row r="387" spans="10:25" s="1" customFormat="1" x14ac:dyDescent="0.2">
      <c r="J387"/>
      <c r="K387"/>
      <c r="L387"/>
      <c r="M387"/>
      <c r="N387"/>
      <c r="O387"/>
      <c r="P387" s="2"/>
      <c r="T387"/>
      <c r="U387"/>
      <c r="V387"/>
      <c r="W387"/>
      <c r="Y387"/>
    </row>
    <row r="388" spans="10:25" s="1" customFormat="1" x14ac:dyDescent="0.2">
      <c r="J388"/>
      <c r="K388"/>
      <c r="L388"/>
      <c r="M388"/>
      <c r="N388"/>
      <c r="O388"/>
      <c r="P388" s="2"/>
      <c r="T388"/>
      <c r="U388"/>
      <c r="V388"/>
      <c r="W388"/>
      <c r="Y388"/>
    </row>
    <row r="389" spans="10:25" s="1" customFormat="1" x14ac:dyDescent="0.2">
      <c r="J389"/>
      <c r="K389"/>
      <c r="L389"/>
      <c r="M389"/>
      <c r="N389"/>
      <c r="O389"/>
      <c r="P389" s="2"/>
      <c r="T389"/>
      <c r="U389"/>
      <c r="V389"/>
      <c r="W389"/>
      <c r="Y389"/>
    </row>
    <row r="390" spans="10:25" s="1" customFormat="1" x14ac:dyDescent="0.2">
      <c r="J390"/>
      <c r="K390"/>
      <c r="L390"/>
      <c r="M390"/>
      <c r="N390"/>
      <c r="O390"/>
      <c r="P390" s="2"/>
      <c r="T390"/>
      <c r="U390"/>
      <c r="V390"/>
      <c r="W390"/>
      <c r="Y390"/>
    </row>
    <row r="391" spans="10:25" s="1" customFormat="1" x14ac:dyDescent="0.2">
      <c r="J391"/>
      <c r="K391"/>
      <c r="L391"/>
      <c r="M391"/>
      <c r="N391"/>
      <c r="O391"/>
      <c r="P391" s="2"/>
      <c r="T391"/>
      <c r="U391"/>
      <c r="V391"/>
      <c r="W391"/>
      <c r="Y391"/>
    </row>
    <row r="392" spans="10:25" s="1" customFormat="1" x14ac:dyDescent="0.2">
      <c r="J392"/>
      <c r="K392"/>
      <c r="L392"/>
      <c r="M392"/>
      <c r="N392"/>
      <c r="O392"/>
      <c r="P392" s="2"/>
      <c r="T392"/>
      <c r="U392"/>
      <c r="V392"/>
      <c r="W392"/>
      <c r="Y392"/>
    </row>
    <row r="393" spans="10:25" s="1" customFormat="1" x14ac:dyDescent="0.2">
      <c r="J393"/>
      <c r="K393"/>
      <c r="L393"/>
      <c r="M393"/>
      <c r="N393"/>
      <c r="O393"/>
      <c r="P393" s="2"/>
      <c r="T393"/>
      <c r="U393"/>
      <c r="V393"/>
      <c r="W393"/>
      <c r="Y393"/>
    </row>
    <row r="394" spans="10:25" s="1" customFormat="1" x14ac:dyDescent="0.2">
      <c r="J394"/>
      <c r="K394"/>
      <c r="L394"/>
      <c r="M394"/>
      <c r="N394"/>
      <c r="O394"/>
      <c r="P394" s="2"/>
      <c r="T394"/>
      <c r="U394"/>
      <c r="V394"/>
      <c r="W394"/>
      <c r="Y394"/>
    </row>
    <row r="395" spans="10:25" s="1" customFormat="1" x14ac:dyDescent="0.2">
      <c r="J395"/>
      <c r="K395"/>
      <c r="L395"/>
      <c r="M395"/>
      <c r="N395"/>
      <c r="O395"/>
      <c r="P395" s="2"/>
      <c r="T395"/>
      <c r="U395"/>
      <c r="V395"/>
      <c r="W395"/>
      <c r="Y395"/>
    </row>
    <row r="396" spans="10:25" s="1" customFormat="1" x14ac:dyDescent="0.2">
      <c r="J396"/>
      <c r="K396"/>
      <c r="L396"/>
      <c r="M396"/>
      <c r="N396"/>
      <c r="O396"/>
      <c r="P396" s="2"/>
      <c r="T396"/>
      <c r="U396"/>
      <c r="V396"/>
      <c r="W396"/>
      <c r="Y396"/>
    </row>
    <row r="397" spans="10:25" s="1" customFormat="1" x14ac:dyDescent="0.2">
      <c r="J397"/>
      <c r="K397"/>
      <c r="L397"/>
      <c r="M397"/>
      <c r="N397"/>
      <c r="O397"/>
      <c r="P397" s="2"/>
      <c r="T397"/>
      <c r="U397"/>
      <c r="V397"/>
      <c r="W397"/>
      <c r="Y397"/>
    </row>
    <row r="398" spans="10:25" s="1" customFormat="1" x14ac:dyDescent="0.2">
      <c r="J398"/>
      <c r="K398"/>
      <c r="L398"/>
      <c r="M398"/>
      <c r="N398"/>
      <c r="O398"/>
      <c r="P398" s="2"/>
      <c r="T398"/>
      <c r="U398"/>
      <c r="V398"/>
      <c r="W398"/>
      <c r="Y398"/>
    </row>
    <row r="399" spans="10:25" s="1" customFormat="1" x14ac:dyDescent="0.2">
      <c r="J399"/>
      <c r="K399"/>
      <c r="L399"/>
      <c r="M399"/>
      <c r="N399"/>
      <c r="O399"/>
      <c r="P399" s="2"/>
      <c r="T399"/>
      <c r="U399"/>
      <c r="V399"/>
      <c r="W399"/>
      <c r="Y399"/>
    </row>
    <row r="400" spans="10:25" s="1" customFormat="1" x14ac:dyDescent="0.2">
      <c r="J400"/>
      <c r="K400"/>
      <c r="L400"/>
      <c r="M400"/>
      <c r="N400"/>
      <c r="O400"/>
      <c r="P400" s="2"/>
      <c r="T400"/>
      <c r="U400"/>
      <c r="V400"/>
      <c r="W400"/>
      <c r="Y400"/>
    </row>
    <row r="401" spans="10:25" s="1" customFormat="1" x14ac:dyDescent="0.2">
      <c r="J401"/>
      <c r="K401"/>
      <c r="L401"/>
      <c r="M401"/>
      <c r="N401"/>
      <c r="O401"/>
      <c r="P401" s="2"/>
      <c r="T401"/>
      <c r="U401"/>
      <c r="V401"/>
      <c r="W401"/>
      <c r="Y401"/>
    </row>
    <row r="402" spans="10:25" s="1" customFormat="1" x14ac:dyDescent="0.2">
      <c r="J402"/>
      <c r="K402"/>
      <c r="L402"/>
      <c r="M402"/>
      <c r="N402"/>
      <c r="O402"/>
      <c r="P402" s="2"/>
      <c r="T402"/>
      <c r="U402"/>
      <c r="V402"/>
      <c r="W402"/>
      <c r="Y402"/>
    </row>
    <row r="403" spans="10:25" s="1" customFormat="1" x14ac:dyDescent="0.2">
      <c r="J403"/>
      <c r="K403"/>
      <c r="L403"/>
      <c r="M403"/>
      <c r="N403"/>
      <c r="O403"/>
      <c r="P403" s="2"/>
      <c r="T403"/>
      <c r="U403"/>
      <c r="V403"/>
      <c r="W403"/>
      <c r="Y403"/>
    </row>
    <row r="404" spans="10:25" s="1" customFormat="1" x14ac:dyDescent="0.2">
      <c r="J404"/>
      <c r="K404"/>
      <c r="L404"/>
      <c r="M404"/>
      <c r="N404"/>
      <c r="O404"/>
      <c r="P404" s="2"/>
      <c r="T404"/>
      <c r="U404"/>
      <c r="V404"/>
      <c r="W404"/>
      <c r="Y404"/>
    </row>
    <row r="405" spans="10:25" s="1" customFormat="1" x14ac:dyDescent="0.2">
      <c r="J405"/>
      <c r="K405"/>
      <c r="L405"/>
      <c r="M405"/>
      <c r="N405"/>
      <c r="O405"/>
      <c r="P405" s="2"/>
      <c r="T405"/>
      <c r="U405"/>
      <c r="V405"/>
      <c r="W405"/>
      <c r="Y405"/>
    </row>
    <row r="406" spans="10:25" s="1" customFormat="1" x14ac:dyDescent="0.2">
      <c r="J406"/>
      <c r="K406"/>
      <c r="L406"/>
      <c r="M406"/>
      <c r="N406"/>
      <c r="O406"/>
      <c r="P406" s="2"/>
      <c r="T406"/>
      <c r="U406"/>
      <c r="V406"/>
      <c r="W406"/>
      <c r="Y406"/>
    </row>
    <row r="407" spans="10:25" s="1" customFormat="1" x14ac:dyDescent="0.2">
      <c r="J407"/>
      <c r="K407"/>
      <c r="L407"/>
      <c r="M407"/>
      <c r="N407"/>
      <c r="O407"/>
      <c r="P407" s="2"/>
      <c r="T407"/>
      <c r="U407"/>
      <c r="V407"/>
      <c r="W407"/>
      <c r="Y407"/>
    </row>
    <row r="408" spans="10:25" s="1" customFormat="1" x14ac:dyDescent="0.2">
      <c r="J408"/>
      <c r="K408"/>
      <c r="L408"/>
      <c r="M408"/>
      <c r="N408"/>
      <c r="O408"/>
      <c r="P408" s="2"/>
      <c r="T408"/>
      <c r="U408"/>
      <c r="V408"/>
      <c r="W408"/>
      <c r="Y408"/>
    </row>
    <row r="409" spans="10:25" s="1" customFormat="1" x14ac:dyDescent="0.2">
      <c r="J409"/>
      <c r="K409"/>
      <c r="L409"/>
      <c r="M409"/>
      <c r="N409"/>
      <c r="O409"/>
      <c r="P409" s="2"/>
      <c r="T409"/>
      <c r="U409"/>
      <c r="V409"/>
      <c r="W409"/>
      <c r="Y409"/>
    </row>
    <row r="410" spans="10:25" s="1" customFormat="1" x14ac:dyDescent="0.2">
      <c r="J410"/>
      <c r="K410"/>
      <c r="L410"/>
      <c r="M410"/>
      <c r="N410"/>
      <c r="O410"/>
      <c r="P410" s="2"/>
      <c r="T410"/>
      <c r="U410"/>
      <c r="V410"/>
      <c r="W410"/>
      <c r="Y410"/>
    </row>
    <row r="411" spans="10:25" s="1" customFormat="1" x14ac:dyDescent="0.2">
      <c r="J411"/>
      <c r="K411"/>
      <c r="L411"/>
      <c r="M411"/>
      <c r="N411"/>
      <c r="O411"/>
      <c r="P411" s="2"/>
      <c r="T411"/>
      <c r="U411"/>
      <c r="V411"/>
      <c r="W411"/>
      <c r="Y411"/>
    </row>
    <row r="412" spans="10:25" s="1" customFormat="1" x14ac:dyDescent="0.2">
      <c r="J412"/>
      <c r="K412"/>
      <c r="L412"/>
      <c r="M412"/>
      <c r="N412"/>
      <c r="O412"/>
      <c r="P412" s="2"/>
      <c r="T412"/>
      <c r="U412"/>
      <c r="V412"/>
      <c r="W412"/>
      <c r="Y412"/>
    </row>
    <row r="413" spans="10:25" s="1" customFormat="1" x14ac:dyDescent="0.2">
      <c r="J413"/>
      <c r="K413"/>
      <c r="L413"/>
      <c r="M413"/>
      <c r="N413"/>
      <c r="O413"/>
      <c r="P413" s="2"/>
      <c r="T413"/>
      <c r="U413"/>
      <c r="V413"/>
      <c r="W413"/>
      <c r="Y413"/>
    </row>
    <row r="414" spans="10:25" s="1" customFormat="1" x14ac:dyDescent="0.2">
      <c r="J414"/>
      <c r="K414"/>
      <c r="L414"/>
      <c r="M414"/>
      <c r="N414"/>
      <c r="O414"/>
      <c r="P414" s="2"/>
      <c r="T414"/>
      <c r="U414"/>
      <c r="V414"/>
      <c r="W414"/>
      <c r="Y414"/>
    </row>
    <row r="415" spans="10:25" s="1" customFormat="1" x14ac:dyDescent="0.2">
      <c r="J415"/>
      <c r="K415"/>
      <c r="L415"/>
      <c r="M415"/>
      <c r="N415"/>
      <c r="O415"/>
      <c r="P415" s="2"/>
      <c r="T415"/>
      <c r="U415"/>
      <c r="V415"/>
      <c r="W415"/>
      <c r="Y415"/>
    </row>
    <row r="416" spans="10:25" s="1" customFormat="1" x14ac:dyDescent="0.2">
      <c r="J416"/>
      <c r="K416"/>
      <c r="L416"/>
      <c r="M416"/>
      <c r="N416"/>
      <c r="O416"/>
      <c r="P416" s="2"/>
      <c r="T416"/>
      <c r="U416"/>
      <c r="V416"/>
      <c r="W416"/>
      <c r="Y416"/>
    </row>
    <row r="417" spans="10:25" s="1" customFormat="1" x14ac:dyDescent="0.2">
      <c r="J417"/>
      <c r="K417"/>
      <c r="L417"/>
      <c r="M417"/>
      <c r="N417"/>
      <c r="O417"/>
      <c r="P417" s="2"/>
      <c r="T417"/>
      <c r="U417"/>
      <c r="V417"/>
      <c r="W417"/>
      <c r="Y417"/>
    </row>
    <row r="418" spans="10:25" s="1" customFormat="1" x14ac:dyDescent="0.2">
      <c r="J418"/>
      <c r="K418"/>
      <c r="L418"/>
      <c r="M418"/>
      <c r="N418"/>
      <c r="O418"/>
      <c r="P418" s="2"/>
      <c r="T418"/>
      <c r="U418"/>
      <c r="V418"/>
      <c r="W418"/>
      <c r="Y418"/>
    </row>
    <row r="419" spans="10:25" s="1" customFormat="1" x14ac:dyDescent="0.2">
      <c r="J419"/>
      <c r="K419"/>
      <c r="L419"/>
      <c r="M419"/>
      <c r="N419"/>
      <c r="O419"/>
      <c r="P419" s="2"/>
      <c r="T419"/>
      <c r="U419"/>
      <c r="V419"/>
      <c r="W419"/>
      <c r="Y419"/>
    </row>
    <row r="420" spans="10:25" s="1" customFormat="1" x14ac:dyDescent="0.2">
      <c r="J420"/>
      <c r="K420"/>
      <c r="L420"/>
      <c r="M420"/>
      <c r="N420"/>
      <c r="O420"/>
      <c r="P420" s="2"/>
      <c r="T420"/>
      <c r="U420"/>
      <c r="V420"/>
      <c r="W420"/>
      <c r="Y420"/>
    </row>
    <row r="421" spans="10:25" s="1" customFormat="1" x14ac:dyDescent="0.2">
      <c r="J421"/>
      <c r="K421"/>
      <c r="L421"/>
      <c r="M421"/>
      <c r="N421"/>
      <c r="O421"/>
      <c r="P421" s="2"/>
      <c r="T421"/>
      <c r="U421"/>
      <c r="V421"/>
      <c r="W421"/>
      <c r="Y421"/>
    </row>
    <row r="422" spans="10:25" s="1" customFormat="1" x14ac:dyDescent="0.2">
      <c r="J422"/>
      <c r="K422"/>
      <c r="L422"/>
      <c r="M422"/>
      <c r="N422"/>
      <c r="O422"/>
      <c r="P422" s="2"/>
      <c r="T422"/>
      <c r="U422"/>
      <c r="V422"/>
      <c r="W422"/>
      <c r="Y422"/>
    </row>
    <row r="423" spans="10:25" s="1" customFormat="1" x14ac:dyDescent="0.2">
      <c r="J423"/>
      <c r="K423"/>
      <c r="L423"/>
      <c r="M423"/>
      <c r="N423"/>
      <c r="O423"/>
      <c r="P423" s="2"/>
      <c r="T423"/>
      <c r="U423"/>
      <c r="V423"/>
      <c r="W423"/>
      <c r="Y423"/>
    </row>
    <row r="424" spans="10:25" s="1" customFormat="1" x14ac:dyDescent="0.2">
      <c r="J424"/>
      <c r="K424"/>
      <c r="L424"/>
      <c r="M424"/>
      <c r="N424"/>
      <c r="O424"/>
      <c r="P424" s="2"/>
      <c r="T424"/>
      <c r="U424"/>
      <c r="V424"/>
      <c r="W424"/>
      <c r="Y424"/>
    </row>
    <row r="425" spans="10:25" s="1" customFormat="1" x14ac:dyDescent="0.2">
      <c r="J425"/>
      <c r="K425"/>
      <c r="L425"/>
      <c r="M425"/>
      <c r="N425"/>
      <c r="O425"/>
      <c r="P425" s="2"/>
      <c r="T425"/>
      <c r="U425"/>
      <c r="V425"/>
      <c r="W425"/>
      <c r="Y425"/>
    </row>
    <row r="426" spans="10:25" s="1" customFormat="1" x14ac:dyDescent="0.2">
      <c r="J426"/>
      <c r="K426"/>
      <c r="L426"/>
      <c r="M426"/>
      <c r="N426"/>
      <c r="O426"/>
      <c r="P426" s="2"/>
      <c r="T426"/>
      <c r="U426"/>
      <c r="V426"/>
      <c r="W426"/>
      <c r="Y426"/>
    </row>
    <row r="427" spans="10:25" s="1" customFormat="1" x14ac:dyDescent="0.2">
      <c r="J427"/>
      <c r="K427"/>
      <c r="L427"/>
      <c r="M427"/>
      <c r="N427"/>
      <c r="O427"/>
      <c r="P427" s="2"/>
      <c r="T427"/>
      <c r="U427"/>
      <c r="V427"/>
      <c r="W427"/>
      <c r="Y427"/>
    </row>
    <row r="428" spans="10:25" s="1" customFormat="1" x14ac:dyDescent="0.2">
      <c r="J428"/>
      <c r="K428"/>
      <c r="L428"/>
      <c r="M428"/>
      <c r="N428"/>
      <c r="O428"/>
      <c r="P428" s="2"/>
      <c r="T428"/>
      <c r="U428"/>
      <c r="V428"/>
      <c r="W428"/>
      <c r="Y428"/>
    </row>
    <row r="429" spans="10:25" s="1" customFormat="1" x14ac:dyDescent="0.2">
      <c r="J429"/>
      <c r="K429"/>
      <c r="L429"/>
      <c r="M429"/>
      <c r="N429"/>
      <c r="O429"/>
      <c r="P429" s="2"/>
      <c r="T429"/>
      <c r="U429"/>
      <c r="V429"/>
      <c r="W429"/>
      <c r="Y429"/>
    </row>
    <row r="430" spans="10:25" s="1" customFormat="1" x14ac:dyDescent="0.2">
      <c r="J430"/>
      <c r="K430"/>
      <c r="L430"/>
      <c r="M430"/>
      <c r="N430"/>
      <c r="O430"/>
      <c r="P430" s="2"/>
      <c r="T430"/>
      <c r="U430"/>
      <c r="V430"/>
      <c r="W430"/>
      <c r="Y430"/>
    </row>
    <row r="431" spans="10:25" s="1" customFormat="1" x14ac:dyDescent="0.2">
      <c r="J431"/>
      <c r="K431"/>
      <c r="L431"/>
      <c r="M431"/>
      <c r="N431"/>
      <c r="O431"/>
      <c r="P431" s="2"/>
      <c r="T431"/>
      <c r="U431"/>
      <c r="V431"/>
      <c r="W431"/>
      <c r="Y431"/>
    </row>
    <row r="432" spans="10:25" s="1" customFormat="1" x14ac:dyDescent="0.2">
      <c r="J432"/>
      <c r="K432"/>
      <c r="L432"/>
      <c r="M432"/>
      <c r="N432"/>
      <c r="O432"/>
      <c r="P432" s="2"/>
      <c r="T432"/>
      <c r="U432"/>
      <c r="V432"/>
      <c r="W432"/>
      <c r="Y432"/>
    </row>
    <row r="433" spans="10:25" s="1" customFormat="1" x14ac:dyDescent="0.2">
      <c r="J433"/>
      <c r="K433"/>
      <c r="L433"/>
      <c r="M433"/>
      <c r="N433"/>
      <c r="O433"/>
      <c r="P433" s="2"/>
      <c r="T433"/>
      <c r="U433"/>
      <c r="V433"/>
      <c r="W433"/>
      <c r="Y433"/>
    </row>
    <row r="434" spans="10:25" s="1" customFormat="1" x14ac:dyDescent="0.2">
      <c r="J434"/>
      <c r="K434"/>
      <c r="L434"/>
      <c r="M434"/>
      <c r="N434"/>
      <c r="O434"/>
      <c r="P434" s="2"/>
      <c r="T434"/>
      <c r="U434"/>
      <c r="V434"/>
      <c r="W434"/>
      <c r="Y434"/>
    </row>
    <row r="435" spans="10:25" s="1" customFormat="1" x14ac:dyDescent="0.2">
      <c r="J435"/>
      <c r="K435"/>
      <c r="L435"/>
      <c r="M435"/>
      <c r="N435"/>
      <c r="O435"/>
      <c r="P435" s="2"/>
      <c r="T435"/>
      <c r="U435"/>
      <c r="V435"/>
      <c r="W435"/>
      <c r="Y435"/>
    </row>
    <row r="436" spans="10:25" s="1" customFormat="1" x14ac:dyDescent="0.2">
      <c r="J436"/>
      <c r="K436"/>
      <c r="L436"/>
      <c r="M436"/>
      <c r="N436"/>
      <c r="O436"/>
      <c r="P436" s="2"/>
      <c r="T436"/>
      <c r="U436"/>
      <c r="V436"/>
      <c r="W436"/>
      <c r="Y436"/>
    </row>
    <row r="437" spans="10:25" s="1" customFormat="1" x14ac:dyDescent="0.2">
      <c r="J437"/>
      <c r="K437"/>
      <c r="L437"/>
      <c r="M437"/>
      <c r="N437"/>
      <c r="O437"/>
      <c r="P437" s="2"/>
      <c r="T437"/>
      <c r="U437"/>
      <c r="V437"/>
      <c r="W437"/>
      <c r="Y437"/>
    </row>
    <row r="438" spans="10:25" s="1" customFormat="1" x14ac:dyDescent="0.2">
      <c r="J438"/>
      <c r="K438"/>
      <c r="L438"/>
      <c r="M438"/>
      <c r="N438"/>
      <c r="O438"/>
      <c r="P438" s="2"/>
      <c r="T438"/>
      <c r="U438"/>
      <c r="V438"/>
      <c r="W438"/>
      <c r="Y438"/>
    </row>
    <row r="439" spans="10:25" s="1" customFormat="1" x14ac:dyDescent="0.2">
      <c r="J439"/>
      <c r="K439"/>
      <c r="L439"/>
      <c r="M439"/>
      <c r="N439"/>
      <c r="O439"/>
      <c r="P439" s="2"/>
      <c r="T439"/>
      <c r="U439"/>
      <c r="V439"/>
      <c r="W439"/>
      <c r="Y439"/>
    </row>
    <row r="440" spans="10:25" s="1" customFormat="1" x14ac:dyDescent="0.2">
      <c r="J440"/>
      <c r="K440"/>
      <c r="L440"/>
      <c r="M440"/>
      <c r="N440"/>
      <c r="O440"/>
      <c r="P440" s="2"/>
      <c r="T440"/>
      <c r="U440"/>
      <c r="V440"/>
      <c r="W440"/>
      <c r="Y440"/>
    </row>
    <row r="441" spans="10:25" s="1" customFormat="1" x14ac:dyDescent="0.2">
      <c r="J441"/>
      <c r="K441"/>
      <c r="L441"/>
      <c r="M441"/>
      <c r="N441"/>
      <c r="O441"/>
      <c r="P441" s="2"/>
      <c r="T441"/>
      <c r="U441"/>
      <c r="V441"/>
      <c r="W441"/>
      <c r="Y441"/>
    </row>
    <row r="442" spans="10:25" s="1" customFormat="1" x14ac:dyDescent="0.2">
      <c r="J442"/>
      <c r="K442"/>
      <c r="L442"/>
      <c r="M442"/>
      <c r="N442"/>
      <c r="O442"/>
      <c r="P442" s="2"/>
      <c r="T442"/>
      <c r="U442"/>
      <c r="V442"/>
      <c r="W442"/>
      <c r="Y442"/>
    </row>
    <row r="443" spans="10:25" s="1" customFormat="1" x14ac:dyDescent="0.2">
      <c r="J443"/>
      <c r="K443"/>
      <c r="L443"/>
      <c r="M443"/>
      <c r="N443"/>
      <c r="O443"/>
      <c r="P443" s="2"/>
      <c r="T443"/>
      <c r="U443"/>
      <c r="V443"/>
      <c r="W443"/>
      <c r="Y443"/>
    </row>
    <row r="444" spans="10:25" s="1" customFormat="1" x14ac:dyDescent="0.2">
      <c r="J444"/>
      <c r="K444"/>
      <c r="L444"/>
      <c r="M444"/>
      <c r="N444"/>
      <c r="O444"/>
      <c r="P444" s="2"/>
      <c r="T444"/>
      <c r="U444"/>
      <c r="V444"/>
      <c r="W444"/>
      <c r="Y444"/>
    </row>
    <row r="445" spans="10:25" s="1" customFormat="1" x14ac:dyDescent="0.2">
      <c r="J445"/>
      <c r="K445"/>
      <c r="L445"/>
      <c r="M445"/>
      <c r="N445"/>
      <c r="O445"/>
      <c r="P445" s="2"/>
      <c r="T445"/>
      <c r="U445"/>
      <c r="V445"/>
      <c r="W445"/>
      <c r="Y445"/>
    </row>
    <row r="446" spans="10:25" s="1" customFormat="1" x14ac:dyDescent="0.2">
      <c r="J446"/>
      <c r="K446"/>
      <c r="L446"/>
      <c r="M446"/>
      <c r="N446"/>
      <c r="O446"/>
      <c r="P446" s="2"/>
      <c r="T446"/>
      <c r="U446"/>
      <c r="V446"/>
      <c r="W446"/>
      <c r="Y446"/>
    </row>
    <row r="447" spans="10:25" s="1" customFormat="1" x14ac:dyDescent="0.2">
      <c r="J447"/>
      <c r="K447"/>
      <c r="L447"/>
      <c r="M447"/>
      <c r="N447"/>
      <c r="O447"/>
      <c r="P447" s="2"/>
      <c r="T447"/>
      <c r="U447"/>
      <c r="V447"/>
      <c r="W447"/>
      <c r="Y447"/>
    </row>
    <row r="448" spans="10:25" s="1" customFormat="1" x14ac:dyDescent="0.2">
      <c r="J448"/>
      <c r="K448"/>
      <c r="L448"/>
      <c r="M448"/>
      <c r="N448"/>
      <c r="O448"/>
      <c r="P448" s="2"/>
      <c r="T448"/>
      <c r="U448"/>
      <c r="V448"/>
      <c r="W448"/>
      <c r="Y448"/>
    </row>
    <row r="449" spans="10:25" s="1" customFormat="1" x14ac:dyDescent="0.2">
      <c r="J449"/>
      <c r="K449"/>
      <c r="L449"/>
      <c r="M449"/>
      <c r="N449"/>
      <c r="O449"/>
      <c r="P449" s="2"/>
      <c r="T449"/>
      <c r="U449"/>
      <c r="V449"/>
      <c r="W449"/>
      <c r="Y449"/>
    </row>
    <row r="450" spans="10:25" s="1" customFormat="1" x14ac:dyDescent="0.2">
      <c r="J450"/>
      <c r="K450"/>
      <c r="L450"/>
      <c r="M450"/>
      <c r="N450"/>
      <c r="O450"/>
      <c r="P450" s="2"/>
      <c r="T450"/>
      <c r="U450"/>
      <c r="V450"/>
      <c r="W450"/>
      <c r="Y450"/>
    </row>
    <row r="451" spans="10:25" s="1" customFormat="1" x14ac:dyDescent="0.2">
      <c r="J451"/>
      <c r="K451"/>
      <c r="L451"/>
      <c r="M451"/>
      <c r="N451"/>
      <c r="O451"/>
      <c r="P451" s="2"/>
      <c r="T451"/>
      <c r="U451"/>
      <c r="V451"/>
      <c r="W451"/>
      <c r="Y451"/>
    </row>
    <row r="452" spans="10:25" s="1" customFormat="1" x14ac:dyDescent="0.2">
      <c r="J452"/>
      <c r="K452"/>
      <c r="L452"/>
      <c r="M452"/>
      <c r="N452"/>
      <c r="O452"/>
      <c r="P452" s="2"/>
      <c r="T452"/>
      <c r="U452"/>
      <c r="V452"/>
      <c r="W452"/>
      <c r="Y452"/>
    </row>
    <row r="453" spans="10:25" s="1" customFormat="1" x14ac:dyDescent="0.2">
      <c r="J453"/>
      <c r="K453"/>
      <c r="L453"/>
      <c r="M453"/>
      <c r="N453"/>
      <c r="O453"/>
      <c r="P453" s="2"/>
      <c r="T453"/>
      <c r="U453"/>
      <c r="V453"/>
      <c r="W453"/>
      <c r="Y453"/>
    </row>
    <row r="454" spans="10:25" s="1" customFormat="1" x14ac:dyDescent="0.2">
      <c r="J454"/>
      <c r="K454"/>
      <c r="L454"/>
      <c r="M454"/>
      <c r="N454"/>
      <c r="O454"/>
      <c r="P454" s="2"/>
      <c r="T454"/>
      <c r="U454"/>
      <c r="V454"/>
      <c r="W454"/>
      <c r="Y454"/>
    </row>
    <row r="455" spans="10:25" s="1" customFormat="1" x14ac:dyDescent="0.2">
      <c r="J455"/>
      <c r="K455"/>
      <c r="L455"/>
      <c r="M455"/>
      <c r="N455"/>
      <c r="O455"/>
      <c r="P455" s="2"/>
      <c r="T455"/>
      <c r="U455"/>
      <c r="V455"/>
      <c r="W455"/>
      <c r="Y455"/>
    </row>
    <row r="456" spans="10:25" s="1" customFormat="1" x14ac:dyDescent="0.2">
      <c r="J456"/>
      <c r="K456"/>
      <c r="L456"/>
      <c r="M456"/>
      <c r="N456"/>
      <c r="O456"/>
      <c r="P456" s="2"/>
      <c r="T456"/>
      <c r="U456"/>
      <c r="V456"/>
      <c r="W456"/>
      <c r="Y456"/>
    </row>
    <row r="457" spans="10:25" s="1" customFormat="1" x14ac:dyDescent="0.2">
      <c r="J457"/>
      <c r="K457"/>
      <c r="L457"/>
      <c r="M457"/>
      <c r="N457"/>
      <c r="O457"/>
      <c r="P457" s="2"/>
      <c r="T457"/>
      <c r="U457"/>
      <c r="V457"/>
      <c r="W457"/>
      <c r="Y457"/>
    </row>
    <row r="458" spans="10:25" s="1" customFormat="1" x14ac:dyDescent="0.2">
      <c r="J458"/>
      <c r="K458"/>
      <c r="L458"/>
      <c r="M458"/>
      <c r="N458"/>
      <c r="O458"/>
      <c r="P458" s="2"/>
      <c r="T458"/>
      <c r="U458"/>
      <c r="V458"/>
      <c r="W458"/>
      <c r="Y458"/>
    </row>
    <row r="459" spans="10:25" s="1" customFormat="1" x14ac:dyDescent="0.2">
      <c r="J459"/>
      <c r="K459"/>
      <c r="L459"/>
      <c r="M459"/>
      <c r="N459"/>
      <c r="O459"/>
      <c r="P459" s="2"/>
      <c r="T459"/>
      <c r="U459"/>
      <c r="V459"/>
      <c r="W459"/>
      <c r="Y459"/>
    </row>
    <row r="460" spans="10:25" s="1" customFormat="1" x14ac:dyDescent="0.2">
      <c r="J460"/>
      <c r="K460"/>
      <c r="L460"/>
      <c r="M460"/>
      <c r="N460"/>
      <c r="O460"/>
      <c r="P460" s="2"/>
      <c r="T460"/>
      <c r="U460"/>
      <c r="V460"/>
      <c r="W460"/>
      <c r="Y460"/>
    </row>
    <row r="461" spans="10:25" s="1" customFormat="1" x14ac:dyDescent="0.2">
      <c r="J461"/>
      <c r="K461"/>
      <c r="L461"/>
      <c r="M461"/>
      <c r="N461"/>
      <c r="O461"/>
      <c r="P461" s="2"/>
      <c r="T461"/>
      <c r="U461"/>
      <c r="V461"/>
      <c r="W461"/>
      <c r="Y461"/>
    </row>
    <row r="462" spans="10:25" s="1" customFormat="1" x14ac:dyDescent="0.2">
      <c r="J462"/>
      <c r="K462"/>
      <c r="L462"/>
      <c r="M462"/>
      <c r="N462"/>
      <c r="O462"/>
      <c r="P462" s="2"/>
      <c r="T462"/>
      <c r="U462"/>
      <c r="V462"/>
      <c r="W462"/>
      <c r="Y462"/>
    </row>
    <row r="463" spans="10:25" s="1" customFormat="1" x14ac:dyDescent="0.2">
      <c r="J463"/>
      <c r="K463"/>
      <c r="L463"/>
      <c r="M463"/>
      <c r="N463"/>
      <c r="O463"/>
      <c r="P463" s="2"/>
      <c r="T463"/>
      <c r="U463"/>
      <c r="V463"/>
      <c r="W463"/>
      <c r="Y463"/>
    </row>
    <row r="464" spans="10:25" s="1" customFormat="1" x14ac:dyDescent="0.2">
      <c r="J464"/>
      <c r="K464"/>
      <c r="L464"/>
      <c r="M464"/>
      <c r="N464"/>
      <c r="O464"/>
      <c r="P464" s="2"/>
      <c r="T464"/>
      <c r="U464"/>
      <c r="V464"/>
      <c r="W464"/>
      <c r="Y464"/>
    </row>
    <row r="465" spans="10:25" s="1" customFormat="1" x14ac:dyDescent="0.2">
      <c r="J465"/>
      <c r="K465"/>
      <c r="L465"/>
      <c r="M465"/>
      <c r="N465"/>
      <c r="O465"/>
      <c r="P465" s="2"/>
      <c r="T465"/>
      <c r="U465"/>
      <c r="V465"/>
      <c r="W465"/>
      <c r="Y465"/>
    </row>
    <row r="466" spans="10:25" s="1" customFormat="1" x14ac:dyDescent="0.2">
      <c r="J466"/>
      <c r="K466"/>
      <c r="L466"/>
      <c r="M466"/>
      <c r="N466"/>
      <c r="O466"/>
      <c r="P466" s="2"/>
      <c r="T466"/>
      <c r="U466"/>
      <c r="V466"/>
      <c r="W466"/>
      <c r="Y466"/>
    </row>
    <row r="467" spans="10:25" s="1" customFormat="1" x14ac:dyDescent="0.2">
      <c r="J467"/>
      <c r="K467"/>
      <c r="L467"/>
      <c r="M467"/>
      <c r="N467"/>
      <c r="O467"/>
      <c r="P467" s="2"/>
      <c r="T467"/>
      <c r="U467"/>
      <c r="V467"/>
      <c r="W467"/>
      <c r="Y467"/>
    </row>
    <row r="468" spans="10:25" s="1" customFormat="1" x14ac:dyDescent="0.2">
      <c r="J468"/>
      <c r="K468"/>
      <c r="L468"/>
      <c r="M468"/>
      <c r="N468"/>
      <c r="O468"/>
      <c r="P468" s="2"/>
      <c r="T468"/>
      <c r="U468"/>
      <c r="V468"/>
      <c r="W468"/>
      <c r="Y468"/>
    </row>
    <row r="469" spans="10:25" s="1" customFormat="1" x14ac:dyDescent="0.2">
      <c r="J469"/>
      <c r="K469"/>
      <c r="L469"/>
      <c r="M469"/>
      <c r="N469"/>
      <c r="O469"/>
      <c r="P469" s="2"/>
      <c r="T469"/>
      <c r="U469"/>
      <c r="V469"/>
      <c r="W469"/>
      <c r="Y469"/>
    </row>
    <row r="470" spans="10:25" s="1" customFormat="1" x14ac:dyDescent="0.2">
      <c r="J470"/>
      <c r="K470"/>
      <c r="L470"/>
      <c r="M470"/>
      <c r="N470"/>
      <c r="O470"/>
      <c r="P470" s="2"/>
      <c r="T470"/>
      <c r="U470"/>
      <c r="V470"/>
      <c r="W470"/>
      <c r="Y470"/>
    </row>
    <row r="471" spans="10:25" s="1" customFormat="1" x14ac:dyDescent="0.2">
      <c r="J471"/>
      <c r="K471"/>
      <c r="L471"/>
      <c r="M471"/>
      <c r="N471"/>
      <c r="O471"/>
      <c r="P471" s="2"/>
      <c r="T471"/>
      <c r="U471"/>
      <c r="V471"/>
      <c r="W471"/>
      <c r="Y471"/>
    </row>
    <row r="472" spans="10:25" s="1" customFormat="1" x14ac:dyDescent="0.2">
      <c r="J472"/>
      <c r="K472"/>
      <c r="L472"/>
      <c r="M472"/>
      <c r="N472"/>
      <c r="O472"/>
      <c r="P472" s="2"/>
      <c r="T472"/>
      <c r="U472"/>
      <c r="V472"/>
      <c r="W472"/>
      <c r="Y472"/>
    </row>
    <row r="473" spans="10:25" s="1" customFormat="1" x14ac:dyDescent="0.2">
      <c r="J473"/>
      <c r="K473"/>
      <c r="L473"/>
      <c r="M473"/>
      <c r="N473"/>
      <c r="O473"/>
      <c r="P473" s="2"/>
      <c r="T473"/>
      <c r="U473"/>
      <c r="V473"/>
      <c r="W473"/>
      <c r="Y473"/>
    </row>
    <row r="474" spans="10:25" s="1" customFormat="1" x14ac:dyDescent="0.2">
      <c r="J474"/>
      <c r="K474"/>
      <c r="L474"/>
      <c r="M474"/>
      <c r="N474"/>
      <c r="O474"/>
      <c r="P474" s="2"/>
      <c r="T474"/>
      <c r="U474"/>
      <c r="V474"/>
      <c r="W474"/>
      <c r="Y474"/>
    </row>
    <row r="475" spans="10:25" s="1" customFormat="1" x14ac:dyDescent="0.2">
      <c r="J475"/>
      <c r="K475"/>
      <c r="L475"/>
      <c r="M475"/>
      <c r="N475"/>
      <c r="O475"/>
      <c r="P475" s="2"/>
      <c r="T475"/>
      <c r="U475"/>
      <c r="V475"/>
      <c r="W475"/>
      <c r="Y475"/>
    </row>
    <row r="476" spans="10:25" s="1" customFormat="1" x14ac:dyDescent="0.2">
      <c r="J476"/>
      <c r="K476"/>
      <c r="L476"/>
      <c r="M476"/>
      <c r="N476"/>
      <c r="O476"/>
      <c r="P476" s="2"/>
      <c r="T476"/>
      <c r="U476"/>
      <c r="V476"/>
      <c r="W476"/>
      <c r="Y476"/>
    </row>
    <row r="477" spans="10:25" s="1" customFormat="1" x14ac:dyDescent="0.2">
      <c r="J477"/>
      <c r="K477"/>
      <c r="L477"/>
      <c r="M477"/>
      <c r="N477"/>
      <c r="O477"/>
      <c r="P477" s="2"/>
      <c r="T477"/>
      <c r="U477"/>
      <c r="V477"/>
      <c r="W477"/>
      <c r="Y477"/>
    </row>
    <row r="478" spans="10:25" s="1" customFormat="1" x14ac:dyDescent="0.2">
      <c r="J478"/>
      <c r="K478"/>
      <c r="L478"/>
      <c r="M478"/>
      <c r="N478"/>
      <c r="O478"/>
      <c r="P478" s="2"/>
      <c r="T478"/>
      <c r="U478"/>
      <c r="V478"/>
      <c r="W478"/>
      <c r="Y478"/>
    </row>
    <row r="479" spans="10:25" s="1" customFormat="1" x14ac:dyDescent="0.2">
      <c r="J479"/>
      <c r="K479"/>
      <c r="L479"/>
      <c r="M479"/>
      <c r="N479"/>
      <c r="O479"/>
      <c r="P479" s="2"/>
      <c r="T479"/>
      <c r="U479"/>
      <c r="V479"/>
      <c r="W479"/>
      <c r="Y479"/>
    </row>
    <row r="480" spans="10:25" s="1" customFormat="1" x14ac:dyDescent="0.2">
      <c r="J480"/>
      <c r="K480"/>
      <c r="L480"/>
      <c r="M480"/>
      <c r="N480"/>
      <c r="O480"/>
      <c r="P480" s="2"/>
      <c r="T480"/>
      <c r="U480"/>
      <c r="V480"/>
      <c r="W480"/>
      <c r="Y480"/>
    </row>
    <row r="481" spans="10:25" s="1" customFormat="1" x14ac:dyDescent="0.2">
      <c r="J481"/>
      <c r="K481"/>
      <c r="L481"/>
      <c r="M481"/>
      <c r="N481"/>
      <c r="O481"/>
      <c r="P481" s="2"/>
      <c r="T481"/>
      <c r="U481"/>
      <c r="V481"/>
      <c r="W481"/>
      <c r="Y481"/>
    </row>
    <row r="482" spans="10:25" s="1" customFormat="1" x14ac:dyDescent="0.2">
      <c r="J482"/>
      <c r="K482"/>
      <c r="L482"/>
      <c r="M482"/>
      <c r="N482"/>
      <c r="O482"/>
      <c r="P482" s="2"/>
      <c r="T482"/>
      <c r="U482"/>
      <c r="V482"/>
      <c r="W482"/>
      <c r="Y482"/>
    </row>
    <row r="483" spans="10:25" s="1" customFormat="1" x14ac:dyDescent="0.2">
      <c r="J483"/>
      <c r="K483"/>
      <c r="L483"/>
      <c r="M483"/>
      <c r="N483"/>
      <c r="O483"/>
      <c r="P483" s="2"/>
      <c r="T483"/>
      <c r="U483"/>
      <c r="V483"/>
      <c r="W483"/>
      <c r="Y483"/>
    </row>
    <row r="484" spans="10:25" s="1" customFormat="1" x14ac:dyDescent="0.2">
      <c r="J484"/>
      <c r="K484"/>
      <c r="L484"/>
      <c r="M484"/>
      <c r="N484"/>
      <c r="O484"/>
      <c r="P484" s="2"/>
      <c r="T484"/>
      <c r="U484"/>
      <c r="V484"/>
      <c r="W484"/>
      <c r="Y484"/>
    </row>
    <row r="485" spans="10:25" s="1" customFormat="1" x14ac:dyDescent="0.2">
      <c r="J485"/>
      <c r="K485"/>
      <c r="L485"/>
      <c r="M485"/>
      <c r="N485"/>
      <c r="O485"/>
      <c r="P485" s="2"/>
      <c r="T485"/>
      <c r="U485"/>
      <c r="V485"/>
      <c r="W485"/>
      <c r="Y485"/>
    </row>
    <row r="486" spans="10:25" s="1" customFormat="1" x14ac:dyDescent="0.2">
      <c r="J486"/>
      <c r="K486"/>
      <c r="L486"/>
      <c r="M486"/>
      <c r="N486"/>
      <c r="O486"/>
      <c r="P486" s="2"/>
      <c r="T486"/>
      <c r="U486"/>
      <c r="V486"/>
      <c r="W486"/>
      <c r="Y486"/>
    </row>
    <row r="487" spans="10:25" s="1" customFormat="1" x14ac:dyDescent="0.2">
      <c r="J487"/>
      <c r="K487"/>
      <c r="L487"/>
      <c r="M487"/>
      <c r="N487"/>
      <c r="O487"/>
      <c r="P487" s="2"/>
      <c r="T487"/>
      <c r="U487"/>
      <c r="V487"/>
      <c r="W487"/>
      <c r="Y487"/>
    </row>
    <row r="488" spans="10:25" s="1" customFormat="1" x14ac:dyDescent="0.2">
      <c r="J488"/>
      <c r="K488"/>
      <c r="L488"/>
      <c r="M488"/>
      <c r="N488"/>
      <c r="O488"/>
      <c r="P488" s="2"/>
      <c r="T488"/>
      <c r="U488"/>
      <c r="V488"/>
      <c r="W488"/>
      <c r="Y488"/>
    </row>
    <row r="489" spans="10:25" s="1" customFormat="1" x14ac:dyDescent="0.2">
      <c r="J489"/>
      <c r="K489"/>
      <c r="L489"/>
      <c r="M489"/>
      <c r="N489"/>
      <c r="O489"/>
      <c r="P489" s="2"/>
      <c r="T489"/>
      <c r="U489"/>
      <c r="V489"/>
      <c r="W489"/>
      <c r="Y489"/>
    </row>
    <row r="490" spans="10:25" s="1" customFormat="1" x14ac:dyDescent="0.2">
      <c r="J490"/>
      <c r="K490"/>
      <c r="L490"/>
      <c r="M490"/>
      <c r="N490"/>
      <c r="O490"/>
      <c r="P490" s="2"/>
      <c r="T490"/>
      <c r="U490"/>
      <c r="V490"/>
      <c r="W490"/>
      <c r="Y490"/>
    </row>
    <row r="491" spans="10:25" s="1" customFormat="1" x14ac:dyDescent="0.2">
      <c r="J491"/>
      <c r="K491"/>
      <c r="L491"/>
      <c r="M491"/>
      <c r="N491"/>
      <c r="O491"/>
      <c r="P491" s="2"/>
      <c r="T491"/>
      <c r="U491"/>
      <c r="V491"/>
      <c r="W491"/>
      <c r="Y491"/>
    </row>
    <row r="492" spans="10:25" s="1" customFormat="1" x14ac:dyDescent="0.2">
      <c r="J492"/>
      <c r="K492"/>
      <c r="L492"/>
      <c r="M492"/>
      <c r="N492"/>
      <c r="O492"/>
      <c r="P492" s="2"/>
      <c r="T492"/>
      <c r="U492"/>
      <c r="V492"/>
      <c r="W492"/>
      <c r="Y492"/>
    </row>
    <row r="493" spans="10:25" s="1" customFormat="1" x14ac:dyDescent="0.2">
      <c r="J493"/>
      <c r="K493"/>
      <c r="L493"/>
      <c r="M493"/>
      <c r="N493"/>
      <c r="O493"/>
      <c r="P493" s="2"/>
      <c r="T493"/>
      <c r="U493"/>
      <c r="V493"/>
      <c r="W493"/>
      <c r="Y493"/>
    </row>
    <row r="494" spans="10:25" s="1" customFormat="1" x14ac:dyDescent="0.2">
      <c r="J494"/>
      <c r="K494"/>
      <c r="L494"/>
      <c r="M494"/>
      <c r="N494"/>
      <c r="O494"/>
      <c r="P494" s="2"/>
      <c r="T494"/>
      <c r="U494"/>
      <c r="V494"/>
      <c r="W494"/>
      <c r="Y494"/>
    </row>
    <row r="495" spans="10:25" s="1" customFormat="1" x14ac:dyDescent="0.2">
      <c r="J495"/>
      <c r="K495"/>
      <c r="L495"/>
      <c r="M495"/>
      <c r="N495"/>
      <c r="O495"/>
      <c r="P495" s="2"/>
      <c r="T495"/>
      <c r="U495"/>
      <c r="V495"/>
      <c r="W495"/>
      <c r="Y495"/>
    </row>
    <row r="496" spans="10:25" s="1" customFormat="1" x14ac:dyDescent="0.2">
      <c r="J496"/>
      <c r="K496"/>
      <c r="L496"/>
      <c r="M496"/>
      <c r="N496"/>
      <c r="O496"/>
      <c r="P496" s="2"/>
      <c r="T496"/>
      <c r="U496"/>
      <c r="V496"/>
      <c r="W496"/>
      <c r="Y496"/>
    </row>
    <row r="497" spans="10:25" s="1" customFormat="1" x14ac:dyDescent="0.2">
      <c r="J497"/>
      <c r="K497"/>
      <c r="L497"/>
      <c r="M497"/>
      <c r="N497"/>
      <c r="O497"/>
      <c r="P497" s="2"/>
      <c r="T497"/>
      <c r="U497"/>
      <c r="V497"/>
      <c r="W497"/>
      <c r="Y497"/>
    </row>
    <row r="498" spans="10:25" s="1" customFormat="1" x14ac:dyDescent="0.2">
      <c r="J498"/>
      <c r="K498"/>
      <c r="L498"/>
      <c r="M498"/>
      <c r="N498"/>
      <c r="O498"/>
      <c r="P498" s="2"/>
      <c r="T498"/>
      <c r="U498"/>
      <c r="V498"/>
      <c r="W498"/>
      <c r="Y498"/>
    </row>
    <row r="499" spans="10:25" s="1" customFormat="1" x14ac:dyDescent="0.2">
      <c r="J499"/>
      <c r="K499"/>
      <c r="L499"/>
      <c r="M499"/>
      <c r="N499"/>
      <c r="O499"/>
      <c r="P499" s="2"/>
      <c r="T499"/>
      <c r="U499"/>
      <c r="V499"/>
      <c r="W499"/>
      <c r="Y499"/>
    </row>
    <row r="500" spans="10:25" s="1" customFormat="1" x14ac:dyDescent="0.2">
      <c r="J500"/>
      <c r="K500"/>
      <c r="L500"/>
      <c r="M500"/>
      <c r="N500"/>
      <c r="O500"/>
      <c r="P500" s="2"/>
      <c r="T500"/>
      <c r="U500"/>
      <c r="V500"/>
      <c r="W500"/>
      <c r="Y500"/>
    </row>
    <row r="501" spans="10:25" s="1" customFormat="1" x14ac:dyDescent="0.2">
      <c r="J501"/>
      <c r="K501"/>
      <c r="L501"/>
      <c r="M501"/>
      <c r="N501"/>
      <c r="O501"/>
      <c r="P501" s="2"/>
      <c r="T501"/>
      <c r="U501"/>
      <c r="V501"/>
      <c r="W501"/>
      <c r="Y501"/>
    </row>
    <row r="502" spans="10:25" s="1" customFormat="1" x14ac:dyDescent="0.2">
      <c r="J502"/>
      <c r="K502"/>
      <c r="L502"/>
      <c r="M502"/>
      <c r="N502"/>
      <c r="O502"/>
      <c r="P502" s="2"/>
      <c r="T502"/>
      <c r="U502"/>
      <c r="V502"/>
      <c r="W502"/>
      <c r="Y502"/>
    </row>
    <row r="503" spans="10:25" s="1" customFormat="1" x14ac:dyDescent="0.2">
      <c r="J503"/>
      <c r="K503"/>
      <c r="L503"/>
      <c r="M503"/>
      <c r="N503"/>
      <c r="O503"/>
      <c r="P503" s="2"/>
      <c r="T503"/>
      <c r="U503"/>
      <c r="V503"/>
      <c r="W503"/>
      <c r="Y503"/>
    </row>
    <row r="504" spans="10:25" s="1" customFormat="1" x14ac:dyDescent="0.2">
      <c r="J504"/>
      <c r="K504"/>
      <c r="L504"/>
      <c r="M504"/>
      <c r="N504"/>
      <c r="O504"/>
      <c r="P504" s="2"/>
      <c r="T504"/>
      <c r="U504"/>
      <c r="V504"/>
      <c r="W504"/>
      <c r="Y504"/>
    </row>
    <row r="505" spans="10:25" s="1" customFormat="1" x14ac:dyDescent="0.2">
      <c r="J505"/>
      <c r="K505"/>
      <c r="L505"/>
      <c r="M505"/>
      <c r="N505"/>
      <c r="O505"/>
      <c r="P505" s="2"/>
      <c r="T505"/>
      <c r="U505"/>
      <c r="V505"/>
      <c r="W505"/>
      <c r="Y505"/>
    </row>
    <row r="506" spans="10:25" s="1" customFormat="1" x14ac:dyDescent="0.2">
      <c r="J506"/>
      <c r="K506"/>
      <c r="L506"/>
      <c r="M506"/>
      <c r="N506"/>
      <c r="O506"/>
      <c r="P506" s="2"/>
      <c r="T506"/>
      <c r="U506"/>
      <c r="V506"/>
      <c r="W506"/>
      <c r="Y506"/>
    </row>
    <row r="507" spans="10:25" s="1" customFormat="1" x14ac:dyDescent="0.2">
      <c r="J507"/>
      <c r="K507"/>
      <c r="L507"/>
      <c r="M507"/>
      <c r="N507"/>
      <c r="O507"/>
      <c r="P507" s="2"/>
      <c r="T507"/>
      <c r="U507"/>
      <c r="V507"/>
      <c r="W507"/>
      <c r="Y507"/>
    </row>
    <row r="508" spans="10:25" s="1" customFormat="1" x14ac:dyDescent="0.2">
      <c r="J508"/>
      <c r="K508"/>
      <c r="L508"/>
      <c r="M508"/>
      <c r="N508"/>
      <c r="O508"/>
      <c r="P508" s="2"/>
      <c r="T508"/>
      <c r="U508"/>
      <c r="V508"/>
      <c r="W508"/>
      <c r="Y508"/>
    </row>
    <row r="509" spans="10:25" s="1" customFormat="1" x14ac:dyDescent="0.2">
      <c r="J509"/>
      <c r="K509"/>
      <c r="L509"/>
      <c r="M509"/>
      <c r="N509"/>
      <c r="O509"/>
      <c r="P509" s="2"/>
      <c r="T509"/>
      <c r="U509"/>
      <c r="V509"/>
      <c r="W509"/>
      <c r="Y509"/>
    </row>
    <row r="510" spans="10:25" s="1" customFormat="1" x14ac:dyDescent="0.2">
      <c r="J510"/>
      <c r="K510"/>
      <c r="L510"/>
      <c r="M510"/>
      <c r="N510"/>
      <c r="O510"/>
      <c r="P510" s="2"/>
      <c r="T510"/>
      <c r="U510"/>
      <c r="V510"/>
      <c r="W510"/>
      <c r="Y510"/>
    </row>
    <row r="511" spans="10:25" s="1" customFormat="1" x14ac:dyDescent="0.2">
      <c r="J511"/>
      <c r="K511"/>
      <c r="L511"/>
      <c r="M511"/>
      <c r="N511"/>
      <c r="O511"/>
      <c r="P511" s="2"/>
      <c r="T511"/>
      <c r="U511"/>
      <c r="V511"/>
      <c r="W511"/>
      <c r="Y511"/>
    </row>
    <row r="512" spans="10:25" s="1" customFormat="1" x14ac:dyDescent="0.2">
      <c r="J512"/>
      <c r="K512"/>
      <c r="L512"/>
      <c r="M512"/>
      <c r="N512"/>
      <c r="O512"/>
      <c r="P512" s="2"/>
      <c r="T512"/>
      <c r="U512"/>
      <c r="V512"/>
      <c r="W512"/>
      <c r="Y512"/>
    </row>
    <row r="513" spans="10:25" s="1" customFormat="1" x14ac:dyDescent="0.2">
      <c r="J513"/>
      <c r="K513"/>
      <c r="L513"/>
      <c r="M513"/>
      <c r="N513"/>
      <c r="O513"/>
      <c r="P513" s="2"/>
      <c r="T513"/>
      <c r="U513"/>
      <c r="V513"/>
      <c r="W513"/>
      <c r="Y513"/>
    </row>
    <row r="514" spans="10:25" s="1" customFormat="1" x14ac:dyDescent="0.2">
      <c r="J514"/>
      <c r="K514"/>
      <c r="L514"/>
      <c r="M514"/>
      <c r="N514"/>
      <c r="O514"/>
      <c r="P514" s="2"/>
      <c r="T514"/>
      <c r="U514"/>
      <c r="V514"/>
      <c r="W514"/>
      <c r="Y514"/>
    </row>
    <row r="515" spans="10:25" s="1" customFormat="1" x14ac:dyDescent="0.2">
      <c r="J515"/>
      <c r="K515"/>
      <c r="L515"/>
      <c r="M515"/>
      <c r="N515"/>
      <c r="O515"/>
      <c r="P515" s="2"/>
      <c r="T515"/>
      <c r="U515"/>
      <c r="V515"/>
      <c r="W515"/>
      <c r="Y515"/>
    </row>
    <row r="516" spans="10:25" s="1" customFormat="1" x14ac:dyDescent="0.2">
      <c r="J516"/>
      <c r="K516"/>
      <c r="L516"/>
      <c r="M516"/>
      <c r="N516"/>
      <c r="O516"/>
      <c r="P516" s="2"/>
      <c r="T516"/>
      <c r="U516"/>
      <c r="V516"/>
      <c r="W516"/>
      <c r="Y516"/>
    </row>
    <row r="517" spans="10:25" s="1" customFormat="1" x14ac:dyDescent="0.2">
      <c r="J517"/>
      <c r="K517"/>
      <c r="L517"/>
      <c r="M517"/>
      <c r="N517"/>
      <c r="O517"/>
      <c r="P517" s="2"/>
      <c r="T517"/>
      <c r="U517"/>
      <c r="V517"/>
      <c r="W517"/>
      <c r="Y517"/>
    </row>
    <row r="518" spans="10:25" s="1" customFormat="1" x14ac:dyDescent="0.2">
      <c r="J518"/>
      <c r="K518"/>
      <c r="L518"/>
      <c r="M518"/>
      <c r="N518"/>
      <c r="O518"/>
      <c r="P518" s="2"/>
      <c r="T518"/>
      <c r="U518"/>
      <c r="V518"/>
      <c r="W518"/>
      <c r="Y518"/>
    </row>
    <row r="519" spans="10:25" s="1" customFormat="1" x14ac:dyDescent="0.2">
      <c r="J519"/>
      <c r="K519"/>
      <c r="L519"/>
      <c r="M519"/>
      <c r="N519"/>
      <c r="O519"/>
      <c r="P519" s="2"/>
      <c r="T519"/>
      <c r="U519"/>
      <c r="V519"/>
      <c r="W519"/>
      <c r="Y519"/>
    </row>
    <row r="520" spans="10:25" s="1" customFormat="1" x14ac:dyDescent="0.2">
      <c r="J520"/>
      <c r="K520"/>
      <c r="L520"/>
      <c r="M520"/>
      <c r="N520"/>
      <c r="O520"/>
      <c r="P520" s="2"/>
      <c r="T520"/>
      <c r="U520"/>
      <c r="V520"/>
      <c r="W520"/>
      <c r="Y520"/>
    </row>
    <row r="521" spans="10:25" s="1" customFormat="1" x14ac:dyDescent="0.2">
      <c r="J521"/>
      <c r="K521"/>
      <c r="L521"/>
      <c r="M521"/>
      <c r="N521"/>
      <c r="O521"/>
      <c r="P521" s="2"/>
      <c r="T521"/>
      <c r="U521"/>
      <c r="V521"/>
      <c r="W521"/>
      <c r="Y521"/>
    </row>
    <row r="522" spans="10:25" s="1" customFormat="1" x14ac:dyDescent="0.2">
      <c r="J522"/>
      <c r="K522"/>
      <c r="L522"/>
      <c r="M522"/>
      <c r="N522"/>
      <c r="O522"/>
      <c r="P522" s="2"/>
      <c r="T522"/>
      <c r="U522"/>
      <c r="V522"/>
      <c r="W522"/>
      <c r="Y522"/>
    </row>
    <row r="523" spans="10:25" s="1" customFormat="1" x14ac:dyDescent="0.2">
      <c r="J523"/>
      <c r="K523"/>
      <c r="L523"/>
      <c r="M523"/>
      <c r="N523"/>
      <c r="O523"/>
      <c r="P523" s="2"/>
      <c r="T523"/>
      <c r="U523"/>
      <c r="V523"/>
      <c r="W523"/>
      <c r="Y523"/>
    </row>
    <row r="524" spans="10:25" s="1" customFormat="1" x14ac:dyDescent="0.2">
      <c r="J524"/>
      <c r="K524"/>
      <c r="L524"/>
      <c r="M524"/>
      <c r="N524"/>
      <c r="O524"/>
      <c r="P524" s="2"/>
      <c r="T524"/>
      <c r="U524"/>
      <c r="V524"/>
      <c r="W524"/>
      <c r="Y524"/>
    </row>
    <row r="525" spans="10:25" s="1" customFormat="1" x14ac:dyDescent="0.2">
      <c r="J525"/>
      <c r="K525"/>
      <c r="L525"/>
      <c r="M525"/>
      <c r="N525"/>
      <c r="O525"/>
      <c r="P525" s="2"/>
      <c r="T525"/>
      <c r="U525"/>
      <c r="V525"/>
      <c r="W525"/>
      <c r="Y525"/>
    </row>
    <row r="526" spans="10:25" s="1" customFormat="1" x14ac:dyDescent="0.2">
      <c r="J526"/>
      <c r="K526"/>
      <c r="L526"/>
      <c r="M526"/>
      <c r="N526"/>
      <c r="O526"/>
      <c r="P526" s="2"/>
      <c r="T526"/>
      <c r="U526"/>
      <c r="V526"/>
      <c r="W526"/>
      <c r="Y526"/>
    </row>
    <row r="527" spans="10:25" s="1" customFormat="1" x14ac:dyDescent="0.2">
      <c r="J527"/>
      <c r="K527"/>
      <c r="L527"/>
      <c r="M527"/>
      <c r="N527"/>
      <c r="O527"/>
      <c r="P527" s="2"/>
      <c r="T527"/>
      <c r="U527"/>
      <c r="V527"/>
      <c r="W527"/>
      <c r="Y527"/>
    </row>
    <row r="528" spans="10:25" s="1" customFormat="1" x14ac:dyDescent="0.2">
      <c r="J528"/>
      <c r="K528"/>
      <c r="L528"/>
      <c r="M528"/>
      <c r="N528"/>
      <c r="O528"/>
      <c r="P528" s="2"/>
      <c r="T528"/>
      <c r="U528"/>
      <c r="V528"/>
      <c r="W528"/>
      <c r="Y528"/>
    </row>
    <row r="529" spans="10:25" s="1" customFormat="1" x14ac:dyDescent="0.2">
      <c r="J529"/>
      <c r="K529"/>
      <c r="L529"/>
      <c r="M529"/>
      <c r="N529"/>
      <c r="O529"/>
      <c r="P529" s="2"/>
      <c r="T529"/>
      <c r="U529"/>
      <c r="V529"/>
      <c r="W529"/>
      <c r="Y529"/>
    </row>
    <row r="530" spans="10:25" s="1" customFormat="1" x14ac:dyDescent="0.2">
      <c r="J530"/>
      <c r="K530"/>
      <c r="L530"/>
      <c r="M530"/>
      <c r="N530"/>
      <c r="O530"/>
      <c r="P530" s="2"/>
      <c r="T530"/>
      <c r="U530"/>
      <c r="V530"/>
      <c r="W530"/>
      <c r="Y530"/>
    </row>
    <row r="531" spans="10:25" s="1" customFormat="1" x14ac:dyDescent="0.2">
      <c r="J531"/>
      <c r="K531"/>
      <c r="L531"/>
      <c r="M531"/>
      <c r="N531"/>
      <c r="O531"/>
      <c r="P531" s="2"/>
      <c r="T531"/>
      <c r="U531"/>
      <c r="V531"/>
      <c r="W531"/>
      <c r="Y531"/>
    </row>
    <row r="532" spans="10:25" s="1" customFormat="1" x14ac:dyDescent="0.2">
      <c r="J532"/>
      <c r="K532"/>
      <c r="L532"/>
      <c r="M532"/>
      <c r="N532"/>
      <c r="O532"/>
      <c r="P532" s="2"/>
      <c r="T532"/>
      <c r="U532"/>
      <c r="V532"/>
      <c r="W532"/>
      <c r="Y532"/>
    </row>
    <row r="533" spans="10:25" s="1" customFormat="1" x14ac:dyDescent="0.2">
      <c r="J533"/>
      <c r="K533"/>
      <c r="L533"/>
      <c r="M533"/>
      <c r="N533"/>
      <c r="O533"/>
      <c r="P533" s="2"/>
      <c r="T533"/>
      <c r="U533"/>
      <c r="V533"/>
      <c r="W533"/>
      <c r="Y533"/>
    </row>
    <row r="534" spans="10:25" s="1" customFormat="1" x14ac:dyDescent="0.2">
      <c r="J534"/>
      <c r="K534"/>
      <c r="L534"/>
      <c r="M534"/>
      <c r="N534"/>
      <c r="O534"/>
      <c r="P534" s="2"/>
      <c r="T534"/>
      <c r="U534"/>
      <c r="V534"/>
      <c r="W534"/>
      <c r="Y534"/>
    </row>
    <row r="535" spans="10:25" s="1" customFormat="1" x14ac:dyDescent="0.2">
      <c r="J535"/>
      <c r="K535"/>
      <c r="L535"/>
      <c r="M535"/>
      <c r="N535"/>
      <c r="O535"/>
      <c r="P535" s="2"/>
      <c r="T535"/>
      <c r="U535"/>
      <c r="V535"/>
      <c r="W535"/>
      <c r="Y535"/>
    </row>
    <row r="536" spans="10:25" s="1" customFormat="1" x14ac:dyDescent="0.2">
      <c r="J536"/>
      <c r="K536"/>
      <c r="L536"/>
      <c r="M536"/>
      <c r="N536"/>
      <c r="O536"/>
      <c r="P536" s="2"/>
      <c r="T536"/>
      <c r="U536"/>
      <c r="V536"/>
      <c r="W536"/>
      <c r="Y536"/>
    </row>
    <row r="537" spans="10:25" s="1" customFormat="1" x14ac:dyDescent="0.2">
      <c r="J537"/>
      <c r="K537"/>
      <c r="L537"/>
      <c r="M537"/>
      <c r="N537"/>
      <c r="O537"/>
      <c r="P537" s="2"/>
      <c r="T537"/>
      <c r="U537"/>
      <c r="V537"/>
      <c r="W537"/>
      <c r="Y537"/>
    </row>
    <row r="538" spans="10:25" s="1" customFormat="1" x14ac:dyDescent="0.2">
      <c r="J538"/>
      <c r="K538"/>
      <c r="L538"/>
      <c r="M538"/>
      <c r="N538"/>
      <c r="O538"/>
      <c r="P538" s="2"/>
      <c r="T538"/>
      <c r="U538"/>
      <c r="V538"/>
      <c r="W538"/>
      <c r="Y538"/>
    </row>
    <row r="539" spans="10:25" s="1" customFormat="1" x14ac:dyDescent="0.2">
      <c r="J539"/>
      <c r="K539"/>
      <c r="L539"/>
      <c r="M539"/>
      <c r="N539"/>
      <c r="O539"/>
      <c r="P539" s="2"/>
      <c r="T539"/>
      <c r="U539"/>
      <c r="V539"/>
      <c r="W539"/>
      <c r="Y539"/>
    </row>
    <row r="540" spans="10:25" s="1" customFormat="1" x14ac:dyDescent="0.2">
      <c r="J540"/>
      <c r="K540"/>
      <c r="L540"/>
      <c r="M540"/>
      <c r="N540"/>
      <c r="O540"/>
      <c r="P540" s="2"/>
      <c r="T540"/>
      <c r="U540"/>
      <c r="V540"/>
      <c r="W540"/>
      <c r="Y540"/>
    </row>
    <row r="541" spans="10:25" s="1" customFormat="1" x14ac:dyDescent="0.2">
      <c r="J541"/>
      <c r="K541"/>
      <c r="L541"/>
      <c r="M541"/>
      <c r="N541"/>
      <c r="O541"/>
      <c r="P541" s="2"/>
      <c r="T541"/>
      <c r="U541"/>
      <c r="V541"/>
      <c r="W541"/>
      <c r="Y541"/>
    </row>
    <row r="542" spans="10:25" s="1" customFormat="1" x14ac:dyDescent="0.2">
      <c r="J542"/>
      <c r="K542"/>
      <c r="L542"/>
      <c r="M542"/>
      <c r="N542"/>
      <c r="O542"/>
      <c r="P542" s="2"/>
      <c r="T542"/>
      <c r="U542"/>
      <c r="V542"/>
      <c r="W542"/>
      <c r="Y542"/>
    </row>
    <row r="543" spans="10:25" s="1" customFormat="1" x14ac:dyDescent="0.2">
      <c r="J543"/>
      <c r="K543"/>
      <c r="L543"/>
      <c r="M543"/>
      <c r="N543"/>
      <c r="O543"/>
      <c r="P543" s="2"/>
      <c r="T543"/>
      <c r="U543"/>
      <c r="V543"/>
      <c r="W543"/>
      <c r="Y543"/>
    </row>
    <row r="544" spans="10:25" s="1" customFormat="1" x14ac:dyDescent="0.2">
      <c r="J544"/>
      <c r="K544"/>
      <c r="L544"/>
      <c r="M544"/>
      <c r="N544"/>
      <c r="O544"/>
      <c r="P544" s="2"/>
      <c r="T544"/>
      <c r="U544"/>
      <c r="V544"/>
      <c r="W544"/>
      <c r="Y544"/>
    </row>
    <row r="545" spans="10:25" s="1" customFormat="1" x14ac:dyDescent="0.2">
      <c r="J545"/>
      <c r="K545"/>
      <c r="L545"/>
      <c r="M545"/>
      <c r="N545"/>
      <c r="O545"/>
      <c r="P545" s="2"/>
      <c r="T545"/>
      <c r="U545"/>
      <c r="V545"/>
      <c r="W545"/>
      <c r="Y545"/>
    </row>
    <row r="546" spans="10:25" s="1" customFormat="1" x14ac:dyDescent="0.2">
      <c r="J546"/>
      <c r="K546"/>
      <c r="L546"/>
      <c r="M546"/>
      <c r="N546"/>
      <c r="O546"/>
      <c r="P546" s="2"/>
      <c r="T546"/>
      <c r="U546"/>
      <c r="V546"/>
      <c r="W546"/>
      <c r="Y546"/>
    </row>
    <row r="547" spans="10:25" s="1" customFormat="1" x14ac:dyDescent="0.2">
      <c r="J547"/>
      <c r="K547"/>
      <c r="L547"/>
      <c r="M547"/>
      <c r="N547"/>
      <c r="O547"/>
      <c r="P547" s="2"/>
      <c r="T547"/>
      <c r="U547"/>
      <c r="V547"/>
      <c r="W547"/>
      <c r="Y547"/>
    </row>
    <row r="548" spans="10:25" s="1" customFormat="1" x14ac:dyDescent="0.2">
      <c r="J548"/>
      <c r="K548"/>
      <c r="L548"/>
      <c r="M548"/>
      <c r="N548"/>
      <c r="O548"/>
      <c r="P548" s="2"/>
      <c r="T548"/>
      <c r="U548"/>
      <c r="V548"/>
      <c r="W548"/>
      <c r="Y548"/>
    </row>
    <row r="549" spans="10:25" s="1" customFormat="1" x14ac:dyDescent="0.2">
      <c r="J549"/>
      <c r="K549"/>
      <c r="L549"/>
      <c r="M549"/>
      <c r="N549"/>
      <c r="O549"/>
      <c r="P549" s="2"/>
      <c r="T549"/>
      <c r="U549"/>
      <c r="V549"/>
      <c r="W549"/>
      <c r="Y549"/>
    </row>
    <row r="550" spans="10:25" s="1" customFormat="1" x14ac:dyDescent="0.2">
      <c r="J550"/>
      <c r="K550"/>
      <c r="L550"/>
      <c r="M550"/>
      <c r="N550"/>
      <c r="O550"/>
      <c r="P550" s="2"/>
      <c r="T550"/>
      <c r="U550"/>
      <c r="V550"/>
      <c r="W550"/>
      <c r="Y550"/>
    </row>
    <row r="551" spans="10:25" s="1" customFormat="1" x14ac:dyDescent="0.2">
      <c r="J551"/>
      <c r="K551"/>
      <c r="L551"/>
      <c r="M551"/>
      <c r="N551"/>
      <c r="O551"/>
      <c r="P551" s="2"/>
      <c r="T551"/>
      <c r="U551"/>
      <c r="V551"/>
      <c r="W551"/>
      <c r="Y551"/>
    </row>
    <row r="552" spans="10:25" s="1" customFormat="1" x14ac:dyDescent="0.2">
      <c r="J552"/>
      <c r="K552"/>
      <c r="L552"/>
      <c r="M552"/>
      <c r="N552"/>
      <c r="O552"/>
      <c r="P552" s="2"/>
      <c r="T552"/>
      <c r="U552"/>
      <c r="V552"/>
      <c r="W552"/>
      <c r="Y552"/>
    </row>
    <row r="553" spans="10:25" s="1" customFormat="1" x14ac:dyDescent="0.2">
      <c r="J553"/>
      <c r="K553"/>
      <c r="L553"/>
      <c r="M553"/>
      <c r="N553"/>
      <c r="O553"/>
      <c r="P553" s="2"/>
      <c r="T553"/>
      <c r="U553"/>
      <c r="V553"/>
      <c r="W553"/>
      <c r="Y553"/>
    </row>
    <row r="554" spans="10:25" s="1" customFormat="1" x14ac:dyDescent="0.2">
      <c r="J554"/>
      <c r="K554"/>
      <c r="L554"/>
      <c r="M554"/>
      <c r="N554"/>
      <c r="O554"/>
      <c r="P554" s="2"/>
      <c r="T554"/>
      <c r="U554"/>
      <c r="V554"/>
      <c r="W554"/>
      <c r="Y554"/>
    </row>
    <row r="555" spans="10:25" s="1" customFormat="1" x14ac:dyDescent="0.2">
      <c r="J555"/>
      <c r="K555"/>
      <c r="L555"/>
      <c r="M555"/>
      <c r="N555"/>
      <c r="O555"/>
      <c r="P555" s="2"/>
      <c r="T555"/>
      <c r="U555"/>
      <c r="V555"/>
      <c r="W555"/>
      <c r="Y555"/>
    </row>
    <row r="556" spans="10:25" s="1" customFormat="1" x14ac:dyDescent="0.2">
      <c r="J556"/>
      <c r="K556"/>
      <c r="L556"/>
      <c r="M556"/>
      <c r="N556"/>
      <c r="O556"/>
      <c r="P556" s="2"/>
      <c r="T556"/>
      <c r="U556"/>
      <c r="V556"/>
      <c r="W556"/>
      <c r="Y556"/>
    </row>
    <row r="557" spans="10:25" s="1" customFormat="1" x14ac:dyDescent="0.2">
      <c r="J557"/>
      <c r="K557"/>
      <c r="L557"/>
      <c r="M557"/>
      <c r="N557"/>
      <c r="O557"/>
      <c r="P557" s="2"/>
      <c r="T557"/>
      <c r="U557"/>
      <c r="V557"/>
      <c r="W557"/>
      <c r="Y557"/>
    </row>
    <row r="558" spans="10:25" s="1" customFormat="1" x14ac:dyDescent="0.2">
      <c r="J558"/>
      <c r="K558"/>
      <c r="L558"/>
      <c r="M558"/>
      <c r="N558"/>
      <c r="O558"/>
      <c r="P558" s="2"/>
      <c r="T558"/>
      <c r="U558"/>
      <c r="V558"/>
      <c r="W558"/>
      <c r="Y558"/>
    </row>
    <row r="559" spans="10:25" s="1" customFormat="1" x14ac:dyDescent="0.2">
      <c r="J559"/>
      <c r="K559"/>
      <c r="L559"/>
      <c r="M559"/>
      <c r="N559"/>
      <c r="O559"/>
      <c r="P559" s="2"/>
      <c r="T559"/>
      <c r="U559"/>
      <c r="V559"/>
      <c r="W559"/>
      <c r="Y559"/>
    </row>
    <row r="560" spans="10:25" s="1" customFormat="1" x14ac:dyDescent="0.2">
      <c r="J560"/>
      <c r="K560"/>
      <c r="L560"/>
      <c r="M560"/>
      <c r="N560"/>
      <c r="O560"/>
      <c r="P560" s="2"/>
      <c r="T560"/>
      <c r="U560"/>
      <c r="V560"/>
      <c r="W560"/>
      <c r="Y560"/>
    </row>
    <row r="561" spans="10:25" s="1" customFormat="1" x14ac:dyDescent="0.2">
      <c r="J561"/>
      <c r="K561"/>
      <c r="L561"/>
      <c r="M561"/>
      <c r="N561"/>
      <c r="O561"/>
      <c r="P561" s="2"/>
      <c r="T561"/>
      <c r="U561"/>
      <c r="V561"/>
      <c r="W561"/>
      <c r="Y561"/>
    </row>
    <row r="562" spans="10:25" s="1" customFormat="1" x14ac:dyDescent="0.2">
      <c r="J562"/>
      <c r="K562"/>
      <c r="L562"/>
      <c r="M562"/>
      <c r="N562"/>
      <c r="O562"/>
      <c r="P562" s="2"/>
      <c r="T562"/>
      <c r="U562"/>
      <c r="V562"/>
      <c r="W562"/>
      <c r="Y562"/>
    </row>
    <row r="563" spans="10:25" s="1" customFormat="1" x14ac:dyDescent="0.2">
      <c r="J563"/>
      <c r="K563"/>
      <c r="L563"/>
      <c r="M563"/>
      <c r="N563"/>
      <c r="O563"/>
      <c r="P563" s="2"/>
      <c r="T563"/>
      <c r="U563"/>
      <c r="V563"/>
      <c r="W563"/>
      <c r="Y563"/>
    </row>
    <row r="564" spans="10:25" s="1" customFormat="1" x14ac:dyDescent="0.2">
      <c r="J564"/>
      <c r="K564"/>
      <c r="L564"/>
      <c r="M564"/>
      <c r="N564"/>
      <c r="O564"/>
      <c r="P564" s="2"/>
      <c r="T564"/>
      <c r="U564"/>
      <c r="V564"/>
      <c r="W564"/>
      <c r="Y564"/>
    </row>
    <row r="565" spans="10:25" s="1" customFormat="1" x14ac:dyDescent="0.2">
      <c r="J565"/>
      <c r="K565"/>
      <c r="L565"/>
      <c r="M565"/>
      <c r="N565"/>
      <c r="O565"/>
      <c r="P565" s="2"/>
      <c r="T565"/>
      <c r="U565"/>
      <c r="V565"/>
      <c r="W565"/>
      <c r="Y565"/>
    </row>
    <row r="566" spans="10:25" s="1" customFormat="1" x14ac:dyDescent="0.2">
      <c r="J566"/>
      <c r="K566"/>
      <c r="L566"/>
      <c r="M566"/>
      <c r="N566"/>
      <c r="O566"/>
      <c r="P566" s="2"/>
      <c r="T566"/>
      <c r="U566"/>
      <c r="V566"/>
      <c r="W566"/>
      <c r="Y566"/>
    </row>
    <row r="567" spans="10:25" s="1" customFormat="1" x14ac:dyDescent="0.2">
      <c r="J567"/>
      <c r="K567"/>
      <c r="L567"/>
      <c r="M567"/>
      <c r="N567"/>
      <c r="O567"/>
      <c r="P567" s="2"/>
      <c r="T567"/>
      <c r="U567"/>
      <c r="V567"/>
      <c r="W567"/>
      <c r="Y567"/>
    </row>
    <row r="568" spans="10:25" s="1" customFormat="1" x14ac:dyDescent="0.2">
      <c r="J568"/>
      <c r="K568"/>
      <c r="L568"/>
      <c r="M568"/>
      <c r="N568"/>
      <c r="O568"/>
      <c r="P568" s="2"/>
      <c r="T568"/>
      <c r="U568"/>
      <c r="V568"/>
      <c r="W568"/>
      <c r="Y568"/>
    </row>
    <row r="569" spans="10:25" s="1" customFormat="1" x14ac:dyDescent="0.2">
      <c r="J569"/>
      <c r="K569"/>
      <c r="L569"/>
      <c r="M569"/>
      <c r="N569"/>
      <c r="O569"/>
      <c r="P569" s="2"/>
      <c r="T569"/>
      <c r="U569"/>
      <c r="V569"/>
      <c r="W569"/>
      <c r="Y569"/>
    </row>
    <row r="570" spans="10:25" s="1" customFormat="1" x14ac:dyDescent="0.2">
      <c r="J570"/>
      <c r="K570"/>
      <c r="L570"/>
      <c r="M570"/>
      <c r="N570"/>
      <c r="O570"/>
      <c r="P570" s="2"/>
      <c r="T570"/>
      <c r="U570"/>
      <c r="V570"/>
      <c r="W570"/>
      <c r="Y570"/>
    </row>
    <row r="571" spans="10:25" s="1" customFormat="1" x14ac:dyDescent="0.2">
      <c r="J571"/>
      <c r="K571"/>
      <c r="L571"/>
      <c r="M571"/>
      <c r="N571"/>
      <c r="O571"/>
      <c r="P571" s="2"/>
      <c r="T571"/>
      <c r="U571"/>
      <c r="V571"/>
      <c r="W571"/>
      <c r="Y571"/>
    </row>
    <row r="572" spans="10:25" s="1" customFormat="1" x14ac:dyDescent="0.2">
      <c r="J572"/>
      <c r="K572"/>
      <c r="L572"/>
      <c r="M572"/>
      <c r="N572"/>
      <c r="O572"/>
      <c r="P572" s="2"/>
      <c r="T572"/>
      <c r="U572"/>
      <c r="V572"/>
      <c r="W572"/>
      <c r="Y572"/>
    </row>
    <row r="573" spans="10:25" s="1" customFormat="1" x14ac:dyDescent="0.2">
      <c r="J573"/>
      <c r="K573"/>
      <c r="L573"/>
      <c r="M573"/>
      <c r="N573"/>
      <c r="O573"/>
      <c r="P573" s="2"/>
      <c r="T573"/>
      <c r="U573"/>
      <c r="V573"/>
      <c r="W573"/>
      <c r="Y573"/>
    </row>
    <row r="574" spans="10:25" s="1" customFormat="1" x14ac:dyDescent="0.2">
      <c r="J574"/>
      <c r="K574"/>
      <c r="L574"/>
      <c r="M574"/>
      <c r="N574"/>
      <c r="O574"/>
      <c r="P574" s="2"/>
      <c r="T574"/>
      <c r="U574"/>
      <c r="V574"/>
      <c r="W574"/>
      <c r="Y574"/>
    </row>
    <row r="575" spans="10:25" s="1" customFormat="1" x14ac:dyDescent="0.2">
      <c r="J575"/>
      <c r="K575"/>
      <c r="L575"/>
      <c r="M575"/>
      <c r="N575"/>
      <c r="O575"/>
      <c r="P575" s="2"/>
      <c r="T575"/>
      <c r="U575"/>
      <c r="V575"/>
      <c r="W575"/>
      <c r="Y575"/>
    </row>
    <row r="576" spans="10:25" s="1" customFormat="1" x14ac:dyDescent="0.2">
      <c r="J576"/>
      <c r="K576"/>
      <c r="L576"/>
      <c r="M576"/>
      <c r="N576"/>
      <c r="O576"/>
      <c r="P576" s="2"/>
      <c r="T576"/>
      <c r="U576"/>
      <c r="V576"/>
      <c r="W576"/>
      <c r="Y576"/>
    </row>
    <row r="577" spans="10:25" s="1" customFormat="1" x14ac:dyDescent="0.2">
      <c r="J577"/>
      <c r="K577"/>
      <c r="L577"/>
      <c r="M577"/>
      <c r="N577"/>
      <c r="O577"/>
      <c r="P577" s="2"/>
      <c r="T577"/>
      <c r="U577"/>
      <c r="V577"/>
      <c r="W577"/>
      <c r="Y577"/>
    </row>
    <row r="578" spans="10:25" s="1" customFormat="1" x14ac:dyDescent="0.2">
      <c r="J578"/>
      <c r="K578"/>
      <c r="L578"/>
      <c r="M578"/>
      <c r="N578"/>
      <c r="O578"/>
      <c r="P578" s="2"/>
      <c r="T578"/>
      <c r="U578"/>
      <c r="V578"/>
      <c r="W578"/>
      <c r="Y578"/>
    </row>
    <row r="579" spans="10:25" s="1" customFormat="1" x14ac:dyDescent="0.2">
      <c r="J579"/>
      <c r="K579"/>
      <c r="L579"/>
      <c r="M579"/>
      <c r="N579"/>
      <c r="O579"/>
      <c r="P579" s="2"/>
      <c r="T579"/>
      <c r="U579"/>
      <c r="V579"/>
      <c r="W579"/>
      <c r="Y579"/>
    </row>
    <row r="580" spans="10:25" s="1" customFormat="1" x14ac:dyDescent="0.2">
      <c r="J580"/>
      <c r="K580"/>
      <c r="L580"/>
      <c r="M580"/>
      <c r="N580"/>
      <c r="O580"/>
      <c r="P580" s="2"/>
      <c r="T580"/>
      <c r="U580"/>
      <c r="V580"/>
      <c r="W580"/>
      <c r="Y580"/>
    </row>
    <row r="581" spans="10:25" s="1" customFormat="1" x14ac:dyDescent="0.2">
      <c r="J581"/>
      <c r="K581"/>
      <c r="L581"/>
      <c r="M581"/>
      <c r="N581"/>
      <c r="O581"/>
      <c r="P581" s="2"/>
      <c r="T581"/>
      <c r="U581"/>
      <c r="V581"/>
      <c r="W581"/>
      <c r="Y581"/>
    </row>
    <row r="582" spans="10:25" s="1" customFormat="1" x14ac:dyDescent="0.2">
      <c r="J582"/>
      <c r="K582"/>
      <c r="L582"/>
      <c r="M582"/>
      <c r="N582"/>
      <c r="O582"/>
      <c r="P582" s="2"/>
      <c r="T582"/>
      <c r="U582"/>
      <c r="V582"/>
      <c r="W582"/>
      <c r="Y582"/>
    </row>
    <row r="583" spans="10:25" s="1" customFormat="1" x14ac:dyDescent="0.2">
      <c r="J583"/>
      <c r="K583"/>
      <c r="L583"/>
      <c r="M583"/>
      <c r="N583"/>
      <c r="O583"/>
      <c r="P583" s="2"/>
      <c r="T583"/>
      <c r="U583"/>
      <c r="V583"/>
      <c r="W583"/>
      <c r="Y583"/>
    </row>
    <row r="584" spans="10:25" s="1" customFormat="1" x14ac:dyDescent="0.2">
      <c r="J584"/>
      <c r="K584"/>
      <c r="L584"/>
      <c r="M584"/>
      <c r="N584"/>
      <c r="O584"/>
      <c r="P584" s="2"/>
      <c r="T584"/>
      <c r="U584"/>
      <c r="V584"/>
      <c r="W584"/>
      <c r="Y584"/>
    </row>
    <row r="585" spans="10:25" s="1" customFormat="1" x14ac:dyDescent="0.2">
      <c r="J585"/>
      <c r="K585"/>
      <c r="L585"/>
      <c r="M585"/>
      <c r="N585"/>
      <c r="O585"/>
      <c r="P585" s="2"/>
      <c r="T585"/>
      <c r="U585"/>
      <c r="V585"/>
      <c r="W585"/>
      <c r="Y585"/>
    </row>
    <row r="586" spans="10:25" s="1" customFormat="1" x14ac:dyDescent="0.2">
      <c r="J586"/>
      <c r="K586"/>
      <c r="L586"/>
      <c r="M586"/>
      <c r="N586"/>
      <c r="O586"/>
      <c r="P586" s="2"/>
      <c r="T586"/>
      <c r="U586"/>
      <c r="V586"/>
      <c r="W586"/>
      <c r="Y586"/>
    </row>
    <row r="587" spans="10:25" s="1" customFormat="1" x14ac:dyDescent="0.2">
      <c r="J587"/>
      <c r="K587"/>
      <c r="L587"/>
      <c r="M587"/>
      <c r="N587"/>
      <c r="O587"/>
      <c r="P587" s="2"/>
      <c r="T587"/>
      <c r="U587"/>
      <c r="V587"/>
      <c r="W587"/>
      <c r="Y587"/>
    </row>
    <row r="588" spans="10:25" s="1" customFormat="1" x14ac:dyDescent="0.2">
      <c r="J588"/>
      <c r="K588"/>
      <c r="L588"/>
      <c r="M588"/>
      <c r="N588"/>
      <c r="O588"/>
      <c r="P588" s="2"/>
      <c r="T588"/>
      <c r="U588"/>
      <c r="V588"/>
      <c r="W588"/>
      <c r="Y588"/>
    </row>
    <row r="589" spans="10:25" s="1" customFormat="1" x14ac:dyDescent="0.2">
      <c r="J589"/>
      <c r="K589"/>
      <c r="L589"/>
      <c r="M589"/>
      <c r="N589"/>
      <c r="O589"/>
      <c r="P589" s="2"/>
      <c r="T589"/>
      <c r="U589"/>
      <c r="V589"/>
      <c r="W589"/>
      <c r="Y589"/>
    </row>
    <row r="590" spans="10:25" s="1" customFormat="1" x14ac:dyDescent="0.2">
      <c r="J590"/>
      <c r="K590"/>
      <c r="L590"/>
      <c r="M590"/>
      <c r="N590"/>
      <c r="O590"/>
      <c r="P590" s="2"/>
      <c r="T590"/>
      <c r="U590"/>
      <c r="V590"/>
      <c r="W590"/>
      <c r="Y590"/>
    </row>
    <row r="591" spans="10:25" s="1" customFormat="1" x14ac:dyDescent="0.2">
      <c r="J591"/>
      <c r="K591"/>
      <c r="L591"/>
      <c r="M591"/>
      <c r="N591"/>
      <c r="O591"/>
      <c r="P591" s="2"/>
      <c r="T591"/>
      <c r="U591"/>
      <c r="V591"/>
      <c r="W591"/>
      <c r="Y591"/>
    </row>
    <row r="592" spans="10:25" s="1" customFormat="1" x14ac:dyDescent="0.2">
      <c r="J592"/>
      <c r="K592"/>
      <c r="L592"/>
      <c r="M592"/>
      <c r="N592"/>
      <c r="O592"/>
      <c r="P592" s="2"/>
      <c r="T592"/>
      <c r="U592"/>
      <c r="V592"/>
      <c r="W592"/>
      <c r="Y592"/>
    </row>
    <row r="593" spans="10:25" s="1" customFormat="1" x14ac:dyDescent="0.2">
      <c r="J593"/>
      <c r="K593"/>
      <c r="L593"/>
      <c r="M593"/>
      <c r="N593"/>
      <c r="O593"/>
      <c r="P593" s="2"/>
      <c r="T593"/>
      <c r="U593"/>
      <c r="V593"/>
      <c r="W593"/>
      <c r="Y593"/>
    </row>
    <row r="594" spans="10:25" s="1" customFormat="1" x14ac:dyDescent="0.2">
      <c r="J594"/>
      <c r="K594"/>
      <c r="L594"/>
      <c r="M594"/>
      <c r="N594"/>
      <c r="O594"/>
      <c r="P594" s="2"/>
      <c r="T594"/>
      <c r="U594"/>
      <c r="V594"/>
      <c r="W594"/>
      <c r="Y594"/>
    </row>
    <row r="595" spans="10:25" s="1" customFormat="1" x14ac:dyDescent="0.2">
      <c r="J595"/>
      <c r="K595"/>
      <c r="L595"/>
      <c r="M595"/>
      <c r="N595"/>
      <c r="O595"/>
      <c r="P595" s="2"/>
      <c r="T595"/>
      <c r="U595"/>
      <c r="V595"/>
      <c r="W595"/>
      <c r="Y595"/>
    </row>
    <row r="596" spans="10:25" s="1" customFormat="1" x14ac:dyDescent="0.2">
      <c r="J596"/>
      <c r="K596"/>
      <c r="L596"/>
      <c r="M596"/>
      <c r="N596"/>
      <c r="O596"/>
      <c r="P596" s="2"/>
      <c r="T596"/>
      <c r="U596"/>
      <c r="V596"/>
      <c r="W596"/>
      <c r="Y596"/>
    </row>
    <row r="597" spans="10:25" s="1" customFormat="1" x14ac:dyDescent="0.2">
      <c r="J597"/>
      <c r="K597"/>
      <c r="L597"/>
      <c r="M597"/>
      <c r="N597"/>
      <c r="O597"/>
      <c r="P597" s="2"/>
      <c r="T597"/>
      <c r="U597"/>
      <c r="V597"/>
      <c r="W597"/>
      <c r="Y597"/>
    </row>
    <row r="598" spans="10:25" s="1" customFormat="1" x14ac:dyDescent="0.2">
      <c r="J598"/>
      <c r="K598"/>
      <c r="L598"/>
      <c r="M598"/>
      <c r="N598"/>
      <c r="O598"/>
      <c r="P598" s="2"/>
      <c r="T598"/>
      <c r="U598"/>
      <c r="V598"/>
      <c r="W598"/>
      <c r="Y598"/>
    </row>
    <row r="599" spans="10:25" s="1" customFormat="1" x14ac:dyDescent="0.2">
      <c r="J599"/>
      <c r="K599"/>
      <c r="L599"/>
      <c r="M599"/>
      <c r="N599"/>
      <c r="O599"/>
      <c r="P599" s="2"/>
      <c r="T599"/>
      <c r="U599"/>
      <c r="V599"/>
      <c r="W599"/>
      <c r="Y599"/>
    </row>
    <row r="600" spans="10:25" s="1" customFormat="1" x14ac:dyDescent="0.2">
      <c r="J600"/>
      <c r="K600"/>
      <c r="L600"/>
      <c r="M600"/>
      <c r="N600"/>
      <c r="O600"/>
      <c r="P600" s="2"/>
      <c r="T600"/>
      <c r="U600"/>
      <c r="V600"/>
      <c r="W600"/>
      <c r="Y600"/>
    </row>
    <row r="601" spans="10:25" s="1" customFormat="1" x14ac:dyDescent="0.2">
      <c r="J601"/>
      <c r="K601"/>
      <c r="L601"/>
      <c r="M601"/>
      <c r="N601"/>
      <c r="O601"/>
      <c r="P601" s="2"/>
      <c r="T601"/>
      <c r="U601"/>
      <c r="V601"/>
      <c r="W601"/>
      <c r="Y601"/>
    </row>
    <row r="602" spans="10:25" s="1" customFormat="1" x14ac:dyDescent="0.2">
      <c r="J602"/>
      <c r="K602"/>
      <c r="L602"/>
      <c r="M602"/>
      <c r="N602"/>
      <c r="O602"/>
      <c r="P602" s="2"/>
      <c r="T602"/>
      <c r="U602"/>
      <c r="V602"/>
      <c r="W602"/>
      <c r="Y602"/>
    </row>
    <row r="603" spans="10:25" s="1" customFormat="1" x14ac:dyDescent="0.2">
      <c r="J603"/>
      <c r="K603"/>
      <c r="L603"/>
      <c r="M603"/>
      <c r="N603"/>
      <c r="O603"/>
      <c r="P603" s="2"/>
      <c r="T603"/>
      <c r="U603"/>
      <c r="V603"/>
      <c r="W603"/>
      <c r="Y603"/>
    </row>
    <row r="604" spans="10:25" s="1" customFormat="1" x14ac:dyDescent="0.2">
      <c r="J604"/>
      <c r="K604"/>
      <c r="L604"/>
      <c r="M604"/>
      <c r="N604"/>
      <c r="O604"/>
      <c r="P604" s="2"/>
      <c r="T604"/>
      <c r="U604"/>
      <c r="V604"/>
      <c r="W604"/>
      <c r="Y604"/>
    </row>
    <row r="605" spans="10:25" s="1" customFormat="1" x14ac:dyDescent="0.2">
      <c r="J605"/>
      <c r="K605"/>
      <c r="L605"/>
      <c r="M605"/>
      <c r="N605"/>
      <c r="O605"/>
      <c r="P605" s="2"/>
      <c r="T605"/>
      <c r="U605"/>
      <c r="V605"/>
      <c r="W605"/>
      <c r="Y605"/>
    </row>
    <row r="606" spans="10:25" s="1" customFormat="1" x14ac:dyDescent="0.2">
      <c r="J606"/>
      <c r="K606"/>
      <c r="L606"/>
      <c r="M606"/>
      <c r="N606"/>
      <c r="O606"/>
      <c r="P606" s="2"/>
      <c r="T606"/>
      <c r="U606"/>
      <c r="V606"/>
      <c r="W606"/>
      <c r="Y606"/>
    </row>
    <row r="607" spans="10:25" s="1" customFormat="1" x14ac:dyDescent="0.2">
      <c r="J607"/>
      <c r="K607"/>
      <c r="L607"/>
      <c r="M607"/>
      <c r="N607"/>
      <c r="O607"/>
      <c r="P607" s="2"/>
      <c r="T607"/>
      <c r="U607"/>
      <c r="V607"/>
      <c r="W607"/>
      <c r="Y607"/>
    </row>
    <row r="608" spans="10:25" s="1" customFormat="1" x14ac:dyDescent="0.2">
      <c r="J608"/>
      <c r="K608"/>
      <c r="L608"/>
      <c r="M608"/>
      <c r="N608"/>
      <c r="O608"/>
      <c r="P608" s="2"/>
      <c r="T608"/>
      <c r="U608"/>
      <c r="V608"/>
      <c r="W608"/>
      <c r="Y608"/>
    </row>
    <row r="609" spans="10:25" s="1" customFormat="1" x14ac:dyDescent="0.2">
      <c r="J609"/>
      <c r="K609"/>
      <c r="L609"/>
      <c r="M609"/>
      <c r="N609"/>
      <c r="O609"/>
      <c r="P609" s="2"/>
      <c r="T609"/>
      <c r="U609"/>
      <c r="V609"/>
      <c r="W609"/>
      <c r="Y609"/>
    </row>
    <row r="610" spans="10:25" s="1" customFormat="1" x14ac:dyDescent="0.2">
      <c r="J610"/>
      <c r="K610"/>
      <c r="L610"/>
      <c r="M610"/>
      <c r="N610"/>
      <c r="O610"/>
      <c r="P610" s="2"/>
      <c r="T610"/>
      <c r="U610"/>
      <c r="V610"/>
      <c r="W610"/>
      <c r="Y610"/>
    </row>
    <row r="611" spans="10:25" s="1" customFormat="1" x14ac:dyDescent="0.2">
      <c r="J611"/>
      <c r="K611"/>
      <c r="L611"/>
      <c r="M611"/>
      <c r="N611"/>
      <c r="O611"/>
      <c r="P611" s="2"/>
      <c r="T611"/>
      <c r="U611"/>
      <c r="V611"/>
      <c r="W611"/>
      <c r="Y611"/>
    </row>
    <row r="612" spans="10:25" s="1" customFormat="1" x14ac:dyDescent="0.2">
      <c r="J612"/>
      <c r="K612"/>
      <c r="L612"/>
      <c r="M612"/>
      <c r="N612"/>
      <c r="O612"/>
      <c r="P612" s="2"/>
      <c r="T612"/>
      <c r="U612"/>
      <c r="V612"/>
      <c r="W612"/>
      <c r="Y612"/>
    </row>
    <row r="613" spans="10:25" s="1" customFormat="1" x14ac:dyDescent="0.2">
      <c r="J613"/>
      <c r="K613"/>
      <c r="L613"/>
      <c r="M613"/>
      <c r="N613"/>
      <c r="O613"/>
      <c r="P613" s="2"/>
      <c r="T613"/>
      <c r="U613"/>
      <c r="V613"/>
      <c r="W613"/>
      <c r="Y613"/>
    </row>
    <row r="614" spans="10:25" s="1" customFormat="1" x14ac:dyDescent="0.2">
      <c r="J614"/>
      <c r="K614"/>
      <c r="L614"/>
      <c r="M614"/>
      <c r="N614"/>
      <c r="O614"/>
      <c r="P614" s="2"/>
      <c r="T614"/>
      <c r="U614"/>
      <c r="V614"/>
      <c r="W614"/>
      <c r="Y614"/>
    </row>
    <row r="615" spans="10:25" s="1" customFormat="1" x14ac:dyDescent="0.2">
      <c r="J615"/>
      <c r="K615"/>
      <c r="L615"/>
      <c r="M615"/>
      <c r="N615"/>
      <c r="O615"/>
      <c r="P615" s="2"/>
      <c r="T615"/>
      <c r="U615"/>
      <c r="V615"/>
      <c r="W615"/>
      <c r="Y615"/>
    </row>
    <row r="616" spans="10:25" s="1" customFormat="1" x14ac:dyDescent="0.2">
      <c r="J616"/>
      <c r="K616"/>
      <c r="L616"/>
      <c r="M616"/>
      <c r="N616"/>
      <c r="O616"/>
      <c r="P616" s="2"/>
      <c r="T616"/>
      <c r="U616"/>
      <c r="V616"/>
      <c r="W616"/>
      <c r="Y616"/>
    </row>
    <row r="617" spans="10:25" s="1" customFormat="1" x14ac:dyDescent="0.2">
      <c r="J617"/>
      <c r="K617"/>
      <c r="L617"/>
      <c r="M617"/>
      <c r="N617"/>
      <c r="O617"/>
      <c r="P617" s="2"/>
      <c r="T617"/>
      <c r="U617"/>
      <c r="V617"/>
      <c r="W617"/>
      <c r="Y617"/>
    </row>
    <row r="618" spans="10:25" s="1" customFormat="1" x14ac:dyDescent="0.2">
      <c r="J618"/>
      <c r="K618"/>
      <c r="L618"/>
      <c r="M618"/>
      <c r="N618"/>
      <c r="O618"/>
      <c r="P618" s="2"/>
      <c r="T618"/>
      <c r="U618"/>
      <c r="V618"/>
      <c r="W618"/>
      <c r="Y618"/>
    </row>
    <row r="619" spans="10:25" s="1" customFormat="1" x14ac:dyDescent="0.2">
      <c r="J619"/>
      <c r="K619"/>
      <c r="L619"/>
      <c r="M619"/>
      <c r="N619"/>
      <c r="O619"/>
      <c r="P619" s="2"/>
      <c r="T619"/>
      <c r="U619"/>
      <c r="V619"/>
      <c r="W619"/>
      <c r="Y619"/>
    </row>
    <row r="620" spans="10:25" s="1" customFormat="1" x14ac:dyDescent="0.2">
      <c r="J620"/>
      <c r="K620"/>
      <c r="L620"/>
      <c r="M620"/>
      <c r="N620"/>
      <c r="O620"/>
      <c r="P620" s="2"/>
      <c r="T620"/>
      <c r="U620"/>
      <c r="V620"/>
      <c r="W620"/>
      <c r="Y620"/>
    </row>
    <row r="621" spans="10:25" s="1" customFormat="1" x14ac:dyDescent="0.2">
      <c r="J621"/>
      <c r="K621"/>
      <c r="L621"/>
      <c r="M621"/>
      <c r="N621"/>
      <c r="O621"/>
      <c r="P621" s="2"/>
      <c r="T621"/>
      <c r="U621"/>
      <c r="V621"/>
      <c r="W621"/>
      <c r="Y621"/>
    </row>
    <row r="622" spans="10:25" s="1" customFormat="1" x14ac:dyDescent="0.2">
      <c r="J622"/>
      <c r="K622"/>
      <c r="L622"/>
      <c r="M622"/>
      <c r="N622"/>
      <c r="O622"/>
      <c r="P622" s="2"/>
      <c r="T622"/>
      <c r="U622"/>
      <c r="V622"/>
      <c r="W622"/>
      <c r="Y622"/>
    </row>
    <row r="623" spans="10:25" s="1" customFormat="1" x14ac:dyDescent="0.2">
      <c r="J623"/>
      <c r="K623"/>
      <c r="L623"/>
      <c r="M623"/>
      <c r="N623"/>
      <c r="O623"/>
      <c r="P623" s="2"/>
      <c r="T623"/>
      <c r="U623"/>
      <c r="V623"/>
      <c r="W623"/>
      <c r="Y623"/>
    </row>
    <row r="624" spans="10:25" s="1" customFormat="1" x14ac:dyDescent="0.2">
      <c r="J624"/>
      <c r="K624"/>
      <c r="L624"/>
      <c r="M624"/>
      <c r="N624"/>
      <c r="O624"/>
      <c r="P624" s="2"/>
      <c r="T624"/>
      <c r="U624"/>
      <c r="V624"/>
      <c r="W624"/>
      <c r="Y624"/>
    </row>
    <row r="625" spans="10:25" s="1" customFormat="1" x14ac:dyDescent="0.2">
      <c r="J625"/>
      <c r="K625"/>
      <c r="L625"/>
      <c r="M625"/>
      <c r="N625"/>
      <c r="O625"/>
      <c r="P625" s="2"/>
      <c r="T625"/>
      <c r="U625"/>
      <c r="V625"/>
      <c r="W625"/>
      <c r="Y625"/>
    </row>
    <row r="626" spans="10:25" s="1" customFormat="1" x14ac:dyDescent="0.2">
      <c r="J626"/>
      <c r="K626"/>
      <c r="L626"/>
      <c r="M626"/>
      <c r="N626"/>
      <c r="O626"/>
      <c r="P626" s="2"/>
      <c r="T626"/>
      <c r="U626"/>
      <c r="V626"/>
      <c r="W626"/>
      <c r="Y626"/>
    </row>
    <row r="627" spans="10:25" s="1" customFormat="1" x14ac:dyDescent="0.2">
      <c r="J627"/>
      <c r="K627"/>
      <c r="L627"/>
      <c r="M627"/>
      <c r="N627"/>
      <c r="O627"/>
      <c r="P627" s="2"/>
      <c r="T627"/>
      <c r="U627"/>
      <c r="V627"/>
      <c r="W627"/>
      <c r="Y627"/>
    </row>
    <row r="628" spans="10:25" s="1" customFormat="1" x14ac:dyDescent="0.2">
      <c r="J628"/>
      <c r="K628"/>
      <c r="L628"/>
      <c r="M628"/>
      <c r="N628"/>
      <c r="O628"/>
      <c r="P628" s="2"/>
      <c r="T628"/>
      <c r="U628"/>
      <c r="V628"/>
      <c r="W628"/>
      <c r="Y628"/>
    </row>
    <row r="629" spans="10:25" s="1" customFormat="1" x14ac:dyDescent="0.2">
      <c r="J629"/>
      <c r="K629"/>
      <c r="L629"/>
      <c r="M629"/>
      <c r="N629"/>
      <c r="O629"/>
      <c r="P629" s="2"/>
      <c r="T629"/>
      <c r="U629"/>
      <c r="V629"/>
      <c r="W629"/>
      <c r="Y629"/>
    </row>
    <row r="630" spans="10:25" s="1" customFormat="1" x14ac:dyDescent="0.2">
      <c r="J630"/>
      <c r="K630"/>
      <c r="L630"/>
      <c r="M630"/>
      <c r="N630"/>
      <c r="O630"/>
      <c r="P630" s="2"/>
      <c r="T630"/>
      <c r="U630"/>
      <c r="V630"/>
      <c r="W630"/>
      <c r="Y630"/>
    </row>
    <row r="631" spans="10:25" s="1" customFormat="1" x14ac:dyDescent="0.2">
      <c r="J631"/>
      <c r="K631"/>
      <c r="L631"/>
      <c r="M631"/>
      <c r="N631"/>
      <c r="O631"/>
      <c r="P631" s="2"/>
      <c r="T631"/>
      <c r="U631"/>
      <c r="V631"/>
      <c r="W631"/>
      <c r="Y631"/>
    </row>
    <row r="632" spans="10:25" s="1" customFormat="1" x14ac:dyDescent="0.2">
      <c r="J632"/>
      <c r="K632"/>
      <c r="L632"/>
      <c r="M632"/>
      <c r="N632"/>
      <c r="O632"/>
      <c r="P632" s="2"/>
      <c r="T632"/>
      <c r="U632"/>
      <c r="V632"/>
      <c r="W632"/>
      <c r="Y632"/>
    </row>
    <row r="633" spans="10:25" s="1" customFormat="1" x14ac:dyDescent="0.2">
      <c r="J633"/>
      <c r="K633"/>
      <c r="L633"/>
      <c r="M633"/>
      <c r="N633"/>
      <c r="O633"/>
      <c r="P633" s="2"/>
      <c r="T633"/>
      <c r="U633"/>
      <c r="V633"/>
      <c r="W633"/>
      <c r="Y633"/>
    </row>
    <row r="634" spans="10:25" s="1" customFormat="1" x14ac:dyDescent="0.2">
      <c r="J634"/>
      <c r="K634"/>
      <c r="L634"/>
      <c r="M634"/>
      <c r="N634"/>
      <c r="O634"/>
      <c r="P634" s="2"/>
      <c r="T634"/>
      <c r="U634"/>
      <c r="V634"/>
      <c r="W634"/>
      <c r="Y634"/>
    </row>
    <row r="635" spans="10:25" s="1" customFormat="1" x14ac:dyDescent="0.2">
      <c r="J635"/>
      <c r="K635"/>
      <c r="L635"/>
      <c r="M635"/>
      <c r="N635"/>
      <c r="O635"/>
      <c r="P635" s="2"/>
      <c r="T635"/>
      <c r="U635"/>
      <c r="V635"/>
      <c r="W635"/>
      <c r="Y635"/>
    </row>
    <row r="636" spans="10:25" s="1" customFormat="1" x14ac:dyDescent="0.2">
      <c r="J636"/>
      <c r="K636"/>
      <c r="L636"/>
      <c r="M636"/>
      <c r="N636"/>
      <c r="O636"/>
      <c r="P636" s="2"/>
      <c r="T636"/>
      <c r="U636"/>
      <c r="V636"/>
      <c r="W636"/>
      <c r="Y636"/>
    </row>
    <row r="637" spans="10:25" s="1" customFormat="1" x14ac:dyDescent="0.2">
      <c r="J637"/>
      <c r="K637"/>
      <c r="L637"/>
      <c r="M637"/>
      <c r="N637"/>
      <c r="O637"/>
      <c r="P637" s="2"/>
      <c r="T637"/>
      <c r="U637"/>
      <c r="V637"/>
      <c r="W637"/>
      <c r="Y637"/>
    </row>
    <row r="638" spans="10:25" s="1" customFormat="1" x14ac:dyDescent="0.2">
      <c r="J638"/>
      <c r="K638"/>
      <c r="L638"/>
      <c r="M638"/>
      <c r="N638"/>
      <c r="O638"/>
      <c r="P638" s="2"/>
      <c r="T638"/>
      <c r="U638"/>
      <c r="V638"/>
      <c r="W638"/>
      <c r="Y638"/>
    </row>
    <row r="639" spans="10:25" s="1" customFormat="1" x14ac:dyDescent="0.2">
      <c r="J639"/>
      <c r="K639"/>
      <c r="L639"/>
      <c r="M639"/>
      <c r="N639"/>
      <c r="O639"/>
      <c r="P639" s="2"/>
      <c r="T639"/>
      <c r="U639"/>
      <c r="V639"/>
      <c r="W639"/>
      <c r="Y639"/>
    </row>
    <row r="640" spans="10:25" s="1" customFormat="1" x14ac:dyDescent="0.2">
      <c r="J640"/>
      <c r="K640"/>
      <c r="L640"/>
      <c r="M640"/>
      <c r="N640"/>
      <c r="O640"/>
      <c r="P640" s="2"/>
      <c r="T640"/>
      <c r="U640"/>
      <c r="V640"/>
      <c r="W640"/>
      <c r="Y640"/>
    </row>
    <row r="641" spans="10:25" s="1" customFormat="1" x14ac:dyDescent="0.2">
      <c r="J641"/>
      <c r="K641"/>
      <c r="L641"/>
      <c r="M641"/>
      <c r="N641"/>
      <c r="O641"/>
      <c r="P641" s="2"/>
      <c r="T641"/>
      <c r="U641"/>
      <c r="V641"/>
      <c r="W641"/>
      <c r="Y641"/>
    </row>
    <row r="642" spans="10:25" s="1" customFormat="1" x14ac:dyDescent="0.2">
      <c r="J642"/>
      <c r="K642"/>
      <c r="L642"/>
      <c r="M642"/>
      <c r="N642"/>
      <c r="O642"/>
      <c r="P642" s="2"/>
      <c r="T642"/>
      <c r="U642"/>
      <c r="V642"/>
      <c r="W642"/>
      <c r="Y642"/>
    </row>
    <row r="643" spans="10:25" s="1" customFormat="1" x14ac:dyDescent="0.2">
      <c r="J643"/>
      <c r="K643"/>
      <c r="L643"/>
      <c r="M643"/>
      <c r="N643"/>
      <c r="O643"/>
      <c r="P643" s="2"/>
      <c r="T643"/>
      <c r="U643"/>
      <c r="V643"/>
      <c r="W643"/>
      <c r="Y643"/>
    </row>
    <row r="644" spans="10:25" s="1" customFormat="1" x14ac:dyDescent="0.2">
      <c r="J644"/>
      <c r="K644"/>
      <c r="L644"/>
      <c r="M644"/>
      <c r="N644"/>
      <c r="O644"/>
      <c r="P644" s="2"/>
      <c r="T644"/>
      <c r="U644"/>
      <c r="V644"/>
      <c r="W644"/>
      <c r="Y644"/>
    </row>
    <row r="645" spans="10:25" s="1" customFormat="1" x14ac:dyDescent="0.2">
      <c r="J645"/>
      <c r="K645"/>
      <c r="L645"/>
      <c r="M645"/>
      <c r="N645"/>
      <c r="O645"/>
      <c r="P645" s="2"/>
      <c r="T645"/>
      <c r="U645"/>
      <c r="V645"/>
      <c r="W645"/>
      <c r="Y645"/>
    </row>
    <row r="646" spans="10:25" s="1" customFormat="1" x14ac:dyDescent="0.2">
      <c r="J646"/>
      <c r="K646"/>
      <c r="L646"/>
      <c r="M646"/>
      <c r="N646"/>
      <c r="O646"/>
      <c r="P646" s="2"/>
      <c r="T646"/>
      <c r="U646"/>
      <c r="V646"/>
      <c r="W646"/>
      <c r="Y646"/>
    </row>
    <row r="647" spans="10:25" s="1" customFormat="1" x14ac:dyDescent="0.2">
      <c r="J647"/>
      <c r="K647"/>
      <c r="L647"/>
      <c r="M647"/>
      <c r="N647"/>
      <c r="O647"/>
      <c r="P647" s="2"/>
      <c r="T647"/>
      <c r="U647"/>
      <c r="V647"/>
      <c r="W647"/>
      <c r="Y647"/>
    </row>
    <row r="648" spans="10:25" s="1" customFormat="1" x14ac:dyDescent="0.2">
      <c r="J648"/>
      <c r="K648"/>
      <c r="L648"/>
      <c r="M648"/>
      <c r="N648"/>
      <c r="O648"/>
      <c r="P648" s="2"/>
      <c r="T648"/>
      <c r="U648"/>
      <c r="V648"/>
      <c r="W648"/>
      <c r="Y648"/>
    </row>
    <row r="649" spans="10:25" s="1" customFormat="1" x14ac:dyDescent="0.2">
      <c r="J649"/>
      <c r="K649"/>
      <c r="L649"/>
      <c r="M649"/>
      <c r="N649"/>
      <c r="O649"/>
      <c r="P649" s="2"/>
      <c r="T649"/>
      <c r="U649"/>
      <c r="V649"/>
      <c r="W649"/>
      <c r="Y649"/>
    </row>
    <row r="650" spans="10:25" s="1" customFormat="1" x14ac:dyDescent="0.2">
      <c r="J650"/>
      <c r="K650"/>
      <c r="L650"/>
      <c r="M650"/>
      <c r="N650"/>
      <c r="O650"/>
      <c r="P650" s="2"/>
      <c r="T650"/>
      <c r="U650"/>
      <c r="V650"/>
      <c r="W650"/>
      <c r="Y650"/>
    </row>
    <row r="651" spans="10:25" s="1" customFormat="1" x14ac:dyDescent="0.2">
      <c r="J651"/>
      <c r="K651"/>
      <c r="L651"/>
      <c r="M651"/>
      <c r="N651"/>
      <c r="O651"/>
      <c r="P651" s="2"/>
      <c r="T651"/>
      <c r="U651"/>
      <c r="V651"/>
      <c r="W651"/>
      <c r="Y651"/>
    </row>
    <row r="652" spans="10:25" s="1" customFormat="1" x14ac:dyDescent="0.2">
      <c r="J652"/>
      <c r="K652"/>
      <c r="L652"/>
      <c r="M652"/>
      <c r="N652"/>
      <c r="O652"/>
      <c r="P652" s="2"/>
      <c r="T652"/>
      <c r="U652"/>
      <c r="V652"/>
      <c r="W652"/>
      <c r="Y652"/>
    </row>
    <row r="653" spans="10:25" s="1" customFormat="1" x14ac:dyDescent="0.2">
      <c r="J653"/>
      <c r="K653"/>
      <c r="L653"/>
      <c r="M653"/>
      <c r="N653"/>
      <c r="O653"/>
      <c r="P653" s="2"/>
      <c r="T653"/>
      <c r="U653"/>
      <c r="V653"/>
      <c r="W653"/>
      <c r="Y653"/>
    </row>
    <row r="654" spans="10:25" s="1" customFormat="1" x14ac:dyDescent="0.2">
      <c r="J654"/>
      <c r="K654"/>
      <c r="L654"/>
      <c r="M654"/>
      <c r="N654"/>
      <c r="O654"/>
      <c r="P654" s="2"/>
      <c r="T654"/>
      <c r="U654"/>
      <c r="V654"/>
      <c r="W654"/>
      <c r="Y654"/>
    </row>
    <row r="655" spans="10:25" s="1" customFormat="1" x14ac:dyDescent="0.2">
      <c r="J655"/>
      <c r="K655"/>
      <c r="L655"/>
      <c r="M655"/>
      <c r="N655"/>
      <c r="O655"/>
      <c r="P655" s="2"/>
      <c r="T655"/>
      <c r="U655"/>
      <c r="V655"/>
      <c r="W655"/>
      <c r="Y655"/>
    </row>
    <row r="656" spans="10:25" s="1" customFormat="1" x14ac:dyDescent="0.2">
      <c r="J656"/>
      <c r="K656"/>
      <c r="L656"/>
      <c r="M656"/>
      <c r="N656"/>
      <c r="O656"/>
      <c r="P656" s="2"/>
      <c r="T656"/>
      <c r="U656"/>
      <c r="V656"/>
      <c r="W656"/>
      <c r="Y656"/>
    </row>
    <row r="657" spans="10:25" s="1" customFormat="1" x14ac:dyDescent="0.2">
      <c r="J657"/>
      <c r="K657"/>
      <c r="L657"/>
      <c r="M657"/>
      <c r="N657"/>
      <c r="O657"/>
      <c r="P657" s="2"/>
      <c r="T657"/>
      <c r="U657"/>
      <c r="V657"/>
      <c r="W657"/>
      <c r="Y657"/>
    </row>
    <row r="658" spans="10:25" s="1" customFormat="1" x14ac:dyDescent="0.2">
      <c r="J658"/>
      <c r="K658"/>
      <c r="L658"/>
      <c r="M658"/>
      <c r="N658"/>
      <c r="O658"/>
      <c r="P658" s="2"/>
      <c r="T658"/>
      <c r="U658"/>
      <c r="V658"/>
      <c r="W658"/>
      <c r="Y658"/>
    </row>
    <row r="659" spans="10:25" s="1" customFormat="1" x14ac:dyDescent="0.2">
      <c r="J659"/>
      <c r="K659"/>
      <c r="L659"/>
      <c r="M659"/>
      <c r="N659"/>
      <c r="O659"/>
      <c r="P659" s="2"/>
      <c r="T659"/>
      <c r="U659"/>
      <c r="V659"/>
      <c r="W659"/>
      <c r="Y659"/>
    </row>
    <row r="660" spans="10:25" s="1" customFormat="1" x14ac:dyDescent="0.2">
      <c r="J660"/>
      <c r="K660"/>
      <c r="L660"/>
      <c r="M660"/>
      <c r="N660"/>
      <c r="O660"/>
      <c r="P660" s="2"/>
      <c r="T660"/>
      <c r="U660"/>
      <c r="V660"/>
      <c r="W660"/>
      <c r="Y660"/>
    </row>
    <row r="661" spans="10:25" s="1" customFormat="1" x14ac:dyDescent="0.2">
      <c r="J661"/>
      <c r="K661"/>
      <c r="L661"/>
      <c r="M661"/>
      <c r="N661"/>
      <c r="O661"/>
      <c r="P661" s="2"/>
      <c r="T661"/>
      <c r="U661"/>
      <c r="V661"/>
      <c r="W661"/>
      <c r="Y661"/>
    </row>
    <row r="662" spans="10:25" s="1" customFormat="1" x14ac:dyDescent="0.2">
      <c r="J662"/>
      <c r="K662"/>
      <c r="L662"/>
      <c r="M662"/>
      <c r="N662"/>
      <c r="O662"/>
      <c r="P662" s="2"/>
      <c r="T662"/>
      <c r="U662"/>
      <c r="V662"/>
      <c r="W662"/>
      <c r="Y662"/>
    </row>
    <row r="663" spans="10:25" s="1" customFormat="1" x14ac:dyDescent="0.2">
      <c r="J663"/>
      <c r="K663"/>
      <c r="L663"/>
      <c r="M663"/>
      <c r="N663"/>
      <c r="O663"/>
      <c r="P663" s="2"/>
      <c r="T663"/>
      <c r="U663"/>
      <c r="V663"/>
      <c r="W663"/>
      <c r="Y663"/>
    </row>
    <row r="664" spans="10:25" s="1" customFormat="1" x14ac:dyDescent="0.2">
      <c r="J664"/>
      <c r="K664"/>
      <c r="L664"/>
      <c r="M664"/>
      <c r="N664"/>
      <c r="O664"/>
      <c r="P664" s="2"/>
      <c r="T664"/>
      <c r="U664"/>
      <c r="V664"/>
      <c r="W664"/>
      <c r="Y664"/>
    </row>
    <row r="665" spans="10:25" s="1" customFormat="1" x14ac:dyDescent="0.2">
      <c r="J665"/>
      <c r="K665"/>
      <c r="L665"/>
      <c r="M665"/>
      <c r="N665"/>
      <c r="O665"/>
      <c r="P665" s="2"/>
      <c r="T665"/>
      <c r="U665"/>
      <c r="V665"/>
      <c r="W665"/>
      <c r="Y665"/>
    </row>
    <row r="666" spans="10:25" s="1" customFormat="1" x14ac:dyDescent="0.2">
      <c r="J666"/>
      <c r="K666"/>
      <c r="L666"/>
      <c r="M666"/>
      <c r="N666"/>
      <c r="O666"/>
      <c r="P666" s="2"/>
      <c r="T666"/>
      <c r="U666"/>
      <c r="V666"/>
      <c r="W666"/>
      <c r="Y666"/>
    </row>
    <row r="667" spans="10:25" s="1" customFormat="1" x14ac:dyDescent="0.2">
      <c r="J667"/>
      <c r="K667"/>
      <c r="L667"/>
      <c r="M667"/>
      <c r="N667"/>
      <c r="O667"/>
      <c r="P667" s="2"/>
      <c r="T667"/>
      <c r="U667"/>
      <c r="V667"/>
      <c r="W667"/>
      <c r="Y667"/>
    </row>
    <row r="668" spans="10:25" s="1" customFormat="1" x14ac:dyDescent="0.2">
      <c r="J668"/>
      <c r="K668"/>
      <c r="L668"/>
      <c r="M668"/>
      <c r="N668"/>
      <c r="O668"/>
      <c r="P668" s="2"/>
      <c r="T668"/>
      <c r="U668"/>
      <c r="V668"/>
      <c r="W668"/>
      <c r="Y668"/>
    </row>
    <row r="669" spans="10:25" s="1" customFormat="1" x14ac:dyDescent="0.2">
      <c r="J669"/>
      <c r="K669"/>
      <c r="L669"/>
      <c r="M669"/>
      <c r="N669"/>
      <c r="O669"/>
      <c r="P669" s="2"/>
      <c r="T669"/>
      <c r="U669"/>
      <c r="V669"/>
      <c r="W669"/>
      <c r="Y669"/>
    </row>
    <row r="670" spans="10:25" s="1" customFormat="1" x14ac:dyDescent="0.2">
      <c r="J670"/>
      <c r="K670"/>
      <c r="L670"/>
      <c r="M670"/>
      <c r="N670"/>
      <c r="O670"/>
      <c r="P670" s="2"/>
      <c r="T670"/>
      <c r="U670"/>
      <c r="V670"/>
      <c r="W670"/>
      <c r="Y670"/>
    </row>
    <row r="671" spans="10:25" s="1" customFormat="1" x14ac:dyDescent="0.2">
      <c r="J671"/>
      <c r="K671"/>
      <c r="L671"/>
      <c r="M671"/>
      <c r="N671"/>
      <c r="O671"/>
      <c r="P671" s="2"/>
      <c r="T671"/>
      <c r="U671"/>
      <c r="V671"/>
      <c r="W671"/>
      <c r="Y671"/>
    </row>
    <row r="672" spans="10:25" s="1" customFormat="1" x14ac:dyDescent="0.2">
      <c r="J672"/>
      <c r="K672"/>
      <c r="L672"/>
      <c r="M672"/>
      <c r="N672"/>
      <c r="O672"/>
      <c r="P672" s="2"/>
      <c r="T672"/>
      <c r="U672"/>
      <c r="V672"/>
      <c r="W672"/>
      <c r="Y672"/>
    </row>
    <row r="673" spans="10:25" s="1" customFormat="1" x14ac:dyDescent="0.2">
      <c r="J673"/>
      <c r="K673"/>
      <c r="L673"/>
      <c r="M673"/>
      <c r="N673"/>
      <c r="O673"/>
      <c r="P673" s="2"/>
      <c r="T673"/>
      <c r="U673"/>
      <c r="V673"/>
      <c r="W673"/>
      <c r="Y673"/>
    </row>
    <row r="674" spans="10:25" s="1" customFormat="1" x14ac:dyDescent="0.2">
      <c r="J674"/>
      <c r="K674"/>
      <c r="L674"/>
      <c r="M674"/>
      <c r="N674"/>
      <c r="O674"/>
      <c r="P674" s="2"/>
      <c r="T674"/>
      <c r="U674"/>
      <c r="V674"/>
      <c r="W674"/>
      <c r="Y674"/>
    </row>
    <row r="675" spans="10:25" s="1" customFormat="1" x14ac:dyDescent="0.2">
      <c r="J675"/>
      <c r="K675"/>
      <c r="L675"/>
      <c r="M675"/>
      <c r="N675"/>
      <c r="O675"/>
      <c r="P675" s="2"/>
      <c r="T675"/>
      <c r="U675"/>
      <c r="V675"/>
      <c r="W675"/>
      <c r="Y675"/>
    </row>
    <row r="676" spans="10:25" s="1" customFormat="1" x14ac:dyDescent="0.2">
      <c r="J676"/>
      <c r="K676"/>
      <c r="L676"/>
      <c r="M676"/>
      <c r="N676"/>
      <c r="O676"/>
      <c r="P676" s="2"/>
      <c r="T676"/>
      <c r="U676"/>
      <c r="V676"/>
      <c r="W676"/>
      <c r="Y676"/>
    </row>
    <row r="677" spans="10:25" s="1" customFormat="1" x14ac:dyDescent="0.2">
      <c r="J677"/>
      <c r="K677"/>
      <c r="L677"/>
      <c r="M677"/>
      <c r="N677"/>
      <c r="O677"/>
      <c r="P677" s="2"/>
      <c r="T677"/>
      <c r="U677"/>
      <c r="V677"/>
      <c r="W677"/>
      <c r="Y677"/>
    </row>
    <row r="678" spans="10:25" s="1" customFormat="1" x14ac:dyDescent="0.2">
      <c r="J678"/>
      <c r="K678"/>
      <c r="L678"/>
      <c r="M678"/>
      <c r="N678"/>
      <c r="O678"/>
      <c r="P678" s="2"/>
      <c r="T678"/>
      <c r="U678"/>
      <c r="V678"/>
      <c r="W678"/>
      <c r="Y678"/>
    </row>
    <row r="679" spans="10:25" s="1" customFormat="1" x14ac:dyDescent="0.2">
      <c r="J679"/>
      <c r="K679"/>
      <c r="L679"/>
      <c r="M679"/>
      <c r="N679"/>
      <c r="O679"/>
      <c r="P679" s="2"/>
      <c r="T679"/>
      <c r="U679"/>
      <c r="V679"/>
      <c r="W679"/>
      <c r="Y679"/>
    </row>
    <row r="680" spans="10:25" s="1" customFormat="1" x14ac:dyDescent="0.2">
      <c r="J680"/>
      <c r="K680"/>
      <c r="L680"/>
      <c r="M680"/>
      <c r="N680"/>
      <c r="O680"/>
      <c r="P680" s="2"/>
      <c r="T680"/>
      <c r="U680"/>
      <c r="V680"/>
      <c r="W680"/>
      <c r="Y680"/>
    </row>
    <row r="681" spans="10:25" s="1" customFormat="1" x14ac:dyDescent="0.2">
      <c r="J681"/>
      <c r="K681"/>
      <c r="L681"/>
      <c r="M681"/>
      <c r="N681"/>
      <c r="O681"/>
      <c r="P681" s="2"/>
      <c r="T681"/>
      <c r="U681"/>
      <c r="V681"/>
      <c r="W681"/>
      <c r="Y681"/>
    </row>
    <row r="682" spans="10:25" s="1" customFormat="1" x14ac:dyDescent="0.2">
      <c r="J682"/>
      <c r="K682"/>
      <c r="L682"/>
      <c r="M682"/>
      <c r="N682"/>
      <c r="O682"/>
      <c r="P682" s="2"/>
      <c r="T682"/>
      <c r="U682"/>
      <c r="V682"/>
      <c r="W682"/>
      <c r="Y682"/>
    </row>
    <row r="683" spans="10:25" s="1" customFormat="1" x14ac:dyDescent="0.2">
      <c r="J683"/>
      <c r="K683"/>
      <c r="L683"/>
      <c r="M683"/>
      <c r="N683"/>
      <c r="O683"/>
      <c r="P683" s="2"/>
      <c r="T683"/>
      <c r="U683"/>
      <c r="V683"/>
      <c r="W683"/>
      <c r="Y683"/>
    </row>
    <row r="684" spans="10:25" s="1" customFormat="1" x14ac:dyDescent="0.2">
      <c r="J684"/>
      <c r="K684"/>
      <c r="L684"/>
      <c r="M684"/>
      <c r="N684"/>
      <c r="O684"/>
      <c r="P684" s="2"/>
      <c r="T684"/>
      <c r="U684"/>
      <c r="V684"/>
      <c r="W684"/>
      <c r="Y684"/>
    </row>
    <row r="685" spans="10:25" s="1" customFormat="1" x14ac:dyDescent="0.2">
      <c r="J685"/>
      <c r="K685"/>
      <c r="L685"/>
      <c r="M685"/>
      <c r="N685"/>
      <c r="O685"/>
      <c r="P685" s="2"/>
      <c r="T685"/>
      <c r="U685"/>
      <c r="V685"/>
      <c r="W685"/>
      <c r="Y685"/>
    </row>
    <row r="686" spans="10:25" s="1" customFormat="1" x14ac:dyDescent="0.2">
      <c r="J686"/>
      <c r="K686"/>
      <c r="L686"/>
      <c r="M686"/>
      <c r="N686"/>
      <c r="O686"/>
      <c r="P686" s="2"/>
      <c r="T686"/>
      <c r="U686"/>
      <c r="V686"/>
      <c r="W686"/>
      <c r="Y686"/>
    </row>
    <row r="687" spans="10:25" s="1" customFormat="1" x14ac:dyDescent="0.2">
      <c r="J687"/>
      <c r="K687"/>
      <c r="L687"/>
      <c r="M687"/>
      <c r="N687"/>
      <c r="O687"/>
      <c r="P687" s="2"/>
      <c r="T687"/>
      <c r="U687"/>
      <c r="V687"/>
      <c r="W687"/>
      <c r="Y687"/>
    </row>
    <row r="688" spans="10:25" s="1" customFormat="1" x14ac:dyDescent="0.2">
      <c r="J688"/>
      <c r="K688"/>
      <c r="L688"/>
      <c r="M688"/>
      <c r="N688"/>
      <c r="O688"/>
      <c r="P688" s="2"/>
      <c r="T688"/>
      <c r="U688"/>
      <c r="V688"/>
      <c r="W688"/>
      <c r="Y688"/>
    </row>
    <row r="689" spans="10:25" s="1" customFormat="1" x14ac:dyDescent="0.2">
      <c r="J689"/>
      <c r="K689"/>
      <c r="L689"/>
      <c r="M689"/>
      <c r="N689"/>
      <c r="O689"/>
      <c r="P689" s="2"/>
      <c r="T689"/>
      <c r="U689"/>
      <c r="V689"/>
      <c r="W689"/>
      <c r="Y689"/>
    </row>
    <row r="690" spans="10:25" s="1" customFormat="1" x14ac:dyDescent="0.2">
      <c r="J690"/>
      <c r="K690"/>
      <c r="L690"/>
      <c r="M690"/>
      <c r="N690"/>
      <c r="O690"/>
      <c r="P690" s="2"/>
      <c r="T690"/>
      <c r="U690"/>
      <c r="V690"/>
      <c r="W690"/>
      <c r="Y690"/>
    </row>
    <row r="691" spans="10:25" s="1" customFormat="1" x14ac:dyDescent="0.2">
      <c r="J691"/>
      <c r="K691"/>
      <c r="L691"/>
      <c r="M691"/>
      <c r="N691"/>
      <c r="O691"/>
      <c r="P691" s="2"/>
      <c r="T691"/>
      <c r="U691"/>
      <c r="V691"/>
      <c r="W691"/>
      <c r="Y691"/>
    </row>
    <row r="692" spans="10:25" s="1" customFormat="1" x14ac:dyDescent="0.2">
      <c r="J692"/>
      <c r="K692"/>
      <c r="L692"/>
      <c r="M692"/>
      <c r="N692"/>
      <c r="O692"/>
      <c r="P692" s="2"/>
      <c r="T692"/>
      <c r="U692"/>
      <c r="V692"/>
      <c r="W692"/>
      <c r="Y692"/>
    </row>
    <row r="693" spans="10:25" s="1" customFormat="1" x14ac:dyDescent="0.2">
      <c r="J693"/>
      <c r="K693"/>
      <c r="L693"/>
      <c r="M693"/>
      <c r="N693"/>
      <c r="O693"/>
      <c r="P693" s="2"/>
      <c r="T693"/>
      <c r="U693"/>
      <c r="V693"/>
      <c r="W693"/>
      <c r="Y693"/>
    </row>
    <row r="694" spans="10:25" s="1" customFormat="1" x14ac:dyDescent="0.2">
      <c r="J694"/>
      <c r="K694"/>
      <c r="L694"/>
      <c r="M694"/>
      <c r="N694"/>
      <c r="O694"/>
      <c r="P694" s="2"/>
      <c r="T694"/>
      <c r="U694"/>
      <c r="V694"/>
      <c r="W694"/>
      <c r="Y694"/>
    </row>
    <row r="695" spans="10:25" s="1" customFormat="1" x14ac:dyDescent="0.2">
      <c r="J695"/>
      <c r="K695"/>
      <c r="L695"/>
      <c r="M695"/>
      <c r="N695"/>
      <c r="O695"/>
      <c r="P695" s="2"/>
      <c r="T695"/>
      <c r="U695"/>
      <c r="V695"/>
      <c r="W695"/>
      <c r="Y695"/>
    </row>
    <row r="696" spans="10:25" s="1" customFormat="1" x14ac:dyDescent="0.2">
      <c r="J696"/>
      <c r="K696"/>
      <c r="L696"/>
      <c r="M696"/>
      <c r="N696"/>
      <c r="O696"/>
      <c r="P696" s="2"/>
      <c r="T696"/>
      <c r="U696"/>
      <c r="V696"/>
      <c r="W696"/>
      <c r="Y696"/>
    </row>
    <row r="697" spans="10:25" s="1" customFormat="1" x14ac:dyDescent="0.2">
      <c r="J697"/>
      <c r="K697"/>
      <c r="L697"/>
      <c r="M697"/>
      <c r="N697"/>
      <c r="O697"/>
      <c r="P697" s="2"/>
      <c r="T697"/>
      <c r="U697"/>
      <c r="V697"/>
      <c r="W697"/>
      <c r="Y697"/>
    </row>
    <row r="698" spans="10:25" s="1" customFormat="1" x14ac:dyDescent="0.2">
      <c r="J698"/>
      <c r="K698"/>
      <c r="L698"/>
      <c r="M698"/>
      <c r="N698"/>
      <c r="O698"/>
      <c r="P698" s="2"/>
      <c r="T698"/>
      <c r="U698"/>
      <c r="V698"/>
      <c r="W698"/>
      <c r="Y698"/>
    </row>
    <row r="699" spans="10:25" s="1" customFormat="1" x14ac:dyDescent="0.2">
      <c r="J699"/>
      <c r="K699"/>
      <c r="L699"/>
      <c r="M699"/>
      <c r="N699"/>
      <c r="O699"/>
      <c r="P699" s="2"/>
      <c r="T699"/>
      <c r="U699"/>
      <c r="V699"/>
      <c r="W699"/>
      <c r="Y699"/>
    </row>
    <row r="700" spans="10:25" s="1" customFormat="1" x14ac:dyDescent="0.2">
      <c r="J700"/>
      <c r="K700"/>
      <c r="L700"/>
      <c r="M700"/>
      <c r="N700"/>
      <c r="O700"/>
      <c r="P700" s="2"/>
      <c r="T700"/>
      <c r="U700"/>
      <c r="V700"/>
      <c r="W700"/>
      <c r="Y700"/>
    </row>
    <row r="701" spans="10:25" s="1" customFormat="1" x14ac:dyDescent="0.2">
      <c r="J701"/>
      <c r="K701"/>
      <c r="L701"/>
      <c r="M701"/>
      <c r="N701"/>
      <c r="O701"/>
      <c r="P701" s="2"/>
      <c r="T701"/>
      <c r="U701"/>
      <c r="V701"/>
      <c r="W701"/>
      <c r="Y701"/>
    </row>
    <row r="702" spans="10:25" s="1" customFormat="1" x14ac:dyDescent="0.2">
      <c r="J702"/>
      <c r="K702"/>
      <c r="L702"/>
      <c r="M702"/>
      <c r="N702"/>
      <c r="O702"/>
      <c r="P702" s="2"/>
      <c r="T702"/>
      <c r="U702"/>
      <c r="V702"/>
      <c r="W702"/>
      <c r="Y702"/>
    </row>
    <row r="703" spans="10:25" s="1" customFormat="1" x14ac:dyDescent="0.2">
      <c r="J703"/>
      <c r="K703"/>
      <c r="L703"/>
      <c r="M703"/>
      <c r="N703"/>
      <c r="O703"/>
      <c r="P703" s="2"/>
      <c r="T703"/>
      <c r="U703"/>
      <c r="V703"/>
      <c r="W703"/>
      <c r="Y703"/>
    </row>
    <row r="704" spans="10:25" s="1" customFormat="1" x14ac:dyDescent="0.2">
      <c r="J704"/>
      <c r="K704"/>
      <c r="L704"/>
      <c r="M704"/>
      <c r="N704"/>
      <c r="O704"/>
      <c r="P704" s="2"/>
      <c r="T704"/>
      <c r="U704"/>
      <c r="V704"/>
      <c r="W704"/>
      <c r="Y704"/>
    </row>
    <row r="705" spans="10:25" s="1" customFormat="1" x14ac:dyDescent="0.2">
      <c r="J705"/>
      <c r="K705"/>
      <c r="L705"/>
      <c r="M705"/>
      <c r="N705"/>
      <c r="O705"/>
      <c r="P705" s="2"/>
      <c r="T705"/>
      <c r="U705"/>
      <c r="V705"/>
      <c r="W705"/>
      <c r="Y705"/>
    </row>
    <row r="706" spans="10:25" s="1" customFormat="1" x14ac:dyDescent="0.2">
      <c r="J706"/>
      <c r="K706"/>
      <c r="L706"/>
      <c r="M706"/>
      <c r="N706"/>
      <c r="O706"/>
      <c r="P706" s="2"/>
      <c r="T706"/>
      <c r="U706"/>
      <c r="V706"/>
      <c r="W706"/>
      <c r="Y706"/>
    </row>
    <row r="707" spans="10:25" s="1" customFormat="1" x14ac:dyDescent="0.2">
      <c r="J707"/>
      <c r="K707"/>
      <c r="L707"/>
      <c r="M707"/>
      <c r="N707"/>
      <c r="O707"/>
      <c r="P707" s="2"/>
      <c r="T707"/>
      <c r="U707"/>
      <c r="V707"/>
      <c r="W707"/>
      <c r="Y707"/>
    </row>
    <row r="708" spans="10:25" s="1" customFormat="1" x14ac:dyDescent="0.2">
      <c r="J708"/>
      <c r="K708"/>
      <c r="L708"/>
      <c r="M708"/>
      <c r="N708"/>
      <c r="O708"/>
      <c r="P708" s="2"/>
      <c r="T708"/>
      <c r="U708"/>
      <c r="V708"/>
      <c r="W708"/>
      <c r="Y708"/>
    </row>
    <row r="709" spans="10:25" s="1" customFormat="1" x14ac:dyDescent="0.2">
      <c r="J709"/>
      <c r="K709"/>
      <c r="L709"/>
      <c r="M709"/>
      <c r="N709"/>
      <c r="O709"/>
      <c r="P709" s="2"/>
      <c r="T709"/>
      <c r="U709"/>
      <c r="V709"/>
      <c r="W709"/>
      <c r="Y709"/>
    </row>
    <row r="710" spans="10:25" s="1" customFormat="1" x14ac:dyDescent="0.2">
      <c r="J710"/>
      <c r="K710"/>
      <c r="L710"/>
      <c r="M710"/>
      <c r="N710"/>
      <c r="O710"/>
      <c r="P710" s="2"/>
      <c r="T710"/>
      <c r="U710"/>
      <c r="V710"/>
      <c r="W710"/>
      <c r="Y710"/>
    </row>
    <row r="711" spans="10:25" s="1" customFormat="1" x14ac:dyDescent="0.2">
      <c r="J711"/>
      <c r="K711"/>
      <c r="L711"/>
      <c r="M711"/>
      <c r="N711"/>
      <c r="O711"/>
      <c r="P711" s="2"/>
      <c r="T711"/>
      <c r="U711"/>
      <c r="V711"/>
      <c r="W711"/>
      <c r="Y711"/>
    </row>
    <row r="712" spans="10:25" s="1" customFormat="1" x14ac:dyDescent="0.2">
      <c r="J712"/>
      <c r="K712"/>
      <c r="L712"/>
      <c r="M712"/>
      <c r="N712"/>
      <c r="O712"/>
      <c r="P712" s="2"/>
      <c r="T712"/>
      <c r="U712"/>
      <c r="V712"/>
      <c r="W712"/>
      <c r="Y712"/>
    </row>
    <row r="713" spans="10:25" s="1" customFormat="1" x14ac:dyDescent="0.2">
      <c r="J713"/>
      <c r="K713"/>
      <c r="L713"/>
      <c r="M713"/>
      <c r="N713"/>
      <c r="O713"/>
      <c r="P713" s="2"/>
      <c r="T713"/>
      <c r="U713"/>
      <c r="V713"/>
      <c r="W713"/>
      <c r="Y713"/>
    </row>
    <row r="714" spans="10:25" s="1" customFormat="1" x14ac:dyDescent="0.2">
      <c r="J714"/>
      <c r="K714"/>
      <c r="L714"/>
      <c r="M714"/>
      <c r="N714"/>
      <c r="O714"/>
      <c r="P714" s="2"/>
      <c r="T714"/>
      <c r="U714"/>
      <c r="V714"/>
      <c r="W714"/>
      <c r="Y714"/>
    </row>
    <row r="715" spans="10:25" s="1" customFormat="1" x14ac:dyDescent="0.2">
      <c r="J715"/>
      <c r="K715"/>
      <c r="L715"/>
      <c r="M715"/>
      <c r="N715"/>
      <c r="O715"/>
      <c r="P715" s="2"/>
      <c r="T715"/>
      <c r="U715"/>
      <c r="V715"/>
      <c r="W715"/>
      <c r="Y715"/>
    </row>
    <row r="716" spans="10:25" s="1" customFormat="1" x14ac:dyDescent="0.2">
      <c r="J716"/>
      <c r="K716"/>
      <c r="L716"/>
      <c r="M716"/>
      <c r="N716"/>
      <c r="O716"/>
      <c r="P716" s="2"/>
      <c r="T716"/>
      <c r="U716"/>
      <c r="V716"/>
      <c r="W716"/>
      <c r="Y716"/>
    </row>
    <row r="717" spans="10:25" s="1" customFormat="1" x14ac:dyDescent="0.2">
      <c r="J717"/>
      <c r="K717"/>
      <c r="L717"/>
      <c r="M717"/>
      <c r="N717"/>
      <c r="O717"/>
      <c r="P717" s="2"/>
      <c r="T717"/>
      <c r="U717"/>
      <c r="V717"/>
      <c r="W717"/>
      <c r="Y717"/>
    </row>
    <row r="718" spans="10:25" s="1" customFormat="1" x14ac:dyDescent="0.2">
      <c r="J718"/>
      <c r="K718"/>
      <c r="L718"/>
      <c r="M718"/>
      <c r="N718"/>
      <c r="O718"/>
      <c r="P718" s="2"/>
      <c r="T718"/>
      <c r="U718"/>
      <c r="V718"/>
      <c r="W718"/>
      <c r="Y718"/>
    </row>
    <row r="719" spans="10:25" s="1" customFormat="1" x14ac:dyDescent="0.2">
      <c r="J719"/>
      <c r="K719"/>
      <c r="L719"/>
      <c r="M719"/>
      <c r="N719"/>
      <c r="O719"/>
      <c r="P719" s="2"/>
      <c r="T719"/>
      <c r="U719"/>
      <c r="V719"/>
      <c r="W719"/>
      <c r="Y719"/>
    </row>
    <row r="720" spans="10:25" s="1" customFormat="1" x14ac:dyDescent="0.2">
      <c r="J720"/>
      <c r="K720"/>
      <c r="L720"/>
      <c r="M720"/>
      <c r="N720"/>
      <c r="O720"/>
      <c r="P720" s="2"/>
      <c r="T720"/>
      <c r="U720"/>
      <c r="V720"/>
      <c r="W720"/>
      <c r="Y720"/>
    </row>
    <row r="721" spans="10:25" s="1" customFormat="1" x14ac:dyDescent="0.2">
      <c r="J721"/>
      <c r="K721"/>
      <c r="L721"/>
      <c r="M721"/>
      <c r="N721"/>
      <c r="O721"/>
      <c r="P721" s="2"/>
      <c r="T721"/>
      <c r="U721"/>
      <c r="V721"/>
      <c r="W721"/>
      <c r="Y721"/>
    </row>
    <row r="722" spans="10:25" s="1" customFormat="1" x14ac:dyDescent="0.2">
      <c r="J722"/>
      <c r="K722"/>
      <c r="L722"/>
      <c r="M722"/>
      <c r="N722"/>
      <c r="O722"/>
      <c r="P722" s="2"/>
      <c r="T722"/>
      <c r="U722"/>
      <c r="V722"/>
      <c r="W722"/>
      <c r="Y722"/>
    </row>
    <row r="723" spans="10:25" s="1" customFormat="1" x14ac:dyDescent="0.2">
      <c r="J723"/>
      <c r="K723"/>
      <c r="L723"/>
      <c r="M723"/>
      <c r="N723"/>
      <c r="O723"/>
      <c r="P723" s="2"/>
      <c r="T723"/>
      <c r="U723"/>
      <c r="V723"/>
      <c r="W723"/>
      <c r="Y723"/>
    </row>
    <row r="724" spans="10:25" s="1" customFormat="1" x14ac:dyDescent="0.2">
      <c r="J724"/>
      <c r="K724"/>
      <c r="L724"/>
      <c r="M724"/>
      <c r="N724"/>
      <c r="O724"/>
      <c r="P724" s="2"/>
      <c r="T724"/>
      <c r="U724"/>
      <c r="V724"/>
      <c r="W724"/>
      <c r="Y724"/>
    </row>
    <row r="725" spans="10:25" s="1" customFormat="1" x14ac:dyDescent="0.2">
      <c r="J725"/>
      <c r="K725"/>
      <c r="L725"/>
      <c r="M725"/>
      <c r="N725"/>
      <c r="O725"/>
      <c r="P725" s="2"/>
      <c r="T725"/>
      <c r="U725"/>
      <c r="V725"/>
      <c r="W725"/>
      <c r="Y725"/>
    </row>
    <row r="726" spans="10:25" s="1" customFormat="1" x14ac:dyDescent="0.2">
      <c r="J726"/>
      <c r="K726"/>
      <c r="L726"/>
      <c r="M726"/>
      <c r="N726"/>
      <c r="O726"/>
      <c r="P726" s="2"/>
      <c r="T726"/>
      <c r="U726"/>
      <c r="V726"/>
      <c r="W726"/>
      <c r="Y726"/>
    </row>
    <row r="727" spans="10:25" s="1" customFormat="1" x14ac:dyDescent="0.2">
      <c r="J727"/>
      <c r="K727"/>
      <c r="L727"/>
      <c r="M727"/>
      <c r="N727"/>
      <c r="O727"/>
      <c r="P727" s="2"/>
      <c r="T727"/>
      <c r="U727"/>
      <c r="V727"/>
      <c r="W727"/>
      <c r="Y727"/>
    </row>
    <row r="728" spans="10:25" s="1" customFormat="1" x14ac:dyDescent="0.2">
      <c r="J728"/>
      <c r="K728"/>
      <c r="L728"/>
      <c r="M728"/>
      <c r="N728"/>
      <c r="O728"/>
      <c r="P728" s="2"/>
      <c r="T728"/>
      <c r="U728"/>
      <c r="V728"/>
      <c r="W728"/>
      <c r="Y728"/>
    </row>
    <row r="729" spans="10:25" s="1" customFormat="1" x14ac:dyDescent="0.2">
      <c r="J729"/>
      <c r="K729"/>
      <c r="L729"/>
      <c r="M729"/>
      <c r="N729"/>
      <c r="O729"/>
      <c r="P729" s="2"/>
      <c r="T729"/>
      <c r="U729"/>
      <c r="V729"/>
      <c r="W729"/>
      <c r="Y729"/>
    </row>
    <row r="730" spans="10:25" s="1" customFormat="1" x14ac:dyDescent="0.2">
      <c r="J730"/>
      <c r="K730"/>
      <c r="L730"/>
      <c r="M730"/>
      <c r="N730"/>
      <c r="O730"/>
      <c r="P730" s="2"/>
      <c r="T730"/>
      <c r="U730"/>
      <c r="V730"/>
      <c r="W730"/>
      <c r="Y730"/>
    </row>
    <row r="731" spans="10:25" s="1" customFormat="1" x14ac:dyDescent="0.2">
      <c r="J731"/>
      <c r="K731"/>
      <c r="L731"/>
      <c r="M731"/>
      <c r="N731"/>
      <c r="O731"/>
      <c r="P731" s="2"/>
      <c r="T731"/>
      <c r="U731"/>
      <c r="V731"/>
      <c r="W731"/>
      <c r="Y731"/>
    </row>
    <row r="732" spans="10:25" s="1" customFormat="1" x14ac:dyDescent="0.2">
      <c r="J732"/>
      <c r="K732"/>
      <c r="L732"/>
      <c r="M732"/>
      <c r="N732"/>
      <c r="O732"/>
      <c r="P732" s="2"/>
      <c r="T732"/>
      <c r="U732"/>
      <c r="V732"/>
      <c r="W732"/>
      <c r="Y732"/>
    </row>
    <row r="733" spans="10:25" s="1" customFormat="1" x14ac:dyDescent="0.2">
      <c r="J733"/>
      <c r="K733"/>
      <c r="L733"/>
      <c r="M733"/>
      <c r="N733"/>
      <c r="O733"/>
      <c r="P733" s="2"/>
      <c r="T733"/>
      <c r="U733"/>
      <c r="V733"/>
      <c r="W733"/>
      <c r="Y733"/>
    </row>
    <row r="734" spans="10:25" s="1" customFormat="1" x14ac:dyDescent="0.2">
      <c r="J734"/>
      <c r="K734"/>
      <c r="L734"/>
      <c r="M734"/>
      <c r="N734"/>
      <c r="O734"/>
      <c r="P734" s="2"/>
      <c r="T734"/>
      <c r="U734"/>
      <c r="V734"/>
      <c r="W734"/>
      <c r="Y734"/>
    </row>
    <row r="735" spans="10:25" s="1" customFormat="1" x14ac:dyDescent="0.2">
      <c r="J735"/>
      <c r="K735"/>
      <c r="L735"/>
      <c r="M735"/>
      <c r="N735"/>
      <c r="O735"/>
      <c r="P735" s="2"/>
      <c r="T735"/>
      <c r="U735"/>
      <c r="V735"/>
      <c r="W735"/>
      <c r="Y735"/>
    </row>
    <row r="65464" spans="13:13" x14ac:dyDescent="0.2">
      <c r="M65464">
        <v>4</v>
      </c>
    </row>
  </sheetData>
  <mergeCells count="163">
    <mergeCell ref="K33:K34"/>
    <mergeCell ref="S33:S34"/>
    <mergeCell ref="T33:T34"/>
    <mergeCell ref="B2:Y2"/>
    <mergeCell ref="Y3:AE3"/>
    <mergeCell ref="Y4:AE4"/>
    <mergeCell ref="B7:B8"/>
    <mergeCell ref="S7:S8"/>
    <mergeCell ref="U9:U10"/>
    <mergeCell ref="W9:W10"/>
    <mergeCell ref="X9:X10"/>
    <mergeCell ref="U7:U8"/>
    <mergeCell ref="W7:W8"/>
    <mergeCell ref="X7:X8"/>
    <mergeCell ref="Y5:AE5"/>
    <mergeCell ref="Y6:AE6"/>
    <mergeCell ref="K7:K8"/>
    <mergeCell ref="Y7:AE7"/>
    <mergeCell ref="Y8:AE8"/>
    <mergeCell ref="T7:T8"/>
    <mergeCell ref="J7:J8"/>
    <mergeCell ref="T9:T10"/>
    <mergeCell ref="Y15:AE15"/>
    <mergeCell ref="Y16:AE16"/>
    <mergeCell ref="T11:T12"/>
    <mergeCell ref="Y9:AE9"/>
    <mergeCell ref="U14:U15"/>
    <mergeCell ref="W14:W15"/>
    <mergeCell ref="X14:X15"/>
    <mergeCell ref="Y22:AE22"/>
    <mergeCell ref="Y10:AE10"/>
    <mergeCell ref="Y11:AE11"/>
    <mergeCell ref="Y12:AE12"/>
    <mergeCell ref="Y13:AE13"/>
    <mergeCell ref="W17:W18"/>
    <mergeCell ref="X17:X18"/>
    <mergeCell ref="U11:U12"/>
    <mergeCell ref="W11:W12"/>
    <mergeCell ref="X11:X12"/>
    <mergeCell ref="T14:T15"/>
    <mergeCell ref="T17:T18"/>
    <mergeCell ref="U17:U18"/>
    <mergeCell ref="Y14:AE14"/>
    <mergeCell ref="Y20:AE20"/>
    <mergeCell ref="Y21:AE21"/>
    <mergeCell ref="X21:X22"/>
    <mergeCell ref="E62:F62"/>
    <mergeCell ref="E63:F63"/>
    <mergeCell ref="E64:F64"/>
    <mergeCell ref="Y52:AE52"/>
    <mergeCell ref="Y53:AE53"/>
    <mergeCell ref="Y54:AE54"/>
    <mergeCell ref="Y55:AE55"/>
    <mergeCell ref="Y56:AE56"/>
    <mergeCell ref="Y57:AE57"/>
    <mergeCell ref="Y58:AE58"/>
    <mergeCell ref="Y59:AE59"/>
    <mergeCell ref="Y51:AE51"/>
    <mergeCell ref="Y60:AE60"/>
    <mergeCell ref="Y40:AE40"/>
    <mergeCell ref="B9:B10"/>
    <mergeCell ref="E9:E10"/>
    <mergeCell ref="J9:J10"/>
    <mergeCell ref="K9:K10"/>
    <mergeCell ref="M9:M10"/>
    <mergeCell ref="S9:S10"/>
    <mergeCell ref="D8:D9"/>
    <mergeCell ref="E7:E8"/>
    <mergeCell ref="M7:M8"/>
    <mergeCell ref="Y17:AE17"/>
    <mergeCell ref="Y18:AE18"/>
    <mergeCell ref="Y19:AE19"/>
    <mergeCell ref="Y29:AE29"/>
    <mergeCell ref="Y30:AE30"/>
    <mergeCell ref="Y31:AE31"/>
    <mergeCell ref="Y32:AE32"/>
    <mergeCell ref="Y41:AE41"/>
    <mergeCell ref="Y42:AE42"/>
    <mergeCell ref="Y43:AE43"/>
    <mergeCell ref="Y44:AE44"/>
    <mergeCell ref="Y45:AE45"/>
    <mergeCell ref="B25:B26"/>
    <mergeCell ref="E25:E26"/>
    <mergeCell ref="M25:M26"/>
    <mergeCell ref="J25:J26"/>
    <mergeCell ref="Y46:AE46"/>
    <mergeCell ref="Y47:AE47"/>
    <mergeCell ref="Y48:AE48"/>
    <mergeCell ref="Y49:AE49"/>
    <mergeCell ref="Y50:AE50"/>
    <mergeCell ref="Y34:AE34"/>
    <mergeCell ref="Y35:AE35"/>
    <mergeCell ref="Y36:AE36"/>
    <mergeCell ref="Y37:AE37"/>
    <mergeCell ref="Y38:AE38"/>
    <mergeCell ref="Y39:AE39"/>
    <mergeCell ref="B29:B32"/>
    <mergeCell ref="B27:B28"/>
    <mergeCell ref="U33:U34"/>
    <mergeCell ref="W33:W34"/>
    <mergeCell ref="X33:X34"/>
    <mergeCell ref="M33:M34"/>
    <mergeCell ref="B33:B34"/>
    <mergeCell ref="E33:E34"/>
    <mergeCell ref="J33:J34"/>
    <mergeCell ref="J27:J28"/>
    <mergeCell ref="K27:K28"/>
    <mergeCell ref="Y26:AE26"/>
    <mergeCell ref="Y27:AE27"/>
    <mergeCell ref="U25:U26"/>
    <mergeCell ref="W25:W26"/>
    <mergeCell ref="X25:X26"/>
    <mergeCell ref="U27:U28"/>
    <mergeCell ref="W27:W28"/>
    <mergeCell ref="X27:X28"/>
    <mergeCell ref="K21:K22"/>
    <mergeCell ref="S21:S22"/>
    <mergeCell ref="B14:B15"/>
    <mergeCell ref="E14:E15"/>
    <mergeCell ref="U21:U22"/>
    <mergeCell ref="W21:W22"/>
    <mergeCell ref="B21:B22"/>
    <mergeCell ref="M27:M28"/>
    <mergeCell ref="Y33:AE33"/>
    <mergeCell ref="Y23:AE23"/>
    <mergeCell ref="Y25:AE25"/>
    <mergeCell ref="T25:T26"/>
    <mergeCell ref="X29:X32"/>
    <mergeCell ref="M29:M32"/>
    <mergeCell ref="E29:E32"/>
    <mergeCell ref="K29:K32"/>
    <mergeCell ref="J29:J32"/>
    <mergeCell ref="T29:T32"/>
    <mergeCell ref="U29:U32"/>
    <mergeCell ref="S25:S26"/>
    <mergeCell ref="K25:K26"/>
    <mergeCell ref="E27:E28"/>
    <mergeCell ref="S27:S28"/>
    <mergeCell ref="T27:T28"/>
    <mergeCell ref="J14:J15"/>
    <mergeCell ref="K14:K15"/>
    <mergeCell ref="M14:M15"/>
    <mergeCell ref="S14:S15"/>
    <mergeCell ref="Y28:AE28"/>
    <mergeCell ref="Y24:AE24"/>
    <mergeCell ref="W29:W32"/>
    <mergeCell ref="S29:S32"/>
    <mergeCell ref="B11:B12"/>
    <mergeCell ref="E11:E12"/>
    <mergeCell ref="J11:J12"/>
    <mergeCell ref="K11:K12"/>
    <mergeCell ref="M11:M12"/>
    <mergeCell ref="S11:S12"/>
    <mergeCell ref="T21:T22"/>
    <mergeCell ref="E17:E18"/>
    <mergeCell ref="B17:B18"/>
    <mergeCell ref="J17:J18"/>
    <mergeCell ref="S17:S18"/>
    <mergeCell ref="M17:M18"/>
    <mergeCell ref="K17:K18"/>
    <mergeCell ref="E21:E22"/>
    <mergeCell ref="M21:M22"/>
    <mergeCell ref="J21:J22"/>
  </mergeCells>
  <conditionalFormatting sqref="B2 J73:J65536">
    <cfRule type="cellIs" dxfId="1751" priority="1843" stopIfTrue="1" operator="lessThan">
      <formula>438</formula>
    </cfRule>
  </conditionalFormatting>
  <conditionalFormatting sqref="I66:I72">
    <cfRule type="cellIs" dxfId="1750" priority="1821" stopIfTrue="1" operator="lessThan">
      <formula>0%</formula>
    </cfRule>
    <cfRule type="cellIs" dxfId="1749" priority="1820" stopIfTrue="1" operator="greaterThan">
      <formula>1.5%</formula>
    </cfRule>
  </conditionalFormatting>
  <conditionalFormatting sqref="I74">
    <cfRule type="cellIs" dxfId="1748" priority="1835" stopIfTrue="1" operator="lessThan">
      <formula>438</formula>
    </cfRule>
  </conditionalFormatting>
  <conditionalFormatting sqref="J3">
    <cfRule type="cellIs" dxfId="1747" priority="1278" stopIfTrue="1" operator="lessThan">
      <formula>456.25</formula>
    </cfRule>
    <cfRule type="cellIs" dxfId="1746" priority="1280" stopIfTrue="1" operator="lessThan">
      <formula>438</formula>
    </cfRule>
  </conditionalFormatting>
  <conditionalFormatting sqref="J4:J7 J9 J11">
    <cfRule type="cellIs" dxfId="1745" priority="1402" stopIfTrue="1" operator="lessThan">
      <formula>524</formula>
    </cfRule>
  </conditionalFormatting>
  <conditionalFormatting sqref="J13:J14">
    <cfRule type="cellIs" dxfId="1744" priority="475" stopIfTrue="1" operator="lessThan">
      <formula>524</formula>
    </cfRule>
  </conditionalFormatting>
  <conditionalFormatting sqref="J16:J17">
    <cfRule type="cellIs" dxfId="1743" priority="389" stopIfTrue="1" operator="lessThan">
      <formula>524</formula>
    </cfRule>
  </conditionalFormatting>
  <conditionalFormatting sqref="J19:J21">
    <cfRule type="cellIs" dxfId="1742" priority="287" stopIfTrue="1" operator="lessThan">
      <formula>524</formula>
    </cfRule>
  </conditionalFormatting>
  <conditionalFormatting sqref="J23:J25 J27 J29">
    <cfRule type="cellIs" dxfId="1741" priority="199" stopIfTrue="1" operator="lessThan">
      <formula>524</formula>
    </cfRule>
  </conditionalFormatting>
  <conditionalFormatting sqref="J33">
    <cfRule type="cellIs" dxfId="1740" priority="103" stopIfTrue="1" operator="lessThan">
      <formula>524</formula>
    </cfRule>
  </conditionalFormatting>
  <conditionalFormatting sqref="J35">
    <cfRule type="cellIs" dxfId="1739" priority="26" stopIfTrue="1" operator="lessThan">
      <formula>524</formula>
    </cfRule>
  </conditionalFormatting>
  <conditionalFormatting sqref="J40:J60">
    <cfRule type="cellIs" dxfId="1738" priority="1705" stopIfTrue="1" operator="lessThan">
      <formula>524</formula>
    </cfRule>
  </conditionalFormatting>
  <conditionalFormatting sqref="J61">
    <cfRule type="cellIs" dxfId="1737" priority="1837" stopIfTrue="1" operator="lessThan">
      <formula>462</formula>
    </cfRule>
  </conditionalFormatting>
  <conditionalFormatting sqref="J66:J72">
    <cfRule type="cellIs" dxfId="1736" priority="1840" stopIfTrue="1" operator="lessThan">
      <formula>73%</formula>
    </cfRule>
  </conditionalFormatting>
  <conditionalFormatting sqref="K13:K14">
    <cfRule type="cellIs" dxfId="1735" priority="451" stopIfTrue="1" operator="lessThan">
      <formula>540</formula>
    </cfRule>
  </conditionalFormatting>
  <conditionalFormatting sqref="K16:K17">
    <cfRule type="cellIs" dxfId="1734" priority="331" stopIfTrue="1" operator="lessThan">
      <formula>540</formula>
    </cfRule>
  </conditionalFormatting>
  <conditionalFormatting sqref="K19:K21">
    <cfRule type="cellIs" dxfId="1733" priority="263" stopIfTrue="1" operator="lessThan">
      <formula>540</formula>
    </cfRule>
  </conditionalFormatting>
  <conditionalFormatting sqref="K23:K25 K27 K29">
    <cfRule type="cellIs" dxfId="1732" priority="200" stopIfTrue="1" operator="lessThan">
      <formula>540</formula>
    </cfRule>
  </conditionalFormatting>
  <conditionalFormatting sqref="K33">
    <cfRule type="cellIs" dxfId="1731" priority="79" stopIfTrue="1" operator="lessThan">
      <formula>540</formula>
    </cfRule>
  </conditionalFormatting>
  <conditionalFormatting sqref="K35">
    <cfRule type="cellIs" dxfId="1730" priority="2" stopIfTrue="1" operator="lessThan">
      <formula>540</formula>
    </cfRule>
  </conditionalFormatting>
  <conditionalFormatting sqref="K4:L7 L8 K9 K11">
    <cfRule type="cellIs" dxfId="1729" priority="1405" stopIfTrue="1" operator="lessThan">
      <formula>540</formula>
    </cfRule>
  </conditionalFormatting>
  <conditionalFormatting sqref="K40:L59">
    <cfRule type="cellIs" dxfId="1728" priority="1706" stopIfTrue="1" operator="lessThan">
      <formula>540</formula>
    </cfRule>
  </conditionalFormatting>
  <conditionalFormatting sqref="Q4:Q62">
    <cfRule type="cellIs" dxfId="1727" priority="224" stopIfTrue="1" operator="greaterThan">
      <formula>1.1</formula>
    </cfRule>
  </conditionalFormatting>
  <conditionalFormatting sqref="Q62:Q63">
    <cfRule type="cellIs" dxfId="1726" priority="1838" stopIfTrue="1" operator="greaterThan">
      <formula>1.5%</formula>
    </cfRule>
    <cfRule type="cellIs" dxfId="1725" priority="1839" stopIfTrue="1" operator="lessThan">
      <formula>0%</formula>
    </cfRule>
  </conditionalFormatting>
  <conditionalFormatting sqref="Q66">
    <cfRule type="cellIs" dxfId="1724" priority="1822" stopIfTrue="1" operator="greaterThan">
      <formula>1.1</formula>
    </cfRule>
  </conditionalFormatting>
  <conditionalFormatting sqref="S4:T7 S9:T9 S11:T11">
    <cfRule type="cellIs" dxfId="1723" priority="1403" stopIfTrue="1" operator="lessThan">
      <formula>0.67</formula>
    </cfRule>
  </conditionalFormatting>
  <conditionalFormatting sqref="S13:T14">
    <cfRule type="cellIs" dxfId="1722" priority="433" stopIfTrue="1" operator="lessThan">
      <formula>0.67</formula>
    </cfRule>
  </conditionalFormatting>
  <conditionalFormatting sqref="S16:T17">
    <cfRule type="cellIs" dxfId="1721" priority="355" stopIfTrue="1" operator="lessThan">
      <formula>0.67</formula>
    </cfRule>
  </conditionalFormatting>
  <conditionalFormatting sqref="S19:T21">
    <cfRule type="cellIs" dxfId="1720" priority="229" stopIfTrue="1" operator="lessThan">
      <formula>0.67</formula>
    </cfRule>
  </conditionalFormatting>
  <conditionalFormatting sqref="S23:T25 S27:T27 S29:T29">
    <cfRule type="cellIs" dxfId="1719" priority="147" stopIfTrue="1" operator="lessThan">
      <formula>0.67</formula>
    </cfRule>
  </conditionalFormatting>
  <conditionalFormatting sqref="S33:T33">
    <cfRule type="cellIs" dxfId="1718" priority="45" stopIfTrue="1" operator="lessThan">
      <formula>0.67</formula>
    </cfRule>
  </conditionalFormatting>
  <conditionalFormatting sqref="S35:T60">
    <cfRule type="cellIs" dxfId="1717" priority="27" stopIfTrue="1" operator="lessThan">
      <formula>0.67</formula>
    </cfRule>
  </conditionalFormatting>
  <conditionalFormatting sqref="S61:T61">
    <cfRule type="cellIs" dxfId="1716" priority="1758" stopIfTrue="1" operator="lessThan">
      <formula>0.6</formula>
    </cfRule>
  </conditionalFormatting>
  <conditionalFormatting sqref="S66:T66">
    <cfRule type="cellIs" dxfId="1715" priority="1" stopIfTrue="1" operator="lessThan">
      <formula>0.67</formula>
    </cfRule>
  </conditionalFormatting>
  <conditionalFormatting sqref="U62:U63">
    <cfRule type="cellIs" dxfId="1714" priority="1841" stopIfTrue="1" operator="lessThan">
      <formula>73%</formula>
    </cfRule>
  </conditionalFormatting>
  <conditionalFormatting sqref="U66 W66">
    <cfRule type="cellIs" dxfId="1713" priority="1823" stopIfTrue="1" operator="lessThan">
      <formula>0.74</formula>
    </cfRule>
  </conditionalFormatting>
  <conditionalFormatting sqref="U79">
    <cfRule type="cellIs" dxfId="1712" priority="1827" stopIfTrue="1" operator="lessThan">
      <formula>0.74</formula>
    </cfRule>
  </conditionalFormatting>
  <conditionalFormatting sqref="U80">
    <cfRule type="cellIs" dxfId="1711" priority="1825" stopIfTrue="1" operator="greaterThan">
      <formula>1.1</formula>
    </cfRule>
  </conditionalFormatting>
  <conditionalFormatting sqref="U4:W7 V8 U9:W9 V10 U11:W11 V12">
    <cfRule type="cellIs" dxfId="1710" priority="1417" stopIfTrue="1" operator="lessThan">
      <formula>0.74</formula>
    </cfRule>
  </conditionalFormatting>
  <conditionalFormatting sqref="U13:W14">
    <cfRule type="cellIs" dxfId="1709" priority="435" stopIfTrue="1" operator="lessThan">
      <formula>0.74</formula>
    </cfRule>
  </conditionalFormatting>
  <conditionalFormatting sqref="U16:W17">
    <cfRule type="cellIs" dxfId="1708" priority="357" stopIfTrue="1" operator="lessThan">
      <formula>0.74</formula>
    </cfRule>
  </conditionalFormatting>
  <conditionalFormatting sqref="U19:W21">
    <cfRule type="cellIs" dxfId="1707" priority="231" stopIfTrue="1" operator="lessThan">
      <formula>0.74</formula>
    </cfRule>
  </conditionalFormatting>
  <conditionalFormatting sqref="U23:W25 U27:W27 U29:W29">
    <cfRule type="cellIs" dxfId="1706" priority="149" stopIfTrue="1" operator="lessThan">
      <formula>0.74</formula>
    </cfRule>
  </conditionalFormatting>
  <conditionalFormatting sqref="U33:W33">
    <cfRule type="cellIs" dxfId="1705" priority="47" stopIfTrue="1" operator="lessThan">
      <formula>0.74</formula>
    </cfRule>
  </conditionalFormatting>
  <conditionalFormatting sqref="U35:W61">
    <cfRule type="cellIs" dxfId="1704" priority="29" stopIfTrue="1" operator="lessThan">
      <formula>0.74</formula>
    </cfRule>
  </conditionalFormatting>
  <conditionalFormatting sqref="U3:X3">
    <cfRule type="cellIs" dxfId="1703" priority="1829" stopIfTrue="1" operator="lessThan">
      <formula>0.65</formula>
    </cfRule>
  </conditionalFormatting>
  <conditionalFormatting sqref="V15">
    <cfRule type="cellIs" dxfId="1702" priority="514" stopIfTrue="1" operator="lessThan">
      <formula>0.74</formula>
    </cfRule>
  </conditionalFormatting>
  <conditionalFormatting sqref="V18">
    <cfRule type="cellIs" dxfId="1701" priority="373" stopIfTrue="1" operator="lessThan">
      <formula>0.74</formula>
    </cfRule>
  </conditionalFormatting>
  <conditionalFormatting sqref="V22">
    <cfRule type="cellIs" dxfId="1700" priority="247" stopIfTrue="1" operator="lessThan">
      <formula>0.74</formula>
    </cfRule>
  </conditionalFormatting>
  <conditionalFormatting sqref="V26 V28 V30:V32">
    <cfRule type="cellIs" dxfId="1699" priority="165" stopIfTrue="1" operator="lessThan">
      <formula>0.74</formula>
    </cfRule>
  </conditionalFormatting>
  <conditionalFormatting sqref="V34">
    <cfRule type="cellIs" dxfId="1698" priority="63" stopIfTrue="1" operator="lessThan">
      <formula>0.74</formula>
    </cfRule>
  </conditionalFormatting>
  <conditionalFormatting sqref="V62:X63">
    <cfRule type="cellIs" dxfId="1697" priority="1842" stopIfTrue="1" operator="lessThan">
      <formula>75%</formula>
    </cfRule>
  </conditionalFormatting>
  <conditionalFormatting sqref="W79:X79">
    <cfRule type="cellIs" dxfId="1696" priority="1826" stopIfTrue="1" operator="lessThan">
      <formula>0.74</formula>
    </cfRule>
  </conditionalFormatting>
  <conditionalFormatting sqref="X4:X7 X9 X11">
    <cfRule type="cellIs" dxfId="1695" priority="1404" stopIfTrue="1" operator="lessThan">
      <formula>0.95</formula>
    </cfRule>
  </conditionalFormatting>
  <conditionalFormatting sqref="X13:X14">
    <cfRule type="cellIs" dxfId="1694" priority="434" stopIfTrue="1" operator="lessThan">
      <formula>0.95</formula>
    </cfRule>
  </conditionalFormatting>
  <conditionalFormatting sqref="X16:X17">
    <cfRule type="cellIs" dxfId="1693" priority="356" stopIfTrue="1" operator="lessThan">
      <formula>0.95</formula>
    </cfRule>
  </conditionalFormatting>
  <conditionalFormatting sqref="X19:X21">
    <cfRule type="cellIs" dxfId="1692" priority="230" stopIfTrue="1" operator="lessThan">
      <formula>0.95</formula>
    </cfRule>
  </conditionalFormatting>
  <conditionalFormatting sqref="X23:X25 X27 X29">
    <cfRule type="cellIs" dxfId="1691" priority="148" stopIfTrue="1" operator="lessThan">
      <formula>0.95</formula>
    </cfRule>
  </conditionalFormatting>
  <conditionalFormatting sqref="X33">
    <cfRule type="cellIs" dxfId="1690" priority="46" stopIfTrue="1" operator="lessThan">
      <formula>0.95</formula>
    </cfRule>
  </conditionalFormatting>
  <conditionalFormatting sqref="X35:X61">
    <cfRule type="cellIs" dxfId="1689" priority="28" stopIfTrue="1" operator="lessThan">
      <formula>0.95</formula>
    </cfRule>
  </conditionalFormatting>
  <conditionalFormatting sqref="X65">
    <cfRule type="cellIs" dxfId="1688" priority="477" stopIfTrue="1" operator="lessThan">
      <formula>0.65</formula>
    </cfRule>
  </conditionalFormatting>
  <conditionalFormatting sqref="X66">
    <cfRule type="cellIs" dxfId="1687" priority="476" stopIfTrue="1" operator="lessThan">
      <formula>0.95</formula>
    </cfRule>
  </conditionalFormatting>
  <printOptions horizontalCentered="1"/>
  <pageMargins left="0.10312499999999999" right="0.5" top="0.25" bottom="0.27" header="0.25" footer="0.27"/>
  <pageSetup paperSize="5" scale="40" fitToHeight="0" orientation="landscape"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3ACD-980E-451C-A7D6-DE4438277AD6}">
  <sheetPr codeName="Sheet14">
    <pageSetUpPr fitToPage="1"/>
  </sheetPr>
  <dimension ref="A2:AF65465"/>
  <sheetViews>
    <sheetView showZeros="0" showWhiteSpace="0" zoomScale="70" zoomScaleNormal="70" workbookViewId="0">
      <pane xSplit="3" ySplit="3" topLeftCell="D32" activePane="bottomRight" state="frozen"/>
      <selection activeCell="M66" sqref="M66"/>
      <selection pane="topRight" activeCell="M66" sqref="M66"/>
      <selection pane="bottomLeft" activeCell="M66" sqref="M66"/>
      <selection pane="bottomRight" activeCell="M66" sqref="M66"/>
    </sheetView>
  </sheetViews>
  <sheetFormatPr defaultColWidth="9.42578125" defaultRowHeight="12.75" x14ac:dyDescent="0.2"/>
  <cols>
    <col min="1" max="1" width="3.42578125" customWidth="1"/>
    <col min="2" max="2" width="15.42578125" style="1" bestFit="1" customWidth="1"/>
    <col min="3" max="3" width="32.42578125" style="1" customWidth="1"/>
    <col min="4" max="4" width="14.42578125" style="1" customWidth="1"/>
    <col min="5" max="5" width="12.5703125" style="1" customWidth="1"/>
    <col min="6" max="6" width="12.42578125" style="1" customWidth="1"/>
    <col min="7" max="7" width="12.42578125" customWidth="1"/>
    <col min="8" max="8" width="13.42578125" customWidth="1"/>
    <col min="9" max="9" width="11.42578125" style="1" customWidth="1"/>
    <col min="10" max="10" width="14.42578125" customWidth="1"/>
    <col min="11" max="11" width="17.42578125" customWidth="1"/>
    <col min="12" max="12" width="4.5703125" hidden="1" customWidth="1"/>
    <col min="13" max="13" width="10.5703125" customWidth="1"/>
    <col min="14" max="14" width="10.42578125" customWidth="1"/>
    <col min="15" max="15" width="10" customWidth="1"/>
    <col min="16" max="16" width="12" style="2" customWidth="1"/>
    <col min="17" max="17" width="14.42578125" style="1" customWidth="1"/>
    <col min="18" max="18" width="7.5703125" style="1" hidden="1" customWidth="1"/>
    <col min="19" max="19" width="16.42578125" style="1" customWidth="1"/>
    <col min="20" max="20" width="17.42578125" customWidth="1"/>
    <col min="21" max="21" width="13.42578125" customWidth="1"/>
    <col min="22" max="22" width="12.5703125" customWidth="1"/>
    <col min="23" max="23" width="14.5703125" style="1" customWidth="1"/>
    <col min="24" max="24" width="12" customWidth="1"/>
    <col min="25" max="25" width="17" customWidth="1"/>
    <col min="26" max="26" width="15.42578125" customWidth="1"/>
    <col min="27" max="27" width="15.5703125" customWidth="1"/>
    <col min="28" max="28" width="14" customWidth="1"/>
    <col min="29" max="29" width="25.5703125" customWidth="1"/>
    <col min="30" max="30" width="52.42578125" customWidth="1"/>
  </cols>
  <sheetData>
    <row r="2" spans="2:32" ht="24" thickBot="1" x14ac:dyDescent="0.4">
      <c r="B2" s="1022" t="s">
        <v>406</v>
      </c>
      <c r="C2" s="1022"/>
      <c r="D2" s="1022"/>
      <c r="E2" s="1022"/>
      <c r="F2" s="1022"/>
      <c r="G2" s="1022"/>
      <c r="H2" s="1022"/>
      <c r="I2" s="1022"/>
      <c r="J2" s="1022"/>
      <c r="K2" s="1022"/>
      <c r="L2" s="1022"/>
      <c r="M2" s="1022"/>
      <c r="N2" s="1022"/>
      <c r="O2" s="1022"/>
      <c r="P2" s="1022"/>
      <c r="Q2" s="1022"/>
      <c r="R2" s="1022"/>
      <c r="S2" s="1022"/>
      <c r="T2" s="1022"/>
      <c r="U2" s="1022"/>
      <c r="V2" s="1022"/>
      <c r="W2" s="1065"/>
      <c r="X2" s="1065"/>
    </row>
    <row r="3" spans="2:32" ht="67.5" customHeight="1" thickTop="1" thickBot="1" x14ac:dyDescent="0.25">
      <c r="B3" s="37" t="s">
        <v>0</v>
      </c>
      <c r="C3" s="38" t="s">
        <v>2</v>
      </c>
      <c r="D3" s="38" t="s">
        <v>12</v>
      </c>
      <c r="E3" s="38" t="s">
        <v>11</v>
      </c>
      <c r="F3" s="38" t="s">
        <v>15</v>
      </c>
      <c r="G3" s="38" t="s">
        <v>9</v>
      </c>
      <c r="H3" s="38" t="s">
        <v>17</v>
      </c>
      <c r="I3" s="38" t="s">
        <v>5</v>
      </c>
      <c r="J3" s="38" t="s">
        <v>494</v>
      </c>
      <c r="K3" s="38" t="s">
        <v>4</v>
      </c>
      <c r="L3" s="38" t="s">
        <v>540</v>
      </c>
      <c r="M3" s="38" t="s">
        <v>161</v>
      </c>
      <c r="N3" s="38" t="s">
        <v>10</v>
      </c>
      <c r="O3" s="38" t="s">
        <v>622</v>
      </c>
      <c r="P3" s="294" t="s">
        <v>34</v>
      </c>
      <c r="Q3" s="40" t="s">
        <v>55</v>
      </c>
      <c r="R3" s="40" t="s">
        <v>8</v>
      </c>
      <c r="S3" s="41" t="s">
        <v>464</v>
      </c>
      <c r="T3" s="41" t="s">
        <v>473</v>
      </c>
      <c r="U3" s="41" t="s">
        <v>307</v>
      </c>
      <c r="V3" s="282" t="s">
        <v>308</v>
      </c>
      <c r="W3" s="283" t="s">
        <v>425</v>
      </c>
      <c r="X3" s="1066" t="s">
        <v>1</v>
      </c>
      <c r="Y3" s="1067"/>
      <c r="Z3" s="1067"/>
      <c r="AA3" s="1067"/>
      <c r="AB3" s="1067"/>
      <c r="AC3" s="1067"/>
      <c r="AD3" s="1068"/>
      <c r="AE3">
        <v>15000</v>
      </c>
      <c r="AF3">
        <v>17000</v>
      </c>
    </row>
    <row r="4" spans="2:32" s="19" customFormat="1" ht="93" customHeight="1" thickTop="1" x14ac:dyDescent="0.2">
      <c r="B4" s="168">
        <f>[3]July_2017!$B8</f>
        <v>42919</v>
      </c>
      <c r="C4" s="26" t="str">
        <f>[3]July_2017!$D8</f>
        <v>VITAMALT</v>
      </c>
      <c r="D4" s="27">
        <v>4000</v>
      </c>
      <c r="E4" s="28">
        <v>0.3611111111111111</v>
      </c>
      <c r="F4" s="29">
        <f>SUM([3]July_2017!$J8)</f>
        <v>296.5</v>
      </c>
      <c r="G4" s="30">
        <f>SUM([3]July_2017!$F8)</f>
        <v>3949</v>
      </c>
      <c r="H4" s="29">
        <f>SUM([3]July_2017!$K8)</f>
        <v>293.80559999999997</v>
      </c>
      <c r="I4" s="31">
        <f>SUM([3]July_2017!$N8)</f>
        <v>19</v>
      </c>
      <c r="J4" s="32">
        <f>SUM([3]July_2017!$Q8)</f>
        <v>365.64814814814815</v>
      </c>
      <c r="K4" s="32">
        <f>SUM([3]July_2017!$E8)</f>
        <v>648</v>
      </c>
      <c r="L4" s="32">
        <v>412</v>
      </c>
      <c r="M4" s="169">
        <v>0.80347222222222225</v>
      </c>
      <c r="N4" s="32">
        <f>SUM([3]July_2017!$M8)</f>
        <v>166</v>
      </c>
      <c r="O4" s="236"/>
      <c r="P4" s="32"/>
      <c r="Q4" s="33">
        <f>SUM([3]July_2017!$P8)</f>
        <v>0.90873524451940313</v>
      </c>
      <c r="R4" s="32"/>
      <c r="S4" s="129">
        <f>($G4)/(($K4/60)*AE$3*(1/24))</f>
        <v>0.58503703703703702</v>
      </c>
      <c r="T4" s="129">
        <f>($G4)/(($K4/60)*AF$3*(1/24))</f>
        <v>0.51620915032679737</v>
      </c>
      <c r="U4" s="129">
        <f t="shared" ref="U4:U9" si="0">($G4)*24/($K4/60)/$AE$3</f>
        <v>0.58503703703703702</v>
      </c>
      <c r="V4" s="227">
        <f t="shared" ref="V4:V9" si="1">($G4)*24/($K4/60)/$AF$3</f>
        <v>0.51620915032679737</v>
      </c>
      <c r="W4" s="233">
        <f>(722-(N4))/722</f>
        <v>0.77008310249307477</v>
      </c>
      <c r="X4" s="1059" t="s">
        <v>601</v>
      </c>
      <c r="Y4" s="1060"/>
      <c r="Z4" s="1060"/>
      <c r="AA4" s="1060"/>
      <c r="AB4" s="1060"/>
      <c r="AC4" s="1060"/>
      <c r="AD4" s="1061"/>
    </row>
    <row r="5" spans="2:32" s="19" customFormat="1" ht="71.25" customHeight="1" x14ac:dyDescent="0.2">
      <c r="B5" s="168">
        <f>[3]July_2017!$B9</f>
        <v>42920</v>
      </c>
      <c r="C5" s="26" t="str">
        <f>[3]July_2017!$D9</f>
        <v>GUINNESS</v>
      </c>
      <c r="D5" s="27">
        <v>5600</v>
      </c>
      <c r="E5" s="28">
        <v>0.34027777777777773</v>
      </c>
      <c r="F5" s="29">
        <f>SUM([3]July_2017!$J9)</f>
        <v>361.3</v>
      </c>
      <c r="G5" s="30">
        <f>SUM([3]July_2017!$F9)</f>
        <v>5451</v>
      </c>
      <c r="H5" s="29">
        <f>SUM([3]July_2017!$K9)</f>
        <v>359.76600000000002</v>
      </c>
      <c r="I5" s="31">
        <f>SUM([3]July_2017!$N9)</f>
        <v>43</v>
      </c>
      <c r="J5" s="32">
        <f>SUM([3]July_2017!$Q9)</f>
        <v>529.22330097087377</v>
      </c>
      <c r="K5" s="32">
        <f>SUM([3]July_2017!$E9)</f>
        <v>618</v>
      </c>
      <c r="L5" s="32">
        <v>413</v>
      </c>
      <c r="M5" s="169">
        <v>0.7895833333333333</v>
      </c>
      <c r="N5" s="32">
        <f>SUM([3]July_2017!$M9)</f>
        <v>76</v>
      </c>
      <c r="O5" s="236"/>
      <c r="P5" s="32"/>
      <c r="Q5" s="33">
        <f>SUM([3]July_2017!$P9)</f>
        <v>0.42457791309161136</v>
      </c>
      <c r="R5" s="32"/>
      <c r="S5" s="129">
        <f>($G5)/(($K5/60)*AE$3*(1/24))</f>
        <v>0.84675728155339802</v>
      </c>
      <c r="T5" s="129">
        <f>($G5)/(($K5/60)*AF$3*(1/24))</f>
        <v>0.74713877784123361</v>
      </c>
      <c r="U5" s="129">
        <f t="shared" si="0"/>
        <v>0.84675728155339791</v>
      </c>
      <c r="V5" s="227">
        <f t="shared" si="1"/>
        <v>0.7471387778412335</v>
      </c>
      <c r="W5" s="233">
        <f>(712-(N5))/712</f>
        <v>0.8932584269662921</v>
      </c>
      <c r="X5" s="1059" t="s">
        <v>602</v>
      </c>
      <c r="Y5" s="1060"/>
      <c r="Z5" s="1060"/>
      <c r="AA5" s="1060"/>
      <c r="AB5" s="1060"/>
      <c r="AC5" s="1060"/>
      <c r="AD5" s="1061"/>
    </row>
    <row r="6" spans="2:32" s="19" customFormat="1" ht="59.25" customHeight="1" x14ac:dyDescent="0.2">
      <c r="B6" s="168">
        <f>[3]July_2017!$B10</f>
        <v>42921</v>
      </c>
      <c r="C6" s="26" t="str">
        <f>[3]July_2017!$D10</f>
        <v>CARIB (AMBER)</v>
      </c>
      <c r="D6" s="27">
        <v>5600</v>
      </c>
      <c r="E6" s="28">
        <v>0.36944444444444446</v>
      </c>
      <c r="F6" s="29">
        <f>SUM([3]July_2017!$J10)</f>
        <v>375.59999999999997</v>
      </c>
      <c r="G6" s="30">
        <f>SUM([3]July_2017!$F10)</f>
        <v>5452</v>
      </c>
      <c r="H6" s="29">
        <f>SUM([3]July_2017!$K10)</f>
        <v>372.18200000000002</v>
      </c>
      <c r="I6" s="31">
        <f>SUM([3]July_2017!$N10)</f>
        <v>28</v>
      </c>
      <c r="J6" s="32">
        <f>SUM([3]July_2017!$Q10)</f>
        <v>587.28904847396768</v>
      </c>
      <c r="K6" s="32">
        <f>SUM([3]July_2017!$E10)</f>
        <v>557</v>
      </c>
      <c r="L6" s="32">
        <v>414</v>
      </c>
      <c r="M6" s="169">
        <v>0.78819444444444453</v>
      </c>
      <c r="N6" s="32">
        <f>SUM([3]July_2017!$M10)</f>
        <v>111</v>
      </c>
      <c r="O6" s="236"/>
      <c r="P6" s="32">
        <f>[3]July_2017!$H$10</f>
        <v>367</v>
      </c>
      <c r="Q6" s="33">
        <f>SUM([3]July_2017!$P10)</f>
        <v>0.91001064962724976</v>
      </c>
      <c r="R6" s="32"/>
      <c r="S6" s="129">
        <f>($G6)/((($K6+62)/60)*AE$3*(1/24))</f>
        <v>0.8455444264943458</v>
      </c>
      <c r="T6" s="129">
        <f>($G6)/((($K6+62)/60)*AF$3*(1/24))</f>
        <v>0.74606861161265803</v>
      </c>
      <c r="U6" s="129">
        <f t="shared" si="0"/>
        <v>0.93966247755834831</v>
      </c>
      <c r="V6" s="227">
        <f t="shared" si="1"/>
        <v>0.82911395078677796</v>
      </c>
      <c r="W6" s="233">
        <f>(715-(N6))/715</f>
        <v>0.84475524475524477</v>
      </c>
      <c r="X6" s="1059" t="s">
        <v>603</v>
      </c>
      <c r="Y6" s="1060"/>
      <c r="Z6" s="1060"/>
      <c r="AA6" s="1060"/>
      <c r="AB6" s="1060"/>
      <c r="AC6" s="1060"/>
      <c r="AD6" s="1061"/>
    </row>
    <row r="7" spans="2:32" s="19" customFormat="1" ht="60" customHeight="1" x14ac:dyDescent="0.2">
      <c r="B7" s="168">
        <f>[3]July_2017!$B11</f>
        <v>42922</v>
      </c>
      <c r="C7" s="26" t="str">
        <f>[3]July_2017!$D11</f>
        <v>STAG</v>
      </c>
      <c r="D7" s="27">
        <v>5600</v>
      </c>
      <c r="E7" s="28">
        <v>0.5708333333333333</v>
      </c>
      <c r="F7" s="29">
        <f>SUM([3]July_2017!$J11)</f>
        <v>135.30000000000001</v>
      </c>
      <c r="G7" s="30">
        <f>SUM([3]July_2017!$F11)</f>
        <v>2025</v>
      </c>
      <c r="H7" s="29">
        <f>SUM([3]July_2017!$K11)</f>
        <v>133.65</v>
      </c>
      <c r="I7" s="31">
        <f>SUM([3]July_2017!$N11)</f>
        <v>11</v>
      </c>
      <c r="J7" s="32">
        <f>SUM([3]July_2017!$Q11)</f>
        <v>199.83552631578948</v>
      </c>
      <c r="K7" s="32">
        <f>SUM([3]July_2017!$E11)</f>
        <v>608</v>
      </c>
      <c r="L7" s="32">
        <v>415</v>
      </c>
      <c r="M7" s="169">
        <v>0.77777777777777779</v>
      </c>
      <c r="N7" s="32">
        <f>SUM([3]July_2017!$M11)</f>
        <v>376</v>
      </c>
      <c r="O7" s="236"/>
      <c r="P7" s="32"/>
      <c r="Q7" s="33">
        <f>SUM([3]July_2017!$P11)</f>
        <v>1.2195121951219552</v>
      </c>
      <c r="R7" s="32"/>
      <c r="S7" s="129">
        <f t="shared" ref="S7:T9" si="2">($G7)/(($K7/60)*AE$3*(1/24))</f>
        <v>0.31973684210526315</v>
      </c>
      <c r="T7" s="129">
        <f t="shared" si="2"/>
        <v>0.28212074303405577</v>
      </c>
      <c r="U7" s="129">
        <f t="shared" si="0"/>
        <v>0.31973684210526315</v>
      </c>
      <c r="V7" s="227">
        <f t="shared" si="1"/>
        <v>0.28212074303405571</v>
      </c>
      <c r="W7" s="233">
        <f>(696-(N7))/696</f>
        <v>0.45977011494252873</v>
      </c>
      <c r="X7" s="1059" t="s">
        <v>604</v>
      </c>
      <c r="Y7" s="1060"/>
      <c r="Z7" s="1060"/>
      <c r="AA7" s="1060"/>
      <c r="AB7" s="1060"/>
      <c r="AC7" s="1060"/>
      <c r="AD7" s="1061"/>
    </row>
    <row r="8" spans="2:32" s="19" customFormat="1" ht="92.25" customHeight="1" x14ac:dyDescent="0.2">
      <c r="B8" s="168">
        <f>[3]July_2017!$B12</f>
        <v>42923</v>
      </c>
      <c r="C8" s="26" t="str">
        <f>[3]July_2017!$D12</f>
        <v>STAG</v>
      </c>
      <c r="D8" s="27">
        <v>4200</v>
      </c>
      <c r="E8" s="28">
        <v>0.3576388888888889</v>
      </c>
      <c r="F8" s="29">
        <f>SUM([3]July_2017!$J12)</f>
        <v>255.79999999999998</v>
      </c>
      <c r="G8" s="30">
        <f>SUM([3]July_2017!$F12)</f>
        <v>3694</v>
      </c>
      <c r="H8" s="29">
        <f>SUM([3]July_2017!$K12)</f>
        <v>251.59399999999999</v>
      </c>
      <c r="I8" s="31">
        <f>SUM([3]July_2017!$N12)</f>
        <v>45</v>
      </c>
      <c r="J8" s="32">
        <f>SUM([3]July_2017!$Q12)</f>
        <v>390.89947089947094</v>
      </c>
      <c r="K8" s="32">
        <f>SUM([3]July_2017!$E12)</f>
        <v>567</v>
      </c>
      <c r="L8" s="32">
        <v>416</v>
      </c>
      <c r="M8" s="169">
        <v>0.75</v>
      </c>
      <c r="N8" s="32">
        <f>SUM([3]July_2017!$M12)</f>
        <v>151</v>
      </c>
      <c r="O8" s="236"/>
      <c r="P8" s="32">
        <v>2</v>
      </c>
      <c r="Q8" s="33">
        <f>SUM([3]July_2017!$P12)</f>
        <v>1.6442533229085181</v>
      </c>
      <c r="R8" s="32"/>
      <c r="S8" s="129">
        <f t="shared" si="2"/>
        <v>0.62543915343915346</v>
      </c>
      <c r="T8" s="129">
        <f t="shared" si="2"/>
        <v>0.55185807656395891</v>
      </c>
      <c r="U8" s="129">
        <f t="shared" si="0"/>
        <v>0.62543915343915346</v>
      </c>
      <c r="V8" s="227">
        <f t="shared" si="1"/>
        <v>0.55185807656395891</v>
      </c>
      <c r="W8" s="233">
        <f>(655-(N8))/655</f>
        <v>0.76946564885496183</v>
      </c>
      <c r="X8" s="1059" t="s">
        <v>633</v>
      </c>
      <c r="Y8" s="1060"/>
      <c r="Z8" s="1060"/>
      <c r="AA8" s="1060"/>
      <c r="AB8" s="1060"/>
      <c r="AC8" s="1060"/>
      <c r="AD8" s="1061"/>
    </row>
    <row r="9" spans="2:32" s="19" customFormat="1" ht="138.75" customHeight="1" x14ac:dyDescent="0.2">
      <c r="B9" s="168">
        <f>[3]July_2017!$B13</f>
        <v>42926</v>
      </c>
      <c r="C9" s="26" t="str">
        <f>[3]July_2017!$D13</f>
        <v>STAG</v>
      </c>
      <c r="D9" s="27">
        <v>5600</v>
      </c>
      <c r="E9" s="28">
        <v>0.34236111111111112</v>
      </c>
      <c r="F9" s="29">
        <f>SUM([3]July_2017!$J13)</f>
        <v>310.60000000000002</v>
      </c>
      <c r="G9" s="30">
        <f>SUM([3]July_2017!$F13)</f>
        <v>4689</v>
      </c>
      <c r="H9" s="29">
        <f>SUM([3]July_2017!$K13)</f>
        <v>309.47399999999999</v>
      </c>
      <c r="I9" s="31">
        <f>SUM([3]July_2017!$N13)</f>
        <v>35.75</v>
      </c>
      <c r="J9" s="32">
        <f>SUM([3]July_2017!$Q13)</f>
        <v>443.75394321766561</v>
      </c>
      <c r="K9" s="32">
        <f>SUM([3]July_2017!$E13)</f>
        <v>634</v>
      </c>
      <c r="L9" s="32">
        <v>417</v>
      </c>
      <c r="M9" s="169">
        <v>0.79236111111111107</v>
      </c>
      <c r="N9" s="32">
        <f>SUM([3]July_2017!$M13)</f>
        <v>159</v>
      </c>
      <c r="O9" s="236"/>
      <c r="P9" s="32">
        <f>[3]July_2017!$H$13</f>
        <v>328</v>
      </c>
      <c r="Q9" s="33">
        <f>SUM([3]July_2017!$P13)</f>
        <v>0.3625241468126314</v>
      </c>
      <c r="R9" s="32"/>
      <c r="S9" s="129">
        <f t="shared" si="2"/>
        <v>0.71000630914826501</v>
      </c>
      <c r="T9" s="129">
        <f t="shared" si="2"/>
        <v>0.626476155130822</v>
      </c>
      <c r="U9" s="129">
        <f t="shared" si="0"/>
        <v>0.7100063091482649</v>
      </c>
      <c r="V9" s="227">
        <f t="shared" si="1"/>
        <v>0.626476155130822</v>
      </c>
      <c r="W9" s="233">
        <f>(700-(N9))/700</f>
        <v>0.77285714285714291</v>
      </c>
      <c r="X9" s="1106" t="s">
        <v>632</v>
      </c>
      <c r="Y9" s="1107"/>
      <c r="Z9" s="1107"/>
      <c r="AA9" s="1107"/>
      <c r="AB9" s="1107"/>
      <c r="AC9" s="1107"/>
      <c r="AD9" s="1108"/>
    </row>
    <row r="10" spans="2:32" s="19" customFormat="1" ht="42.75" customHeight="1" x14ac:dyDescent="0.2">
      <c r="B10" s="1037">
        <f>[3]July_2017!$B14</f>
        <v>42927</v>
      </c>
      <c r="C10" s="26" t="str">
        <f>[3]July_2017!$D14</f>
        <v>JCOOL (ORANGE)</v>
      </c>
      <c r="D10" s="27">
        <v>1150</v>
      </c>
      <c r="E10" s="1051">
        <v>0.35069444444444442</v>
      </c>
      <c r="F10" s="29">
        <f>SUM([3]July_2017!$J14)</f>
        <v>90.4</v>
      </c>
      <c r="G10" s="30">
        <f>SUM([3]July_2017!$F14)</f>
        <v>1141</v>
      </c>
      <c r="H10" s="29">
        <f>SUM([3]July_2017!$K14)</f>
        <v>90.138999999999996</v>
      </c>
      <c r="I10" s="31">
        <f>SUM([3]July_2017!$N14)</f>
        <v>6.5</v>
      </c>
      <c r="J10" s="991">
        <f>SUM([3]July_2017!$Q14)</f>
        <v>403.70149253731347</v>
      </c>
      <c r="K10" s="991">
        <f>SUM([3]July_2017!$E14)</f>
        <v>670</v>
      </c>
      <c r="L10" s="32">
        <v>418</v>
      </c>
      <c r="M10" s="1017">
        <v>0.8222222222222223</v>
      </c>
      <c r="N10" s="32">
        <f>SUM([3]July_2017!$M14)</f>
        <v>72</v>
      </c>
      <c r="O10" s="236"/>
      <c r="P10" s="32"/>
      <c r="Q10" s="33">
        <f>SUM([3]July_2017!$P14)</f>
        <v>0.28871681415930295</v>
      </c>
      <c r="R10" s="32"/>
      <c r="S10" s="1039">
        <f>($G10+G11+G12+G13)/(($K10/60)*AE$3*(1/24))</f>
        <v>0.64592238805970159</v>
      </c>
      <c r="T10" s="1039">
        <f>($G10+G11+G12+G13)/(($K10/60)*AF$3*(1/24))</f>
        <v>0.5699315188762073</v>
      </c>
      <c r="U10" s="1039">
        <f>($G10+G11+G12+G13)*24/($K10/60)/$AE$3</f>
        <v>0.64592238805970159</v>
      </c>
      <c r="V10" s="1047">
        <f>($G10+G11+G12+G13)*24/($K10/60)/$AF$3</f>
        <v>0.5699315188762073</v>
      </c>
      <c r="W10" s="1035">
        <f>(757-(N10+N11+N12+N13))/757</f>
        <v>0.75825627476882429</v>
      </c>
      <c r="X10" s="1106" t="s">
        <v>634</v>
      </c>
      <c r="Y10" s="1107"/>
      <c r="Z10" s="1107"/>
      <c r="AA10" s="1107"/>
      <c r="AB10" s="1107"/>
      <c r="AC10" s="1107"/>
      <c r="AD10" s="1108"/>
    </row>
    <row r="11" spans="2:32" s="19" customFormat="1" ht="28.5" customHeight="1" x14ac:dyDescent="0.2">
      <c r="B11" s="1050"/>
      <c r="C11" s="26" t="str">
        <f>[3]July_2017!$D15</f>
        <v>JCOOL (BANANA)</v>
      </c>
      <c r="D11" s="27">
        <v>1150</v>
      </c>
      <c r="E11" s="1052"/>
      <c r="F11" s="29">
        <f>SUM([3]July_2017!$J15)</f>
        <v>90.4</v>
      </c>
      <c r="G11" s="30">
        <f>SUM([3]July_2017!$F15)</f>
        <v>1094</v>
      </c>
      <c r="H11" s="29">
        <f>SUM([3]July_2017!$K15)</f>
        <v>86.426000000000002</v>
      </c>
      <c r="I11" s="31">
        <f>SUM([3]July_2017!$N15)</f>
        <v>6.25</v>
      </c>
      <c r="J11" s="1042"/>
      <c r="K11" s="1042"/>
      <c r="L11" s="32">
        <v>419</v>
      </c>
      <c r="M11" s="1055"/>
      <c r="N11" s="32">
        <f>SUM([3]July_2017!$M15)</f>
        <v>46</v>
      </c>
      <c r="O11" s="32">
        <f>[4]Jul!$I15</f>
        <v>25</v>
      </c>
      <c r="P11" s="32"/>
      <c r="Q11" s="33">
        <f>SUM([3]July_2017!$P15)</f>
        <v>4.3960176991150481</v>
      </c>
      <c r="R11" s="32"/>
      <c r="S11" s="1041"/>
      <c r="T11" s="1041"/>
      <c r="U11" s="1041"/>
      <c r="V11" s="1049"/>
      <c r="W11" s="1054"/>
      <c r="X11" s="1106" t="s">
        <v>624</v>
      </c>
      <c r="Y11" s="1107"/>
      <c r="Z11" s="1107"/>
      <c r="AA11" s="1107"/>
      <c r="AB11" s="1107"/>
      <c r="AC11" s="1107"/>
      <c r="AD11" s="1108"/>
    </row>
    <row r="12" spans="2:32" s="19" customFormat="1" ht="26.25" customHeight="1" x14ac:dyDescent="0.2">
      <c r="B12" s="1050"/>
      <c r="C12" s="26" t="str">
        <f>[3]July_2017!$D16</f>
        <v>JCOOL (GRAPE)</v>
      </c>
      <c r="D12" s="27">
        <v>1150</v>
      </c>
      <c r="E12" s="1052"/>
      <c r="F12" s="29">
        <f>SUM([3]July_2017!$J16)</f>
        <v>94.920000000000016</v>
      </c>
      <c r="G12" s="30">
        <f>SUM([3]July_2017!$F16)</f>
        <v>1147</v>
      </c>
      <c r="H12" s="29">
        <f>SUM([3]July_2017!$K16)</f>
        <v>90.613</v>
      </c>
      <c r="I12" s="31">
        <f>SUM([3]July_2017!$N16)</f>
        <v>8</v>
      </c>
      <c r="J12" s="1042"/>
      <c r="K12" s="1042"/>
      <c r="L12" s="32">
        <v>420</v>
      </c>
      <c r="M12" s="1055"/>
      <c r="N12" s="32">
        <f>SUM([3]July_2017!$M16)</f>
        <v>24</v>
      </c>
      <c r="O12" s="32">
        <f>[4]Jul!$I16</f>
        <v>20</v>
      </c>
      <c r="P12" s="32"/>
      <c r="Q12" s="33">
        <f>SUM([3]July_2017!$P16)</f>
        <v>4.5375052675937795</v>
      </c>
      <c r="R12" s="32"/>
      <c r="S12" s="1041"/>
      <c r="T12" s="1041"/>
      <c r="U12" s="1041"/>
      <c r="V12" s="1049"/>
      <c r="W12" s="1054"/>
      <c r="X12" s="1106" t="s">
        <v>623</v>
      </c>
      <c r="Y12" s="1107"/>
      <c r="Z12" s="1107"/>
      <c r="AA12" s="1107"/>
      <c r="AB12" s="1107"/>
      <c r="AC12" s="1107"/>
      <c r="AD12" s="1108"/>
    </row>
    <row r="13" spans="2:32" s="19" customFormat="1" ht="29.25" customHeight="1" x14ac:dyDescent="0.2">
      <c r="B13" s="1038"/>
      <c r="C13" s="26" t="str">
        <f>[3]July_2017!$D17</f>
        <v>GINGER</v>
      </c>
      <c r="D13" s="27">
        <v>1150</v>
      </c>
      <c r="E13" s="1053"/>
      <c r="F13" s="29">
        <f>SUM([3]July_2017!$J17)</f>
        <v>90.4</v>
      </c>
      <c r="G13" s="30">
        <f>SUM([3]July_2017!$F17)</f>
        <v>1126</v>
      </c>
      <c r="H13" s="29">
        <f>SUM([3]July_2017!$K17)</f>
        <v>88.954000000000008</v>
      </c>
      <c r="I13" s="31">
        <f>SUM([3]July_2017!$N17)</f>
        <v>3</v>
      </c>
      <c r="J13" s="992"/>
      <c r="K13" s="992"/>
      <c r="L13" s="32"/>
      <c r="M13" s="1018"/>
      <c r="N13" s="32">
        <f>SUM([3]July_2017!$M17)</f>
        <v>41</v>
      </c>
      <c r="O13" s="350">
        <f>[4]Jul!$I17</f>
        <v>33</v>
      </c>
      <c r="P13" s="32"/>
      <c r="Q13" s="33">
        <f>SUM([3]July_2017!$P17)</f>
        <v>1.5995575221238914</v>
      </c>
      <c r="R13" s="32"/>
      <c r="S13" s="1040"/>
      <c r="T13" s="1040"/>
      <c r="U13" s="1040"/>
      <c r="V13" s="1048"/>
      <c r="W13" s="1036"/>
      <c r="X13" s="1106" t="s">
        <v>625</v>
      </c>
      <c r="Y13" s="1107"/>
      <c r="Z13" s="1107"/>
      <c r="AA13" s="1107"/>
      <c r="AB13" s="1107"/>
      <c r="AC13" s="1107"/>
      <c r="AD13" s="1108"/>
    </row>
    <row r="14" spans="2:32" s="19" customFormat="1" ht="99.75" customHeight="1" x14ac:dyDescent="0.2">
      <c r="B14" s="168">
        <f>[3]July_2017!$B18</f>
        <v>42928</v>
      </c>
      <c r="C14" s="26" t="str">
        <f>[3]July_2017!$D18</f>
        <v>STAG</v>
      </c>
      <c r="D14" s="27">
        <v>4900</v>
      </c>
      <c r="E14" s="28">
        <v>0.33263888888888887</v>
      </c>
      <c r="F14" s="29">
        <f>SUM([3]July_2017!$J18)</f>
        <v>318.8</v>
      </c>
      <c r="G14" s="30">
        <f>SUM([3]July_2017!$F18)</f>
        <v>4824</v>
      </c>
      <c r="H14" s="29">
        <f>SUM([3]July_2017!$K18)</f>
        <v>318.38400000000001</v>
      </c>
      <c r="I14" s="31">
        <f>SUM([3]July_2017!$N18)</f>
        <v>17</v>
      </c>
      <c r="J14" s="32">
        <f>SUM([3]July_2017!$Q18)</f>
        <v>486.45378151260508</v>
      </c>
      <c r="K14" s="32">
        <f>SUM([3]July_2017!$E18)</f>
        <v>595</v>
      </c>
      <c r="L14" s="32">
        <v>417</v>
      </c>
      <c r="M14" s="169">
        <v>0.76666666666666661</v>
      </c>
      <c r="N14" s="32">
        <f>SUM([3]July_2017!$M18)</f>
        <v>106</v>
      </c>
      <c r="O14" s="236"/>
      <c r="P14" s="32"/>
      <c r="Q14" s="33">
        <f>SUM([3]July_2017!$P18)</f>
        <v>0.13048933500627252</v>
      </c>
      <c r="R14" s="32"/>
      <c r="S14" s="129">
        <f>($G14)/(($K14/60)*AE$3*(1/24))</f>
        <v>0.77832605042016811</v>
      </c>
      <c r="T14" s="129">
        <f>($G14)/(($K14/60)*AF$3*(1/24))</f>
        <v>0.68675827978250137</v>
      </c>
      <c r="U14" s="129">
        <f>($G14)*24/($K14/60)/$AE$3</f>
        <v>0.77832605042016811</v>
      </c>
      <c r="V14" s="227">
        <f>($G14)*24/($K14/60)/$AF$3</f>
        <v>0.68675827978250126</v>
      </c>
      <c r="W14" s="233">
        <f>(668-(N14))/668</f>
        <v>0.8413173652694611</v>
      </c>
      <c r="X14" s="1106" t="s">
        <v>635</v>
      </c>
      <c r="Y14" s="1107"/>
      <c r="Z14" s="1107"/>
      <c r="AA14" s="1107"/>
      <c r="AB14" s="1107"/>
      <c r="AC14" s="1107"/>
      <c r="AD14" s="1108"/>
    </row>
    <row r="15" spans="2:32" s="19" customFormat="1" ht="136.5" customHeight="1" x14ac:dyDescent="0.2">
      <c r="B15" s="168">
        <f>[3]July_2017!$B19</f>
        <v>42929</v>
      </c>
      <c r="C15" s="26" t="str">
        <f>[3]July_2017!$D19</f>
        <v>CARIB (FLINT)</v>
      </c>
      <c r="D15" s="27">
        <v>3600</v>
      </c>
      <c r="E15" s="28">
        <v>0.32430555555555557</v>
      </c>
      <c r="F15" s="29">
        <f>SUM([3]July_2017!$J19)</f>
        <v>252.5</v>
      </c>
      <c r="G15" s="30">
        <f>SUM([3]July_2017!$F19)</f>
        <v>3803</v>
      </c>
      <c r="H15" s="29">
        <f>SUM([3]July_2017!$K19)</f>
        <v>250.99800000000002</v>
      </c>
      <c r="I15" s="31">
        <f>SUM([3]July_2017!$N19)</f>
        <v>14</v>
      </c>
      <c r="J15" s="32">
        <f>SUM([3]July_2017!$Q19)</f>
        <v>376.53465346534654</v>
      </c>
      <c r="K15" s="32">
        <f>SUM([3]July_2017!$E19)</f>
        <v>606</v>
      </c>
      <c r="L15" s="32">
        <v>418</v>
      </c>
      <c r="M15" s="169">
        <v>0.7895833333333333</v>
      </c>
      <c r="N15" s="32">
        <f>SUM([3]July_2017!$M19)</f>
        <v>210</v>
      </c>
      <c r="O15" s="236"/>
      <c r="P15" s="32"/>
      <c r="Q15" s="33">
        <f>SUM([3]July_2017!$P19)</f>
        <v>0.59485148514850739</v>
      </c>
      <c r="R15" s="32"/>
      <c r="S15" s="46">
        <f>($G15)/(($K15/60)*AE$3*(1/24))</f>
        <v>0.60245544554455444</v>
      </c>
      <c r="T15" s="46">
        <f>($G15)/(($K15/60)*AF$3*(1/24))</f>
        <v>0.53157833430401868</v>
      </c>
      <c r="U15" s="46">
        <f>($G15)*24/($K15/60)/$AE$3</f>
        <v>0.60245544554455444</v>
      </c>
      <c r="V15" s="347">
        <f>($G15)*24/($K15/60)/$AF$3</f>
        <v>0.53157833430401868</v>
      </c>
      <c r="W15" s="348">
        <f>(712-(N15))/712</f>
        <v>0.7050561797752809</v>
      </c>
      <c r="X15" s="1059" t="s">
        <v>636</v>
      </c>
      <c r="Y15" s="1060"/>
      <c r="Z15" s="1060"/>
      <c r="AA15" s="1060"/>
      <c r="AB15" s="1060"/>
      <c r="AC15" s="1060"/>
      <c r="AD15" s="1061"/>
    </row>
    <row r="16" spans="2:32" s="19" customFormat="1" ht="54" customHeight="1" x14ac:dyDescent="0.2">
      <c r="B16" s="1037">
        <f>[3]July_2017!$B20</f>
        <v>42930</v>
      </c>
      <c r="C16" s="26" t="str">
        <f>[3]July_2017!$D20</f>
        <v>CARIB( AMBER)</v>
      </c>
      <c r="D16" s="297">
        <v>2000</v>
      </c>
      <c r="E16" s="1051">
        <v>0.33611111111111108</v>
      </c>
      <c r="F16" s="29">
        <f>SUM([3]July_2017!$J20)</f>
        <v>115.1</v>
      </c>
      <c r="G16" s="30">
        <f>SUM([3]July_2017!$F20)</f>
        <v>1723</v>
      </c>
      <c r="H16" s="29">
        <f>SUM([3]July_2017!$K20)</f>
        <v>113.718</v>
      </c>
      <c r="I16" s="31">
        <f>SUM([3]July_2017!$N20)</f>
        <v>4</v>
      </c>
      <c r="J16" s="991">
        <f>SUM([3]July_2017!$Q20)</f>
        <v>511.5563506261181</v>
      </c>
      <c r="K16" s="991">
        <f>SUM([3]July_2017!$E20)</f>
        <v>559</v>
      </c>
      <c r="L16" s="32">
        <v>419</v>
      </c>
      <c r="M16" s="1017">
        <v>0.7416666666666667</v>
      </c>
      <c r="N16" s="32">
        <f>SUM([3]July_2017!$M20)</f>
        <v>20</v>
      </c>
      <c r="O16" s="236"/>
      <c r="P16" s="32"/>
      <c r="Q16" s="349">
        <f>SUM([3]July_2017!$P20)</f>
        <v>1.2006950477845273</v>
      </c>
      <c r="R16" s="32"/>
      <c r="S16" s="1039">
        <f>($G16+G17)/(($K16/60)*AE$3*(1/24))</f>
        <v>0.81849016100178895</v>
      </c>
      <c r="T16" s="1039">
        <f>($G16+G17)/(($K16/60)*AF$3*(1/24))</f>
        <v>0.72219720088393136</v>
      </c>
      <c r="U16" s="1039">
        <f>($G16+G17)*24/($K16/60)/$AE$3</f>
        <v>0.81849016100178884</v>
      </c>
      <c r="V16" s="1047">
        <f>($G16+G17)*24/($K16/60)/$AF$3</f>
        <v>0.72219720088393136</v>
      </c>
      <c r="W16" s="1035">
        <f>(634-(N16+N17))/634</f>
        <v>0.88328075709779175</v>
      </c>
      <c r="X16" s="1059" t="s">
        <v>637</v>
      </c>
      <c r="Y16" s="1060"/>
      <c r="Z16" s="1060"/>
      <c r="AA16" s="1060"/>
      <c r="AB16" s="1060"/>
      <c r="AC16" s="1060"/>
      <c r="AD16" s="1061"/>
    </row>
    <row r="17" spans="2:30" s="19" customFormat="1" ht="40.5" customHeight="1" x14ac:dyDescent="0.2">
      <c r="B17" s="1038"/>
      <c r="C17" s="26" t="str">
        <f>[3]July_2017!$D21</f>
        <v xml:space="preserve">STARMALT </v>
      </c>
      <c r="D17" s="297">
        <v>2800</v>
      </c>
      <c r="E17" s="1053"/>
      <c r="F17" s="29">
        <f>SUM([3]July_2017!$J21)</f>
        <v>201.8</v>
      </c>
      <c r="G17" s="30">
        <f>SUM([3]July_2017!$F21)</f>
        <v>3043</v>
      </c>
      <c r="H17" s="29">
        <f>SUM([3]July_2017!$K21)</f>
        <v>200.83800000000002</v>
      </c>
      <c r="I17" s="31">
        <f>SUM([3]July_2017!$N21)</f>
        <v>9</v>
      </c>
      <c r="J17" s="992"/>
      <c r="K17" s="992"/>
      <c r="L17" s="32">
        <v>420</v>
      </c>
      <c r="M17" s="1018"/>
      <c r="N17" s="32">
        <f>SUM([3]July_2017!$M21)</f>
        <v>54</v>
      </c>
      <c r="O17" s="350">
        <f>[4]Jul!$I21</f>
        <v>24</v>
      </c>
      <c r="P17" s="32"/>
      <c r="Q17" s="349">
        <f>SUM([3]July_2017!$P21)</f>
        <v>0.47670961347868634</v>
      </c>
      <c r="R17" s="32"/>
      <c r="S17" s="1040"/>
      <c r="T17" s="1040"/>
      <c r="U17" s="1040"/>
      <c r="V17" s="1048"/>
      <c r="W17" s="1036"/>
      <c r="X17" s="1059" t="s">
        <v>638</v>
      </c>
      <c r="Y17" s="1060"/>
      <c r="Z17" s="1060"/>
      <c r="AA17" s="1060"/>
      <c r="AB17" s="1060"/>
      <c r="AC17" s="1060"/>
      <c r="AD17" s="1061"/>
    </row>
    <row r="18" spans="2:30" s="19" customFormat="1" ht="54.75" customHeight="1" x14ac:dyDescent="0.2">
      <c r="B18" s="168">
        <f>[3]July_2017!$B22</f>
        <v>42931</v>
      </c>
      <c r="C18" s="26" t="str">
        <f>[3]July_2017!$D22</f>
        <v xml:space="preserve">STARMALT </v>
      </c>
      <c r="D18" s="297">
        <v>2800</v>
      </c>
      <c r="E18" s="28">
        <v>0.35000000000000003</v>
      </c>
      <c r="F18" s="29">
        <f>SUM([3]July_2017!$J22)</f>
        <v>197.9</v>
      </c>
      <c r="G18" s="30">
        <f>SUM([3]July_2017!$F22)</f>
        <v>2980</v>
      </c>
      <c r="H18" s="29">
        <f>SUM([3]July_2017!$K22)</f>
        <v>196.68</v>
      </c>
      <c r="I18" s="31">
        <f>SUM([3]July_2017!$N22)</f>
        <v>14</v>
      </c>
      <c r="J18" s="32">
        <f>SUM([3]July_2017!$Q22)</f>
        <v>507.9545454545455</v>
      </c>
      <c r="K18" s="32">
        <f>SUM([3]July_2017!$E22)</f>
        <v>352</v>
      </c>
      <c r="L18" s="32">
        <v>421</v>
      </c>
      <c r="M18" s="169">
        <v>0.60069444444444442</v>
      </c>
      <c r="N18" s="32">
        <f>SUM([3]July_2017!$M22)</f>
        <v>72</v>
      </c>
      <c r="O18" s="350" t="e">
        <f>[4]Jul!$I22</f>
        <v>#REF!</v>
      </c>
      <c r="P18" s="32"/>
      <c r="Q18" s="33">
        <f>SUM([3]July_2017!$P22)</f>
        <v>0.61647296614451685</v>
      </c>
      <c r="R18" s="32"/>
      <c r="S18" s="46">
        <f>($G18)/(($K18/60)*AE$3*(1/24))</f>
        <v>0.81272727272727274</v>
      </c>
      <c r="T18" s="46">
        <f>($G18)/(($K18/60)*AF$3*(1/24))</f>
        <v>0.7171122994652408</v>
      </c>
      <c r="U18" s="46">
        <f>($G18)*24/($K18/60)/$AE$3</f>
        <v>0.81272727272727274</v>
      </c>
      <c r="V18" s="347">
        <f>($G18)*24/($K18/60)/$AF$3</f>
        <v>0.71711229946524069</v>
      </c>
      <c r="W18" s="348">
        <f>(409-(N18))/409</f>
        <v>0.82396088019559899</v>
      </c>
      <c r="X18" s="1059" t="s">
        <v>639</v>
      </c>
      <c r="Y18" s="1060"/>
      <c r="Z18" s="1060"/>
      <c r="AA18" s="1060"/>
      <c r="AB18" s="1060"/>
      <c r="AC18" s="1060"/>
      <c r="AD18" s="1061"/>
    </row>
    <row r="19" spans="2:30" s="19" customFormat="1" ht="102" customHeight="1" x14ac:dyDescent="0.2">
      <c r="B19" s="1037">
        <f>[3]July_2017!$B23</f>
        <v>42933</v>
      </c>
      <c r="C19" s="26" t="str">
        <f>[3]July_2017!$D23</f>
        <v>STAG</v>
      </c>
      <c r="D19" s="297">
        <v>5600</v>
      </c>
      <c r="E19" s="1051">
        <v>0.34027777777777773</v>
      </c>
      <c r="F19" s="29">
        <f>SUM([3]July_2017!$J23)</f>
        <v>388.7</v>
      </c>
      <c r="G19" s="30">
        <f>SUM([3]July_2017!$F23)</f>
        <v>5831</v>
      </c>
      <c r="H19" s="29">
        <f>SUM([3]July_2017!$K23)</f>
        <v>387.69600000000003</v>
      </c>
      <c r="I19" s="31">
        <f>SUM([3]July_2017!$N23)</f>
        <v>55</v>
      </c>
      <c r="J19" s="991">
        <f>SUM([3]July_2017!$Q23)</f>
        <v>495.73449401523396</v>
      </c>
      <c r="K19" s="991">
        <f>SUM([3]July_2017!$E23)</f>
        <v>919</v>
      </c>
      <c r="L19" s="32"/>
      <c r="M19" s="1017">
        <v>1.0069444444444444</v>
      </c>
      <c r="N19" s="32">
        <f>SUM([3]July_2017!$M23)</f>
        <v>122</v>
      </c>
      <c r="O19" s="350" t="e">
        <f>[4]Jul!$I23</f>
        <v>#REF!</v>
      </c>
      <c r="P19" s="32"/>
      <c r="Q19" s="33">
        <f>SUM([3]July_2017!$P23)</f>
        <v>0.25829688705941917</v>
      </c>
      <c r="R19" s="32"/>
      <c r="S19" s="1039">
        <f>($G19+G20)/(($K19/60)*AE$3*(1/24))</f>
        <v>0.79317519042437434</v>
      </c>
      <c r="T19" s="1039">
        <f>($G19+G20)/(($K19/60)*AF$3*(1/24))</f>
        <v>0.69986046213915387</v>
      </c>
      <c r="U19" s="1039">
        <f>($G19+G20)*24/($K19/60)/$AE$3</f>
        <v>0.79317519042437423</v>
      </c>
      <c r="V19" s="1047">
        <f>($G19+G20)*24/($K19/60)/$AF$3</f>
        <v>0.69986046213915376</v>
      </c>
      <c r="W19" s="1035">
        <f>(1028-(N19+N20))/1028</f>
        <v>0.83657587548638135</v>
      </c>
      <c r="X19" s="1059" t="s">
        <v>640</v>
      </c>
      <c r="Y19" s="1060"/>
      <c r="Z19" s="1060"/>
      <c r="AA19" s="1060"/>
      <c r="AB19" s="1060"/>
      <c r="AC19" s="1060"/>
      <c r="AD19" s="1061"/>
    </row>
    <row r="20" spans="2:30" s="19" customFormat="1" ht="42" customHeight="1" x14ac:dyDescent="0.2">
      <c r="B20" s="1038"/>
      <c r="C20" s="26" t="str">
        <f>[3]July_2017!$D24</f>
        <v>CARIB (AMBER)</v>
      </c>
      <c r="D20" s="297">
        <v>1400</v>
      </c>
      <c r="E20" s="1053"/>
      <c r="F20" s="29">
        <f>SUM([3]July_2017!$J24)</f>
        <v>117</v>
      </c>
      <c r="G20" s="30">
        <f>SUM([3]July_2017!$F24)</f>
        <v>1762</v>
      </c>
      <c r="H20" s="29">
        <f>SUM([3]July_2017!$K24)</f>
        <v>116.292</v>
      </c>
      <c r="I20" s="31">
        <f>SUM([3]July_2017!$N24)</f>
        <v>10</v>
      </c>
      <c r="J20" s="992"/>
      <c r="K20" s="992"/>
      <c r="L20" s="32"/>
      <c r="M20" s="1018"/>
      <c r="N20" s="32">
        <f>SUM([3]July_2017!$M24)</f>
        <v>46</v>
      </c>
      <c r="O20" s="350">
        <f>[4]Jul!$I24</f>
        <v>9</v>
      </c>
      <c r="P20" s="32"/>
      <c r="Q20" s="33">
        <f>SUM([3]July_2017!$P24)</f>
        <v>0.60512820512820376</v>
      </c>
      <c r="R20" s="32"/>
      <c r="S20" s="1040"/>
      <c r="T20" s="1040"/>
      <c r="U20" s="1040"/>
      <c r="V20" s="1048"/>
      <c r="W20" s="1036"/>
      <c r="X20" s="1059" t="s">
        <v>641</v>
      </c>
      <c r="Y20" s="1060"/>
      <c r="Z20" s="1060"/>
      <c r="AA20" s="1060"/>
      <c r="AB20" s="1060"/>
      <c r="AC20" s="1060"/>
      <c r="AD20" s="1061"/>
    </row>
    <row r="21" spans="2:30" s="19" customFormat="1" ht="36" customHeight="1" x14ac:dyDescent="0.2">
      <c r="B21" s="1037">
        <f>[3]July_2017!$B25</f>
        <v>42934</v>
      </c>
      <c r="C21" s="26" t="str">
        <f>[3]July_2017!$D25</f>
        <v>CARIB (FLINT)</v>
      </c>
      <c r="D21" s="297">
        <v>630</v>
      </c>
      <c r="E21" s="1051">
        <v>0.3298611111111111</v>
      </c>
      <c r="F21" s="989">
        <f>SUM([3]July_2017!$J25)</f>
        <v>152.70000000000002</v>
      </c>
      <c r="G21" s="30">
        <f>SUM([3]July_2017!$F25)</f>
        <v>649</v>
      </c>
      <c r="H21" s="989">
        <f>SUM([3]July_2017!$K25)</f>
        <v>150.876</v>
      </c>
      <c r="I21" s="1004">
        <f>SUM([3]July_2017!$N25)</f>
        <v>11</v>
      </c>
      <c r="J21" s="991">
        <f>SUM([3]July_2017!$Q25)</f>
        <v>409.43283582089555</v>
      </c>
      <c r="K21" s="991">
        <f>SUM([3]July_2017!$E25)</f>
        <v>335</v>
      </c>
      <c r="L21" s="32"/>
      <c r="M21" s="1017">
        <v>0.58819444444444446</v>
      </c>
      <c r="N21" s="991">
        <f>SUM([3]July_2017!$M25)</f>
        <v>111</v>
      </c>
      <c r="O21" s="350"/>
      <c r="P21" s="32"/>
      <c r="Q21" s="1045">
        <f>SUM([3]July_2017!$P25)</f>
        <v>1.1944990176817367</v>
      </c>
      <c r="R21" s="32"/>
      <c r="S21" s="1039">
        <f>($G21+G22)/(($K21/60)*AE$3*(1/24))</f>
        <v>0.65509253731343287</v>
      </c>
      <c r="T21" s="1039">
        <f>($G21+G22)/(($K21/60)*AF$3*(1/24))</f>
        <v>0.5780228270412644</v>
      </c>
      <c r="U21" s="1039">
        <f>($G21+G22)*24/($K21/60)/$AE$3</f>
        <v>0.65509253731343287</v>
      </c>
      <c r="V21" s="1047">
        <f>($G21+G22)*24/($K21/60)/$AF$3</f>
        <v>0.57802282704126429</v>
      </c>
      <c r="W21" s="1035">
        <f>(847-(N21))/847</f>
        <v>0.8689492325855962</v>
      </c>
      <c r="X21" s="1056" t="s">
        <v>642</v>
      </c>
      <c r="Y21" s="1057"/>
      <c r="Z21" s="1057"/>
      <c r="AA21" s="1057"/>
      <c r="AB21" s="1057"/>
      <c r="AC21" s="1057"/>
      <c r="AD21" s="1058"/>
    </row>
    <row r="22" spans="2:30" s="19" customFormat="1" ht="32.25" customHeight="1" x14ac:dyDescent="0.2">
      <c r="B22" s="1038"/>
      <c r="C22" s="26" t="str">
        <f>[3]July_2017!$D26</f>
        <v>CARIB (AMBER)</v>
      </c>
      <c r="D22" s="1098">
        <v>6370</v>
      </c>
      <c r="E22" s="1053"/>
      <c r="F22" s="990"/>
      <c r="G22" s="30">
        <f>SUM([3]July_2017!$F26)</f>
        <v>1637</v>
      </c>
      <c r="H22" s="990"/>
      <c r="I22" s="1005"/>
      <c r="J22" s="992"/>
      <c r="K22" s="992"/>
      <c r="L22" s="32"/>
      <c r="M22" s="1018"/>
      <c r="N22" s="992"/>
      <c r="O22" s="32">
        <v>4</v>
      </c>
      <c r="P22" s="32"/>
      <c r="Q22" s="1046"/>
      <c r="R22" s="32"/>
      <c r="S22" s="1040"/>
      <c r="T22" s="1040"/>
      <c r="U22" s="1040"/>
      <c r="V22" s="1048"/>
      <c r="W22" s="1036"/>
      <c r="X22" s="1059"/>
      <c r="Y22" s="1060"/>
      <c r="Z22" s="1060"/>
      <c r="AA22" s="1060"/>
      <c r="AB22" s="1060"/>
      <c r="AC22" s="1060"/>
      <c r="AD22" s="1061"/>
    </row>
    <row r="23" spans="2:30" s="19" customFormat="1" ht="91.5" customHeight="1" x14ac:dyDescent="0.2">
      <c r="B23" s="368">
        <f>[3]July_2017!$B27</f>
        <v>42935</v>
      </c>
      <c r="C23" s="26" t="str">
        <f>[3]July_2017!$D27</f>
        <v>CARIB (AMBER)</v>
      </c>
      <c r="D23" s="1099"/>
      <c r="E23" s="28">
        <v>0.41319444444444442</v>
      </c>
      <c r="F23" s="369">
        <f>SUM([3]July_2017!$J27)</f>
        <v>252.89999999999992</v>
      </c>
      <c r="G23" s="30">
        <f>SUM([3]July_2017!$F27)</f>
        <v>3715</v>
      </c>
      <c r="H23" s="369">
        <f>SUM([3]July_2017!$K27)</f>
        <v>248.99</v>
      </c>
      <c r="I23" s="370">
        <f>SUM([3]July_2017!$N27)</f>
        <v>14</v>
      </c>
      <c r="J23" s="285">
        <f>SUM([3]July_2017!$Q27)</f>
        <v>258.58468677494199</v>
      </c>
      <c r="K23" s="285">
        <f>SUM([3]July_2017!$E27)</f>
        <v>862</v>
      </c>
      <c r="L23" s="32"/>
      <c r="M23" s="169">
        <v>0.96180555555555547</v>
      </c>
      <c r="N23" s="32">
        <f>SUM([3]July_2017!$M27)</f>
        <v>507</v>
      </c>
      <c r="O23" s="236"/>
      <c r="P23" s="32">
        <f>[3]July_2017!$H27</f>
        <v>0</v>
      </c>
      <c r="Q23" s="349">
        <f>SUM([3]July_2017!$P27)</f>
        <v>1.5460656385922944</v>
      </c>
      <c r="R23" s="32"/>
      <c r="S23" s="46">
        <f t="shared" ref="S23:T25" si="3">($G23)/(($K23/60)*AE$3*(1/24))</f>
        <v>0.41373549883990723</v>
      </c>
      <c r="T23" s="46">
        <f t="shared" si="3"/>
        <v>0.36506073427050634</v>
      </c>
      <c r="U23" s="46">
        <f>($G23)*24/($K23/60)/$AE$3</f>
        <v>0.41373549883990723</v>
      </c>
      <c r="V23" s="347">
        <f>($G23)*24/($K23/60)/$AF$3</f>
        <v>0.36506073427050634</v>
      </c>
      <c r="W23" s="348">
        <f>(960-(N23))/960</f>
        <v>0.47187499999999999</v>
      </c>
      <c r="X23" s="1059" t="s">
        <v>643</v>
      </c>
      <c r="Y23" s="1060"/>
      <c r="Z23" s="1060"/>
      <c r="AA23" s="1060"/>
      <c r="AB23" s="1060"/>
      <c r="AC23" s="1060"/>
      <c r="AD23" s="1061"/>
    </row>
    <row r="24" spans="2:30" s="19" customFormat="1" ht="75" customHeight="1" x14ac:dyDescent="0.2">
      <c r="B24" s="368">
        <f>[3]July_2017!$B28</f>
        <v>42936</v>
      </c>
      <c r="C24" s="26" t="str">
        <f>[3]July_2017!$D28</f>
        <v>CARIB (AMBER)</v>
      </c>
      <c r="D24" s="297">
        <v>7000</v>
      </c>
      <c r="E24" s="28">
        <v>0.32291666666666669</v>
      </c>
      <c r="F24" s="369">
        <f>SUM([3]July_2017!$J28)</f>
        <v>413.9</v>
      </c>
      <c r="G24" s="30">
        <f>SUM([3]July_2017!$F28)</f>
        <v>6192</v>
      </c>
      <c r="H24" s="369">
        <f>SUM([3]July_2017!$K28)</f>
        <v>412.47200000000004</v>
      </c>
      <c r="I24" s="370">
        <f>SUM([3]July_2017!$N28)</f>
        <v>19</v>
      </c>
      <c r="J24" s="285">
        <f>SUM([3]July_2017!$Q28)</f>
        <v>465.56390977443607</v>
      </c>
      <c r="K24" s="285">
        <f>SUM([3]July_2017!$E28)</f>
        <v>798</v>
      </c>
      <c r="L24" s="32"/>
      <c r="M24" s="169">
        <v>0.91666666666666663</v>
      </c>
      <c r="N24" s="32">
        <f>SUM([3]July_2017!$M28)</f>
        <v>183</v>
      </c>
      <c r="O24" s="236"/>
      <c r="P24" s="32">
        <f>[3]July_2017!$H28</f>
        <v>311</v>
      </c>
      <c r="Q24" s="349">
        <f>SUM([3]July_2017!$P28)</f>
        <v>0.34501087219133619</v>
      </c>
      <c r="R24" s="32"/>
      <c r="S24" s="46">
        <f t="shared" si="3"/>
        <v>0.74490225563909773</v>
      </c>
      <c r="T24" s="46">
        <f t="shared" si="3"/>
        <v>0.65726669615214517</v>
      </c>
      <c r="U24" s="46">
        <f>($G24)*24/($K24/60)/$AE$3</f>
        <v>0.74490225563909773</v>
      </c>
      <c r="V24" s="347">
        <f>($G24)*24/($K24/60)/$AF$3</f>
        <v>0.65726669615214506</v>
      </c>
      <c r="W24" s="348">
        <f>(925-(N24))/925</f>
        <v>0.80216216216216218</v>
      </c>
      <c r="X24" s="1059" t="s">
        <v>644</v>
      </c>
      <c r="Y24" s="1060"/>
      <c r="Z24" s="1060"/>
      <c r="AA24" s="1060"/>
      <c r="AB24" s="1060"/>
      <c r="AC24" s="1060"/>
      <c r="AD24" s="1061"/>
    </row>
    <row r="25" spans="2:30" s="19" customFormat="1" ht="108" customHeight="1" x14ac:dyDescent="0.2">
      <c r="B25" s="368">
        <f>[3]July_2017!$B29</f>
        <v>42937</v>
      </c>
      <c r="C25" s="26" t="str">
        <f>[3]July_2017!$D29</f>
        <v>VITAMALT</v>
      </c>
      <c r="D25" s="297">
        <v>6700</v>
      </c>
      <c r="E25" s="28">
        <v>0.34027777777777773</v>
      </c>
      <c r="F25" s="369">
        <f>SUM([3]July_2017!$J29)</f>
        <v>506</v>
      </c>
      <c r="G25" s="30">
        <f>SUM([3]July_2017!$F29)</f>
        <v>6740</v>
      </c>
      <c r="H25" s="369">
        <f>SUM([3]July_2017!$K29)</f>
        <v>501.45599999999996</v>
      </c>
      <c r="I25" s="370">
        <f>SUM([3]July_2017!$N29)</f>
        <v>45</v>
      </c>
      <c r="J25" s="285">
        <f>SUM([3]July_2017!$Q29)</f>
        <v>451.84357541899442</v>
      </c>
      <c r="K25" s="285">
        <f>SUM([3]July_2017!$E29)</f>
        <v>895</v>
      </c>
      <c r="L25" s="32"/>
      <c r="M25" s="169">
        <v>0.98055555555555562</v>
      </c>
      <c r="N25" s="32">
        <f>SUM([3]July_2017!$M29)</f>
        <v>154</v>
      </c>
      <c r="O25" s="236"/>
      <c r="P25" s="32">
        <f>[3]July_2017!$H29</f>
        <v>228</v>
      </c>
      <c r="Q25" s="349">
        <f>SUM([3]July_2017!$P29)</f>
        <v>0.89802371541502757</v>
      </c>
      <c r="R25" s="32"/>
      <c r="S25" s="46">
        <f t="shared" si="3"/>
        <v>0.72294972067039109</v>
      </c>
      <c r="T25" s="46">
        <f t="shared" si="3"/>
        <v>0.63789681235622753</v>
      </c>
      <c r="U25" s="46">
        <f>($G25)*24/($K25/60)/$AE$3</f>
        <v>0.72294972067039109</v>
      </c>
      <c r="V25" s="347">
        <f>($G25)*24/($K25/60)/$AF$3</f>
        <v>0.63789681235622742</v>
      </c>
      <c r="W25" s="348">
        <f>(982-(N25))/982</f>
        <v>0.84317718940936859</v>
      </c>
      <c r="X25" s="1059" t="s">
        <v>647</v>
      </c>
      <c r="Y25" s="1060"/>
      <c r="Z25" s="1060"/>
      <c r="AA25" s="1060"/>
      <c r="AB25" s="1060"/>
      <c r="AC25" s="1060"/>
      <c r="AD25" s="1061"/>
    </row>
    <row r="26" spans="2:30" s="19" customFormat="1" ht="64.5" customHeight="1" x14ac:dyDescent="0.2">
      <c r="B26" s="368">
        <f>[3]July_2017!$B30</f>
        <v>42940</v>
      </c>
      <c r="C26" s="26" t="str">
        <f>[3]July_2017!$D30</f>
        <v>GUINNESS</v>
      </c>
      <c r="D26" s="297">
        <v>7000</v>
      </c>
      <c r="E26" s="28">
        <v>0.53819444444444442</v>
      </c>
      <c r="F26" s="369">
        <f>SUM([3]July_2017!$J30)</f>
        <v>228.2</v>
      </c>
      <c r="G26" s="30">
        <f>SUM([3]July_2017!$F30)</f>
        <v>3456</v>
      </c>
      <c r="H26" s="369">
        <f>SUM([3]July_2017!$K30)</f>
        <v>228.096</v>
      </c>
      <c r="I26" s="370">
        <f>SUM([3]July_2017!$N30)</f>
        <v>29</v>
      </c>
      <c r="J26" s="285">
        <f>SUM([3]July_2017!$Q30)</f>
        <v>225.39130434782606</v>
      </c>
      <c r="K26" s="285">
        <f>SUM([3]July_2017!$E30)</f>
        <v>920</v>
      </c>
      <c r="L26" s="32"/>
      <c r="M26" s="169">
        <v>0.99375000000000002</v>
      </c>
      <c r="N26" s="32">
        <f>SUM([3]July_2017!$M30)</f>
        <v>468</v>
      </c>
      <c r="O26" s="236"/>
      <c r="P26" s="32">
        <f>[3]July_2017!$H30</f>
        <v>16</v>
      </c>
      <c r="Q26" s="349">
        <f>SUM([3]July_2017!$P30)</f>
        <v>4.5574057843989921E-2</v>
      </c>
      <c r="R26" s="32"/>
      <c r="S26" s="46">
        <f>($G26)/(($K26/60)*AE$3*(1/24))</f>
        <v>0.36062608695652176</v>
      </c>
      <c r="T26" s="46">
        <f>($G26)/(($K26/60)*AF$3*(1/24))</f>
        <v>0.31819948849104857</v>
      </c>
      <c r="U26" s="46">
        <f>($G26)*24/($K26/60)/$AE$3</f>
        <v>0.36062608695652171</v>
      </c>
      <c r="V26" s="347">
        <f>($G26)*24/($K26/60)/$AF$3</f>
        <v>0.31819948849104857</v>
      </c>
      <c r="W26" s="348">
        <f>(958-(N26))/958</f>
        <v>0.51148225469728603</v>
      </c>
      <c r="X26" s="1059" t="s">
        <v>646</v>
      </c>
      <c r="Y26" s="1060"/>
      <c r="Z26" s="1060"/>
      <c r="AA26" s="1060"/>
      <c r="AB26" s="1060"/>
      <c r="AC26" s="1060"/>
      <c r="AD26" s="1061"/>
    </row>
    <row r="27" spans="2:30" s="19" customFormat="1" ht="73.5" customHeight="1" x14ac:dyDescent="0.2">
      <c r="B27" s="368">
        <f>[3]July_2017!$B31</f>
        <v>42941</v>
      </c>
      <c r="C27" s="26" t="str">
        <f>[3]July_2017!$D31</f>
        <v>GUINNESS</v>
      </c>
      <c r="D27" s="297">
        <v>4200</v>
      </c>
      <c r="E27" s="28">
        <v>0.57986111111111105</v>
      </c>
      <c r="F27" s="369">
        <f>SUM([3]July_2017!$J31)</f>
        <v>357.2</v>
      </c>
      <c r="G27" s="30">
        <f>SUM([3]July_2017!$F31)</f>
        <v>5399</v>
      </c>
      <c r="H27" s="369">
        <f>SUM([3]July_2017!$K31)</f>
        <v>356.334</v>
      </c>
      <c r="I27" s="370">
        <f>SUM([3]July_2017!$N31)</f>
        <v>24</v>
      </c>
      <c r="J27" s="285">
        <f>SUM([3]July_2017!$Q31)</f>
        <v>372.34482758620692</v>
      </c>
      <c r="K27" s="285">
        <f>SUM([3]July_2017!$E31)</f>
        <v>870</v>
      </c>
      <c r="L27" s="32"/>
      <c r="M27" s="169">
        <v>1.03541666666667</v>
      </c>
      <c r="N27" s="32">
        <f>SUM([3]July_2017!$M31)</f>
        <v>323</v>
      </c>
      <c r="O27" s="236"/>
      <c r="P27" s="32">
        <f>[3]July_2017!$H31</f>
        <v>190</v>
      </c>
      <c r="Q27" s="349">
        <f>SUM([3]July_2017!$P31)</f>
        <v>0.24244120940649089</v>
      </c>
      <c r="R27" s="32"/>
      <c r="S27" s="46">
        <f>($G27)/(($K27/60)*AE$3*(1/24))</f>
        <v>0.59575172413793098</v>
      </c>
      <c r="T27" s="46">
        <f>($G27)/(($K27/60)*AF$3*(1/24))</f>
        <v>0.52566328600405687</v>
      </c>
      <c r="U27" s="46">
        <f>($G27)*24/($K27/60)/$AE$3</f>
        <v>0.59575172413793109</v>
      </c>
      <c r="V27" s="347">
        <f>($G27)*24/($K27/60)/$AF$3</f>
        <v>0.52566328600405676</v>
      </c>
      <c r="W27" s="348">
        <f>(956-(N27))/956</f>
        <v>0.66213389121338917</v>
      </c>
      <c r="X27" s="1059" t="s">
        <v>648</v>
      </c>
      <c r="Y27" s="1060"/>
      <c r="Z27" s="1060"/>
      <c r="AA27" s="1060"/>
      <c r="AB27" s="1060"/>
      <c r="AC27" s="1060"/>
      <c r="AD27" s="1061"/>
    </row>
    <row r="28" spans="2:30" s="19" customFormat="1" ht="37.5" customHeight="1" x14ac:dyDescent="0.2">
      <c r="B28" s="1037">
        <f>[3]July_2017!$B32</f>
        <v>42942</v>
      </c>
      <c r="C28" s="26" t="str">
        <f>[3]July_2017!$D32</f>
        <v>GUINNESS</v>
      </c>
      <c r="D28" s="297">
        <v>2345</v>
      </c>
      <c r="E28" s="1051">
        <v>0.375</v>
      </c>
      <c r="F28" s="369">
        <f>SUM([3]July_2017!$J32)</f>
        <v>143.80000000000001</v>
      </c>
      <c r="G28" s="30">
        <f>SUM([3]July_2017!$F32)</f>
        <v>2163</v>
      </c>
      <c r="H28" s="369">
        <f>SUM([3]July_2017!$K32)</f>
        <v>142.75800000000001</v>
      </c>
      <c r="I28" s="370">
        <f>SUM([3]July_2017!$N32)</f>
        <v>6.5</v>
      </c>
      <c r="J28" s="991">
        <f>SUM([3]July_2017!$Q32)</f>
        <v>482.47826086956519</v>
      </c>
      <c r="K28" s="991">
        <f>SUM([3]July_2017!$E32)</f>
        <v>920</v>
      </c>
      <c r="L28" s="32"/>
      <c r="M28" s="1017">
        <v>0.99375000000000002</v>
      </c>
      <c r="N28" s="32">
        <f>SUM([3]July_2017!$M32)</f>
        <v>83</v>
      </c>
      <c r="O28" s="350"/>
      <c r="P28" s="32">
        <f>[3]July_2017!$H32</f>
        <v>0</v>
      </c>
      <c r="Q28" s="349">
        <f>SUM([3]July_2017!$P32)</f>
        <v>0.72461752433936133</v>
      </c>
      <c r="R28" s="32"/>
      <c r="S28" s="1039">
        <f>($G28+G29)/(($K28/60)*AE$3*(1/24))</f>
        <v>0.77196521739130441</v>
      </c>
      <c r="T28" s="1039">
        <f>($G28+G29)/(($K28/60)*AF$3*(1/24))</f>
        <v>0.6811457800511509</v>
      </c>
      <c r="U28" s="1039">
        <f>($G28+G29)*24/($K28/60)/$AE$3</f>
        <v>0.7719652173913043</v>
      </c>
      <c r="V28" s="1047">
        <f>($G28+G29)*24/($K28/60)/$AF$3</f>
        <v>0.68114578005115078</v>
      </c>
      <c r="W28" s="1035">
        <f>(1005-(N28+N29))/1005</f>
        <v>0.78407960199004978</v>
      </c>
      <c r="X28" s="1059" t="s">
        <v>649</v>
      </c>
      <c r="Y28" s="1060"/>
      <c r="Z28" s="1060"/>
      <c r="AA28" s="1060"/>
      <c r="AB28" s="1060"/>
      <c r="AC28" s="1060"/>
      <c r="AD28" s="1061"/>
    </row>
    <row r="29" spans="2:30" s="19" customFormat="1" ht="41.25" customHeight="1" x14ac:dyDescent="0.2">
      <c r="B29" s="1038"/>
      <c r="C29" s="26" t="str">
        <f>[3]July_2017!$D33</f>
        <v>CARIB</v>
      </c>
      <c r="D29" s="297">
        <v>5250</v>
      </c>
      <c r="E29" s="1053"/>
      <c r="F29" s="369">
        <f>SUM([3]July_2017!$J33)</f>
        <v>371.5</v>
      </c>
      <c r="G29" s="30">
        <f>SUM([3]July_2017!$F33)</f>
        <v>5235</v>
      </c>
      <c r="H29" s="369">
        <f>SUM([3]July_2017!$K33)</f>
        <v>367.74</v>
      </c>
      <c r="I29" s="370">
        <f>SUM([3]July_2017!$N33)</f>
        <v>22</v>
      </c>
      <c r="J29" s="992"/>
      <c r="K29" s="992"/>
      <c r="L29" s="32"/>
      <c r="M29" s="1018"/>
      <c r="N29" s="32">
        <f>SUM([3]July_2017!$M33)</f>
        <v>134</v>
      </c>
      <c r="O29" s="350">
        <f>[4]Jul!$I32</f>
        <v>62</v>
      </c>
      <c r="P29" s="32">
        <f>[3]July_2017!$H33</f>
        <v>0</v>
      </c>
      <c r="Q29" s="349">
        <f>SUM([3]July_2017!$P33)</f>
        <v>1.0121130551816933</v>
      </c>
      <c r="R29" s="32"/>
      <c r="S29" s="1040"/>
      <c r="T29" s="1040"/>
      <c r="U29" s="1040"/>
      <c r="V29" s="1048"/>
      <c r="W29" s="1036"/>
      <c r="X29" s="1059" t="s">
        <v>650</v>
      </c>
      <c r="Y29" s="1060"/>
      <c r="Z29" s="1060"/>
      <c r="AA29" s="1060"/>
      <c r="AB29" s="1060"/>
      <c r="AC29" s="1060"/>
      <c r="AD29" s="1061"/>
    </row>
    <row r="30" spans="2:30" s="19" customFormat="1" ht="75" customHeight="1" x14ac:dyDescent="0.2">
      <c r="B30" s="168">
        <f>[3]July_2017!$B$34</f>
        <v>42943</v>
      </c>
      <c r="C30" s="26" t="str">
        <f>[3]July_2017!$D34</f>
        <v>STAG</v>
      </c>
      <c r="D30" s="297">
        <v>7000</v>
      </c>
      <c r="E30" s="28">
        <v>0.37083333333333335</v>
      </c>
      <c r="F30" s="369">
        <f>SUM([3]July_2017!$J34)</f>
        <v>514.90000000000009</v>
      </c>
      <c r="G30" s="30">
        <f>SUM([3]July_2017!$F34)</f>
        <v>7461</v>
      </c>
      <c r="H30" s="369">
        <f>SUM([3]July_2017!$K34)</f>
        <v>507.62600000000003</v>
      </c>
      <c r="I30" s="370">
        <f>SUM([3]July_2017!$N34)</f>
        <v>48</v>
      </c>
      <c r="J30" s="32">
        <f>SUM([3]July_2017!$Q34)</f>
        <v>488.71179039301308</v>
      </c>
      <c r="K30" s="32">
        <f>[3]July_2017!$E34</f>
        <v>916</v>
      </c>
      <c r="L30" s="32"/>
      <c r="M30" s="169">
        <v>1.0013888888888889</v>
      </c>
      <c r="N30" s="32">
        <f>SUM([3]July_2017!$M34)</f>
        <v>173</v>
      </c>
      <c r="O30" s="350" t="e">
        <f>[4]Jul!$I33</f>
        <v>#REF!</v>
      </c>
      <c r="P30" s="32"/>
      <c r="Q30" s="349">
        <f>SUM([3]July_2017!$P34)</f>
        <v>1.412701495436018</v>
      </c>
      <c r="R30" s="32"/>
      <c r="S30" s="46">
        <f>($G30)/(($K30/60)*AE$3*(1/24))</f>
        <v>0.78193886462882101</v>
      </c>
      <c r="T30" s="46">
        <f>($G30)/(($K30/60)*AF$3*(1/24))</f>
        <v>0.68994605702543033</v>
      </c>
      <c r="U30" s="46">
        <f>($G30)*24/($K30/60)/$AE$3</f>
        <v>0.7819388646288209</v>
      </c>
      <c r="V30" s="347">
        <f>($G30)*24/($K30/60)/$AF$3</f>
        <v>0.68994605702543021</v>
      </c>
      <c r="W30" s="348">
        <f>(1016-(N30))/1016</f>
        <v>0.82972440944881887</v>
      </c>
      <c r="X30" s="1059" t="s">
        <v>651</v>
      </c>
      <c r="Y30" s="1060"/>
      <c r="Z30" s="1060"/>
      <c r="AA30" s="1060"/>
      <c r="AB30" s="1060"/>
      <c r="AC30" s="1060"/>
      <c r="AD30" s="1061"/>
    </row>
    <row r="31" spans="2:30" s="19" customFormat="1" ht="57.75" customHeight="1" x14ac:dyDescent="0.2">
      <c r="B31" s="1037">
        <f>[3]July_2017!$B35</f>
        <v>42944</v>
      </c>
      <c r="C31" s="26" t="str">
        <f>[3]July_2017!$D35</f>
        <v>MAXIMALT</v>
      </c>
      <c r="D31" s="297">
        <v>4200</v>
      </c>
      <c r="E31" s="1051">
        <v>0.33333333333333331</v>
      </c>
      <c r="F31" s="369">
        <f>[3]July_2017!$J35</f>
        <v>299.3</v>
      </c>
      <c r="G31" s="30">
        <f>[3]July_2017!$F35</f>
        <v>4491</v>
      </c>
      <c r="H31" s="369">
        <f>SUM([3]July_2017!$K35)</f>
        <v>296.40600000000001</v>
      </c>
      <c r="I31" s="370">
        <f>SUM([3]July_2017!$N35)</f>
        <v>11</v>
      </c>
      <c r="J31" s="991">
        <f>SUM([3]July_2017!$Q$35:$Q$36)</f>
        <v>460.63337393422654</v>
      </c>
      <c r="K31" s="991">
        <f>[3]July_2017!$E35</f>
        <v>821</v>
      </c>
      <c r="L31" s="32"/>
      <c r="M31" s="1017">
        <v>0.92708333333333337</v>
      </c>
      <c r="N31" s="32">
        <f>SUM([4]Jul!$AC34)</f>
        <v>45</v>
      </c>
      <c r="O31" s="350" t="e">
        <f>[4]Jul!$I34</f>
        <v>#REF!</v>
      </c>
      <c r="P31" s="32">
        <f>[3]July_2017!$H35</f>
        <v>0</v>
      </c>
      <c r="Q31" s="349">
        <f>SUM([3]July_2017!$P35)</f>
        <v>0.96692281991313245</v>
      </c>
      <c r="R31" s="32"/>
      <c r="S31" s="1039">
        <f>($G31+G32)/(($K31/60)*AE$3*(1/24))</f>
        <v>0.73701339829476253</v>
      </c>
      <c r="T31" s="1039">
        <f>($G31+G32)/(($K31/60)*AF$3*(1/24))</f>
        <v>0.65030593967184935</v>
      </c>
      <c r="U31" s="1039">
        <f>($G31+G32)*24/($K31/60)/$AE$3</f>
        <v>0.73701339829476253</v>
      </c>
      <c r="V31" s="1047">
        <f>($G31+G32)*24/($K31/60)/$AF$3</f>
        <v>0.65030593967184924</v>
      </c>
      <c r="W31" s="1035">
        <f>(910-(N31+N32))/910</f>
        <v>0.81318681318681318</v>
      </c>
      <c r="X31" s="1059" t="s">
        <v>652</v>
      </c>
      <c r="Y31" s="1060"/>
      <c r="Z31" s="1060"/>
      <c r="AA31" s="1060"/>
      <c r="AB31" s="1060"/>
      <c r="AC31" s="1060"/>
      <c r="AD31" s="1061"/>
    </row>
    <row r="32" spans="2:30" s="19" customFormat="1" ht="59.25" customHeight="1" x14ac:dyDescent="0.2">
      <c r="B32" s="1038"/>
      <c r="C32" s="26" t="str">
        <f>[3]July_2017!$D36</f>
        <v>TING</v>
      </c>
      <c r="D32" s="297">
        <v>1800</v>
      </c>
      <c r="E32" s="1053"/>
      <c r="F32" s="369">
        <f>[3]July_2017!$J36</f>
        <v>122.95799999999998</v>
      </c>
      <c r="G32" s="30">
        <f>[3]July_2017!$F36</f>
        <v>1812</v>
      </c>
      <c r="H32" s="369">
        <f>SUM([3]July_2017!$K36)</f>
        <v>119.592</v>
      </c>
      <c r="I32" s="370">
        <f>SUM([3]July_2017!$N36)</f>
        <v>6</v>
      </c>
      <c r="J32" s="992"/>
      <c r="K32" s="992"/>
      <c r="L32" s="32"/>
      <c r="M32" s="1018"/>
      <c r="N32" s="32">
        <f>SUM([4]Jul!$AC35)</f>
        <v>125</v>
      </c>
      <c r="O32" s="376">
        <f>[4]Jul!$I35</f>
        <v>35</v>
      </c>
      <c r="P32" s="32">
        <f>[3]July_2017!$H36</f>
        <v>0</v>
      </c>
      <c r="Q32" s="349">
        <f>SUM([3]July_2017!$P36)</f>
        <v>2.7375201288244653</v>
      </c>
      <c r="R32" s="32"/>
      <c r="S32" s="1040"/>
      <c r="T32" s="1040"/>
      <c r="U32" s="1040"/>
      <c r="V32" s="1048"/>
      <c r="W32" s="1036"/>
      <c r="X32" s="1059" t="s">
        <v>653</v>
      </c>
      <c r="Y32" s="1060"/>
      <c r="Z32" s="1060"/>
      <c r="AA32" s="1060"/>
      <c r="AB32" s="1060"/>
      <c r="AC32" s="1060"/>
      <c r="AD32" s="1061"/>
    </row>
    <row r="33" spans="2:30" s="19" customFormat="1" ht="57" customHeight="1" x14ac:dyDescent="0.2">
      <c r="B33" s="1037">
        <v>42947</v>
      </c>
      <c r="C33" s="26" t="str">
        <f>[3]July_2017!$D37</f>
        <v>CARIB</v>
      </c>
      <c r="D33" s="297">
        <v>7000</v>
      </c>
      <c r="E33" s="1051">
        <v>0.34722222222222227</v>
      </c>
      <c r="F33" s="369">
        <f>[3]July_2017!$J37</f>
        <v>288.5</v>
      </c>
      <c r="G33" s="30">
        <f>[3]July_2017!$F37</f>
        <v>4267</v>
      </c>
      <c r="H33" s="369">
        <f>SUM([3]July_2017!$K37)</f>
        <v>287.322</v>
      </c>
      <c r="I33" s="370">
        <f>SUM([3]July_2017!$N37)</f>
        <v>30</v>
      </c>
      <c r="J33" s="991">
        <f>[3]July_2017!$Q37</f>
        <v>518.67391304347825</v>
      </c>
      <c r="K33" s="991">
        <f>[3]July_2017!$E37</f>
        <v>920</v>
      </c>
      <c r="L33" s="32"/>
      <c r="M33" s="1017">
        <v>1.0090277777777776</v>
      </c>
      <c r="N33" s="32">
        <f>SUM([4]Jul!$AC36)</f>
        <v>78</v>
      </c>
      <c r="O33" s="376" t="e">
        <f>[4]Jul!$I36</f>
        <v>#REF!</v>
      </c>
      <c r="P33" s="32">
        <f>[3]July_2017!$H37</f>
        <v>0</v>
      </c>
      <c r="Q33" s="349">
        <f>SUM([3]July_2017!$P37)</f>
        <v>0.40831889081455713</v>
      </c>
      <c r="R33" s="32"/>
      <c r="S33" s="1039">
        <f>($G33+G34)/(($K33/60)*AE$3*(1/24))</f>
        <v>0.82987826086956529</v>
      </c>
      <c r="T33" s="1039">
        <f>($G33+G34)/(($K33/60)*AF$3*(1/24))</f>
        <v>0.73224552429667522</v>
      </c>
      <c r="U33" s="1039">
        <f>($G33+G34)*24/($K33/60)/$AE$3</f>
        <v>0.82987826086956518</v>
      </c>
      <c r="V33" s="1047">
        <f>($G33+G34)*24/($K33/60)/$AF$3</f>
        <v>0.73224552429667522</v>
      </c>
      <c r="W33" s="1035">
        <f>(1013-(N33+N34))/1013</f>
        <v>0.88450148075024682</v>
      </c>
      <c r="X33" s="1059" t="s">
        <v>655</v>
      </c>
      <c r="Y33" s="1060"/>
      <c r="Z33" s="1060"/>
      <c r="AA33" s="1060"/>
      <c r="AB33" s="1060"/>
      <c r="AC33" s="1060"/>
      <c r="AD33" s="1061"/>
    </row>
    <row r="34" spans="2:30" s="19" customFormat="1" ht="41.25" customHeight="1" x14ac:dyDescent="0.2">
      <c r="B34" s="1038"/>
      <c r="C34" s="26" t="str">
        <f>[3]July_2017!$D38</f>
        <v>STAG</v>
      </c>
      <c r="D34" s="297">
        <v>700</v>
      </c>
      <c r="E34" s="1053"/>
      <c r="F34" s="369">
        <f>[3]July_2017!$J38</f>
        <v>244</v>
      </c>
      <c r="G34" s="30">
        <f>[3]July_2017!$F38</f>
        <v>3686</v>
      </c>
      <c r="H34" s="369">
        <f>SUM([3]July_2017!$K38)</f>
        <v>243.27600000000001</v>
      </c>
      <c r="I34" s="370">
        <f>SUM([3]July_2017!$N38)</f>
        <v>9</v>
      </c>
      <c r="J34" s="992"/>
      <c r="K34" s="992"/>
      <c r="L34" s="32"/>
      <c r="M34" s="1018"/>
      <c r="N34" s="32">
        <f>SUM([4]Jul!$AC37)</f>
        <v>39</v>
      </c>
      <c r="O34" s="376">
        <f>[4]Jul!$I37</f>
        <v>8</v>
      </c>
      <c r="P34" s="32"/>
      <c r="Q34" s="349">
        <f>SUM([3]July_2017!$P38)</f>
        <v>0.29672131147540554</v>
      </c>
      <c r="R34" s="32"/>
      <c r="S34" s="1040"/>
      <c r="T34" s="1040"/>
      <c r="U34" s="1040"/>
      <c r="V34" s="1048"/>
      <c r="W34" s="1036"/>
      <c r="X34" s="1059" t="s">
        <v>654</v>
      </c>
      <c r="Y34" s="1060"/>
      <c r="Z34" s="1060"/>
      <c r="AA34" s="1060"/>
      <c r="AB34" s="1060"/>
      <c r="AC34" s="1060"/>
      <c r="AD34" s="1061"/>
    </row>
    <row r="35" spans="2:30" s="19" customFormat="1" ht="21.75" customHeight="1" thickBot="1" x14ac:dyDescent="0.25">
      <c r="B35" s="291"/>
      <c r="C35" s="26"/>
      <c r="D35" s="27"/>
      <c r="E35" s="28"/>
      <c r="F35" s="29"/>
      <c r="G35" s="30"/>
      <c r="H35" s="29"/>
      <c r="I35" s="31"/>
      <c r="J35" s="29"/>
      <c r="K35" s="30"/>
      <c r="L35" s="29"/>
      <c r="M35" s="31"/>
      <c r="N35" s="32"/>
      <c r="O35" s="236"/>
      <c r="P35" s="32"/>
      <c r="Q35" s="33"/>
      <c r="R35" s="32"/>
      <c r="S35" s="224"/>
      <c r="T35" s="224"/>
      <c r="U35" s="224"/>
      <c r="V35" s="227"/>
      <c r="W35" s="233"/>
      <c r="X35" s="1059"/>
      <c r="Y35" s="1060"/>
      <c r="Z35" s="1060"/>
      <c r="AA35" s="1060"/>
      <c r="AB35" s="1060"/>
      <c r="AC35" s="1060"/>
      <c r="AD35" s="1061"/>
    </row>
    <row r="36" spans="2:30" s="19" customFormat="1" ht="49.5" hidden="1" customHeight="1" thickBot="1" x14ac:dyDescent="0.25">
      <c r="B36" s="291"/>
      <c r="C36" s="26"/>
      <c r="D36" s="27"/>
      <c r="E36" s="28"/>
      <c r="F36" s="29"/>
      <c r="G36" s="30"/>
      <c r="H36" s="29"/>
      <c r="I36" s="31"/>
      <c r="J36" s="29"/>
      <c r="K36" s="30"/>
      <c r="L36" s="29"/>
      <c r="M36" s="31"/>
      <c r="N36" s="32"/>
      <c r="O36" s="236"/>
      <c r="P36" s="32"/>
      <c r="Q36" s="33"/>
      <c r="R36" s="32"/>
      <c r="S36" s="224"/>
      <c r="T36" s="224"/>
      <c r="U36" s="224"/>
      <c r="V36" s="227"/>
      <c r="W36" s="233"/>
      <c r="X36" s="1059"/>
      <c r="Y36" s="1060"/>
      <c r="Z36" s="1060"/>
      <c r="AA36" s="1060"/>
      <c r="AB36" s="1060"/>
      <c r="AC36" s="1060"/>
      <c r="AD36" s="1061"/>
    </row>
    <row r="37" spans="2:30" s="19" customFormat="1" ht="49.5" hidden="1" customHeight="1" x14ac:dyDescent="0.2">
      <c r="B37" s="291"/>
      <c r="C37" s="26"/>
      <c r="D37" s="27"/>
      <c r="E37" s="28"/>
      <c r="F37" s="29"/>
      <c r="G37" s="30"/>
      <c r="H37" s="29"/>
      <c r="I37" s="31"/>
      <c r="J37" s="29"/>
      <c r="K37" s="30"/>
      <c r="L37" s="29"/>
      <c r="M37" s="31"/>
      <c r="N37" s="32"/>
      <c r="O37" s="236"/>
      <c r="P37" s="32"/>
      <c r="Q37" s="33"/>
      <c r="R37" s="32"/>
      <c r="S37" s="224"/>
      <c r="T37" s="224"/>
      <c r="U37" s="224"/>
      <c r="V37" s="227"/>
      <c r="W37" s="233"/>
      <c r="X37" s="1059"/>
      <c r="Y37" s="1060"/>
      <c r="Z37" s="1060"/>
      <c r="AA37" s="1060"/>
      <c r="AB37" s="1060"/>
      <c r="AC37" s="1060"/>
      <c r="AD37" s="1061"/>
    </row>
    <row r="38" spans="2:30" s="19" customFormat="1" ht="49.5" hidden="1" customHeight="1" x14ac:dyDescent="0.2">
      <c r="B38" s="168"/>
      <c r="C38" s="26"/>
      <c r="D38" s="27"/>
      <c r="E38" s="28"/>
      <c r="F38" s="29"/>
      <c r="G38" s="30"/>
      <c r="H38" s="29"/>
      <c r="I38" s="31"/>
      <c r="J38" s="285"/>
      <c r="K38" s="285"/>
      <c r="L38" s="285"/>
      <c r="M38" s="169"/>
      <c r="N38" s="285"/>
      <c r="O38" s="236"/>
      <c r="P38" s="32"/>
      <c r="Q38" s="33"/>
      <c r="R38" s="32"/>
      <c r="S38" s="224"/>
      <c r="T38" s="224"/>
      <c r="U38" s="224"/>
      <c r="V38" s="225"/>
      <c r="W38" s="288"/>
      <c r="X38" s="1059"/>
      <c r="Y38" s="1060"/>
      <c r="Z38" s="1060"/>
      <c r="AA38" s="1060"/>
      <c r="AB38" s="1060"/>
      <c r="AC38" s="1060"/>
      <c r="AD38" s="1061"/>
    </row>
    <row r="39" spans="2:30" s="19" customFormat="1" ht="49.5" hidden="1" customHeight="1" x14ac:dyDescent="0.2">
      <c r="B39" s="168"/>
      <c r="C39" s="26"/>
      <c r="D39" s="27"/>
      <c r="E39" s="28"/>
      <c r="F39" s="29"/>
      <c r="G39" s="30"/>
      <c r="H39" s="29"/>
      <c r="I39" s="31"/>
      <c r="J39" s="285"/>
      <c r="K39" s="285"/>
      <c r="L39" s="285"/>
      <c r="M39" s="169"/>
      <c r="N39" s="285"/>
      <c r="O39" s="236"/>
      <c r="P39" s="32"/>
      <c r="Q39" s="33"/>
      <c r="R39" s="32"/>
      <c r="S39" s="224"/>
      <c r="T39" s="224"/>
      <c r="U39" s="224"/>
      <c r="V39" s="225"/>
      <c r="W39" s="288"/>
      <c r="X39" s="1059"/>
      <c r="Y39" s="1060"/>
      <c r="Z39" s="1060"/>
      <c r="AA39" s="1060"/>
      <c r="AB39" s="1060"/>
      <c r="AC39" s="1060"/>
      <c r="AD39" s="1061"/>
    </row>
    <row r="40" spans="2:30" s="19" customFormat="1" ht="49.5" hidden="1" customHeight="1" x14ac:dyDescent="0.2">
      <c r="B40" s="168"/>
      <c r="C40" s="26"/>
      <c r="D40" s="27"/>
      <c r="E40" s="28"/>
      <c r="F40" s="29"/>
      <c r="G40" s="30"/>
      <c r="H40" s="29"/>
      <c r="I40" s="31"/>
      <c r="J40" s="285"/>
      <c r="K40" s="285"/>
      <c r="L40" s="285"/>
      <c r="M40" s="169"/>
      <c r="N40" s="285"/>
      <c r="O40" s="236"/>
      <c r="P40" s="32"/>
      <c r="Q40" s="33"/>
      <c r="R40" s="32"/>
      <c r="S40" s="224"/>
      <c r="T40" s="224"/>
      <c r="U40" s="224"/>
      <c r="V40" s="225"/>
      <c r="W40" s="288"/>
      <c r="X40" s="1059"/>
      <c r="Y40" s="1060"/>
      <c r="Z40" s="1060"/>
      <c r="AA40" s="1060"/>
      <c r="AB40" s="1060"/>
      <c r="AC40" s="1060"/>
      <c r="AD40" s="1061"/>
    </row>
    <row r="41" spans="2:30" s="19" customFormat="1" ht="49.5" hidden="1" customHeight="1" x14ac:dyDescent="0.2">
      <c r="B41" s="168"/>
      <c r="C41" s="26"/>
      <c r="D41" s="27"/>
      <c r="E41" s="28"/>
      <c r="F41" s="29"/>
      <c r="G41" s="30"/>
      <c r="H41" s="29"/>
      <c r="I41" s="31"/>
      <c r="J41" s="32"/>
      <c r="K41" s="285"/>
      <c r="L41" s="285"/>
      <c r="M41" s="169"/>
      <c r="N41" s="285"/>
      <c r="O41" s="236"/>
      <c r="P41" s="32"/>
      <c r="Q41" s="33"/>
      <c r="R41" s="32"/>
      <c r="S41" s="224"/>
      <c r="T41" s="224"/>
      <c r="U41" s="224"/>
      <c r="V41" s="225"/>
      <c r="W41" s="288"/>
      <c r="X41" s="1059"/>
      <c r="Y41" s="1060"/>
      <c r="Z41" s="1060"/>
      <c r="AA41" s="1060"/>
      <c r="AB41" s="1060"/>
      <c r="AC41" s="1060"/>
      <c r="AD41" s="1061"/>
    </row>
    <row r="42" spans="2:30" s="19" customFormat="1" ht="49.5" hidden="1" customHeight="1" x14ac:dyDescent="0.2">
      <c r="B42" s="168"/>
      <c r="C42" s="26"/>
      <c r="D42" s="27"/>
      <c r="E42" s="28"/>
      <c r="F42" s="29"/>
      <c r="G42" s="30"/>
      <c r="H42" s="29"/>
      <c r="I42" s="31"/>
      <c r="J42" s="32"/>
      <c r="K42" s="285"/>
      <c r="L42" s="285"/>
      <c r="M42" s="169"/>
      <c r="N42" s="285"/>
      <c r="O42" s="236"/>
      <c r="P42" s="32"/>
      <c r="Q42" s="33"/>
      <c r="R42" s="32"/>
      <c r="S42" s="224"/>
      <c r="T42" s="224"/>
      <c r="U42" s="224"/>
      <c r="V42" s="225"/>
      <c r="W42" s="288"/>
      <c r="X42" s="1059"/>
      <c r="Y42" s="1060"/>
      <c r="Z42" s="1060"/>
      <c r="AA42" s="1060"/>
      <c r="AB42" s="1060"/>
      <c r="AC42" s="1060"/>
      <c r="AD42" s="1061"/>
    </row>
    <row r="43" spans="2:30" s="19" customFormat="1" ht="49.5" hidden="1" customHeight="1" x14ac:dyDescent="0.2">
      <c r="B43" s="168"/>
      <c r="C43" s="26"/>
      <c r="D43" s="27"/>
      <c r="E43" s="28"/>
      <c r="F43" s="29"/>
      <c r="G43" s="30"/>
      <c r="H43" s="29"/>
      <c r="I43" s="31"/>
      <c r="J43" s="32"/>
      <c r="K43" s="32"/>
      <c r="L43" s="32"/>
      <c r="M43" s="169"/>
      <c r="N43" s="32"/>
      <c r="O43" s="236"/>
      <c r="P43" s="32"/>
      <c r="Q43" s="33"/>
      <c r="R43" s="32"/>
      <c r="S43" s="224"/>
      <c r="T43" s="224"/>
      <c r="U43" s="224"/>
      <c r="V43" s="225"/>
      <c r="W43" s="288"/>
      <c r="X43" s="1059"/>
      <c r="Y43" s="1060"/>
      <c r="Z43" s="1060"/>
      <c r="AA43" s="1060"/>
      <c r="AB43" s="1060"/>
      <c r="AC43" s="1060"/>
      <c r="AD43" s="1061"/>
    </row>
    <row r="44" spans="2:30" s="19" customFormat="1" ht="49.5" hidden="1" customHeight="1" x14ac:dyDescent="0.2">
      <c r="B44" s="168"/>
      <c r="C44" s="26"/>
      <c r="D44" s="27"/>
      <c r="E44" s="28"/>
      <c r="F44" s="29"/>
      <c r="G44" s="30"/>
      <c r="H44" s="29"/>
      <c r="I44" s="31"/>
      <c r="J44" s="32"/>
      <c r="K44" s="32"/>
      <c r="L44" s="32"/>
      <c r="M44" s="169"/>
      <c r="N44" s="32"/>
      <c r="O44" s="236"/>
      <c r="P44" s="32"/>
      <c r="Q44" s="33"/>
      <c r="R44" s="32"/>
      <c r="S44" s="129"/>
      <c r="T44" s="129"/>
      <c r="U44" s="129"/>
      <c r="V44" s="227"/>
      <c r="W44" s="233"/>
      <c r="X44" s="1059"/>
      <c r="Y44" s="1060"/>
      <c r="Z44" s="1060"/>
      <c r="AA44" s="1060"/>
      <c r="AB44" s="1060"/>
      <c r="AC44" s="1060"/>
      <c r="AD44" s="1061"/>
    </row>
    <row r="45" spans="2:30" s="19" customFormat="1" ht="49.5" hidden="1" customHeight="1" x14ac:dyDescent="0.2">
      <c r="B45" s="168"/>
      <c r="C45" s="26"/>
      <c r="D45" s="27"/>
      <c r="E45" s="28"/>
      <c r="F45" s="29"/>
      <c r="G45" s="30"/>
      <c r="H45" s="29"/>
      <c r="I45" s="31"/>
      <c r="J45" s="32"/>
      <c r="K45" s="32"/>
      <c r="L45" s="32"/>
      <c r="M45" s="169"/>
      <c r="N45" s="32"/>
      <c r="O45" s="236"/>
      <c r="P45" s="32"/>
      <c r="Q45" s="33"/>
      <c r="R45" s="32"/>
      <c r="S45" s="129"/>
      <c r="T45" s="129"/>
      <c r="U45" s="129"/>
      <c r="V45" s="227"/>
      <c r="W45" s="233"/>
      <c r="X45" s="1059"/>
      <c r="Y45" s="1060"/>
      <c r="Z45" s="1060"/>
      <c r="AA45" s="1060"/>
      <c r="AB45" s="1060"/>
      <c r="AC45" s="1060"/>
      <c r="AD45" s="1061"/>
    </row>
    <row r="46" spans="2:30" s="19" customFormat="1" ht="49.5" hidden="1" customHeight="1" x14ac:dyDescent="0.2">
      <c r="B46" s="168"/>
      <c r="C46" s="26"/>
      <c r="D46" s="27"/>
      <c r="E46" s="28"/>
      <c r="F46" s="29"/>
      <c r="G46" s="30"/>
      <c r="H46" s="29"/>
      <c r="I46" s="31"/>
      <c r="J46" s="32"/>
      <c r="K46" s="32"/>
      <c r="L46" s="32"/>
      <c r="M46" s="169"/>
      <c r="N46" s="32"/>
      <c r="O46" s="236"/>
      <c r="P46" s="32"/>
      <c r="Q46" s="33"/>
      <c r="R46" s="32"/>
      <c r="S46" s="129"/>
      <c r="T46" s="129"/>
      <c r="U46" s="129"/>
      <c r="V46" s="227"/>
      <c r="W46" s="233"/>
      <c r="X46" s="1059"/>
      <c r="Y46" s="1060"/>
      <c r="Z46" s="1060"/>
      <c r="AA46" s="1060"/>
      <c r="AB46" s="1060"/>
      <c r="AC46" s="1060"/>
      <c r="AD46" s="1061"/>
    </row>
    <row r="47" spans="2:30" s="19" customFormat="1" ht="49.5" hidden="1" customHeight="1" x14ac:dyDescent="0.2">
      <c r="B47" s="168"/>
      <c r="C47" s="26"/>
      <c r="D47" s="27"/>
      <c r="E47" s="28"/>
      <c r="F47" s="29"/>
      <c r="G47" s="30"/>
      <c r="H47" s="29"/>
      <c r="I47" s="31"/>
      <c r="J47" s="32"/>
      <c r="K47" s="32"/>
      <c r="L47" s="32"/>
      <c r="M47" s="169"/>
      <c r="N47" s="32"/>
      <c r="O47" s="236"/>
      <c r="P47" s="32"/>
      <c r="Q47" s="33"/>
      <c r="R47" s="32"/>
      <c r="S47" s="129"/>
      <c r="T47" s="129"/>
      <c r="U47" s="129"/>
      <c r="V47" s="227"/>
      <c r="W47" s="233"/>
      <c r="X47" s="1059"/>
      <c r="Y47" s="1060"/>
      <c r="Z47" s="1060"/>
      <c r="AA47" s="1060"/>
      <c r="AB47" s="1060"/>
      <c r="AC47" s="1060"/>
      <c r="AD47" s="1061"/>
    </row>
    <row r="48" spans="2:30" s="19" customFormat="1" ht="49.5" hidden="1" customHeight="1" x14ac:dyDescent="0.2">
      <c r="B48" s="168"/>
      <c r="C48" s="26"/>
      <c r="D48" s="27"/>
      <c r="E48" s="28"/>
      <c r="F48" s="29"/>
      <c r="G48" s="30"/>
      <c r="H48" s="29"/>
      <c r="I48" s="31"/>
      <c r="J48" s="32"/>
      <c r="K48" s="32"/>
      <c r="L48" s="32"/>
      <c r="M48" s="169"/>
      <c r="N48" s="32"/>
      <c r="O48" s="236"/>
      <c r="P48" s="32"/>
      <c r="Q48" s="33"/>
      <c r="R48" s="32"/>
      <c r="S48" s="129"/>
      <c r="T48" s="129"/>
      <c r="U48" s="129"/>
      <c r="V48" s="227"/>
      <c r="W48" s="233"/>
      <c r="X48" s="1059"/>
      <c r="Y48" s="1060"/>
      <c r="Z48" s="1060"/>
      <c r="AA48" s="1060"/>
      <c r="AB48" s="1060"/>
      <c r="AC48" s="1060"/>
      <c r="AD48" s="1061"/>
    </row>
    <row r="49" spans="1:30" s="19" customFormat="1" ht="49.5" hidden="1" customHeight="1" x14ac:dyDescent="0.2">
      <c r="B49" s="168"/>
      <c r="C49" s="26"/>
      <c r="D49" s="27"/>
      <c r="E49" s="28"/>
      <c r="F49" s="29"/>
      <c r="G49" s="30"/>
      <c r="H49" s="29"/>
      <c r="I49" s="31"/>
      <c r="J49" s="32"/>
      <c r="K49" s="32"/>
      <c r="L49" s="32"/>
      <c r="M49" s="169"/>
      <c r="N49" s="32"/>
      <c r="O49" s="236"/>
      <c r="P49" s="32"/>
      <c r="Q49" s="33"/>
      <c r="R49" s="32"/>
      <c r="S49" s="129"/>
      <c r="T49" s="129"/>
      <c r="U49" s="129"/>
      <c r="V49" s="227"/>
      <c r="W49" s="233"/>
      <c r="X49" s="1059"/>
      <c r="Y49" s="1060"/>
      <c r="Z49" s="1060"/>
      <c r="AA49" s="1060"/>
      <c r="AB49" s="1060"/>
      <c r="AC49" s="1060"/>
      <c r="AD49" s="1061"/>
    </row>
    <row r="50" spans="1:30" s="19" customFormat="1" ht="49.5" hidden="1" customHeight="1" x14ac:dyDescent="0.2">
      <c r="B50" s="168"/>
      <c r="C50" s="26"/>
      <c r="D50" s="27"/>
      <c r="E50" s="28"/>
      <c r="F50" s="29"/>
      <c r="G50" s="30"/>
      <c r="H50" s="29"/>
      <c r="I50" s="31"/>
      <c r="J50" s="32"/>
      <c r="K50" s="32"/>
      <c r="L50" s="32"/>
      <c r="M50" s="169"/>
      <c r="N50" s="32"/>
      <c r="O50" s="236"/>
      <c r="P50" s="32"/>
      <c r="Q50" s="33"/>
      <c r="R50" s="32"/>
      <c r="S50" s="129"/>
      <c r="T50" s="129"/>
      <c r="U50" s="129"/>
      <c r="V50" s="227"/>
      <c r="W50" s="233"/>
      <c r="X50" s="1059"/>
      <c r="Y50" s="1060"/>
      <c r="Z50" s="1060"/>
      <c r="AA50" s="1060"/>
      <c r="AB50" s="1060"/>
      <c r="AC50" s="1060"/>
      <c r="AD50" s="1061"/>
    </row>
    <row r="51" spans="1:30" s="19" customFormat="1" ht="49.5" hidden="1" customHeight="1" x14ac:dyDescent="0.2">
      <c r="B51" s="168"/>
      <c r="C51" s="26"/>
      <c r="D51" s="27"/>
      <c r="E51" s="28"/>
      <c r="F51" s="29"/>
      <c r="G51" s="30"/>
      <c r="H51" s="29"/>
      <c r="I51" s="31"/>
      <c r="J51" s="32"/>
      <c r="K51" s="32"/>
      <c r="L51" s="32"/>
      <c r="M51" s="169"/>
      <c r="N51" s="32"/>
      <c r="O51" s="236"/>
      <c r="P51" s="32"/>
      <c r="Q51" s="33"/>
      <c r="R51" s="32"/>
      <c r="S51" s="129"/>
      <c r="T51" s="129"/>
      <c r="U51" s="129"/>
      <c r="V51" s="227"/>
      <c r="W51" s="233"/>
      <c r="X51" s="1059"/>
      <c r="Y51" s="1060"/>
      <c r="Z51" s="1060"/>
      <c r="AA51" s="1060"/>
      <c r="AB51" s="1060"/>
      <c r="AC51" s="1060"/>
      <c r="AD51" s="1061"/>
    </row>
    <row r="52" spans="1:30" s="19" customFormat="1" ht="49.5" hidden="1" customHeight="1" x14ac:dyDescent="0.2">
      <c r="B52" s="168"/>
      <c r="C52" s="26"/>
      <c r="D52" s="27"/>
      <c r="E52" s="28"/>
      <c r="F52" s="29"/>
      <c r="G52" s="30"/>
      <c r="H52" s="29"/>
      <c r="I52" s="31"/>
      <c r="J52" s="32"/>
      <c r="K52" s="32"/>
      <c r="L52" s="32"/>
      <c r="M52" s="169"/>
      <c r="N52" s="32"/>
      <c r="O52" s="236"/>
      <c r="P52" s="32"/>
      <c r="Q52" s="33"/>
      <c r="R52" s="32"/>
      <c r="S52" s="129"/>
      <c r="T52" s="129"/>
      <c r="U52" s="129"/>
      <c r="V52" s="227"/>
      <c r="W52" s="233"/>
      <c r="X52" s="1059"/>
      <c r="Y52" s="1060"/>
      <c r="Z52" s="1060"/>
      <c r="AA52" s="1060"/>
      <c r="AB52" s="1060"/>
      <c r="AC52" s="1060"/>
      <c r="AD52" s="1061"/>
    </row>
    <row r="53" spans="1:30" s="19" customFormat="1" ht="49.5" hidden="1" customHeight="1" x14ac:dyDescent="0.2">
      <c r="B53" s="168"/>
      <c r="C53" s="26"/>
      <c r="D53" s="27"/>
      <c r="E53" s="28"/>
      <c r="F53" s="29"/>
      <c r="G53" s="30"/>
      <c r="H53" s="29"/>
      <c r="I53" s="31"/>
      <c r="J53" s="32"/>
      <c r="K53" s="32"/>
      <c r="L53" s="32"/>
      <c r="M53" s="169"/>
      <c r="N53" s="32"/>
      <c r="O53" s="236"/>
      <c r="P53" s="32"/>
      <c r="Q53" s="33"/>
      <c r="R53" s="32"/>
      <c r="S53" s="129"/>
      <c r="T53" s="129"/>
      <c r="U53" s="129"/>
      <c r="V53" s="227"/>
      <c r="W53" s="233"/>
      <c r="X53" s="1059"/>
      <c r="Y53" s="1060"/>
      <c r="Z53" s="1060"/>
      <c r="AA53" s="1060"/>
      <c r="AB53" s="1060"/>
      <c r="AC53" s="1060"/>
      <c r="AD53" s="1061"/>
    </row>
    <row r="54" spans="1:30" s="19" customFormat="1" ht="49.5" hidden="1" customHeight="1" x14ac:dyDescent="0.2">
      <c r="B54" s="168"/>
      <c r="C54" s="26"/>
      <c r="D54" s="27"/>
      <c r="E54" s="28"/>
      <c r="F54" s="29"/>
      <c r="G54" s="30"/>
      <c r="H54" s="29"/>
      <c r="I54" s="31"/>
      <c r="J54" s="32"/>
      <c r="K54" s="32"/>
      <c r="L54" s="32"/>
      <c r="M54" s="169"/>
      <c r="N54" s="32"/>
      <c r="O54" s="236"/>
      <c r="P54" s="32"/>
      <c r="Q54" s="33"/>
      <c r="R54" s="32"/>
      <c r="S54" s="129"/>
      <c r="T54" s="129"/>
      <c r="U54" s="129"/>
      <c r="V54" s="227"/>
      <c r="W54" s="233"/>
      <c r="X54" s="1059"/>
      <c r="Y54" s="1060"/>
      <c r="Z54" s="1060"/>
      <c r="AA54" s="1060"/>
      <c r="AB54" s="1060"/>
      <c r="AC54" s="1060"/>
      <c r="AD54" s="1061"/>
    </row>
    <row r="55" spans="1:30" s="19" customFormat="1" ht="49.5" hidden="1" customHeight="1" x14ac:dyDescent="0.2">
      <c r="B55" s="168"/>
      <c r="C55" s="26"/>
      <c r="D55" s="27"/>
      <c r="E55" s="28"/>
      <c r="F55" s="29"/>
      <c r="G55" s="30"/>
      <c r="H55" s="29"/>
      <c r="I55" s="31"/>
      <c r="J55" s="32"/>
      <c r="K55" s="32"/>
      <c r="L55" s="32"/>
      <c r="M55" s="169"/>
      <c r="N55" s="32"/>
      <c r="O55" s="236"/>
      <c r="P55" s="32"/>
      <c r="Q55" s="33"/>
      <c r="R55" s="32"/>
      <c r="S55" s="129"/>
      <c r="T55" s="129"/>
      <c r="U55" s="129"/>
      <c r="V55" s="227"/>
      <c r="W55" s="233"/>
      <c r="X55" s="1059"/>
      <c r="Y55" s="1060"/>
      <c r="Z55" s="1060"/>
      <c r="AA55" s="1060"/>
      <c r="AB55" s="1060"/>
      <c r="AC55" s="1060"/>
      <c r="AD55" s="1061"/>
    </row>
    <row r="56" spans="1:30" s="19" customFormat="1" ht="49.5" hidden="1" customHeight="1" x14ac:dyDescent="0.2">
      <c r="B56" s="168"/>
      <c r="C56" s="26"/>
      <c r="D56" s="27"/>
      <c r="E56" s="28"/>
      <c r="F56" s="29"/>
      <c r="G56" s="30"/>
      <c r="H56" s="29"/>
      <c r="I56" s="31"/>
      <c r="J56" s="32"/>
      <c r="K56" s="32"/>
      <c r="L56" s="32"/>
      <c r="M56" s="169"/>
      <c r="N56" s="32"/>
      <c r="O56" s="236"/>
      <c r="P56" s="32"/>
      <c r="Q56" s="33"/>
      <c r="R56" s="32"/>
      <c r="S56" s="129"/>
      <c r="T56" s="129"/>
      <c r="U56" s="129"/>
      <c r="V56" s="227"/>
      <c r="W56" s="233"/>
      <c r="X56" s="1059"/>
      <c r="Y56" s="1060"/>
      <c r="Z56" s="1060"/>
      <c r="AA56" s="1060"/>
      <c r="AB56" s="1060"/>
      <c r="AC56" s="1060"/>
      <c r="AD56" s="1061"/>
    </row>
    <row r="57" spans="1:30" s="19" customFormat="1" ht="49.5" hidden="1" customHeight="1" thickBot="1" x14ac:dyDescent="0.25">
      <c r="B57" s="168"/>
      <c r="C57" s="26"/>
      <c r="D57" s="27"/>
      <c r="E57" s="28"/>
      <c r="F57" s="29"/>
      <c r="G57" s="30"/>
      <c r="H57" s="29"/>
      <c r="I57" s="31"/>
      <c r="J57" s="32"/>
      <c r="K57" s="32"/>
      <c r="L57" s="32"/>
      <c r="M57" s="169"/>
      <c r="N57" s="32"/>
      <c r="O57" s="236"/>
      <c r="P57" s="32"/>
      <c r="Q57" s="33"/>
      <c r="R57" s="32"/>
      <c r="S57" s="129"/>
      <c r="T57" s="129"/>
      <c r="U57" s="129"/>
      <c r="V57" s="227"/>
      <c r="W57" s="233"/>
      <c r="X57" s="1059"/>
      <c r="Y57" s="1060"/>
      <c r="Z57" s="1060"/>
      <c r="AA57" s="1060"/>
      <c r="AB57" s="1060"/>
      <c r="AC57" s="1060"/>
      <c r="AD57" s="1061"/>
    </row>
    <row r="58" spans="1:30" s="19" customFormat="1" ht="42" customHeight="1" thickBot="1" x14ac:dyDescent="0.25">
      <c r="B58" s="240" t="s">
        <v>3</v>
      </c>
      <c r="C58" s="241"/>
      <c r="D58" s="242">
        <f>SUM(D4:D56)</f>
        <v>118495</v>
      </c>
      <c r="E58" s="243">
        <f>AVERAGE(E4:E56)</f>
        <v>0.37847222222222227</v>
      </c>
      <c r="F58" s="244">
        <f>SUM(F4:F57)</f>
        <v>7588.8779999999988</v>
      </c>
      <c r="G58" s="242">
        <f>SUM(G4:G56)</f>
        <v>110637</v>
      </c>
      <c r="H58" s="244">
        <f>SUM(H4:H57)</f>
        <v>7524.1535999999987</v>
      </c>
      <c r="I58" s="245">
        <f>SUM(I4:I56)</f>
        <v>603</v>
      </c>
      <c r="J58" s="245">
        <f>G58/(K58/60)</f>
        <v>425.79987171263633</v>
      </c>
      <c r="K58" s="242">
        <f>SUM(K4:K56)</f>
        <v>15590</v>
      </c>
      <c r="L58" s="242">
        <f>SUM(L4:L56)</f>
        <v>5839</v>
      </c>
      <c r="M58" s="246">
        <f>AVERAGE(M4:M57)</f>
        <v>0.85621843434343436</v>
      </c>
      <c r="N58" s="242">
        <f>SUM(N4:N56)</f>
        <v>4275</v>
      </c>
      <c r="O58" s="242">
        <f>[4]Jul!$I$54</f>
        <v>220</v>
      </c>
      <c r="P58" s="245">
        <f>SUM(P4:P57)</f>
        <v>1442</v>
      </c>
      <c r="Q58" s="292">
        <f>(F58-H58)/F58</f>
        <v>8.5288497192865763E-3</v>
      </c>
      <c r="R58" s="249">
        <f>SUM(R4:R56)</f>
        <v>0</v>
      </c>
      <c r="S58" s="292">
        <f>((S4*($G$4))+(S5*($G$5))+(S6*($G$6))+(S7*($G$7))+(S8*($G$8))+(S9*($G$9))+(S10*($G$10+$G$11+$G$12+$G$13))+(S14*($G$14))+(S15*($G$15))+(S16*($G$16+$G$17))+(S18*($G$18))+(S19*($G$19+$G$20))+(S21*($G$21+$G$22))+(S23*($G$23))+(S24*($G$24))+(S25*($G$25))+(S26*($G$26))+(S27*($G$27))+(S28*($G$28+$G$29))+(S30*($G$30))+(S31*($G$31+$G$32))+(S33*($G$33+$G$34)))/($G$58)</f>
        <v>0.71313320057619622</v>
      </c>
      <c r="T58" s="292">
        <f>((T4*($G$4))+(T5*($G$5))+(T6*($G$6))+(T7*($G$7))+(T8*($G$8))+(T9*($G$9))+(T10*($G$10+$G$11+$G$12+$G$13))+(T14*($G$14))+(T15*($G$15))+(T16*($G$16+$G$17))+(T18*($G$18))+(T19*($G$19+$G$20))+(T21*($G$21+$G$22))+(T23*($G$23))+(T24*($G$24))+(T25*($G$25))+(T26*($G$26))+(T27*($G$27))+(T28*($G$28+$G$29))+(T30*($G$30))+(T31*($G$31+$G$32))+(T33*($G$33+$G$34)))/($G$58)</f>
        <v>0.62923517697899656</v>
      </c>
      <c r="U58" s="251">
        <f>(G58)*24/(K58/60)/$AE$3</f>
        <v>0.68127979474021816</v>
      </c>
      <c r="V58" s="251">
        <f>(G58)*24/(K58/60)/$AF$3</f>
        <v>0.60112923065313362</v>
      </c>
      <c r="W58" s="252">
        <f>(17980-(N58-401))/17980</f>
        <v>0.78453837597330367</v>
      </c>
      <c r="X58" s="1059"/>
      <c r="Y58" s="1060"/>
      <c r="Z58" s="1060"/>
      <c r="AA58" s="1060"/>
      <c r="AB58" s="1060"/>
      <c r="AC58" s="1060"/>
      <c r="AD58" s="1061"/>
    </row>
    <row r="59" spans="1:30" s="271" customFormat="1" ht="49.5" hidden="1" customHeight="1" thickTop="1" x14ac:dyDescent="0.3">
      <c r="A59" s="274"/>
      <c r="B59" s="260" t="s">
        <v>474</v>
      </c>
      <c r="C59" s="260"/>
      <c r="D59" s="261"/>
      <c r="E59" s="262"/>
      <c r="F59" s="263"/>
      <c r="G59" s="261"/>
      <c r="H59" s="263"/>
      <c r="I59" s="273"/>
      <c r="J59" s="273">
        <v>524</v>
      </c>
      <c r="K59" s="261"/>
      <c r="L59" s="261"/>
      <c r="M59" s="265"/>
      <c r="N59" s="261"/>
      <c r="O59" s="266"/>
      <c r="P59" s="264"/>
      <c r="Q59" s="267">
        <v>1.0999999999999999E-2</v>
      </c>
      <c r="R59" s="268"/>
      <c r="S59" s="268"/>
      <c r="T59" s="268">
        <v>0.6</v>
      </c>
      <c r="U59" s="268"/>
      <c r="V59" s="268">
        <v>0.74</v>
      </c>
      <c r="W59" s="269">
        <v>0.95</v>
      </c>
      <c r="X59" s="270"/>
      <c r="Y59" s="270"/>
      <c r="Z59" s="270"/>
      <c r="AA59" s="270"/>
      <c r="AB59" s="270"/>
      <c r="AC59" s="270"/>
      <c r="AD59" s="270"/>
    </row>
    <row r="60" spans="1:30" ht="24.75" customHeight="1" thickTop="1" x14ac:dyDescent="0.25">
      <c r="B60" s="11"/>
      <c r="C60" s="150" t="s">
        <v>35</v>
      </c>
      <c r="D60" s="210">
        <v>90440</v>
      </c>
      <c r="E60" s="1081" t="s">
        <v>667</v>
      </c>
      <c r="F60" s="1081"/>
      <c r="G60" s="210">
        <f>D60-G58</f>
        <v>-20197</v>
      </c>
      <c r="H60" s="150" t="s">
        <v>327</v>
      </c>
      <c r="I60" s="272">
        <f>G58/D60</f>
        <v>1.2233193277310925</v>
      </c>
      <c r="J60" s="152">
        <v>0</v>
      </c>
      <c r="K60" s="12"/>
      <c r="L60" s="12"/>
      <c r="M60" s="12"/>
      <c r="N60" s="12"/>
      <c r="O60" s="12"/>
      <c r="P60" s="13"/>
      <c r="Q60" s="14"/>
      <c r="R60" s="12"/>
      <c r="S60" s="15"/>
      <c r="T60" s="16"/>
      <c r="U60" s="15"/>
      <c r="V60" s="15"/>
      <c r="W60" s="15"/>
      <c r="X60" s="17" t="s">
        <v>48</v>
      </c>
    </row>
    <row r="61" spans="1:30" ht="20.25" customHeight="1" x14ac:dyDescent="0.25">
      <c r="B61" s="11"/>
      <c r="C61" s="150" t="s">
        <v>37</v>
      </c>
      <c r="D61" s="210">
        <f>'June_17 '!D63+July_17!D60</f>
        <v>590260</v>
      </c>
      <c r="E61" s="1081" t="s">
        <v>36</v>
      </c>
      <c r="F61" s="1081"/>
      <c r="G61" s="210">
        <f>'June_17 '!G63+July_17!G58</f>
        <v>611167</v>
      </c>
      <c r="H61" s="150" t="s">
        <v>326</v>
      </c>
      <c r="I61" s="212">
        <v>0</v>
      </c>
      <c r="J61" s="152"/>
      <c r="K61" s="12">
        <v>0</v>
      </c>
      <c r="L61" s="12"/>
      <c r="M61" s="12"/>
      <c r="N61" s="12"/>
      <c r="O61" s="12"/>
      <c r="P61" s="13"/>
      <c r="Q61" s="14"/>
      <c r="R61" s="12"/>
      <c r="S61" s="15"/>
      <c r="T61" s="16"/>
      <c r="U61" s="15"/>
      <c r="V61" s="15"/>
      <c r="W61" s="15"/>
      <c r="X61" s="17"/>
    </row>
    <row r="62" spans="1:30" ht="6.75" customHeight="1" thickBot="1" x14ac:dyDescent="0.3">
      <c r="C62" s="23"/>
      <c r="D62" s="42"/>
      <c r="E62" s="1082"/>
      <c r="F62" s="1082"/>
      <c r="G62" s="42"/>
      <c r="H62" s="44"/>
      <c r="I62" s="44"/>
      <c r="J62" s="149"/>
      <c r="P62"/>
      <c r="S62" s="10"/>
      <c r="X62" s="17"/>
    </row>
    <row r="63" spans="1:30" ht="57" customHeight="1" thickTop="1" thickBot="1" x14ac:dyDescent="0.25">
      <c r="B63" s="7"/>
      <c r="C63" s="206" t="s">
        <v>19</v>
      </c>
      <c r="D63" s="207" t="s">
        <v>14</v>
      </c>
      <c r="E63" s="207" t="s">
        <v>23</v>
      </c>
      <c r="F63" s="207" t="s">
        <v>24</v>
      </c>
      <c r="G63" s="208" t="s">
        <v>15</v>
      </c>
      <c r="H63" s="207" t="s">
        <v>17</v>
      </c>
      <c r="I63" s="207" t="s">
        <v>16</v>
      </c>
      <c r="J63" s="209" t="s">
        <v>600</v>
      </c>
      <c r="K63" s="305" t="s">
        <v>599</v>
      </c>
      <c r="P63"/>
      <c r="Q63" s="141" t="s">
        <v>325</v>
      </c>
      <c r="R63" s="90" t="s">
        <v>320</v>
      </c>
      <c r="S63" s="90" t="s">
        <v>466</v>
      </c>
      <c r="T63" s="90" t="s">
        <v>467</v>
      </c>
      <c r="U63" s="90" t="s">
        <v>323</v>
      </c>
      <c r="V63" s="143" t="s">
        <v>324</v>
      </c>
      <c r="W63" s="300" t="s">
        <v>576</v>
      </c>
      <c r="Y63" s="165" t="s">
        <v>375</v>
      </c>
      <c r="Z63" s="166" t="s">
        <v>376</v>
      </c>
      <c r="AA63" s="166" t="s">
        <v>377</v>
      </c>
      <c r="AB63" s="167" t="s">
        <v>378</v>
      </c>
    </row>
    <row r="64" spans="1:30" ht="21" thickBot="1" x14ac:dyDescent="0.35">
      <c r="B64" s="8"/>
      <c r="C64" s="201">
        <v>1</v>
      </c>
      <c r="D64" s="202" t="s">
        <v>20</v>
      </c>
      <c r="E64" s="182">
        <f>SUM(G6,G7,G8,G9,G14,G15,G16,G19,G20,G21,G22,G23,G24,G29,G30,G33:G34)</f>
        <v>66645</v>
      </c>
      <c r="F64" s="183">
        <f>SUM(K6,K7,K8,K9,K14,K15,K16,K19,K21,K23,K24,K28,K30,K33)</f>
        <v>9796</v>
      </c>
      <c r="G64" s="184">
        <f>SUM(F6,F7,F8,F9,F14,F15,F16,F19,F20,F21,F23,F24,F29,F30,F33:F34)</f>
        <v>4507.7999999999993</v>
      </c>
      <c r="H64" s="184">
        <f>SUM(H6,H7,H8,H9,H14,H15,H16,H19,H20,H21,H23,H24,H29,H30,H33:H34)</f>
        <v>4472.2900000000009</v>
      </c>
      <c r="I64" s="97">
        <f t="shared" ref="I64:I69" si="4">(G64-H64)/G64</f>
        <v>7.8774568525663089E-3</v>
      </c>
      <c r="J64" s="186">
        <f>(E64+G17+G28)*24/(F64/60)/17000</f>
        <v>0.62129464607402785</v>
      </c>
      <c r="K64" s="307">
        <f>AVERAGE(January_17!J65,February_17!J65,March_17!J66,April_17!J66,May_17!J66,'June_17 '!J66,July_17!J64)</f>
        <v>0.66423562233571476</v>
      </c>
      <c r="P64"/>
      <c r="Q64" s="253">
        <f>U81</f>
        <v>8.3235634231931185E-3</v>
      </c>
      <c r="R64" s="254"/>
      <c r="S64" s="255">
        <f>((January_17!Q$60*January_17!$G$60)+(February_17!R$60*February_17!$G$60)+(March_17!R$60*March_17!$G$60)+(April_17!R$60*April_17!$G$60)+(May_17!S$60*May_17!$G$60)+('June_17 '!S$60*'June_17 '!G$60)+(S$58*$G$58))/($G$61)</f>
        <v>0.74421226550053077</v>
      </c>
      <c r="T64" s="255">
        <f>((January_17!$R$60*January_17!$G$60)+(February_17!$S$60*February_17!$G$60)+(March_17!$S$60*March_17!$G$60)+(April_17!$S$60*April_17!$G$60)+(May_17!T60*May_17!$G$60)+('June_17 '!$T$60*'June_17 '!$G$60)+($T$58*$G$58))/($G$61)</f>
        <v>0.657642497158757</v>
      </c>
      <c r="U64" s="254">
        <f>U80</f>
        <v>0.70923327611633591</v>
      </c>
      <c r="V64" s="257">
        <f>V80</f>
        <v>0.62579406716147279</v>
      </c>
      <c r="W64" s="301">
        <f>AVERAGE(January_17!U60,February_17!W60,March_17!W60,April_17!W60,May_17!X60,'June_17 '!X60,July_17!W58)</f>
        <v>0.83218129663107276</v>
      </c>
      <c r="Y64" s="176" t="s">
        <v>370</v>
      </c>
      <c r="Z64" s="178"/>
      <c r="AA64" s="178">
        <f>[5]July_2017!F85</f>
        <v>2.733324830007643E-2</v>
      </c>
      <c r="AB64" s="179">
        <f>[5]YearToDate!F5</f>
        <v>5.7508070397275124E-2</v>
      </c>
    </row>
    <row r="65" spans="2:29" s="1" customFormat="1" ht="18.75" thickTop="1" x14ac:dyDescent="0.25">
      <c r="B65" s="8"/>
      <c r="C65" s="203">
        <v>2</v>
      </c>
      <c r="D65" s="204" t="s">
        <v>21</v>
      </c>
      <c r="E65" s="182">
        <f>SUM(G5,G26,G27,G28)</f>
        <v>16469</v>
      </c>
      <c r="F65" s="183">
        <f>SUM(K5,K26,K27,K28)</f>
        <v>3328</v>
      </c>
      <c r="G65" s="184">
        <f>SUM(F5,F26,F27,F28)</f>
        <v>1090.5</v>
      </c>
      <c r="H65" s="184">
        <f>SUM(H5,H26,H27,H28)</f>
        <v>1086.9540000000002</v>
      </c>
      <c r="I65" s="295">
        <f t="shared" si="4"/>
        <v>3.2517193947728764E-3</v>
      </c>
      <c r="J65" s="186">
        <f>(E65+G29)*24/(F65/60)/17000</f>
        <v>0.55242081447963798</v>
      </c>
      <c r="K65" s="306">
        <f>AVERAGE(January_17!J66,February_17!J66,March_17!J67,April_17!J67,May_17!J67,'June_17 '!J67,July_17!J65)</f>
        <v>0.62315913350510266</v>
      </c>
      <c r="L65"/>
      <c r="M65"/>
      <c r="N65"/>
      <c r="O65"/>
      <c r="P65" s="2"/>
      <c r="T65"/>
      <c r="U65"/>
      <c r="V65"/>
      <c r="X65"/>
      <c r="Y65" s="213" t="s">
        <v>371</v>
      </c>
      <c r="Z65" s="216"/>
      <c r="AA65" s="215">
        <f>[5]July_2017!F86</f>
        <v>2.5386779816431289E-2</v>
      </c>
      <c r="AB65" s="214">
        <f>[5]YearToDate!F6</f>
        <v>7.4495145412179109E-2</v>
      </c>
      <c r="AC65"/>
    </row>
    <row r="66" spans="2:29" s="1" customFormat="1" ht="18" x14ac:dyDescent="0.25">
      <c r="B66" s="8"/>
      <c r="C66" s="201">
        <v>3</v>
      </c>
      <c r="D66" s="204" t="s">
        <v>124</v>
      </c>
      <c r="E66" s="187"/>
      <c r="F66" s="188"/>
      <c r="G66" s="189"/>
      <c r="H66" s="189"/>
      <c r="I66" s="109" t="e">
        <f t="shared" si="4"/>
        <v>#DIV/0!</v>
      </c>
      <c r="J66" s="191"/>
      <c r="K66" s="306"/>
      <c r="L66"/>
      <c r="M66"/>
      <c r="N66"/>
      <c r="O66"/>
      <c r="P66" s="2"/>
      <c r="T66"/>
      <c r="U66"/>
      <c r="V66"/>
      <c r="X66"/>
      <c r="Y66" s="177" t="s">
        <v>372</v>
      </c>
      <c r="Z66" s="217"/>
      <c r="AA66" s="180">
        <f>[5]July_2017!F87</f>
        <v>2.210129277279347E-2</v>
      </c>
      <c r="AB66" s="181">
        <f>[5]YearToDate!F7</f>
        <v>5.2359214885581859E-2</v>
      </c>
      <c r="AC66"/>
    </row>
    <row r="67" spans="2:29" s="1" customFormat="1" ht="18" x14ac:dyDescent="0.25">
      <c r="B67" s="8"/>
      <c r="C67" s="203">
        <v>4</v>
      </c>
      <c r="D67" s="204" t="s">
        <v>18</v>
      </c>
      <c r="E67" s="182">
        <f>SUM(G4,G17,G18,G25,G31)</f>
        <v>21203</v>
      </c>
      <c r="F67" s="183">
        <f>SUM(K4,K16,K18,K25,K31)</f>
        <v>3275</v>
      </c>
      <c r="G67" s="182">
        <f>SUM(F4,F17,F18,F25,F31)</f>
        <v>1501.5</v>
      </c>
      <c r="H67" s="182">
        <f>SUM(H4,H17,H18,H25,H31)</f>
        <v>1489.1855999999998</v>
      </c>
      <c r="I67" s="97">
        <f t="shared" si="4"/>
        <v>8.2013986013987385E-3</v>
      </c>
      <c r="J67" s="186">
        <f>(E67+G16+G32)*24/(F67/60)/17000</f>
        <v>0.63983331836551416</v>
      </c>
      <c r="K67" s="307">
        <f>AVERAGE(January_17!J68,February_17!J68,March_17!J69,April_17!J69,May_17!J69,'June_17 '!J69,July_17!J67)</f>
        <v>0.64656430166914369</v>
      </c>
      <c r="L67"/>
      <c r="M67"/>
      <c r="N67"/>
      <c r="O67"/>
      <c r="P67" s="2"/>
      <c r="Q67" s="159"/>
      <c r="R67" s="159"/>
      <c r="S67" s="159"/>
      <c r="T67" s="160"/>
      <c r="U67" s="160"/>
      <c r="V67" s="161"/>
      <c r="W67" s="234"/>
      <c r="X67"/>
      <c r="Y67" s="213" t="s">
        <v>373</v>
      </c>
      <c r="Z67" s="216"/>
      <c r="AA67" s="309">
        <f>[5]July_2017!F88</f>
        <v>2.5170089370832236E-2</v>
      </c>
      <c r="AB67" s="214">
        <f>[5]YearToDate!F8</f>
        <v>5.4903170815414681E-2</v>
      </c>
    </row>
    <row r="68" spans="2:29" s="1" customFormat="1" ht="18" x14ac:dyDescent="0.25">
      <c r="B68" s="8"/>
      <c r="C68" s="201">
        <v>5</v>
      </c>
      <c r="D68" s="205" t="s">
        <v>26</v>
      </c>
      <c r="E68" s="192">
        <f>SUM(G32)</f>
        <v>1812</v>
      </c>
      <c r="F68" s="193">
        <f>SUM(K31)</f>
        <v>821</v>
      </c>
      <c r="G68" s="194">
        <f>SUM(F32)</f>
        <v>122.95799999999998</v>
      </c>
      <c r="H68" s="194">
        <f>SUM(H32)</f>
        <v>119.592</v>
      </c>
      <c r="I68" s="109">
        <f t="shared" si="4"/>
        <v>2.7375201288244652E-2</v>
      </c>
      <c r="J68" s="191">
        <f>(E68+G31)*24/(F68/60)/17000</f>
        <v>0.65030593967184924</v>
      </c>
      <c r="K68" s="310">
        <f>AVERAGE(January_17!J69,February_17!J69,March_17!J70,April_17!J70,May_17!J70,'June_17 '!J70,July_17!J68)</f>
        <v>0.64075709518915203</v>
      </c>
      <c r="L68"/>
      <c r="M68"/>
      <c r="N68"/>
      <c r="O68"/>
      <c r="P68" s="2"/>
      <c r="Q68" s="159"/>
      <c r="S68" s="8"/>
      <c r="T68"/>
      <c r="U68"/>
      <c r="V68" s="6"/>
      <c r="W68" s="10"/>
      <c r="X68"/>
      <c r="Y68" s="177" t="s">
        <v>374</v>
      </c>
      <c r="Z68" s="217"/>
      <c r="AA68" s="180">
        <f>[5]July_2017!F89</f>
        <v>5.8467043959608035E-2</v>
      </c>
      <c r="AB68" s="181">
        <f>[5]YearToDate!F9</f>
        <v>7.6171674114030377E-2</v>
      </c>
    </row>
    <row r="69" spans="2:29" s="1" customFormat="1" ht="18.75" thickBot="1" x14ac:dyDescent="0.3">
      <c r="B69" s="8"/>
      <c r="C69" s="203">
        <v>6</v>
      </c>
      <c r="D69" s="205" t="s">
        <v>25</v>
      </c>
      <c r="E69" s="192">
        <f>SUM(G10:G13)</f>
        <v>4508</v>
      </c>
      <c r="F69" s="193">
        <f>SUM(K10)</f>
        <v>670</v>
      </c>
      <c r="G69" s="194">
        <f>SUM(F10:F13)</f>
        <v>366.12</v>
      </c>
      <c r="H69" s="194">
        <f>SUM(H10:H13)</f>
        <v>356.13200000000001</v>
      </c>
      <c r="I69" s="109">
        <f t="shared" si="4"/>
        <v>2.7280673003386866E-2</v>
      </c>
      <c r="J69" s="191">
        <f>(E69)*24/(F69/60)/17000</f>
        <v>0.5699315188762073</v>
      </c>
      <c r="K69" s="310">
        <f>AVERAGE(January_17!J70,February_17!J70,March_17!J71,April_17!J71,May_17!J71,'June_17 '!J71,July_17!J69)</f>
        <v>0.54301854427459451</v>
      </c>
      <c r="L69"/>
      <c r="M69"/>
      <c r="N69"/>
      <c r="O69"/>
      <c r="P69" s="2"/>
      <c r="Q69" s="159"/>
      <c r="T69"/>
      <c r="U69"/>
      <c r="V69"/>
      <c r="X69"/>
      <c r="Y69" s="218" t="s">
        <v>25</v>
      </c>
      <c r="Z69" s="219"/>
      <c r="AA69" s="215">
        <f>[5]July_2017!F90</f>
        <v>5.9234379709770489E-2</v>
      </c>
      <c r="AB69" s="220">
        <f>[5]YearToDate!F10</f>
        <v>4.5790074270967041E-2</v>
      </c>
    </row>
    <row r="70" spans="2:29" s="1" customFormat="1" ht="19.5" thickTop="1" thickBot="1" x14ac:dyDescent="0.3">
      <c r="C70" s="112"/>
      <c r="D70" s="195" t="s">
        <v>22</v>
      </c>
      <c r="E70" s="196">
        <f>SUM(E64:E69)</f>
        <v>110637</v>
      </c>
      <c r="F70" s="197">
        <f>K58</f>
        <v>15590</v>
      </c>
      <c r="G70" s="198">
        <f>SUM(G64:G69)</f>
        <v>7588.8779999999988</v>
      </c>
      <c r="H70" s="198">
        <f>SUM(H64:H69)</f>
        <v>7524.1535999999996</v>
      </c>
      <c r="I70" s="199">
        <f>((G70)-(H70))/(G70)</f>
        <v>8.5288497192864566E-3</v>
      </c>
      <c r="J70" s="200">
        <f>E70*24/(F70/60)/17000</f>
        <v>0.60112923065313362</v>
      </c>
      <c r="K70" s="308">
        <f>V64</f>
        <v>0.62579406716147279</v>
      </c>
      <c r="L70"/>
      <c r="M70"/>
      <c r="N70"/>
      <c r="O70"/>
      <c r="P70" s="139"/>
      <c r="Q70" s="159"/>
      <c r="T70"/>
      <c r="U70"/>
      <c r="V70"/>
      <c r="X70"/>
      <c r="Y70" s="221" t="s">
        <v>379</v>
      </c>
      <c r="Z70" s="222"/>
      <c r="AA70" s="222">
        <f>[5]July_2017!$F$92</f>
        <v>2.9748439617832054E-2</v>
      </c>
      <c r="AB70" s="223">
        <f>[5]YearToDate!$F$12</f>
        <v>5.7449685942507892E-2</v>
      </c>
    </row>
    <row r="71" spans="2:29" s="1" customFormat="1" ht="18.75" thickTop="1" x14ac:dyDescent="0.25">
      <c r="C71" s="311"/>
      <c r="D71" s="153"/>
      <c r="E71" s="312"/>
      <c r="F71" s="313"/>
      <c r="G71" s="314"/>
      <c r="H71" s="314"/>
      <c r="I71" s="315"/>
      <c r="J71" s="315"/>
      <c r="K71" s="315"/>
      <c r="L71"/>
      <c r="M71"/>
      <c r="N71"/>
      <c r="O71"/>
      <c r="P71" s="139"/>
      <c r="Q71" s="159"/>
      <c r="T71"/>
      <c r="U71"/>
      <c r="V71"/>
      <c r="X71"/>
      <c r="Y71" s="316"/>
      <c r="Z71" s="317"/>
      <c r="AA71" s="317"/>
      <c r="AB71" s="317"/>
    </row>
    <row r="72" spans="2:29" s="1" customFormat="1" ht="18" x14ac:dyDescent="0.25">
      <c r="C72" s="311"/>
      <c r="D72" s="153"/>
      <c r="E72" s="312"/>
      <c r="F72" s="313"/>
      <c r="G72" s="314"/>
      <c r="H72" s="314"/>
      <c r="I72" s="315"/>
      <c r="J72" s="315"/>
      <c r="K72" s="315"/>
      <c r="L72"/>
      <c r="M72"/>
      <c r="N72"/>
      <c r="O72"/>
      <c r="P72" s="139"/>
      <c r="Q72" s="159"/>
      <c r="T72"/>
      <c r="U72"/>
      <c r="V72"/>
      <c r="X72"/>
      <c r="Y72" s="316"/>
      <c r="Z72" s="317"/>
      <c r="AA72" s="317"/>
      <c r="AB72" s="317"/>
    </row>
    <row r="73" spans="2:29" s="1" customFormat="1" ht="27" customHeight="1" thickBot="1" x14ac:dyDescent="0.4">
      <c r="C73" s="311"/>
      <c r="D73" s="1110" t="s">
        <v>618</v>
      </c>
      <c r="E73" s="1110"/>
      <c r="F73" s="1110"/>
      <c r="G73" s="1110"/>
      <c r="H73" s="1110"/>
      <c r="I73" s="1110"/>
      <c r="J73" s="1110"/>
      <c r="K73" s="1110"/>
      <c r="L73" s="1110"/>
      <c r="M73" s="1110"/>
      <c r="N73" s="1110"/>
      <c r="O73" s="1110"/>
      <c r="P73" s="1110"/>
      <c r="Q73" s="159"/>
      <c r="T73"/>
      <c r="U73"/>
      <c r="V73"/>
      <c r="X73"/>
      <c r="Y73" s="316"/>
      <c r="Z73" s="317"/>
      <c r="AA73" s="317"/>
      <c r="AB73" s="317"/>
    </row>
    <row r="74" spans="2:29" s="1" customFormat="1" ht="24" thickBot="1" x14ac:dyDescent="0.4">
      <c r="C74" s="322"/>
      <c r="D74" s="332" t="s">
        <v>605</v>
      </c>
      <c r="E74" s="333" t="s">
        <v>606</v>
      </c>
      <c r="F74" s="334" t="s">
        <v>607</v>
      </c>
      <c r="G74" s="333" t="s">
        <v>608</v>
      </c>
      <c r="H74" s="334" t="s">
        <v>609</v>
      </c>
      <c r="I74" s="333" t="s">
        <v>610</v>
      </c>
      <c r="J74" s="334" t="s">
        <v>611</v>
      </c>
      <c r="K74" s="333" t="s">
        <v>612</v>
      </c>
      <c r="L74" s="334" t="s">
        <v>613</v>
      </c>
      <c r="M74" s="333" t="s">
        <v>614</v>
      </c>
      <c r="N74" s="334" t="s">
        <v>615</v>
      </c>
      <c r="O74" s="335" t="s">
        <v>616</v>
      </c>
      <c r="P74" s="329" t="s">
        <v>617</v>
      </c>
      <c r="Q74" s="159"/>
      <c r="T74"/>
      <c r="U74"/>
      <c r="V74"/>
      <c r="X74"/>
    </row>
    <row r="75" spans="2:29" s="1" customFormat="1" ht="23.25" x14ac:dyDescent="0.35">
      <c r="C75" s="330">
        <v>2016</v>
      </c>
      <c r="D75" s="324">
        <f>[6]Jan!$I$57</f>
        <v>7</v>
      </c>
      <c r="E75" s="325">
        <f>[6]Feb!$I$57</f>
        <v>9</v>
      </c>
      <c r="F75" s="326">
        <f>[6]Mar!$I$57</f>
        <v>8</v>
      </c>
      <c r="G75" s="325">
        <f>[6]Apr!$I$57</f>
        <v>12</v>
      </c>
      <c r="H75" s="326">
        <f>[6]May!$I$57</f>
        <v>11</v>
      </c>
      <c r="I75" s="325">
        <f>[6]Jun!$I$57</f>
        <v>10</v>
      </c>
      <c r="J75" s="326">
        <f>[6]Jul!$I$57</f>
        <v>12</v>
      </c>
      <c r="K75" s="325"/>
      <c r="L75" s="326"/>
      <c r="M75" s="325"/>
      <c r="N75" s="326"/>
      <c r="O75" s="327"/>
      <c r="P75" s="328">
        <f>SUM(D75:O75)</f>
        <v>69</v>
      </c>
      <c r="Q75" s="159"/>
      <c r="T75"/>
      <c r="U75"/>
      <c r="V75"/>
      <c r="X75"/>
    </row>
    <row r="76" spans="2:29" s="1" customFormat="1" ht="24" thickBot="1" x14ac:dyDescent="0.4">
      <c r="C76" s="331">
        <v>2017</v>
      </c>
      <c r="D76" s="321">
        <f>[4]Jan!$I$57</f>
        <v>13</v>
      </c>
      <c r="E76" s="318">
        <f>[4]Feb!$I$57</f>
        <v>8</v>
      </c>
      <c r="F76" s="318">
        <f>[4]Mar!$I$57</f>
        <v>12</v>
      </c>
      <c r="G76" s="318">
        <f>[4]Apr!$I$57</f>
        <v>5</v>
      </c>
      <c r="H76" s="318">
        <f>[4]May!$I$57</f>
        <v>11</v>
      </c>
      <c r="I76" s="318">
        <f>[4]Jun!$I$57</f>
        <v>13</v>
      </c>
      <c r="J76" s="318">
        <f>[4]Jul!$I$57</f>
        <v>9</v>
      </c>
      <c r="K76" s="319"/>
      <c r="L76" s="319"/>
      <c r="M76" s="319"/>
      <c r="N76" s="319"/>
      <c r="O76" s="320"/>
      <c r="P76" s="323">
        <f>SUM(D76:O76)</f>
        <v>71</v>
      </c>
      <c r="Q76" s="159"/>
      <c r="T76"/>
      <c r="U76"/>
      <c r="V76"/>
      <c r="X76" s="9"/>
    </row>
    <row r="77" spans="2:29" s="1" customFormat="1" ht="20.25" customHeight="1" x14ac:dyDescent="0.3">
      <c r="C77" s="371" t="s">
        <v>619</v>
      </c>
      <c r="D77" s="372">
        <f>+(D76-D75)/D75</f>
        <v>0.8571428571428571</v>
      </c>
      <c r="E77" s="372">
        <f t="shared" ref="E77:J77" si="5">+(E76-E75)/E75</f>
        <v>-0.1111111111111111</v>
      </c>
      <c r="F77" s="372">
        <f t="shared" si="5"/>
        <v>0.5</v>
      </c>
      <c r="G77" s="372">
        <f t="shared" si="5"/>
        <v>-0.58333333333333337</v>
      </c>
      <c r="H77" s="372">
        <f t="shared" si="5"/>
        <v>0</v>
      </c>
      <c r="I77" s="372">
        <f t="shared" si="5"/>
        <v>0.3</v>
      </c>
      <c r="J77" s="372">
        <f t="shared" si="5"/>
        <v>-0.25</v>
      </c>
      <c r="K77" s="372"/>
      <c r="L77" s="372"/>
      <c r="M77" s="372"/>
      <c r="N77" s="372"/>
      <c r="O77" s="372"/>
      <c r="P77" s="373">
        <f>+(P76-P75)/P75</f>
        <v>2.8985507246376812E-2</v>
      </c>
      <c r="X77" s="9"/>
    </row>
    <row r="78" spans="2:29" s="1" customFormat="1" x14ac:dyDescent="0.2">
      <c r="J78"/>
      <c r="K78"/>
      <c r="L78"/>
      <c r="M78"/>
      <c r="N78"/>
      <c r="O78"/>
      <c r="P78" s="2"/>
      <c r="X78" s="9"/>
    </row>
    <row r="79" spans="2:29" s="1" customFormat="1" ht="12.75" customHeight="1" thickBot="1" x14ac:dyDescent="0.25">
      <c r="J79"/>
      <c r="K79"/>
      <c r="L79"/>
      <c r="M79"/>
      <c r="N79"/>
      <c r="O79"/>
      <c r="P79" s="2"/>
      <c r="T79"/>
      <c r="U79"/>
      <c r="V79"/>
      <c r="X79" s="9"/>
    </row>
    <row r="80" spans="2:29" s="1" customFormat="1" ht="21" customHeight="1" thickBot="1" x14ac:dyDescent="0.25">
      <c r="J80"/>
      <c r="K80"/>
      <c r="L80"/>
      <c r="M80"/>
      <c r="N80"/>
      <c r="O80"/>
      <c r="P80" s="2"/>
      <c r="Q80" s="3">
        <f>G61</f>
        <v>611167</v>
      </c>
      <c r="S80" s="3">
        <f>SUM(January_17!K60,February_17!K60,March_17!K60:K60,April_17!K60,May_17!K60,'June_17 '!K60,July_17!K58)</f>
        <v>82726</v>
      </c>
      <c r="T80"/>
      <c r="U80" s="63">
        <f>(Q80)*24/(S80/60)/15000</f>
        <v>0.70923327611633591</v>
      </c>
      <c r="V80" s="128">
        <f>(Q80)*24/(S80/60)/17000</f>
        <v>0.62579406716147279</v>
      </c>
      <c r="W80" s="230"/>
      <c r="X80" s="9"/>
    </row>
    <row r="81" spans="3:24" s="1" customFormat="1" ht="21" customHeight="1" thickTop="1" thickBot="1" x14ac:dyDescent="0.35">
      <c r="J81"/>
      <c r="K81"/>
      <c r="L81"/>
      <c r="M81"/>
      <c r="N81"/>
      <c r="O81"/>
      <c r="P81" s="2"/>
      <c r="Q81" s="140">
        <f>SUM(January_17!F60,February_17!F60,March_17!F60,April_17!F60,May_17!F60,'June_17 '!F60,July_17!F58)</f>
        <v>41756.813687074828</v>
      </c>
      <c r="S81" s="140">
        <f>SUM(January_17!H60,February_17!H60,March_17!H60,April_17!H60,May_17!H60,'June_17 '!H60,July_17!H58)</f>
        <v>41409.248200000002</v>
      </c>
      <c r="T81"/>
      <c r="U81" s="87">
        <f>(Q81-S81)/Q81</f>
        <v>8.3235634231931185E-3</v>
      </c>
      <c r="V81"/>
      <c r="X81" s="9"/>
    </row>
    <row r="82" spans="3:24" s="1" customFormat="1" ht="13.5" thickTop="1" x14ac:dyDescent="0.2">
      <c r="J82"/>
      <c r="K82"/>
      <c r="L82"/>
      <c r="M82"/>
      <c r="N82"/>
      <c r="O82"/>
      <c r="P82" s="2"/>
      <c r="T82"/>
      <c r="U82"/>
      <c r="V82"/>
      <c r="X82" s="9"/>
    </row>
    <row r="83" spans="3:24" s="1" customFormat="1" ht="20.25" customHeight="1" x14ac:dyDescent="0.3">
      <c r="C83" s="1109" t="s">
        <v>620</v>
      </c>
      <c r="D83" s="1109"/>
      <c r="E83" s="1109"/>
      <c r="F83" s="1109"/>
      <c r="G83" s="1109"/>
      <c r="H83" s="1109"/>
      <c r="I83" s="1109"/>
      <c r="J83" s="1109"/>
      <c r="K83" s="1109"/>
      <c r="L83" s="1109"/>
      <c r="M83" s="1109"/>
      <c r="N83" s="1109"/>
      <c r="O83" s="1109"/>
      <c r="P83" s="271"/>
      <c r="Q83"/>
      <c r="R83"/>
      <c r="T83"/>
      <c r="U83"/>
      <c r="V83"/>
      <c r="X83" s="9"/>
    </row>
    <row r="84" spans="3:24" s="1" customFormat="1" ht="21.75" thickBot="1" x14ac:dyDescent="0.4">
      <c r="C84" s="1109"/>
      <c r="D84" s="1109"/>
      <c r="E84" s="1109"/>
      <c r="F84" s="1109"/>
      <c r="G84" s="1109"/>
      <c r="H84" s="1109"/>
      <c r="I84" s="1109"/>
      <c r="J84" s="1109"/>
      <c r="K84" s="1109"/>
      <c r="L84" s="1109"/>
      <c r="M84" s="1109"/>
      <c r="N84" s="1109"/>
      <c r="O84" s="1109"/>
      <c r="P84" s="338"/>
      <c r="Q84" s="336"/>
      <c r="R84" s="336"/>
      <c r="T84"/>
      <c r="U84"/>
      <c r="V84"/>
      <c r="X84" s="9"/>
    </row>
    <row r="85" spans="3:24" s="1" customFormat="1" ht="21" thickBot="1" x14ac:dyDescent="0.35">
      <c r="C85" s="351"/>
      <c r="D85" s="352" t="s">
        <v>605</v>
      </c>
      <c r="E85" s="353" t="s">
        <v>606</v>
      </c>
      <c r="F85" s="353" t="s">
        <v>607</v>
      </c>
      <c r="G85" s="353" t="s">
        <v>608</v>
      </c>
      <c r="H85" s="353" t="s">
        <v>609</v>
      </c>
      <c r="I85" s="353" t="s">
        <v>610</v>
      </c>
      <c r="J85" s="353" t="s">
        <v>611</v>
      </c>
      <c r="K85" s="353" t="s">
        <v>612</v>
      </c>
      <c r="L85" s="353" t="s">
        <v>613</v>
      </c>
      <c r="M85" s="353" t="s">
        <v>614</v>
      </c>
      <c r="N85" s="353" t="s">
        <v>615</v>
      </c>
      <c r="O85" s="354" t="s">
        <v>616</v>
      </c>
      <c r="P85" s="355" t="s">
        <v>379</v>
      </c>
      <c r="Q85" s="336"/>
      <c r="R85" s="336"/>
      <c r="T85"/>
      <c r="U85"/>
      <c r="V85"/>
      <c r="X85" s="9"/>
    </row>
    <row r="86" spans="3:24" s="1" customFormat="1" ht="21" thickBot="1" x14ac:dyDescent="0.35">
      <c r="C86" s="356">
        <v>2016</v>
      </c>
      <c r="D86" s="357">
        <v>257</v>
      </c>
      <c r="E86" s="358">
        <v>234</v>
      </c>
      <c r="F86" s="358">
        <v>300</v>
      </c>
      <c r="G86" s="358">
        <v>547</v>
      </c>
      <c r="H86" s="358">
        <v>196</v>
      </c>
      <c r="I86" s="358">
        <v>373</v>
      </c>
      <c r="J86" s="359">
        <f>[6]Jul!$I$54</f>
        <v>480</v>
      </c>
      <c r="K86" s="358"/>
      <c r="L86" s="358"/>
      <c r="M86" s="358"/>
      <c r="N86" s="358"/>
      <c r="O86" s="360"/>
      <c r="P86" s="361">
        <f>SUM(D86:J86)</f>
        <v>2387</v>
      </c>
      <c r="Q86" s="336"/>
      <c r="R86" s="336"/>
      <c r="T86"/>
      <c r="U86"/>
      <c r="V86"/>
      <c r="X86" s="9"/>
    </row>
    <row r="87" spans="3:24" s="1" customFormat="1" ht="21" thickBot="1" x14ac:dyDescent="0.35">
      <c r="C87" s="362">
        <v>2017</v>
      </c>
      <c r="D87" s="363">
        <f>436</f>
        <v>436</v>
      </c>
      <c r="E87" s="364">
        <v>148</v>
      </c>
      <c r="F87" s="364">
        <f>316</f>
        <v>316</v>
      </c>
      <c r="G87" s="364">
        <v>314</v>
      </c>
      <c r="H87" s="364">
        <v>259</v>
      </c>
      <c r="I87" s="365">
        <f>[4]Jun!$I$54</f>
        <v>558</v>
      </c>
      <c r="J87" s="365">
        <f>[4]Jul!$I$54</f>
        <v>220</v>
      </c>
      <c r="K87" s="364"/>
      <c r="L87" s="364"/>
      <c r="M87" s="364"/>
      <c r="N87" s="364"/>
      <c r="O87" s="366"/>
      <c r="P87" s="367">
        <f>SUM(D87:O87)</f>
        <v>2251</v>
      </c>
      <c r="Q87" s="336"/>
      <c r="R87" s="336"/>
      <c r="T87"/>
      <c r="U87"/>
      <c r="V87"/>
      <c r="X87" s="9"/>
    </row>
    <row r="88" spans="3:24" s="1" customFormat="1" ht="20.25" x14ac:dyDescent="0.3">
      <c r="C88" s="371" t="s">
        <v>619</v>
      </c>
      <c r="D88" s="372">
        <f t="shared" ref="D88:J88" si="6">+(D87-D86)/D86</f>
        <v>0.69649805447470814</v>
      </c>
      <c r="E88" s="372">
        <f t="shared" si="6"/>
        <v>-0.36752136752136755</v>
      </c>
      <c r="F88" s="372">
        <f t="shared" si="6"/>
        <v>5.3333333333333337E-2</v>
      </c>
      <c r="G88" s="372">
        <f t="shared" si="6"/>
        <v>-0.42595978062157219</v>
      </c>
      <c r="H88" s="372">
        <f t="shared" si="6"/>
        <v>0.32142857142857145</v>
      </c>
      <c r="I88" s="372">
        <f t="shared" si="6"/>
        <v>0.49597855227882037</v>
      </c>
      <c r="J88" s="372">
        <f t="shared" si="6"/>
        <v>-0.54166666666666663</v>
      </c>
      <c r="K88" s="372"/>
      <c r="L88" s="372"/>
      <c r="M88" s="372"/>
      <c r="N88" s="372"/>
      <c r="O88" s="372"/>
      <c r="P88" s="373">
        <f>+(P87-P86)/P86</f>
        <v>-5.6975282781734395E-2</v>
      </c>
      <c r="Q88" s="336"/>
      <c r="R88" s="337" t="s">
        <v>621</v>
      </c>
      <c r="T88"/>
      <c r="U88"/>
      <c r="V88"/>
      <c r="X88" s="9"/>
    </row>
    <row r="89" spans="3:24" s="1" customFormat="1" x14ac:dyDescent="0.2">
      <c r="J89"/>
      <c r="K89"/>
      <c r="L89"/>
      <c r="M89"/>
      <c r="N89"/>
      <c r="O89"/>
      <c r="P89" s="2"/>
      <c r="T89"/>
      <c r="U89"/>
      <c r="V89"/>
      <c r="X89"/>
    </row>
    <row r="90" spans="3:24" s="1" customFormat="1" x14ac:dyDescent="0.2">
      <c r="J90"/>
      <c r="K90"/>
      <c r="L90"/>
      <c r="M90"/>
      <c r="N90"/>
      <c r="O90"/>
      <c r="P90" s="2"/>
      <c r="T90"/>
      <c r="U90"/>
      <c r="V90"/>
      <c r="X90"/>
    </row>
    <row r="91" spans="3:24" s="1" customFormat="1" x14ac:dyDescent="0.2">
      <c r="J91"/>
      <c r="K91"/>
      <c r="L91"/>
      <c r="M91"/>
      <c r="N91"/>
      <c r="O91"/>
      <c r="P91" s="2"/>
      <c r="T91"/>
      <c r="U91"/>
      <c r="V91"/>
      <c r="X91"/>
    </row>
    <row r="92" spans="3:24" s="1" customFormat="1" x14ac:dyDescent="0.2">
      <c r="J92"/>
      <c r="K92"/>
      <c r="L92"/>
      <c r="M92"/>
      <c r="N92"/>
      <c r="O92"/>
      <c r="P92" s="2"/>
      <c r="T92"/>
      <c r="U92"/>
      <c r="V92"/>
      <c r="X92"/>
    </row>
    <row r="93" spans="3:24" s="1" customFormat="1" x14ac:dyDescent="0.2">
      <c r="J93"/>
      <c r="K93"/>
      <c r="L93"/>
      <c r="M93"/>
      <c r="N93"/>
      <c r="O93"/>
      <c r="P93" s="2"/>
      <c r="T93"/>
      <c r="U93"/>
      <c r="V93"/>
      <c r="X93"/>
    </row>
    <row r="94" spans="3:24" s="1" customFormat="1" x14ac:dyDescent="0.2">
      <c r="J94"/>
      <c r="K94"/>
      <c r="L94"/>
      <c r="M94"/>
      <c r="N94"/>
      <c r="O94"/>
      <c r="P94" s="2"/>
      <c r="T94"/>
      <c r="U94"/>
      <c r="V94"/>
      <c r="X94"/>
    </row>
    <row r="95" spans="3:24" s="1" customFormat="1" x14ac:dyDescent="0.2">
      <c r="J95"/>
      <c r="K95"/>
      <c r="L95"/>
      <c r="M95"/>
      <c r="N95"/>
      <c r="O95"/>
      <c r="P95" s="2"/>
      <c r="T95"/>
      <c r="U95"/>
      <c r="V95"/>
      <c r="X95"/>
    </row>
    <row r="96" spans="3:24" s="1" customFormat="1" x14ac:dyDescent="0.2">
      <c r="J96"/>
      <c r="K96"/>
      <c r="L96"/>
      <c r="M96"/>
      <c r="N96"/>
      <c r="O96"/>
      <c r="P96" s="2"/>
      <c r="T96"/>
      <c r="U96"/>
      <c r="V96"/>
      <c r="X96"/>
    </row>
    <row r="97" spans="10:24" s="1" customFormat="1" x14ac:dyDescent="0.2">
      <c r="J97"/>
      <c r="K97"/>
      <c r="L97"/>
      <c r="M97"/>
      <c r="N97"/>
      <c r="O97"/>
      <c r="P97" s="2"/>
      <c r="T97"/>
      <c r="U97"/>
      <c r="V97"/>
      <c r="X97"/>
    </row>
    <row r="98" spans="10:24" s="1" customFormat="1" x14ac:dyDescent="0.2">
      <c r="J98"/>
      <c r="K98"/>
      <c r="L98"/>
      <c r="M98"/>
      <c r="N98"/>
      <c r="O98"/>
      <c r="P98" s="2"/>
      <c r="T98"/>
      <c r="U98"/>
      <c r="V98"/>
      <c r="X98"/>
    </row>
    <row r="99" spans="10:24" s="1" customFormat="1" x14ac:dyDescent="0.2">
      <c r="J99"/>
      <c r="K99"/>
      <c r="L99"/>
      <c r="M99"/>
      <c r="N99"/>
      <c r="O99"/>
      <c r="P99" s="2"/>
      <c r="T99"/>
      <c r="U99"/>
      <c r="V99"/>
      <c r="X99"/>
    </row>
    <row r="100" spans="10:24" s="1" customFormat="1" x14ac:dyDescent="0.2">
      <c r="J100"/>
      <c r="K100"/>
      <c r="L100"/>
      <c r="M100"/>
      <c r="N100"/>
      <c r="O100"/>
      <c r="P100" s="2"/>
      <c r="T100"/>
      <c r="U100"/>
      <c r="V100"/>
      <c r="X100"/>
    </row>
    <row r="101" spans="10:24" s="1" customFormat="1" x14ac:dyDescent="0.2">
      <c r="J101"/>
      <c r="K101"/>
      <c r="L101"/>
      <c r="M101"/>
      <c r="N101"/>
      <c r="O101"/>
      <c r="P101" s="2"/>
      <c r="T101"/>
      <c r="U101"/>
      <c r="V101"/>
      <c r="X101"/>
    </row>
    <row r="102" spans="10:24" s="1" customFormat="1" x14ac:dyDescent="0.2">
      <c r="J102"/>
      <c r="K102"/>
      <c r="L102"/>
      <c r="M102"/>
      <c r="N102"/>
      <c r="O102"/>
      <c r="P102" s="2"/>
      <c r="T102"/>
      <c r="U102"/>
      <c r="V102"/>
      <c r="X102"/>
    </row>
    <row r="103" spans="10:24" s="1" customFormat="1" x14ac:dyDescent="0.2">
      <c r="J103"/>
      <c r="K103"/>
      <c r="L103"/>
      <c r="M103"/>
      <c r="N103"/>
      <c r="O103"/>
      <c r="P103" s="2"/>
      <c r="T103"/>
      <c r="U103"/>
      <c r="V103"/>
      <c r="X103"/>
    </row>
    <row r="104" spans="10:24" s="1" customFormat="1" x14ac:dyDescent="0.2">
      <c r="J104"/>
      <c r="K104"/>
      <c r="L104"/>
      <c r="M104"/>
      <c r="N104"/>
      <c r="O104"/>
      <c r="P104" s="2"/>
      <c r="T104"/>
      <c r="U104"/>
      <c r="V104"/>
      <c r="X104"/>
    </row>
    <row r="105" spans="10:24" s="1" customFormat="1" x14ac:dyDescent="0.2">
      <c r="J105"/>
      <c r="K105"/>
      <c r="L105"/>
      <c r="M105"/>
      <c r="N105"/>
      <c r="O105"/>
      <c r="P105" s="2"/>
      <c r="T105"/>
      <c r="U105"/>
      <c r="V105"/>
      <c r="X105"/>
    </row>
    <row r="106" spans="10:24" s="1" customFormat="1" x14ac:dyDescent="0.2">
      <c r="J106"/>
      <c r="K106"/>
      <c r="L106"/>
      <c r="M106"/>
      <c r="N106"/>
      <c r="O106"/>
      <c r="P106" s="2"/>
      <c r="T106"/>
      <c r="U106"/>
      <c r="V106"/>
      <c r="X106"/>
    </row>
    <row r="107" spans="10:24" s="1" customFormat="1" x14ac:dyDescent="0.2">
      <c r="J107"/>
      <c r="K107"/>
      <c r="L107"/>
      <c r="M107"/>
      <c r="N107"/>
      <c r="O107"/>
      <c r="P107" s="2"/>
      <c r="T107"/>
      <c r="U107"/>
      <c r="V107"/>
      <c r="X107"/>
    </row>
    <row r="108" spans="10:24" s="1" customFormat="1" x14ac:dyDescent="0.2">
      <c r="J108"/>
      <c r="K108"/>
      <c r="L108"/>
      <c r="M108"/>
      <c r="N108"/>
      <c r="O108"/>
      <c r="P108" s="2"/>
      <c r="T108"/>
      <c r="U108"/>
      <c r="V108"/>
      <c r="X108"/>
    </row>
    <row r="109" spans="10:24" s="1" customFormat="1" x14ac:dyDescent="0.2">
      <c r="J109"/>
      <c r="K109"/>
      <c r="L109"/>
      <c r="M109"/>
      <c r="N109"/>
      <c r="O109"/>
      <c r="P109" s="2"/>
      <c r="T109"/>
      <c r="U109"/>
      <c r="V109"/>
      <c r="X109"/>
    </row>
    <row r="110" spans="10:24" s="1" customFormat="1" x14ac:dyDescent="0.2">
      <c r="J110"/>
      <c r="K110"/>
      <c r="L110"/>
      <c r="M110"/>
      <c r="N110"/>
      <c r="O110"/>
      <c r="P110" s="2"/>
      <c r="T110"/>
      <c r="U110"/>
      <c r="V110"/>
      <c r="X110"/>
    </row>
    <row r="111" spans="10:24" s="1" customFormat="1" x14ac:dyDescent="0.2">
      <c r="J111"/>
      <c r="K111"/>
      <c r="L111"/>
      <c r="M111"/>
      <c r="N111"/>
      <c r="O111"/>
      <c r="P111" s="2"/>
      <c r="T111"/>
      <c r="U111"/>
      <c r="V111"/>
      <c r="X111"/>
    </row>
    <row r="112" spans="10:24" s="1" customFormat="1" x14ac:dyDescent="0.2">
      <c r="J112"/>
      <c r="K112"/>
      <c r="L112"/>
      <c r="M112"/>
      <c r="N112"/>
      <c r="O112"/>
      <c r="P112" s="2"/>
      <c r="T112"/>
      <c r="U112"/>
      <c r="V112"/>
      <c r="X112"/>
    </row>
    <row r="113" spans="10:24" s="1" customFormat="1" x14ac:dyDescent="0.2">
      <c r="J113"/>
      <c r="K113"/>
      <c r="L113"/>
      <c r="M113"/>
      <c r="N113"/>
      <c r="O113"/>
      <c r="P113" s="2"/>
      <c r="T113"/>
      <c r="U113"/>
      <c r="V113"/>
      <c r="X113"/>
    </row>
    <row r="114" spans="10:24" s="1" customFormat="1" x14ac:dyDescent="0.2">
      <c r="J114"/>
      <c r="K114"/>
      <c r="L114"/>
      <c r="M114"/>
      <c r="N114"/>
      <c r="O114"/>
      <c r="P114" s="2"/>
      <c r="T114"/>
      <c r="U114"/>
      <c r="V114"/>
      <c r="X114"/>
    </row>
    <row r="115" spans="10:24" s="1" customFormat="1" x14ac:dyDescent="0.2">
      <c r="J115"/>
      <c r="K115"/>
      <c r="L115"/>
      <c r="M115"/>
      <c r="N115"/>
      <c r="O115"/>
      <c r="P115" s="2"/>
      <c r="T115"/>
      <c r="U115"/>
      <c r="V115"/>
      <c r="X115"/>
    </row>
    <row r="116" spans="10:24" s="1" customFormat="1" x14ac:dyDescent="0.2">
      <c r="J116"/>
      <c r="K116"/>
      <c r="L116"/>
      <c r="M116"/>
      <c r="N116"/>
      <c r="O116"/>
      <c r="P116" s="2"/>
      <c r="T116"/>
      <c r="U116"/>
      <c r="V116"/>
      <c r="X116"/>
    </row>
    <row r="117" spans="10:24" s="1" customFormat="1" x14ac:dyDescent="0.2">
      <c r="J117"/>
      <c r="K117"/>
      <c r="L117"/>
      <c r="M117"/>
      <c r="N117"/>
      <c r="O117"/>
      <c r="P117" s="2"/>
      <c r="T117"/>
      <c r="U117"/>
      <c r="V117"/>
      <c r="X117"/>
    </row>
    <row r="118" spans="10:24" s="1" customFormat="1" x14ac:dyDescent="0.2">
      <c r="J118"/>
      <c r="K118"/>
      <c r="L118"/>
      <c r="M118"/>
      <c r="N118"/>
      <c r="O118"/>
      <c r="P118" s="2"/>
      <c r="T118"/>
      <c r="U118"/>
      <c r="V118"/>
      <c r="X118"/>
    </row>
    <row r="119" spans="10:24" s="1" customFormat="1" x14ac:dyDescent="0.2">
      <c r="J119"/>
      <c r="K119"/>
      <c r="L119"/>
      <c r="M119"/>
      <c r="N119"/>
      <c r="O119"/>
      <c r="P119" s="2"/>
      <c r="T119"/>
      <c r="U119"/>
      <c r="V119"/>
      <c r="X119"/>
    </row>
    <row r="120" spans="10:24" s="1" customFormat="1" x14ac:dyDescent="0.2">
      <c r="J120"/>
      <c r="K120"/>
      <c r="L120"/>
      <c r="M120"/>
      <c r="N120"/>
      <c r="O120"/>
      <c r="P120" s="2"/>
      <c r="T120"/>
      <c r="U120"/>
      <c r="V120"/>
      <c r="X120"/>
    </row>
    <row r="121" spans="10:24" s="1" customFormat="1" x14ac:dyDescent="0.2">
      <c r="J121"/>
      <c r="K121"/>
      <c r="L121"/>
      <c r="M121"/>
      <c r="N121"/>
      <c r="O121"/>
      <c r="P121" s="2"/>
      <c r="T121"/>
      <c r="U121"/>
      <c r="V121"/>
      <c r="X121"/>
    </row>
    <row r="122" spans="10:24" s="1" customFormat="1" x14ac:dyDescent="0.2">
      <c r="J122"/>
      <c r="K122"/>
      <c r="L122"/>
      <c r="M122"/>
      <c r="N122"/>
      <c r="O122"/>
      <c r="P122" s="2"/>
      <c r="T122"/>
      <c r="U122"/>
      <c r="V122"/>
      <c r="X122"/>
    </row>
    <row r="123" spans="10:24" s="1" customFormat="1" x14ac:dyDescent="0.2">
      <c r="J123"/>
      <c r="K123"/>
      <c r="L123"/>
      <c r="M123"/>
      <c r="N123"/>
      <c r="O123"/>
      <c r="P123" s="2"/>
      <c r="T123"/>
      <c r="U123"/>
      <c r="V123"/>
      <c r="X123"/>
    </row>
    <row r="124" spans="10:24" s="1" customFormat="1" x14ac:dyDescent="0.2">
      <c r="J124"/>
      <c r="K124"/>
      <c r="L124"/>
      <c r="M124"/>
      <c r="N124"/>
      <c r="O124"/>
      <c r="P124" s="2"/>
      <c r="T124"/>
      <c r="U124"/>
      <c r="V124"/>
      <c r="X124"/>
    </row>
    <row r="125" spans="10:24" s="1" customFormat="1" x14ac:dyDescent="0.2">
      <c r="J125"/>
      <c r="K125"/>
      <c r="L125"/>
      <c r="M125"/>
      <c r="N125"/>
      <c r="O125"/>
      <c r="P125" s="2"/>
      <c r="T125"/>
      <c r="U125"/>
      <c r="V125"/>
      <c r="X125"/>
    </row>
    <row r="126" spans="10:24" s="1" customFormat="1" x14ac:dyDescent="0.2">
      <c r="J126"/>
      <c r="K126"/>
      <c r="L126"/>
      <c r="M126"/>
      <c r="N126"/>
      <c r="O126"/>
      <c r="P126" s="2"/>
      <c r="T126"/>
      <c r="U126"/>
      <c r="V126"/>
      <c r="X126"/>
    </row>
    <row r="127" spans="10:24" s="1" customFormat="1" x14ac:dyDescent="0.2">
      <c r="J127"/>
      <c r="K127"/>
      <c r="L127"/>
      <c r="M127"/>
      <c r="N127"/>
      <c r="O127"/>
      <c r="P127" s="2"/>
      <c r="T127"/>
      <c r="U127"/>
      <c r="V127"/>
      <c r="X127"/>
    </row>
    <row r="128" spans="10:24" s="1" customFormat="1" x14ac:dyDescent="0.2">
      <c r="J128"/>
      <c r="K128"/>
      <c r="L128"/>
      <c r="M128"/>
      <c r="N128"/>
      <c r="O128"/>
      <c r="P128" s="2"/>
      <c r="T128"/>
      <c r="U128"/>
      <c r="V128"/>
      <c r="X128"/>
    </row>
    <row r="129" spans="10:24" s="1" customFormat="1" x14ac:dyDescent="0.2">
      <c r="J129"/>
      <c r="K129"/>
      <c r="L129"/>
      <c r="M129"/>
      <c r="N129"/>
      <c r="O129"/>
      <c r="P129" s="2"/>
      <c r="T129"/>
      <c r="U129"/>
      <c r="V129"/>
      <c r="X129"/>
    </row>
    <row r="130" spans="10:24" s="1" customFormat="1" x14ac:dyDescent="0.2">
      <c r="J130"/>
      <c r="K130"/>
      <c r="L130"/>
      <c r="M130"/>
      <c r="N130"/>
      <c r="O130"/>
      <c r="P130" s="2"/>
      <c r="T130"/>
      <c r="U130"/>
      <c r="V130"/>
      <c r="X130"/>
    </row>
    <row r="131" spans="10:24" s="1" customFormat="1" x14ac:dyDescent="0.2">
      <c r="J131"/>
      <c r="K131"/>
      <c r="L131"/>
      <c r="M131"/>
      <c r="N131"/>
      <c r="O131"/>
      <c r="P131" s="2"/>
      <c r="T131"/>
      <c r="U131"/>
      <c r="V131"/>
      <c r="X131"/>
    </row>
    <row r="132" spans="10:24" s="1" customFormat="1" x14ac:dyDescent="0.2">
      <c r="J132"/>
      <c r="K132"/>
      <c r="L132"/>
      <c r="M132"/>
      <c r="N132"/>
      <c r="O132"/>
      <c r="P132" s="2"/>
      <c r="T132"/>
      <c r="U132"/>
      <c r="V132"/>
      <c r="X132"/>
    </row>
    <row r="133" spans="10:24" s="1" customFormat="1" x14ac:dyDescent="0.2">
      <c r="J133"/>
      <c r="K133"/>
      <c r="L133"/>
      <c r="M133"/>
      <c r="N133"/>
      <c r="O133"/>
      <c r="P133" s="2"/>
      <c r="T133"/>
      <c r="U133"/>
      <c r="V133"/>
      <c r="X133"/>
    </row>
    <row r="134" spans="10:24" s="1" customFormat="1" x14ac:dyDescent="0.2">
      <c r="J134"/>
      <c r="K134"/>
      <c r="L134"/>
      <c r="M134"/>
      <c r="N134"/>
      <c r="O134"/>
      <c r="P134" s="2"/>
      <c r="T134"/>
      <c r="U134"/>
      <c r="V134"/>
      <c r="X134"/>
    </row>
    <row r="135" spans="10:24" s="1" customFormat="1" x14ac:dyDescent="0.2">
      <c r="J135"/>
      <c r="K135"/>
      <c r="L135"/>
      <c r="M135"/>
      <c r="N135"/>
      <c r="O135"/>
      <c r="P135" s="2"/>
      <c r="T135"/>
      <c r="U135"/>
      <c r="V135"/>
      <c r="X135"/>
    </row>
    <row r="136" spans="10:24" s="1" customFormat="1" x14ac:dyDescent="0.2">
      <c r="J136"/>
      <c r="K136"/>
      <c r="L136"/>
      <c r="M136"/>
      <c r="N136"/>
      <c r="O136"/>
      <c r="P136" s="2"/>
      <c r="T136"/>
      <c r="U136"/>
      <c r="V136"/>
      <c r="X136"/>
    </row>
    <row r="137" spans="10:24" s="1" customFormat="1" x14ac:dyDescent="0.2">
      <c r="J137"/>
      <c r="K137"/>
      <c r="L137"/>
      <c r="M137"/>
      <c r="N137"/>
      <c r="O137"/>
      <c r="P137" s="2"/>
      <c r="T137"/>
      <c r="U137"/>
      <c r="V137"/>
      <c r="X137"/>
    </row>
    <row r="138" spans="10:24" s="1" customFormat="1" x14ac:dyDescent="0.2">
      <c r="J138"/>
      <c r="K138"/>
      <c r="L138"/>
      <c r="M138"/>
      <c r="N138"/>
      <c r="O138"/>
      <c r="P138" s="2"/>
      <c r="T138"/>
      <c r="U138"/>
      <c r="V138"/>
      <c r="X138"/>
    </row>
    <row r="139" spans="10:24" s="1" customFormat="1" x14ac:dyDescent="0.2">
      <c r="J139"/>
      <c r="K139"/>
      <c r="L139"/>
      <c r="M139"/>
      <c r="N139"/>
      <c r="O139"/>
      <c r="P139" s="2"/>
      <c r="T139"/>
      <c r="U139"/>
      <c r="V139"/>
      <c r="X139"/>
    </row>
    <row r="140" spans="10:24" s="1" customFormat="1" x14ac:dyDescent="0.2">
      <c r="J140"/>
      <c r="K140"/>
      <c r="L140"/>
      <c r="M140"/>
      <c r="N140"/>
      <c r="O140"/>
      <c r="P140" s="2"/>
      <c r="T140"/>
      <c r="U140"/>
      <c r="V140"/>
      <c r="X140"/>
    </row>
    <row r="141" spans="10:24" s="1" customFormat="1" x14ac:dyDescent="0.2">
      <c r="J141"/>
      <c r="K141"/>
      <c r="L141"/>
      <c r="M141"/>
      <c r="N141"/>
      <c r="O141"/>
      <c r="P141" s="2"/>
      <c r="T141"/>
      <c r="U141"/>
      <c r="V141"/>
      <c r="X141"/>
    </row>
    <row r="142" spans="10:24" s="1" customFormat="1" x14ac:dyDescent="0.2">
      <c r="J142"/>
      <c r="K142"/>
      <c r="L142"/>
      <c r="M142"/>
      <c r="N142"/>
      <c r="O142"/>
      <c r="P142" s="2"/>
      <c r="T142"/>
      <c r="U142"/>
      <c r="V142"/>
      <c r="X142"/>
    </row>
    <row r="143" spans="10:24" s="1" customFormat="1" x14ac:dyDescent="0.2">
      <c r="J143"/>
      <c r="K143"/>
      <c r="L143"/>
      <c r="M143"/>
      <c r="N143"/>
      <c r="O143"/>
      <c r="P143" s="2"/>
      <c r="T143"/>
      <c r="U143"/>
      <c r="V143"/>
      <c r="X143"/>
    </row>
    <row r="144" spans="10:24" s="1" customFormat="1" x14ac:dyDescent="0.2">
      <c r="J144"/>
      <c r="K144"/>
      <c r="L144"/>
      <c r="M144"/>
      <c r="N144"/>
      <c r="O144"/>
      <c r="P144" s="2"/>
      <c r="T144"/>
      <c r="U144"/>
      <c r="V144"/>
      <c r="X144"/>
    </row>
    <row r="145" spans="10:24" s="1" customFormat="1" x14ac:dyDescent="0.2">
      <c r="J145"/>
      <c r="K145"/>
      <c r="L145"/>
      <c r="M145"/>
      <c r="N145"/>
      <c r="O145"/>
      <c r="P145" s="2"/>
      <c r="T145"/>
      <c r="U145"/>
      <c r="V145"/>
      <c r="X145"/>
    </row>
    <row r="146" spans="10:24" s="1" customFormat="1" x14ac:dyDescent="0.2">
      <c r="J146"/>
      <c r="K146"/>
      <c r="L146"/>
      <c r="M146"/>
      <c r="N146"/>
      <c r="O146"/>
      <c r="P146" s="2"/>
      <c r="T146"/>
      <c r="U146"/>
      <c r="V146"/>
      <c r="X146"/>
    </row>
    <row r="147" spans="10:24" s="1" customFormat="1" x14ac:dyDescent="0.2">
      <c r="J147"/>
      <c r="K147"/>
      <c r="L147"/>
      <c r="M147"/>
      <c r="N147"/>
      <c r="O147"/>
      <c r="P147" s="2"/>
      <c r="T147"/>
      <c r="U147"/>
      <c r="V147"/>
      <c r="X147"/>
    </row>
    <row r="148" spans="10:24" s="1" customFormat="1" x14ac:dyDescent="0.2">
      <c r="J148"/>
      <c r="K148"/>
      <c r="L148"/>
      <c r="M148"/>
      <c r="N148"/>
      <c r="O148"/>
      <c r="P148" s="2"/>
      <c r="T148"/>
      <c r="U148"/>
      <c r="V148"/>
      <c r="X148"/>
    </row>
    <row r="149" spans="10:24" s="1" customFormat="1" x14ac:dyDescent="0.2">
      <c r="J149"/>
      <c r="K149"/>
      <c r="L149"/>
      <c r="M149"/>
      <c r="N149"/>
      <c r="O149"/>
      <c r="P149" s="2"/>
      <c r="T149"/>
      <c r="U149"/>
      <c r="V149"/>
      <c r="X149"/>
    </row>
    <row r="150" spans="10:24" s="1" customFormat="1" x14ac:dyDescent="0.2">
      <c r="J150"/>
      <c r="K150"/>
      <c r="L150"/>
      <c r="M150"/>
      <c r="N150"/>
      <c r="O150"/>
      <c r="P150" s="2"/>
      <c r="T150"/>
      <c r="U150"/>
      <c r="V150"/>
      <c r="X150"/>
    </row>
    <row r="151" spans="10:24" s="1" customFormat="1" x14ac:dyDescent="0.2">
      <c r="J151"/>
      <c r="K151"/>
      <c r="L151"/>
      <c r="M151"/>
      <c r="N151"/>
      <c r="O151"/>
      <c r="P151" s="2"/>
      <c r="T151"/>
      <c r="U151"/>
      <c r="V151"/>
      <c r="X151"/>
    </row>
    <row r="152" spans="10:24" s="1" customFormat="1" x14ac:dyDescent="0.2">
      <c r="J152"/>
      <c r="K152"/>
      <c r="L152"/>
      <c r="M152"/>
      <c r="N152"/>
      <c r="O152"/>
      <c r="P152" s="2"/>
      <c r="T152"/>
      <c r="U152"/>
      <c r="V152"/>
      <c r="X152"/>
    </row>
    <row r="153" spans="10:24" s="1" customFormat="1" x14ac:dyDescent="0.2">
      <c r="J153"/>
      <c r="K153"/>
      <c r="L153"/>
      <c r="M153"/>
      <c r="N153"/>
      <c r="O153"/>
      <c r="P153" s="2"/>
      <c r="T153"/>
      <c r="U153"/>
      <c r="V153"/>
      <c r="X153"/>
    </row>
    <row r="154" spans="10:24" s="1" customFormat="1" x14ac:dyDescent="0.2">
      <c r="J154"/>
      <c r="K154"/>
      <c r="L154"/>
      <c r="M154"/>
      <c r="N154"/>
      <c r="O154"/>
      <c r="P154" s="2"/>
      <c r="T154"/>
      <c r="U154"/>
      <c r="V154"/>
      <c r="X154"/>
    </row>
    <row r="155" spans="10:24" s="1" customFormat="1" x14ac:dyDescent="0.2">
      <c r="J155"/>
      <c r="K155"/>
      <c r="L155"/>
      <c r="M155"/>
      <c r="N155"/>
      <c r="O155"/>
      <c r="P155" s="2"/>
      <c r="T155"/>
      <c r="U155"/>
      <c r="V155"/>
      <c r="X155"/>
    </row>
    <row r="156" spans="10:24" s="1" customFormat="1" x14ac:dyDescent="0.2">
      <c r="J156"/>
      <c r="K156"/>
      <c r="L156"/>
      <c r="M156"/>
      <c r="N156"/>
      <c r="O156"/>
      <c r="P156" s="2"/>
      <c r="T156"/>
      <c r="U156"/>
      <c r="V156"/>
      <c r="X156"/>
    </row>
    <row r="157" spans="10:24" s="1" customFormat="1" x14ac:dyDescent="0.2">
      <c r="J157"/>
      <c r="K157"/>
      <c r="L157"/>
      <c r="M157"/>
      <c r="N157"/>
      <c r="O157"/>
      <c r="P157" s="2"/>
      <c r="T157"/>
      <c r="U157"/>
      <c r="V157"/>
      <c r="X157"/>
    </row>
    <row r="158" spans="10:24" s="1" customFormat="1" x14ac:dyDescent="0.2">
      <c r="J158"/>
      <c r="K158"/>
      <c r="L158"/>
      <c r="M158"/>
      <c r="N158"/>
      <c r="O158"/>
      <c r="P158" s="2"/>
      <c r="T158"/>
      <c r="U158"/>
      <c r="V158"/>
      <c r="X158"/>
    </row>
    <row r="159" spans="10:24" s="1" customFormat="1" x14ac:dyDescent="0.2">
      <c r="J159"/>
      <c r="K159"/>
      <c r="L159"/>
      <c r="M159"/>
      <c r="N159"/>
      <c r="O159"/>
      <c r="P159" s="2"/>
      <c r="T159"/>
      <c r="U159"/>
      <c r="V159"/>
      <c r="X159"/>
    </row>
    <row r="160" spans="10:24" s="1" customFormat="1" x14ac:dyDescent="0.2">
      <c r="J160"/>
      <c r="K160"/>
      <c r="L160"/>
      <c r="M160"/>
      <c r="N160"/>
      <c r="O160"/>
      <c r="P160" s="2"/>
      <c r="T160"/>
      <c r="U160"/>
      <c r="V160"/>
      <c r="X160"/>
    </row>
    <row r="161" spans="10:24" s="1" customFormat="1" x14ac:dyDescent="0.2">
      <c r="J161"/>
      <c r="K161"/>
      <c r="L161"/>
      <c r="M161"/>
      <c r="N161"/>
      <c r="O161"/>
      <c r="P161" s="2"/>
      <c r="T161"/>
      <c r="U161"/>
      <c r="V161"/>
      <c r="X161"/>
    </row>
    <row r="162" spans="10:24" s="1" customFormat="1" x14ac:dyDescent="0.2">
      <c r="J162"/>
      <c r="K162"/>
      <c r="L162"/>
      <c r="M162"/>
      <c r="N162"/>
      <c r="O162"/>
      <c r="P162" s="2"/>
      <c r="T162"/>
      <c r="U162"/>
      <c r="V162"/>
      <c r="X162"/>
    </row>
    <row r="163" spans="10:24" s="1" customFormat="1" x14ac:dyDescent="0.2">
      <c r="J163"/>
      <c r="K163"/>
      <c r="L163"/>
      <c r="M163"/>
      <c r="N163"/>
      <c r="O163"/>
      <c r="P163" s="2"/>
      <c r="T163"/>
      <c r="U163"/>
      <c r="V163"/>
      <c r="X163"/>
    </row>
    <row r="164" spans="10:24" s="1" customFormat="1" x14ac:dyDescent="0.2">
      <c r="J164"/>
      <c r="K164"/>
      <c r="L164"/>
      <c r="M164"/>
      <c r="N164"/>
      <c r="O164"/>
      <c r="P164" s="2"/>
      <c r="T164"/>
      <c r="U164"/>
      <c r="V164"/>
      <c r="X164"/>
    </row>
    <row r="165" spans="10:24" s="1" customFormat="1" x14ac:dyDescent="0.2">
      <c r="J165"/>
      <c r="K165"/>
      <c r="L165"/>
      <c r="M165"/>
      <c r="N165"/>
      <c r="O165"/>
      <c r="P165" s="2"/>
      <c r="T165"/>
      <c r="U165"/>
      <c r="V165"/>
      <c r="X165"/>
    </row>
    <row r="166" spans="10:24" s="1" customFormat="1" x14ac:dyDescent="0.2">
      <c r="J166"/>
      <c r="K166"/>
      <c r="L166"/>
      <c r="M166"/>
      <c r="N166"/>
      <c r="O166"/>
      <c r="P166" s="2"/>
      <c r="T166"/>
      <c r="U166"/>
      <c r="V166"/>
      <c r="X166"/>
    </row>
    <row r="167" spans="10:24" s="1" customFormat="1" x14ac:dyDescent="0.2">
      <c r="J167"/>
      <c r="K167"/>
      <c r="L167"/>
      <c r="M167"/>
      <c r="N167"/>
      <c r="O167"/>
      <c r="P167" s="2"/>
      <c r="T167"/>
      <c r="U167"/>
      <c r="V167"/>
      <c r="X167"/>
    </row>
    <row r="168" spans="10:24" s="1" customFormat="1" x14ac:dyDescent="0.2">
      <c r="J168"/>
      <c r="K168"/>
      <c r="L168"/>
      <c r="M168"/>
      <c r="N168"/>
      <c r="O168"/>
      <c r="P168" s="2"/>
      <c r="T168"/>
      <c r="U168"/>
      <c r="V168"/>
      <c r="X168"/>
    </row>
    <row r="169" spans="10:24" s="1" customFormat="1" x14ac:dyDescent="0.2">
      <c r="J169"/>
      <c r="K169"/>
      <c r="L169"/>
      <c r="M169"/>
      <c r="N169"/>
      <c r="O169"/>
      <c r="P169" s="2"/>
      <c r="T169"/>
      <c r="U169"/>
      <c r="V169"/>
      <c r="X169"/>
    </row>
    <row r="170" spans="10:24" s="1" customFormat="1" x14ac:dyDescent="0.2">
      <c r="J170"/>
      <c r="K170"/>
      <c r="L170"/>
      <c r="M170"/>
      <c r="N170"/>
      <c r="O170"/>
      <c r="P170" s="2"/>
      <c r="T170"/>
      <c r="U170"/>
      <c r="V170"/>
      <c r="X170"/>
    </row>
    <row r="171" spans="10:24" s="1" customFormat="1" x14ac:dyDescent="0.2">
      <c r="J171"/>
      <c r="K171"/>
      <c r="L171"/>
      <c r="M171"/>
      <c r="N171"/>
      <c r="O171"/>
      <c r="P171" s="2"/>
      <c r="T171"/>
      <c r="U171"/>
      <c r="V171"/>
      <c r="X171"/>
    </row>
    <row r="172" spans="10:24" s="1" customFormat="1" x14ac:dyDescent="0.2">
      <c r="J172"/>
      <c r="K172"/>
      <c r="L172"/>
      <c r="M172"/>
      <c r="N172"/>
      <c r="O172"/>
      <c r="P172" s="2"/>
      <c r="T172"/>
      <c r="U172"/>
      <c r="V172"/>
      <c r="X172"/>
    </row>
    <row r="173" spans="10:24" s="1" customFormat="1" x14ac:dyDescent="0.2">
      <c r="J173"/>
      <c r="K173"/>
      <c r="L173"/>
      <c r="M173"/>
      <c r="N173"/>
      <c r="O173"/>
      <c r="P173" s="2"/>
      <c r="T173"/>
      <c r="U173"/>
      <c r="V173"/>
      <c r="X173"/>
    </row>
    <row r="174" spans="10:24" s="1" customFormat="1" x14ac:dyDescent="0.2">
      <c r="J174"/>
      <c r="K174"/>
      <c r="L174"/>
      <c r="M174"/>
      <c r="N174"/>
      <c r="O174"/>
      <c r="P174" s="2"/>
      <c r="T174"/>
      <c r="U174"/>
      <c r="V174"/>
      <c r="X174"/>
    </row>
    <row r="175" spans="10:24" s="1" customFormat="1" x14ac:dyDescent="0.2">
      <c r="J175"/>
      <c r="K175"/>
      <c r="L175"/>
      <c r="M175"/>
      <c r="N175"/>
      <c r="O175"/>
      <c r="P175" s="2"/>
      <c r="T175"/>
      <c r="U175"/>
      <c r="V175"/>
      <c r="X175"/>
    </row>
    <row r="176" spans="10:24" s="1" customFormat="1" x14ac:dyDescent="0.2">
      <c r="J176"/>
      <c r="K176"/>
      <c r="L176"/>
      <c r="M176"/>
      <c r="N176"/>
      <c r="O176"/>
      <c r="P176" s="2"/>
      <c r="T176"/>
      <c r="U176"/>
      <c r="V176"/>
      <c r="X176"/>
    </row>
    <row r="177" spans="10:24" s="1" customFormat="1" x14ac:dyDescent="0.2">
      <c r="J177"/>
      <c r="K177"/>
      <c r="L177"/>
      <c r="M177"/>
      <c r="N177"/>
      <c r="O177"/>
      <c r="P177" s="2"/>
      <c r="T177"/>
      <c r="U177"/>
      <c r="V177"/>
      <c r="X177"/>
    </row>
    <row r="178" spans="10:24" s="1" customFormat="1" x14ac:dyDescent="0.2">
      <c r="J178"/>
      <c r="K178"/>
      <c r="L178"/>
      <c r="M178"/>
      <c r="N178"/>
      <c r="O178"/>
      <c r="P178" s="2"/>
      <c r="T178"/>
      <c r="U178"/>
      <c r="V178"/>
      <c r="X178"/>
    </row>
    <row r="179" spans="10:24" s="1" customFormat="1" x14ac:dyDescent="0.2">
      <c r="J179"/>
      <c r="K179"/>
      <c r="L179"/>
      <c r="M179"/>
      <c r="N179"/>
      <c r="O179"/>
      <c r="P179" s="2"/>
      <c r="T179"/>
      <c r="U179"/>
      <c r="V179"/>
      <c r="X179"/>
    </row>
    <row r="180" spans="10:24" s="1" customFormat="1" x14ac:dyDescent="0.2">
      <c r="J180"/>
      <c r="K180"/>
      <c r="L180"/>
      <c r="M180"/>
      <c r="N180"/>
      <c r="O180"/>
      <c r="P180" s="2"/>
      <c r="T180"/>
      <c r="U180"/>
      <c r="V180"/>
      <c r="X180"/>
    </row>
    <row r="181" spans="10:24" s="1" customFormat="1" x14ac:dyDescent="0.2">
      <c r="J181"/>
      <c r="K181"/>
      <c r="L181"/>
      <c r="M181"/>
      <c r="N181"/>
      <c r="O181"/>
      <c r="P181" s="2"/>
      <c r="T181"/>
      <c r="U181"/>
      <c r="V181"/>
      <c r="X181"/>
    </row>
    <row r="182" spans="10:24" s="1" customFormat="1" x14ac:dyDescent="0.2">
      <c r="J182"/>
      <c r="K182"/>
      <c r="L182"/>
      <c r="M182"/>
      <c r="N182"/>
      <c r="O182"/>
      <c r="P182" s="2"/>
      <c r="T182"/>
      <c r="U182"/>
      <c r="V182"/>
      <c r="X182"/>
    </row>
    <row r="183" spans="10:24" s="1" customFormat="1" x14ac:dyDescent="0.2">
      <c r="J183"/>
      <c r="K183"/>
      <c r="L183"/>
      <c r="M183"/>
      <c r="N183"/>
      <c r="O183"/>
      <c r="P183" s="2"/>
      <c r="T183"/>
      <c r="U183"/>
      <c r="V183"/>
      <c r="X183"/>
    </row>
    <row r="184" spans="10:24" s="1" customFormat="1" x14ac:dyDescent="0.2">
      <c r="J184"/>
      <c r="K184"/>
      <c r="L184"/>
      <c r="M184"/>
      <c r="N184"/>
      <c r="O184"/>
      <c r="P184" s="2"/>
      <c r="T184"/>
      <c r="U184"/>
      <c r="V184"/>
      <c r="X184"/>
    </row>
    <row r="185" spans="10:24" s="1" customFormat="1" x14ac:dyDescent="0.2">
      <c r="J185"/>
      <c r="K185"/>
      <c r="L185"/>
      <c r="M185"/>
      <c r="N185"/>
      <c r="O185"/>
      <c r="P185" s="2"/>
      <c r="T185"/>
      <c r="U185"/>
      <c r="V185"/>
      <c r="X185"/>
    </row>
    <row r="186" spans="10:24" s="1" customFormat="1" x14ac:dyDescent="0.2">
      <c r="J186"/>
      <c r="K186"/>
      <c r="L186"/>
      <c r="M186"/>
      <c r="N186"/>
      <c r="O186"/>
      <c r="P186" s="2"/>
      <c r="T186"/>
      <c r="U186"/>
      <c r="V186"/>
      <c r="X186"/>
    </row>
    <row r="187" spans="10:24" s="1" customFormat="1" x14ac:dyDescent="0.2">
      <c r="J187"/>
      <c r="K187"/>
      <c r="L187"/>
      <c r="M187"/>
      <c r="N187"/>
      <c r="O187"/>
      <c r="P187" s="2"/>
      <c r="T187"/>
      <c r="U187"/>
      <c r="V187"/>
      <c r="X187"/>
    </row>
    <row r="188" spans="10:24" s="1" customFormat="1" x14ac:dyDescent="0.2">
      <c r="J188"/>
      <c r="K188"/>
      <c r="L188"/>
      <c r="M188"/>
      <c r="N188"/>
      <c r="O188"/>
      <c r="P188" s="2"/>
      <c r="T188"/>
      <c r="U188"/>
      <c r="V188"/>
      <c r="X188"/>
    </row>
    <row r="189" spans="10:24" s="1" customFormat="1" x14ac:dyDescent="0.2">
      <c r="J189"/>
      <c r="K189"/>
      <c r="L189"/>
      <c r="M189"/>
      <c r="N189"/>
      <c r="O189"/>
      <c r="P189" s="2"/>
      <c r="T189"/>
      <c r="U189"/>
      <c r="V189"/>
      <c r="X189"/>
    </row>
    <row r="190" spans="10:24" s="1" customFormat="1" x14ac:dyDescent="0.2">
      <c r="J190"/>
      <c r="K190"/>
      <c r="L190"/>
      <c r="M190"/>
      <c r="N190"/>
      <c r="O190"/>
      <c r="P190" s="2"/>
      <c r="T190"/>
      <c r="U190"/>
      <c r="V190"/>
      <c r="X190"/>
    </row>
    <row r="191" spans="10:24" s="1" customFormat="1" x14ac:dyDescent="0.2">
      <c r="J191"/>
      <c r="K191"/>
      <c r="L191"/>
      <c r="M191"/>
      <c r="N191"/>
      <c r="O191"/>
      <c r="P191" s="2"/>
      <c r="T191"/>
      <c r="U191"/>
      <c r="V191"/>
      <c r="X191"/>
    </row>
    <row r="192" spans="10:24" s="1" customFormat="1" x14ac:dyDescent="0.2">
      <c r="J192"/>
      <c r="K192"/>
      <c r="L192"/>
      <c r="M192"/>
      <c r="N192"/>
      <c r="O192"/>
      <c r="P192" s="2"/>
      <c r="T192"/>
      <c r="U192"/>
      <c r="V192"/>
      <c r="X192"/>
    </row>
    <row r="193" spans="10:24" s="1" customFormat="1" x14ac:dyDescent="0.2">
      <c r="J193"/>
      <c r="K193"/>
      <c r="L193"/>
      <c r="M193"/>
      <c r="N193"/>
      <c r="O193"/>
      <c r="P193" s="2"/>
      <c r="T193"/>
      <c r="U193"/>
      <c r="V193"/>
      <c r="X193"/>
    </row>
    <row r="194" spans="10:24" s="1" customFormat="1" x14ac:dyDescent="0.2">
      <c r="J194"/>
      <c r="K194"/>
      <c r="L194"/>
      <c r="M194"/>
      <c r="N194"/>
      <c r="O194"/>
      <c r="P194" s="2"/>
      <c r="T194"/>
      <c r="U194"/>
      <c r="V194"/>
      <c r="X194"/>
    </row>
    <row r="195" spans="10:24" s="1" customFormat="1" x14ac:dyDescent="0.2">
      <c r="J195"/>
      <c r="K195"/>
      <c r="L195"/>
      <c r="M195"/>
      <c r="N195"/>
      <c r="O195"/>
      <c r="P195" s="2"/>
      <c r="T195"/>
      <c r="U195"/>
      <c r="V195"/>
      <c r="X195"/>
    </row>
    <row r="196" spans="10:24" s="1" customFormat="1" x14ac:dyDescent="0.2">
      <c r="J196"/>
      <c r="K196"/>
      <c r="L196"/>
      <c r="M196"/>
      <c r="N196"/>
      <c r="O196"/>
      <c r="P196" s="2"/>
      <c r="T196"/>
      <c r="U196"/>
      <c r="V196"/>
      <c r="X196"/>
    </row>
    <row r="197" spans="10:24" s="1" customFormat="1" x14ac:dyDescent="0.2">
      <c r="J197"/>
      <c r="K197"/>
      <c r="L197"/>
      <c r="M197"/>
      <c r="N197"/>
      <c r="O197"/>
      <c r="P197" s="2"/>
      <c r="T197"/>
      <c r="U197"/>
      <c r="V197"/>
      <c r="X197"/>
    </row>
    <row r="198" spans="10:24" s="1" customFormat="1" x14ac:dyDescent="0.2">
      <c r="J198"/>
      <c r="K198"/>
      <c r="L198"/>
      <c r="M198"/>
      <c r="N198"/>
      <c r="O198"/>
      <c r="P198" s="2"/>
      <c r="T198"/>
      <c r="U198"/>
      <c r="V198"/>
      <c r="X198"/>
    </row>
    <row r="199" spans="10:24" s="1" customFormat="1" x14ac:dyDescent="0.2">
      <c r="J199"/>
      <c r="K199"/>
      <c r="L199"/>
      <c r="M199"/>
      <c r="N199"/>
      <c r="O199"/>
      <c r="P199" s="2"/>
      <c r="T199"/>
      <c r="U199"/>
      <c r="V199"/>
      <c r="X199"/>
    </row>
    <row r="200" spans="10:24" s="1" customFormat="1" x14ac:dyDescent="0.2">
      <c r="J200"/>
      <c r="K200"/>
      <c r="L200"/>
      <c r="M200"/>
      <c r="N200"/>
      <c r="O200"/>
      <c r="P200" s="2"/>
      <c r="T200"/>
      <c r="U200"/>
      <c r="V200"/>
      <c r="X200"/>
    </row>
    <row r="201" spans="10:24" s="1" customFormat="1" x14ac:dyDescent="0.2">
      <c r="J201"/>
      <c r="K201"/>
      <c r="L201"/>
      <c r="M201"/>
      <c r="N201"/>
      <c r="O201"/>
      <c r="P201" s="2"/>
      <c r="T201"/>
      <c r="U201"/>
      <c r="V201"/>
      <c r="X201"/>
    </row>
    <row r="202" spans="10:24" s="1" customFormat="1" x14ac:dyDescent="0.2">
      <c r="J202"/>
      <c r="K202"/>
      <c r="L202"/>
      <c r="M202"/>
      <c r="N202"/>
      <c r="O202"/>
      <c r="P202" s="2"/>
      <c r="T202"/>
      <c r="U202"/>
      <c r="V202"/>
      <c r="X202"/>
    </row>
    <row r="203" spans="10:24" s="1" customFormat="1" x14ac:dyDescent="0.2">
      <c r="J203"/>
      <c r="K203"/>
      <c r="L203"/>
      <c r="M203"/>
      <c r="N203"/>
      <c r="O203"/>
      <c r="P203" s="2"/>
      <c r="T203"/>
      <c r="U203"/>
      <c r="V203"/>
      <c r="X203"/>
    </row>
    <row r="204" spans="10:24" s="1" customFormat="1" x14ac:dyDescent="0.2">
      <c r="J204"/>
      <c r="K204"/>
      <c r="L204"/>
      <c r="M204"/>
      <c r="N204"/>
      <c r="O204"/>
      <c r="P204" s="2"/>
      <c r="T204"/>
      <c r="U204"/>
      <c r="V204"/>
      <c r="X204"/>
    </row>
    <row r="205" spans="10:24" s="1" customFormat="1" x14ac:dyDescent="0.2">
      <c r="J205"/>
      <c r="K205"/>
      <c r="L205"/>
      <c r="M205"/>
      <c r="N205"/>
      <c r="O205"/>
      <c r="P205" s="2"/>
      <c r="T205"/>
      <c r="U205"/>
      <c r="V205"/>
      <c r="X205"/>
    </row>
    <row r="206" spans="10:24" s="1" customFormat="1" x14ac:dyDescent="0.2">
      <c r="J206"/>
      <c r="K206"/>
      <c r="L206"/>
      <c r="M206"/>
      <c r="N206"/>
      <c r="O206"/>
      <c r="P206" s="2"/>
      <c r="T206"/>
      <c r="U206"/>
      <c r="V206"/>
      <c r="X206"/>
    </row>
    <row r="207" spans="10:24" s="1" customFormat="1" x14ac:dyDescent="0.2">
      <c r="J207"/>
      <c r="K207"/>
      <c r="L207"/>
      <c r="M207"/>
      <c r="N207"/>
      <c r="O207"/>
      <c r="P207" s="2"/>
      <c r="T207"/>
      <c r="U207"/>
      <c r="V207"/>
      <c r="X207"/>
    </row>
    <row r="208" spans="10:24" s="1" customFormat="1" x14ac:dyDescent="0.2">
      <c r="J208"/>
      <c r="K208"/>
      <c r="L208"/>
      <c r="M208"/>
      <c r="N208"/>
      <c r="O208"/>
      <c r="P208" s="2"/>
      <c r="T208"/>
      <c r="U208"/>
      <c r="V208"/>
      <c r="X208"/>
    </row>
    <row r="209" spans="10:24" s="1" customFormat="1" x14ac:dyDescent="0.2">
      <c r="J209"/>
      <c r="K209"/>
      <c r="L209"/>
      <c r="M209"/>
      <c r="N209"/>
      <c r="O209"/>
      <c r="P209" s="2"/>
      <c r="T209"/>
      <c r="U209"/>
      <c r="V209"/>
      <c r="X209"/>
    </row>
    <row r="210" spans="10:24" s="1" customFormat="1" x14ac:dyDescent="0.2">
      <c r="J210"/>
      <c r="K210"/>
      <c r="L210"/>
      <c r="M210"/>
      <c r="N210"/>
      <c r="O210"/>
      <c r="P210" s="2"/>
      <c r="T210"/>
      <c r="U210"/>
      <c r="V210"/>
      <c r="X210"/>
    </row>
    <row r="211" spans="10:24" s="1" customFormat="1" x14ac:dyDescent="0.2">
      <c r="J211"/>
      <c r="K211"/>
      <c r="L211"/>
      <c r="M211"/>
      <c r="N211"/>
      <c r="O211"/>
      <c r="P211" s="2"/>
      <c r="T211"/>
      <c r="U211"/>
      <c r="V211"/>
      <c r="X211"/>
    </row>
    <row r="212" spans="10:24" s="1" customFormat="1" x14ac:dyDescent="0.2">
      <c r="J212"/>
      <c r="K212"/>
      <c r="L212"/>
      <c r="M212"/>
      <c r="N212"/>
      <c r="O212"/>
      <c r="P212" s="2"/>
      <c r="T212"/>
      <c r="U212"/>
      <c r="V212"/>
      <c r="X212"/>
    </row>
    <row r="213" spans="10:24" s="1" customFormat="1" x14ac:dyDescent="0.2">
      <c r="J213"/>
      <c r="K213"/>
      <c r="L213"/>
      <c r="M213"/>
      <c r="N213"/>
      <c r="O213"/>
      <c r="P213" s="2"/>
      <c r="T213"/>
      <c r="U213"/>
      <c r="V213"/>
      <c r="X213"/>
    </row>
    <row r="214" spans="10:24" s="1" customFormat="1" x14ac:dyDescent="0.2">
      <c r="J214"/>
      <c r="K214"/>
      <c r="L214"/>
      <c r="M214"/>
      <c r="N214"/>
      <c r="O214"/>
      <c r="P214" s="2"/>
      <c r="T214"/>
      <c r="U214"/>
      <c r="V214"/>
      <c r="X214"/>
    </row>
    <row r="215" spans="10:24" s="1" customFormat="1" x14ac:dyDescent="0.2">
      <c r="J215"/>
      <c r="K215"/>
      <c r="L215"/>
      <c r="M215"/>
      <c r="N215"/>
      <c r="O215"/>
      <c r="P215" s="2"/>
      <c r="T215"/>
      <c r="U215"/>
      <c r="V215"/>
      <c r="X215"/>
    </row>
    <row r="216" spans="10:24" s="1" customFormat="1" x14ac:dyDescent="0.2">
      <c r="J216"/>
      <c r="K216"/>
      <c r="L216"/>
      <c r="M216"/>
      <c r="N216"/>
      <c r="O216"/>
      <c r="P216" s="2"/>
      <c r="T216"/>
      <c r="U216"/>
      <c r="V216"/>
      <c r="X216"/>
    </row>
    <row r="217" spans="10:24" s="1" customFormat="1" x14ac:dyDescent="0.2">
      <c r="J217"/>
      <c r="K217"/>
      <c r="L217"/>
      <c r="M217"/>
      <c r="N217"/>
      <c r="O217"/>
      <c r="P217" s="2"/>
      <c r="T217"/>
      <c r="U217"/>
      <c r="V217"/>
      <c r="X217"/>
    </row>
    <row r="218" spans="10:24" s="1" customFormat="1" x14ac:dyDescent="0.2">
      <c r="J218"/>
      <c r="K218"/>
      <c r="L218"/>
      <c r="M218"/>
      <c r="N218"/>
      <c r="O218"/>
      <c r="P218" s="2"/>
      <c r="T218"/>
      <c r="U218"/>
      <c r="V218"/>
      <c r="X218"/>
    </row>
    <row r="219" spans="10:24" s="1" customFormat="1" x14ac:dyDescent="0.2">
      <c r="J219"/>
      <c r="K219"/>
      <c r="L219"/>
      <c r="M219"/>
      <c r="N219"/>
      <c r="O219"/>
      <c r="P219" s="2"/>
      <c r="T219"/>
      <c r="U219"/>
      <c r="V219"/>
      <c r="X219"/>
    </row>
    <row r="220" spans="10:24" s="1" customFormat="1" x14ac:dyDescent="0.2">
      <c r="J220"/>
      <c r="K220"/>
      <c r="L220"/>
      <c r="M220"/>
      <c r="N220"/>
      <c r="O220"/>
      <c r="P220" s="2"/>
      <c r="T220"/>
      <c r="U220"/>
      <c r="V220"/>
      <c r="X220"/>
    </row>
    <row r="221" spans="10:24" s="1" customFormat="1" x14ac:dyDescent="0.2">
      <c r="J221"/>
      <c r="K221"/>
      <c r="L221"/>
      <c r="M221"/>
      <c r="N221"/>
      <c r="O221"/>
      <c r="P221" s="2"/>
      <c r="T221"/>
      <c r="U221"/>
      <c r="V221"/>
      <c r="X221"/>
    </row>
    <row r="222" spans="10:24" s="1" customFormat="1" x14ac:dyDescent="0.2">
      <c r="J222"/>
      <c r="K222"/>
      <c r="L222"/>
      <c r="M222"/>
      <c r="N222"/>
      <c r="O222"/>
      <c r="P222" s="2"/>
      <c r="T222"/>
      <c r="U222"/>
      <c r="V222"/>
      <c r="X222"/>
    </row>
    <row r="223" spans="10:24" s="1" customFormat="1" x14ac:dyDescent="0.2">
      <c r="J223"/>
      <c r="K223"/>
      <c r="L223"/>
      <c r="M223"/>
      <c r="N223"/>
      <c r="O223"/>
      <c r="P223" s="2"/>
      <c r="T223"/>
      <c r="U223"/>
      <c r="V223"/>
      <c r="X223"/>
    </row>
    <row r="224" spans="10:24" s="1" customFormat="1" x14ac:dyDescent="0.2">
      <c r="J224"/>
      <c r="K224"/>
      <c r="L224"/>
      <c r="M224"/>
      <c r="N224"/>
      <c r="O224"/>
      <c r="P224" s="2"/>
      <c r="T224"/>
      <c r="U224"/>
      <c r="V224"/>
      <c r="X224"/>
    </row>
    <row r="225" spans="10:24" s="1" customFormat="1" x14ac:dyDescent="0.2">
      <c r="J225"/>
      <c r="K225"/>
      <c r="L225"/>
      <c r="M225"/>
      <c r="N225"/>
      <c r="O225"/>
      <c r="P225" s="2"/>
      <c r="T225"/>
      <c r="U225"/>
      <c r="V225"/>
      <c r="X225"/>
    </row>
    <row r="226" spans="10:24" s="1" customFormat="1" x14ac:dyDescent="0.2">
      <c r="J226"/>
      <c r="K226"/>
      <c r="L226"/>
      <c r="M226"/>
      <c r="N226"/>
      <c r="O226"/>
      <c r="P226" s="2"/>
      <c r="T226"/>
      <c r="U226"/>
      <c r="V226"/>
      <c r="X226"/>
    </row>
    <row r="227" spans="10:24" s="1" customFormat="1" x14ac:dyDescent="0.2">
      <c r="J227"/>
      <c r="K227"/>
      <c r="L227"/>
      <c r="M227"/>
      <c r="N227"/>
      <c r="O227"/>
      <c r="P227" s="2"/>
      <c r="T227"/>
      <c r="U227"/>
      <c r="V227"/>
      <c r="X227"/>
    </row>
    <row r="228" spans="10:24" s="1" customFormat="1" x14ac:dyDescent="0.2">
      <c r="J228"/>
      <c r="K228"/>
      <c r="L228"/>
      <c r="M228"/>
      <c r="N228"/>
      <c r="O228"/>
      <c r="P228" s="2"/>
      <c r="T228"/>
      <c r="U228"/>
      <c r="V228"/>
      <c r="X228"/>
    </row>
    <row r="229" spans="10:24" s="1" customFormat="1" x14ac:dyDescent="0.2">
      <c r="J229"/>
      <c r="K229"/>
      <c r="L229"/>
      <c r="M229"/>
      <c r="N229"/>
      <c r="O229"/>
      <c r="P229" s="2"/>
      <c r="T229"/>
      <c r="U229"/>
      <c r="V229"/>
      <c r="X229"/>
    </row>
    <row r="230" spans="10:24" s="1" customFormat="1" x14ac:dyDescent="0.2">
      <c r="J230"/>
      <c r="K230"/>
      <c r="L230"/>
      <c r="M230"/>
      <c r="N230"/>
      <c r="O230"/>
      <c r="P230" s="2"/>
      <c r="T230"/>
      <c r="U230"/>
      <c r="V230"/>
      <c r="X230"/>
    </row>
    <row r="231" spans="10:24" s="1" customFormat="1" x14ac:dyDescent="0.2">
      <c r="J231"/>
      <c r="K231"/>
      <c r="L231"/>
      <c r="M231"/>
      <c r="N231"/>
      <c r="O231"/>
      <c r="P231" s="2"/>
      <c r="T231"/>
      <c r="U231"/>
      <c r="V231"/>
      <c r="X231"/>
    </row>
    <row r="232" spans="10:24" s="1" customFormat="1" x14ac:dyDescent="0.2">
      <c r="J232"/>
      <c r="K232"/>
      <c r="L232"/>
      <c r="M232"/>
      <c r="N232"/>
      <c r="O232"/>
      <c r="P232" s="2"/>
      <c r="T232"/>
      <c r="U232"/>
      <c r="V232"/>
      <c r="X232"/>
    </row>
    <row r="233" spans="10:24" s="1" customFormat="1" x14ac:dyDescent="0.2">
      <c r="J233"/>
      <c r="K233"/>
      <c r="L233"/>
      <c r="M233"/>
      <c r="N233"/>
      <c r="O233"/>
      <c r="P233" s="2"/>
      <c r="T233"/>
      <c r="U233"/>
      <c r="V233"/>
      <c r="X233"/>
    </row>
    <row r="234" spans="10:24" s="1" customFormat="1" x14ac:dyDescent="0.2">
      <c r="J234"/>
      <c r="K234"/>
      <c r="L234"/>
      <c r="M234"/>
      <c r="N234"/>
      <c r="O234"/>
      <c r="P234" s="2"/>
      <c r="T234"/>
      <c r="U234"/>
      <c r="V234"/>
      <c r="X234"/>
    </row>
    <row r="235" spans="10:24" s="1" customFormat="1" x14ac:dyDescent="0.2">
      <c r="J235"/>
      <c r="K235"/>
      <c r="L235"/>
      <c r="M235"/>
      <c r="N235"/>
      <c r="O235"/>
      <c r="P235" s="2"/>
      <c r="T235"/>
      <c r="U235"/>
      <c r="V235"/>
      <c r="X235"/>
    </row>
    <row r="236" spans="10:24" s="1" customFormat="1" x14ac:dyDescent="0.2">
      <c r="J236"/>
      <c r="K236"/>
      <c r="L236"/>
      <c r="M236"/>
      <c r="N236"/>
      <c r="O236"/>
      <c r="P236" s="2"/>
      <c r="T236"/>
      <c r="U236"/>
      <c r="V236"/>
      <c r="X236"/>
    </row>
    <row r="237" spans="10:24" s="1" customFormat="1" x14ac:dyDescent="0.2">
      <c r="J237"/>
      <c r="K237"/>
      <c r="L237"/>
      <c r="M237"/>
      <c r="N237"/>
      <c r="O237"/>
      <c r="P237" s="2"/>
      <c r="T237"/>
      <c r="U237"/>
      <c r="V237"/>
      <c r="X237"/>
    </row>
    <row r="238" spans="10:24" s="1" customFormat="1" x14ac:dyDescent="0.2">
      <c r="J238"/>
      <c r="K238"/>
      <c r="L238"/>
      <c r="M238"/>
      <c r="N238"/>
      <c r="O238"/>
      <c r="P238" s="2"/>
      <c r="T238"/>
      <c r="U238"/>
      <c r="V238"/>
      <c r="X238"/>
    </row>
    <row r="239" spans="10:24" s="1" customFormat="1" x14ac:dyDescent="0.2">
      <c r="J239"/>
      <c r="K239"/>
      <c r="L239"/>
      <c r="M239"/>
      <c r="N239"/>
      <c r="O239"/>
      <c r="P239" s="2"/>
      <c r="T239"/>
      <c r="U239"/>
      <c r="V239"/>
      <c r="X239"/>
    </row>
    <row r="240" spans="10:24" s="1" customFormat="1" x14ac:dyDescent="0.2">
      <c r="J240"/>
      <c r="K240"/>
      <c r="L240"/>
      <c r="M240"/>
      <c r="N240"/>
      <c r="O240"/>
      <c r="P240" s="2"/>
      <c r="T240"/>
      <c r="U240"/>
      <c r="V240"/>
      <c r="X240"/>
    </row>
    <row r="241" spans="10:24" s="1" customFormat="1" x14ac:dyDescent="0.2">
      <c r="J241"/>
      <c r="K241"/>
      <c r="L241"/>
      <c r="M241"/>
      <c r="N241"/>
      <c r="O241"/>
      <c r="P241" s="2"/>
      <c r="T241"/>
      <c r="U241"/>
      <c r="V241"/>
      <c r="X241"/>
    </row>
    <row r="242" spans="10:24" s="1" customFormat="1" x14ac:dyDescent="0.2">
      <c r="J242"/>
      <c r="K242"/>
      <c r="L242"/>
      <c r="M242"/>
      <c r="N242"/>
      <c r="O242"/>
      <c r="P242" s="2"/>
      <c r="T242"/>
      <c r="U242"/>
      <c r="V242"/>
      <c r="X242"/>
    </row>
    <row r="243" spans="10:24" s="1" customFormat="1" x14ac:dyDescent="0.2">
      <c r="J243"/>
      <c r="K243"/>
      <c r="L243"/>
      <c r="M243"/>
      <c r="N243"/>
      <c r="O243"/>
      <c r="P243" s="2"/>
      <c r="T243"/>
      <c r="U243"/>
      <c r="V243"/>
      <c r="X243"/>
    </row>
    <row r="244" spans="10:24" s="1" customFormat="1" x14ac:dyDescent="0.2">
      <c r="J244"/>
      <c r="K244"/>
      <c r="L244"/>
      <c r="M244"/>
      <c r="N244"/>
      <c r="O244"/>
      <c r="P244" s="2"/>
      <c r="T244"/>
      <c r="U244"/>
      <c r="V244"/>
      <c r="X244"/>
    </row>
    <row r="245" spans="10:24" s="1" customFormat="1" x14ac:dyDescent="0.2">
      <c r="J245"/>
      <c r="K245"/>
      <c r="L245"/>
      <c r="M245"/>
      <c r="N245"/>
      <c r="O245"/>
      <c r="P245" s="2"/>
      <c r="T245"/>
      <c r="U245"/>
      <c r="V245"/>
      <c r="X245"/>
    </row>
    <row r="246" spans="10:24" s="1" customFormat="1" x14ac:dyDescent="0.2">
      <c r="J246"/>
      <c r="K246"/>
      <c r="L246"/>
      <c r="M246"/>
      <c r="N246"/>
      <c r="O246"/>
      <c r="P246" s="2"/>
      <c r="T246"/>
      <c r="U246"/>
      <c r="V246"/>
      <c r="X246"/>
    </row>
    <row r="247" spans="10:24" s="1" customFormat="1" x14ac:dyDescent="0.2">
      <c r="J247"/>
      <c r="K247"/>
      <c r="L247"/>
      <c r="M247"/>
      <c r="N247"/>
      <c r="O247"/>
      <c r="P247" s="2"/>
      <c r="T247"/>
      <c r="U247"/>
      <c r="V247"/>
      <c r="X247"/>
    </row>
    <row r="248" spans="10:24" s="1" customFormat="1" x14ac:dyDescent="0.2">
      <c r="J248"/>
      <c r="K248"/>
      <c r="L248"/>
      <c r="M248"/>
      <c r="N248"/>
      <c r="O248"/>
      <c r="P248" s="2"/>
      <c r="T248"/>
      <c r="U248"/>
      <c r="V248"/>
      <c r="X248"/>
    </row>
    <row r="249" spans="10:24" s="1" customFormat="1" x14ac:dyDescent="0.2">
      <c r="J249"/>
      <c r="K249"/>
      <c r="L249"/>
      <c r="M249"/>
      <c r="N249"/>
      <c r="O249"/>
      <c r="P249" s="2"/>
      <c r="T249"/>
      <c r="U249"/>
      <c r="V249"/>
      <c r="X249"/>
    </row>
    <row r="250" spans="10:24" s="1" customFormat="1" x14ac:dyDescent="0.2">
      <c r="J250"/>
      <c r="K250"/>
      <c r="L250"/>
      <c r="M250"/>
      <c r="N250"/>
      <c r="O250"/>
      <c r="P250" s="2"/>
      <c r="T250"/>
      <c r="U250"/>
      <c r="V250"/>
      <c r="X250"/>
    </row>
    <row r="251" spans="10:24" s="1" customFormat="1" x14ac:dyDescent="0.2">
      <c r="J251"/>
      <c r="K251"/>
      <c r="L251"/>
      <c r="M251"/>
      <c r="N251"/>
      <c r="O251"/>
      <c r="P251" s="2"/>
      <c r="T251"/>
      <c r="U251"/>
      <c r="V251"/>
      <c r="X251"/>
    </row>
    <row r="252" spans="10:24" s="1" customFormat="1" x14ac:dyDescent="0.2">
      <c r="J252"/>
      <c r="K252"/>
      <c r="L252"/>
      <c r="M252"/>
      <c r="N252"/>
      <c r="O252"/>
      <c r="P252" s="2"/>
      <c r="T252"/>
      <c r="U252"/>
      <c r="V252"/>
      <c r="X252"/>
    </row>
    <row r="253" spans="10:24" s="1" customFormat="1" x14ac:dyDescent="0.2">
      <c r="J253"/>
      <c r="K253"/>
      <c r="L253"/>
      <c r="M253"/>
      <c r="N253"/>
      <c r="O253"/>
      <c r="P253" s="2"/>
      <c r="T253"/>
      <c r="U253"/>
      <c r="V253"/>
      <c r="X253"/>
    </row>
    <row r="254" spans="10:24" s="1" customFormat="1" x14ac:dyDescent="0.2">
      <c r="J254"/>
      <c r="K254"/>
      <c r="L254"/>
      <c r="M254"/>
      <c r="N254"/>
      <c r="O254"/>
      <c r="P254" s="2"/>
      <c r="T254"/>
      <c r="U254"/>
      <c r="V254"/>
      <c r="X254"/>
    </row>
    <row r="255" spans="10:24" s="1" customFormat="1" x14ac:dyDescent="0.2">
      <c r="J255"/>
      <c r="K255"/>
      <c r="L255"/>
      <c r="M255"/>
      <c r="N255"/>
      <c r="O255"/>
      <c r="P255" s="2"/>
      <c r="T255"/>
      <c r="U255"/>
      <c r="V255"/>
      <c r="X255"/>
    </row>
    <row r="256" spans="10:24" s="1" customFormat="1" x14ac:dyDescent="0.2">
      <c r="J256"/>
      <c r="K256"/>
      <c r="L256"/>
      <c r="M256"/>
      <c r="N256"/>
      <c r="O256"/>
      <c r="P256" s="2"/>
      <c r="T256"/>
      <c r="U256"/>
      <c r="V256"/>
      <c r="X256"/>
    </row>
    <row r="257" spans="10:24" s="1" customFormat="1" x14ac:dyDescent="0.2">
      <c r="J257"/>
      <c r="K257"/>
      <c r="L257"/>
      <c r="M257"/>
      <c r="N257"/>
      <c r="O257"/>
      <c r="P257" s="2"/>
      <c r="T257"/>
      <c r="U257"/>
      <c r="V257"/>
      <c r="X257"/>
    </row>
    <row r="258" spans="10:24" s="1" customFormat="1" x14ac:dyDescent="0.2">
      <c r="J258"/>
      <c r="K258"/>
      <c r="L258"/>
      <c r="M258"/>
      <c r="N258"/>
      <c r="O258"/>
      <c r="P258" s="2"/>
      <c r="T258"/>
      <c r="U258"/>
      <c r="V258"/>
      <c r="X258"/>
    </row>
    <row r="259" spans="10:24" s="1" customFormat="1" x14ac:dyDescent="0.2">
      <c r="J259"/>
      <c r="K259"/>
      <c r="L259"/>
      <c r="M259"/>
      <c r="N259"/>
      <c r="O259"/>
      <c r="P259" s="2"/>
      <c r="T259"/>
      <c r="U259"/>
      <c r="V259"/>
      <c r="X259"/>
    </row>
    <row r="260" spans="10:24" s="1" customFormat="1" x14ac:dyDescent="0.2">
      <c r="J260"/>
      <c r="K260"/>
      <c r="L260"/>
      <c r="M260"/>
      <c r="N260"/>
      <c r="O260"/>
      <c r="P260" s="2"/>
      <c r="T260"/>
      <c r="U260"/>
      <c r="V260"/>
      <c r="X260"/>
    </row>
    <row r="261" spans="10:24" s="1" customFormat="1" x14ac:dyDescent="0.2">
      <c r="J261"/>
      <c r="K261"/>
      <c r="L261"/>
      <c r="M261"/>
      <c r="N261"/>
      <c r="O261"/>
      <c r="P261" s="2"/>
      <c r="T261"/>
      <c r="U261"/>
      <c r="V261"/>
      <c r="X261"/>
    </row>
    <row r="262" spans="10:24" s="1" customFormat="1" x14ac:dyDescent="0.2">
      <c r="J262"/>
      <c r="K262"/>
      <c r="L262"/>
      <c r="M262"/>
      <c r="N262"/>
      <c r="O262"/>
      <c r="P262" s="2"/>
      <c r="T262"/>
      <c r="U262"/>
      <c r="V262"/>
      <c r="X262"/>
    </row>
    <row r="263" spans="10:24" s="1" customFormat="1" x14ac:dyDescent="0.2">
      <c r="J263"/>
      <c r="K263"/>
      <c r="L263"/>
      <c r="M263"/>
      <c r="N263"/>
      <c r="O263"/>
      <c r="P263" s="2"/>
      <c r="T263"/>
      <c r="U263"/>
      <c r="V263"/>
      <c r="X263"/>
    </row>
    <row r="264" spans="10:24" s="1" customFormat="1" x14ac:dyDescent="0.2">
      <c r="J264"/>
      <c r="K264"/>
      <c r="L264"/>
      <c r="M264"/>
      <c r="N264"/>
      <c r="O264"/>
      <c r="P264" s="2"/>
      <c r="T264"/>
      <c r="U264"/>
      <c r="V264"/>
      <c r="X264"/>
    </row>
    <row r="265" spans="10:24" s="1" customFormat="1" x14ac:dyDescent="0.2">
      <c r="J265"/>
      <c r="K265"/>
      <c r="L265"/>
      <c r="M265"/>
      <c r="N265"/>
      <c r="O265"/>
      <c r="P265" s="2"/>
      <c r="T265"/>
      <c r="U265"/>
      <c r="V265"/>
      <c r="X265"/>
    </row>
    <row r="266" spans="10:24" s="1" customFormat="1" x14ac:dyDescent="0.2">
      <c r="J266"/>
      <c r="K266"/>
      <c r="L266"/>
      <c r="M266"/>
      <c r="N266"/>
      <c r="O266"/>
      <c r="P266" s="2"/>
      <c r="T266"/>
      <c r="U266"/>
      <c r="V266"/>
      <c r="X266"/>
    </row>
    <row r="267" spans="10:24" s="1" customFormat="1" x14ac:dyDescent="0.2">
      <c r="J267"/>
      <c r="K267"/>
      <c r="L267"/>
      <c r="M267"/>
      <c r="N267"/>
      <c r="O267"/>
      <c r="P267" s="2"/>
      <c r="T267"/>
      <c r="U267"/>
      <c r="V267"/>
      <c r="X267"/>
    </row>
    <row r="268" spans="10:24" s="1" customFormat="1" x14ac:dyDescent="0.2">
      <c r="J268"/>
      <c r="K268"/>
      <c r="L268"/>
      <c r="M268"/>
      <c r="N268"/>
      <c r="O268"/>
      <c r="P268" s="2"/>
      <c r="T268"/>
      <c r="U268"/>
      <c r="V268"/>
      <c r="X268"/>
    </row>
    <row r="269" spans="10:24" s="1" customFormat="1" x14ac:dyDescent="0.2">
      <c r="J269"/>
      <c r="K269"/>
      <c r="L269"/>
      <c r="M269"/>
      <c r="N269"/>
      <c r="O269"/>
      <c r="P269" s="2"/>
      <c r="T269"/>
      <c r="U269"/>
      <c r="V269"/>
      <c r="X269"/>
    </row>
    <row r="270" spans="10:24" s="1" customFormat="1" x14ac:dyDescent="0.2">
      <c r="J270"/>
      <c r="K270"/>
      <c r="L270"/>
      <c r="M270"/>
      <c r="N270"/>
      <c r="O270"/>
      <c r="P270" s="2"/>
      <c r="T270"/>
      <c r="U270"/>
      <c r="V270"/>
      <c r="X270"/>
    </row>
    <row r="271" spans="10:24" s="1" customFormat="1" x14ac:dyDescent="0.2">
      <c r="J271"/>
      <c r="K271"/>
      <c r="L271"/>
      <c r="M271"/>
      <c r="N271"/>
      <c r="O271"/>
      <c r="P271" s="2"/>
      <c r="T271"/>
      <c r="U271"/>
      <c r="V271"/>
      <c r="X271"/>
    </row>
    <row r="272" spans="10:24" s="1" customFormat="1" x14ac:dyDescent="0.2">
      <c r="J272"/>
      <c r="K272"/>
      <c r="L272"/>
      <c r="M272"/>
      <c r="N272"/>
      <c r="O272"/>
      <c r="P272" s="2"/>
      <c r="T272"/>
      <c r="U272"/>
      <c r="V272"/>
      <c r="X272"/>
    </row>
    <row r="273" spans="10:24" s="1" customFormat="1" x14ac:dyDescent="0.2">
      <c r="J273"/>
      <c r="K273"/>
      <c r="L273"/>
      <c r="M273"/>
      <c r="N273"/>
      <c r="O273"/>
      <c r="P273" s="2"/>
      <c r="T273"/>
      <c r="U273"/>
      <c r="V273"/>
      <c r="X273"/>
    </row>
    <row r="274" spans="10:24" s="1" customFormat="1" x14ac:dyDescent="0.2">
      <c r="J274"/>
      <c r="K274"/>
      <c r="L274"/>
      <c r="M274"/>
      <c r="N274"/>
      <c r="O274"/>
      <c r="P274" s="2"/>
      <c r="T274"/>
      <c r="U274"/>
      <c r="V274"/>
      <c r="X274"/>
    </row>
    <row r="275" spans="10:24" s="1" customFormat="1" x14ac:dyDescent="0.2">
      <c r="J275"/>
      <c r="K275"/>
      <c r="L275"/>
      <c r="M275"/>
      <c r="N275"/>
      <c r="O275"/>
      <c r="P275" s="2"/>
      <c r="T275"/>
      <c r="U275"/>
      <c r="V275"/>
      <c r="X275"/>
    </row>
    <row r="276" spans="10:24" s="1" customFormat="1" x14ac:dyDescent="0.2">
      <c r="J276"/>
      <c r="K276"/>
      <c r="L276"/>
      <c r="M276"/>
      <c r="N276"/>
      <c r="O276"/>
      <c r="P276" s="2"/>
      <c r="T276"/>
      <c r="U276"/>
      <c r="V276"/>
      <c r="X276"/>
    </row>
    <row r="277" spans="10:24" s="1" customFormat="1" x14ac:dyDescent="0.2">
      <c r="J277"/>
      <c r="K277"/>
      <c r="L277"/>
      <c r="M277"/>
      <c r="N277"/>
      <c r="O277"/>
      <c r="P277" s="2"/>
      <c r="T277"/>
      <c r="U277"/>
      <c r="V277"/>
      <c r="X277"/>
    </row>
    <row r="278" spans="10:24" s="1" customFormat="1" x14ac:dyDescent="0.2">
      <c r="J278"/>
      <c r="K278"/>
      <c r="L278"/>
      <c r="M278"/>
      <c r="N278"/>
      <c r="O278"/>
      <c r="P278" s="2"/>
      <c r="T278"/>
      <c r="U278"/>
      <c r="V278"/>
      <c r="X278"/>
    </row>
    <row r="279" spans="10:24" s="1" customFormat="1" x14ac:dyDescent="0.2">
      <c r="J279"/>
      <c r="K279"/>
      <c r="L279"/>
      <c r="M279"/>
      <c r="N279"/>
      <c r="O279"/>
      <c r="P279" s="2"/>
      <c r="T279"/>
      <c r="U279"/>
      <c r="V279"/>
      <c r="X279"/>
    </row>
    <row r="280" spans="10:24" s="1" customFormat="1" x14ac:dyDescent="0.2">
      <c r="J280"/>
      <c r="K280"/>
      <c r="L280"/>
      <c r="M280"/>
      <c r="N280"/>
      <c r="O280"/>
      <c r="P280" s="2"/>
      <c r="T280"/>
      <c r="U280"/>
      <c r="V280"/>
      <c r="X280"/>
    </row>
    <row r="281" spans="10:24" s="1" customFormat="1" x14ac:dyDescent="0.2">
      <c r="J281"/>
      <c r="K281"/>
      <c r="L281"/>
      <c r="M281"/>
      <c r="N281"/>
      <c r="O281"/>
      <c r="P281" s="2"/>
      <c r="T281"/>
      <c r="U281"/>
      <c r="V281"/>
      <c r="X281"/>
    </row>
    <row r="282" spans="10:24" s="1" customFormat="1" x14ac:dyDescent="0.2">
      <c r="J282"/>
      <c r="K282"/>
      <c r="L282"/>
      <c r="M282"/>
      <c r="N282"/>
      <c r="O282"/>
      <c r="P282" s="2"/>
      <c r="T282"/>
      <c r="U282"/>
      <c r="V282"/>
      <c r="X282"/>
    </row>
    <row r="283" spans="10:24" s="1" customFormat="1" x14ac:dyDescent="0.2">
      <c r="J283"/>
      <c r="K283"/>
      <c r="L283"/>
      <c r="M283"/>
      <c r="N283"/>
      <c r="O283"/>
      <c r="P283" s="2"/>
      <c r="T283"/>
      <c r="U283"/>
      <c r="V283"/>
      <c r="X283"/>
    </row>
    <row r="284" spans="10:24" s="1" customFormat="1" x14ac:dyDescent="0.2">
      <c r="J284"/>
      <c r="K284"/>
      <c r="L284"/>
      <c r="M284"/>
      <c r="N284"/>
      <c r="O284"/>
      <c r="P284" s="2"/>
      <c r="T284"/>
      <c r="U284"/>
      <c r="V284"/>
      <c r="X284"/>
    </row>
    <row r="285" spans="10:24" s="1" customFormat="1" x14ac:dyDescent="0.2">
      <c r="J285"/>
      <c r="K285"/>
      <c r="L285"/>
      <c r="M285"/>
      <c r="N285"/>
      <c r="O285"/>
      <c r="P285" s="2"/>
      <c r="T285"/>
      <c r="U285"/>
      <c r="V285"/>
      <c r="X285"/>
    </row>
    <row r="286" spans="10:24" s="1" customFormat="1" x14ac:dyDescent="0.2">
      <c r="J286"/>
      <c r="K286"/>
      <c r="L286"/>
      <c r="M286"/>
      <c r="N286"/>
      <c r="O286"/>
      <c r="P286" s="2"/>
      <c r="T286"/>
      <c r="U286"/>
      <c r="V286"/>
      <c r="X286"/>
    </row>
    <row r="287" spans="10:24" s="1" customFormat="1" x14ac:dyDescent="0.2">
      <c r="J287"/>
      <c r="K287"/>
      <c r="L287"/>
      <c r="M287"/>
      <c r="N287"/>
      <c r="O287"/>
      <c r="P287" s="2"/>
      <c r="T287"/>
      <c r="U287"/>
      <c r="V287"/>
      <c r="X287"/>
    </row>
    <row r="288" spans="10:24" s="1" customFormat="1" x14ac:dyDescent="0.2">
      <c r="J288"/>
      <c r="K288"/>
      <c r="L288"/>
      <c r="M288"/>
      <c r="N288"/>
      <c r="O288"/>
      <c r="P288" s="2"/>
      <c r="T288"/>
      <c r="U288"/>
      <c r="V288"/>
      <c r="X288"/>
    </row>
    <row r="289" spans="10:24" s="1" customFormat="1" x14ac:dyDescent="0.2">
      <c r="J289"/>
      <c r="K289"/>
      <c r="L289"/>
      <c r="M289"/>
      <c r="N289"/>
      <c r="O289"/>
      <c r="P289" s="2"/>
      <c r="T289"/>
      <c r="U289"/>
      <c r="V289"/>
      <c r="X289"/>
    </row>
    <row r="290" spans="10:24" s="1" customFormat="1" x14ac:dyDescent="0.2">
      <c r="J290"/>
      <c r="K290"/>
      <c r="L290"/>
      <c r="M290"/>
      <c r="N290"/>
      <c r="O290"/>
      <c r="P290" s="2"/>
      <c r="T290"/>
      <c r="U290"/>
      <c r="V290"/>
      <c r="X290"/>
    </row>
    <row r="291" spans="10:24" s="1" customFormat="1" x14ac:dyDescent="0.2">
      <c r="J291"/>
      <c r="K291"/>
      <c r="L291"/>
      <c r="M291"/>
      <c r="N291"/>
      <c r="O291"/>
      <c r="P291" s="2"/>
      <c r="T291"/>
      <c r="U291"/>
      <c r="V291"/>
      <c r="X291"/>
    </row>
    <row r="292" spans="10:24" s="1" customFormat="1" x14ac:dyDescent="0.2">
      <c r="J292"/>
      <c r="K292"/>
      <c r="L292"/>
      <c r="M292"/>
      <c r="N292"/>
      <c r="O292"/>
      <c r="P292" s="2"/>
      <c r="T292"/>
      <c r="U292"/>
      <c r="V292"/>
      <c r="X292"/>
    </row>
    <row r="293" spans="10:24" s="1" customFormat="1" x14ac:dyDescent="0.2">
      <c r="J293"/>
      <c r="K293"/>
      <c r="L293"/>
      <c r="M293"/>
      <c r="N293"/>
      <c r="O293"/>
      <c r="P293" s="2"/>
      <c r="T293"/>
      <c r="U293"/>
      <c r="V293"/>
      <c r="X293"/>
    </row>
    <row r="294" spans="10:24" s="1" customFormat="1" x14ac:dyDescent="0.2">
      <c r="J294"/>
      <c r="K294"/>
      <c r="L294"/>
      <c r="M294"/>
      <c r="N294"/>
      <c r="O294"/>
      <c r="P294" s="2"/>
      <c r="T294"/>
      <c r="U294"/>
      <c r="V294"/>
      <c r="X294"/>
    </row>
    <row r="295" spans="10:24" s="1" customFormat="1" x14ac:dyDescent="0.2">
      <c r="J295"/>
      <c r="K295"/>
      <c r="L295"/>
      <c r="M295"/>
      <c r="N295"/>
      <c r="O295"/>
      <c r="P295" s="2"/>
      <c r="T295"/>
      <c r="U295"/>
      <c r="V295"/>
      <c r="X295"/>
    </row>
    <row r="296" spans="10:24" s="1" customFormat="1" x14ac:dyDescent="0.2">
      <c r="J296"/>
      <c r="K296"/>
      <c r="L296"/>
      <c r="M296"/>
      <c r="N296"/>
      <c r="O296"/>
      <c r="P296" s="2"/>
      <c r="T296"/>
      <c r="U296"/>
      <c r="V296"/>
      <c r="X296"/>
    </row>
    <row r="297" spans="10:24" s="1" customFormat="1" x14ac:dyDescent="0.2">
      <c r="J297"/>
      <c r="K297"/>
      <c r="L297"/>
      <c r="M297"/>
      <c r="N297"/>
      <c r="O297"/>
      <c r="P297" s="2"/>
      <c r="T297"/>
      <c r="U297"/>
      <c r="V297"/>
      <c r="X297"/>
    </row>
    <row r="298" spans="10:24" s="1" customFormat="1" x14ac:dyDescent="0.2">
      <c r="J298"/>
      <c r="K298"/>
      <c r="L298"/>
      <c r="M298"/>
      <c r="N298"/>
      <c r="O298"/>
      <c r="P298" s="2"/>
      <c r="T298"/>
      <c r="U298"/>
      <c r="V298"/>
      <c r="X298"/>
    </row>
    <row r="299" spans="10:24" s="1" customFormat="1" x14ac:dyDescent="0.2">
      <c r="J299"/>
      <c r="K299"/>
      <c r="L299"/>
      <c r="M299"/>
      <c r="N299"/>
      <c r="O299"/>
      <c r="P299" s="2"/>
      <c r="T299"/>
      <c r="U299"/>
      <c r="V299"/>
      <c r="X299"/>
    </row>
    <row r="300" spans="10:24" s="1" customFormat="1" x14ac:dyDescent="0.2">
      <c r="J300"/>
      <c r="K300"/>
      <c r="L300"/>
      <c r="M300"/>
      <c r="N300"/>
      <c r="O300"/>
      <c r="P300" s="2"/>
      <c r="T300"/>
      <c r="U300"/>
      <c r="V300"/>
      <c r="X300"/>
    </row>
    <row r="301" spans="10:24" s="1" customFormat="1" x14ac:dyDescent="0.2">
      <c r="J301"/>
      <c r="K301"/>
      <c r="L301"/>
      <c r="M301"/>
      <c r="N301"/>
      <c r="O301"/>
      <c r="P301" s="2"/>
      <c r="T301"/>
      <c r="U301"/>
      <c r="V301"/>
      <c r="X301"/>
    </row>
    <row r="302" spans="10:24" s="1" customFormat="1" x14ac:dyDescent="0.2">
      <c r="J302"/>
      <c r="K302"/>
      <c r="L302"/>
      <c r="M302"/>
      <c r="N302"/>
      <c r="O302"/>
      <c r="P302" s="2"/>
      <c r="T302"/>
      <c r="U302"/>
      <c r="V302"/>
      <c r="X302"/>
    </row>
    <row r="303" spans="10:24" s="1" customFormat="1" x14ac:dyDescent="0.2">
      <c r="J303"/>
      <c r="K303"/>
      <c r="L303"/>
      <c r="M303"/>
      <c r="N303"/>
      <c r="O303"/>
      <c r="P303" s="2"/>
      <c r="T303"/>
      <c r="U303"/>
      <c r="V303"/>
      <c r="X303"/>
    </row>
    <row r="304" spans="10:24" s="1" customFormat="1" x14ac:dyDescent="0.2">
      <c r="J304"/>
      <c r="K304"/>
      <c r="L304"/>
      <c r="M304"/>
      <c r="N304"/>
      <c r="O304"/>
      <c r="P304" s="2"/>
      <c r="T304"/>
      <c r="U304"/>
      <c r="V304"/>
      <c r="X304"/>
    </row>
    <row r="305" spans="10:24" s="1" customFormat="1" x14ac:dyDescent="0.2">
      <c r="J305"/>
      <c r="K305"/>
      <c r="L305"/>
      <c r="M305"/>
      <c r="N305"/>
      <c r="O305"/>
      <c r="P305" s="2"/>
      <c r="T305"/>
      <c r="U305"/>
      <c r="V305"/>
      <c r="X305"/>
    </row>
    <row r="306" spans="10:24" s="1" customFormat="1" x14ac:dyDescent="0.2">
      <c r="J306"/>
      <c r="K306"/>
      <c r="L306"/>
      <c r="M306"/>
      <c r="N306"/>
      <c r="O306"/>
      <c r="P306" s="2"/>
      <c r="T306"/>
      <c r="U306"/>
      <c r="V306"/>
      <c r="X306"/>
    </row>
    <row r="307" spans="10:24" s="1" customFormat="1" x14ac:dyDescent="0.2">
      <c r="J307"/>
      <c r="K307"/>
      <c r="L307"/>
      <c r="M307"/>
      <c r="N307"/>
      <c r="O307"/>
      <c r="P307" s="2"/>
      <c r="T307"/>
      <c r="U307"/>
      <c r="V307"/>
      <c r="X307"/>
    </row>
    <row r="308" spans="10:24" s="1" customFormat="1" x14ac:dyDescent="0.2">
      <c r="J308"/>
      <c r="K308"/>
      <c r="L308"/>
      <c r="M308"/>
      <c r="N308"/>
      <c r="O308"/>
      <c r="P308" s="2"/>
      <c r="T308"/>
      <c r="U308"/>
      <c r="V308"/>
      <c r="X308"/>
    </row>
    <row r="309" spans="10:24" s="1" customFormat="1" x14ac:dyDescent="0.2">
      <c r="J309"/>
      <c r="K309"/>
      <c r="L309"/>
      <c r="M309"/>
      <c r="N309"/>
      <c r="O309"/>
      <c r="P309" s="2"/>
      <c r="T309"/>
      <c r="U309"/>
      <c r="V309"/>
      <c r="X309"/>
    </row>
    <row r="310" spans="10:24" s="1" customFormat="1" x14ac:dyDescent="0.2">
      <c r="J310"/>
      <c r="K310"/>
      <c r="L310"/>
      <c r="M310"/>
      <c r="N310"/>
      <c r="O310"/>
      <c r="P310" s="2"/>
      <c r="T310"/>
      <c r="U310"/>
      <c r="V310"/>
      <c r="X310"/>
    </row>
    <row r="311" spans="10:24" s="1" customFormat="1" x14ac:dyDescent="0.2">
      <c r="J311"/>
      <c r="K311"/>
      <c r="L311"/>
      <c r="M311"/>
      <c r="N311"/>
      <c r="O311"/>
      <c r="P311" s="2"/>
      <c r="T311"/>
      <c r="U311"/>
      <c r="V311"/>
      <c r="X311"/>
    </row>
    <row r="312" spans="10:24" s="1" customFormat="1" x14ac:dyDescent="0.2">
      <c r="J312"/>
      <c r="K312"/>
      <c r="L312"/>
      <c r="M312"/>
      <c r="N312"/>
      <c r="O312"/>
      <c r="P312" s="2"/>
      <c r="T312"/>
      <c r="U312"/>
      <c r="V312"/>
      <c r="X312"/>
    </row>
    <row r="313" spans="10:24" s="1" customFormat="1" x14ac:dyDescent="0.2">
      <c r="J313"/>
      <c r="K313"/>
      <c r="L313"/>
      <c r="M313"/>
      <c r="N313"/>
      <c r="O313"/>
      <c r="P313" s="2"/>
      <c r="T313"/>
      <c r="U313"/>
      <c r="V313"/>
      <c r="X313"/>
    </row>
    <row r="314" spans="10:24" s="1" customFormat="1" x14ac:dyDescent="0.2">
      <c r="J314"/>
      <c r="K314"/>
      <c r="L314"/>
      <c r="M314"/>
      <c r="N314"/>
      <c r="O314"/>
      <c r="P314" s="2"/>
      <c r="T314"/>
      <c r="U314"/>
      <c r="V314"/>
      <c r="X314"/>
    </row>
    <row r="315" spans="10:24" s="1" customFormat="1" x14ac:dyDescent="0.2">
      <c r="J315"/>
      <c r="K315"/>
      <c r="L315"/>
      <c r="M315"/>
      <c r="N315"/>
      <c r="O315"/>
      <c r="P315" s="2"/>
      <c r="T315"/>
      <c r="U315"/>
      <c r="V315"/>
      <c r="X315"/>
    </row>
    <row r="316" spans="10:24" s="1" customFormat="1" x14ac:dyDescent="0.2">
      <c r="J316"/>
      <c r="K316"/>
      <c r="L316"/>
      <c r="M316"/>
      <c r="N316"/>
      <c r="O316"/>
      <c r="P316" s="2"/>
      <c r="T316"/>
      <c r="U316"/>
      <c r="V316"/>
      <c r="X316"/>
    </row>
    <row r="317" spans="10:24" s="1" customFormat="1" x14ac:dyDescent="0.2">
      <c r="J317"/>
      <c r="K317"/>
      <c r="L317"/>
      <c r="M317"/>
      <c r="N317"/>
      <c r="O317"/>
      <c r="P317" s="2"/>
      <c r="T317"/>
      <c r="U317"/>
      <c r="V317"/>
      <c r="X317"/>
    </row>
    <row r="318" spans="10:24" s="1" customFormat="1" x14ac:dyDescent="0.2">
      <c r="J318"/>
      <c r="K318"/>
      <c r="L318"/>
      <c r="M318"/>
      <c r="N318"/>
      <c r="O318"/>
      <c r="P318" s="2"/>
      <c r="T318"/>
      <c r="U318"/>
      <c r="V318"/>
      <c r="X318"/>
    </row>
    <row r="319" spans="10:24" s="1" customFormat="1" x14ac:dyDescent="0.2">
      <c r="J319"/>
      <c r="K319"/>
      <c r="L319"/>
      <c r="M319"/>
      <c r="N319"/>
      <c r="O319"/>
      <c r="P319" s="2"/>
      <c r="T319"/>
      <c r="U319"/>
      <c r="V319"/>
      <c r="X319"/>
    </row>
    <row r="320" spans="10:24" s="1" customFormat="1" x14ac:dyDescent="0.2">
      <c r="J320"/>
      <c r="K320"/>
      <c r="L320"/>
      <c r="M320"/>
      <c r="N320"/>
      <c r="O320"/>
      <c r="P320" s="2"/>
      <c r="T320"/>
      <c r="U320"/>
      <c r="V320"/>
      <c r="X320"/>
    </row>
    <row r="321" spans="10:24" s="1" customFormat="1" x14ac:dyDescent="0.2">
      <c r="J321"/>
      <c r="K321"/>
      <c r="L321"/>
      <c r="M321"/>
      <c r="N321"/>
      <c r="O321"/>
      <c r="P321" s="2"/>
      <c r="T321"/>
      <c r="U321"/>
      <c r="V321"/>
      <c r="X321"/>
    </row>
    <row r="322" spans="10:24" s="1" customFormat="1" x14ac:dyDescent="0.2">
      <c r="J322"/>
      <c r="K322"/>
      <c r="L322"/>
      <c r="M322"/>
      <c r="N322"/>
      <c r="O322"/>
      <c r="P322" s="2"/>
      <c r="T322"/>
      <c r="U322"/>
      <c r="V322"/>
      <c r="X322"/>
    </row>
    <row r="323" spans="10:24" s="1" customFormat="1" x14ac:dyDescent="0.2">
      <c r="J323"/>
      <c r="K323"/>
      <c r="L323"/>
      <c r="M323"/>
      <c r="N323"/>
      <c r="O323"/>
      <c r="P323" s="2"/>
      <c r="T323"/>
      <c r="U323"/>
      <c r="V323"/>
      <c r="X323"/>
    </row>
    <row r="324" spans="10:24" s="1" customFormat="1" x14ac:dyDescent="0.2">
      <c r="J324"/>
      <c r="K324"/>
      <c r="L324"/>
      <c r="M324"/>
      <c r="N324"/>
      <c r="O324"/>
      <c r="P324" s="2"/>
      <c r="T324"/>
      <c r="U324"/>
      <c r="V324"/>
      <c r="X324"/>
    </row>
    <row r="325" spans="10:24" s="1" customFormat="1" x14ac:dyDescent="0.2">
      <c r="J325"/>
      <c r="K325"/>
      <c r="L325"/>
      <c r="M325"/>
      <c r="N325"/>
      <c r="O325"/>
      <c r="P325" s="2"/>
      <c r="T325"/>
      <c r="U325"/>
      <c r="V325"/>
      <c r="X325"/>
    </row>
    <row r="326" spans="10:24" s="1" customFormat="1" x14ac:dyDescent="0.2">
      <c r="J326"/>
      <c r="K326"/>
      <c r="L326"/>
      <c r="M326"/>
      <c r="N326"/>
      <c r="O326"/>
      <c r="P326" s="2"/>
      <c r="T326"/>
      <c r="U326"/>
      <c r="V326"/>
      <c r="X326"/>
    </row>
    <row r="327" spans="10:24" s="1" customFormat="1" x14ac:dyDescent="0.2">
      <c r="J327"/>
      <c r="K327"/>
      <c r="L327"/>
      <c r="M327"/>
      <c r="N327"/>
      <c r="O327"/>
      <c r="P327" s="2"/>
      <c r="T327"/>
      <c r="U327"/>
      <c r="V327"/>
      <c r="X327"/>
    </row>
    <row r="328" spans="10:24" s="1" customFormat="1" x14ac:dyDescent="0.2">
      <c r="J328"/>
      <c r="K328"/>
      <c r="L328"/>
      <c r="M328"/>
      <c r="N328"/>
      <c r="O328"/>
      <c r="P328" s="2"/>
      <c r="T328"/>
      <c r="U328"/>
      <c r="V328"/>
      <c r="X328"/>
    </row>
    <row r="329" spans="10:24" s="1" customFormat="1" x14ac:dyDescent="0.2">
      <c r="J329"/>
      <c r="K329"/>
      <c r="L329"/>
      <c r="M329"/>
      <c r="N329"/>
      <c r="O329"/>
      <c r="P329" s="2"/>
      <c r="T329"/>
      <c r="U329"/>
      <c r="V329"/>
      <c r="X329"/>
    </row>
    <row r="330" spans="10:24" s="1" customFormat="1" x14ac:dyDescent="0.2">
      <c r="J330"/>
      <c r="K330"/>
      <c r="L330"/>
      <c r="M330"/>
      <c r="N330"/>
      <c r="O330"/>
      <c r="P330" s="2"/>
      <c r="T330"/>
      <c r="U330"/>
      <c r="V330"/>
      <c r="X330"/>
    </row>
    <row r="331" spans="10:24" s="1" customFormat="1" x14ac:dyDescent="0.2">
      <c r="J331"/>
      <c r="K331"/>
      <c r="L331"/>
      <c r="M331"/>
      <c r="N331"/>
      <c r="O331"/>
      <c r="P331" s="2"/>
      <c r="T331"/>
      <c r="U331"/>
      <c r="V331"/>
      <c r="X331"/>
    </row>
    <row r="332" spans="10:24" s="1" customFormat="1" x14ac:dyDescent="0.2">
      <c r="J332"/>
      <c r="K332"/>
      <c r="L332"/>
      <c r="M332"/>
      <c r="N332"/>
      <c r="O332"/>
      <c r="P332" s="2"/>
      <c r="T332"/>
      <c r="U332"/>
      <c r="V332"/>
      <c r="X332"/>
    </row>
    <row r="333" spans="10:24" s="1" customFormat="1" x14ac:dyDescent="0.2">
      <c r="J333"/>
      <c r="K333"/>
      <c r="L333"/>
      <c r="M333"/>
      <c r="N333"/>
      <c r="O333"/>
      <c r="P333" s="2"/>
      <c r="T333"/>
      <c r="U333"/>
      <c r="V333"/>
      <c r="X333"/>
    </row>
    <row r="334" spans="10:24" s="1" customFormat="1" x14ac:dyDescent="0.2">
      <c r="J334"/>
      <c r="K334"/>
      <c r="L334"/>
      <c r="M334"/>
      <c r="N334"/>
      <c r="O334"/>
      <c r="P334" s="2"/>
      <c r="T334"/>
      <c r="U334"/>
      <c r="V334"/>
      <c r="X334"/>
    </row>
    <row r="335" spans="10:24" s="1" customFormat="1" x14ac:dyDescent="0.2">
      <c r="J335"/>
      <c r="K335"/>
      <c r="L335"/>
      <c r="M335"/>
      <c r="N335"/>
      <c r="O335"/>
      <c r="P335" s="2"/>
      <c r="T335"/>
      <c r="U335"/>
      <c r="V335"/>
      <c r="X335"/>
    </row>
    <row r="336" spans="10:24" s="1" customFormat="1" x14ac:dyDescent="0.2">
      <c r="J336"/>
      <c r="K336"/>
      <c r="L336"/>
      <c r="M336"/>
      <c r="N336"/>
      <c r="O336"/>
      <c r="P336" s="2"/>
      <c r="T336"/>
      <c r="U336"/>
      <c r="V336"/>
      <c r="X336"/>
    </row>
    <row r="337" spans="10:24" s="1" customFormat="1" x14ac:dyDescent="0.2">
      <c r="J337"/>
      <c r="K337"/>
      <c r="L337"/>
      <c r="M337"/>
      <c r="N337"/>
      <c r="O337"/>
      <c r="P337" s="2"/>
      <c r="T337"/>
      <c r="U337"/>
      <c r="V337"/>
      <c r="X337"/>
    </row>
    <row r="338" spans="10:24" s="1" customFormat="1" x14ac:dyDescent="0.2">
      <c r="J338"/>
      <c r="K338"/>
      <c r="L338"/>
      <c r="M338"/>
      <c r="N338"/>
      <c r="O338"/>
      <c r="P338" s="2"/>
      <c r="T338"/>
      <c r="U338"/>
      <c r="V338"/>
      <c r="X338"/>
    </row>
    <row r="339" spans="10:24" s="1" customFormat="1" x14ac:dyDescent="0.2">
      <c r="J339"/>
      <c r="K339"/>
      <c r="L339"/>
      <c r="M339"/>
      <c r="N339"/>
      <c r="O339"/>
      <c r="P339" s="2"/>
      <c r="T339"/>
      <c r="U339"/>
      <c r="V339"/>
      <c r="X339"/>
    </row>
    <row r="340" spans="10:24" s="1" customFormat="1" x14ac:dyDescent="0.2">
      <c r="J340"/>
      <c r="K340"/>
      <c r="L340"/>
      <c r="M340"/>
      <c r="N340"/>
      <c r="O340"/>
      <c r="P340" s="2"/>
      <c r="T340"/>
      <c r="U340"/>
      <c r="V340"/>
      <c r="X340"/>
    </row>
    <row r="341" spans="10:24" s="1" customFormat="1" x14ac:dyDescent="0.2">
      <c r="J341"/>
      <c r="K341"/>
      <c r="L341"/>
      <c r="M341"/>
      <c r="N341"/>
      <c r="O341"/>
      <c r="P341" s="2"/>
      <c r="T341"/>
      <c r="U341"/>
      <c r="V341"/>
      <c r="X341"/>
    </row>
    <row r="342" spans="10:24" s="1" customFormat="1" x14ac:dyDescent="0.2">
      <c r="J342"/>
      <c r="K342"/>
      <c r="L342"/>
      <c r="M342"/>
      <c r="N342"/>
      <c r="O342"/>
      <c r="P342" s="2"/>
      <c r="T342"/>
      <c r="U342"/>
      <c r="V342"/>
      <c r="X342"/>
    </row>
    <row r="343" spans="10:24" s="1" customFormat="1" x14ac:dyDescent="0.2">
      <c r="J343"/>
      <c r="K343"/>
      <c r="L343"/>
      <c r="M343"/>
      <c r="N343"/>
      <c r="O343"/>
      <c r="P343" s="2"/>
      <c r="T343"/>
      <c r="U343"/>
      <c r="V343"/>
      <c r="X343"/>
    </row>
    <row r="344" spans="10:24" s="1" customFormat="1" x14ac:dyDescent="0.2">
      <c r="J344"/>
      <c r="K344"/>
      <c r="L344"/>
      <c r="M344"/>
      <c r="N344"/>
      <c r="O344"/>
      <c r="P344" s="2"/>
      <c r="T344"/>
      <c r="U344"/>
      <c r="V344"/>
      <c r="X344"/>
    </row>
    <row r="345" spans="10:24" s="1" customFormat="1" x14ac:dyDescent="0.2">
      <c r="J345"/>
      <c r="K345"/>
      <c r="L345"/>
      <c r="M345"/>
      <c r="N345"/>
      <c r="O345"/>
      <c r="P345" s="2"/>
      <c r="T345"/>
      <c r="U345"/>
      <c r="V345"/>
      <c r="X345"/>
    </row>
    <row r="346" spans="10:24" s="1" customFormat="1" x14ac:dyDescent="0.2">
      <c r="J346"/>
      <c r="K346"/>
      <c r="L346"/>
      <c r="M346"/>
      <c r="N346"/>
      <c r="O346"/>
      <c r="P346" s="2"/>
      <c r="T346"/>
      <c r="U346"/>
      <c r="V346"/>
      <c r="X346"/>
    </row>
    <row r="347" spans="10:24" s="1" customFormat="1" x14ac:dyDescent="0.2">
      <c r="J347"/>
      <c r="K347"/>
      <c r="L347"/>
      <c r="M347"/>
      <c r="N347"/>
      <c r="O347"/>
      <c r="P347" s="2"/>
      <c r="T347"/>
      <c r="U347"/>
      <c r="V347"/>
      <c r="X347"/>
    </row>
    <row r="348" spans="10:24" s="1" customFormat="1" x14ac:dyDescent="0.2">
      <c r="J348"/>
      <c r="K348"/>
      <c r="L348"/>
      <c r="M348"/>
      <c r="N348"/>
      <c r="O348"/>
      <c r="P348" s="2"/>
      <c r="T348"/>
      <c r="U348"/>
      <c r="V348"/>
      <c r="X348"/>
    </row>
    <row r="349" spans="10:24" s="1" customFormat="1" x14ac:dyDescent="0.2">
      <c r="J349"/>
      <c r="K349"/>
      <c r="L349"/>
      <c r="M349"/>
      <c r="N349"/>
      <c r="O349"/>
      <c r="P349" s="2"/>
      <c r="T349"/>
      <c r="U349"/>
      <c r="V349"/>
      <c r="X349"/>
    </row>
    <row r="350" spans="10:24" s="1" customFormat="1" x14ac:dyDescent="0.2">
      <c r="J350"/>
      <c r="K350"/>
      <c r="L350"/>
      <c r="M350"/>
      <c r="N350"/>
      <c r="O350"/>
      <c r="P350" s="2"/>
      <c r="T350"/>
      <c r="U350"/>
      <c r="V350"/>
      <c r="X350"/>
    </row>
    <row r="351" spans="10:24" s="1" customFormat="1" x14ac:dyDescent="0.2">
      <c r="J351"/>
      <c r="K351"/>
      <c r="L351"/>
      <c r="M351"/>
      <c r="N351"/>
      <c r="O351"/>
      <c r="P351" s="2"/>
      <c r="T351"/>
      <c r="U351"/>
      <c r="V351"/>
      <c r="X351"/>
    </row>
    <row r="352" spans="10:24" s="1" customFormat="1" x14ac:dyDescent="0.2">
      <c r="J352"/>
      <c r="K352"/>
      <c r="L352"/>
      <c r="M352"/>
      <c r="N352"/>
      <c r="O352"/>
      <c r="P352" s="2"/>
      <c r="T352"/>
      <c r="U352"/>
      <c r="V352"/>
      <c r="X352"/>
    </row>
    <row r="353" spans="10:24" s="1" customFormat="1" x14ac:dyDescent="0.2">
      <c r="J353"/>
      <c r="K353"/>
      <c r="L353"/>
      <c r="M353"/>
      <c r="N353"/>
      <c r="O353"/>
      <c r="P353" s="2"/>
      <c r="T353"/>
      <c r="U353"/>
      <c r="V353"/>
      <c r="X353"/>
    </row>
    <row r="354" spans="10:24" s="1" customFormat="1" x14ac:dyDescent="0.2">
      <c r="J354"/>
      <c r="K354"/>
      <c r="L354"/>
      <c r="M354"/>
      <c r="N354"/>
      <c r="O354"/>
      <c r="P354" s="2"/>
      <c r="T354"/>
      <c r="U354"/>
      <c r="V354"/>
      <c r="X354"/>
    </row>
    <row r="355" spans="10:24" s="1" customFormat="1" x14ac:dyDescent="0.2">
      <c r="J355"/>
      <c r="K355"/>
      <c r="L355"/>
      <c r="M355"/>
      <c r="N355"/>
      <c r="O355"/>
      <c r="P355" s="2"/>
      <c r="T355"/>
      <c r="U355"/>
      <c r="V355"/>
      <c r="X355"/>
    </row>
    <row r="356" spans="10:24" s="1" customFormat="1" x14ac:dyDescent="0.2">
      <c r="J356"/>
      <c r="K356"/>
      <c r="L356"/>
      <c r="M356"/>
      <c r="N356"/>
      <c r="O356"/>
      <c r="P356" s="2"/>
      <c r="T356"/>
      <c r="U356"/>
      <c r="V356"/>
      <c r="X356"/>
    </row>
    <row r="357" spans="10:24" s="1" customFormat="1" x14ac:dyDescent="0.2">
      <c r="J357"/>
      <c r="K357"/>
      <c r="L357"/>
      <c r="M357"/>
      <c r="N357"/>
      <c r="O357"/>
      <c r="P357" s="2"/>
      <c r="T357"/>
      <c r="U357"/>
      <c r="V357"/>
      <c r="X357"/>
    </row>
    <row r="358" spans="10:24" s="1" customFormat="1" x14ac:dyDescent="0.2">
      <c r="J358"/>
      <c r="K358"/>
      <c r="L358"/>
      <c r="M358"/>
      <c r="N358"/>
      <c r="O358"/>
      <c r="P358" s="2"/>
      <c r="T358"/>
      <c r="U358"/>
      <c r="V358"/>
      <c r="X358"/>
    </row>
    <row r="359" spans="10:24" s="1" customFormat="1" x14ac:dyDescent="0.2">
      <c r="J359"/>
      <c r="K359"/>
      <c r="L359"/>
      <c r="M359"/>
      <c r="N359"/>
      <c r="O359"/>
      <c r="P359" s="2"/>
      <c r="T359"/>
      <c r="U359"/>
      <c r="V359"/>
      <c r="X359"/>
    </row>
    <row r="360" spans="10:24" s="1" customFormat="1" x14ac:dyDescent="0.2">
      <c r="J360"/>
      <c r="K360"/>
      <c r="L360"/>
      <c r="M360"/>
      <c r="N360"/>
      <c r="O360"/>
      <c r="P360" s="2"/>
      <c r="T360"/>
      <c r="U360"/>
      <c r="V360"/>
      <c r="X360"/>
    </row>
    <row r="361" spans="10:24" s="1" customFormat="1" x14ac:dyDescent="0.2">
      <c r="J361"/>
      <c r="K361"/>
      <c r="L361"/>
      <c r="M361"/>
      <c r="N361"/>
      <c r="O361"/>
      <c r="P361" s="2"/>
      <c r="T361"/>
      <c r="U361"/>
      <c r="V361"/>
      <c r="X361"/>
    </row>
    <row r="362" spans="10:24" s="1" customFormat="1" x14ac:dyDescent="0.2">
      <c r="J362"/>
      <c r="K362"/>
      <c r="L362"/>
      <c r="M362"/>
      <c r="N362"/>
      <c r="O362"/>
      <c r="P362" s="2"/>
      <c r="T362"/>
      <c r="U362"/>
      <c r="V362"/>
      <c r="X362"/>
    </row>
    <row r="363" spans="10:24" s="1" customFormat="1" x14ac:dyDescent="0.2">
      <c r="J363"/>
      <c r="K363"/>
      <c r="L363"/>
      <c r="M363"/>
      <c r="N363"/>
      <c r="O363"/>
      <c r="P363" s="2"/>
      <c r="T363"/>
      <c r="U363"/>
      <c r="V363"/>
      <c r="X363"/>
    </row>
    <row r="364" spans="10:24" s="1" customFormat="1" x14ac:dyDescent="0.2">
      <c r="J364"/>
      <c r="K364"/>
      <c r="L364"/>
      <c r="M364"/>
      <c r="N364"/>
      <c r="O364"/>
      <c r="P364" s="2"/>
      <c r="T364"/>
      <c r="U364"/>
      <c r="V364"/>
      <c r="X364"/>
    </row>
    <row r="365" spans="10:24" s="1" customFormat="1" x14ac:dyDescent="0.2">
      <c r="J365"/>
      <c r="K365"/>
      <c r="L365"/>
      <c r="M365"/>
      <c r="N365"/>
      <c r="O365"/>
      <c r="P365" s="2"/>
      <c r="T365"/>
      <c r="U365"/>
      <c r="V365"/>
      <c r="X365"/>
    </row>
    <row r="366" spans="10:24" s="1" customFormat="1" x14ac:dyDescent="0.2">
      <c r="J366"/>
      <c r="K366"/>
      <c r="L366"/>
      <c r="M366"/>
      <c r="N366"/>
      <c r="O366"/>
      <c r="P366" s="2"/>
      <c r="T366"/>
      <c r="U366"/>
      <c r="V366"/>
      <c r="X366"/>
    </row>
    <row r="367" spans="10:24" s="1" customFormat="1" x14ac:dyDescent="0.2">
      <c r="J367"/>
      <c r="K367"/>
      <c r="L367"/>
      <c r="M367"/>
      <c r="N367"/>
      <c r="O367"/>
      <c r="P367" s="2"/>
      <c r="T367"/>
      <c r="U367"/>
      <c r="V367"/>
      <c r="X367"/>
    </row>
    <row r="368" spans="10:24" s="1" customFormat="1" x14ac:dyDescent="0.2">
      <c r="J368"/>
      <c r="K368"/>
      <c r="L368"/>
      <c r="M368"/>
      <c r="N368"/>
      <c r="O368"/>
      <c r="P368" s="2"/>
      <c r="T368"/>
      <c r="U368"/>
      <c r="V368"/>
      <c r="X368"/>
    </row>
    <row r="369" spans="10:24" s="1" customFormat="1" x14ac:dyDescent="0.2">
      <c r="J369"/>
      <c r="K369"/>
      <c r="L369"/>
      <c r="M369"/>
      <c r="N369"/>
      <c r="O369"/>
      <c r="P369" s="2"/>
      <c r="T369"/>
      <c r="U369"/>
      <c r="V369"/>
      <c r="X369"/>
    </row>
    <row r="370" spans="10:24" s="1" customFormat="1" x14ac:dyDescent="0.2">
      <c r="J370"/>
      <c r="K370"/>
      <c r="L370"/>
      <c r="M370"/>
      <c r="N370"/>
      <c r="O370"/>
      <c r="P370" s="2"/>
      <c r="T370"/>
      <c r="U370"/>
      <c r="V370"/>
      <c r="X370"/>
    </row>
    <row r="371" spans="10:24" s="1" customFormat="1" x14ac:dyDescent="0.2">
      <c r="J371"/>
      <c r="K371"/>
      <c r="L371"/>
      <c r="M371"/>
      <c r="N371"/>
      <c r="O371"/>
      <c r="P371" s="2"/>
      <c r="T371"/>
      <c r="U371"/>
      <c r="V371"/>
      <c r="X371"/>
    </row>
    <row r="372" spans="10:24" s="1" customFormat="1" x14ac:dyDescent="0.2">
      <c r="J372"/>
      <c r="K372"/>
      <c r="L372"/>
      <c r="M372"/>
      <c r="N372"/>
      <c r="O372"/>
      <c r="P372" s="2"/>
      <c r="T372"/>
      <c r="U372"/>
      <c r="V372"/>
      <c r="X372"/>
    </row>
    <row r="373" spans="10:24" s="1" customFormat="1" x14ac:dyDescent="0.2">
      <c r="J373"/>
      <c r="K373"/>
      <c r="L373"/>
      <c r="M373"/>
      <c r="N373"/>
      <c r="O373"/>
      <c r="P373" s="2"/>
      <c r="T373"/>
      <c r="U373"/>
      <c r="V373"/>
      <c r="X373"/>
    </row>
    <row r="374" spans="10:24" s="1" customFormat="1" x14ac:dyDescent="0.2">
      <c r="J374"/>
      <c r="K374"/>
      <c r="L374"/>
      <c r="M374"/>
      <c r="N374"/>
      <c r="O374"/>
      <c r="P374" s="2"/>
      <c r="T374"/>
      <c r="U374"/>
      <c r="V374"/>
      <c r="X374"/>
    </row>
    <row r="375" spans="10:24" s="1" customFormat="1" x14ac:dyDescent="0.2">
      <c r="J375"/>
      <c r="K375"/>
      <c r="L375"/>
      <c r="M375"/>
      <c r="N375"/>
      <c r="O375"/>
      <c r="P375" s="2"/>
      <c r="T375"/>
      <c r="U375"/>
      <c r="V375"/>
      <c r="X375"/>
    </row>
    <row r="376" spans="10:24" s="1" customFormat="1" x14ac:dyDescent="0.2">
      <c r="J376"/>
      <c r="K376"/>
      <c r="L376"/>
      <c r="M376"/>
      <c r="N376"/>
      <c r="O376"/>
      <c r="P376" s="2"/>
      <c r="T376"/>
      <c r="U376"/>
      <c r="V376"/>
      <c r="X376"/>
    </row>
    <row r="377" spans="10:24" s="1" customFormat="1" x14ac:dyDescent="0.2">
      <c r="J377"/>
      <c r="K377"/>
      <c r="L377"/>
      <c r="M377"/>
      <c r="N377"/>
      <c r="O377"/>
      <c r="P377" s="2"/>
      <c r="T377"/>
      <c r="U377"/>
      <c r="V377"/>
      <c r="X377"/>
    </row>
    <row r="378" spans="10:24" s="1" customFormat="1" x14ac:dyDescent="0.2">
      <c r="J378"/>
      <c r="K378"/>
      <c r="L378"/>
      <c r="M378"/>
      <c r="N378"/>
      <c r="O378"/>
      <c r="P378" s="2"/>
      <c r="T378"/>
      <c r="U378"/>
      <c r="V378"/>
      <c r="X378"/>
    </row>
    <row r="379" spans="10:24" s="1" customFormat="1" x14ac:dyDescent="0.2">
      <c r="J379"/>
      <c r="K379"/>
      <c r="L379"/>
      <c r="M379"/>
      <c r="N379"/>
      <c r="O379"/>
      <c r="P379" s="2"/>
      <c r="T379"/>
      <c r="U379"/>
      <c r="V379"/>
      <c r="X379"/>
    </row>
    <row r="380" spans="10:24" s="1" customFormat="1" x14ac:dyDescent="0.2">
      <c r="J380"/>
      <c r="K380"/>
      <c r="L380"/>
      <c r="M380"/>
      <c r="N380"/>
      <c r="O380"/>
      <c r="P380" s="2"/>
      <c r="T380"/>
      <c r="U380"/>
      <c r="V380"/>
      <c r="X380"/>
    </row>
    <row r="381" spans="10:24" s="1" customFormat="1" x14ac:dyDescent="0.2">
      <c r="J381"/>
      <c r="K381"/>
      <c r="L381"/>
      <c r="M381"/>
      <c r="N381"/>
      <c r="O381"/>
      <c r="P381" s="2"/>
      <c r="T381"/>
      <c r="U381"/>
      <c r="V381"/>
      <c r="X381"/>
    </row>
    <row r="382" spans="10:24" s="1" customFormat="1" x14ac:dyDescent="0.2">
      <c r="J382"/>
      <c r="K382"/>
      <c r="L382"/>
      <c r="M382"/>
      <c r="N382"/>
      <c r="O382"/>
      <c r="P382" s="2"/>
      <c r="T382"/>
      <c r="U382"/>
      <c r="V382"/>
      <c r="X382"/>
    </row>
    <row r="383" spans="10:24" s="1" customFormat="1" x14ac:dyDescent="0.2">
      <c r="J383"/>
      <c r="K383"/>
      <c r="L383"/>
      <c r="M383"/>
      <c r="N383"/>
      <c r="O383"/>
      <c r="P383" s="2"/>
      <c r="T383"/>
      <c r="U383"/>
      <c r="V383"/>
      <c r="X383"/>
    </row>
    <row r="384" spans="10:24" s="1" customFormat="1" x14ac:dyDescent="0.2">
      <c r="J384"/>
      <c r="K384"/>
      <c r="L384"/>
      <c r="M384"/>
      <c r="N384"/>
      <c r="O384"/>
      <c r="P384" s="2"/>
      <c r="T384"/>
      <c r="U384"/>
      <c r="V384"/>
      <c r="X384"/>
    </row>
    <row r="385" spans="10:24" s="1" customFormat="1" x14ac:dyDescent="0.2">
      <c r="J385"/>
      <c r="K385"/>
      <c r="L385"/>
      <c r="M385"/>
      <c r="N385"/>
      <c r="O385"/>
      <c r="P385" s="2"/>
      <c r="T385"/>
      <c r="U385"/>
      <c r="V385"/>
      <c r="X385"/>
    </row>
    <row r="386" spans="10:24" s="1" customFormat="1" x14ac:dyDescent="0.2">
      <c r="J386"/>
      <c r="K386"/>
      <c r="L386"/>
      <c r="M386"/>
      <c r="N386"/>
      <c r="O386"/>
      <c r="P386" s="2"/>
      <c r="T386"/>
      <c r="U386"/>
      <c r="V386"/>
      <c r="X386"/>
    </row>
    <row r="387" spans="10:24" s="1" customFormat="1" x14ac:dyDescent="0.2">
      <c r="J387"/>
      <c r="K387"/>
      <c r="L387"/>
      <c r="M387"/>
      <c r="N387"/>
      <c r="O387"/>
      <c r="P387" s="2"/>
      <c r="T387"/>
      <c r="U387"/>
      <c r="V387"/>
      <c r="X387"/>
    </row>
    <row r="388" spans="10:24" s="1" customFormat="1" x14ac:dyDescent="0.2">
      <c r="J388"/>
      <c r="K388"/>
      <c r="L388"/>
      <c r="M388"/>
      <c r="N388"/>
      <c r="O388"/>
      <c r="P388" s="2"/>
      <c r="T388"/>
      <c r="U388"/>
      <c r="V388"/>
      <c r="X388"/>
    </row>
    <row r="389" spans="10:24" s="1" customFormat="1" x14ac:dyDescent="0.2">
      <c r="J389"/>
      <c r="K389"/>
      <c r="L389"/>
      <c r="M389"/>
      <c r="N389"/>
      <c r="O389"/>
      <c r="P389" s="2"/>
      <c r="T389"/>
      <c r="U389"/>
      <c r="V389"/>
      <c r="X389"/>
    </row>
    <row r="390" spans="10:24" s="1" customFormat="1" x14ac:dyDescent="0.2">
      <c r="J390"/>
      <c r="K390"/>
      <c r="L390"/>
      <c r="M390"/>
      <c r="N390"/>
      <c r="O390"/>
      <c r="P390" s="2"/>
      <c r="T390"/>
      <c r="U390"/>
      <c r="V390"/>
      <c r="X390"/>
    </row>
    <row r="391" spans="10:24" s="1" customFormat="1" x14ac:dyDescent="0.2">
      <c r="J391"/>
      <c r="K391"/>
      <c r="L391"/>
      <c r="M391"/>
      <c r="N391"/>
      <c r="O391"/>
      <c r="P391" s="2"/>
      <c r="T391"/>
      <c r="U391"/>
      <c r="V391"/>
      <c r="X391"/>
    </row>
    <row r="392" spans="10:24" s="1" customFormat="1" x14ac:dyDescent="0.2">
      <c r="J392"/>
      <c r="K392"/>
      <c r="L392"/>
      <c r="M392"/>
      <c r="N392"/>
      <c r="O392"/>
      <c r="P392" s="2"/>
      <c r="T392"/>
      <c r="U392"/>
      <c r="V392"/>
      <c r="X392"/>
    </row>
    <row r="393" spans="10:24" s="1" customFormat="1" x14ac:dyDescent="0.2">
      <c r="J393"/>
      <c r="K393"/>
      <c r="L393"/>
      <c r="M393"/>
      <c r="N393"/>
      <c r="O393"/>
      <c r="P393" s="2"/>
      <c r="T393"/>
      <c r="U393"/>
      <c r="V393"/>
      <c r="X393"/>
    </row>
    <row r="394" spans="10:24" s="1" customFormat="1" x14ac:dyDescent="0.2">
      <c r="J394"/>
      <c r="K394"/>
      <c r="L394"/>
      <c r="M394"/>
      <c r="N394"/>
      <c r="O394"/>
      <c r="P394" s="2"/>
      <c r="T394"/>
      <c r="U394"/>
      <c r="V394"/>
      <c r="X394"/>
    </row>
    <row r="395" spans="10:24" s="1" customFormat="1" x14ac:dyDescent="0.2">
      <c r="J395"/>
      <c r="K395"/>
      <c r="L395"/>
      <c r="M395"/>
      <c r="N395"/>
      <c r="O395"/>
      <c r="P395" s="2"/>
      <c r="T395"/>
      <c r="U395"/>
      <c r="V395"/>
      <c r="X395"/>
    </row>
    <row r="396" spans="10:24" s="1" customFormat="1" x14ac:dyDescent="0.2">
      <c r="J396"/>
      <c r="K396"/>
      <c r="L396"/>
      <c r="M396"/>
      <c r="N396"/>
      <c r="O396"/>
      <c r="P396" s="2"/>
      <c r="T396"/>
      <c r="U396"/>
      <c r="V396"/>
      <c r="X396"/>
    </row>
    <row r="397" spans="10:24" s="1" customFormat="1" x14ac:dyDescent="0.2">
      <c r="J397"/>
      <c r="K397"/>
      <c r="L397"/>
      <c r="M397"/>
      <c r="N397"/>
      <c r="O397"/>
      <c r="P397" s="2"/>
      <c r="T397"/>
      <c r="U397"/>
      <c r="V397"/>
      <c r="X397"/>
    </row>
    <row r="398" spans="10:24" s="1" customFormat="1" x14ac:dyDescent="0.2">
      <c r="J398"/>
      <c r="K398"/>
      <c r="L398"/>
      <c r="M398"/>
      <c r="N398"/>
      <c r="O398"/>
      <c r="P398" s="2"/>
      <c r="T398"/>
      <c r="U398"/>
      <c r="V398"/>
      <c r="X398"/>
    </row>
    <row r="399" spans="10:24" s="1" customFormat="1" x14ac:dyDescent="0.2">
      <c r="J399"/>
      <c r="K399"/>
      <c r="L399"/>
      <c r="M399"/>
      <c r="N399"/>
      <c r="O399"/>
      <c r="P399" s="2"/>
      <c r="T399"/>
      <c r="U399"/>
      <c r="V399"/>
      <c r="X399"/>
    </row>
    <row r="400" spans="10:24" s="1" customFormat="1" x14ac:dyDescent="0.2">
      <c r="J400"/>
      <c r="K400"/>
      <c r="L400"/>
      <c r="M400"/>
      <c r="N400"/>
      <c r="O400"/>
      <c r="P400" s="2"/>
      <c r="T400"/>
      <c r="U400"/>
      <c r="V400"/>
      <c r="X400"/>
    </row>
    <row r="401" spans="10:24" s="1" customFormat="1" x14ac:dyDescent="0.2">
      <c r="J401"/>
      <c r="K401"/>
      <c r="L401"/>
      <c r="M401"/>
      <c r="N401"/>
      <c r="O401"/>
      <c r="P401" s="2"/>
      <c r="T401"/>
      <c r="U401"/>
      <c r="V401"/>
      <c r="X401"/>
    </row>
    <row r="402" spans="10:24" s="1" customFormat="1" x14ac:dyDescent="0.2">
      <c r="J402"/>
      <c r="K402"/>
      <c r="L402"/>
      <c r="M402"/>
      <c r="N402"/>
      <c r="O402"/>
      <c r="P402" s="2"/>
      <c r="T402"/>
      <c r="U402"/>
      <c r="V402"/>
      <c r="X402"/>
    </row>
    <row r="403" spans="10:24" s="1" customFormat="1" x14ac:dyDescent="0.2">
      <c r="J403"/>
      <c r="K403"/>
      <c r="L403"/>
      <c r="M403"/>
      <c r="N403"/>
      <c r="O403"/>
      <c r="P403" s="2"/>
      <c r="T403"/>
      <c r="U403"/>
      <c r="V403"/>
      <c r="X403"/>
    </row>
    <row r="404" spans="10:24" s="1" customFormat="1" x14ac:dyDescent="0.2">
      <c r="J404"/>
      <c r="K404"/>
      <c r="L404"/>
      <c r="M404"/>
      <c r="N404"/>
      <c r="O404"/>
      <c r="P404" s="2"/>
      <c r="T404"/>
      <c r="U404"/>
      <c r="V404"/>
      <c r="X404"/>
    </row>
    <row r="405" spans="10:24" s="1" customFormat="1" x14ac:dyDescent="0.2">
      <c r="J405"/>
      <c r="K405"/>
      <c r="L405"/>
      <c r="M405"/>
      <c r="N405"/>
      <c r="O405"/>
      <c r="P405" s="2"/>
      <c r="T405"/>
      <c r="U405"/>
      <c r="V405"/>
      <c r="X405"/>
    </row>
    <row r="406" spans="10:24" s="1" customFormat="1" x14ac:dyDescent="0.2">
      <c r="J406"/>
      <c r="K406"/>
      <c r="L406"/>
      <c r="M406"/>
      <c r="N406"/>
      <c r="O406"/>
      <c r="P406" s="2"/>
      <c r="T406"/>
      <c r="U406"/>
      <c r="V406"/>
      <c r="X406"/>
    </row>
    <row r="407" spans="10:24" s="1" customFormat="1" x14ac:dyDescent="0.2">
      <c r="J407"/>
      <c r="K407"/>
      <c r="L407"/>
      <c r="M407"/>
      <c r="N407"/>
      <c r="O407"/>
      <c r="P407" s="2"/>
      <c r="T407"/>
      <c r="U407"/>
      <c r="V407"/>
      <c r="X407"/>
    </row>
    <row r="408" spans="10:24" s="1" customFormat="1" x14ac:dyDescent="0.2">
      <c r="J408"/>
      <c r="K408"/>
      <c r="L408"/>
      <c r="M408"/>
      <c r="N408"/>
      <c r="O408"/>
      <c r="P408" s="2"/>
      <c r="T408"/>
      <c r="U408"/>
      <c r="V408"/>
      <c r="X408"/>
    </row>
    <row r="409" spans="10:24" s="1" customFormat="1" x14ac:dyDescent="0.2">
      <c r="J409"/>
      <c r="K409"/>
      <c r="L409"/>
      <c r="M409"/>
      <c r="N409"/>
      <c r="O409"/>
      <c r="P409" s="2"/>
      <c r="T409"/>
      <c r="U409"/>
      <c r="V409"/>
      <c r="X409"/>
    </row>
    <row r="410" spans="10:24" s="1" customFormat="1" x14ac:dyDescent="0.2">
      <c r="J410"/>
      <c r="K410"/>
      <c r="L410"/>
      <c r="M410"/>
      <c r="N410"/>
      <c r="O410"/>
      <c r="P410" s="2"/>
      <c r="T410"/>
      <c r="U410"/>
      <c r="V410"/>
      <c r="X410"/>
    </row>
    <row r="411" spans="10:24" s="1" customFormat="1" x14ac:dyDescent="0.2">
      <c r="J411"/>
      <c r="K411"/>
      <c r="L411"/>
      <c r="M411"/>
      <c r="N411"/>
      <c r="O411"/>
      <c r="P411" s="2"/>
      <c r="T411"/>
      <c r="U411"/>
      <c r="V411"/>
      <c r="X411"/>
    </row>
    <row r="412" spans="10:24" s="1" customFormat="1" x14ac:dyDescent="0.2">
      <c r="J412"/>
      <c r="K412"/>
      <c r="L412"/>
      <c r="M412"/>
      <c r="N412"/>
      <c r="O412"/>
      <c r="P412" s="2"/>
      <c r="T412"/>
      <c r="U412"/>
      <c r="V412"/>
      <c r="X412"/>
    </row>
    <row r="413" spans="10:24" s="1" customFormat="1" x14ac:dyDescent="0.2">
      <c r="J413"/>
      <c r="K413"/>
      <c r="L413"/>
      <c r="M413"/>
      <c r="N413"/>
      <c r="O413"/>
      <c r="P413" s="2"/>
      <c r="T413"/>
      <c r="U413"/>
      <c r="V413"/>
      <c r="X413"/>
    </row>
    <row r="414" spans="10:24" s="1" customFormat="1" x14ac:dyDescent="0.2">
      <c r="J414"/>
      <c r="K414"/>
      <c r="L414"/>
      <c r="M414"/>
      <c r="N414"/>
      <c r="O414"/>
      <c r="P414" s="2"/>
      <c r="T414"/>
      <c r="U414"/>
      <c r="V414"/>
      <c r="X414"/>
    </row>
    <row r="415" spans="10:24" s="1" customFormat="1" x14ac:dyDescent="0.2">
      <c r="J415"/>
      <c r="K415"/>
      <c r="L415"/>
      <c r="M415"/>
      <c r="N415"/>
      <c r="O415"/>
      <c r="P415" s="2"/>
      <c r="T415"/>
      <c r="U415"/>
      <c r="V415"/>
      <c r="X415"/>
    </row>
    <row r="416" spans="10:24" s="1" customFormat="1" x14ac:dyDescent="0.2">
      <c r="J416"/>
      <c r="K416"/>
      <c r="L416"/>
      <c r="M416"/>
      <c r="N416"/>
      <c r="O416"/>
      <c r="P416" s="2"/>
      <c r="T416"/>
      <c r="U416"/>
      <c r="V416"/>
      <c r="X416"/>
    </row>
    <row r="417" spans="10:24" s="1" customFormat="1" x14ac:dyDescent="0.2">
      <c r="J417"/>
      <c r="K417"/>
      <c r="L417"/>
      <c r="M417"/>
      <c r="N417"/>
      <c r="O417"/>
      <c r="P417" s="2"/>
      <c r="T417"/>
      <c r="U417"/>
      <c r="V417"/>
      <c r="X417"/>
    </row>
    <row r="418" spans="10:24" s="1" customFormat="1" x14ac:dyDescent="0.2">
      <c r="J418"/>
      <c r="K418"/>
      <c r="L418"/>
      <c r="M418"/>
      <c r="N418"/>
      <c r="O418"/>
      <c r="P418" s="2"/>
      <c r="T418"/>
      <c r="U418"/>
      <c r="V418"/>
      <c r="X418"/>
    </row>
    <row r="419" spans="10:24" s="1" customFormat="1" x14ac:dyDescent="0.2">
      <c r="J419"/>
      <c r="K419"/>
      <c r="L419"/>
      <c r="M419"/>
      <c r="N419"/>
      <c r="O419"/>
      <c r="P419" s="2"/>
      <c r="T419"/>
      <c r="U419"/>
      <c r="V419"/>
      <c r="X419"/>
    </row>
    <row r="420" spans="10:24" s="1" customFormat="1" x14ac:dyDescent="0.2">
      <c r="J420"/>
      <c r="K420"/>
      <c r="L420"/>
      <c r="M420"/>
      <c r="N420"/>
      <c r="O420"/>
      <c r="P420" s="2"/>
      <c r="T420"/>
      <c r="U420"/>
      <c r="V420"/>
      <c r="X420"/>
    </row>
    <row r="421" spans="10:24" s="1" customFormat="1" x14ac:dyDescent="0.2">
      <c r="J421"/>
      <c r="K421"/>
      <c r="L421"/>
      <c r="M421"/>
      <c r="N421"/>
      <c r="O421"/>
      <c r="P421" s="2"/>
      <c r="T421"/>
      <c r="U421"/>
      <c r="V421"/>
      <c r="X421"/>
    </row>
    <row r="422" spans="10:24" s="1" customFormat="1" x14ac:dyDescent="0.2">
      <c r="J422"/>
      <c r="K422"/>
      <c r="L422"/>
      <c r="M422"/>
      <c r="N422"/>
      <c r="O422"/>
      <c r="P422" s="2"/>
      <c r="T422"/>
      <c r="U422"/>
      <c r="V422"/>
      <c r="X422"/>
    </row>
    <row r="423" spans="10:24" s="1" customFormat="1" x14ac:dyDescent="0.2">
      <c r="J423"/>
      <c r="K423"/>
      <c r="L423"/>
      <c r="M423"/>
      <c r="N423"/>
      <c r="O423"/>
      <c r="P423" s="2"/>
      <c r="T423"/>
      <c r="U423"/>
      <c r="V423"/>
      <c r="X423"/>
    </row>
    <row r="424" spans="10:24" s="1" customFormat="1" x14ac:dyDescent="0.2">
      <c r="J424"/>
      <c r="K424"/>
      <c r="L424"/>
      <c r="M424"/>
      <c r="N424"/>
      <c r="O424"/>
      <c r="P424" s="2"/>
      <c r="T424"/>
      <c r="U424"/>
      <c r="V424"/>
      <c r="X424"/>
    </row>
    <row r="425" spans="10:24" s="1" customFormat="1" x14ac:dyDescent="0.2">
      <c r="J425"/>
      <c r="K425"/>
      <c r="L425"/>
      <c r="M425"/>
      <c r="N425"/>
      <c r="O425"/>
      <c r="P425" s="2"/>
      <c r="T425"/>
      <c r="U425"/>
      <c r="V425"/>
      <c r="X425"/>
    </row>
    <row r="426" spans="10:24" s="1" customFormat="1" x14ac:dyDescent="0.2">
      <c r="J426"/>
      <c r="K426"/>
      <c r="L426"/>
      <c r="M426"/>
      <c r="N426"/>
      <c r="O426"/>
      <c r="P426" s="2"/>
      <c r="T426"/>
      <c r="U426"/>
      <c r="V426"/>
      <c r="X426"/>
    </row>
    <row r="427" spans="10:24" s="1" customFormat="1" x14ac:dyDescent="0.2">
      <c r="J427"/>
      <c r="K427"/>
      <c r="L427"/>
      <c r="M427"/>
      <c r="N427"/>
      <c r="O427"/>
      <c r="P427" s="2"/>
      <c r="T427"/>
      <c r="U427"/>
      <c r="V427"/>
      <c r="X427"/>
    </row>
    <row r="428" spans="10:24" s="1" customFormat="1" x14ac:dyDescent="0.2">
      <c r="J428"/>
      <c r="K428"/>
      <c r="L428"/>
      <c r="M428"/>
      <c r="N428"/>
      <c r="O428"/>
      <c r="P428" s="2"/>
      <c r="T428"/>
      <c r="U428"/>
      <c r="V428"/>
      <c r="X428"/>
    </row>
    <row r="429" spans="10:24" s="1" customFormat="1" x14ac:dyDescent="0.2">
      <c r="J429"/>
      <c r="K429"/>
      <c r="L429"/>
      <c r="M429"/>
      <c r="N429"/>
      <c r="O429"/>
      <c r="P429" s="2"/>
      <c r="T429"/>
      <c r="U429"/>
      <c r="V429"/>
      <c r="X429"/>
    </row>
    <row r="430" spans="10:24" s="1" customFormat="1" x14ac:dyDescent="0.2">
      <c r="J430"/>
      <c r="K430"/>
      <c r="L430"/>
      <c r="M430"/>
      <c r="N430"/>
      <c r="O430"/>
      <c r="P430" s="2"/>
      <c r="T430"/>
      <c r="U430"/>
      <c r="V430"/>
      <c r="X430"/>
    </row>
    <row r="431" spans="10:24" s="1" customFormat="1" x14ac:dyDescent="0.2">
      <c r="J431"/>
      <c r="K431"/>
      <c r="L431"/>
      <c r="M431"/>
      <c r="N431"/>
      <c r="O431"/>
      <c r="P431" s="2"/>
      <c r="T431"/>
      <c r="U431"/>
      <c r="V431"/>
      <c r="X431"/>
    </row>
    <row r="432" spans="10:24" s="1" customFormat="1" x14ac:dyDescent="0.2">
      <c r="J432"/>
      <c r="K432"/>
      <c r="L432"/>
      <c r="M432"/>
      <c r="N432"/>
      <c r="O432"/>
      <c r="P432" s="2"/>
      <c r="T432"/>
      <c r="U432"/>
      <c r="V432"/>
      <c r="X432"/>
    </row>
    <row r="433" spans="10:24" s="1" customFormat="1" x14ac:dyDescent="0.2">
      <c r="J433"/>
      <c r="K433"/>
      <c r="L433"/>
      <c r="M433"/>
      <c r="N433"/>
      <c r="O433"/>
      <c r="P433" s="2"/>
      <c r="T433"/>
      <c r="U433"/>
      <c r="V433"/>
      <c r="X433"/>
    </row>
    <row r="434" spans="10:24" s="1" customFormat="1" x14ac:dyDescent="0.2">
      <c r="J434"/>
      <c r="K434"/>
      <c r="L434"/>
      <c r="M434"/>
      <c r="N434"/>
      <c r="O434"/>
      <c r="P434" s="2"/>
      <c r="T434"/>
      <c r="U434"/>
      <c r="V434"/>
      <c r="X434"/>
    </row>
    <row r="435" spans="10:24" s="1" customFormat="1" x14ac:dyDescent="0.2">
      <c r="J435"/>
      <c r="K435"/>
      <c r="L435"/>
      <c r="M435"/>
      <c r="N435"/>
      <c r="O435"/>
      <c r="P435" s="2"/>
      <c r="T435"/>
      <c r="U435"/>
      <c r="V435"/>
      <c r="X435"/>
    </row>
    <row r="436" spans="10:24" s="1" customFormat="1" x14ac:dyDescent="0.2">
      <c r="J436"/>
      <c r="K436"/>
      <c r="L436"/>
      <c r="M436"/>
      <c r="N436"/>
      <c r="O436"/>
      <c r="P436" s="2"/>
      <c r="T436"/>
      <c r="U436"/>
      <c r="V436"/>
      <c r="X436"/>
    </row>
    <row r="437" spans="10:24" s="1" customFormat="1" x14ac:dyDescent="0.2">
      <c r="J437"/>
      <c r="K437"/>
      <c r="L437"/>
      <c r="M437"/>
      <c r="N437"/>
      <c r="O437"/>
      <c r="P437" s="2"/>
      <c r="T437"/>
      <c r="U437"/>
      <c r="V437"/>
      <c r="X437"/>
    </row>
    <row r="438" spans="10:24" s="1" customFormat="1" x14ac:dyDescent="0.2">
      <c r="J438"/>
      <c r="K438"/>
      <c r="L438"/>
      <c r="M438"/>
      <c r="N438"/>
      <c r="O438"/>
      <c r="P438" s="2"/>
      <c r="T438"/>
      <c r="U438"/>
      <c r="V438"/>
      <c r="X438"/>
    </row>
    <row r="439" spans="10:24" s="1" customFormat="1" x14ac:dyDescent="0.2">
      <c r="J439"/>
      <c r="K439"/>
      <c r="L439"/>
      <c r="M439"/>
      <c r="N439"/>
      <c r="O439"/>
      <c r="P439" s="2"/>
      <c r="T439"/>
      <c r="U439"/>
      <c r="V439"/>
      <c r="X439"/>
    </row>
    <row r="440" spans="10:24" s="1" customFormat="1" x14ac:dyDescent="0.2">
      <c r="J440"/>
      <c r="K440"/>
      <c r="L440"/>
      <c r="M440"/>
      <c r="N440"/>
      <c r="O440"/>
      <c r="P440" s="2"/>
      <c r="T440"/>
      <c r="U440"/>
      <c r="V440"/>
      <c r="X440"/>
    </row>
    <row r="441" spans="10:24" s="1" customFormat="1" x14ac:dyDescent="0.2">
      <c r="J441"/>
      <c r="K441"/>
      <c r="L441"/>
      <c r="M441"/>
      <c r="N441"/>
      <c r="O441"/>
      <c r="P441" s="2"/>
      <c r="T441"/>
      <c r="U441"/>
      <c r="V441"/>
      <c r="X441"/>
    </row>
    <row r="442" spans="10:24" s="1" customFormat="1" x14ac:dyDescent="0.2">
      <c r="J442"/>
      <c r="K442"/>
      <c r="L442"/>
      <c r="M442"/>
      <c r="N442"/>
      <c r="O442"/>
      <c r="P442" s="2"/>
      <c r="T442"/>
      <c r="U442"/>
      <c r="V442"/>
      <c r="X442"/>
    </row>
    <row r="443" spans="10:24" s="1" customFormat="1" x14ac:dyDescent="0.2">
      <c r="J443"/>
      <c r="K443"/>
      <c r="L443"/>
      <c r="M443"/>
      <c r="N443"/>
      <c r="O443"/>
      <c r="P443" s="2"/>
      <c r="T443"/>
      <c r="U443"/>
      <c r="V443"/>
      <c r="X443"/>
    </row>
    <row r="444" spans="10:24" s="1" customFormat="1" x14ac:dyDescent="0.2">
      <c r="J444"/>
      <c r="K444"/>
      <c r="L444"/>
      <c r="M444"/>
      <c r="N444"/>
      <c r="O444"/>
      <c r="P444" s="2"/>
      <c r="T444"/>
      <c r="U444"/>
      <c r="V444"/>
      <c r="X444"/>
    </row>
    <row r="445" spans="10:24" s="1" customFormat="1" x14ac:dyDescent="0.2">
      <c r="J445"/>
      <c r="K445"/>
      <c r="L445"/>
      <c r="M445"/>
      <c r="N445"/>
      <c r="O445"/>
      <c r="P445" s="2"/>
      <c r="T445"/>
      <c r="U445"/>
      <c r="V445"/>
      <c r="X445"/>
    </row>
    <row r="446" spans="10:24" s="1" customFormat="1" x14ac:dyDescent="0.2">
      <c r="J446"/>
      <c r="K446"/>
      <c r="L446"/>
      <c r="M446"/>
      <c r="N446"/>
      <c r="O446"/>
      <c r="P446" s="2"/>
      <c r="T446"/>
      <c r="U446"/>
      <c r="V446"/>
      <c r="X446"/>
    </row>
    <row r="447" spans="10:24" s="1" customFormat="1" x14ac:dyDescent="0.2">
      <c r="J447"/>
      <c r="K447"/>
      <c r="L447"/>
      <c r="M447"/>
      <c r="N447"/>
      <c r="O447"/>
      <c r="P447" s="2"/>
      <c r="T447"/>
      <c r="U447"/>
      <c r="V447"/>
      <c r="X447"/>
    </row>
    <row r="448" spans="10:24" s="1" customFormat="1" x14ac:dyDescent="0.2">
      <c r="J448"/>
      <c r="K448"/>
      <c r="L448"/>
      <c r="M448"/>
      <c r="N448"/>
      <c r="O448"/>
      <c r="P448" s="2"/>
      <c r="T448"/>
      <c r="U448"/>
      <c r="V448"/>
      <c r="X448"/>
    </row>
    <row r="449" spans="10:24" s="1" customFormat="1" x14ac:dyDescent="0.2">
      <c r="J449"/>
      <c r="K449"/>
      <c r="L449"/>
      <c r="M449"/>
      <c r="N449"/>
      <c r="O449"/>
      <c r="P449" s="2"/>
      <c r="T449"/>
      <c r="U449"/>
      <c r="V449"/>
      <c r="X449"/>
    </row>
    <row r="450" spans="10:24" s="1" customFormat="1" x14ac:dyDescent="0.2">
      <c r="J450"/>
      <c r="K450"/>
      <c r="L450"/>
      <c r="M450"/>
      <c r="N450"/>
      <c r="O450"/>
      <c r="P450" s="2"/>
      <c r="T450"/>
      <c r="U450"/>
      <c r="V450"/>
      <c r="X450"/>
    </row>
    <row r="451" spans="10:24" s="1" customFormat="1" x14ac:dyDescent="0.2">
      <c r="J451"/>
      <c r="K451"/>
      <c r="L451"/>
      <c r="M451"/>
      <c r="N451"/>
      <c r="O451"/>
      <c r="P451" s="2"/>
      <c r="T451"/>
      <c r="U451"/>
      <c r="V451"/>
      <c r="X451"/>
    </row>
    <row r="452" spans="10:24" s="1" customFormat="1" x14ac:dyDescent="0.2">
      <c r="J452"/>
      <c r="K452"/>
      <c r="L452"/>
      <c r="M452"/>
      <c r="N452"/>
      <c r="O452"/>
      <c r="P452" s="2"/>
      <c r="T452"/>
      <c r="U452"/>
      <c r="V452"/>
      <c r="X452"/>
    </row>
    <row r="453" spans="10:24" s="1" customFormat="1" x14ac:dyDescent="0.2">
      <c r="J453"/>
      <c r="K453"/>
      <c r="L453"/>
      <c r="M453"/>
      <c r="N453"/>
      <c r="O453"/>
      <c r="P453" s="2"/>
      <c r="T453"/>
      <c r="U453"/>
      <c r="V453"/>
      <c r="X453"/>
    </row>
    <row r="454" spans="10:24" s="1" customFormat="1" x14ac:dyDescent="0.2">
      <c r="J454"/>
      <c r="K454"/>
      <c r="L454"/>
      <c r="M454"/>
      <c r="N454"/>
      <c r="O454"/>
      <c r="P454" s="2"/>
      <c r="T454"/>
      <c r="U454"/>
      <c r="V454"/>
      <c r="X454"/>
    </row>
    <row r="455" spans="10:24" s="1" customFormat="1" x14ac:dyDescent="0.2">
      <c r="J455"/>
      <c r="K455"/>
      <c r="L455"/>
      <c r="M455"/>
      <c r="N455"/>
      <c r="O455"/>
      <c r="P455" s="2"/>
      <c r="T455"/>
      <c r="U455"/>
      <c r="V455"/>
      <c r="X455"/>
    </row>
    <row r="456" spans="10:24" s="1" customFormat="1" x14ac:dyDescent="0.2">
      <c r="J456"/>
      <c r="K456"/>
      <c r="L456"/>
      <c r="M456"/>
      <c r="N456"/>
      <c r="O456"/>
      <c r="P456" s="2"/>
      <c r="T456"/>
      <c r="U456"/>
      <c r="V456"/>
      <c r="X456"/>
    </row>
    <row r="457" spans="10:24" s="1" customFormat="1" x14ac:dyDescent="0.2">
      <c r="J457"/>
      <c r="K457"/>
      <c r="L457"/>
      <c r="M457"/>
      <c r="N457"/>
      <c r="O457"/>
      <c r="P457" s="2"/>
      <c r="T457"/>
      <c r="U457"/>
      <c r="V457"/>
      <c r="X457"/>
    </row>
    <row r="458" spans="10:24" s="1" customFormat="1" x14ac:dyDescent="0.2">
      <c r="J458"/>
      <c r="K458"/>
      <c r="L458"/>
      <c r="M458"/>
      <c r="N458"/>
      <c r="O458"/>
      <c r="P458" s="2"/>
      <c r="T458"/>
      <c r="U458"/>
      <c r="V458"/>
      <c r="X458"/>
    </row>
    <row r="459" spans="10:24" s="1" customFormat="1" x14ac:dyDescent="0.2">
      <c r="J459"/>
      <c r="K459"/>
      <c r="L459"/>
      <c r="M459"/>
      <c r="N459"/>
      <c r="O459"/>
      <c r="P459" s="2"/>
      <c r="T459"/>
      <c r="U459"/>
      <c r="V459"/>
      <c r="X459"/>
    </row>
    <row r="460" spans="10:24" s="1" customFormat="1" x14ac:dyDescent="0.2">
      <c r="J460"/>
      <c r="K460"/>
      <c r="L460"/>
      <c r="M460"/>
      <c r="N460"/>
      <c r="O460"/>
      <c r="P460" s="2"/>
      <c r="T460"/>
      <c r="U460"/>
      <c r="V460"/>
      <c r="X460"/>
    </row>
    <row r="461" spans="10:24" s="1" customFormat="1" x14ac:dyDescent="0.2">
      <c r="J461"/>
      <c r="K461"/>
      <c r="L461"/>
      <c r="M461"/>
      <c r="N461"/>
      <c r="O461"/>
      <c r="P461" s="2"/>
      <c r="T461"/>
      <c r="U461"/>
      <c r="V461"/>
      <c r="X461"/>
    </row>
    <row r="462" spans="10:24" s="1" customFormat="1" x14ac:dyDescent="0.2">
      <c r="J462"/>
      <c r="K462"/>
      <c r="L462"/>
      <c r="M462"/>
      <c r="N462"/>
      <c r="O462"/>
      <c r="P462" s="2"/>
      <c r="T462"/>
      <c r="U462"/>
      <c r="V462"/>
      <c r="X462"/>
    </row>
    <row r="463" spans="10:24" s="1" customFormat="1" x14ac:dyDescent="0.2">
      <c r="J463"/>
      <c r="K463"/>
      <c r="L463"/>
      <c r="M463"/>
      <c r="N463"/>
      <c r="O463"/>
      <c r="P463" s="2"/>
      <c r="T463"/>
      <c r="U463"/>
      <c r="V463"/>
      <c r="X463"/>
    </row>
    <row r="464" spans="10:24" s="1" customFormat="1" x14ac:dyDescent="0.2">
      <c r="J464"/>
      <c r="K464"/>
      <c r="L464"/>
      <c r="M464"/>
      <c r="N464"/>
      <c r="O464"/>
      <c r="P464" s="2"/>
      <c r="T464"/>
      <c r="U464"/>
      <c r="V464"/>
      <c r="X464"/>
    </row>
    <row r="465" spans="10:24" s="1" customFormat="1" x14ac:dyDescent="0.2">
      <c r="J465"/>
      <c r="K465"/>
      <c r="L465"/>
      <c r="M465"/>
      <c r="N465"/>
      <c r="O465"/>
      <c r="P465" s="2"/>
      <c r="T465"/>
      <c r="U465"/>
      <c r="V465"/>
      <c r="X465"/>
    </row>
    <row r="466" spans="10:24" s="1" customFormat="1" x14ac:dyDescent="0.2">
      <c r="J466"/>
      <c r="K466"/>
      <c r="L466"/>
      <c r="M466"/>
      <c r="N466"/>
      <c r="O466"/>
      <c r="P466" s="2"/>
      <c r="T466"/>
      <c r="U466"/>
      <c r="V466"/>
      <c r="X466"/>
    </row>
    <row r="467" spans="10:24" s="1" customFormat="1" x14ac:dyDescent="0.2">
      <c r="J467"/>
      <c r="K467"/>
      <c r="L467"/>
      <c r="M467"/>
      <c r="N467"/>
      <c r="O467"/>
      <c r="P467" s="2"/>
      <c r="T467"/>
      <c r="U467"/>
      <c r="V467"/>
      <c r="X467"/>
    </row>
    <row r="468" spans="10:24" s="1" customFormat="1" x14ac:dyDescent="0.2">
      <c r="J468"/>
      <c r="K468"/>
      <c r="L468"/>
      <c r="M468"/>
      <c r="N468"/>
      <c r="O468"/>
      <c r="P468" s="2"/>
      <c r="T468"/>
      <c r="U468"/>
      <c r="V468"/>
      <c r="X468"/>
    </row>
    <row r="469" spans="10:24" s="1" customFormat="1" x14ac:dyDescent="0.2">
      <c r="J469"/>
      <c r="K469"/>
      <c r="L469"/>
      <c r="M469"/>
      <c r="N469"/>
      <c r="O469"/>
      <c r="P469" s="2"/>
      <c r="T469"/>
      <c r="U469"/>
      <c r="V469"/>
      <c r="X469"/>
    </row>
    <row r="470" spans="10:24" s="1" customFormat="1" x14ac:dyDescent="0.2">
      <c r="J470"/>
      <c r="K470"/>
      <c r="L470"/>
      <c r="M470"/>
      <c r="N470"/>
      <c r="O470"/>
      <c r="P470" s="2"/>
      <c r="T470"/>
      <c r="U470"/>
      <c r="V470"/>
      <c r="X470"/>
    </row>
    <row r="471" spans="10:24" s="1" customFormat="1" x14ac:dyDescent="0.2">
      <c r="J471"/>
      <c r="K471"/>
      <c r="L471"/>
      <c r="M471"/>
      <c r="N471"/>
      <c r="O471"/>
      <c r="P471" s="2"/>
      <c r="T471"/>
      <c r="U471"/>
      <c r="V471"/>
      <c r="X471"/>
    </row>
    <row r="472" spans="10:24" s="1" customFormat="1" x14ac:dyDescent="0.2">
      <c r="J472"/>
      <c r="K472"/>
      <c r="L472"/>
      <c r="M472"/>
      <c r="N472"/>
      <c r="O472"/>
      <c r="P472" s="2"/>
      <c r="T472"/>
      <c r="U472"/>
      <c r="V472"/>
      <c r="X472"/>
    </row>
    <row r="473" spans="10:24" s="1" customFormat="1" x14ac:dyDescent="0.2">
      <c r="J473"/>
      <c r="K473"/>
      <c r="L473"/>
      <c r="M473"/>
      <c r="N473"/>
      <c r="O473"/>
      <c r="P473" s="2"/>
      <c r="T473"/>
      <c r="U473"/>
      <c r="V473"/>
      <c r="X473"/>
    </row>
    <row r="474" spans="10:24" s="1" customFormat="1" x14ac:dyDescent="0.2">
      <c r="J474"/>
      <c r="K474"/>
      <c r="L474"/>
      <c r="M474"/>
      <c r="N474"/>
      <c r="O474"/>
      <c r="P474" s="2"/>
      <c r="T474"/>
      <c r="U474"/>
      <c r="V474"/>
      <c r="X474"/>
    </row>
    <row r="475" spans="10:24" s="1" customFormat="1" x14ac:dyDescent="0.2">
      <c r="J475"/>
      <c r="K475"/>
      <c r="L475"/>
      <c r="M475"/>
      <c r="N475"/>
      <c r="O475"/>
      <c r="P475" s="2"/>
      <c r="T475"/>
      <c r="U475"/>
      <c r="V475"/>
      <c r="X475"/>
    </row>
    <row r="476" spans="10:24" s="1" customFormat="1" x14ac:dyDescent="0.2">
      <c r="J476"/>
      <c r="K476"/>
      <c r="L476"/>
      <c r="M476"/>
      <c r="N476"/>
      <c r="O476"/>
      <c r="P476" s="2"/>
      <c r="T476"/>
      <c r="U476"/>
      <c r="V476"/>
      <c r="X476"/>
    </row>
    <row r="477" spans="10:24" s="1" customFormat="1" x14ac:dyDescent="0.2">
      <c r="J477"/>
      <c r="K477"/>
      <c r="L477"/>
      <c r="M477"/>
      <c r="N477"/>
      <c r="O477"/>
      <c r="P477" s="2"/>
      <c r="T477"/>
      <c r="U477"/>
      <c r="V477"/>
      <c r="X477"/>
    </row>
    <row r="478" spans="10:24" s="1" customFormat="1" x14ac:dyDescent="0.2">
      <c r="J478"/>
      <c r="K478"/>
      <c r="L478"/>
      <c r="M478"/>
      <c r="N478"/>
      <c r="O478"/>
      <c r="P478" s="2"/>
      <c r="T478"/>
      <c r="U478"/>
      <c r="V478"/>
      <c r="X478"/>
    </row>
    <row r="479" spans="10:24" s="1" customFormat="1" x14ac:dyDescent="0.2">
      <c r="J479"/>
      <c r="K479"/>
      <c r="L479"/>
      <c r="M479"/>
      <c r="N479"/>
      <c r="O479"/>
      <c r="P479" s="2"/>
      <c r="T479"/>
      <c r="U479"/>
      <c r="V479"/>
      <c r="X479"/>
    </row>
    <row r="480" spans="10:24" s="1" customFormat="1" x14ac:dyDescent="0.2">
      <c r="J480"/>
      <c r="K480"/>
      <c r="L480"/>
      <c r="M480"/>
      <c r="N480"/>
      <c r="O480"/>
      <c r="P480" s="2"/>
      <c r="T480"/>
      <c r="U480"/>
      <c r="V480"/>
      <c r="X480"/>
    </row>
    <row r="481" spans="10:24" s="1" customFormat="1" x14ac:dyDescent="0.2">
      <c r="J481"/>
      <c r="K481"/>
      <c r="L481"/>
      <c r="M481"/>
      <c r="N481"/>
      <c r="O481"/>
      <c r="P481" s="2"/>
      <c r="T481"/>
      <c r="U481"/>
      <c r="V481"/>
      <c r="X481"/>
    </row>
    <row r="482" spans="10:24" s="1" customFormat="1" x14ac:dyDescent="0.2">
      <c r="J482"/>
      <c r="K482"/>
      <c r="L482"/>
      <c r="M482"/>
      <c r="N482"/>
      <c r="O482"/>
      <c r="P482" s="2"/>
      <c r="T482"/>
      <c r="U482"/>
      <c r="V482"/>
      <c r="X482"/>
    </row>
    <row r="483" spans="10:24" s="1" customFormat="1" x14ac:dyDescent="0.2">
      <c r="J483"/>
      <c r="K483"/>
      <c r="L483"/>
      <c r="M483"/>
      <c r="N483"/>
      <c r="O483"/>
      <c r="P483" s="2"/>
      <c r="T483"/>
      <c r="U483"/>
      <c r="V483"/>
      <c r="X483"/>
    </row>
    <row r="484" spans="10:24" s="1" customFormat="1" x14ac:dyDescent="0.2">
      <c r="J484"/>
      <c r="K484"/>
      <c r="L484"/>
      <c r="M484"/>
      <c r="N484"/>
      <c r="O484"/>
      <c r="P484" s="2"/>
      <c r="T484"/>
      <c r="U484"/>
      <c r="V484"/>
      <c r="X484"/>
    </row>
    <row r="485" spans="10:24" s="1" customFormat="1" x14ac:dyDescent="0.2">
      <c r="J485"/>
      <c r="K485"/>
      <c r="L485"/>
      <c r="M485"/>
      <c r="N485"/>
      <c r="O485"/>
      <c r="P485" s="2"/>
      <c r="T485"/>
      <c r="U485"/>
      <c r="V485"/>
      <c r="X485"/>
    </row>
    <row r="486" spans="10:24" s="1" customFormat="1" x14ac:dyDescent="0.2">
      <c r="J486"/>
      <c r="K486"/>
      <c r="L486"/>
      <c r="M486"/>
      <c r="N486"/>
      <c r="O486"/>
      <c r="P486" s="2"/>
      <c r="T486"/>
      <c r="U486"/>
      <c r="V486"/>
      <c r="X486"/>
    </row>
    <row r="487" spans="10:24" s="1" customFormat="1" x14ac:dyDescent="0.2">
      <c r="J487"/>
      <c r="K487"/>
      <c r="L487"/>
      <c r="M487"/>
      <c r="N487"/>
      <c r="O487"/>
      <c r="P487" s="2"/>
      <c r="T487"/>
      <c r="U487"/>
      <c r="V487"/>
      <c r="X487"/>
    </row>
    <row r="488" spans="10:24" s="1" customFormat="1" x14ac:dyDescent="0.2">
      <c r="J488"/>
      <c r="K488"/>
      <c r="L488"/>
      <c r="M488"/>
      <c r="N488"/>
      <c r="O488"/>
      <c r="P488" s="2"/>
      <c r="T488"/>
      <c r="U488"/>
      <c r="V488"/>
      <c r="X488"/>
    </row>
    <row r="489" spans="10:24" s="1" customFormat="1" x14ac:dyDescent="0.2">
      <c r="J489"/>
      <c r="K489"/>
      <c r="L489"/>
      <c r="M489"/>
      <c r="N489"/>
      <c r="O489"/>
      <c r="P489" s="2"/>
      <c r="T489"/>
      <c r="U489"/>
      <c r="V489"/>
      <c r="X489"/>
    </row>
    <row r="490" spans="10:24" s="1" customFormat="1" x14ac:dyDescent="0.2">
      <c r="J490"/>
      <c r="K490"/>
      <c r="L490"/>
      <c r="M490"/>
      <c r="N490"/>
      <c r="O490"/>
      <c r="P490" s="2"/>
      <c r="T490"/>
      <c r="U490"/>
      <c r="V490"/>
      <c r="X490"/>
    </row>
    <row r="491" spans="10:24" s="1" customFormat="1" x14ac:dyDescent="0.2">
      <c r="J491"/>
      <c r="K491"/>
      <c r="L491"/>
      <c r="M491"/>
      <c r="N491"/>
      <c r="O491"/>
      <c r="P491" s="2"/>
      <c r="T491"/>
      <c r="U491"/>
      <c r="V491"/>
      <c r="X491"/>
    </row>
    <row r="492" spans="10:24" s="1" customFormat="1" x14ac:dyDescent="0.2">
      <c r="J492"/>
      <c r="K492"/>
      <c r="L492"/>
      <c r="M492"/>
      <c r="N492"/>
      <c r="O492"/>
      <c r="P492" s="2"/>
      <c r="T492"/>
      <c r="U492"/>
      <c r="V492"/>
      <c r="X492"/>
    </row>
    <row r="493" spans="10:24" s="1" customFormat="1" x14ac:dyDescent="0.2">
      <c r="J493"/>
      <c r="K493"/>
      <c r="L493"/>
      <c r="M493"/>
      <c r="N493"/>
      <c r="O493"/>
      <c r="P493" s="2"/>
      <c r="T493"/>
      <c r="U493"/>
      <c r="V493"/>
      <c r="X493"/>
    </row>
    <row r="494" spans="10:24" s="1" customFormat="1" x14ac:dyDescent="0.2">
      <c r="J494"/>
      <c r="K494"/>
      <c r="L494"/>
      <c r="M494"/>
      <c r="N494"/>
      <c r="O494"/>
      <c r="P494" s="2"/>
      <c r="T494"/>
      <c r="U494"/>
      <c r="V494"/>
      <c r="X494"/>
    </row>
    <row r="495" spans="10:24" s="1" customFormat="1" x14ac:dyDescent="0.2">
      <c r="J495"/>
      <c r="K495"/>
      <c r="L495"/>
      <c r="M495"/>
      <c r="N495"/>
      <c r="O495"/>
      <c r="P495" s="2"/>
      <c r="T495"/>
      <c r="U495"/>
      <c r="V495"/>
      <c r="X495"/>
    </row>
    <row r="496" spans="10:24" s="1" customFormat="1" x14ac:dyDescent="0.2">
      <c r="J496"/>
      <c r="K496"/>
      <c r="L496"/>
      <c r="M496"/>
      <c r="N496"/>
      <c r="O496"/>
      <c r="P496" s="2"/>
      <c r="T496"/>
      <c r="U496"/>
      <c r="V496"/>
      <c r="X496"/>
    </row>
    <row r="497" spans="10:24" s="1" customFormat="1" x14ac:dyDescent="0.2">
      <c r="J497"/>
      <c r="K497"/>
      <c r="L497"/>
      <c r="M497"/>
      <c r="N497"/>
      <c r="O497"/>
      <c r="P497" s="2"/>
      <c r="T497"/>
      <c r="U497"/>
      <c r="V497"/>
      <c r="X497"/>
    </row>
    <row r="498" spans="10:24" s="1" customFormat="1" x14ac:dyDescent="0.2">
      <c r="J498"/>
      <c r="K498"/>
      <c r="L498"/>
      <c r="M498"/>
      <c r="N498"/>
      <c r="O498"/>
      <c r="P498" s="2"/>
      <c r="T498"/>
      <c r="U498"/>
      <c r="V498"/>
      <c r="X498"/>
    </row>
    <row r="499" spans="10:24" s="1" customFormat="1" x14ac:dyDescent="0.2">
      <c r="J499"/>
      <c r="K499"/>
      <c r="L499"/>
      <c r="M499"/>
      <c r="N499"/>
      <c r="O499"/>
      <c r="P499" s="2"/>
      <c r="T499"/>
      <c r="U499"/>
      <c r="V499"/>
      <c r="X499"/>
    </row>
    <row r="500" spans="10:24" s="1" customFormat="1" x14ac:dyDescent="0.2">
      <c r="J500"/>
      <c r="K500"/>
      <c r="L500"/>
      <c r="M500"/>
      <c r="N500"/>
      <c r="O500"/>
      <c r="P500" s="2"/>
      <c r="T500"/>
      <c r="U500"/>
      <c r="V500"/>
      <c r="X500"/>
    </row>
    <row r="501" spans="10:24" s="1" customFormat="1" x14ac:dyDescent="0.2">
      <c r="J501"/>
      <c r="K501"/>
      <c r="L501"/>
      <c r="M501"/>
      <c r="N501"/>
      <c r="O501"/>
      <c r="P501" s="2"/>
      <c r="T501"/>
      <c r="U501"/>
      <c r="V501"/>
      <c r="X501"/>
    </row>
    <row r="502" spans="10:24" s="1" customFormat="1" x14ac:dyDescent="0.2">
      <c r="J502"/>
      <c r="K502"/>
      <c r="L502"/>
      <c r="M502"/>
      <c r="N502"/>
      <c r="O502"/>
      <c r="P502" s="2"/>
      <c r="T502"/>
      <c r="U502"/>
      <c r="V502"/>
      <c r="X502"/>
    </row>
    <row r="503" spans="10:24" s="1" customFormat="1" x14ac:dyDescent="0.2">
      <c r="J503"/>
      <c r="K503"/>
      <c r="L503"/>
      <c r="M503"/>
      <c r="N503"/>
      <c r="O503"/>
      <c r="P503" s="2"/>
      <c r="T503"/>
      <c r="U503"/>
      <c r="V503"/>
      <c r="X503"/>
    </row>
    <row r="504" spans="10:24" s="1" customFormat="1" x14ac:dyDescent="0.2">
      <c r="J504"/>
      <c r="K504"/>
      <c r="L504"/>
      <c r="M504"/>
      <c r="N504"/>
      <c r="O504"/>
      <c r="P504" s="2"/>
      <c r="T504"/>
      <c r="U504"/>
      <c r="V504"/>
      <c r="X504"/>
    </row>
    <row r="505" spans="10:24" s="1" customFormat="1" x14ac:dyDescent="0.2">
      <c r="J505"/>
      <c r="K505"/>
      <c r="L505"/>
      <c r="M505"/>
      <c r="N505"/>
      <c r="O505"/>
      <c r="P505" s="2"/>
      <c r="T505"/>
      <c r="U505"/>
      <c r="V505"/>
      <c r="X505"/>
    </row>
    <row r="506" spans="10:24" s="1" customFormat="1" x14ac:dyDescent="0.2">
      <c r="J506"/>
      <c r="K506"/>
      <c r="L506"/>
      <c r="M506"/>
      <c r="N506"/>
      <c r="O506"/>
      <c r="P506" s="2"/>
      <c r="T506"/>
      <c r="U506"/>
      <c r="V506"/>
      <c r="X506"/>
    </row>
    <row r="507" spans="10:24" s="1" customFormat="1" x14ac:dyDescent="0.2">
      <c r="J507"/>
      <c r="K507"/>
      <c r="L507"/>
      <c r="M507"/>
      <c r="N507"/>
      <c r="O507"/>
      <c r="P507" s="2"/>
      <c r="T507"/>
      <c r="U507"/>
      <c r="V507"/>
      <c r="X507"/>
    </row>
    <row r="508" spans="10:24" s="1" customFormat="1" x14ac:dyDescent="0.2">
      <c r="J508"/>
      <c r="K508"/>
      <c r="L508"/>
      <c r="M508"/>
      <c r="N508"/>
      <c r="O508"/>
      <c r="P508" s="2"/>
      <c r="T508"/>
      <c r="U508"/>
      <c r="V508"/>
      <c r="X508"/>
    </row>
    <row r="509" spans="10:24" s="1" customFormat="1" x14ac:dyDescent="0.2">
      <c r="J509"/>
      <c r="K509"/>
      <c r="L509"/>
      <c r="M509"/>
      <c r="N509"/>
      <c r="O509"/>
      <c r="P509" s="2"/>
      <c r="T509"/>
      <c r="U509"/>
      <c r="V509"/>
      <c r="X509"/>
    </row>
    <row r="510" spans="10:24" s="1" customFormat="1" x14ac:dyDescent="0.2">
      <c r="J510"/>
      <c r="K510"/>
      <c r="L510"/>
      <c r="M510"/>
      <c r="N510"/>
      <c r="O510"/>
      <c r="P510" s="2"/>
      <c r="T510"/>
      <c r="U510"/>
      <c r="V510"/>
      <c r="X510"/>
    </row>
    <row r="511" spans="10:24" s="1" customFormat="1" x14ac:dyDescent="0.2">
      <c r="J511"/>
      <c r="K511"/>
      <c r="L511"/>
      <c r="M511"/>
      <c r="N511"/>
      <c r="O511"/>
      <c r="P511" s="2"/>
      <c r="T511"/>
      <c r="U511"/>
      <c r="V511"/>
      <c r="X511"/>
    </row>
    <row r="512" spans="10:24" s="1" customFormat="1" x14ac:dyDescent="0.2">
      <c r="J512"/>
      <c r="K512"/>
      <c r="L512"/>
      <c r="M512"/>
      <c r="N512"/>
      <c r="O512"/>
      <c r="P512" s="2"/>
      <c r="T512"/>
      <c r="U512"/>
      <c r="V512"/>
      <c r="X512"/>
    </row>
    <row r="513" spans="10:24" s="1" customFormat="1" x14ac:dyDescent="0.2">
      <c r="J513"/>
      <c r="K513"/>
      <c r="L513"/>
      <c r="M513"/>
      <c r="N513"/>
      <c r="O513"/>
      <c r="P513" s="2"/>
      <c r="T513"/>
      <c r="U513"/>
      <c r="V513"/>
      <c r="X513"/>
    </row>
    <row r="514" spans="10:24" s="1" customFormat="1" x14ac:dyDescent="0.2">
      <c r="J514"/>
      <c r="K514"/>
      <c r="L514"/>
      <c r="M514"/>
      <c r="N514"/>
      <c r="O514"/>
      <c r="P514" s="2"/>
      <c r="T514"/>
      <c r="U514"/>
      <c r="V514"/>
      <c r="X514"/>
    </row>
    <row r="515" spans="10:24" s="1" customFormat="1" x14ac:dyDescent="0.2">
      <c r="J515"/>
      <c r="K515"/>
      <c r="L515"/>
      <c r="M515"/>
      <c r="N515"/>
      <c r="O515"/>
      <c r="P515" s="2"/>
      <c r="T515"/>
      <c r="U515"/>
      <c r="V515"/>
      <c r="X515"/>
    </row>
    <row r="516" spans="10:24" s="1" customFormat="1" x14ac:dyDescent="0.2">
      <c r="J516"/>
      <c r="K516"/>
      <c r="L516"/>
      <c r="M516"/>
      <c r="N516"/>
      <c r="O516"/>
      <c r="P516" s="2"/>
      <c r="T516"/>
      <c r="U516"/>
      <c r="V516"/>
      <c r="X516"/>
    </row>
    <row r="517" spans="10:24" s="1" customFormat="1" x14ac:dyDescent="0.2">
      <c r="J517"/>
      <c r="K517"/>
      <c r="L517"/>
      <c r="M517"/>
      <c r="N517"/>
      <c r="O517"/>
      <c r="P517" s="2"/>
      <c r="T517"/>
      <c r="U517"/>
      <c r="V517"/>
      <c r="X517"/>
    </row>
    <row r="518" spans="10:24" s="1" customFormat="1" x14ac:dyDescent="0.2">
      <c r="J518"/>
      <c r="K518"/>
      <c r="L518"/>
      <c r="M518"/>
      <c r="N518"/>
      <c r="O518"/>
      <c r="P518" s="2"/>
      <c r="T518"/>
      <c r="U518"/>
      <c r="V518"/>
      <c r="X518"/>
    </row>
    <row r="519" spans="10:24" s="1" customFormat="1" x14ac:dyDescent="0.2">
      <c r="J519"/>
      <c r="K519"/>
      <c r="L519"/>
      <c r="M519"/>
      <c r="N519"/>
      <c r="O519"/>
      <c r="P519" s="2"/>
      <c r="T519"/>
      <c r="U519"/>
      <c r="V519"/>
      <c r="X519"/>
    </row>
    <row r="520" spans="10:24" s="1" customFormat="1" x14ac:dyDescent="0.2">
      <c r="J520"/>
      <c r="K520"/>
      <c r="L520"/>
      <c r="M520"/>
      <c r="N520"/>
      <c r="O520"/>
      <c r="P520" s="2"/>
      <c r="T520"/>
      <c r="U520"/>
      <c r="V520"/>
      <c r="X520"/>
    </row>
    <row r="521" spans="10:24" s="1" customFormat="1" x14ac:dyDescent="0.2">
      <c r="J521"/>
      <c r="K521"/>
      <c r="L521"/>
      <c r="M521"/>
      <c r="N521"/>
      <c r="O521"/>
      <c r="P521" s="2"/>
      <c r="T521"/>
      <c r="U521"/>
      <c r="V521"/>
      <c r="X521"/>
    </row>
    <row r="522" spans="10:24" s="1" customFormat="1" x14ac:dyDescent="0.2">
      <c r="J522"/>
      <c r="K522"/>
      <c r="L522"/>
      <c r="M522"/>
      <c r="N522"/>
      <c r="O522"/>
      <c r="P522" s="2"/>
      <c r="T522"/>
      <c r="U522"/>
      <c r="V522"/>
      <c r="X522"/>
    </row>
    <row r="523" spans="10:24" s="1" customFormat="1" x14ac:dyDescent="0.2">
      <c r="J523"/>
      <c r="K523"/>
      <c r="L523"/>
      <c r="M523"/>
      <c r="N523"/>
      <c r="O523"/>
      <c r="P523" s="2"/>
      <c r="T523"/>
      <c r="U523"/>
      <c r="V523"/>
      <c r="X523"/>
    </row>
    <row r="524" spans="10:24" s="1" customFormat="1" x14ac:dyDescent="0.2">
      <c r="J524"/>
      <c r="K524"/>
      <c r="L524"/>
      <c r="M524"/>
      <c r="N524"/>
      <c r="O524"/>
      <c r="P524" s="2"/>
      <c r="T524"/>
      <c r="U524"/>
      <c r="V524"/>
      <c r="X524"/>
    </row>
    <row r="525" spans="10:24" s="1" customFormat="1" x14ac:dyDescent="0.2">
      <c r="J525"/>
      <c r="K525"/>
      <c r="L525"/>
      <c r="M525"/>
      <c r="N525"/>
      <c r="O525"/>
      <c r="P525" s="2"/>
      <c r="T525"/>
      <c r="U525"/>
      <c r="V525"/>
      <c r="X525"/>
    </row>
    <row r="526" spans="10:24" s="1" customFormat="1" x14ac:dyDescent="0.2">
      <c r="J526"/>
      <c r="K526"/>
      <c r="L526"/>
      <c r="M526"/>
      <c r="N526"/>
      <c r="O526"/>
      <c r="P526" s="2"/>
      <c r="T526"/>
      <c r="U526"/>
      <c r="V526"/>
      <c r="X526"/>
    </row>
    <row r="527" spans="10:24" s="1" customFormat="1" x14ac:dyDescent="0.2">
      <c r="J527"/>
      <c r="K527"/>
      <c r="L527"/>
      <c r="M527"/>
      <c r="N527"/>
      <c r="O527"/>
      <c r="P527" s="2"/>
      <c r="T527"/>
      <c r="U527"/>
      <c r="V527"/>
      <c r="X527"/>
    </row>
    <row r="528" spans="10:24" s="1" customFormat="1" x14ac:dyDescent="0.2">
      <c r="J528"/>
      <c r="K528"/>
      <c r="L528"/>
      <c r="M528"/>
      <c r="N528"/>
      <c r="O528"/>
      <c r="P528" s="2"/>
      <c r="T528"/>
      <c r="U528"/>
      <c r="V528"/>
      <c r="X528"/>
    </row>
    <row r="529" spans="10:24" s="1" customFormat="1" x14ac:dyDescent="0.2">
      <c r="J529"/>
      <c r="K529"/>
      <c r="L529"/>
      <c r="M529"/>
      <c r="N529"/>
      <c r="O529"/>
      <c r="P529" s="2"/>
      <c r="T529"/>
      <c r="U529"/>
      <c r="V529"/>
      <c r="X529"/>
    </row>
    <row r="530" spans="10:24" s="1" customFormat="1" x14ac:dyDescent="0.2">
      <c r="J530"/>
      <c r="K530"/>
      <c r="L530"/>
      <c r="M530"/>
      <c r="N530"/>
      <c r="O530"/>
      <c r="P530" s="2"/>
      <c r="T530"/>
      <c r="U530"/>
      <c r="V530"/>
      <c r="X530"/>
    </row>
    <row r="531" spans="10:24" s="1" customFormat="1" x14ac:dyDescent="0.2">
      <c r="J531"/>
      <c r="K531"/>
      <c r="L531"/>
      <c r="M531"/>
      <c r="N531"/>
      <c r="O531"/>
      <c r="P531" s="2"/>
      <c r="T531"/>
      <c r="U531"/>
      <c r="V531"/>
      <c r="X531"/>
    </row>
    <row r="532" spans="10:24" s="1" customFormat="1" x14ac:dyDescent="0.2">
      <c r="J532"/>
      <c r="K532"/>
      <c r="L532"/>
      <c r="M532"/>
      <c r="N532"/>
      <c r="O532"/>
      <c r="P532" s="2"/>
      <c r="T532"/>
      <c r="U532"/>
      <c r="V532"/>
      <c r="X532"/>
    </row>
    <row r="533" spans="10:24" s="1" customFormat="1" x14ac:dyDescent="0.2">
      <c r="J533"/>
      <c r="K533"/>
      <c r="L533"/>
      <c r="M533"/>
      <c r="N533"/>
      <c r="O533"/>
      <c r="P533" s="2"/>
      <c r="T533"/>
      <c r="U533"/>
      <c r="V533"/>
      <c r="X533"/>
    </row>
    <row r="534" spans="10:24" s="1" customFormat="1" x14ac:dyDescent="0.2">
      <c r="J534"/>
      <c r="K534"/>
      <c r="L534"/>
      <c r="M534"/>
      <c r="N534"/>
      <c r="O534"/>
      <c r="P534" s="2"/>
      <c r="T534"/>
      <c r="U534"/>
      <c r="V534"/>
      <c r="X534"/>
    </row>
    <row r="535" spans="10:24" s="1" customFormat="1" x14ac:dyDescent="0.2">
      <c r="J535"/>
      <c r="K535"/>
      <c r="L535"/>
      <c r="M535"/>
      <c r="N535"/>
      <c r="O535"/>
      <c r="P535" s="2"/>
      <c r="T535"/>
      <c r="U535"/>
      <c r="V535"/>
      <c r="X535"/>
    </row>
    <row r="536" spans="10:24" s="1" customFormat="1" x14ac:dyDescent="0.2">
      <c r="J536"/>
      <c r="K536"/>
      <c r="L536"/>
      <c r="M536"/>
      <c r="N536"/>
      <c r="O536"/>
      <c r="P536" s="2"/>
      <c r="T536"/>
      <c r="U536"/>
      <c r="V536"/>
      <c r="X536"/>
    </row>
    <row r="537" spans="10:24" s="1" customFormat="1" x14ac:dyDescent="0.2">
      <c r="J537"/>
      <c r="K537"/>
      <c r="L537"/>
      <c r="M537"/>
      <c r="N537"/>
      <c r="O537"/>
      <c r="P537" s="2"/>
      <c r="T537"/>
      <c r="U537"/>
      <c r="V537"/>
      <c r="X537"/>
    </row>
    <row r="538" spans="10:24" s="1" customFormat="1" x14ac:dyDescent="0.2">
      <c r="J538"/>
      <c r="K538"/>
      <c r="L538"/>
      <c r="M538"/>
      <c r="N538"/>
      <c r="O538"/>
      <c r="P538" s="2"/>
      <c r="T538"/>
      <c r="U538"/>
      <c r="V538"/>
      <c r="X538"/>
    </row>
    <row r="539" spans="10:24" s="1" customFormat="1" x14ac:dyDescent="0.2">
      <c r="J539"/>
      <c r="K539"/>
      <c r="L539"/>
      <c r="M539"/>
      <c r="N539"/>
      <c r="O539"/>
      <c r="P539" s="2"/>
      <c r="T539"/>
      <c r="U539"/>
      <c r="V539"/>
      <c r="X539"/>
    </row>
    <row r="540" spans="10:24" s="1" customFormat="1" x14ac:dyDescent="0.2">
      <c r="J540"/>
      <c r="K540"/>
      <c r="L540"/>
      <c r="M540"/>
      <c r="N540"/>
      <c r="O540"/>
      <c r="P540" s="2"/>
      <c r="T540"/>
      <c r="U540"/>
      <c r="V540"/>
      <c r="X540"/>
    </row>
    <row r="541" spans="10:24" s="1" customFormat="1" x14ac:dyDescent="0.2">
      <c r="J541"/>
      <c r="K541"/>
      <c r="L541"/>
      <c r="M541"/>
      <c r="N541"/>
      <c r="O541"/>
      <c r="P541" s="2"/>
      <c r="T541"/>
      <c r="U541"/>
      <c r="V541"/>
      <c r="X541"/>
    </row>
    <row r="542" spans="10:24" s="1" customFormat="1" x14ac:dyDescent="0.2">
      <c r="J542"/>
      <c r="K542"/>
      <c r="L542"/>
      <c r="M542"/>
      <c r="N542"/>
      <c r="O542"/>
      <c r="P542" s="2"/>
      <c r="T542"/>
      <c r="U542"/>
      <c r="V542"/>
      <c r="X542"/>
    </row>
    <row r="543" spans="10:24" s="1" customFormat="1" x14ac:dyDescent="0.2">
      <c r="J543"/>
      <c r="K543"/>
      <c r="L543"/>
      <c r="M543"/>
      <c r="N543"/>
      <c r="O543"/>
      <c r="P543" s="2"/>
      <c r="T543"/>
      <c r="U543"/>
      <c r="V543"/>
      <c r="X543"/>
    </row>
    <row r="544" spans="10:24" s="1" customFormat="1" x14ac:dyDescent="0.2">
      <c r="J544"/>
      <c r="K544"/>
      <c r="L544"/>
      <c r="M544"/>
      <c r="N544"/>
      <c r="O544"/>
      <c r="P544" s="2"/>
      <c r="T544"/>
      <c r="U544"/>
      <c r="V544"/>
      <c r="X544"/>
    </row>
    <row r="545" spans="10:24" s="1" customFormat="1" x14ac:dyDescent="0.2">
      <c r="J545"/>
      <c r="K545"/>
      <c r="L545"/>
      <c r="M545"/>
      <c r="N545"/>
      <c r="O545"/>
      <c r="P545" s="2"/>
      <c r="T545"/>
      <c r="U545"/>
      <c r="V545"/>
      <c r="X545"/>
    </row>
    <row r="546" spans="10:24" s="1" customFormat="1" x14ac:dyDescent="0.2">
      <c r="J546"/>
      <c r="K546"/>
      <c r="L546"/>
      <c r="M546"/>
      <c r="N546"/>
      <c r="O546"/>
      <c r="P546" s="2"/>
      <c r="T546"/>
      <c r="U546"/>
      <c r="V546"/>
      <c r="X546"/>
    </row>
    <row r="547" spans="10:24" s="1" customFormat="1" x14ac:dyDescent="0.2">
      <c r="J547"/>
      <c r="K547"/>
      <c r="L547"/>
      <c r="M547"/>
      <c r="N547"/>
      <c r="O547"/>
      <c r="P547" s="2"/>
      <c r="T547"/>
      <c r="U547"/>
      <c r="V547"/>
      <c r="X547"/>
    </row>
    <row r="548" spans="10:24" s="1" customFormat="1" x14ac:dyDescent="0.2">
      <c r="J548"/>
      <c r="K548"/>
      <c r="L548"/>
      <c r="M548"/>
      <c r="N548"/>
      <c r="O548"/>
      <c r="P548" s="2"/>
      <c r="T548"/>
      <c r="U548"/>
      <c r="V548"/>
      <c r="X548"/>
    </row>
    <row r="549" spans="10:24" s="1" customFormat="1" x14ac:dyDescent="0.2">
      <c r="J549"/>
      <c r="K549"/>
      <c r="L549"/>
      <c r="M549"/>
      <c r="N549"/>
      <c r="O549"/>
      <c r="P549" s="2"/>
      <c r="T549"/>
      <c r="U549"/>
      <c r="V549"/>
      <c r="X549"/>
    </row>
    <row r="550" spans="10:24" s="1" customFormat="1" x14ac:dyDescent="0.2">
      <c r="J550"/>
      <c r="K550"/>
      <c r="L550"/>
      <c r="M550"/>
      <c r="N550"/>
      <c r="O550"/>
      <c r="P550" s="2"/>
      <c r="T550"/>
      <c r="U550"/>
      <c r="V550"/>
      <c r="X550"/>
    </row>
    <row r="551" spans="10:24" s="1" customFormat="1" x14ac:dyDescent="0.2">
      <c r="J551"/>
      <c r="K551"/>
      <c r="L551"/>
      <c r="M551"/>
      <c r="N551"/>
      <c r="O551"/>
      <c r="P551" s="2"/>
      <c r="T551"/>
      <c r="U551"/>
      <c r="V551"/>
      <c r="X551"/>
    </row>
    <row r="552" spans="10:24" s="1" customFormat="1" x14ac:dyDescent="0.2">
      <c r="J552"/>
      <c r="K552"/>
      <c r="L552"/>
      <c r="M552"/>
      <c r="N552"/>
      <c r="O552"/>
      <c r="P552" s="2"/>
      <c r="T552"/>
      <c r="U552"/>
      <c r="V552"/>
      <c r="X552"/>
    </row>
    <row r="553" spans="10:24" s="1" customFormat="1" x14ac:dyDescent="0.2">
      <c r="J553"/>
      <c r="K553"/>
      <c r="L553"/>
      <c r="M553"/>
      <c r="N553"/>
      <c r="O553"/>
      <c r="P553" s="2"/>
      <c r="T553"/>
      <c r="U553"/>
      <c r="V553"/>
      <c r="X553"/>
    </row>
    <row r="554" spans="10:24" s="1" customFormat="1" x14ac:dyDescent="0.2">
      <c r="J554"/>
      <c r="K554"/>
      <c r="L554"/>
      <c r="M554"/>
      <c r="N554"/>
      <c r="O554"/>
      <c r="P554" s="2"/>
      <c r="T554"/>
      <c r="U554"/>
      <c r="V554"/>
      <c r="X554"/>
    </row>
    <row r="555" spans="10:24" s="1" customFormat="1" x14ac:dyDescent="0.2">
      <c r="J555"/>
      <c r="K555"/>
      <c r="L555"/>
      <c r="M555"/>
      <c r="N555"/>
      <c r="O555"/>
      <c r="P555" s="2"/>
      <c r="T555"/>
      <c r="U555"/>
      <c r="V555"/>
      <c r="X555"/>
    </row>
    <row r="556" spans="10:24" s="1" customFormat="1" x14ac:dyDescent="0.2">
      <c r="J556"/>
      <c r="K556"/>
      <c r="L556"/>
      <c r="M556"/>
      <c r="N556"/>
      <c r="O556"/>
      <c r="P556" s="2"/>
      <c r="T556"/>
      <c r="U556"/>
      <c r="V556"/>
      <c r="X556"/>
    </row>
    <row r="557" spans="10:24" s="1" customFormat="1" x14ac:dyDescent="0.2">
      <c r="J557"/>
      <c r="K557"/>
      <c r="L557"/>
      <c r="M557"/>
      <c r="N557"/>
      <c r="O557"/>
      <c r="P557" s="2"/>
      <c r="T557"/>
      <c r="U557"/>
      <c r="V557"/>
      <c r="X557"/>
    </row>
    <row r="558" spans="10:24" s="1" customFormat="1" x14ac:dyDescent="0.2">
      <c r="J558"/>
      <c r="K558"/>
      <c r="L558"/>
      <c r="M558"/>
      <c r="N558"/>
      <c r="O558"/>
      <c r="P558" s="2"/>
      <c r="T558"/>
      <c r="U558"/>
      <c r="V558"/>
      <c r="X558"/>
    </row>
    <row r="559" spans="10:24" s="1" customFormat="1" x14ac:dyDescent="0.2">
      <c r="J559"/>
      <c r="K559"/>
      <c r="L559"/>
      <c r="M559"/>
      <c r="N559"/>
      <c r="O559"/>
      <c r="P559" s="2"/>
      <c r="T559"/>
      <c r="U559"/>
      <c r="V559"/>
      <c r="X559"/>
    </row>
    <row r="560" spans="10:24" s="1" customFormat="1" x14ac:dyDescent="0.2">
      <c r="J560"/>
      <c r="K560"/>
      <c r="L560"/>
      <c r="M560"/>
      <c r="N560"/>
      <c r="O560"/>
      <c r="P560" s="2"/>
      <c r="T560"/>
      <c r="U560"/>
      <c r="V560"/>
      <c r="X560"/>
    </row>
    <row r="561" spans="10:24" s="1" customFormat="1" x14ac:dyDescent="0.2">
      <c r="J561"/>
      <c r="K561"/>
      <c r="L561"/>
      <c r="M561"/>
      <c r="N561"/>
      <c r="O561"/>
      <c r="P561" s="2"/>
      <c r="T561"/>
      <c r="U561"/>
      <c r="V561"/>
      <c r="X561"/>
    </row>
    <row r="562" spans="10:24" s="1" customFormat="1" x14ac:dyDescent="0.2">
      <c r="J562"/>
      <c r="K562"/>
      <c r="L562"/>
      <c r="M562"/>
      <c r="N562"/>
      <c r="O562"/>
      <c r="P562" s="2"/>
      <c r="T562"/>
      <c r="U562"/>
      <c r="V562"/>
      <c r="X562"/>
    </row>
    <row r="563" spans="10:24" s="1" customFormat="1" x14ac:dyDescent="0.2">
      <c r="J563"/>
      <c r="K563"/>
      <c r="L563"/>
      <c r="M563"/>
      <c r="N563"/>
      <c r="O563"/>
      <c r="P563" s="2"/>
      <c r="T563"/>
      <c r="U563"/>
      <c r="V563"/>
      <c r="X563"/>
    </row>
    <row r="564" spans="10:24" s="1" customFormat="1" x14ac:dyDescent="0.2">
      <c r="J564"/>
      <c r="K564"/>
      <c r="L564"/>
      <c r="M564"/>
      <c r="N564"/>
      <c r="O564"/>
      <c r="P564" s="2"/>
      <c r="T564"/>
      <c r="U564"/>
      <c r="V564"/>
      <c r="X564"/>
    </row>
    <row r="565" spans="10:24" s="1" customFormat="1" x14ac:dyDescent="0.2">
      <c r="J565"/>
      <c r="K565"/>
      <c r="L565"/>
      <c r="M565"/>
      <c r="N565"/>
      <c r="O565"/>
      <c r="P565" s="2"/>
      <c r="T565"/>
      <c r="U565"/>
      <c r="V565"/>
      <c r="X565"/>
    </row>
    <row r="566" spans="10:24" s="1" customFormat="1" x14ac:dyDescent="0.2">
      <c r="J566"/>
      <c r="K566"/>
      <c r="L566"/>
      <c r="M566"/>
      <c r="N566"/>
      <c r="O566"/>
      <c r="P566" s="2"/>
      <c r="T566"/>
      <c r="U566"/>
      <c r="V566"/>
      <c r="X566"/>
    </row>
    <row r="567" spans="10:24" s="1" customFormat="1" x14ac:dyDescent="0.2">
      <c r="J567"/>
      <c r="K567"/>
      <c r="L567"/>
      <c r="M567"/>
      <c r="N567"/>
      <c r="O567"/>
      <c r="P567" s="2"/>
      <c r="T567"/>
      <c r="U567"/>
      <c r="V567"/>
      <c r="X567"/>
    </row>
    <row r="568" spans="10:24" s="1" customFormat="1" x14ac:dyDescent="0.2">
      <c r="J568"/>
      <c r="K568"/>
      <c r="L568"/>
      <c r="M568"/>
      <c r="N568"/>
      <c r="O568"/>
      <c r="P568" s="2"/>
      <c r="T568"/>
      <c r="U568"/>
      <c r="V568"/>
      <c r="X568"/>
    </row>
    <row r="569" spans="10:24" s="1" customFormat="1" x14ac:dyDescent="0.2">
      <c r="J569"/>
      <c r="K569"/>
      <c r="L569"/>
      <c r="M569"/>
      <c r="N569"/>
      <c r="O569"/>
      <c r="P569" s="2"/>
      <c r="T569"/>
      <c r="U569"/>
      <c r="V569"/>
      <c r="X569"/>
    </row>
    <row r="570" spans="10:24" s="1" customFormat="1" x14ac:dyDescent="0.2">
      <c r="J570"/>
      <c r="K570"/>
      <c r="L570"/>
      <c r="M570"/>
      <c r="N570"/>
      <c r="O570"/>
      <c r="P570" s="2"/>
      <c r="T570"/>
      <c r="U570"/>
      <c r="V570"/>
      <c r="X570"/>
    </row>
    <row r="571" spans="10:24" s="1" customFormat="1" x14ac:dyDescent="0.2">
      <c r="J571"/>
      <c r="K571"/>
      <c r="L571"/>
      <c r="M571"/>
      <c r="N571"/>
      <c r="O571"/>
      <c r="P571" s="2"/>
      <c r="T571"/>
      <c r="U571"/>
      <c r="V571"/>
      <c r="X571"/>
    </row>
    <row r="572" spans="10:24" s="1" customFormat="1" x14ac:dyDescent="0.2">
      <c r="J572"/>
      <c r="K572"/>
      <c r="L572"/>
      <c r="M572"/>
      <c r="N572"/>
      <c r="O572"/>
      <c r="P572" s="2"/>
      <c r="T572"/>
      <c r="U572"/>
      <c r="V572"/>
      <c r="X572"/>
    </row>
    <row r="573" spans="10:24" s="1" customFormat="1" x14ac:dyDescent="0.2">
      <c r="J573"/>
      <c r="K573"/>
      <c r="L573"/>
      <c r="M573"/>
      <c r="N573"/>
      <c r="O573"/>
      <c r="P573" s="2"/>
      <c r="T573"/>
      <c r="U573"/>
      <c r="V573"/>
      <c r="X573"/>
    </row>
    <row r="574" spans="10:24" s="1" customFormat="1" x14ac:dyDescent="0.2">
      <c r="J574"/>
      <c r="K574"/>
      <c r="L574"/>
      <c r="M574"/>
      <c r="N574"/>
      <c r="O574"/>
      <c r="P574" s="2"/>
      <c r="T574"/>
      <c r="U574"/>
      <c r="V574"/>
      <c r="X574"/>
    </row>
    <row r="575" spans="10:24" s="1" customFormat="1" x14ac:dyDescent="0.2">
      <c r="J575"/>
      <c r="K575"/>
      <c r="L575"/>
      <c r="M575"/>
      <c r="N575"/>
      <c r="O575"/>
      <c r="P575" s="2"/>
      <c r="T575"/>
      <c r="U575"/>
      <c r="V575"/>
      <c r="X575"/>
    </row>
    <row r="576" spans="10:24" s="1" customFormat="1" x14ac:dyDescent="0.2">
      <c r="J576"/>
      <c r="K576"/>
      <c r="L576"/>
      <c r="M576"/>
      <c r="N576"/>
      <c r="O576"/>
      <c r="P576" s="2"/>
      <c r="T576"/>
      <c r="U576"/>
      <c r="V576"/>
      <c r="X576"/>
    </row>
    <row r="577" spans="10:24" s="1" customFormat="1" x14ac:dyDescent="0.2">
      <c r="J577"/>
      <c r="K577"/>
      <c r="L577"/>
      <c r="M577"/>
      <c r="N577"/>
      <c r="O577"/>
      <c r="P577" s="2"/>
      <c r="T577"/>
      <c r="U577"/>
      <c r="V577"/>
      <c r="X577"/>
    </row>
    <row r="578" spans="10:24" s="1" customFormat="1" x14ac:dyDescent="0.2">
      <c r="J578"/>
      <c r="K578"/>
      <c r="L578"/>
      <c r="M578"/>
      <c r="N578"/>
      <c r="O578"/>
      <c r="P578" s="2"/>
      <c r="T578"/>
      <c r="U578"/>
      <c r="V578"/>
      <c r="X578"/>
    </row>
    <row r="579" spans="10:24" s="1" customFormat="1" x14ac:dyDescent="0.2">
      <c r="J579"/>
      <c r="K579"/>
      <c r="L579"/>
      <c r="M579"/>
      <c r="N579"/>
      <c r="O579"/>
      <c r="P579" s="2"/>
      <c r="T579"/>
      <c r="U579"/>
      <c r="V579"/>
      <c r="X579"/>
    </row>
    <row r="580" spans="10:24" s="1" customFormat="1" x14ac:dyDescent="0.2">
      <c r="J580"/>
      <c r="K580"/>
      <c r="L580"/>
      <c r="M580"/>
      <c r="N580"/>
      <c r="O580"/>
      <c r="P580" s="2"/>
      <c r="T580"/>
      <c r="U580"/>
      <c r="V580"/>
      <c r="X580"/>
    </row>
    <row r="581" spans="10:24" s="1" customFormat="1" x14ac:dyDescent="0.2">
      <c r="J581"/>
      <c r="K581"/>
      <c r="L581"/>
      <c r="M581"/>
      <c r="N581"/>
      <c r="O581"/>
      <c r="P581" s="2"/>
      <c r="T581"/>
      <c r="U581"/>
      <c r="V581"/>
      <c r="X581"/>
    </row>
    <row r="582" spans="10:24" s="1" customFormat="1" x14ac:dyDescent="0.2">
      <c r="J582"/>
      <c r="K582"/>
      <c r="L582"/>
      <c r="M582"/>
      <c r="N582"/>
      <c r="O582"/>
      <c r="P582" s="2"/>
      <c r="T582"/>
      <c r="U582"/>
      <c r="V582"/>
      <c r="X582"/>
    </row>
    <row r="583" spans="10:24" s="1" customFormat="1" x14ac:dyDescent="0.2">
      <c r="J583"/>
      <c r="K583"/>
      <c r="L583"/>
      <c r="M583"/>
      <c r="N583"/>
      <c r="O583"/>
      <c r="P583" s="2"/>
      <c r="T583"/>
      <c r="U583"/>
      <c r="V583"/>
      <c r="X583"/>
    </row>
    <row r="584" spans="10:24" s="1" customFormat="1" x14ac:dyDescent="0.2">
      <c r="J584"/>
      <c r="K584"/>
      <c r="L584"/>
      <c r="M584"/>
      <c r="N584"/>
      <c r="O584"/>
      <c r="P584" s="2"/>
      <c r="T584"/>
      <c r="U584"/>
      <c r="V584"/>
      <c r="X584"/>
    </row>
    <row r="585" spans="10:24" s="1" customFormat="1" x14ac:dyDescent="0.2">
      <c r="J585"/>
      <c r="K585"/>
      <c r="L585"/>
      <c r="M585"/>
      <c r="N585"/>
      <c r="O585"/>
      <c r="P585" s="2"/>
      <c r="T585"/>
      <c r="U585"/>
      <c r="V585"/>
      <c r="X585"/>
    </row>
    <row r="586" spans="10:24" s="1" customFormat="1" x14ac:dyDescent="0.2">
      <c r="J586"/>
      <c r="K586"/>
      <c r="L586"/>
      <c r="M586"/>
      <c r="N586"/>
      <c r="O586"/>
      <c r="P586" s="2"/>
      <c r="T586"/>
      <c r="U586"/>
      <c r="V586"/>
      <c r="X586"/>
    </row>
    <row r="587" spans="10:24" s="1" customFormat="1" x14ac:dyDescent="0.2">
      <c r="J587"/>
      <c r="K587"/>
      <c r="L587"/>
      <c r="M587"/>
      <c r="N587"/>
      <c r="O587"/>
      <c r="P587" s="2"/>
      <c r="T587"/>
      <c r="U587"/>
      <c r="V587"/>
      <c r="X587"/>
    </row>
    <row r="588" spans="10:24" s="1" customFormat="1" x14ac:dyDescent="0.2">
      <c r="J588"/>
      <c r="K588"/>
      <c r="L588"/>
      <c r="M588"/>
      <c r="N588"/>
      <c r="O588"/>
      <c r="P588" s="2"/>
      <c r="T588"/>
      <c r="U588"/>
      <c r="V588"/>
      <c r="X588"/>
    </row>
    <row r="589" spans="10:24" s="1" customFormat="1" x14ac:dyDescent="0.2">
      <c r="J589"/>
      <c r="K589"/>
      <c r="L589"/>
      <c r="M589"/>
      <c r="N589"/>
      <c r="O589"/>
      <c r="P589" s="2"/>
      <c r="T589"/>
      <c r="U589"/>
      <c r="V589"/>
      <c r="X589"/>
    </row>
    <row r="590" spans="10:24" s="1" customFormat="1" x14ac:dyDescent="0.2">
      <c r="J590"/>
      <c r="K590"/>
      <c r="L590"/>
      <c r="M590"/>
      <c r="N590"/>
      <c r="O590"/>
      <c r="P590" s="2"/>
      <c r="T590"/>
      <c r="U590"/>
      <c r="V590"/>
      <c r="X590"/>
    </row>
    <row r="591" spans="10:24" s="1" customFormat="1" x14ac:dyDescent="0.2">
      <c r="J591"/>
      <c r="K591"/>
      <c r="L591"/>
      <c r="M591"/>
      <c r="N591"/>
      <c r="O591"/>
      <c r="P591" s="2"/>
      <c r="T591"/>
      <c r="U591"/>
      <c r="V591"/>
      <c r="X591"/>
    </row>
    <row r="592" spans="10:24" s="1" customFormat="1" x14ac:dyDescent="0.2">
      <c r="J592"/>
      <c r="K592"/>
      <c r="L592"/>
      <c r="M592"/>
      <c r="N592"/>
      <c r="O592"/>
      <c r="P592" s="2"/>
      <c r="T592"/>
      <c r="U592"/>
      <c r="V592"/>
      <c r="X592"/>
    </row>
    <row r="593" spans="10:24" s="1" customFormat="1" x14ac:dyDescent="0.2">
      <c r="J593"/>
      <c r="K593"/>
      <c r="L593"/>
      <c r="M593"/>
      <c r="N593"/>
      <c r="O593"/>
      <c r="P593" s="2"/>
      <c r="T593"/>
      <c r="U593"/>
      <c r="V593"/>
      <c r="X593"/>
    </row>
    <row r="594" spans="10:24" s="1" customFormat="1" x14ac:dyDescent="0.2">
      <c r="J594"/>
      <c r="K594"/>
      <c r="L594"/>
      <c r="M594"/>
      <c r="N594"/>
      <c r="O594"/>
      <c r="P594" s="2"/>
      <c r="T594"/>
      <c r="U594"/>
      <c r="V594"/>
      <c r="X594"/>
    </row>
    <row r="595" spans="10:24" s="1" customFormat="1" x14ac:dyDescent="0.2">
      <c r="J595"/>
      <c r="K595"/>
      <c r="L595"/>
      <c r="M595"/>
      <c r="N595"/>
      <c r="O595"/>
      <c r="P595" s="2"/>
      <c r="T595"/>
      <c r="U595"/>
      <c r="V595"/>
      <c r="X595"/>
    </row>
    <row r="596" spans="10:24" s="1" customFormat="1" x14ac:dyDescent="0.2">
      <c r="J596"/>
      <c r="K596"/>
      <c r="L596"/>
      <c r="M596"/>
      <c r="N596"/>
      <c r="O596"/>
      <c r="P596" s="2"/>
      <c r="T596"/>
      <c r="U596"/>
      <c r="V596"/>
      <c r="X596"/>
    </row>
    <row r="597" spans="10:24" s="1" customFormat="1" x14ac:dyDescent="0.2">
      <c r="J597"/>
      <c r="K597"/>
      <c r="L597"/>
      <c r="M597"/>
      <c r="N597"/>
      <c r="O597"/>
      <c r="P597" s="2"/>
      <c r="T597"/>
      <c r="U597"/>
      <c r="V597"/>
      <c r="X597"/>
    </row>
    <row r="598" spans="10:24" s="1" customFormat="1" x14ac:dyDescent="0.2">
      <c r="J598"/>
      <c r="K598"/>
      <c r="L598"/>
      <c r="M598"/>
      <c r="N598"/>
      <c r="O598"/>
      <c r="P598" s="2"/>
      <c r="T598"/>
      <c r="U598"/>
      <c r="V598"/>
      <c r="X598"/>
    </row>
    <row r="599" spans="10:24" s="1" customFormat="1" x14ac:dyDescent="0.2">
      <c r="J599"/>
      <c r="K599"/>
      <c r="L599"/>
      <c r="M599"/>
      <c r="N599"/>
      <c r="O599"/>
      <c r="P599" s="2"/>
      <c r="T599"/>
      <c r="U599"/>
      <c r="V599"/>
      <c r="X599"/>
    </row>
    <row r="600" spans="10:24" s="1" customFormat="1" x14ac:dyDescent="0.2">
      <c r="J600"/>
      <c r="K600"/>
      <c r="L600"/>
      <c r="M600"/>
      <c r="N600"/>
      <c r="O600"/>
      <c r="P600" s="2"/>
      <c r="T600"/>
      <c r="U600"/>
      <c r="V600"/>
      <c r="X600"/>
    </row>
    <row r="601" spans="10:24" s="1" customFormat="1" x14ac:dyDescent="0.2">
      <c r="J601"/>
      <c r="K601"/>
      <c r="L601"/>
      <c r="M601"/>
      <c r="N601"/>
      <c r="O601"/>
      <c r="P601" s="2"/>
      <c r="T601"/>
      <c r="U601"/>
      <c r="V601"/>
      <c r="X601"/>
    </row>
    <row r="602" spans="10:24" s="1" customFormat="1" x14ac:dyDescent="0.2">
      <c r="J602"/>
      <c r="K602"/>
      <c r="L602"/>
      <c r="M602"/>
      <c r="N602"/>
      <c r="O602"/>
      <c r="P602" s="2"/>
      <c r="T602"/>
      <c r="U602"/>
      <c r="V602"/>
      <c r="X602"/>
    </row>
    <row r="603" spans="10:24" s="1" customFormat="1" x14ac:dyDescent="0.2">
      <c r="J603"/>
      <c r="K603"/>
      <c r="L603"/>
      <c r="M603"/>
      <c r="N603"/>
      <c r="O603"/>
      <c r="P603" s="2"/>
      <c r="T603"/>
      <c r="U603"/>
      <c r="V603"/>
      <c r="X603"/>
    </row>
    <row r="604" spans="10:24" s="1" customFormat="1" x14ac:dyDescent="0.2">
      <c r="J604"/>
      <c r="K604"/>
      <c r="L604"/>
      <c r="M604"/>
      <c r="N604"/>
      <c r="O604"/>
      <c r="P604" s="2"/>
      <c r="T604"/>
      <c r="U604"/>
      <c r="V604"/>
      <c r="X604"/>
    </row>
    <row r="605" spans="10:24" s="1" customFormat="1" x14ac:dyDescent="0.2">
      <c r="J605"/>
      <c r="K605"/>
      <c r="L605"/>
      <c r="M605"/>
      <c r="N605"/>
      <c r="O605"/>
      <c r="P605" s="2"/>
      <c r="T605"/>
      <c r="U605"/>
      <c r="V605"/>
      <c r="X605"/>
    </row>
    <row r="606" spans="10:24" s="1" customFormat="1" x14ac:dyDescent="0.2">
      <c r="J606"/>
      <c r="K606"/>
      <c r="L606"/>
      <c r="M606"/>
      <c r="N606"/>
      <c r="O606"/>
      <c r="P606" s="2"/>
      <c r="T606"/>
      <c r="U606"/>
      <c r="V606"/>
      <c r="X606"/>
    </row>
    <row r="607" spans="10:24" s="1" customFormat="1" x14ac:dyDescent="0.2">
      <c r="J607"/>
      <c r="K607"/>
      <c r="L607"/>
      <c r="M607"/>
      <c r="N607"/>
      <c r="O607"/>
      <c r="P607" s="2"/>
      <c r="T607"/>
      <c r="U607"/>
      <c r="V607"/>
      <c r="X607"/>
    </row>
    <row r="608" spans="10:24" s="1" customFormat="1" x14ac:dyDescent="0.2">
      <c r="J608"/>
      <c r="K608"/>
      <c r="L608"/>
      <c r="M608"/>
      <c r="N608"/>
      <c r="O608"/>
      <c r="P608" s="2"/>
      <c r="T608"/>
      <c r="U608"/>
      <c r="V608"/>
      <c r="X608"/>
    </row>
    <row r="609" spans="10:24" s="1" customFormat="1" x14ac:dyDescent="0.2">
      <c r="J609"/>
      <c r="K609"/>
      <c r="L609"/>
      <c r="M609"/>
      <c r="N609"/>
      <c r="O609"/>
      <c r="P609" s="2"/>
      <c r="T609"/>
      <c r="U609"/>
      <c r="V609"/>
      <c r="X609"/>
    </row>
    <row r="610" spans="10:24" s="1" customFormat="1" x14ac:dyDescent="0.2">
      <c r="J610"/>
      <c r="K610"/>
      <c r="L610"/>
      <c r="M610"/>
      <c r="N610"/>
      <c r="O610"/>
      <c r="P610" s="2"/>
      <c r="T610"/>
      <c r="U610"/>
      <c r="V610"/>
      <c r="X610"/>
    </row>
    <row r="611" spans="10:24" s="1" customFormat="1" x14ac:dyDescent="0.2">
      <c r="J611"/>
      <c r="K611"/>
      <c r="L611"/>
      <c r="M611"/>
      <c r="N611"/>
      <c r="O611"/>
      <c r="P611" s="2"/>
      <c r="T611"/>
      <c r="U611"/>
      <c r="V611"/>
      <c r="X611"/>
    </row>
    <row r="612" spans="10:24" s="1" customFormat="1" x14ac:dyDescent="0.2">
      <c r="J612"/>
      <c r="K612"/>
      <c r="L612"/>
      <c r="M612"/>
      <c r="N612"/>
      <c r="O612"/>
      <c r="P612" s="2"/>
      <c r="T612"/>
      <c r="U612"/>
      <c r="V612"/>
      <c r="X612"/>
    </row>
    <row r="613" spans="10:24" s="1" customFormat="1" x14ac:dyDescent="0.2">
      <c r="J613"/>
      <c r="K613"/>
      <c r="L613"/>
      <c r="M613"/>
      <c r="N613"/>
      <c r="O613"/>
      <c r="P613" s="2"/>
      <c r="T613"/>
      <c r="U613"/>
      <c r="V613"/>
      <c r="X613"/>
    </row>
    <row r="614" spans="10:24" s="1" customFormat="1" x14ac:dyDescent="0.2">
      <c r="J614"/>
      <c r="K614"/>
      <c r="L614"/>
      <c r="M614"/>
      <c r="N614"/>
      <c r="O614"/>
      <c r="P614" s="2"/>
      <c r="T614"/>
      <c r="U614"/>
      <c r="V614"/>
      <c r="X614"/>
    </row>
    <row r="615" spans="10:24" s="1" customFormat="1" x14ac:dyDescent="0.2">
      <c r="J615"/>
      <c r="K615"/>
      <c r="L615"/>
      <c r="M615"/>
      <c r="N615"/>
      <c r="O615"/>
      <c r="P615" s="2"/>
      <c r="T615"/>
      <c r="U615"/>
      <c r="V615"/>
      <c r="X615"/>
    </row>
    <row r="616" spans="10:24" s="1" customFormat="1" x14ac:dyDescent="0.2">
      <c r="J616"/>
      <c r="K616"/>
      <c r="L616"/>
      <c r="M616"/>
      <c r="N616"/>
      <c r="O616"/>
      <c r="P616" s="2"/>
      <c r="T616"/>
      <c r="U616"/>
      <c r="V616"/>
      <c r="X616"/>
    </row>
    <row r="617" spans="10:24" s="1" customFormat="1" x14ac:dyDescent="0.2">
      <c r="J617"/>
      <c r="K617"/>
      <c r="L617"/>
      <c r="M617"/>
      <c r="N617"/>
      <c r="O617"/>
      <c r="P617" s="2"/>
      <c r="T617"/>
      <c r="U617"/>
      <c r="V617"/>
      <c r="X617"/>
    </row>
    <row r="618" spans="10:24" s="1" customFormat="1" x14ac:dyDescent="0.2">
      <c r="J618"/>
      <c r="K618"/>
      <c r="L618"/>
      <c r="M618"/>
      <c r="N618"/>
      <c r="O618"/>
      <c r="P618" s="2"/>
      <c r="T618"/>
      <c r="U618"/>
      <c r="V618"/>
      <c r="X618"/>
    </row>
    <row r="619" spans="10:24" s="1" customFormat="1" x14ac:dyDescent="0.2">
      <c r="J619"/>
      <c r="K619"/>
      <c r="L619"/>
      <c r="M619"/>
      <c r="N619"/>
      <c r="O619"/>
      <c r="P619" s="2"/>
      <c r="T619"/>
      <c r="U619"/>
      <c r="V619"/>
      <c r="X619"/>
    </row>
    <row r="620" spans="10:24" s="1" customFormat="1" x14ac:dyDescent="0.2">
      <c r="J620"/>
      <c r="K620"/>
      <c r="L620"/>
      <c r="M620"/>
      <c r="N620"/>
      <c r="O620"/>
      <c r="P620" s="2"/>
      <c r="T620"/>
      <c r="U620"/>
      <c r="V620"/>
      <c r="X620"/>
    </row>
    <row r="621" spans="10:24" s="1" customFormat="1" x14ac:dyDescent="0.2">
      <c r="J621"/>
      <c r="K621"/>
      <c r="L621"/>
      <c r="M621"/>
      <c r="N621"/>
      <c r="O621"/>
      <c r="P621" s="2"/>
      <c r="T621"/>
      <c r="U621"/>
      <c r="V621"/>
      <c r="X621"/>
    </row>
    <row r="622" spans="10:24" s="1" customFormat="1" x14ac:dyDescent="0.2">
      <c r="J622"/>
      <c r="K622"/>
      <c r="L622"/>
      <c r="M622"/>
      <c r="N622"/>
      <c r="O622"/>
      <c r="P622" s="2"/>
      <c r="T622"/>
      <c r="U622"/>
      <c r="V622"/>
      <c r="X622"/>
    </row>
    <row r="623" spans="10:24" s="1" customFormat="1" x14ac:dyDescent="0.2">
      <c r="J623"/>
      <c r="K623"/>
      <c r="L623"/>
      <c r="M623"/>
      <c r="N623"/>
      <c r="O623"/>
      <c r="P623" s="2"/>
      <c r="T623"/>
      <c r="U623"/>
      <c r="V623"/>
      <c r="X623"/>
    </row>
    <row r="624" spans="10:24" s="1" customFormat="1" x14ac:dyDescent="0.2">
      <c r="J624"/>
      <c r="K624"/>
      <c r="L624"/>
      <c r="M624"/>
      <c r="N624"/>
      <c r="O624"/>
      <c r="P624" s="2"/>
      <c r="T624"/>
      <c r="U624"/>
      <c r="V624"/>
      <c r="X624"/>
    </row>
    <row r="625" spans="10:24" s="1" customFormat="1" x14ac:dyDescent="0.2">
      <c r="J625"/>
      <c r="K625"/>
      <c r="L625"/>
      <c r="M625"/>
      <c r="N625"/>
      <c r="O625"/>
      <c r="P625" s="2"/>
      <c r="T625"/>
      <c r="U625"/>
      <c r="V625"/>
      <c r="X625"/>
    </row>
    <row r="626" spans="10:24" s="1" customFormat="1" x14ac:dyDescent="0.2">
      <c r="J626"/>
      <c r="K626"/>
      <c r="L626"/>
      <c r="M626"/>
      <c r="N626"/>
      <c r="O626"/>
      <c r="P626" s="2"/>
      <c r="T626"/>
      <c r="U626"/>
      <c r="V626"/>
      <c r="X626"/>
    </row>
    <row r="627" spans="10:24" s="1" customFormat="1" x14ac:dyDescent="0.2">
      <c r="J627"/>
      <c r="K627"/>
      <c r="L627"/>
      <c r="M627"/>
      <c r="N627"/>
      <c r="O627"/>
      <c r="P627" s="2"/>
      <c r="T627"/>
      <c r="U627"/>
      <c r="V627"/>
      <c r="X627"/>
    </row>
    <row r="628" spans="10:24" s="1" customFormat="1" x14ac:dyDescent="0.2">
      <c r="J628"/>
      <c r="K628"/>
      <c r="L628"/>
      <c r="M628"/>
      <c r="N628"/>
      <c r="O628"/>
      <c r="P628" s="2"/>
      <c r="T628"/>
      <c r="U628"/>
      <c r="V628"/>
      <c r="X628"/>
    </row>
    <row r="629" spans="10:24" s="1" customFormat="1" x14ac:dyDescent="0.2">
      <c r="J629"/>
      <c r="K629"/>
      <c r="L629"/>
      <c r="M629"/>
      <c r="N629"/>
      <c r="O629"/>
      <c r="P629" s="2"/>
      <c r="T629"/>
      <c r="U629"/>
      <c r="V629"/>
      <c r="X629"/>
    </row>
    <row r="630" spans="10:24" s="1" customFormat="1" x14ac:dyDescent="0.2">
      <c r="J630"/>
      <c r="K630"/>
      <c r="L630"/>
      <c r="M630"/>
      <c r="N630"/>
      <c r="O630"/>
      <c r="P630" s="2"/>
      <c r="T630"/>
      <c r="U630"/>
      <c r="V630"/>
      <c r="X630"/>
    </row>
    <row r="631" spans="10:24" s="1" customFormat="1" x14ac:dyDescent="0.2">
      <c r="J631"/>
      <c r="K631"/>
      <c r="L631"/>
      <c r="M631"/>
      <c r="N631"/>
      <c r="O631"/>
      <c r="P631" s="2"/>
      <c r="T631"/>
      <c r="U631"/>
      <c r="V631"/>
      <c r="X631"/>
    </row>
    <row r="632" spans="10:24" s="1" customFormat="1" x14ac:dyDescent="0.2">
      <c r="J632"/>
      <c r="K632"/>
      <c r="L632"/>
      <c r="M632"/>
      <c r="N632"/>
      <c r="O632"/>
      <c r="P632" s="2"/>
      <c r="T632"/>
      <c r="U632"/>
      <c r="V632"/>
      <c r="X632"/>
    </row>
    <row r="633" spans="10:24" s="1" customFormat="1" x14ac:dyDescent="0.2">
      <c r="J633"/>
      <c r="K633"/>
      <c r="L633"/>
      <c r="M633"/>
      <c r="N633"/>
      <c r="O633"/>
      <c r="P633" s="2"/>
      <c r="T633"/>
      <c r="U633"/>
      <c r="V633"/>
      <c r="X633"/>
    </row>
    <row r="634" spans="10:24" s="1" customFormat="1" x14ac:dyDescent="0.2">
      <c r="J634"/>
      <c r="K634"/>
      <c r="L634"/>
      <c r="M634"/>
      <c r="N634"/>
      <c r="O634"/>
      <c r="P634" s="2"/>
      <c r="T634"/>
      <c r="U634"/>
      <c r="V634"/>
      <c r="X634"/>
    </row>
    <row r="635" spans="10:24" s="1" customFormat="1" x14ac:dyDescent="0.2">
      <c r="J635"/>
      <c r="K635"/>
      <c r="L635"/>
      <c r="M635"/>
      <c r="N635"/>
      <c r="O635"/>
      <c r="P635" s="2"/>
      <c r="T635"/>
      <c r="U635"/>
      <c r="V635"/>
      <c r="X635"/>
    </row>
    <row r="636" spans="10:24" s="1" customFormat="1" x14ac:dyDescent="0.2">
      <c r="J636"/>
      <c r="K636"/>
      <c r="L636"/>
      <c r="M636"/>
      <c r="N636"/>
      <c r="O636"/>
      <c r="P636" s="2"/>
      <c r="T636"/>
      <c r="U636"/>
      <c r="V636"/>
      <c r="X636"/>
    </row>
    <row r="637" spans="10:24" s="1" customFormat="1" x14ac:dyDescent="0.2">
      <c r="J637"/>
      <c r="K637"/>
      <c r="L637"/>
      <c r="M637"/>
      <c r="N637"/>
      <c r="O637"/>
      <c r="P637" s="2"/>
      <c r="T637"/>
      <c r="U637"/>
      <c r="V637"/>
      <c r="X637"/>
    </row>
    <row r="638" spans="10:24" s="1" customFormat="1" x14ac:dyDescent="0.2">
      <c r="J638"/>
      <c r="K638"/>
      <c r="L638"/>
      <c r="M638"/>
      <c r="N638"/>
      <c r="O638"/>
      <c r="P638" s="2"/>
      <c r="T638"/>
      <c r="U638"/>
      <c r="V638"/>
      <c r="X638"/>
    </row>
    <row r="639" spans="10:24" s="1" customFormat="1" x14ac:dyDescent="0.2">
      <c r="J639"/>
      <c r="K639"/>
      <c r="L639"/>
      <c r="M639"/>
      <c r="N639"/>
      <c r="O639"/>
      <c r="P639" s="2"/>
      <c r="T639"/>
      <c r="U639"/>
      <c r="V639"/>
      <c r="X639"/>
    </row>
    <row r="640" spans="10:24" s="1" customFormat="1" x14ac:dyDescent="0.2">
      <c r="J640"/>
      <c r="K640"/>
      <c r="L640"/>
      <c r="M640"/>
      <c r="N640"/>
      <c r="O640"/>
      <c r="P640" s="2"/>
      <c r="T640"/>
      <c r="U640"/>
      <c r="V640"/>
      <c r="X640"/>
    </row>
    <row r="641" spans="10:24" s="1" customFormat="1" x14ac:dyDescent="0.2">
      <c r="J641"/>
      <c r="K641"/>
      <c r="L641"/>
      <c r="M641"/>
      <c r="N641"/>
      <c r="O641"/>
      <c r="P641" s="2"/>
      <c r="T641"/>
      <c r="U641"/>
      <c r="V641"/>
      <c r="X641"/>
    </row>
    <row r="642" spans="10:24" s="1" customFormat="1" x14ac:dyDescent="0.2">
      <c r="J642"/>
      <c r="K642"/>
      <c r="L642"/>
      <c r="M642"/>
      <c r="N642"/>
      <c r="O642"/>
      <c r="P642" s="2"/>
      <c r="T642"/>
      <c r="U642"/>
      <c r="V642"/>
      <c r="X642"/>
    </row>
    <row r="643" spans="10:24" s="1" customFormat="1" x14ac:dyDescent="0.2">
      <c r="J643"/>
      <c r="K643"/>
      <c r="L643"/>
      <c r="M643"/>
      <c r="N643"/>
      <c r="O643"/>
      <c r="P643" s="2"/>
      <c r="T643"/>
      <c r="U643"/>
      <c r="V643"/>
      <c r="X643"/>
    </row>
    <row r="644" spans="10:24" s="1" customFormat="1" x14ac:dyDescent="0.2">
      <c r="J644"/>
      <c r="K644"/>
      <c r="L644"/>
      <c r="M644"/>
      <c r="N644"/>
      <c r="O644"/>
      <c r="P644" s="2"/>
      <c r="T644"/>
      <c r="U644"/>
      <c r="V644"/>
      <c r="X644"/>
    </row>
    <row r="645" spans="10:24" s="1" customFormat="1" x14ac:dyDescent="0.2">
      <c r="J645"/>
      <c r="K645"/>
      <c r="L645"/>
      <c r="M645"/>
      <c r="N645"/>
      <c r="O645"/>
      <c r="P645" s="2"/>
      <c r="T645"/>
      <c r="U645"/>
      <c r="V645"/>
      <c r="X645"/>
    </row>
    <row r="646" spans="10:24" s="1" customFormat="1" x14ac:dyDescent="0.2">
      <c r="J646"/>
      <c r="K646"/>
      <c r="L646"/>
      <c r="M646"/>
      <c r="N646"/>
      <c r="O646"/>
      <c r="P646" s="2"/>
      <c r="T646"/>
      <c r="U646"/>
      <c r="V646"/>
      <c r="X646"/>
    </row>
    <row r="647" spans="10:24" s="1" customFormat="1" x14ac:dyDescent="0.2">
      <c r="J647"/>
      <c r="K647"/>
      <c r="L647"/>
      <c r="M647"/>
      <c r="N647"/>
      <c r="O647"/>
      <c r="P647" s="2"/>
      <c r="T647"/>
      <c r="U647"/>
      <c r="V647"/>
      <c r="X647"/>
    </row>
    <row r="648" spans="10:24" s="1" customFormat="1" x14ac:dyDescent="0.2">
      <c r="J648"/>
      <c r="K648"/>
      <c r="L648"/>
      <c r="M648"/>
      <c r="N648"/>
      <c r="O648"/>
      <c r="P648" s="2"/>
      <c r="T648"/>
      <c r="U648"/>
      <c r="V648"/>
      <c r="X648"/>
    </row>
    <row r="649" spans="10:24" s="1" customFormat="1" x14ac:dyDescent="0.2">
      <c r="J649"/>
      <c r="K649"/>
      <c r="L649"/>
      <c r="M649"/>
      <c r="N649"/>
      <c r="O649"/>
      <c r="P649" s="2"/>
      <c r="T649"/>
      <c r="U649"/>
      <c r="V649"/>
      <c r="X649"/>
    </row>
    <row r="650" spans="10:24" s="1" customFormat="1" x14ac:dyDescent="0.2">
      <c r="J650"/>
      <c r="K650"/>
      <c r="L650"/>
      <c r="M650"/>
      <c r="N650"/>
      <c r="O650"/>
      <c r="P650" s="2"/>
      <c r="T650"/>
      <c r="U650"/>
      <c r="V650"/>
      <c r="X650"/>
    </row>
    <row r="651" spans="10:24" s="1" customFormat="1" x14ac:dyDescent="0.2">
      <c r="J651"/>
      <c r="K651"/>
      <c r="L651"/>
      <c r="M651"/>
      <c r="N651"/>
      <c r="O651"/>
      <c r="P651" s="2"/>
      <c r="T651"/>
      <c r="U651"/>
      <c r="V651"/>
      <c r="X651"/>
    </row>
    <row r="652" spans="10:24" s="1" customFormat="1" x14ac:dyDescent="0.2">
      <c r="J652"/>
      <c r="K652"/>
      <c r="L652"/>
      <c r="M652"/>
      <c r="N652"/>
      <c r="O652"/>
      <c r="P652" s="2"/>
      <c r="T652"/>
      <c r="U652"/>
      <c r="V652"/>
      <c r="X652"/>
    </row>
    <row r="653" spans="10:24" s="1" customFormat="1" x14ac:dyDescent="0.2">
      <c r="J653"/>
      <c r="K653"/>
      <c r="L653"/>
      <c r="M653"/>
      <c r="N653"/>
      <c r="O653"/>
      <c r="P653" s="2"/>
      <c r="T653"/>
      <c r="U653"/>
      <c r="V653"/>
      <c r="X653"/>
    </row>
    <row r="654" spans="10:24" s="1" customFormat="1" x14ac:dyDescent="0.2">
      <c r="J654"/>
      <c r="K654"/>
      <c r="L654"/>
      <c r="M654"/>
      <c r="N654"/>
      <c r="O654"/>
      <c r="P654" s="2"/>
      <c r="T654"/>
      <c r="U654"/>
      <c r="V654"/>
      <c r="X654"/>
    </row>
    <row r="655" spans="10:24" s="1" customFormat="1" x14ac:dyDescent="0.2">
      <c r="J655"/>
      <c r="K655"/>
      <c r="L655"/>
      <c r="M655"/>
      <c r="N655"/>
      <c r="O655"/>
      <c r="P655" s="2"/>
      <c r="T655"/>
      <c r="U655"/>
      <c r="V655"/>
      <c r="X655"/>
    </row>
    <row r="656" spans="10:24" s="1" customFormat="1" x14ac:dyDescent="0.2">
      <c r="J656"/>
      <c r="K656"/>
      <c r="L656"/>
      <c r="M656"/>
      <c r="N656"/>
      <c r="O656"/>
      <c r="P656" s="2"/>
      <c r="T656"/>
      <c r="U656"/>
      <c r="V656"/>
      <c r="X656"/>
    </row>
    <row r="657" spans="10:24" s="1" customFormat="1" x14ac:dyDescent="0.2">
      <c r="J657"/>
      <c r="K657"/>
      <c r="L657"/>
      <c r="M657"/>
      <c r="N657"/>
      <c r="O657"/>
      <c r="P657" s="2"/>
      <c r="T657"/>
      <c r="U657"/>
      <c r="V657"/>
      <c r="X657"/>
    </row>
    <row r="658" spans="10:24" s="1" customFormat="1" x14ac:dyDescent="0.2">
      <c r="J658"/>
      <c r="K658"/>
      <c r="L658"/>
      <c r="M658"/>
      <c r="N658"/>
      <c r="O658"/>
      <c r="P658" s="2"/>
      <c r="T658"/>
      <c r="U658"/>
      <c r="V658"/>
      <c r="X658"/>
    </row>
    <row r="659" spans="10:24" s="1" customFormat="1" x14ac:dyDescent="0.2">
      <c r="J659"/>
      <c r="K659"/>
      <c r="L659"/>
      <c r="M659"/>
      <c r="N659"/>
      <c r="O659"/>
      <c r="P659" s="2"/>
      <c r="T659"/>
      <c r="U659"/>
      <c r="V659"/>
      <c r="X659"/>
    </row>
    <row r="660" spans="10:24" s="1" customFormat="1" x14ac:dyDescent="0.2">
      <c r="J660"/>
      <c r="K660"/>
      <c r="L660"/>
      <c r="M660"/>
      <c r="N660"/>
      <c r="O660"/>
      <c r="P660" s="2"/>
      <c r="T660"/>
      <c r="U660"/>
      <c r="V660"/>
      <c r="X660"/>
    </row>
    <row r="661" spans="10:24" s="1" customFormat="1" x14ac:dyDescent="0.2">
      <c r="J661"/>
      <c r="K661"/>
      <c r="L661"/>
      <c r="M661"/>
      <c r="N661"/>
      <c r="O661"/>
      <c r="P661" s="2"/>
      <c r="T661"/>
      <c r="U661"/>
      <c r="V661"/>
      <c r="X661"/>
    </row>
    <row r="662" spans="10:24" s="1" customFormat="1" x14ac:dyDescent="0.2">
      <c r="J662"/>
      <c r="K662"/>
      <c r="L662"/>
      <c r="M662"/>
      <c r="N662"/>
      <c r="O662"/>
      <c r="P662" s="2"/>
      <c r="T662"/>
      <c r="U662"/>
      <c r="V662"/>
      <c r="X662"/>
    </row>
    <row r="663" spans="10:24" s="1" customFormat="1" x14ac:dyDescent="0.2">
      <c r="J663"/>
      <c r="K663"/>
      <c r="L663"/>
      <c r="M663"/>
      <c r="N663"/>
      <c r="O663"/>
      <c r="P663" s="2"/>
      <c r="T663"/>
      <c r="U663"/>
      <c r="V663"/>
      <c r="X663"/>
    </row>
    <row r="664" spans="10:24" s="1" customFormat="1" x14ac:dyDescent="0.2">
      <c r="J664"/>
      <c r="K664"/>
      <c r="L664"/>
      <c r="M664"/>
      <c r="N664"/>
      <c r="O664"/>
      <c r="P664" s="2"/>
      <c r="T664"/>
      <c r="U664"/>
      <c r="V664"/>
      <c r="X664"/>
    </row>
    <row r="665" spans="10:24" s="1" customFormat="1" x14ac:dyDescent="0.2">
      <c r="J665"/>
      <c r="K665"/>
      <c r="L665"/>
      <c r="M665"/>
      <c r="N665"/>
      <c r="O665"/>
      <c r="P665" s="2"/>
      <c r="T665"/>
      <c r="U665"/>
      <c r="V665"/>
      <c r="X665"/>
    </row>
    <row r="666" spans="10:24" s="1" customFormat="1" x14ac:dyDescent="0.2">
      <c r="J666"/>
      <c r="K666"/>
      <c r="L666"/>
      <c r="M666"/>
      <c r="N666"/>
      <c r="O666"/>
      <c r="P666" s="2"/>
      <c r="T666"/>
      <c r="U666"/>
      <c r="V666"/>
      <c r="X666"/>
    </row>
    <row r="667" spans="10:24" s="1" customFormat="1" x14ac:dyDescent="0.2">
      <c r="J667"/>
      <c r="K667"/>
      <c r="L667"/>
      <c r="M667"/>
      <c r="N667"/>
      <c r="O667"/>
      <c r="P667" s="2"/>
      <c r="T667"/>
      <c r="U667"/>
      <c r="V667"/>
      <c r="X667"/>
    </row>
    <row r="668" spans="10:24" s="1" customFormat="1" x14ac:dyDescent="0.2">
      <c r="J668"/>
      <c r="K668"/>
      <c r="L668"/>
      <c r="M668"/>
      <c r="N668"/>
      <c r="O668"/>
      <c r="P668" s="2"/>
      <c r="T668"/>
      <c r="U668"/>
      <c r="V668"/>
      <c r="X668"/>
    </row>
    <row r="669" spans="10:24" s="1" customFormat="1" x14ac:dyDescent="0.2">
      <c r="J669"/>
      <c r="K669"/>
      <c r="L669"/>
      <c r="M669"/>
      <c r="N669"/>
      <c r="O669"/>
      <c r="P669" s="2"/>
      <c r="T669"/>
      <c r="U669"/>
      <c r="V669"/>
      <c r="X669"/>
    </row>
    <row r="670" spans="10:24" s="1" customFormat="1" x14ac:dyDescent="0.2">
      <c r="J670"/>
      <c r="K670"/>
      <c r="L670"/>
      <c r="M670"/>
      <c r="N670"/>
      <c r="O670"/>
      <c r="P670" s="2"/>
      <c r="T670"/>
      <c r="U670"/>
      <c r="V670"/>
      <c r="X670"/>
    </row>
    <row r="671" spans="10:24" s="1" customFormat="1" x14ac:dyDescent="0.2">
      <c r="J671"/>
      <c r="K671"/>
      <c r="L671"/>
      <c r="M671"/>
      <c r="N671"/>
      <c r="O671"/>
      <c r="P671" s="2"/>
      <c r="T671"/>
      <c r="U671"/>
      <c r="V671"/>
      <c r="X671"/>
    </row>
    <row r="672" spans="10:24" s="1" customFormat="1" x14ac:dyDescent="0.2">
      <c r="J672"/>
      <c r="K672"/>
      <c r="L672"/>
      <c r="M672"/>
      <c r="N672"/>
      <c r="O672"/>
      <c r="P672" s="2"/>
      <c r="T672"/>
      <c r="U672"/>
      <c r="V672"/>
      <c r="X672"/>
    </row>
    <row r="673" spans="10:24" s="1" customFormat="1" x14ac:dyDescent="0.2">
      <c r="J673"/>
      <c r="K673"/>
      <c r="L673"/>
      <c r="M673"/>
      <c r="N673"/>
      <c r="O673"/>
      <c r="P673" s="2"/>
      <c r="T673"/>
      <c r="U673"/>
      <c r="V673"/>
      <c r="X673"/>
    </row>
    <row r="674" spans="10:24" s="1" customFormat="1" x14ac:dyDescent="0.2">
      <c r="J674"/>
      <c r="K674"/>
      <c r="L674"/>
      <c r="M674"/>
      <c r="N674"/>
      <c r="O674"/>
      <c r="P674" s="2"/>
      <c r="T674"/>
      <c r="U674"/>
      <c r="V674"/>
      <c r="X674"/>
    </row>
    <row r="675" spans="10:24" s="1" customFormat="1" x14ac:dyDescent="0.2">
      <c r="J675"/>
      <c r="K675"/>
      <c r="L675"/>
      <c r="M675"/>
      <c r="N675"/>
      <c r="O675"/>
      <c r="P675" s="2"/>
      <c r="T675"/>
      <c r="U675"/>
      <c r="V675"/>
      <c r="X675"/>
    </row>
    <row r="676" spans="10:24" s="1" customFormat="1" x14ac:dyDescent="0.2">
      <c r="J676"/>
      <c r="K676"/>
      <c r="L676"/>
      <c r="M676"/>
      <c r="N676"/>
      <c r="O676"/>
      <c r="P676" s="2"/>
      <c r="T676"/>
      <c r="U676"/>
      <c r="V676"/>
      <c r="X676"/>
    </row>
    <row r="677" spans="10:24" s="1" customFormat="1" x14ac:dyDescent="0.2">
      <c r="J677"/>
      <c r="K677"/>
      <c r="L677"/>
      <c r="M677"/>
      <c r="N677"/>
      <c r="O677"/>
      <c r="P677" s="2"/>
      <c r="T677"/>
      <c r="U677"/>
      <c r="V677"/>
      <c r="X677"/>
    </row>
    <row r="678" spans="10:24" s="1" customFormat="1" x14ac:dyDescent="0.2">
      <c r="J678"/>
      <c r="K678"/>
      <c r="L678"/>
      <c r="M678"/>
      <c r="N678"/>
      <c r="O678"/>
      <c r="P678" s="2"/>
      <c r="T678"/>
      <c r="U678"/>
      <c r="V678"/>
      <c r="X678"/>
    </row>
    <row r="679" spans="10:24" s="1" customFormat="1" x14ac:dyDescent="0.2">
      <c r="J679"/>
      <c r="K679"/>
      <c r="L679"/>
      <c r="M679"/>
      <c r="N679"/>
      <c r="O679"/>
      <c r="P679" s="2"/>
      <c r="T679"/>
      <c r="U679"/>
      <c r="V679"/>
      <c r="X679"/>
    </row>
    <row r="680" spans="10:24" s="1" customFormat="1" x14ac:dyDescent="0.2">
      <c r="J680"/>
      <c r="K680"/>
      <c r="L680"/>
      <c r="M680"/>
      <c r="N680"/>
      <c r="O680"/>
      <c r="P680" s="2"/>
      <c r="T680"/>
      <c r="U680"/>
      <c r="V680"/>
      <c r="X680"/>
    </row>
    <row r="681" spans="10:24" s="1" customFormat="1" x14ac:dyDescent="0.2">
      <c r="J681"/>
      <c r="K681"/>
      <c r="L681"/>
      <c r="M681"/>
      <c r="N681"/>
      <c r="O681"/>
      <c r="P681" s="2"/>
      <c r="T681"/>
      <c r="U681"/>
      <c r="V681"/>
      <c r="X681"/>
    </row>
    <row r="682" spans="10:24" s="1" customFormat="1" x14ac:dyDescent="0.2">
      <c r="J682"/>
      <c r="K682"/>
      <c r="L682"/>
      <c r="M682"/>
      <c r="N682"/>
      <c r="O682"/>
      <c r="P682" s="2"/>
      <c r="T682"/>
      <c r="U682"/>
      <c r="V682"/>
      <c r="X682"/>
    </row>
    <row r="683" spans="10:24" s="1" customFormat="1" x14ac:dyDescent="0.2">
      <c r="J683"/>
      <c r="K683"/>
      <c r="L683"/>
      <c r="M683"/>
      <c r="N683"/>
      <c r="O683"/>
      <c r="P683" s="2"/>
      <c r="T683"/>
      <c r="U683"/>
      <c r="V683"/>
      <c r="X683"/>
    </row>
    <row r="684" spans="10:24" s="1" customFormat="1" x14ac:dyDescent="0.2">
      <c r="J684"/>
      <c r="K684"/>
      <c r="L684"/>
      <c r="M684"/>
      <c r="N684"/>
      <c r="O684"/>
      <c r="P684" s="2"/>
      <c r="T684"/>
      <c r="U684"/>
      <c r="V684"/>
      <c r="X684"/>
    </row>
    <row r="685" spans="10:24" s="1" customFormat="1" x14ac:dyDescent="0.2">
      <c r="J685"/>
      <c r="K685"/>
      <c r="L685"/>
      <c r="M685"/>
      <c r="N685"/>
      <c r="O685"/>
      <c r="P685" s="2"/>
      <c r="T685"/>
      <c r="U685"/>
      <c r="V685"/>
      <c r="X685"/>
    </row>
    <row r="686" spans="10:24" s="1" customFormat="1" x14ac:dyDescent="0.2">
      <c r="J686"/>
      <c r="K686"/>
      <c r="L686"/>
      <c r="M686"/>
      <c r="N686"/>
      <c r="O686"/>
      <c r="P686" s="2"/>
      <c r="T686"/>
      <c r="U686"/>
      <c r="V686"/>
      <c r="X686"/>
    </row>
    <row r="687" spans="10:24" s="1" customFormat="1" x14ac:dyDescent="0.2">
      <c r="J687"/>
      <c r="K687"/>
      <c r="L687"/>
      <c r="M687"/>
      <c r="N687"/>
      <c r="O687"/>
      <c r="P687" s="2"/>
      <c r="T687"/>
      <c r="U687"/>
      <c r="V687"/>
      <c r="X687"/>
    </row>
    <row r="688" spans="10:24" s="1" customFormat="1" x14ac:dyDescent="0.2">
      <c r="J688"/>
      <c r="K688"/>
      <c r="L688"/>
      <c r="M688"/>
      <c r="N688"/>
      <c r="O688"/>
      <c r="P688" s="2"/>
      <c r="T688"/>
      <c r="U688"/>
      <c r="V688"/>
      <c r="X688"/>
    </row>
    <row r="689" spans="10:24" s="1" customFormat="1" x14ac:dyDescent="0.2">
      <c r="J689"/>
      <c r="K689"/>
      <c r="L689"/>
      <c r="M689"/>
      <c r="N689"/>
      <c r="O689"/>
      <c r="P689" s="2"/>
      <c r="T689"/>
      <c r="U689"/>
      <c r="V689"/>
      <c r="X689"/>
    </row>
    <row r="690" spans="10:24" s="1" customFormat="1" x14ac:dyDescent="0.2">
      <c r="J690"/>
      <c r="K690"/>
      <c r="L690"/>
      <c r="M690"/>
      <c r="N690"/>
      <c r="O690"/>
      <c r="P690" s="2"/>
      <c r="T690"/>
      <c r="U690"/>
      <c r="V690"/>
      <c r="X690"/>
    </row>
    <row r="691" spans="10:24" s="1" customFormat="1" x14ac:dyDescent="0.2">
      <c r="J691"/>
      <c r="K691"/>
      <c r="L691"/>
      <c r="M691"/>
      <c r="N691"/>
      <c r="O691"/>
      <c r="P691" s="2"/>
      <c r="T691"/>
      <c r="U691"/>
      <c r="V691"/>
      <c r="X691"/>
    </row>
    <row r="692" spans="10:24" s="1" customFormat="1" x14ac:dyDescent="0.2">
      <c r="J692"/>
      <c r="K692"/>
      <c r="L692"/>
      <c r="M692"/>
      <c r="N692"/>
      <c r="O692"/>
      <c r="P692" s="2"/>
      <c r="T692"/>
      <c r="U692"/>
      <c r="V692"/>
      <c r="X692"/>
    </row>
    <row r="693" spans="10:24" s="1" customFormat="1" x14ac:dyDescent="0.2">
      <c r="J693"/>
      <c r="K693"/>
      <c r="L693"/>
      <c r="M693"/>
      <c r="N693"/>
      <c r="O693"/>
      <c r="P693" s="2"/>
      <c r="T693"/>
      <c r="U693"/>
      <c r="V693"/>
      <c r="X693"/>
    </row>
    <row r="694" spans="10:24" s="1" customFormat="1" x14ac:dyDescent="0.2">
      <c r="J694"/>
      <c r="K694"/>
      <c r="L694"/>
      <c r="M694"/>
      <c r="N694"/>
      <c r="O694"/>
      <c r="P694" s="2"/>
      <c r="T694"/>
      <c r="U694"/>
      <c r="V694"/>
      <c r="X694"/>
    </row>
    <row r="695" spans="10:24" s="1" customFormat="1" x14ac:dyDescent="0.2">
      <c r="J695"/>
      <c r="K695"/>
      <c r="L695"/>
      <c r="M695"/>
      <c r="N695"/>
      <c r="O695"/>
      <c r="P695" s="2"/>
      <c r="T695"/>
      <c r="U695"/>
      <c r="V695"/>
      <c r="X695"/>
    </row>
    <row r="696" spans="10:24" s="1" customFormat="1" x14ac:dyDescent="0.2">
      <c r="J696"/>
      <c r="K696"/>
      <c r="L696"/>
      <c r="M696"/>
      <c r="N696"/>
      <c r="O696"/>
      <c r="P696" s="2"/>
      <c r="T696"/>
      <c r="U696"/>
      <c r="V696"/>
      <c r="X696"/>
    </row>
    <row r="697" spans="10:24" s="1" customFormat="1" x14ac:dyDescent="0.2">
      <c r="J697"/>
      <c r="K697"/>
      <c r="L697"/>
      <c r="M697"/>
      <c r="N697"/>
      <c r="O697"/>
      <c r="P697" s="2"/>
      <c r="T697"/>
      <c r="U697"/>
      <c r="V697"/>
      <c r="X697"/>
    </row>
    <row r="698" spans="10:24" s="1" customFormat="1" x14ac:dyDescent="0.2">
      <c r="J698"/>
      <c r="K698"/>
      <c r="L698"/>
      <c r="M698"/>
      <c r="N698"/>
      <c r="O698"/>
      <c r="P698" s="2"/>
      <c r="T698"/>
      <c r="U698"/>
      <c r="V698"/>
      <c r="X698"/>
    </row>
    <row r="699" spans="10:24" s="1" customFormat="1" x14ac:dyDescent="0.2">
      <c r="J699"/>
      <c r="K699"/>
      <c r="L699"/>
      <c r="M699"/>
      <c r="N699"/>
      <c r="O699"/>
      <c r="P699" s="2"/>
      <c r="T699"/>
      <c r="U699"/>
      <c r="V699"/>
      <c r="X699"/>
    </row>
    <row r="700" spans="10:24" s="1" customFormat="1" x14ac:dyDescent="0.2">
      <c r="J700"/>
      <c r="K700"/>
      <c r="L700"/>
      <c r="M700"/>
      <c r="N700"/>
      <c r="O700"/>
      <c r="P700" s="2"/>
      <c r="T700"/>
      <c r="U700"/>
      <c r="V700"/>
      <c r="X700"/>
    </row>
    <row r="701" spans="10:24" s="1" customFormat="1" x14ac:dyDescent="0.2">
      <c r="J701"/>
      <c r="K701"/>
      <c r="L701"/>
      <c r="M701"/>
      <c r="N701"/>
      <c r="O701"/>
      <c r="P701" s="2"/>
      <c r="T701"/>
      <c r="U701"/>
      <c r="V701"/>
      <c r="X701"/>
    </row>
    <row r="702" spans="10:24" s="1" customFormat="1" x14ac:dyDescent="0.2">
      <c r="J702"/>
      <c r="K702"/>
      <c r="L702"/>
      <c r="M702"/>
      <c r="N702"/>
      <c r="O702"/>
      <c r="P702" s="2"/>
      <c r="T702"/>
      <c r="U702"/>
      <c r="V702"/>
      <c r="X702"/>
    </row>
    <row r="703" spans="10:24" s="1" customFormat="1" x14ac:dyDescent="0.2">
      <c r="J703"/>
      <c r="K703"/>
      <c r="L703"/>
      <c r="M703"/>
      <c r="N703"/>
      <c r="O703"/>
      <c r="P703" s="2"/>
      <c r="T703"/>
      <c r="U703"/>
      <c r="V703"/>
      <c r="X703"/>
    </row>
    <row r="704" spans="10:24" s="1" customFormat="1" x14ac:dyDescent="0.2">
      <c r="J704"/>
      <c r="K704"/>
      <c r="L704"/>
      <c r="M704"/>
      <c r="N704"/>
      <c r="O704"/>
      <c r="P704" s="2"/>
      <c r="T704"/>
      <c r="U704"/>
      <c r="V704"/>
      <c r="X704"/>
    </row>
    <row r="705" spans="10:24" s="1" customFormat="1" x14ac:dyDescent="0.2">
      <c r="J705"/>
      <c r="K705"/>
      <c r="L705"/>
      <c r="M705"/>
      <c r="N705"/>
      <c r="O705"/>
      <c r="P705" s="2"/>
      <c r="T705"/>
      <c r="U705"/>
      <c r="V705"/>
      <c r="X705"/>
    </row>
    <row r="706" spans="10:24" s="1" customFormat="1" x14ac:dyDescent="0.2">
      <c r="J706"/>
      <c r="K706"/>
      <c r="L706"/>
      <c r="M706"/>
      <c r="N706"/>
      <c r="O706"/>
      <c r="P706" s="2"/>
      <c r="T706"/>
      <c r="U706"/>
      <c r="V706"/>
      <c r="X706"/>
    </row>
    <row r="707" spans="10:24" s="1" customFormat="1" x14ac:dyDescent="0.2">
      <c r="J707"/>
      <c r="K707"/>
      <c r="L707"/>
      <c r="M707"/>
      <c r="N707"/>
      <c r="O707"/>
      <c r="P707" s="2"/>
      <c r="T707"/>
      <c r="U707"/>
      <c r="V707"/>
      <c r="X707"/>
    </row>
    <row r="708" spans="10:24" s="1" customFormat="1" x14ac:dyDescent="0.2">
      <c r="J708"/>
      <c r="K708"/>
      <c r="L708"/>
      <c r="M708"/>
      <c r="N708"/>
      <c r="O708"/>
      <c r="P708" s="2"/>
      <c r="T708"/>
      <c r="U708"/>
      <c r="V708"/>
      <c r="X708"/>
    </row>
    <row r="709" spans="10:24" s="1" customFormat="1" x14ac:dyDescent="0.2">
      <c r="J709"/>
      <c r="K709"/>
      <c r="L709"/>
      <c r="M709"/>
      <c r="N709"/>
      <c r="O709"/>
      <c r="P709" s="2"/>
      <c r="T709"/>
      <c r="U709"/>
      <c r="V709"/>
      <c r="X709"/>
    </row>
    <row r="710" spans="10:24" s="1" customFormat="1" x14ac:dyDescent="0.2">
      <c r="J710"/>
      <c r="K710"/>
      <c r="L710"/>
      <c r="M710"/>
      <c r="N710"/>
      <c r="O710"/>
      <c r="P710" s="2"/>
      <c r="T710"/>
      <c r="U710"/>
      <c r="V710"/>
      <c r="X710"/>
    </row>
    <row r="711" spans="10:24" s="1" customFormat="1" x14ac:dyDescent="0.2">
      <c r="J711"/>
      <c r="K711"/>
      <c r="L711"/>
      <c r="M711"/>
      <c r="N711"/>
      <c r="O711"/>
      <c r="P711" s="2"/>
      <c r="T711"/>
      <c r="U711"/>
      <c r="V711"/>
      <c r="X711"/>
    </row>
    <row r="712" spans="10:24" s="1" customFormat="1" x14ac:dyDescent="0.2">
      <c r="J712"/>
      <c r="K712"/>
      <c r="L712"/>
      <c r="M712"/>
      <c r="N712"/>
      <c r="O712"/>
      <c r="P712" s="2"/>
      <c r="T712"/>
      <c r="U712"/>
      <c r="V712"/>
      <c r="X712"/>
    </row>
    <row r="713" spans="10:24" s="1" customFormat="1" x14ac:dyDescent="0.2">
      <c r="J713"/>
      <c r="K713"/>
      <c r="L713"/>
      <c r="M713"/>
      <c r="N713"/>
      <c r="O713"/>
      <c r="P713" s="2"/>
      <c r="T713"/>
      <c r="U713"/>
      <c r="V713"/>
      <c r="X713"/>
    </row>
    <row r="714" spans="10:24" s="1" customFormat="1" x14ac:dyDescent="0.2">
      <c r="J714"/>
      <c r="K714"/>
      <c r="L714"/>
      <c r="M714"/>
      <c r="N714"/>
      <c r="O714"/>
      <c r="P714" s="2"/>
      <c r="T714"/>
      <c r="U714"/>
      <c r="V714"/>
      <c r="X714"/>
    </row>
    <row r="715" spans="10:24" s="1" customFormat="1" x14ac:dyDescent="0.2">
      <c r="J715"/>
      <c r="K715"/>
      <c r="L715"/>
      <c r="M715"/>
      <c r="N715"/>
      <c r="O715"/>
      <c r="P715" s="2"/>
      <c r="T715"/>
      <c r="U715"/>
      <c r="V715"/>
      <c r="X715"/>
    </row>
    <row r="716" spans="10:24" s="1" customFormat="1" x14ac:dyDescent="0.2">
      <c r="J716"/>
      <c r="K716"/>
      <c r="L716"/>
      <c r="M716"/>
      <c r="N716"/>
      <c r="O716"/>
      <c r="P716" s="2"/>
      <c r="T716"/>
      <c r="U716"/>
      <c r="V716"/>
      <c r="X716"/>
    </row>
    <row r="717" spans="10:24" s="1" customFormat="1" x14ac:dyDescent="0.2">
      <c r="J717"/>
      <c r="K717"/>
      <c r="L717"/>
      <c r="M717"/>
      <c r="N717"/>
      <c r="O717"/>
      <c r="P717" s="2"/>
      <c r="T717"/>
      <c r="U717"/>
      <c r="V717"/>
      <c r="X717"/>
    </row>
    <row r="718" spans="10:24" s="1" customFormat="1" x14ac:dyDescent="0.2">
      <c r="J718"/>
      <c r="K718"/>
      <c r="L718"/>
      <c r="M718"/>
      <c r="N718"/>
      <c r="O718"/>
      <c r="P718" s="2"/>
      <c r="T718"/>
      <c r="U718"/>
      <c r="V718"/>
      <c r="X718"/>
    </row>
    <row r="719" spans="10:24" s="1" customFormat="1" x14ac:dyDescent="0.2">
      <c r="J719"/>
      <c r="K719"/>
      <c r="L719"/>
      <c r="M719"/>
      <c r="N719"/>
      <c r="O719"/>
      <c r="P719" s="2"/>
      <c r="T719"/>
      <c r="U719"/>
      <c r="V719"/>
      <c r="X719"/>
    </row>
    <row r="720" spans="10:24" s="1" customFormat="1" x14ac:dyDescent="0.2">
      <c r="J720"/>
      <c r="K720"/>
      <c r="L720"/>
      <c r="M720"/>
      <c r="N720"/>
      <c r="O720"/>
      <c r="P720" s="2"/>
      <c r="T720"/>
      <c r="U720"/>
      <c r="V720"/>
      <c r="X720"/>
    </row>
    <row r="721" spans="10:24" s="1" customFormat="1" x14ac:dyDescent="0.2">
      <c r="J721"/>
      <c r="K721"/>
      <c r="L721"/>
      <c r="M721"/>
      <c r="N721"/>
      <c r="O721"/>
      <c r="P721" s="2"/>
      <c r="T721"/>
      <c r="U721"/>
      <c r="V721"/>
      <c r="X721"/>
    </row>
    <row r="722" spans="10:24" s="1" customFormat="1" x14ac:dyDescent="0.2">
      <c r="J722"/>
      <c r="K722"/>
      <c r="L722"/>
      <c r="M722"/>
      <c r="N722"/>
      <c r="O722"/>
      <c r="P722" s="2"/>
      <c r="T722"/>
      <c r="U722"/>
      <c r="V722"/>
      <c r="X722"/>
    </row>
    <row r="723" spans="10:24" s="1" customFormat="1" x14ac:dyDescent="0.2">
      <c r="J723"/>
      <c r="K723"/>
      <c r="L723"/>
      <c r="M723"/>
      <c r="N723"/>
      <c r="O723"/>
      <c r="P723" s="2"/>
      <c r="T723"/>
      <c r="U723"/>
      <c r="V723"/>
      <c r="X723"/>
    </row>
    <row r="724" spans="10:24" s="1" customFormat="1" x14ac:dyDescent="0.2">
      <c r="J724"/>
      <c r="K724"/>
      <c r="L724"/>
      <c r="M724"/>
      <c r="N724"/>
      <c r="O724"/>
      <c r="P724" s="2"/>
      <c r="T724"/>
      <c r="U724"/>
      <c r="V724"/>
      <c r="X724"/>
    </row>
    <row r="725" spans="10:24" s="1" customFormat="1" x14ac:dyDescent="0.2">
      <c r="J725"/>
      <c r="K725"/>
      <c r="L725"/>
      <c r="M725"/>
      <c r="N725"/>
      <c r="O725"/>
      <c r="P725" s="2"/>
      <c r="T725"/>
      <c r="U725"/>
      <c r="V725"/>
      <c r="X725"/>
    </row>
    <row r="726" spans="10:24" s="1" customFormat="1" x14ac:dyDescent="0.2">
      <c r="J726"/>
      <c r="K726"/>
      <c r="L726"/>
      <c r="M726"/>
      <c r="N726"/>
      <c r="O726"/>
      <c r="P726" s="2"/>
      <c r="T726"/>
      <c r="U726"/>
      <c r="V726"/>
      <c r="X726"/>
    </row>
    <row r="727" spans="10:24" s="1" customFormat="1" x14ac:dyDescent="0.2">
      <c r="J727"/>
      <c r="K727"/>
      <c r="L727"/>
      <c r="M727"/>
      <c r="N727"/>
      <c r="O727"/>
      <c r="P727" s="2"/>
      <c r="T727"/>
      <c r="U727"/>
      <c r="V727"/>
      <c r="X727"/>
    </row>
    <row r="728" spans="10:24" s="1" customFormat="1" x14ac:dyDescent="0.2">
      <c r="J728"/>
      <c r="K728"/>
      <c r="L728"/>
      <c r="M728"/>
      <c r="N728"/>
      <c r="O728"/>
      <c r="P728" s="2"/>
      <c r="T728"/>
      <c r="U728"/>
      <c r="V728"/>
      <c r="X728"/>
    </row>
    <row r="729" spans="10:24" s="1" customFormat="1" x14ac:dyDescent="0.2">
      <c r="J729"/>
      <c r="K729"/>
      <c r="L729"/>
      <c r="M729"/>
      <c r="N729"/>
      <c r="O729"/>
      <c r="P729" s="2"/>
      <c r="T729"/>
      <c r="U729"/>
      <c r="V729"/>
      <c r="X729"/>
    </row>
    <row r="730" spans="10:24" s="1" customFormat="1" x14ac:dyDescent="0.2">
      <c r="J730"/>
      <c r="K730"/>
      <c r="L730"/>
      <c r="M730"/>
      <c r="N730"/>
      <c r="O730"/>
      <c r="P730" s="2"/>
      <c r="T730"/>
      <c r="U730"/>
      <c r="V730"/>
      <c r="X730"/>
    </row>
    <row r="731" spans="10:24" s="1" customFormat="1" x14ac:dyDescent="0.2">
      <c r="J731"/>
      <c r="K731"/>
      <c r="L731"/>
      <c r="M731"/>
      <c r="N731"/>
      <c r="O731"/>
      <c r="P731" s="2"/>
      <c r="T731"/>
      <c r="U731"/>
      <c r="V731"/>
      <c r="X731"/>
    </row>
    <row r="732" spans="10:24" s="1" customFormat="1" x14ac:dyDescent="0.2">
      <c r="J732"/>
      <c r="K732"/>
      <c r="L732"/>
      <c r="M732"/>
      <c r="N732"/>
      <c r="O732"/>
      <c r="P732" s="2"/>
      <c r="T732"/>
      <c r="U732"/>
      <c r="V732"/>
      <c r="X732"/>
    </row>
    <row r="733" spans="10:24" s="1" customFormat="1" x14ac:dyDescent="0.2">
      <c r="J733"/>
      <c r="K733"/>
      <c r="L733"/>
      <c r="M733"/>
      <c r="N733"/>
      <c r="O733"/>
      <c r="P733" s="2"/>
      <c r="T733"/>
      <c r="U733"/>
      <c r="V733"/>
      <c r="X733"/>
    </row>
    <row r="734" spans="10:24" s="1" customFormat="1" x14ac:dyDescent="0.2">
      <c r="J734"/>
      <c r="K734"/>
      <c r="L734"/>
      <c r="M734"/>
      <c r="N734"/>
      <c r="O734"/>
      <c r="P734" s="2"/>
      <c r="T734"/>
      <c r="U734"/>
      <c r="V734"/>
      <c r="X734"/>
    </row>
    <row r="735" spans="10:24" s="1" customFormat="1" x14ac:dyDescent="0.2">
      <c r="J735"/>
      <c r="K735"/>
      <c r="L735"/>
      <c r="M735"/>
      <c r="N735"/>
      <c r="O735"/>
      <c r="P735" s="2"/>
      <c r="T735"/>
      <c r="U735"/>
      <c r="V735"/>
      <c r="X735"/>
    </row>
    <row r="736" spans="10:24" s="1" customFormat="1" x14ac:dyDescent="0.2">
      <c r="J736"/>
      <c r="K736"/>
      <c r="L736"/>
      <c r="M736"/>
      <c r="N736"/>
      <c r="O736"/>
      <c r="P736" s="2"/>
      <c r="T736"/>
      <c r="U736"/>
      <c r="V736"/>
      <c r="X736"/>
    </row>
    <row r="65465" spans="13:13" x14ac:dyDescent="0.2">
      <c r="M65465">
        <v>4</v>
      </c>
    </row>
  </sheetData>
  <mergeCells count="137">
    <mergeCell ref="W21:W22"/>
    <mergeCell ref="W33:W34"/>
    <mergeCell ref="M33:M34"/>
    <mergeCell ref="K33:K34"/>
    <mergeCell ref="E33:E34"/>
    <mergeCell ref="B33:B34"/>
    <mergeCell ref="J33:J34"/>
    <mergeCell ref="S33:S34"/>
    <mergeCell ref="T33:T34"/>
    <mergeCell ref="U33:U34"/>
    <mergeCell ref="V33:V34"/>
    <mergeCell ref="B21:B22"/>
    <mergeCell ref="E21:E22"/>
    <mergeCell ref="S21:S22"/>
    <mergeCell ref="T21:T22"/>
    <mergeCell ref="U21:U22"/>
    <mergeCell ref="V21:V22"/>
    <mergeCell ref="Q21:Q22"/>
    <mergeCell ref="N21:N22"/>
    <mergeCell ref="M21:M22"/>
    <mergeCell ref="I21:I22"/>
    <mergeCell ref="D22:D23"/>
    <mergeCell ref="F21:F22"/>
    <mergeCell ref="J21:J22"/>
    <mergeCell ref="K21:K22"/>
    <mergeCell ref="H21:H22"/>
    <mergeCell ref="X54:AD54"/>
    <mergeCell ref="X55:AD55"/>
    <mergeCell ref="X56:AD56"/>
    <mergeCell ref="C83:O84"/>
    <mergeCell ref="D73:P73"/>
    <mergeCell ref="X57:AD57"/>
    <mergeCell ref="X58:AD58"/>
    <mergeCell ref="E60:F60"/>
    <mergeCell ref="E61:F61"/>
    <mergeCell ref="E62:F62"/>
    <mergeCell ref="X45:AD45"/>
    <mergeCell ref="X46:AD46"/>
    <mergeCell ref="X47:AD47"/>
    <mergeCell ref="X48:AD48"/>
    <mergeCell ref="X49:AD49"/>
    <mergeCell ref="X50:AD50"/>
    <mergeCell ref="X51:AD51"/>
    <mergeCell ref="X52:AD52"/>
    <mergeCell ref="X53:AD53"/>
    <mergeCell ref="X36:AD36"/>
    <mergeCell ref="X37:AD37"/>
    <mergeCell ref="X38:AD38"/>
    <mergeCell ref="X39:AD39"/>
    <mergeCell ref="X40:AD40"/>
    <mergeCell ref="X41:AD41"/>
    <mergeCell ref="X42:AD42"/>
    <mergeCell ref="X43:AD43"/>
    <mergeCell ref="X44:AD44"/>
    <mergeCell ref="X31:AD31"/>
    <mergeCell ref="X32:AD32"/>
    <mergeCell ref="X27:AD27"/>
    <mergeCell ref="X28:AD28"/>
    <mergeCell ref="X29:AD29"/>
    <mergeCell ref="X30:AD30"/>
    <mergeCell ref="X33:AD33"/>
    <mergeCell ref="X34:AD34"/>
    <mergeCell ref="X35:AD35"/>
    <mergeCell ref="X17:AD17"/>
    <mergeCell ref="X18:AD18"/>
    <mergeCell ref="X15:AD15"/>
    <mergeCell ref="X16:AD16"/>
    <mergeCell ref="X14:AD14"/>
    <mergeCell ref="X25:AD25"/>
    <mergeCell ref="X26:AD26"/>
    <mergeCell ref="X23:AD23"/>
    <mergeCell ref="X24:AD24"/>
    <mergeCell ref="X19:AD19"/>
    <mergeCell ref="X20:AD20"/>
    <mergeCell ref="X21:AD22"/>
    <mergeCell ref="X7:AD7"/>
    <mergeCell ref="B2:X2"/>
    <mergeCell ref="X3:AD3"/>
    <mergeCell ref="X4:AD4"/>
    <mergeCell ref="X5:AD5"/>
    <mergeCell ref="X6:AD6"/>
    <mergeCell ref="W10:W13"/>
    <mergeCell ref="X13:AD13"/>
    <mergeCell ref="X11:AD11"/>
    <mergeCell ref="X12:AD12"/>
    <mergeCell ref="X9:AD9"/>
    <mergeCell ref="X10:AD10"/>
    <mergeCell ref="X8:AD8"/>
    <mergeCell ref="B10:B13"/>
    <mergeCell ref="V10:V13"/>
    <mergeCell ref="K10:K13"/>
    <mergeCell ref="U10:U13"/>
    <mergeCell ref="T10:T13"/>
    <mergeCell ref="S10:S13"/>
    <mergeCell ref="M10:M13"/>
    <mergeCell ref="E10:E13"/>
    <mergeCell ref="J10:J13"/>
    <mergeCell ref="V16:V17"/>
    <mergeCell ref="W16:W17"/>
    <mergeCell ref="E16:E17"/>
    <mergeCell ref="M16:M17"/>
    <mergeCell ref="K16:K17"/>
    <mergeCell ref="B16:B17"/>
    <mergeCell ref="J16:J17"/>
    <mergeCell ref="S16:S17"/>
    <mergeCell ref="T16:T17"/>
    <mergeCell ref="U16:U17"/>
    <mergeCell ref="U19:U20"/>
    <mergeCell ref="V19:V20"/>
    <mergeCell ref="W19:W20"/>
    <mergeCell ref="J19:J20"/>
    <mergeCell ref="K19:K20"/>
    <mergeCell ref="E19:E20"/>
    <mergeCell ref="M19:M20"/>
    <mergeCell ref="B19:B20"/>
    <mergeCell ref="S19:S20"/>
    <mergeCell ref="T19:T20"/>
    <mergeCell ref="T28:T29"/>
    <mergeCell ref="U28:U29"/>
    <mergeCell ref="V28:V29"/>
    <mergeCell ref="W28:W29"/>
    <mergeCell ref="B28:B29"/>
    <mergeCell ref="E28:E29"/>
    <mergeCell ref="J28:J29"/>
    <mergeCell ref="K28:K29"/>
    <mergeCell ref="M28:M29"/>
    <mergeCell ref="S28:S29"/>
    <mergeCell ref="T31:T32"/>
    <mergeCell ref="U31:U32"/>
    <mergeCell ref="V31:V32"/>
    <mergeCell ref="W31:W32"/>
    <mergeCell ref="B31:B32"/>
    <mergeCell ref="E31:E32"/>
    <mergeCell ref="J31:J32"/>
    <mergeCell ref="K31:K32"/>
    <mergeCell ref="M31:M32"/>
    <mergeCell ref="S31:S32"/>
  </mergeCells>
  <conditionalFormatting sqref="B2 J78:J86 J89:J65536">
    <cfRule type="cellIs" dxfId="1686" priority="904" stopIfTrue="1" operator="lessThan">
      <formula>438</formula>
    </cfRule>
  </conditionalFormatting>
  <conditionalFormatting sqref="I64:I72">
    <cfRule type="cellIs" dxfId="1685" priority="882" stopIfTrue="1" operator="lessThan">
      <formula>0%</formula>
    </cfRule>
    <cfRule type="cellIs" dxfId="1684" priority="881" stopIfTrue="1" operator="greaterThan">
      <formula>1.5%</formula>
    </cfRule>
  </conditionalFormatting>
  <conditionalFormatting sqref="J3">
    <cfRule type="cellIs" dxfId="1683" priority="710" stopIfTrue="1" operator="lessThan">
      <formula>438</formula>
    </cfRule>
    <cfRule type="cellIs" dxfId="1682" priority="708" stopIfTrue="1" operator="lessThan">
      <formula>456.25</formula>
    </cfRule>
  </conditionalFormatting>
  <conditionalFormatting sqref="J4:J10">
    <cfRule type="cellIs" dxfId="1681" priority="711" stopIfTrue="1" operator="lessThan">
      <formula>524</formula>
    </cfRule>
  </conditionalFormatting>
  <conditionalFormatting sqref="J14:J16 J18:J19 J21 J23:J28">
    <cfRule type="cellIs" dxfId="1680" priority="134" stopIfTrue="1" operator="lessThan">
      <formula>524</formula>
    </cfRule>
  </conditionalFormatting>
  <conditionalFormatting sqref="J30:J31">
    <cfRule type="cellIs" dxfId="1679" priority="4" stopIfTrue="1" operator="lessThan">
      <formula>524</formula>
    </cfRule>
  </conditionalFormatting>
  <conditionalFormatting sqref="J33">
    <cfRule type="cellIs" dxfId="1678" priority="173" stopIfTrue="1" operator="lessThan">
      <formula>524</formula>
    </cfRule>
  </conditionalFormatting>
  <conditionalFormatting sqref="J38:J58">
    <cfRule type="cellIs" dxfId="1677" priority="782" stopIfTrue="1" operator="lessThan">
      <formula>524</formula>
    </cfRule>
  </conditionalFormatting>
  <conditionalFormatting sqref="J59">
    <cfRule type="cellIs" dxfId="1676" priority="898" stopIfTrue="1" operator="lessThan">
      <formula>462</formula>
    </cfRule>
  </conditionalFormatting>
  <conditionalFormatting sqref="J64:K72">
    <cfRule type="cellIs" dxfId="1675" priority="172" stopIfTrue="1" operator="lessThan">
      <formula>73%</formula>
    </cfRule>
  </conditionalFormatting>
  <conditionalFormatting sqref="K21 K23:K28">
    <cfRule type="cellIs" dxfId="1674" priority="102" stopIfTrue="1" operator="lessThan">
      <formula>540</formula>
    </cfRule>
  </conditionalFormatting>
  <conditionalFormatting sqref="K4:L10">
    <cfRule type="cellIs" dxfId="1673" priority="714" stopIfTrue="1" operator="lessThan">
      <formula>540</formula>
    </cfRule>
  </conditionalFormatting>
  <conditionalFormatting sqref="K14:L16 L17 K18:L18 K19">
    <cfRule type="cellIs" dxfId="1672" priority="137" stopIfTrue="1" operator="lessThan">
      <formula>540</formula>
    </cfRule>
  </conditionalFormatting>
  <conditionalFormatting sqref="K38:L57">
    <cfRule type="cellIs" dxfId="1671" priority="783" stopIfTrue="1" operator="lessThan">
      <formula>540</formula>
    </cfRule>
  </conditionalFormatting>
  <conditionalFormatting sqref="L11:L13 L19:L29 K30:L30 K31 K33">
    <cfRule type="cellIs" dxfId="1670" priority="176" stopIfTrue="1" operator="lessThan">
      <formula>540</formula>
    </cfRule>
  </conditionalFormatting>
  <conditionalFormatting sqref="L31:L34">
    <cfRule type="cellIs" dxfId="1669" priority="34" stopIfTrue="1" operator="lessThan">
      <formula>540</formula>
    </cfRule>
  </conditionalFormatting>
  <conditionalFormatting sqref="Q4:Q21">
    <cfRule type="cellIs" dxfId="1668" priority="895" stopIfTrue="1" operator="greaterThan">
      <formula>1.1</formula>
    </cfRule>
  </conditionalFormatting>
  <conditionalFormatting sqref="Q23:Q60">
    <cfRule type="cellIs" dxfId="1667" priority="58" stopIfTrue="1" operator="greaterThan">
      <formula>1.1</formula>
    </cfRule>
  </conditionalFormatting>
  <conditionalFormatting sqref="Q60:Q61">
    <cfRule type="cellIs" dxfId="1666" priority="900" stopIfTrue="1" operator="lessThan">
      <formula>0%</formula>
    </cfRule>
    <cfRule type="cellIs" dxfId="1665" priority="899" stopIfTrue="1" operator="greaterThan">
      <formula>1.5%</formula>
    </cfRule>
  </conditionalFormatting>
  <conditionalFormatting sqref="Q64">
    <cfRule type="cellIs" dxfId="1664" priority="883" stopIfTrue="1" operator="greaterThan">
      <formula>1.1</formula>
    </cfRule>
  </conditionalFormatting>
  <conditionalFormatting sqref="S4:T10">
    <cfRule type="cellIs" dxfId="1663" priority="712" stopIfTrue="1" operator="lessThan">
      <formula>0.67</formula>
    </cfRule>
  </conditionalFormatting>
  <conditionalFormatting sqref="S14:T16">
    <cfRule type="cellIs" dxfId="1662" priority="131" stopIfTrue="1" operator="lessThan">
      <formula>0.67</formula>
    </cfRule>
  </conditionalFormatting>
  <conditionalFormatting sqref="S18:T19 S21:T21">
    <cfRule type="cellIs" dxfId="1661" priority="127" stopIfTrue="1" operator="lessThan">
      <formula>0.67</formula>
    </cfRule>
  </conditionalFormatting>
  <conditionalFormatting sqref="S23:T28">
    <cfRule type="cellIs" dxfId="1660" priority="63" stopIfTrue="1" operator="lessThan">
      <formula>0.67</formula>
    </cfRule>
  </conditionalFormatting>
  <conditionalFormatting sqref="S30:T31 S33:T33">
    <cfRule type="cellIs" dxfId="1659" priority="5" stopIfTrue="1" operator="lessThan">
      <formula>0.67</formula>
    </cfRule>
  </conditionalFormatting>
  <conditionalFormatting sqref="S35:T57">
    <cfRule type="cellIs" dxfId="1658" priority="669" stopIfTrue="1" operator="lessThan">
      <formula>0.67</formula>
    </cfRule>
  </conditionalFormatting>
  <conditionalFormatting sqref="S58:T58">
    <cfRule type="cellIs" dxfId="1657" priority="169" stopIfTrue="1" operator="greaterThan">
      <formula>1.1</formula>
    </cfRule>
  </conditionalFormatting>
  <conditionalFormatting sqref="S59:T59">
    <cfRule type="cellIs" dxfId="1656" priority="835" stopIfTrue="1" operator="lessThan">
      <formula>0.6</formula>
    </cfRule>
  </conditionalFormatting>
  <conditionalFormatting sqref="S64:T64">
    <cfRule type="cellIs" dxfId="1655" priority="133" stopIfTrue="1" operator="lessThan">
      <formula>0.67</formula>
    </cfRule>
  </conditionalFormatting>
  <conditionalFormatting sqref="U60:U61">
    <cfRule type="cellIs" dxfId="1654" priority="902" stopIfTrue="1" operator="lessThan">
      <formula>73%</formula>
    </cfRule>
  </conditionalFormatting>
  <conditionalFormatting sqref="U81">
    <cfRule type="cellIs" dxfId="1653" priority="886" stopIfTrue="1" operator="greaterThan">
      <formula>1.1</formula>
    </cfRule>
  </conditionalFormatting>
  <conditionalFormatting sqref="U4:V10">
    <cfRule type="cellIs" dxfId="1652" priority="897" stopIfTrue="1" operator="lessThan">
      <formula>0.74</formula>
    </cfRule>
  </conditionalFormatting>
  <conditionalFormatting sqref="U14:V16">
    <cfRule type="cellIs" dxfId="1651" priority="165" stopIfTrue="1" operator="lessThan">
      <formula>0.74</formula>
    </cfRule>
  </conditionalFormatting>
  <conditionalFormatting sqref="U18:V19 U21:V21">
    <cfRule type="cellIs" dxfId="1650" priority="130" stopIfTrue="1" operator="lessThan">
      <formula>0.74</formula>
    </cfRule>
  </conditionalFormatting>
  <conditionalFormatting sqref="U23:V28">
    <cfRule type="cellIs" dxfId="1649" priority="66" stopIfTrue="1" operator="lessThan">
      <formula>0.74</formula>
    </cfRule>
  </conditionalFormatting>
  <conditionalFormatting sqref="U30:V31 U33:V33">
    <cfRule type="cellIs" dxfId="1648" priority="8" stopIfTrue="1" operator="lessThan">
      <formula>0.74</formula>
    </cfRule>
  </conditionalFormatting>
  <conditionalFormatting sqref="U35:V59">
    <cfRule type="cellIs" dxfId="1647" priority="403" stopIfTrue="1" operator="lessThan">
      <formula>0.74</formula>
    </cfRule>
  </conditionalFormatting>
  <conditionalFormatting sqref="U64:V64">
    <cfRule type="cellIs" dxfId="1646" priority="884" stopIfTrue="1" operator="lessThan">
      <formula>0.74</formula>
    </cfRule>
  </conditionalFormatting>
  <conditionalFormatting sqref="U3:W3">
    <cfRule type="cellIs" dxfId="1645" priority="894" stopIfTrue="1" operator="lessThan">
      <formula>0.65</formula>
    </cfRule>
  </conditionalFormatting>
  <conditionalFormatting sqref="U80:W80">
    <cfRule type="cellIs" dxfId="1644" priority="887" stopIfTrue="1" operator="lessThan">
      <formula>0.74</formula>
    </cfRule>
  </conditionalFormatting>
  <conditionalFormatting sqref="V60:W61">
    <cfRule type="cellIs" dxfId="1643" priority="903" stopIfTrue="1" operator="lessThan">
      <formula>75%</formula>
    </cfRule>
  </conditionalFormatting>
  <conditionalFormatting sqref="W4:W10">
    <cfRule type="cellIs" dxfId="1642" priority="713" stopIfTrue="1" operator="lessThan">
      <formula>0.95</formula>
    </cfRule>
  </conditionalFormatting>
  <conditionalFormatting sqref="W14:W16">
    <cfRule type="cellIs" dxfId="1641" priority="136" stopIfTrue="1" operator="lessThan">
      <formula>0.95</formula>
    </cfRule>
  </conditionalFormatting>
  <conditionalFormatting sqref="W18:W19 W21">
    <cfRule type="cellIs" dxfId="1640" priority="129" stopIfTrue="1" operator="lessThan">
      <formula>0.95</formula>
    </cfRule>
  </conditionalFormatting>
  <conditionalFormatting sqref="W23:W28">
    <cfRule type="cellIs" dxfId="1639" priority="65" stopIfTrue="1" operator="lessThan">
      <formula>0.95</formula>
    </cfRule>
  </conditionalFormatting>
  <conditionalFormatting sqref="W30:W31 W33">
    <cfRule type="cellIs" dxfId="1638" priority="7" stopIfTrue="1" operator="lessThan">
      <formula>0.95</formula>
    </cfRule>
  </conditionalFormatting>
  <conditionalFormatting sqref="W35:W59">
    <cfRule type="cellIs" dxfId="1637" priority="687" stopIfTrue="1" operator="lessThan">
      <formula>0.95</formula>
    </cfRule>
  </conditionalFormatting>
  <conditionalFormatting sqref="W63">
    <cfRule type="cellIs" dxfId="1636" priority="652" stopIfTrue="1" operator="lessThan">
      <formula>0.65</formula>
    </cfRule>
  </conditionalFormatting>
  <conditionalFormatting sqref="W64">
    <cfRule type="cellIs" dxfId="1635" priority="651" stopIfTrue="1" operator="lessThan">
      <formula>0.95</formula>
    </cfRule>
  </conditionalFormatting>
  <printOptions horizontalCentered="1"/>
  <pageMargins left="0.10312499999999999" right="0.5" top="0.25" bottom="0.27" header="0.25" footer="0.27"/>
  <pageSetup paperSize="5" scale="39" fitToHeight="0"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8D7D-6ECF-4249-81D7-2CF1CC588C70}">
  <sheetPr codeName="Sheet15">
    <pageSetUpPr fitToPage="1"/>
  </sheetPr>
  <dimension ref="A2:AF65465"/>
  <sheetViews>
    <sheetView showZeros="0" showWhiteSpace="0" zoomScale="70" zoomScaleNormal="70" workbookViewId="0">
      <pane xSplit="3" ySplit="3" topLeftCell="F35" activePane="bottomRight" state="frozen"/>
      <selection activeCell="M66" sqref="M66"/>
      <selection pane="topRight" activeCell="M66" sqref="M66"/>
      <selection pane="bottomLeft" activeCell="M66" sqref="M66"/>
      <selection pane="bottomRight" activeCell="M66" sqref="M66"/>
    </sheetView>
  </sheetViews>
  <sheetFormatPr defaultColWidth="9.42578125" defaultRowHeight="12.75" x14ac:dyDescent="0.2"/>
  <cols>
    <col min="1" max="1" width="3.42578125" customWidth="1"/>
    <col min="2" max="2" width="21.42578125" style="1" customWidth="1"/>
    <col min="3" max="3" width="37.42578125" style="1" customWidth="1"/>
    <col min="4" max="4" width="15.5703125" style="1" customWidth="1"/>
    <col min="5" max="5" width="13.42578125" style="1" customWidth="1"/>
    <col min="6" max="6" width="12.42578125" style="1" customWidth="1"/>
    <col min="7" max="7" width="12.42578125" customWidth="1"/>
    <col min="8" max="8" width="13.42578125" customWidth="1"/>
    <col min="9" max="9" width="11.42578125" style="1" customWidth="1"/>
    <col min="10" max="10" width="14.42578125" customWidth="1"/>
    <col min="11" max="11" width="17.42578125" customWidth="1"/>
    <col min="12" max="12" width="4.5703125" hidden="1" customWidth="1"/>
    <col min="13" max="13" width="10.5703125" customWidth="1"/>
    <col min="14" max="14" width="10.42578125" customWidth="1"/>
    <col min="15" max="15" width="10" customWidth="1"/>
    <col min="16" max="16" width="12" style="2" customWidth="1"/>
    <col min="17" max="17" width="14.42578125" style="1" customWidth="1"/>
    <col min="18" max="18" width="7.5703125" style="1" hidden="1" customWidth="1"/>
    <col min="19" max="19" width="16.42578125" style="1" customWidth="1"/>
    <col min="20" max="20" width="15.5703125" customWidth="1"/>
    <col min="21" max="21" width="13.42578125" customWidth="1"/>
    <col min="22" max="22" width="14.5703125" customWidth="1"/>
    <col min="23" max="23" width="20.5703125" style="1" bestFit="1" customWidth="1"/>
    <col min="24" max="24" width="12" customWidth="1"/>
    <col min="25" max="25" width="17" customWidth="1"/>
    <col min="26" max="26" width="15.42578125" customWidth="1"/>
    <col min="27" max="27" width="15.5703125" customWidth="1"/>
    <col min="28" max="28" width="14" customWidth="1"/>
    <col min="29" max="29" width="25.5703125" customWidth="1"/>
    <col min="30" max="30" width="52.42578125" customWidth="1"/>
  </cols>
  <sheetData>
    <row r="2" spans="2:32" ht="24" thickBot="1" x14ac:dyDescent="0.4">
      <c r="B2" s="1022" t="s">
        <v>406</v>
      </c>
      <c r="C2" s="1022"/>
      <c r="D2" s="1022"/>
      <c r="E2" s="1022"/>
      <c r="F2" s="1022"/>
      <c r="G2" s="1022"/>
      <c r="H2" s="1022"/>
      <c r="I2" s="1022"/>
      <c r="J2" s="1022"/>
      <c r="K2" s="1022"/>
      <c r="L2" s="1022"/>
      <c r="M2" s="1022"/>
      <c r="N2" s="1022"/>
      <c r="O2" s="1022"/>
      <c r="P2" s="1022"/>
      <c r="Q2" s="1022"/>
      <c r="R2" s="1022"/>
      <c r="S2" s="1022"/>
      <c r="T2" s="1022"/>
      <c r="U2" s="1022"/>
      <c r="V2" s="1022"/>
      <c r="W2" s="1065"/>
      <c r="X2" s="1065"/>
    </row>
    <row r="3" spans="2:32" ht="67.5" customHeight="1" thickTop="1" thickBot="1" x14ac:dyDescent="0.25">
      <c r="B3" s="37" t="s">
        <v>0</v>
      </c>
      <c r="C3" s="38" t="s">
        <v>2</v>
      </c>
      <c r="D3" s="38" t="s">
        <v>12</v>
      </c>
      <c r="E3" s="38" t="s">
        <v>11</v>
      </c>
      <c r="F3" s="38" t="s">
        <v>15</v>
      </c>
      <c r="G3" s="38" t="s">
        <v>9</v>
      </c>
      <c r="H3" s="38" t="s">
        <v>17</v>
      </c>
      <c r="I3" s="38" t="s">
        <v>5</v>
      </c>
      <c r="J3" s="38" t="s">
        <v>494</v>
      </c>
      <c r="K3" s="38" t="s">
        <v>4</v>
      </c>
      <c r="L3" s="38" t="s">
        <v>540</v>
      </c>
      <c r="M3" s="38" t="s">
        <v>161</v>
      </c>
      <c r="N3" s="38" t="s">
        <v>10</v>
      </c>
      <c r="O3" s="38" t="s">
        <v>622</v>
      </c>
      <c r="P3" s="294" t="s">
        <v>34</v>
      </c>
      <c r="Q3" s="40" t="s">
        <v>55</v>
      </c>
      <c r="R3" s="40" t="s">
        <v>8</v>
      </c>
      <c r="S3" s="41" t="s">
        <v>464</v>
      </c>
      <c r="T3" s="41" t="s">
        <v>473</v>
      </c>
      <c r="U3" s="41" t="s">
        <v>307</v>
      </c>
      <c r="V3" s="282" t="s">
        <v>308</v>
      </c>
      <c r="W3" s="283" t="s">
        <v>425</v>
      </c>
      <c r="X3" s="1066" t="s">
        <v>1</v>
      </c>
      <c r="Y3" s="1067"/>
      <c r="Z3" s="1067"/>
      <c r="AA3" s="1067"/>
      <c r="AB3" s="1067"/>
      <c r="AC3" s="1067"/>
      <c r="AD3" s="1068"/>
      <c r="AE3">
        <v>15000</v>
      </c>
      <c r="AF3">
        <v>17000</v>
      </c>
    </row>
    <row r="4" spans="2:32" s="19" customFormat="1" ht="36" customHeight="1" thickTop="1" x14ac:dyDescent="0.2">
      <c r="B4" s="1072">
        <f>[3]August_2017!$B$8</f>
        <v>42948</v>
      </c>
      <c r="C4" s="26" t="str">
        <f>[3]August_2017!$D8</f>
        <v>CARIB</v>
      </c>
      <c r="D4" s="297">
        <v>3700</v>
      </c>
      <c r="E4" s="1073">
        <v>0.33611111111111108</v>
      </c>
      <c r="F4" s="369">
        <f>[3]August_2017!$J8</f>
        <v>161.89999999999998</v>
      </c>
      <c r="G4" s="30">
        <f>[3]August_2017!$F8</f>
        <v>2418</v>
      </c>
      <c r="H4" s="369">
        <f>[3]August_2017!$K8</f>
        <v>159.58799999999999</v>
      </c>
      <c r="I4" s="370">
        <f>[3]August_2017!$N8</f>
        <v>18</v>
      </c>
      <c r="J4" s="1083">
        <f>[3]August_2017!$Q8</f>
        <v>450.78602620087332</v>
      </c>
      <c r="K4" s="1083">
        <f>[3]August_2017!$E8</f>
        <v>916</v>
      </c>
      <c r="L4" s="32"/>
      <c r="M4" s="1063">
        <v>1.0125</v>
      </c>
      <c r="N4" s="32">
        <f>[3]August_2017!$M8</f>
        <v>27</v>
      </c>
      <c r="O4" s="350" t="e">
        <f>[4]Aug!$I8</f>
        <v>#REF!</v>
      </c>
      <c r="P4" s="32">
        <f>[3]August_2017!$H8</f>
        <v>0</v>
      </c>
      <c r="Q4" s="349">
        <f>[3]August_2017!$P8</f>
        <v>1.4280420012353203</v>
      </c>
      <c r="R4" s="32"/>
      <c r="S4" s="1074">
        <f>($G4+G5)/(($K4/60)*AE$3*(1/24))</f>
        <v>0.72125764192139741</v>
      </c>
      <c r="T4" s="1074">
        <f>($G4+G5)/(($K4/60)*AF$3*(1/24))</f>
        <v>0.6364038016953506</v>
      </c>
      <c r="U4" s="1074">
        <f>($G4+G5)*24/($K4/60)/$AE$3</f>
        <v>0.7212576419213973</v>
      </c>
      <c r="V4" s="1062">
        <f>($G4+G5)*24/($K4/60)/$AF$3</f>
        <v>0.6364038016953506</v>
      </c>
      <c r="W4" s="1064">
        <f>(1038-((N4+N5)-53))/1038</f>
        <v>0.83815028901734101</v>
      </c>
      <c r="X4" s="1095" t="s">
        <v>656</v>
      </c>
      <c r="Y4" s="1096"/>
      <c r="Z4" s="1096"/>
      <c r="AA4" s="1096"/>
      <c r="AB4" s="1096"/>
      <c r="AC4" s="1096"/>
      <c r="AD4" s="1097"/>
    </row>
    <row r="5" spans="2:32" s="19" customFormat="1" ht="37.5" customHeight="1" x14ac:dyDescent="0.2">
      <c r="B5" s="1038"/>
      <c r="C5" s="26" t="str">
        <f>[3]August_2017!$D9</f>
        <v>STAG</v>
      </c>
      <c r="D5" s="297">
        <v>4500</v>
      </c>
      <c r="E5" s="1053"/>
      <c r="F5" s="369">
        <f>[3]August_2017!$J9</f>
        <v>303.5</v>
      </c>
      <c r="G5" s="30">
        <f>[3]August_2017!$F9</f>
        <v>4464</v>
      </c>
      <c r="H5" s="369">
        <f>[3]August_2017!$K9</f>
        <v>300.32400000000001</v>
      </c>
      <c r="I5" s="370">
        <f>[3]August_2017!$N9</f>
        <v>26.5</v>
      </c>
      <c r="J5" s="992"/>
      <c r="K5" s="992"/>
      <c r="L5" s="32"/>
      <c r="M5" s="1018"/>
      <c r="N5" s="32">
        <f>[3]August_2017!$M9</f>
        <v>194</v>
      </c>
      <c r="O5" s="350">
        <f>[4]Aug!$I9</f>
        <v>42</v>
      </c>
      <c r="P5" s="32">
        <f>[3]August_2017!$H9</f>
        <v>0</v>
      </c>
      <c r="Q5" s="349">
        <f>[3]August_2017!$P9</f>
        <v>1.0464579901153173</v>
      </c>
      <c r="R5" s="32"/>
      <c r="S5" s="1040"/>
      <c r="T5" s="1040"/>
      <c r="U5" s="1040"/>
      <c r="V5" s="1048"/>
      <c r="W5" s="1036"/>
      <c r="X5" s="1013" t="s">
        <v>657</v>
      </c>
      <c r="Y5" s="1014"/>
      <c r="Z5" s="1014"/>
      <c r="AA5" s="1014"/>
      <c r="AB5" s="1014"/>
      <c r="AC5" s="1014"/>
      <c r="AD5" s="1015"/>
    </row>
    <row r="6" spans="2:32" s="19" customFormat="1" ht="57" customHeight="1" x14ac:dyDescent="0.2">
      <c r="B6" s="168">
        <f>[3]August_2017!$B10</f>
        <v>42949</v>
      </c>
      <c r="C6" s="26" t="str">
        <f>[3]August_2017!$D10</f>
        <v>STAG</v>
      </c>
      <c r="D6" s="297">
        <v>7000</v>
      </c>
      <c r="E6" s="28">
        <v>0.33611111111111108</v>
      </c>
      <c r="F6" s="369">
        <f>[3]August_2017!$J10</f>
        <v>411</v>
      </c>
      <c r="G6" s="30">
        <f>[3]August_2017!$F10</f>
        <v>6076</v>
      </c>
      <c r="H6" s="369">
        <f>[3]August_2017!$K10</f>
        <v>404.81600000000003</v>
      </c>
      <c r="I6" s="370">
        <f>[3]August_2017!$N10</f>
        <v>46.75</v>
      </c>
      <c r="J6" s="32">
        <f>SUM([3]August_2017!$Q10)</f>
        <v>396.69205658324267</v>
      </c>
      <c r="K6" s="32">
        <f>SUM([3]August_2017!$E10)</f>
        <v>919</v>
      </c>
      <c r="L6" s="32"/>
      <c r="M6" s="169">
        <v>1</v>
      </c>
      <c r="N6" s="32">
        <f>[3]August_2017!$M10</f>
        <v>329</v>
      </c>
      <c r="O6" s="350" t="e">
        <f>[4]Aug!$I10</f>
        <v>#REF!</v>
      </c>
      <c r="P6" s="32">
        <f>[3]August_2017!$H10</f>
        <v>0</v>
      </c>
      <c r="Q6" s="349">
        <f>[3]August_2017!$P10</f>
        <v>1.5046228710462213</v>
      </c>
      <c r="R6" s="32"/>
      <c r="S6" s="46">
        <f>($G6)/(($K6/60)*AE$3*(1/24))</f>
        <v>0.63470729053318831</v>
      </c>
      <c r="T6" s="46">
        <f>($G6)/(($K6/60)*AF$3*(1/24))</f>
        <v>0.56003584458810729</v>
      </c>
      <c r="U6" s="46">
        <f>($G6)*24/(($K6-249)/60)/$AE$3</f>
        <v>0.87059104477611948</v>
      </c>
      <c r="V6" s="227">
        <f>($G6)*24/(($K6-249)/60)/$AF$3</f>
        <v>0.76816856892010543</v>
      </c>
      <c r="W6" s="383">
        <f>(1020-(N6-251))/1020</f>
        <v>0.92352941176470593</v>
      </c>
      <c r="X6" s="1013" t="s">
        <v>659</v>
      </c>
      <c r="Y6" s="1014"/>
      <c r="Z6" s="1014"/>
      <c r="AA6" s="1014"/>
      <c r="AB6" s="1014"/>
      <c r="AC6" s="1014"/>
      <c r="AD6" s="1015"/>
    </row>
    <row r="7" spans="2:32" s="19" customFormat="1" ht="110.25" customHeight="1" x14ac:dyDescent="0.2">
      <c r="B7" s="1037">
        <f>[3]August_2017!$B11</f>
        <v>42950</v>
      </c>
      <c r="C7" s="26" t="str">
        <f>[3]August_2017!$D11</f>
        <v>STARMALT</v>
      </c>
      <c r="D7" s="297">
        <v>4900</v>
      </c>
      <c r="E7" s="1051">
        <v>0.33333333333333331</v>
      </c>
      <c r="F7" s="369">
        <f>[3]August_2017!$J11</f>
        <v>346.7</v>
      </c>
      <c r="G7" s="30">
        <f>[3]August_2017!$F11</f>
        <v>5191</v>
      </c>
      <c r="H7" s="369">
        <f>[3]August_2017!$K11</f>
        <v>344.69599999999997</v>
      </c>
      <c r="I7" s="370">
        <f>[3]August_2017!$N11</f>
        <v>11.5</v>
      </c>
      <c r="J7" s="991">
        <f>SUM([3]August_2017!$Q11)</f>
        <v>443.98706896551721</v>
      </c>
      <c r="K7" s="991">
        <f>SUM([3]August_2017!$E11)</f>
        <v>928</v>
      </c>
      <c r="L7" s="32"/>
      <c r="M7" s="1017">
        <v>1.0097222222222222</v>
      </c>
      <c r="N7" s="32">
        <f>[3]August_2017!$M11</f>
        <v>182</v>
      </c>
      <c r="O7" s="350" t="e">
        <f>[4]Aug!$I11</f>
        <v>#REF!</v>
      </c>
      <c r="P7" s="32">
        <f>[3]August_2017!$H11</f>
        <v>0</v>
      </c>
      <c r="Q7" s="349">
        <f>[3]August_2017!$P11</f>
        <v>0.57802134410153427</v>
      </c>
      <c r="R7" s="32"/>
      <c r="S7" s="1039">
        <f>($G7+G8)/(($K7/60)*AE$3*(1/24))</f>
        <v>0.7103793103448276</v>
      </c>
      <c r="T7" s="1039">
        <f>($G7+G8)/(($K7/60)*AF$3*(1/24))</f>
        <v>0.62680527383367146</v>
      </c>
      <c r="U7" s="1039">
        <f>($G7+G8)*24/(($K7)/60)/$AE$3</f>
        <v>0.71037931034482749</v>
      </c>
      <c r="V7" s="1047">
        <f>($G7+G8)*24/(($K7)/60)/$AF$3</f>
        <v>0.62680527383367135</v>
      </c>
      <c r="W7" s="1035">
        <f>(1023-((N7+N8)-50))/1023</f>
        <v>0.79960899315738021</v>
      </c>
      <c r="X7" s="1013" t="s">
        <v>661</v>
      </c>
      <c r="Y7" s="1014"/>
      <c r="Z7" s="1014"/>
      <c r="AA7" s="1014"/>
      <c r="AB7" s="1014"/>
      <c r="AC7" s="1014"/>
      <c r="AD7" s="1015"/>
    </row>
    <row r="8" spans="2:32" s="19" customFormat="1" ht="43.5" customHeight="1" x14ac:dyDescent="0.2">
      <c r="B8" s="1038"/>
      <c r="C8" s="26" t="str">
        <f>[3]August_2017!$D12</f>
        <v>STAG</v>
      </c>
      <c r="D8" s="297">
        <v>700</v>
      </c>
      <c r="E8" s="1053"/>
      <c r="F8" s="369">
        <f>[3]August_2017!$J12</f>
        <v>111.10000000000001</v>
      </c>
      <c r="G8" s="30">
        <f>[3]August_2017!$F12</f>
        <v>1676</v>
      </c>
      <c r="H8" s="369">
        <f>[3]August_2017!$K12</f>
        <v>110.616</v>
      </c>
      <c r="I8" s="370">
        <f>[3]August_2017!$N12</f>
        <v>4</v>
      </c>
      <c r="J8" s="992"/>
      <c r="K8" s="992"/>
      <c r="L8" s="32"/>
      <c r="M8" s="1018"/>
      <c r="N8" s="32">
        <f>[3]August_2017!$M12</f>
        <v>73</v>
      </c>
      <c r="O8" s="376">
        <f>[4]Aug!$I12</f>
        <v>41</v>
      </c>
      <c r="P8" s="32">
        <f>[3]August_2017!$H12</f>
        <v>0</v>
      </c>
      <c r="Q8" s="349">
        <f>[3]August_2017!$P12</f>
        <v>0.43564356435644358</v>
      </c>
      <c r="R8" s="32"/>
      <c r="S8" s="1040"/>
      <c r="T8" s="1040"/>
      <c r="U8" s="1040"/>
      <c r="V8" s="1048"/>
      <c r="W8" s="1036"/>
      <c r="X8" s="1013" t="s">
        <v>660</v>
      </c>
      <c r="Y8" s="1014"/>
      <c r="Z8" s="1014"/>
      <c r="AA8" s="1014"/>
      <c r="AB8" s="1014"/>
      <c r="AC8" s="1014"/>
      <c r="AD8" s="1015"/>
    </row>
    <row r="9" spans="2:32" s="19" customFormat="1" ht="38.25" customHeight="1" x14ac:dyDescent="0.2">
      <c r="B9" s="1037">
        <v>42951</v>
      </c>
      <c r="C9" s="26" t="str">
        <f>[3]August_2017!$D13</f>
        <v>MACKESON</v>
      </c>
      <c r="D9" s="297">
        <v>4200</v>
      </c>
      <c r="E9" s="1051">
        <v>0.33680555555555558</v>
      </c>
      <c r="F9" s="369">
        <f>[3]August_2017!$J13</f>
        <v>283.5</v>
      </c>
      <c r="G9" s="30">
        <f>[3]August_2017!$F13</f>
        <v>4261</v>
      </c>
      <c r="H9" s="369">
        <f>[3]August_2017!$K13</f>
        <v>281.226</v>
      </c>
      <c r="I9" s="370">
        <f>[3]August_2017!$N13</f>
        <v>22.25</v>
      </c>
      <c r="J9" s="991">
        <f>SUM([3]August_2017!$Q13)</f>
        <v>395.63249001331553</v>
      </c>
      <c r="K9" s="991">
        <f>SUM([3]August_2017!$E13)</f>
        <v>751</v>
      </c>
      <c r="L9" s="32"/>
      <c r="M9" s="1017">
        <v>0.89374999999999993</v>
      </c>
      <c r="N9" s="32">
        <f>[3]August_2017!$M13</f>
        <v>95</v>
      </c>
      <c r="O9" s="376" t="e">
        <f>[4]Aug!$I13</f>
        <v>#REF!</v>
      </c>
      <c r="P9" s="32">
        <f>[3]August_2017!$H13</f>
        <v>0</v>
      </c>
      <c r="Q9" s="349">
        <f>[3]August_2017!$P13</f>
        <v>0.80211640211640245</v>
      </c>
      <c r="R9" s="32"/>
      <c r="S9" s="1039">
        <f>($G9+G10)/(($K9/60)*AE$3*(1/24))</f>
        <v>0.63301198402130499</v>
      </c>
      <c r="T9" s="1039">
        <f>($G9+G10)/(($K9/60)*AF$3*(1/24))</f>
        <v>0.55853998590115139</v>
      </c>
      <c r="U9" s="1039">
        <f>($G9+G10)*24/(($K9)/60)/$AE$3</f>
        <v>0.63301198402130487</v>
      </c>
      <c r="V9" s="1049">
        <f>($G9+G10)*24/($K9/60)/$AF$3</f>
        <v>0.55853998590115139</v>
      </c>
      <c r="W9" s="1054">
        <f>(863-((N9+N10)-[4]Aug!$I$14-[4]Aug!$J$13))/863</f>
        <v>0.89455388180764772</v>
      </c>
      <c r="X9" s="1111" t="s">
        <v>663</v>
      </c>
      <c r="Y9" s="1112"/>
      <c r="Z9" s="1112"/>
      <c r="AA9" s="1112"/>
      <c r="AB9" s="1112"/>
      <c r="AC9" s="1112"/>
      <c r="AD9" s="1113"/>
    </row>
    <row r="10" spans="2:32" s="19" customFormat="1" ht="43.5" customHeight="1" x14ac:dyDescent="0.2">
      <c r="B10" s="1038"/>
      <c r="C10" s="26" t="str">
        <f>[3]August_2017!$D14</f>
        <v>SHANDY LIME</v>
      </c>
      <c r="D10" s="297">
        <v>700</v>
      </c>
      <c r="E10" s="1053"/>
      <c r="F10" s="369">
        <f>[3]August_2017!$J14</f>
        <v>48.7</v>
      </c>
      <c r="G10" s="30">
        <f>[3]August_2017!$F14</f>
        <v>691</v>
      </c>
      <c r="H10" s="369">
        <f>[3]August_2017!$K14</f>
        <v>47.506</v>
      </c>
      <c r="I10" s="370">
        <f>[3]August_2017!$N14</f>
        <v>4.25</v>
      </c>
      <c r="J10" s="992"/>
      <c r="K10" s="992"/>
      <c r="L10" s="32"/>
      <c r="M10" s="1018"/>
      <c r="N10" s="32">
        <f>[3]August_2017!$M14</f>
        <v>66</v>
      </c>
      <c r="O10" s="376">
        <f>[4]Aug!$I14</f>
        <v>55</v>
      </c>
      <c r="P10" s="32">
        <f>[3]August_2017!$H14</f>
        <v>0</v>
      </c>
      <c r="Q10" s="349">
        <f>[3]August_2017!$P14</f>
        <v>2.4517453798768019</v>
      </c>
      <c r="R10" s="32"/>
      <c r="S10" s="1040"/>
      <c r="T10" s="1040"/>
      <c r="U10" s="1040"/>
      <c r="V10" s="1048"/>
      <c r="W10" s="1036"/>
      <c r="X10" s="1111" t="s">
        <v>662</v>
      </c>
      <c r="Y10" s="1112"/>
      <c r="Z10" s="1112"/>
      <c r="AA10" s="1112"/>
      <c r="AB10" s="1112"/>
      <c r="AC10" s="1112"/>
      <c r="AD10" s="1113"/>
    </row>
    <row r="11" spans="2:32" s="19" customFormat="1" ht="42.75" customHeight="1" x14ac:dyDescent="0.2">
      <c r="B11" s="1037">
        <v>42955</v>
      </c>
      <c r="C11" s="26" t="str">
        <f>[3]August_2017!$D15</f>
        <v>CARIB (AMBER)</v>
      </c>
      <c r="D11" s="297">
        <v>2800</v>
      </c>
      <c r="E11" s="1051">
        <v>0.34166666666666662</v>
      </c>
      <c r="F11" s="369">
        <f>[3]August_2017!$J15</f>
        <v>178.7</v>
      </c>
      <c r="G11" s="30">
        <f>[3]August_2017!$F15</f>
        <v>2461</v>
      </c>
      <c r="H11" s="369">
        <f>[3]August_2017!$K15</f>
        <v>176.29600000000002</v>
      </c>
      <c r="I11" s="370">
        <f>[3]August_2017!$N15</f>
        <v>7</v>
      </c>
      <c r="J11" s="991">
        <f>SUM([3]August_2017!$Q15)</f>
        <v>422.91828793774323</v>
      </c>
      <c r="K11" s="991">
        <f>SUM([3]August_2017!$E15)</f>
        <v>514</v>
      </c>
      <c r="L11" s="32"/>
      <c r="M11" s="1017">
        <v>0.72638888888888886</v>
      </c>
      <c r="N11" s="32">
        <f>[3]August_2017!$M15</f>
        <v>56</v>
      </c>
      <c r="O11" s="376" t="e">
        <f>[4]Aug!$I15</f>
        <v>#REF!</v>
      </c>
      <c r="P11" s="32">
        <f>[3]August_2017!$H15</f>
        <v>0</v>
      </c>
      <c r="Q11" s="349">
        <f>[3]August_2017!$P15</f>
        <v>1.3452714045886782</v>
      </c>
      <c r="R11" s="32"/>
      <c r="S11" s="1039">
        <f>($G11+G12)/(($K11/60)*AE$3*(1/24))</f>
        <v>0.67666926070038913</v>
      </c>
      <c r="T11" s="1039">
        <f>($G11+G12)/(($K11/60)*AF$3*(1/24))</f>
        <v>0.59706111238269621</v>
      </c>
      <c r="U11" s="1039">
        <f>($G11+$G12)*24/(($K11)/60)/$AE$3</f>
        <v>0.67666926070038913</v>
      </c>
      <c r="V11" s="1049">
        <f>($G11+G12)*24/($K11/60)/$AF$3</f>
        <v>0.59706111238269632</v>
      </c>
      <c r="W11" s="1054">
        <f>(602-((N11+N12)-[4]Aug!$I$16))/602</f>
        <v>0.83388704318936879</v>
      </c>
      <c r="X11" s="1111" t="s">
        <v>665</v>
      </c>
      <c r="Y11" s="1112"/>
      <c r="Z11" s="1112"/>
      <c r="AA11" s="1112"/>
      <c r="AB11" s="1112"/>
      <c r="AC11" s="1112"/>
      <c r="AD11" s="1113"/>
    </row>
    <row r="12" spans="2:32" s="19" customFormat="1" ht="60.75" customHeight="1" x14ac:dyDescent="0.2">
      <c r="B12" s="1038"/>
      <c r="C12" s="26" t="str">
        <f>[3]August_2017!$D16</f>
        <v>SHANDY SORREL</v>
      </c>
      <c r="D12" s="297">
        <v>1800</v>
      </c>
      <c r="E12" s="1053"/>
      <c r="F12" s="369">
        <f>[3]August_2017!$J16</f>
        <v>78.400000000000006</v>
      </c>
      <c r="G12" s="30">
        <f>[3]August_2017!$F16</f>
        <v>1162</v>
      </c>
      <c r="H12" s="369">
        <f>[3]August_2017!$K16</f>
        <v>76.692000000000007</v>
      </c>
      <c r="I12" s="370">
        <f>[3]August_2017!$N16</f>
        <v>21</v>
      </c>
      <c r="J12" s="992"/>
      <c r="K12" s="992"/>
      <c r="L12" s="32"/>
      <c r="M12" s="1018"/>
      <c r="N12" s="32">
        <f>[3]August_2017!$M16</f>
        <v>83</v>
      </c>
      <c r="O12" s="376">
        <f>[4]Aug!$I16</f>
        <v>39</v>
      </c>
      <c r="P12" s="32">
        <f>[3]August_2017!$H16</f>
        <v>0</v>
      </c>
      <c r="Q12" s="349">
        <f>[3]August_2017!$P16</f>
        <v>2.1785714285714262</v>
      </c>
      <c r="R12" s="32"/>
      <c r="S12" s="1040"/>
      <c r="T12" s="1040"/>
      <c r="U12" s="1040"/>
      <c r="V12" s="1048"/>
      <c r="W12" s="1036"/>
      <c r="X12" s="1111" t="s">
        <v>666</v>
      </c>
      <c r="Y12" s="1112"/>
      <c r="Z12" s="1112"/>
      <c r="AA12" s="1112"/>
      <c r="AB12" s="1112"/>
      <c r="AC12" s="1112"/>
      <c r="AD12" s="1113"/>
    </row>
    <row r="13" spans="2:32" s="19" customFormat="1" ht="66.75" customHeight="1" x14ac:dyDescent="0.2">
      <c r="B13" s="168">
        <v>42956</v>
      </c>
      <c r="C13" s="26" t="str">
        <f>[3]August_2017!$D17</f>
        <v>STAG</v>
      </c>
      <c r="D13" s="1098">
        <v>5600</v>
      </c>
      <c r="E13" s="28">
        <v>0.32777777777777778</v>
      </c>
      <c r="F13" s="369">
        <f>[3]August_2017!$J17</f>
        <v>317.79999999999995</v>
      </c>
      <c r="G13" s="30">
        <f>[3]August_2017!$F17</f>
        <v>4740</v>
      </c>
      <c r="H13" s="369">
        <f>[3]August_2017!$K17</f>
        <v>315.69000000000005</v>
      </c>
      <c r="I13" s="370">
        <f>[3]August_2017!$N17</f>
        <v>30</v>
      </c>
      <c r="J13" s="32">
        <f>SUM([3]August_2017!$Q17)</f>
        <v>453.58851674641153</v>
      </c>
      <c r="K13" s="32">
        <f>SUM([3]August_2017!$E17)</f>
        <v>627</v>
      </c>
      <c r="L13" s="32"/>
      <c r="M13" s="169">
        <v>0.7944444444444444</v>
      </c>
      <c r="N13" s="32">
        <f>[3]August_2017!$M17</f>
        <v>110</v>
      </c>
      <c r="O13" s="376" t="e">
        <f>[4]Aug!$I17</f>
        <v>#REF!</v>
      </c>
      <c r="P13" s="32">
        <f>[3]August_2017!$H17</f>
        <v>9</v>
      </c>
      <c r="Q13" s="349">
        <f>[3]August_2017!$P17</f>
        <v>0.66393958464439906</v>
      </c>
      <c r="R13" s="32"/>
      <c r="S13" s="46">
        <f>($G13)/(($K13/60)*AE$3*(1/24))</f>
        <v>0.72574162679425835</v>
      </c>
      <c r="T13" s="46">
        <f>($G13)/(($K13/60)*AF$3*(1/24))</f>
        <v>0.64036025893611037</v>
      </c>
      <c r="U13" s="46">
        <f>($G13)*24/(($K13)/60)/$AE$3</f>
        <v>0.72574162679425835</v>
      </c>
      <c r="V13" s="227">
        <f>($G13)*24/(($K13)/60)/$AF$3</f>
        <v>0.64036025893611037</v>
      </c>
      <c r="W13" s="383">
        <f>(718-(N13)-[4]Aug!$J$17-[4]Aug!$Z$17)/718</f>
        <v>0.84261838440111425</v>
      </c>
      <c r="X13" s="1111" t="s">
        <v>668</v>
      </c>
      <c r="Y13" s="1112"/>
      <c r="Z13" s="1112"/>
      <c r="AA13" s="1112"/>
      <c r="AB13" s="1112"/>
      <c r="AC13" s="1112"/>
      <c r="AD13" s="1113"/>
    </row>
    <row r="14" spans="2:32" s="19" customFormat="1" ht="40.5" customHeight="1" x14ac:dyDescent="0.2">
      <c r="B14" s="1037">
        <v>42957</v>
      </c>
      <c r="C14" s="26" t="str">
        <f>[3]August_2017!$D18</f>
        <v>STAG</v>
      </c>
      <c r="D14" s="1099"/>
      <c r="E14" s="1051">
        <v>0.3263888888888889</v>
      </c>
      <c r="F14" s="369">
        <f>[3]August_2017!$J18</f>
        <v>49.8</v>
      </c>
      <c r="G14" s="30">
        <f>[3]August_2017!$F18</f>
        <v>729</v>
      </c>
      <c r="H14" s="369">
        <f>[3]August_2017!$K18</f>
        <v>48.114000000000004</v>
      </c>
      <c r="I14" s="370">
        <f>[3]August_2017!$N18</f>
        <v>4</v>
      </c>
      <c r="J14" s="991">
        <f>SUM([3]August_2017!$Q18)</f>
        <v>518.22660098522169</v>
      </c>
      <c r="K14" s="991">
        <f>SUM([3]August_2017!$E18)</f>
        <v>609</v>
      </c>
      <c r="L14" s="32"/>
      <c r="M14" s="1017">
        <v>0.78680555555555554</v>
      </c>
      <c r="N14" s="32">
        <f>[3]August_2017!$M18</f>
        <v>5</v>
      </c>
      <c r="O14" s="376" t="e">
        <f>[4]Aug!$I18</f>
        <v>#REF!</v>
      </c>
      <c r="P14" s="32">
        <f>[3]August_2017!$H18</f>
        <v>0</v>
      </c>
      <c r="Q14" s="349">
        <f>[3]August_2017!$P18</f>
        <v>3.3855421686746845</v>
      </c>
      <c r="R14" s="32"/>
      <c r="S14" s="1039">
        <f>($G14+G15)/(($K14/60)*AE$3*(1/24))</f>
        <v>0.82916256157635471</v>
      </c>
      <c r="T14" s="1039">
        <f>($G14+G15)/(($K14/60)*AF$3*(1/24))</f>
        <v>0.73161402492031302</v>
      </c>
      <c r="U14" s="1039">
        <f>($G14+G15)*24/(($K14)/60)/$AE$3</f>
        <v>0.82916256157635471</v>
      </c>
      <c r="V14" s="1047">
        <f>($G14+G15)*24/(($K14)/60)/$AF$3</f>
        <v>0.73161402492031302</v>
      </c>
      <c r="W14" s="1035">
        <f>(713-(N14+N15)-[4]Aug!$I$19-[4]Aug!$J$19)/713</f>
        <v>0.91164095371669007</v>
      </c>
      <c r="X14" s="1059" t="s">
        <v>669</v>
      </c>
      <c r="Y14" s="1060"/>
      <c r="Z14" s="1060"/>
      <c r="AA14" s="1060"/>
      <c r="AB14" s="1060"/>
      <c r="AC14" s="1060"/>
      <c r="AD14" s="1061"/>
    </row>
    <row r="15" spans="2:32" s="19" customFormat="1" ht="58.5" customHeight="1" x14ac:dyDescent="0.2">
      <c r="B15" s="1038"/>
      <c r="C15" s="26" t="str">
        <f>[3]August_2017!$D19</f>
        <v>CARIB</v>
      </c>
      <c r="D15" s="27">
        <v>5600</v>
      </c>
      <c r="E15" s="1053"/>
      <c r="F15" s="369">
        <f>[3]August_2017!$J19</f>
        <v>318.90000000000003</v>
      </c>
      <c r="G15" s="30">
        <f>[3]August_2017!$F19</f>
        <v>4531</v>
      </c>
      <c r="H15" s="369">
        <f>[3]August_2017!$K19</f>
        <v>317.286</v>
      </c>
      <c r="I15" s="370">
        <f>[3]August_2017!$N19</f>
        <v>16</v>
      </c>
      <c r="J15" s="992"/>
      <c r="K15" s="992"/>
      <c r="L15" s="32"/>
      <c r="M15" s="1018"/>
      <c r="N15" s="32">
        <f>[3]August_2017!$M19</f>
        <v>38</v>
      </c>
      <c r="O15" s="376">
        <f>[4]Aug!$I19</f>
        <v>14</v>
      </c>
      <c r="P15" s="32">
        <f>[3]August_2017!$H19</f>
        <v>0</v>
      </c>
      <c r="Q15" s="349">
        <f>[3]August_2017!$P19</f>
        <v>0.50611476952023604</v>
      </c>
      <c r="R15" s="32"/>
      <c r="S15" s="1040"/>
      <c r="T15" s="1040"/>
      <c r="U15" s="1040"/>
      <c r="V15" s="1048"/>
      <c r="W15" s="1036"/>
      <c r="X15" s="1059" t="s">
        <v>670</v>
      </c>
      <c r="Y15" s="1060"/>
      <c r="Z15" s="1060"/>
      <c r="AA15" s="1060"/>
      <c r="AB15" s="1060"/>
      <c r="AC15" s="1060"/>
      <c r="AD15" s="1061"/>
    </row>
    <row r="16" spans="2:32" s="19" customFormat="1" ht="27.75" customHeight="1" x14ac:dyDescent="0.2">
      <c r="B16" s="1037">
        <v>42958</v>
      </c>
      <c r="C16" s="26" t="str">
        <f>[3]August_2017!$D20</f>
        <v>CARIB</v>
      </c>
      <c r="D16" s="27">
        <v>2200</v>
      </c>
      <c r="E16" s="1051">
        <v>0.33124999999999999</v>
      </c>
      <c r="F16" s="369">
        <f>[3]August_2017!$J20</f>
        <v>144.1</v>
      </c>
      <c r="G16" s="30">
        <f>[3]August_2017!$F20</f>
        <v>1875</v>
      </c>
      <c r="H16" s="369">
        <f>[3]August_2017!$K20</f>
        <v>142.56</v>
      </c>
      <c r="I16" s="370">
        <f>[3]August_2017!$N20</f>
        <v>7.25</v>
      </c>
      <c r="J16" s="991">
        <f>SUM([3]August_2017!$Q20)</f>
        <v>507.64556962025318</v>
      </c>
      <c r="K16" s="991">
        <f>SUM([3]August_2017!$E20)</f>
        <v>395</v>
      </c>
      <c r="L16" s="32"/>
      <c r="M16" s="1017">
        <v>0.63750000000000007</v>
      </c>
      <c r="N16" s="32">
        <f>[3]August_2017!$M20</f>
        <v>25</v>
      </c>
      <c r="O16" s="376" t="e">
        <f>[4]Aug!$I20</f>
        <v>#REF!</v>
      </c>
      <c r="P16" s="32">
        <f>[3]August_2017!$H20</f>
        <v>0</v>
      </c>
      <c r="Q16" s="349">
        <f>[3]August_2017!$P20</f>
        <v>1.0687022900763303</v>
      </c>
      <c r="R16" s="32"/>
      <c r="S16" s="1039">
        <f>($G16+G17)/(($K16/60)*AE$3*(1/24))</f>
        <v>0.81223291139240517</v>
      </c>
      <c r="T16" s="1039">
        <f>($G16+G17)/(($K16/60)*AF$3*(1/24))</f>
        <v>0.71667609828741641</v>
      </c>
      <c r="U16" s="1039">
        <f>($G16+G17)*24/(($K16)/60)/$AE$3</f>
        <v>0.81223291139240517</v>
      </c>
      <c r="V16" s="1047">
        <f>($G16+G17)*24/(($K16)/60)/$AF$3</f>
        <v>0.7166760982874163</v>
      </c>
      <c r="W16" s="1035">
        <f>(498-((N16+N17)-19))/498</f>
        <v>0.91164658634538154</v>
      </c>
      <c r="X16" s="1059" t="s">
        <v>671</v>
      </c>
      <c r="Y16" s="1060"/>
      <c r="Z16" s="1060"/>
      <c r="AA16" s="1060"/>
      <c r="AB16" s="1060"/>
      <c r="AC16" s="1060"/>
      <c r="AD16" s="1061"/>
    </row>
    <row r="17" spans="2:30" s="19" customFormat="1" ht="36" customHeight="1" x14ac:dyDescent="0.2">
      <c r="B17" s="1038"/>
      <c r="C17" s="26" t="str">
        <f>[3]August_2017!$D21</f>
        <v>SHANDY GINGER</v>
      </c>
      <c r="D17" s="27">
        <v>1400</v>
      </c>
      <c r="E17" s="1053"/>
      <c r="F17" s="369">
        <f>[3]August_2017!$J21</f>
        <v>100</v>
      </c>
      <c r="G17" s="30">
        <f>[3]August_2017!$F21</f>
        <v>1467</v>
      </c>
      <c r="H17" s="369">
        <f>[3]August_2017!$K21</f>
        <v>96.822000000000003</v>
      </c>
      <c r="I17" s="370">
        <f>[3]August_2017!$N21</f>
        <v>20</v>
      </c>
      <c r="J17" s="992"/>
      <c r="K17" s="992"/>
      <c r="L17" s="32"/>
      <c r="M17" s="1018"/>
      <c r="N17" s="32">
        <f>[3]August_2017!$M21</f>
        <v>38</v>
      </c>
      <c r="O17" s="376">
        <f>[4]Aug!$I21</f>
        <v>19</v>
      </c>
      <c r="P17" s="32">
        <f>[3]August_2017!$H21</f>
        <v>0</v>
      </c>
      <c r="Q17" s="349">
        <f>[3]August_2017!$P21</f>
        <v>3.1779999999999973</v>
      </c>
      <c r="R17" s="32"/>
      <c r="S17" s="1040"/>
      <c r="T17" s="1040"/>
      <c r="U17" s="1040"/>
      <c r="V17" s="1048"/>
      <c r="W17" s="1036"/>
      <c r="X17" s="1059" t="s">
        <v>672</v>
      </c>
      <c r="Y17" s="1060"/>
      <c r="Z17" s="1060"/>
      <c r="AA17" s="1060"/>
      <c r="AB17" s="1060"/>
      <c r="AC17" s="1060"/>
      <c r="AD17" s="1061"/>
    </row>
    <row r="18" spans="2:30" s="19" customFormat="1" ht="93" customHeight="1" x14ac:dyDescent="0.2">
      <c r="B18" s="168">
        <v>42963</v>
      </c>
      <c r="C18" s="26" t="str">
        <f>[3]August_2017!$D22</f>
        <v>GUINNESS</v>
      </c>
      <c r="D18" s="1098">
        <v>4200</v>
      </c>
      <c r="E18" s="28">
        <v>0.46319444444444446</v>
      </c>
      <c r="F18" s="369">
        <f>[3]August_2017!$J22</f>
        <v>226.29999999999998</v>
      </c>
      <c r="G18" s="30">
        <f>[3]August_2017!$F22</f>
        <v>3428</v>
      </c>
      <c r="H18" s="369">
        <f>[3]August_2017!$K22</f>
        <v>226.24800000000002</v>
      </c>
      <c r="I18" s="370">
        <f>[3]August_2017!$N22</f>
        <v>18.5</v>
      </c>
      <c r="J18" s="32">
        <f>SUM([3]August_2017!$Q22)</f>
        <v>332.27786752827143</v>
      </c>
      <c r="K18" s="32">
        <f>SUM([3]August_2017!$E22)</f>
        <v>619</v>
      </c>
      <c r="L18" s="32"/>
      <c r="M18" s="169">
        <v>0.7895833333333333</v>
      </c>
      <c r="N18" s="32">
        <f>[3]August_2017!$M22</f>
        <v>271</v>
      </c>
      <c r="O18" s="376" t="e">
        <f>[4]Aug!$I22</f>
        <v>#REF!</v>
      </c>
      <c r="P18" s="32">
        <f>[3]August_2017!$H22</f>
        <v>234</v>
      </c>
      <c r="Q18" s="349">
        <f>[3]August_2017!$P22</f>
        <v>2.2978347326541793E-2</v>
      </c>
      <c r="R18" s="32"/>
      <c r="S18" s="46">
        <f>($G18)/(($K18/60)*AE$3*(1/24))</f>
        <v>0.53164458804523429</v>
      </c>
      <c r="T18" s="46">
        <f>($G18)/(($K18/60)*AF$3*(1/24))</f>
        <v>0.46909816592226555</v>
      </c>
      <c r="U18" s="46">
        <f>($G18)*24/(($K18)/60)/$AE$3</f>
        <v>0.53164458804523429</v>
      </c>
      <c r="V18" s="227">
        <f>($G18)*24/(($K18)/60)/$AF$3</f>
        <v>0.4690981659222655</v>
      </c>
      <c r="W18" s="383">
        <f>(707-((N18)-[4]Aug!$J$22-[4]Aug!$Z$22))/707</f>
        <v>0.62093352192362095</v>
      </c>
      <c r="X18" s="1059" t="s">
        <v>673</v>
      </c>
      <c r="Y18" s="1060"/>
      <c r="Z18" s="1060"/>
      <c r="AA18" s="1060"/>
      <c r="AB18" s="1060"/>
      <c r="AC18" s="1060"/>
      <c r="AD18" s="1061"/>
    </row>
    <row r="19" spans="2:30" s="19" customFormat="1" ht="39.75" customHeight="1" x14ac:dyDescent="0.2">
      <c r="B19" s="1037">
        <v>42964</v>
      </c>
      <c r="C19" s="26" t="str">
        <f>[3]August_2017!$D23</f>
        <v>GUINNESS</v>
      </c>
      <c r="D19" s="1099"/>
      <c r="E19" s="1051">
        <v>0.33402777777777781</v>
      </c>
      <c r="F19" s="369">
        <f>[3]August_2017!$J23</f>
        <v>51.6</v>
      </c>
      <c r="G19" s="30">
        <f>[3]August_2017!$F23</f>
        <v>760</v>
      </c>
      <c r="H19" s="369">
        <f>[3]August_2017!$K23</f>
        <v>50.160000000000004</v>
      </c>
      <c r="I19" s="370">
        <f>[3]August_2017!$N23</f>
        <v>12</v>
      </c>
      <c r="J19" s="991">
        <f>SUM([3]August_2017!$Q23)</f>
        <v>467.49999999999994</v>
      </c>
      <c r="K19" s="991">
        <f>SUM([3]August_2017!$E23)</f>
        <v>648</v>
      </c>
      <c r="L19" s="32"/>
      <c r="M19" s="1017">
        <v>0.81319444444444444</v>
      </c>
      <c r="N19" s="32">
        <f>[3]August_2017!$M23</f>
        <v>16</v>
      </c>
      <c r="O19" s="376" t="e">
        <f>[4]Aug!$I23</f>
        <v>#REF!</v>
      </c>
      <c r="P19" s="32">
        <f>[3]August_2017!$H23</f>
        <v>0</v>
      </c>
      <c r="Q19" s="349">
        <f>[3]August_2017!$P23</f>
        <v>2.7906976744186003</v>
      </c>
      <c r="R19" s="32"/>
      <c r="S19" s="1039">
        <f>($G19+G20)/(($K19/60)*AE$3*(1/24))</f>
        <v>0.748</v>
      </c>
      <c r="T19" s="1039">
        <f>($G19+G20)/(($K19/60)*AF$3*(1/24))</f>
        <v>0.66</v>
      </c>
      <c r="U19" s="1039">
        <f>($G19+G20)*24/(($K19)/60)/$AE$3</f>
        <v>0.748</v>
      </c>
      <c r="V19" s="1047">
        <f>($G19+G20)*24/(($K19)/60)/$AF$3</f>
        <v>0.66</v>
      </c>
      <c r="W19" s="1035">
        <f>(749-((N19+N20)-[4]Aug!$Z$24-[4]Aug!$I$24-[4]Aug!$P$23-[4]Aug!$Z$23))/749</f>
        <v>0.92389853137516686</v>
      </c>
      <c r="X19" s="1059" t="s">
        <v>674</v>
      </c>
      <c r="Y19" s="1060"/>
      <c r="Z19" s="1060"/>
      <c r="AA19" s="1060"/>
      <c r="AB19" s="1060"/>
      <c r="AC19" s="1060"/>
      <c r="AD19" s="1061"/>
    </row>
    <row r="20" spans="2:30" s="19" customFormat="1" ht="80.25" customHeight="1" x14ac:dyDescent="0.2">
      <c r="B20" s="1038"/>
      <c r="C20" s="26" t="str">
        <f>[3]August_2017!$D24</f>
        <v>CARIB</v>
      </c>
      <c r="D20" s="27">
        <v>4200</v>
      </c>
      <c r="E20" s="1053"/>
      <c r="F20" s="369">
        <f>[3]August_2017!$J24</f>
        <v>285.60000000000002</v>
      </c>
      <c r="G20" s="30">
        <f>[3]August_2017!$F24</f>
        <v>4289</v>
      </c>
      <c r="H20" s="369">
        <f>[3]August_2017!$K24</f>
        <v>283.07400000000001</v>
      </c>
      <c r="I20" s="370">
        <f>[3]August_2017!$N24</f>
        <v>10</v>
      </c>
      <c r="J20" s="992"/>
      <c r="K20" s="992"/>
      <c r="L20" s="32"/>
      <c r="M20" s="1018"/>
      <c r="N20" s="32">
        <f>[3]August_2017!$M24</f>
        <v>137</v>
      </c>
      <c r="O20" s="350">
        <f>[4]Aug!$I24</f>
        <v>76</v>
      </c>
      <c r="P20" s="32">
        <f>[3]August_2017!$H24</f>
        <v>0</v>
      </c>
      <c r="Q20" s="349">
        <f>[3]August_2017!$P24</f>
        <v>0.88445378151260856</v>
      </c>
      <c r="R20" s="32"/>
      <c r="S20" s="1040"/>
      <c r="T20" s="1040"/>
      <c r="U20" s="1040"/>
      <c r="V20" s="1048"/>
      <c r="W20" s="1036"/>
      <c r="X20" s="1059" t="s">
        <v>675</v>
      </c>
      <c r="Y20" s="1060"/>
      <c r="Z20" s="1060"/>
      <c r="AA20" s="1060"/>
      <c r="AB20" s="1060"/>
      <c r="AC20" s="1060"/>
      <c r="AD20" s="1061"/>
    </row>
    <row r="21" spans="2:30" s="19" customFormat="1" ht="39" customHeight="1" x14ac:dyDescent="0.2">
      <c r="B21" s="168">
        <v>42965</v>
      </c>
      <c r="C21" s="26" t="str">
        <f>[3]August_2017!$D25</f>
        <v>STAG</v>
      </c>
      <c r="D21" s="27">
        <v>7000</v>
      </c>
      <c r="E21" s="28">
        <v>0.33333333333333331</v>
      </c>
      <c r="F21" s="369">
        <f>[3]August_2017!$J25</f>
        <v>327.60000000000002</v>
      </c>
      <c r="G21" s="30">
        <f>[3]August_2017!$F25</f>
        <v>4937</v>
      </c>
      <c r="H21" s="369">
        <f>[3]August_2017!$K25</f>
        <v>325.84200000000004</v>
      </c>
      <c r="I21" s="370">
        <f>[3]August_2017!$N25</f>
        <v>22</v>
      </c>
      <c r="J21" s="32">
        <f>SUM([3]August_2017!$Q25)</f>
        <v>528.96428571428567</v>
      </c>
      <c r="K21" s="32">
        <f>SUM([3]August_2017!$E25)</f>
        <v>560</v>
      </c>
      <c r="L21" s="32"/>
      <c r="M21" s="169">
        <v>0.75347222222222221</v>
      </c>
      <c r="N21" s="32">
        <f>[3]August_2017!$M25</f>
        <v>43</v>
      </c>
      <c r="O21" s="350" t="e">
        <f>[4]Aug!$I25</f>
        <v>#REF!</v>
      </c>
      <c r="P21" s="32">
        <f>[3]August_2017!$H25</f>
        <v>4</v>
      </c>
      <c r="Q21" s="349">
        <f>[3]August_2017!$P25</f>
        <v>0.53663003663003084</v>
      </c>
      <c r="R21" s="32"/>
      <c r="S21" s="46">
        <f>($G21)/(($K21/60)*AE$3*(1/24))</f>
        <v>0.84634285714285717</v>
      </c>
      <c r="T21" s="46">
        <f>($G21)/(($K21/60)*AF$3*(1/24))</f>
        <v>0.74677310924369744</v>
      </c>
      <c r="U21" s="46">
        <f>($G21)*24/(($K21)/60)/$AE$3</f>
        <v>0.84634285714285717</v>
      </c>
      <c r="V21" s="227">
        <f>($G21)*24/(($K21)/60)/$AF$3</f>
        <v>0.74677310924369744</v>
      </c>
      <c r="W21" s="383">
        <f>(660-((N21)-12))/660</f>
        <v>0.95303030303030301</v>
      </c>
      <c r="X21" s="1059" t="s">
        <v>676</v>
      </c>
      <c r="Y21" s="1060"/>
      <c r="Z21" s="1060"/>
      <c r="AA21" s="1060"/>
      <c r="AB21" s="1060"/>
      <c r="AC21" s="1060"/>
      <c r="AD21" s="1061"/>
    </row>
    <row r="22" spans="2:30" s="19" customFormat="1" ht="59.25" customHeight="1" x14ac:dyDescent="0.2">
      <c r="B22" s="1037">
        <v>42968</v>
      </c>
      <c r="C22" s="26" t="str">
        <f>[3]August_2017!$D26</f>
        <v>STAG</v>
      </c>
      <c r="D22" s="27">
        <v>3600</v>
      </c>
      <c r="E22" s="1051">
        <v>0.33055555555555555</v>
      </c>
      <c r="F22" s="369">
        <f>[3]August_2017!$J26</f>
        <v>226.39999999999998</v>
      </c>
      <c r="G22" s="30">
        <f>[3]August_2017!$F26</f>
        <v>3428</v>
      </c>
      <c r="H22" s="369">
        <f>[3]August_2017!$K26</f>
        <v>226.24800000000002</v>
      </c>
      <c r="I22" s="370">
        <f>[3]August_2017!$N26</f>
        <v>12</v>
      </c>
      <c r="J22" s="991">
        <f>SUM([3]August_2017!$Q26)</f>
        <v>413.15702479338842</v>
      </c>
      <c r="K22" s="991">
        <f>SUM([3]August_2017!$E26)</f>
        <v>605</v>
      </c>
      <c r="L22" s="32"/>
      <c r="M22" s="1017">
        <v>0.78055555555555556</v>
      </c>
      <c r="N22" s="32">
        <f>[3]August_2017!$M26</f>
        <v>95</v>
      </c>
      <c r="O22" s="385">
        <f>[4]Aug!$I26</f>
        <v>16</v>
      </c>
      <c r="P22" s="32">
        <f>[3]August_2017!$H26</f>
        <v>0</v>
      </c>
      <c r="Q22" s="349">
        <f>[3]August_2017!$P26</f>
        <v>6.7137809187260769E-2</v>
      </c>
      <c r="R22" s="32"/>
      <c r="S22" s="1039">
        <f>($G22+G23)/(($K22/60)*AE$3*(1/24))</f>
        <v>0.66105123966942148</v>
      </c>
      <c r="T22" s="1039">
        <f>($G22+G23)/(($K22/60)*AF$3*(1/24))</f>
        <v>0.58328050559066602</v>
      </c>
      <c r="U22" s="1039">
        <f>($G22+G23)*24/(($K22)/60)/$AE$3</f>
        <v>0.66105123966942148</v>
      </c>
      <c r="V22" s="1047">
        <f>($G22+G23)*24/(($K22)/60)/$AF$3</f>
        <v>0.58328050559066602</v>
      </c>
      <c r="W22" s="1035">
        <f>(694-((N22+N23)-[4]Aug!$I$26-[4]Aug!$I$27))/694</f>
        <v>0.88184438040345825</v>
      </c>
      <c r="X22" s="1059" t="s">
        <v>678</v>
      </c>
      <c r="Y22" s="1060"/>
      <c r="Z22" s="1060"/>
      <c r="AA22" s="1060"/>
      <c r="AB22" s="1060"/>
      <c r="AC22" s="1060"/>
      <c r="AD22" s="1061"/>
    </row>
    <row r="23" spans="2:30" s="19" customFormat="1" ht="28.5" customHeight="1" x14ac:dyDescent="0.2">
      <c r="B23" s="1038"/>
      <c r="C23" s="26" t="str">
        <f>[3]August_2017!$D27</f>
        <v>CARIB</v>
      </c>
      <c r="D23" s="27">
        <v>800</v>
      </c>
      <c r="E23" s="1053"/>
      <c r="F23" s="369">
        <f>[3]August_2017!$J27</f>
        <v>50.6</v>
      </c>
      <c r="G23" s="30">
        <f>[3]August_2017!$F27</f>
        <v>738</v>
      </c>
      <c r="H23" s="369">
        <f>[3]August_2017!$K27</f>
        <v>48.708000000000006</v>
      </c>
      <c r="I23" s="370">
        <f>[3]August_2017!$N27</f>
        <v>4</v>
      </c>
      <c r="J23" s="992"/>
      <c r="K23" s="992"/>
      <c r="L23" s="32"/>
      <c r="M23" s="1018"/>
      <c r="N23" s="32">
        <f>[3]August_2017!$M27</f>
        <v>19</v>
      </c>
      <c r="O23" s="350">
        <f>[4]Aug!$I27</f>
        <v>16</v>
      </c>
      <c r="P23" s="32">
        <f>[3]August_2017!$H27</f>
        <v>0</v>
      </c>
      <c r="Q23" s="349">
        <f>[3]August_2017!$P27</f>
        <v>3.7391304347826004</v>
      </c>
      <c r="R23" s="32"/>
      <c r="S23" s="1040"/>
      <c r="T23" s="1040"/>
      <c r="U23" s="1040"/>
      <c r="V23" s="1048"/>
      <c r="W23" s="1036"/>
      <c r="X23" s="1059" t="s">
        <v>677</v>
      </c>
      <c r="Y23" s="1060"/>
      <c r="Z23" s="1060"/>
      <c r="AA23" s="1060"/>
      <c r="AB23" s="1060"/>
      <c r="AC23" s="1060"/>
      <c r="AD23" s="1061"/>
    </row>
    <row r="24" spans="2:30" s="19" customFormat="1" ht="20.25" customHeight="1" x14ac:dyDescent="0.2">
      <c r="B24" s="1037">
        <v>42969</v>
      </c>
      <c r="C24" s="26" t="str">
        <f>[3]August_2017!$D28</f>
        <v>CARIB (FLINT)</v>
      </c>
      <c r="D24" s="1098">
        <v>4100</v>
      </c>
      <c r="E24" s="1051">
        <v>0.3215277777777778</v>
      </c>
      <c r="F24" s="989">
        <f>[3]August_2017!$J28</f>
        <v>371.3</v>
      </c>
      <c r="G24" s="30">
        <f>[3]August_2017!$F28</f>
        <v>335</v>
      </c>
      <c r="H24" s="989">
        <f>[3]August_2017!$K28</f>
        <v>370.32</v>
      </c>
      <c r="I24" s="1004">
        <f>[3]August_2017!$N28</f>
        <v>15</v>
      </c>
      <c r="J24" s="991">
        <f>SUM([3]August_2017!$Q28)</f>
        <v>522.94022617124392</v>
      </c>
      <c r="K24" s="991">
        <f>SUM([3]August_2017!$E28)</f>
        <v>619</v>
      </c>
      <c r="L24" s="32"/>
      <c r="M24" s="1017">
        <v>0.7895833333333333</v>
      </c>
      <c r="N24" s="991">
        <f>[3]August_2017!$M28</f>
        <v>42</v>
      </c>
      <c r="O24" s="1120">
        <f>[4]Aug!$I28</f>
        <v>4</v>
      </c>
      <c r="P24" s="991">
        <f>[3]August_2017!$H28</f>
        <v>0</v>
      </c>
      <c r="Q24" s="1045">
        <f>[3]August_2017!$P28</f>
        <v>0.26393751683275468</v>
      </c>
      <c r="R24" s="32"/>
      <c r="S24" s="1039">
        <f>($G24+G25)/(($K24/60)*AE$3*(1/24))</f>
        <v>0.83670436187399033</v>
      </c>
      <c r="T24" s="1039">
        <f>($G24+G25)/(($K24/60)*AF$3*(1/24))</f>
        <v>0.73826855459469731</v>
      </c>
      <c r="U24" s="1039">
        <f>($G24+G25)*24/(($K24)/60)/$AE$3</f>
        <v>0.83670436187399022</v>
      </c>
      <c r="V24" s="1047">
        <f>($G24+G25)*24/(($K24)/60)/$AF$3</f>
        <v>0.73826855459469731</v>
      </c>
      <c r="W24" s="1035">
        <f>(720-((N24)-[4]Aug!$I$28-[4]Aug!$J$28))/720</f>
        <v>0.95</v>
      </c>
      <c r="X24" s="1056" t="s">
        <v>679</v>
      </c>
      <c r="Y24" s="1057"/>
      <c r="Z24" s="1057"/>
      <c r="AA24" s="1057"/>
      <c r="AB24" s="1057"/>
      <c r="AC24" s="1057"/>
      <c r="AD24" s="1058"/>
    </row>
    <row r="25" spans="2:30" s="19" customFormat="1" ht="34.5" customHeight="1" x14ac:dyDescent="0.2">
      <c r="B25" s="1038"/>
      <c r="C25" s="26" t="str">
        <f>[3]August_2017!$D29</f>
        <v>CARIB (AMBER)</v>
      </c>
      <c r="D25" s="1099"/>
      <c r="E25" s="1053"/>
      <c r="F25" s="990"/>
      <c r="G25" s="30">
        <f>[3]August_2017!$F29</f>
        <v>5060</v>
      </c>
      <c r="H25" s="990"/>
      <c r="I25" s="1005"/>
      <c r="J25" s="992"/>
      <c r="K25" s="992"/>
      <c r="L25" s="32"/>
      <c r="M25" s="1018"/>
      <c r="N25" s="992"/>
      <c r="O25" s="1121"/>
      <c r="P25" s="992"/>
      <c r="Q25" s="1046"/>
      <c r="R25" s="32"/>
      <c r="S25" s="1040"/>
      <c r="T25" s="1040"/>
      <c r="U25" s="1040"/>
      <c r="V25" s="1048"/>
      <c r="W25" s="1036"/>
      <c r="X25" s="1059"/>
      <c r="Y25" s="1060"/>
      <c r="Z25" s="1060"/>
      <c r="AA25" s="1060"/>
      <c r="AB25" s="1060"/>
      <c r="AC25" s="1060"/>
      <c r="AD25" s="1061"/>
    </row>
    <row r="26" spans="2:30" s="19" customFormat="1" ht="45" customHeight="1" x14ac:dyDescent="0.2">
      <c r="B26" s="1037">
        <v>42970</v>
      </c>
      <c r="C26" s="26" t="str">
        <f>[3]August_2017!$D30</f>
        <v>CARIB (AMBER)</v>
      </c>
      <c r="D26" s="27">
        <v>2100</v>
      </c>
      <c r="E26" s="1051">
        <v>0.34583333333333338</v>
      </c>
      <c r="F26" s="369">
        <f>[3]August_2017!$J30</f>
        <v>127.3</v>
      </c>
      <c r="G26" s="30">
        <f>[3]August_2017!$F30</f>
        <v>1922</v>
      </c>
      <c r="H26" s="369">
        <f>[3]August_2017!$K30</f>
        <v>126.852</v>
      </c>
      <c r="I26" s="370">
        <f>[3]August_2017!$N30</f>
        <v>8</v>
      </c>
      <c r="J26" s="991">
        <f>SUM([3]August_2017!$Q30)</f>
        <v>391.67910447761193</v>
      </c>
      <c r="K26" s="991">
        <f>SUM([3]August_2017!$E30)</f>
        <v>536</v>
      </c>
      <c r="L26" s="32"/>
      <c r="M26" s="1017">
        <v>0.7319444444444444</v>
      </c>
      <c r="N26" s="32">
        <f>[4]Aug!$AC29</f>
        <v>34</v>
      </c>
      <c r="O26" s="386" t="e">
        <f>[4]Aug!$I29</f>
        <v>#REF!</v>
      </c>
      <c r="P26" s="32">
        <f>[3]August_2017!$H30</f>
        <v>0</v>
      </c>
      <c r="Q26" s="1045">
        <f>[3]August_2017!$P30</f>
        <v>0.35192458758836864</v>
      </c>
      <c r="R26" s="32"/>
      <c r="S26" s="1039">
        <f>($G26+G27)/(($K26/60)*AE$3*(1/24))</f>
        <v>0.62668656716417914</v>
      </c>
      <c r="T26" s="1039">
        <f>($G26+G27)/(($K26/60)*AF$3*(1/24))</f>
        <v>0.55295873573309928</v>
      </c>
      <c r="U26" s="1039">
        <f>($G26+G27)*24/(($K26)/60)/$AE$3</f>
        <v>0.62668656716417914</v>
      </c>
      <c r="V26" s="1047">
        <f>($G26+G27)*24/(($K26)/60)/$AF$3</f>
        <v>0.55295873573309917</v>
      </c>
      <c r="W26" s="1035">
        <f>(629-((N26+N27)-[4]Aug!$I$30-[4]Aug!$J$30))/629</f>
        <v>0.81240063593004774</v>
      </c>
      <c r="X26" s="1059" t="s">
        <v>680</v>
      </c>
      <c r="Y26" s="1060"/>
      <c r="Z26" s="1060"/>
      <c r="AA26" s="1060"/>
      <c r="AB26" s="1060"/>
      <c r="AC26" s="1060"/>
      <c r="AD26" s="1061"/>
    </row>
    <row r="27" spans="2:30" s="19" customFormat="1" ht="66" customHeight="1" x14ac:dyDescent="0.2">
      <c r="B27" s="1038"/>
      <c r="C27" s="26" t="str">
        <f>[3]August_2017!$D31</f>
        <v>GINSENG ORIGINAL</v>
      </c>
      <c r="D27" s="27">
        <v>1500</v>
      </c>
      <c r="E27" s="1053"/>
      <c r="F27" s="369">
        <f>[3]August_2017!$J31</f>
        <v>107.8</v>
      </c>
      <c r="G27" s="30">
        <f>[3]August_2017!$F31</f>
        <v>1577</v>
      </c>
      <c r="H27" s="369">
        <f>[3]August_2017!$K31</f>
        <v>104.08200000000001</v>
      </c>
      <c r="I27" s="370">
        <f>[3]August_2017!$N31</f>
        <v>22</v>
      </c>
      <c r="J27" s="992"/>
      <c r="K27" s="992"/>
      <c r="L27" s="32"/>
      <c r="M27" s="1018"/>
      <c r="N27" s="32">
        <f>[4]Aug!$AC30</f>
        <v>129</v>
      </c>
      <c r="O27" s="386">
        <f>[4]Aug!$I30</f>
        <v>41</v>
      </c>
      <c r="P27" s="32">
        <f>[3]August_2017!$H31</f>
        <v>0</v>
      </c>
      <c r="Q27" s="1046"/>
      <c r="R27" s="32"/>
      <c r="S27" s="1040"/>
      <c r="T27" s="1040"/>
      <c r="U27" s="1040"/>
      <c r="V27" s="1048"/>
      <c r="W27" s="1036"/>
      <c r="X27" s="1059" t="s">
        <v>681</v>
      </c>
      <c r="Y27" s="1060"/>
      <c r="Z27" s="1060"/>
      <c r="AA27" s="1060"/>
      <c r="AB27" s="1060"/>
      <c r="AC27" s="1060"/>
      <c r="AD27" s="1061"/>
    </row>
    <row r="28" spans="2:30" s="19" customFormat="1" ht="82.5" customHeight="1" x14ac:dyDescent="0.2">
      <c r="B28" s="168">
        <v>42971</v>
      </c>
      <c r="C28" s="26" t="str">
        <f>[3]August_2017!$D32</f>
        <v xml:space="preserve">VITAMALT </v>
      </c>
      <c r="D28" s="27">
        <v>4020</v>
      </c>
      <c r="E28" s="28">
        <v>0.3444444444444445</v>
      </c>
      <c r="F28" s="369">
        <f>[3]August_2017!$J32</f>
        <v>297.70000000000005</v>
      </c>
      <c r="G28" s="30">
        <f>[3]August_2017!$F32</f>
        <v>3991</v>
      </c>
      <c r="H28" s="369">
        <f>[3]August_2017!$K32</f>
        <v>296.93039999999996</v>
      </c>
      <c r="I28" s="370">
        <f>[3]August_2017!$N32</f>
        <v>32</v>
      </c>
      <c r="J28" s="32">
        <f>SUM([3]August_2017!$Q32)</f>
        <v>404.49324324324323</v>
      </c>
      <c r="K28" s="32">
        <f>SUM([3]August_2017!$E32)</f>
        <v>592</v>
      </c>
      <c r="L28" s="32"/>
      <c r="M28" s="169">
        <v>0.7715277777777777</v>
      </c>
      <c r="N28" s="32">
        <f>[4]Aug!$AC31</f>
        <v>105</v>
      </c>
      <c r="O28" s="386" t="e">
        <f>[4]Aug!$I31</f>
        <v>#REF!</v>
      </c>
      <c r="P28" s="32">
        <f>[3]August_2017!$H32</f>
        <v>0</v>
      </c>
      <c r="Q28" s="349">
        <f>[3]August_2017!$P32</f>
        <v>0.25851528384282235</v>
      </c>
      <c r="R28" s="32"/>
      <c r="S28" s="46">
        <f>($G28)/(($K28/60)*AE$3*(1/24))</f>
        <v>0.64718918918918922</v>
      </c>
      <c r="T28" s="46">
        <f>($G28)/(($K28/60)*AF$3*(1/24))</f>
        <v>0.57104928457869641</v>
      </c>
      <c r="U28" s="46">
        <f>($G28)*24/(($K28)/60)/$AE$3</f>
        <v>0.64718918918918911</v>
      </c>
      <c r="V28" s="227">
        <f>($G28)*24/(($K28)/60)/$AF$3</f>
        <v>0.5710492845786963</v>
      </c>
      <c r="W28" s="383">
        <f>(687-((N28)))/687</f>
        <v>0.84716157205240172</v>
      </c>
      <c r="X28" s="1059" t="s">
        <v>682</v>
      </c>
      <c r="Y28" s="1060"/>
      <c r="Z28" s="1060"/>
      <c r="AA28" s="1060"/>
      <c r="AB28" s="1060"/>
      <c r="AC28" s="1060"/>
      <c r="AD28" s="1061"/>
    </row>
    <row r="29" spans="2:30" s="19" customFormat="1" ht="20.25" x14ac:dyDescent="0.2">
      <c r="B29" s="1037">
        <v>42972</v>
      </c>
      <c r="C29" s="26" t="str">
        <f>[3]August_2017!$D33</f>
        <v>JUICY COOL (Soda Water)</v>
      </c>
      <c r="D29" s="27">
        <v>300</v>
      </c>
      <c r="E29" s="1051">
        <v>0.36944444444444446</v>
      </c>
      <c r="F29" s="369">
        <f>[3]August_2017!$J33</f>
        <v>23.620999999999999</v>
      </c>
      <c r="G29" s="30">
        <f>[3]August_2017!$F33</f>
        <v>299</v>
      </c>
      <c r="H29" s="369">
        <f>[3]August_2017!$K33</f>
        <v>23.620999999999999</v>
      </c>
      <c r="I29" s="370">
        <f>[3]August_2017!$N33</f>
        <v>0.5</v>
      </c>
      <c r="J29" s="991">
        <f>SUM([3]August_2017!$Q33)</f>
        <v>292.02657807308969</v>
      </c>
      <c r="K29" s="991">
        <f>SUM([3]August_2017!$E33)</f>
        <v>602</v>
      </c>
      <c r="L29" s="32"/>
      <c r="M29" s="1017">
        <v>0.78125</v>
      </c>
      <c r="N29" s="32">
        <f>[4]Aug!$AC32</f>
        <v>62</v>
      </c>
      <c r="O29" s="386" t="e">
        <f>[4]Aug!$I32</f>
        <v>#REF!</v>
      </c>
      <c r="P29" s="32">
        <f>[3]August_2017!$H33</f>
        <v>0</v>
      </c>
      <c r="Q29" s="349">
        <f>[3]August_2017!$P33</f>
        <v>0</v>
      </c>
      <c r="R29" s="32"/>
      <c r="S29" s="1039">
        <f>($G29+G30+G31+G32)/(($K29/60)*AE$3*(1/24))</f>
        <v>0.46724252491694357</v>
      </c>
      <c r="T29" s="1039">
        <f>($G29+G30+G31+G32)/(($K29/60)*AF$3*(1/24))</f>
        <v>0.4122728161031855</v>
      </c>
      <c r="U29" s="1039">
        <f>($G29+G30+G31+G32)*24/(($K29)/60)/$AE$3</f>
        <v>0.46724252491694351</v>
      </c>
      <c r="V29" s="1047">
        <f>($G29+G30+G31+G32)*24/(($K29)/60)/$AF$3</f>
        <v>0.41227281610318545</v>
      </c>
      <c r="W29" s="1035">
        <f>(701-((N29+N30+N31+N32)-[4]Aug!$I$33-[4]Aug!$I$34-[4]Aug!$I$35-[4]Aug!$J$34))/701</f>
        <v>0.7831669044222539</v>
      </c>
      <c r="X29" s="1059" t="s">
        <v>683</v>
      </c>
      <c r="Y29" s="1060"/>
      <c r="Z29" s="1060"/>
      <c r="AA29" s="1060"/>
      <c r="AB29" s="1060"/>
      <c r="AC29" s="1060"/>
      <c r="AD29" s="1061"/>
    </row>
    <row r="30" spans="2:30" s="19" customFormat="1" ht="42" customHeight="1" x14ac:dyDescent="0.2">
      <c r="B30" s="1050"/>
      <c r="C30" s="26" t="str">
        <f>[3]August_2017!$D34</f>
        <v>JUICY COOL (Orange)</v>
      </c>
      <c r="D30" s="27">
        <v>1150</v>
      </c>
      <c r="E30" s="1052"/>
      <c r="F30" s="369">
        <f>[3]August_2017!$J34</f>
        <v>93.429591836734701</v>
      </c>
      <c r="G30" s="30">
        <f>[3]August_2017!$F34</f>
        <v>1159</v>
      </c>
      <c r="H30" s="369">
        <f>[3]August_2017!$K34</f>
        <v>91.561000000000007</v>
      </c>
      <c r="I30" s="370">
        <f>[3]August_2017!$N34</f>
        <v>1</v>
      </c>
      <c r="J30" s="1042"/>
      <c r="K30" s="1042"/>
      <c r="L30" s="32"/>
      <c r="M30" s="1055"/>
      <c r="N30" s="32">
        <f>[4]Aug!$AC33</f>
        <v>61</v>
      </c>
      <c r="O30" s="386">
        <f>[4]Aug!$I33</f>
        <v>12</v>
      </c>
      <c r="P30" s="32">
        <f>[3]August_2017!$H34</f>
        <v>0</v>
      </c>
      <c r="Q30" s="349">
        <f>[3]August_2017!$P34</f>
        <v>2.0000000000000004</v>
      </c>
      <c r="R30" s="32"/>
      <c r="S30" s="1041"/>
      <c r="T30" s="1041"/>
      <c r="U30" s="1041"/>
      <c r="V30" s="1049"/>
      <c r="W30" s="1054"/>
      <c r="X30" s="1059" t="s">
        <v>684</v>
      </c>
      <c r="Y30" s="1060"/>
      <c r="Z30" s="1060"/>
      <c r="AA30" s="1060"/>
      <c r="AB30" s="1060"/>
      <c r="AC30" s="1060"/>
      <c r="AD30" s="1061"/>
    </row>
    <row r="31" spans="2:30" s="19" customFormat="1" ht="57" customHeight="1" x14ac:dyDescent="0.2">
      <c r="B31" s="1050"/>
      <c r="C31" s="26" t="str">
        <f>[3]August_2017!$D35</f>
        <v>JUICY COOL (Cream)</v>
      </c>
      <c r="D31" s="27">
        <v>1150</v>
      </c>
      <c r="E31" s="1052"/>
      <c r="F31" s="369">
        <f>[3]August_2017!$J35</f>
        <v>90.527551020408168</v>
      </c>
      <c r="G31" s="30">
        <f>[3]August_2017!$F35</f>
        <v>1123</v>
      </c>
      <c r="H31" s="369">
        <f>[3]August_2017!$K35</f>
        <v>88.716999999999999</v>
      </c>
      <c r="I31" s="370">
        <f>[3]August_2017!$N35</f>
        <v>5.5</v>
      </c>
      <c r="J31" s="1042"/>
      <c r="K31" s="1042"/>
      <c r="L31" s="32"/>
      <c r="M31" s="1055"/>
      <c r="N31" s="32">
        <f>[4]Aug!$AC34</f>
        <v>74</v>
      </c>
      <c r="O31" s="386">
        <f>[4]Aug!$I34</f>
        <v>31</v>
      </c>
      <c r="P31" s="32">
        <f>[3]August_2017!$H35</f>
        <v>0</v>
      </c>
      <c r="Q31" s="349">
        <f>[3]August_2017!$P35</f>
        <v>2.0000000000000071</v>
      </c>
      <c r="R31" s="32"/>
      <c r="S31" s="1041"/>
      <c r="T31" s="1041"/>
      <c r="U31" s="1041"/>
      <c r="V31" s="1049"/>
      <c r="W31" s="1054"/>
      <c r="X31" s="1059" t="s">
        <v>685</v>
      </c>
      <c r="Y31" s="1060"/>
      <c r="Z31" s="1060"/>
      <c r="AA31" s="1060"/>
      <c r="AB31" s="1060"/>
      <c r="AC31" s="1060"/>
      <c r="AD31" s="1061"/>
    </row>
    <row r="32" spans="2:30" s="19" customFormat="1" ht="20.25" x14ac:dyDescent="0.2">
      <c r="B32" s="1038"/>
      <c r="C32" s="26" t="str">
        <f>[3]August_2017!$D36</f>
        <v>JUICY COOL (Kola)</v>
      </c>
      <c r="D32" s="27">
        <v>1150</v>
      </c>
      <c r="E32" s="1053"/>
      <c r="F32" s="369">
        <f>[3]August_2017!$J36</f>
        <v>30.510000000000005</v>
      </c>
      <c r="G32" s="30">
        <f>[3]August_2017!$F36</f>
        <v>349</v>
      </c>
      <c r="H32" s="369">
        <f>[3]August_2017!$K36</f>
        <v>27.571000000000002</v>
      </c>
      <c r="I32" s="370">
        <f>[3]August_2017!$N36</f>
        <v>0.25</v>
      </c>
      <c r="J32" s="992"/>
      <c r="K32" s="992"/>
      <c r="L32" s="32"/>
      <c r="M32" s="1018"/>
      <c r="N32" s="32">
        <f>[4]Aug!$AC35</f>
        <v>26</v>
      </c>
      <c r="O32" s="386">
        <f>[4]Aug!$I35</f>
        <v>24</v>
      </c>
      <c r="P32" s="32">
        <f>[3]August_2017!$H36</f>
        <v>0</v>
      </c>
      <c r="Q32" s="349">
        <f>[3]August_2017!$P36</f>
        <v>9.6329072435267236</v>
      </c>
      <c r="R32" s="32"/>
      <c r="S32" s="1040"/>
      <c r="T32" s="1040"/>
      <c r="U32" s="1040"/>
      <c r="V32" s="1048"/>
      <c r="W32" s="1036"/>
      <c r="X32" s="1059" t="s">
        <v>686</v>
      </c>
      <c r="Y32" s="1060"/>
      <c r="Z32" s="1060"/>
      <c r="AA32" s="1060"/>
      <c r="AB32" s="1060"/>
      <c r="AC32" s="1060"/>
      <c r="AD32" s="1061"/>
    </row>
    <row r="33" spans="2:30" s="19" customFormat="1" ht="63" customHeight="1" x14ac:dyDescent="0.2">
      <c r="B33" s="168">
        <v>42975</v>
      </c>
      <c r="C33" s="26" t="str">
        <f>[3]August_2017!$D37</f>
        <v>TING</v>
      </c>
      <c r="D33" s="27">
        <v>1800</v>
      </c>
      <c r="E33" s="388">
        <v>0.53263888888888888</v>
      </c>
      <c r="F33" s="369">
        <f>[3]August_2017!$J37</f>
        <v>122.95799999999998</v>
      </c>
      <c r="G33" s="30">
        <f>[3]August_2017!$F37</f>
        <v>1822</v>
      </c>
      <c r="H33" s="369">
        <f>[3]August_2017!$K37</f>
        <v>120.25200000000001</v>
      </c>
      <c r="I33" s="370">
        <f>[3]August_2017!$N37</f>
        <v>10.25</v>
      </c>
      <c r="J33" s="32">
        <f>SUM([3]August_2017!$Q37)</f>
        <v>157.74891774891773</v>
      </c>
      <c r="K33" s="32">
        <f>SUM([3]August_2017!$E37)</f>
        <v>693</v>
      </c>
      <c r="L33" s="32"/>
      <c r="M33" s="389">
        <v>0.84236111111111101</v>
      </c>
      <c r="N33" s="32">
        <f>[4]Aug!$AC36</f>
        <v>490</v>
      </c>
      <c r="O33" s="386" t="e">
        <f>[4]Aug!$I36</f>
        <v>#REF!</v>
      </c>
      <c r="P33" s="32">
        <f>[3]August_2017!$H37</f>
        <v>0</v>
      </c>
      <c r="Q33" s="349">
        <f>[3]August_2017!$P37</f>
        <v>2.2007514761137745</v>
      </c>
      <c r="R33" s="32"/>
      <c r="S33" s="46">
        <f>($G33)/(($K33/60)*AE$3*(1/24))</f>
        <v>0.2523982683982684</v>
      </c>
      <c r="T33" s="46">
        <f>($G33)/(($K33/60)*AF$3*(1/24))</f>
        <v>0.22270435446906034</v>
      </c>
      <c r="U33" s="46">
        <f>($G33)*24/(($K33)/60)/$AE$3</f>
        <v>0.2523982683982684</v>
      </c>
      <c r="V33" s="227">
        <f>($G33)*24/(($K33)/60)/$AF$3</f>
        <v>0.22270435446906034</v>
      </c>
      <c r="W33" s="383">
        <f>(787-((N33)-[4]Aug!$J$36))/787</f>
        <v>0.39135959339263027</v>
      </c>
      <c r="X33" s="1059" t="s">
        <v>687</v>
      </c>
      <c r="Y33" s="1060"/>
      <c r="Z33" s="1060"/>
      <c r="AA33" s="1060"/>
      <c r="AB33" s="1060"/>
      <c r="AC33" s="1060"/>
      <c r="AD33" s="1061"/>
    </row>
    <row r="34" spans="2:30" s="19" customFormat="1" ht="90.75" customHeight="1" x14ac:dyDescent="0.2">
      <c r="B34" s="296">
        <v>42976</v>
      </c>
      <c r="C34" s="26" t="str">
        <f>[3]August_2017!$D38</f>
        <v>STAG</v>
      </c>
      <c r="D34" s="27">
        <v>5600</v>
      </c>
      <c r="E34" s="28">
        <v>0.32500000000000001</v>
      </c>
      <c r="F34" s="369">
        <f>[3]August_2017!$J38</f>
        <v>296.3</v>
      </c>
      <c r="G34" s="30">
        <f>[3]August_2017!$F38</f>
        <v>4434</v>
      </c>
      <c r="H34" s="369">
        <f>[3]August_2017!$K38</f>
        <v>292.64400000000001</v>
      </c>
      <c r="I34" s="370">
        <f>[3]August_2017!$N38</f>
        <v>24</v>
      </c>
      <c r="J34" s="32">
        <f>SUM([3]August_2017!$Q38)</f>
        <v>423.63057324840764</v>
      </c>
      <c r="K34" s="32">
        <f>SUM([3]August_2017!$E38)</f>
        <v>628</v>
      </c>
      <c r="L34" s="32"/>
      <c r="M34" s="169">
        <v>0.79861111111111116</v>
      </c>
      <c r="N34" s="32">
        <f>[4]Aug!$AC37</f>
        <v>171</v>
      </c>
      <c r="O34" s="386" t="e">
        <f>[4]Aug!$I37</f>
        <v>#REF!</v>
      </c>
      <c r="P34" s="32">
        <f>[3]August_2017!$H38</f>
        <v>0</v>
      </c>
      <c r="Q34" s="349">
        <f>[3]August_2017!$P38</f>
        <v>1.2338845764427964</v>
      </c>
      <c r="R34" s="32"/>
      <c r="S34" s="46">
        <f>($G34)/(($K34/60)*AE$3*(1/24))</f>
        <v>0.67780891719745229</v>
      </c>
      <c r="T34" s="46">
        <f>($G34)/(($K34/60)*AF$3*(1/24))</f>
        <v>0.59806669164481085</v>
      </c>
      <c r="U34" s="46">
        <f>($G34)*24/(($K34)/60)/$AE$3</f>
        <v>0.67780891719745218</v>
      </c>
      <c r="V34" s="227">
        <f>($G34)*24/(($K34)/60)/$AF$3</f>
        <v>0.59806669164481074</v>
      </c>
      <c r="W34" s="383">
        <f>(728-((N34)-[4]Aug!$J$37-[4]Aug!$Z$37))/728</f>
        <v>0.77060439560439564</v>
      </c>
      <c r="X34" s="1059" t="s">
        <v>688</v>
      </c>
      <c r="Y34" s="1060"/>
      <c r="Z34" s="1060"/>
      <c r="AA34" s="1060"/>
      <c r="AB34" s="1060"/>
      <c r="AC34" s="1060"/>
      <c r="AD34" s="1061"/>
    </row>
    <row r="35" spans="2:30" s="19" customFormat="1" ht="91.5" customHeight="1" x14ac:dyDescent="0.2">
      <c r="B35" s="1037">
        <v>42977</v>
      </c>
      <c r="C35" s="26" t="str">
        <f>[3]August_2017!$D39</f>
        <v>STAG</v>
      </c>
      <c r="D35" s="27">
        <v>3828</v>
      </c>
      <c r="E35" s="1051">
        <v>0.33333333333333331</v>
      </c>
      <c r="F35" s="369">
        <f>[3]August_2017!$J39</f>
        <v>262.39999999999998</v>
      </c>
      <c r="G35" s="30">
        <f>[3]August_2017!$F39</f>
        <v>3932</v>
      </c>
      <c r="H35" s="369">
        <f>[3]August_2017!$K39</f>
        <v>259.512</v>
      </c>
      <c r="I35" s="370">
        <f>[3]August_2017!$N39</f>
        <v>17</v>
      </c>
      <c r="J35" s="991">
        <f>SUM([3]August_2017!$Q39)</f>
        <v>459.38411669367912</v>
      </c>
      <c r="K35" s="991">
        <f>SUM([3]August_2017!$E39)</f>
        <v>617</v>
      </c>
      <c r="L35" s="32"/>
      <c r="M35" s="1017">
        <v>0.78819444444444453</v>
      </c>
      <c r="N35" s="32">
        <f>[4]Aug!$AC38</f>
        <v>75</v>
      </c>
      <c r="O35" s="386" t="e">
        <f>[4]Aug!$I38</f>
        <v>#REF!</v>
      </c>
      <c r="P35" s="32">
        <f>[3]August_2017!$H39</f>
        <v>0</v>
      </c>
      <c r="Q35" s="349">
        <f>[3]August_2017!$P39</f>
        <v>1.1006097560975523</v>
      </c>
      <c r="R35" s="32"/>
      <c r="S35" s="1039">
        <f>($G35+G36)/(($K35/60)*AE$3*(1/24))</f>
        <v>0.73501458670988662</v>
      </c>
      <c r="T35" s="1039">
        <f>($G35+G36)/(($K35/60)*AF$3*(1/24))</f>
        <v>0.64854228239107636</v>
      </c>
      <c r="U35" s="1039">
        <f>($G35+G36)*24/(($K35)/60)/$AE$3</f>
        <v>0.73501458670988651</v>
      </c>
      <c r="V35" s="1047">
        <f>($G35+G36)*24/(($K35)/60)/$AF$3</f>
        <v>0.64854228239107636</v>
      </c>
      <c r="W35" s="1035">
        <f>(709-((N35+N36)-[4]Aug!$I$39-[4]Aug!$J$38-[4]Aug!$Z$38))/709</f>
        <v>0.9139633286318759</v>
      </c>
      <c r="X35" s="1059" t="s">
        <v>690</v>
      </c>
      <c r="Y35" s="1060"/>
      <c r="Z35" s="1060"/>
      <c r="AA35" s="1060"/>
      <c r="AB35" s="1060"/>
      <c r="AC35" s="1060"/>
      <c r="AD35" s="1061"/>
    </row>
    <row r="36" spans="2:30" s="19" customFormat="1" ht="45.75" customHeight="1" x14ac:dyDescent="0.2">
      <c r="B36" s="1038"/>
      <c r="C36" s="26" t="str">
        <f>[3]August_2017!$D40</f>
        <v>CARIB</v>
      </c>
      <c r="D36" s="1098">
        <v>5380</v>
      </c>
      <c r="E36" s="1053"/>
      <c r="F36" s="369">
        <f>[3]August_2017!$J40</f>
        <v>77.5</v>
      </c>
      <c r="G36" s="30">
        <f>[3]August_2017!$F40</f>
        <v>792</v>
      </c>
      <c r="H36" s="369">
        <f>[3]August_2017!$K40</f>
        <v>75.072000000000003</v>
      </c>
      <c r="I36" s="370">
        <f>[3]August_2017!$N40</f>
        <v>1</v>
      </c>
      <c r="J36" s="992"/>
      <c r="K36" s="992"/>
      <c r="L36" s="32"/>
      <c r="M36" s="1018"/>
      <c r="N36" s="32">
        <f>[4]Aug!$AC39</f>
        <v>17</v>
      </c>
      <c r="O36" s="386">
        <f>[4]Aug!$I39</f>
        <v>11</v>
      </c>
      <c r="P36" s="32">
        <f>[3]August_2017!$H40</f>
        <v>0</v>
      </c>
      <c r="Q36" s="349">
        <f>[3]August_2017!$P40</f>
        <v>3.132903225806448</v>
      </c>
      <c r="R36" s="32"/>
      <c r="S36" s="1040"/>
      <c r="T36" s="1040"/>
      <c r="U36" s="1040"/>
      <c r="V36" s="1048"/>
      <c r="W36" s="1036"/>
      <c r="X36" s="1059" t="s">
        <v>689</v>
      </c>
      <c r="Y36" s="1060"/>
      <c r="Z36" s="1060"/>
      <c r="AA36" s="1060"/>
      <c r="AB36" s="1060"/>
      <c r="AC36" s="1060"/>
      <c r="AD36" s="1061"/>
    </row>
    <row r="37" spans="2:30" s="19" customFormat="1" ht="57.75" customHeight="1" x14ac:dyDescent="0.2">
      <c r="B37" s="168">
        <v>42978</v>
      </c>
      <c r="C37" s="26" t="str">
        <f>[3]August_2017!$D41</f>
        <v>CARIB</v>
      </c>
      <c r="D37" s="1099"/>
      <c r="E37" s="28">
        <v>0.52708333333333335</v>
      </c>
      <c r="F37" s="369">
        <f>[3]August_2017!$J41</f>
        <v>277.3</v>
      </c>
      <c r="G37" s="30">
        <f>[3]August_2017!$F41</f>
        <v>3956</v>
      </c>
      <c r="H37" s="369">
        <f>[3]August_2017!$K41</f>
        <v>276.29599999999999</v>
      </c>
      <c r="I37" s="370">
        <f>[3]August_2017!$N41</f>
        <v>10</v>
      </c>
      <c r="J37" s="32">
        <f>SUM([3]August_2017!$Q41)</f>
        <v>311.49606299212599</v>
      </c>
      <c r="K37" s="32">
        <f>SUM([3]August_2017!$E41)</f>
        <v>762</v>
      </c>
      <c r="L37" s="32"/>
      <c r="M37" s="169">
        <v>0.89236111111111116</v>
      </c>
      <c r="N37" s="32">
        <f>[4]Aug!$AC40</f>
        <v>331</v>
      </c>
      <c r="O37" s="386" t="e">
        <f>[4]Aug!$I40</f>
        <v>#REF!</v>
      </c>
      <c r="P37" s="32"/>
      <c r="Q37" s="349">
        <f>[3]August_2017!$P41</f>
        <v>0.36206274792644033</v>
      </c>
      <c r="R37" s="32"/>
      <c r="S37" s="46">
        <f>($G37)/(($K37/60)*AE$3*(1/24))</f>
        <v>0.49839370078740158</v>
      </c>
      <c r="T37" s="46">
        <f>($G37)/(($K37/60)*AF$3*(1/24))</f>
        <v>0.43975914775358971</v>
      </c>
      <c r="U37" s="46">
        <f>($G37)*24/(($K37)/60)/$AE$3</f>
        <v>0.49839370078740158</v>
      </c>
      <c r="V37" s="227">
        <f>($G37)*24/(($K37)/60)/$AF$3</f>
        <v>0.43975914775358965</v>
      </c>
      <c r="W37" s="383">
        <f>(860-((N37)-[4]Aug!$J$40))/860</f>
        <v>0.61744186046511629</v>
      </c>
      <c r="X37" s="1059" t="s">
        <v>691</v>
      </c>
      <c r="Y37" s="1060"/>
      <c r="Z37" s="1060"/>
      <c r="AA37" s="1060"/>
      <c r="AB37" s="1060"/>
      <c r="AC37" s="1060"/>
      <c r="AD37" s="1061"/>
    </row>
    <row r="38" spans="2:30" s="19" customFormat="1" ht="21" thickBot="1" x14ac:dyDescent="0.25">
      <c r="B38" s="168"/>
      <c r="C38" s="26"/>
      <c r="D38" s="27"/>
      <c r="E38" s="28"/>
      <c r="F38" s="29"/>
      <c r="G38" s="30"/>
      <c r="H38" s="29"/>
      <c r="I38" s="31"/>
      <c r="J38" s="32"/>
      <c r="K38" s="32"/>
      <c r="L38" s="32"/>
      <c r="M38" s="169"/>
      <c r="N38" s="32"/>
      <c r="O38" s="236"/>
      <c r="P38" s="32"/>
      <c r="Q38" s="33"/>
      <c r="R38" s="32"/>
      <c r="S38" s="129"/>
      <c r="T38" s="129"/>
      <c r="U38" s="129"/>
      <c r="V38" s="227"/>
      <c r="W38" s="233"/>
      <c r="X38" s="1059"/>
      <c r="Y38" s="1060"/>
      <c r="Z38" s="1060"/>
      <c r="AA38" s="1060"/>
      <c r="AB38" s="1060"/>
      <c r="AC38" s="1060"/>
      <c r="AD38" s="1061"/>
    </row>
    <row r="39" spans="2:30" s="19" customFormat="1" ht="20.25" hidden="1" x14ac:dyDescent="0.2">
      <c r="B39" s="168"/>
      <c r="C39" s="26"/>
      <c r="D39" s="27"/>
      <c r="E39" s="28"/>
      <c r="F39" s="29"/>
      <c r="G39" s="30"/>
      <c r="H39" s="29"/>
      <c r="I39" s="31"/>
      <c r="J39" s="32"/>
      <c r="K39" s="32"/>
      <c r="L39" s="32"/>
      <c r="M39" s="169"/>
      <c r="N39" s="32"/>
      <c r="O39" s="236"/>
      <c r="P39" s="32"/>
      <c r="Q39" s="33"/>
      <c r="R39" s="32"/>
      <c r="S39" s="129"/>
      <c r="T39" s="129"/>
      <c r="U39" s="129"/>
      <c r="V39" s="227"/>
      <c r="W39" s="233"/>
      <c r="X39" s="1059"/>
      <c r="Y39" s="1060"/>
      <c r="Z39" s="1060"/>
      <c r="AA39" s="1060"/>
      <c r="AB39" s="1060"/>
      <c r="AC39" s="1060"/>
      <c r="AD39" s="1061"/>
    </row>
    <row r="40" spans="2:30" s="19" customFormat="1" ht="20.25" hidden="1" x14ac:dyDescent="0.2">
      <c r="B40" s="168"/>
      <c r="C40" s="26"/>
      <c r="D40" s="27"/>
      <c r="E40" s="28"/>
      <c r="F40" s="29"/>
      <c r="G40" s="30"/>
      <c r="H40" s="29"/>
      <c r="I40" s="31"/>
      <c r="J40" s="32"/>
      <c r="K40" s="32"/>
      <c r="L40" s="32"/>
      <c r="M40" s="169"/>
      <c r="N40" s="32"/>
      <c r="O40" s="236"/>
      <c r="P40" s="32"/>
      <c r="Q40" s="33"/>
      <c r="R40" s="32"/>
      <c r="S40" s="129"/>
      <c r="T40" s="129"/>
      <c r="U40" s="129"/>
      <c r="V40" s="227"/>
      <c r="W40" s="233"/>
      <c r="X40" s="1059"/>
      <c r="Y40" s="1060"/>
      <c r="Z40" s="1060"/>
      <c r="AA40" s="1060"/>
      <c r="AB40" s="1060"/>
      <c r="AC40" s="1060"/>
      <c r="AD40" s="1061"/>
    </row>
    <row r="41" spans="2:30" s="19" customFormat="1" ht="20.25" hidden="1" x14ac:dyDescent="0.2">
      <c r="B41" s="168"/>
      <c r="C41" s="26"/>
      <c r="D41" s="27"/>
      <c r="E41" s="28"/>
      <c r="F41" s="29"/>
      <c r="G41" s="30"/>
      <c r="H41" s="29"/>
      <c r="I41" s="31"/>
      <c r="J41" s="32"/>
      <c r="K41" s="32"/>
      <c r="L41" s="32"/>
      <c r="M41" s="169"/>
      <c r="N41" s="32"/>
      <c r="O41" s="236"/>
      <c r="P41" s="32"/>
      <c r="Q41" s="33"/>
      <c r="R41" s="32"/>
      <c r="S41" s="129"/>
      <c r="T41" s="129"/>
      <c r="U41" s="129"/>
      <c r="V41" s="227"/>
      <c r="W41" s="233"/>
      <c r="X41" s="1059"/>
      <c r="Y41" s="1060"/>
      <c r="Z41" s="1060"/>
      <c r="AA41" s="1060"/>
      <c r="AB41" s="1060"/>
      <c r="AC41" s="1060"/>
      <c r="AD41" s="1061"/>
    </row>
    <row r="42" spans="2:30" s="19" customFormat="1" ht="20.25" hidden="1" x14ac:dyDescent="0.2">
      <c r="B42" s="168"/>
      <c r="C42" s="26"/>
      <c r="D42" s="27"/>
      <c r="E42" s="28"/>
      <c r="F42" s="29"/>
      <c r="G42" s="30"/>
      <c r="H42" s="29"/>
      <c r="I42" s="31"/>
      <c r="J42" s="32"/>
      <c r="K42" s="32"/>
      <c r="L42" s="32"/>
      <c r="M42" s="169"/>
      <c r="N42" s="32"/>
      <c r="O42" s="236"/>
      <c r="P42" s="32"/>
      <c r="Q42" s="33"/>
      <c r="R42" s="32"/>
      <c r="S42" s="129"/>
      <c r="T42" s="129"/>
      <c r="U42" s="129"/>
      <c r="V42" s="227"/>
      <c r="W42" s="233"/>
      <c r="X42" s="1059"/>
      <c r="Y42" s="1060"/>
      <c r="Z42" s="1060"/>
      <c r="AA42" s="1060"/>
      <c r="AB42" s="1060"/>
      <c r="AC42" s="1060"/>
      <c r="AD42" s="1061"/>
    </row>
    <row r="43" spans="2:30" s="19" customFormat="1" ht="20.25" hidden="1" x14ac:dyDescent="0.2">
      <c r="B43" s="168"/>
      <c r="C43" s="26"/>
      <c r="D43" s="27"/>
      <c r="E43" s="28"/>
      <c r="F43" s="29"/>
      <c r="G43" s="30"/>
      <c r="H43" s="29"/>
      <c r="I43" s="31"/>
      <c r="J43" s="32"/>
      <c r="K43" s="32"/>
      <c r="L43" s="32"/>
      <c r="M43" s="169"/>
      <c r="N43" s="32"/>
      <c r="O43" s="236"/>
      <c r="P43" s="32"/>
      <c r="Q43" s="33"/>
      <c r="R43" s="32"/>
      <c r="S43" s="129"/>
      <c r="T43" s="129"/>
      <c r="U43" s="129"/>
      <c r="V43" s="227"/>
      <c r="W43" s="233"/>
      <c r="X43" s="1059"/>
      <c r="Y43" s="1060"/>
      <c r="Z43" s="1060"/>
      <c r="AA43" s="1060"/>
      <c r="AB43" s="1060"/>
      <c r="AC43" s="1060"/>
      <c r="AD43" s="1061"/>
    </row>
    <row r="44" spans="2:30" s="19" customFormat="1" ht="20.25" hidden="1" x14ac:dyDescent="0.2">
      <c r="B44" s="168"/>
      <c r="C44" s="26"/>
      <c r="D44" s="27"/>
      <c r="E44" s="28"/>
      <c r="F44" s="29"/>
      <c r="G44" s="30"/>
      <c r="H44" s="29"/>
      <c r="I44" s="31"/>
      <c r="J44" s="32"/>
      <c r="K44" s="32"/>
      <c r="L44" s="32"/>
      <c r="M44" s="169"/>
      <c r="N44" s="32"/>
      <c r="O44" s="236"/>
      <c r="P44" s="32"/>
      <c r="Q44" s="33"/>
      <c r="R44" s="32"/>
      <c r="S44" s="129"/>
      <c r="T44" s="129"/>
      <c r="U44" s="129"/>
      <c r="V44" s="227"/>
      <c r="W44" s="233"/>
      <c r="X44" s="1059"/>
      <c r="Y44" s="1060"/>
      <c r="Z44" s="1060"/>
      <c r="AA44" s="1060"/>
      <c r="AB44" s="1060"/>
      <c r="AC44" s="1060"/>
      <c r="AD44" s="1061"/>
    </row>
    <row r="45" spans="2:30" s="19" customFormat="1" ht="20.25" hidden="1" x14ac:dyDescent="0.2">
      <c r="B45" s="168"/>
      <c r="C45" s="26"/>
      <c r="D45" s="27"/>
      <c r="E45" s="28"/>
      <c r="F45" s="29"/>
      <c r="G45" s="30"/>
      <c r="H45" s="29"/>
      <c r="I45" s="31"/>
      <c r="J45" s="32"/>
      <c r="K45" s="32"/>
      <c r="L45" s="32"/>
      <c r="M45" s="169"/>
      <c r="N45" s="32"/>
      <c r="O45" s="236"/>
      <c r="P45" s="32"/>
      <c r="Q45" s="33"/>
      <c r="R45" s="32"/>
      <c r="S45" s="129"/>
      <c r="T45" s="129"/>
      <c r="U45" s="129"/>
      <c r="V45" s="227"/>
      <c r="W45" s="233"/>
      <c r="X45" s="1059"/>
      <c r="Y45" s="1060"/>
      <c r="Z45" s="1060"/>
      <c r="AA45" s="1060"/>
      <c r="AB45" s="1060"/>
      <c r="AC45" s="1060"/>
      <c r="AD45" s="1061"/>
    </row>
    <row r="46" spans="2:30" s="19" customFormat="1" ht="20.25" hidden="1" x14ac:dyDescent="0.2">
      <c r="B46" s="168"/>
      <c r="C46" s="26"/>
      <c r="D46" s="27"/>
      <c r="E46" s="28"/>
      <c r="F46" s="29"/>
      <c r="G46" s="30"/>
      <c r="H46" s="29"/>
      <c r="I46" s="31"/>
      <c r="J46" s="32"/>
      <c r="K46" s="32"/>
      <c r="L46" s="32"/>
      <c r="M46" s="169"/>
      <c r="N46" s="32"/>
      <c r="O46" s="236"/>
      <c r="P46" s="32"/>
      <c r="Q46" s="33"/>
      <c r="R46" s="32"/>
      <c r="S46" s="129"/>
      <c r="T46" s="129"/>
      <c r="U46" s="129"/>
      <c r="V46" s="227"/>
      <c r="W46" s="233"/>
      <c r="X46" s="1059"/>
      <c r="Y46" s="1060"/>
      <c r="Z46" s="1060"/>
      <c r="AA46" s="1060"/>
      <c r="AB46" s="1060"/>
      <c r="AC46" s="1060"/>
      <c r="AD46" s="1061"/>
    </row>
    <row r="47" spans="2:30" s="19" customFormat="1" ht="20.25" hidden="1" x14ac:dyDescent="0.2">
      <c r="B47" s="168"/>
      <c r="C47" s="26"/>
      <c r="D47" s="27"/>
      <c r="E47" s="28"/>
      <c r="F47" s="29"/>
      <c r="G47" s="30"/>
      <c r="H47" s="29"/>
      <c r="I47" s="31"/>
      <c r="J47" s="32"/>
      <c r="K47" s="32"/>
      <c r="L47" s="32"/>
      <c r="M47" s="169"/>
      <c r="N47" s="32"/>
      <c r="O47" s="236"/>
      <c r="P47" s="32"/>
      <c r="Q47" s="33"/>
      <c r="R47" s="32"/>
      <c r="S47" s="129"/>
      <c r="T47" s="129"/>
      <c r="U47" s="129"/>
      <c r="V47" s="227"/>
      <c r="W47" s="233"/>
      <c r="X47" s="1059"/>
      <c r="Y47" s="1060"/>
      <c r="Z47" s="1060"/>
      <c r="AA47" s="1060"/>
      <c r="AB47" s="1060"/>
      <c r="AC47" s="1060"/>
      <c r="AD47" s="1061"/>
    </row>
    <row r="48" spans="2:30" s="19" customFormat="1" ht="20.25" hidden="1" x14ac:dyDescent="0.2">
      <c r="B48" s="168"/>
      <c r="C48" s="26"/>
      <c r="D48" s="27"/>
      <c r="E48" s="28"/>
      <c r="F48" s="29"/>
      <c r="G48" s="30"/>
      <c r="H48" s="29"/>
      <c r="I48" s="31"/>
      <c r="J48" s="32"/>
      <c r="K48" s="32"/>
      <c r="L48" s="32"/>
      <c r="M48" s="169"/>
      <c r="N48" s="32"/>
      <c r="O48" s="236"/>
      <c r="P48" s="32"/>
      <c r="Q48" s="33"/>
      <c r="R48" s="32"/>
      <c r="S48" s="129"/>
      <c r="T48" s="129"/>
      <c r="U48" s="129"/>
      <c r="V48" s="227"/>
      <c r="W48" s="233"/>
      <c r="X48" s="1059"/>
      <c r="Y48" s="1060"/>
      <c r="Z48" s="1060"/>
      <c r="AA48" s="1060"/>
      <c r="AB48" s="1060"/>
      <c r="AC48" s="1060"/>
      <c r="AD48" s="1061"/>
    </row>
    <row r="49" spans="1:30" s="19" customFormat="1" ht="20.25" hidden="1" x14ac:dyDescent="0.2">
      <c r="B49" s="168"/>
      <c r="C49" s="26"/>
      <c r="D49" s="27"/>
      <c r="E49" s="28"/>
      <c r="F49" s="29"/>
      <c r="G49" s="30"/>
      <c r="H49" s="29"/>
      <c r="I49" s="31"/>
      <c r="J49" s="32"/>
      <c r="K49" s="32"/>
      <c r="L49" s="32"/>
      <c r="M49" s="169"/>
      <c r="N49" s="32"/>
      <c r="O49" s="236"/>
      <c r="P49" s="32"/>
      <c r="Q49" s="33"/>
      <c r="R49" s="32"/>
      <c r="S49" s="129"/>
      <c r="T49" s="129"/>
      <c r="U49" s="129"/>
      <c r="V49" s="227"/>
      <c r="W49" s="233"/>
      <c r="X49" s="1059"/>
      <c r="Y49" s="1060"/>
      <c r="Z49" s="1060"/>
      <c r="AA49" s="1060"/>
      <c r="AB49" s="1060"/>
      <c r="AC49" s="1060"/>
      <c r="AD49" s="1061"/>
    </row>
    <row r="50" spans="1:30" s="19" customFormat="1" ht="20.25" hidden="1" x14ac:dyDescent="0.2">
      <c r="B50" s="168"/>
      <c r="C50" s="26"/>
      <c r="D50" s="27"/>
      <c r="E50" s="28"/>
      <c r="F50" s="29"/>
      <c r="G50" s="30"/>
      <c r="H50" s="29"/>
      <c r="I50" s="31"/>
      <c r="J50" s="32"/>
      <c r="K50" s="32"/>
      <c r="L50" s="32"/>
      <c r="M50" s="169"/>
      <c r="N50" s="32"/>
      <c r="O50" s="236"/>
      <c r="P50" s="32"/>
      <c r="Q50" s="33"/>
      <c r="R50" s="32"/>
      <c r="S50" s="129"/>
      <c r="T50" s="129"/>
      <c r="U50" s="129"/>
      <c r="V50" s="227"/>
      <c r="W50" s="233"/>
      <c r="X50" s="1059"/>
      <c r="Y50" s="1060"/>
      <c r="Z50" s="1060"/>
      <c r="AA50" s="1060"/>
      <c r="AB50" s="1060"/>
      <c r="AC50" s="1060"/>
      <c r="AD50" s="1061"/>
    </row>
    <row r="51" spans="1:30" s="19" customFormat="1" ht="20.25" hidden="1" x14ac:dyDescent="0.2">
      <c r="B51" s="168"/>
      <c r="C51" s="26"/>
      <c r="D51" s="27"/>
      <c r="E51" s="28"/>
      <c r="F51" s="29"/>
      <c r="G51" s="30"/>
      <c r="H51" s="29"/>
      <c r="I51" s="31"/>
      <c r="J51" s="32"/>
      <c r="K51" s="32"/>
      <c r="L51" s="32"/>
      <c r="M51" s="169"/>
      <c r="N51" s="32"/>
      <c r="O51" s="236"/>
      <c r="P51" s="32"/>
      <c r="Q51" s="33"/>
      <c r="R51" s="32"/>
      <c r="S51" s="129"/>
      <c r="T51" s="129"/>
      <c r="U51" s="129"/>
      <c r="V51" s="227"/>
      <c r="W51" s="233"/>
      <c r="X51" s="1059"/>
      <c r="Y51" s="1060"/>
      <c r="Z51" s="1060"/>
      <c r="AA51" s="1060"/>
      <c r="AB51" s="1060"/>
      <c r="AC51" s="1060"/>
      <c r="AD51" s="1061"/>
    </row>
    <row r="52" spans="1:30" s="19" customFormat="1" ht="20.25" hidden="1" x14ac:dyDescent="0.2">
      <c r="B52" s="168"/>
      <c r="C52" s="26"/>
      <c r="D52" s="27"/>
      <c r="E52" s="28"/>
      <c r="F52" s="29"/>
      <c r="G52" s="30"/>
      <c r="H52" s="29"/>
      <c r="I52" s="31"/>
      <c r="J52" s="32"/>
      <c r="K52" s="32"/>
      <c r="L52" s="32"/>
      <c r="M52" s="169"/>
      <c r="N52" s="32"/>
      <c r="O52" s="236"/>
      <c r="P52" s="32"/>
      <c r="Q52" s="33"/>
      <c r="R52" s="32"/>
      <c r="S52" s="129"/>
      <c r="T52" s="129"/>
      <c r="U52" s="129"/>
      <c r="V52" s="227"/>
      <c r="W52" s="233"/>
      <c r="X52" s="1059"/>
      <c r="Y52" s="1060"/>
      <c r="Z52" s="1060"/>
      <c r="AA52" s="1060"/>
      <c r="AB52" s="1060"/>
      <c r="AC52" s="1060"/>
      <c r="AD52" s="1061"/>
    </row>
    <row r="53" spans="1:30" s="19" customFormat="1" ht="20.25" hidden="1" x14ac:dyDescent="0.2">
      <c r="B53" s="168"/>
      <c r="C53" s="26"/>
      <c r="D53" s="27"/>
      <c r="E53" s="28"/>
      <c r="F53" s="29"/>
      <c r="G53" s="30"/>
      <c r="H53" s="29"/>
      <c r="I53" s="31"/>
      <c r="J53" s="32"/>
      <c r="K53" s="32"/>
      <c r="L53" s="32"/>
      <c r="M53" s="169"/>
      <c r="N53" s="32"/>
      <c r="O53" s="236"/>
      <c r="P53" s="32"/>
      <c r="Q53" s="33"/>
      <c r="R53" s="32"/>
      <c r="S53" s="129"/>
      <c r="T53" s="129"/>
      <c r="U53" s="129"/>
      <c r="V53" s="227"/>
      <c r="W53" s="233"/>
      <c r="X53" s="1059"/>
      <c r="Y53" s="1060"/>
      <c r="Z53" s="1060"/>
      <c r="AA53" s="1060"/>
      <c r="AB53" s="1060"/>
      <c r="AC53" s="1060"/>
      <c r="AD53" s="1061"/>
    </row>
    <row r="54" spans="1:30" s="19" customFormat="1" ht="20.25" hidden="1" x14ac:dyDescent="0.2">
      <c r="B54" s="168"/>
      <c r="C54" s="26"/>
      <c r="D54" s="27"/>
      <c r="E54" s="28"/>
      <c r="F54" s="29"/>
      <c r="G54" s="30"/>
      <c r="H54" s="29"/>
      <c r="I54" s="31"/>
      <c r="J54" s="32"/>
      <c r="K54" s="32"/>
      <c r="L54" s="32"/>
      <c r="M54" s="169"/>
      <c r="N54" s="32"/>
      <c r="O54" s="236"/>
      <c r="P54" s="32"/>
      <c r="Q54" s="33"/>
      <c r="R54" s="32"/>
      <c r="S54" s="129"/>
      <c r="T54" s="129"/>
      <c r="U54" s="129"/>
      <c r="V54" s="227"/>
      <c r="W54" s="233"/>
      <c r="X54" s="1059"/>
      <c r="Y54" s="1060"/>
      <c r="Z54" s="1060"/>
      <c r="AA54" s="1060"/>
      <c r="AB54" s="1060"/>
      <c r="AC54" s="1060"/>
      <c r="AD54" s="1061"/>
    </row>
    <row r="55" spans="1:30" s="19" customFormat="1" ht="20.25" hidden="1" x14ac:dyDescent="0.2">
      <c r="B55" s="168"/>
      <c r="C55" s="26"/>
      <c r="D55" s="27"/>
      <c r="E55" s="28"/>
      <c r="F55" s="29"/>
      <c r="G55" s="30"/>
      <c r="H55" s="29"/>
      <c r="I55" s="31"/>
      <c r="J55" s="32"/>
      <c r="K55" s="32"/>
      <c r="L55" s="32"/>
      <c r="M55" s="169"/>
      <c r="N55" s="32"/>
      <c r="O55" s="236"/>
      <c r="P55" s="32"/>
      <c r="Q55" s="33"/>
      <c r="R55" s="32"/>
      <c r="S55" s="129"/>
      <c r="T55" s="129"/>
      <c r="U55" s="129"/>
      <c r="V55" s="227"/>
      <c r="W55" s="233"/>
      <c r="X55" s="1059"/>
      <c r="Y55" s="1060"/>
      <c r="Z55" s="1060"/>
      <c r="AA55" s="1060"/>
      <c r="AB55" s="1060"/>
      <c r="AC55" s="1060"/>
      <c r="AD55" s="1061"/>
    </row>
    <row r="56" spans="1:30" s="19" customFormat="1" ht="20.25" hidden="1" x14ac:dyDescent="0.2">
      <c r="B56" s="168"/>
      <c r="C56" s="26"/>
      <c r="D56" s="27"/>
      <c r="E56" s="28"/>
      <c r="F56" s="29"/>
      <c r="G56" s="30"/>
      <c r="H56" s="29"/>
      <c r="I56" s="31"/>
      <c r="J56" s="32"/>
      <c r="K56" s="32"/>
      <c r="L56" s="32"/>
      <c r="M56" s="169"/>
      <c r="N56" s="32"/>
      <c r="O56" s="236"/>
      <c r="P56" s="32"/>
      <c r="Q56" s="33"/>
      <c r="R56" s="32"/>
      <c r="S56" s="129"/>
      <c r="T56" s="129"/>
      <c r="U56" s="129"/>
      <c r="V56" s="227"/>
      <c r="W56" s="233"/>
      <c r="X56" s="1059"/>
      <c r="Y56" s="1060"/>
      <c r="Z56" s="1060"/>
      <c r="AA56" s="1060"/>
      <c r="AB56" s="1060"/>
      <c r="AC56" s="1060"/>
      <c r="AD56" s="1061"/>
    </row>
    <row r="57" spans="1:30" s="19" customFormat="1" ht="21" hidden="1" thickBot="1" x14ac:dyDescent="0.25">
      <c r="B57" s="168"/>
      <c r="C57" s="26"/>
      <c r="D57" s="27"/>
      <c r="E57" s="28"/>
      <c r="F57" s="29"/>
      <c r="G57" s="30"/>
      <c r="H57" s="29"/>
      <c r="I57" s="31"/>
      <c r="J57" s="32"/>
      <c r="K57" s="32"/>
      <c r="L57" s="32"/>
      <c r="M57" s="169"/>
      <c r="N57" s="32"/>
      <c r="O57" s="236"/>
      <c r="P57" s="32"/>
      <c r="Q57" s="33"/>
      <c r="R57" s="32"/>
      <c r="S57" s="129"/>
      <c r="T57" s="129"/>
      <c r="U57" s="129"/>
      <c r="V57" s="227"/>
      <c r="W57" s="233"/>
      <c r="X57" s="1059"/>
      <c r="Y57" s="1060"/>
      <c r="Z57" s="1060"/>
      <c r="AA57" s="1060"/>
      <c r="AB57" s="1060"/>
      <c r="AC57" s="1060"/>
      <c r="AD57" s="1061"/>
    </row>
    <row r="58" spans="1:30" s="19" customFormat="1" ht="42" customHeight="1" thickBot="1" x14ac:dyDescent="0.25">
      <c r="B58" s="240" t="s">
        <v>3</v>
      </c>
      <c r="C58" s="241"/>
      <c r="D58" s="242">
        <f>SUM(D4:D56)</f>
        <v>96978</v>
      </c>
      <c r="E58" s="243">
        <f>AVERAGE(E4:E56)</f>
        <v>0.36149305555555555</v>
      </c>
      <c r="F58" s="244">
        <f>SUM(F4:F57)</f>
        <v>6200.8461428571427</v>
      </c>
      <c r="G58" s="242">
        <f>SUM(G4:G56)</f>
        <v>90073</v>
      </c>
      <c r="H58" s="244">
        <f>SUM(H4:H57)</f>
        <v>6135.9424000000008</v>
      </c>
      <c r="I58" s="245">
        <f>SUM(I4:I56)</f>
        <v>463.5</v>
      </c>
      <c r="J58" s="245">
        <f>G58/(K58/60)</f>
        <v>411.29223744292239</v>
      </c>
      <c r="K58" s="242">
        <f>SUM(K4:K56)</f>
        <v>13140</v>
      </c>
      <c r="L58" s="242">
        <f>SUM(L4:L56)</f>
        <v>0</v>
      </c>
      <c r="M58" s="246">
        <f>AVERAGE(M4:M57)</f>
        <v>0.8196874999999999</v>
      </c>
      <c r="N58" s="242">
        <f>SUM(N4:N56)</f>
        <v>3519</v>
      </c>
      <c r="O58" s="242">
        <f>[4]Aug!$I$54</f>
        <v>441</v>
      </c>
      <c r="P58" s="245">
        <f>SUM(P4:P57)</f>
        <v>247</v>
      </c>
      <c r="Q58" s="292">
        <f>(F58-H58)/F58</f>
        <v>1.046691715321877E-2</v>
      </c>
      <c r="R58" s="249">
        <f>SUM(R4:R56)</f>
        <v>0</v>
      </c>
      <c r="S58" s="292">
        <f>((S4*($G$4+$G$5))+(S6*($G$6))+(S7*($G$7+$G$8))+(S9*($G$9+$G$10))+(S11*($G$11+$G$12))+(S13*($G$13))+(S14*($G$14+$G$15))+(S16*($G$16+$G$17))+(S18*($G$18))+(S19*($G$19+$G$20))+(S21*($G$21))+(S22*($G$22+$G$23))+(S24*($G$24+$G$25))+(S26*($G$26+$G$27))+(S28*($G$28))+(S29*($G$29+$G$30+$G$31+$G$32))+(S33*($G$33))+(S34*($G$34))+(S35*($G$35+$G$36))+(S37*($G$37)))/($G$58)</f>
        <v>0.68721851961146629</v>
      </c>
      <c r="T58" s="292">
        <f>((T4*($G$4+$G$5))+(T6*($G$6))+(T7*($G$7+$G$8))+(T9*($G$9+$G$10))+(T11*($G$11+$G$12))+(T13*($G$13))+(T14*($G$14+$G$15))+(T16*($G$16+$G$17))+(T18*($G$18))+(T19*($G$19+$G$20))+(T21*($G$21))+(T22*($G$22+$G$23))+(T24*($G$24+$G$25))+(T26*($G$26+$G$27))+(T28*($G$28))+(T29*($G$29+$G$30+$G$31+$G$32))+(T33*($G$33))+(T34*($G$34))+(T35*($G$35+$G$36))+(T37*($G$37)))/($G$58)</f>
        <v>0.60636928201011708</v>
      </c>
      <c r="U58" s="251">
        <f>(G58)*24/((K58-249)/60)/$AE$3</f>
        <v>0.67077868280195485</v>
      </c>
      <c r="V58" s="251">
        <f>(G58)*24/((K58-249)/60)/$AF$3</f>
        <v>0.59186354364878369</v>
      </c>
      <c r="W58" s="252">
        <f>(15106-(N58-[4]Aug!$I$54-[4]Aug!$J$54-[4]Aug!$Z$54-[4]Aug!$H$54-[4]Aug!$Z$17-[4]Aug!$J$17-[4]Aug!$I$19-[4]Aug!$J$19-[4]Aug!$I$21-[4]Aug!$Z$22-[4]Aug!$J$22-12-[4]Aug!$I$26-[4]Aug!$I$27-[4]Aug!$I$28-[4]Aug!$J$28-[4]Aug!$I$30-[4]Aug!$J$30-[4]Aug!$I$33-[4]Aug!$I$34-[4]Aug!$J$34-[4]Aug!$I$35-[4]Aug!$J$36-[4]Aug!$Z$37-[4]Aug!$J$37-[4]Aug!$I$39-[4]Aug!$J$38-[4]Aug!$Z$38-[4]Aug!$J$40))/15106</f>
        <v>0.84482986892625445</v>
      </c>
      <c r="X58" s="1059"/>
      <c r="Y58" s="1060"/>
      <c r="Z58" s="1060"/>
      <c r="AA58" s="1060"/>
      <c r="AB58" s="1060"/>
      <c r="AC58" s="1060"/>
      <c r="AD58" s="1061"/>
    </row>
    <row r="59" spans="1:30" s="271" customFormat="1" ht="49.5" hidden="1" customHeight="1" thickTop="1" x14ac:dyDescent="0.3">
      <c r="A59" s="274"/>
      <c r="B59" s="260" t="s">
        <v>474</v>
      </c>
      <c r="C59" s="260"/>
      <c r="D59" s="261"/>
      <c r="E59" s="262"/>
      <c r="F59" s="263"/>
      <c r="G59" s="261"/>
      <c r="H59" s="263"/>
      <c r="I59" s="273"/>
      <c r="J59" s="273">
        <v>524</v>
      </c>
      <c r="K59" s="261"/>
      <c r="L59" s="261"/>
      <c r="M59" s="265"/>
      <c r="N59" s="261"/>
      <c r="O59" s="266"/>
      <c r="P59" s="264"/>
      <c r="Q59" s="267">
        <v>1.0999999999999999E-2</v>
      </c>
      <c r="R59" s="268"/>
      <c r="S59" s="268"/>
      <c r="T59" s="268">
        <v>0.6</v>
      </c>
      <c r="U59" s="268"/>
      <c r="V59" s="268">
        <v>0.74</v>
      </c>
      <c r="W59" s="269">
        <v>0.95</v>
      </c>
      <c r="X59" s="270"/>
      <c r="Y59" s="270"/>
      <c r="Z59" s="270"/>
      <c r="AA59" s="270"/>
      <c r="AB59" s="270"/>
      <c r="AC59" s="270"/>
      <c r="AD59" s="270"/>
    </row>
    <row r="60" spans="1:30" ht="24.75" customHeight="1" thickTop="1" x14ac:dyDescent="0.25">
      <c r="B60" s="11"/>
      <c r="C60" s="150" t="s">
        <v>35</v>
      </c>
      <c r="D60" s="210">
        <v>96770</v>
      </c>
      <c r="E60" s="1081" t="s">
        <v>664</v>
      </c>
      <c r="F60" s="1081"/>
      <c r="G60" s="210">
        <f>D60-G58</f>
        <v>6697</v>
      </c>
      <c r="H60" s="150" t="s">
        <v>327</v>
      </c>
      <c r="I60" s="272">
        <f>G58/D60</f>
        <v>0.9307946677689366</v>
      </c>
      <c r="J60" s="152">
        <v>0</v>
      </c>
      <c r="K60" s="12"/>
      <c r="L60" s="12"/>
      <c r="M60" s="12"/>
      <c r="N60" s="12"/>
      <c r="O60" s="12"/>
      <c r="P60" s="13"/>
      <c r="Q60" s="14"/>
      <c r="R60" s="12"/>
      <c r="S60" s="15"/>
      <c r="T60" s="16"/>
      <c r="U60" s="15"/>
      <c r="V60" s="15"/>
      <c r="W60" s="15"/>
      <c r="X60" s="17" t="s">
        <v>48</v>
      </c>
    </row>
    <row r="61" spans="1:30" ht="20.25" customHeight="1" x14ac:dyDescent="0.25">
      <c r="B61" s="11"/>
      <c r="C61" s="150" t="s">
        <v>37</v>
      </c>
      <c r="D61" s="210">
        <f>July_17!D61+'Aug_17 '!D60</f>
        <v>687030</v>
      </c>
      <c r="E61" s="1081" t="s">
        <v>36</v>
      </c>
      <c r="F61" s="1081"/>
      <c r="G61" s="210">
        <f>July_17!G61+'Aug_17 '!G58</f>
        <v>701240</v>
      </c>
      <c r="H61" s="150" t="s">
        <v>326</v>
      </c>
      <c r="I61" s="212">
        <v>1</v>
      </c>
      <c r="J61" s="152"/>
      <c r="K61" s="12">
        <v>0</v>
      </c>
      <c r="L61" s="12"/>
      <c r="M61" s="12"/>
      <c r="N61" s="12"/>
      <c r="O61" s="12"/>
      <c r="P61" s="13"/>
      <c r="Q61" s="14"/>
      <c r="R61" s="12"/>
      <c r="S61" s="15"/>
      <c r="T61" s="16"/>
      <c r="U61" s="15"/>
      <c r="V61" s="15"/>
      <c r="W61" s="15"/>
      <c r="X61" s="17"/>
    </row>
    <row r="62" spans="1:30" ht="6.75" customHeight="1" thickBot="1" x14ac:dyDescent="0.3">
      <c r="C62" s="23"/>
      <c r="D62" s="42"/>
      <c r="E62" s="1082"/>
      <c r="F62" s="1082"/>
      <c r="G62" s="42"/>
      <c r="H62" s="44"/>
      <c r="I62" s="44"/>
      <c r="J62" s="149"/>
      <c r="P62"/>
      <c r="S62" s="10"/>
      <c r="X62" s="17"/>
    </row>
    <row r="63" spans="1:30" ht="57" customHeight="1" thickTop="1" thickBot="1" x14ac:dyDescent="0.25">
      <c r="B63" s="7"/>
      <c r="C63" s="206" t="s">
        <v>19</v>
      </c>
      <c r="D63" s="207" t="s">
        <v>14</v>
      </c>
      <c r="E63" s="207" t="s">
        <v>23</v>
      </c>
      <c r="F63" s="207" t="s">
        <v>24</v>
      </c>
      <c r="G63" s="208" t="s">
        <v>15</v>
      </c>
      <c r="H63" s="207" t="s">
        <v>17</v>
      </c>
      <c r="I63" s="207" t="s">
        <v>16</v>
      </c>
      <c r="J63" s="209" t="s">
        <v>600</v>
      </c>
      <c r="K63" s="305" t="s">
        <v>599</v>
      </c>
      <c r="P63"/>
      <c r="Q63" s="141" t="s">
        <v>325</v>
      </c>
      <c r="R63" s="90" t="s">
        <v>320</v>
      </c>
      <c r="S63" s="90" t="s">
        <v>466</v>
      </c>
      <c r="T63" s="90" t="s">
        <v>467</v>
      </c>
      <c r="U63" s="90" t="s">
        <v>323</v>
      </c>
      <c r="V63" s="143" t="s">
        <v>324</v>
      </c>
      <c r="W63" s="300" t="s">
        <v>576</v>
      </c>
      <c r="Y63" s="165" t="s">
        <v>375</v>
      </c>
      <c r="Z63" s="166" t="s">
        <v>376</v>
      </c>
      <c r="AA63" s="166" t="s">
        <v>377</v>
      </c>
      <c r="AB63" s="167" t="s">
        <v>378</v>
      </c>
    </row>
    <row r="64" spans="1:30" ht="21" thickBot="1" x14ac:dyDescent="0.35">
      <c r="B64" s="8"/>
      <c r="C64" s="201">
        <v>1</v>
      </c>
      <c r="D64" s="202" t="s">
        <v>20</v>
      </c>
      <c r="E64" s="182">
        <f>SUM(G4,G5,G6,G8,G11,G13,G14,G15,G16,G20,G21,G22,G23,G24:G25,G26,G34,G35,G36,G37)</f>
        <v>62793</v>
      </c>
      <c r="F64" s="183">
        <f>SUM(K4,K6,K7,K11,K13,K14,K16,K19,K21,K22,K24,K26,K34,K35,K36,K37)-249</f>
        <v>9634</v>
      </c>
      <c r="G64" s="184">
        <f>SUM(F4,F5,F6,F8,F11,F13,F14,F15,F16,F20,F21,F22,F23,F24,F26,F34,F35,F36,F37)</f>
        <v>4299.1000000000004</v>
      </c>
      <c r="H64" s="184">
        <f>SUM(H4,H5,H6,H8,H11,H13,H14,H15,H16,H20,H21,H22,H23,H24,H26,H34,H35,H36,H37)</f>
        <v>4259.8580000000002</v>
      </c>
      <c r="I64" s="97">
        <f t="shared" ref="I64:I69" si="0">(G64-H64)/G64</f>
        <v>9.1279570142588414E-3</v>
      </c>
      <c r="J64" s="191">
        <f>(E64+G7+G12+G17+G19+G27)*24/(F64/60)/17000</f>
        <v>0.6414048284873427</v>
      </c>
      <c r="K64" s="307">
        <f>AVERAGE(January_17!J65,February_17!J65,March_17!J66,April_17!J66,May_17!J66,'June_17 '!J66,July_17!J64,'Aug_17 '!J64)</f>
        <v>0.66138177310466817</v>
      </c>
      <c r="P64"/>
      <c r="Q64" s="253">
        <f>U81</f>
        <v>8.6006955175601876E-3</v>
      </c>
      <c r="R64" s="254"/>
      <c r="S64" s="255">
        <f>((January_17!Q$60*January_17!$G$60)+(February_17!R$60*February_17!$G$60)+(March_17!R$60*March_17!$G$60)+(April_17!R$60*April_17!$G$60)+(May_17!S$60*May_17!$G$60)+('June_17 '!S$60*'June_17 '!G$60)+(July_17!$S$58*July_17!$G$58)+(S$58*$G$58))/($G$61)</f>
        <v>0.7368915227113777</v>
      </c>
      <c r="T64" s="255">
        <f>((January_17!$R$60*January_17!$G$60)+(February_17!$S$60*February_17!$G$60)+(March_17!$S$60*March_17!$G$60)+(April_17!$S$60*April_17!$G$60)+(May_17!T60*May_17!$G$60)+('June_17 '!$T$60*'June_17 '!$G$60)+(July_17!$T$58*July_17!$G$58)+($T$58*$G$58))/($G$61)</f>
        <v>0.65105654611762498</v>
      </c>
      <c r="U64" s="254">
        <f>U80</f>
        <v>0.70404886160410807</v>
      </c>
      <c r="V64" s="257">
        <f>V80</f>
        <v>0.62121958376833064</v>
      </c>
      <c r="W64" s="301">
        <f>AVERAGE(January_17!U60,February_17!W60,March_17!W60,April_17!W60,May_17!X60,'June_17 '!X60,July_17!W58,'Aug_17 '!W58)</f>
        <v>0.83376236816797045</v>
      </c>
      <c r="Y64" s="176" t="s">
        <v>370</v>
      </c>
      <c r="Z64" s="384">
        <f>'[5]August_2017 '!$F$37</f>
        <v>0.10046305427972987</v>
      </c>
      <c r="AA64" s="178">
        <f>'[5]August_2017 '!F85</f>
        <v>3.6589510731631393E-2</v>
      </c>
      <c r="AB64" s="179">
        <f>[5]YearToDate!F5</f>
        <v>5.7508070397275124E-2</v>
      </c>
    </row>
    <row r="65" spans="2:29" s="1" customFormat="1" ht="18.75" thickTop="1" x14ac:dyDescent="0.25">
      <c r="B65" s="8"/>
      <c r="C65" s="203">
        <v>2</v>
      </c>
      <c r="D65" s="204" t="s">
        <v>21</v>
      </c>
      <c r="E65" s="182">
        <f>SUM(G9,G18,G19)</f>
        <v>8449</v>
      </c>
      <c r="F65" s="183">
        <f>SUM(K9,K18,K19)</f>
        <v>2018</v>
      </c>
      <c r="G65" s="184">
        <f>SUM(F9,F18,F19)</f>
        <v>561.4</v>
      </c>
      <c r="H65" s="184">
        <f>SUM(H9,H18,H19)</f>
        <v>557.63400000000001</v>
      </c>
      <c r="I65" s="97">
        <f t="shared" si="0"/>
        <v>6.7082294264338488E-3</v>
      </c>
      <c r="J65" s="186">
        <f>(E65+G10+G11+G20)*24/(F65/60)/17000</f>
        <v>0.66698536699119693</v>
      </c>
      <c r="K65" s="307">
        <f>AVERAGE(January_17!J66,February_17!J66,March_17!J67,April_17!J67,May_17!J67,'June_17 '!J67,July_17!J65,'Aug_17 '!J65)</f>
        <v>0.62863741269086448</v>
      </c>
      <c r="L65"/>
      <c r="M65"/>
      <c r="N65"/>
      <c r="O65"/>
      <c r="P65" s="2"/>
      <c r="T65"/>
      <c r="U65"/>
      <c r="V65"/>
      <c r="X65"/>
      <c r="Y65" s="213" t="s">
        <v>371</v>
      </c>
      <c r="Z65" s="178"/>
      <c r="AA65" s="309">
        <f>'[5]August_2017 '!F86</f>
        <v>3.5922679977610623E-2</v>
      </c>
      <c r="AB65" s="214">
        <f>[5]YearToDate!F6</f>
        <v>7.4495145412179109E-2</v>
      </c>
      <c r="AC65"/>
    </row>
    <row r="66" spans="2:29" s="1" customFormat="1" ht="18" x14ac:dyDescent="0.25">
      <c r="B66" s="8"/>
      <c r="C66" s="201">
        <v>3</v>
      </c>
      <c r="D66" s="204" t="s">
        <v>124</v>
      </c>
      <c r="E66" s="187"/>
      <c r="F66" s="188"/>
      <c r="G66" s="189"/>
      <c r="H66" s="189"/>
      <c r="I66" s="109" t="e">
        <f t="shared" si="0"/>
        <v>#DIV/0!</v>
      </c>
      <c r="J66" s="191"/>
      <c r="K66" s="307"/>
      <c r="L66"/>
      <c r="M66"/>
      <c r="N66"/>
      <c r="O66"/>
      <c r="P66" s="2"/>
      <c r="T66"/>
      <c r="U66"/>
      <c r="V66"/>
      <c r="X66"/>
      <c r="Y66" s="177" t="s">
        <v>372</v>
      </c>
      <c r="Z66" s="217"/>
      <c r="AA66" s="180">
        <f>'[5]August_2017 '!F87</f>
        <v>3.1359951384699394E-2</v>
      </c>
      <c r="AB66" s="181">
        <f>[5]YearToDate!F7</f>
        <v>5.2359214885581859E-2</v>
      </c>
      <c r="AC66"/>
    </row>
    <row r="67" spans="2:29" s="1" customFormat="1" ht="18" x14ac:dyDescent="0.25">
      <c r="B67" s="8"/>
      <c r="C67" s="203">
        <v>4</v>
      </c>
      <c r="D67" s="204" t="s">
        <v>18</v>
      </c>
      <c r="E67" s="182">
        <f>SUM(G7,G28)</f>
        <v>9182</v>
      </c>
      <c r="F67" s="183">
        <f>SUM(K7,K28)</f>
        <v>1520</v>
      </c>
      <c r="G67" s="182">
        <f>SUM(F7,F28)</f>
        <v>644.40000000000009</v>
      </c>
      <c r="H67" s="182">
        <f>SUM(H7,H28)</f>
        <v>641.62639999999988</v>
      </c>
      <c r="I67" s="97">
        <f t="shared" si="0"/>
        <v>4.3041589075111962E-3</v>
      </c>
      <c r="J67" s="191">
        <f>(E67+G8)*24/(F67/60)/17000</f>
        <v>0.60508978328173368</v>
      </c>
      <c r="K67" s="307">
        <f>AVERAGE(January_17!J68,February_17!J68,March_17!J69,April_17!J69,May_17!J69,'June_17 '!J69,July_17!J67,'Aug_17 '!J67)</f>
        <v>0.64137998687071751</v>
      </c>
      <c r="L67"/>
      <c r="M67"/>
      <c r="N67"/>
      <c r="O67"/>
      <c r="P67" s="2"/>
      <c r="Q67" s="159"/>
      <c r="R67" s="159"/>
      <c r="S67" s="159"/>
      <c r="T67" s="160"/>
      <c r="U67" s="160"/>
      <c r="V67" s="161"/>
      <c r="W67" s="234"/>
      <c r="X67"/>
      <c r="Y67" s="213" t="s">
        <v>373</v>
      </c>
      <c r="Z67" s="384"/>
      <c r="AA67" s="309">
        <f>'[5]August_2017 '!F88</f>
        <v>4.2246154133547535E-2</v>
      </c>
      <c r="AB67" s="214">
        <f>[5]YearToDate!F8</f>
        <v>5.4903170815414681E-2</v>
      </c>
    </row>
    <row r="68" spans="2:29" s="1" customFormat="1" ht="18" x14ac:dyDescent="0.25">
      <c r="B68" s="8"/>
      <c r="C68" s="201">
        <v>5</v>
      </c>
      <c r="D68" s="205" t="s">
        <v>26</v>
      </c>
      <c r="E68" s="192">
        <f>SUM(G10,G12,G17,G27,G33)</f>
        <v>6719</v>
      </c>
      <c r="F68" s="193">
        <f>SUM(K9,K11,K16,K26,K33)</f>
        <v>2889</v>
      </c>
      <c r="G68" s="194">
        <f>SUM(F10,F12,F17,F27,F33)</f>
        <v>457.858</v>
      </c>
      <c r="H68" s="194">
        <f>SUM(H10,H12,H17,H27,H33)</f>
        <v>445.35400000000004</v>
      </c>
      <c r="I68" s="97">
        <f t="shared" si="0"/>
        <v>2.7309777267187561E-2</v>
      </c>
      <c r="J68" s="186">
        <f>(E68+G9+G11+G16+G26)*24/(F68/60)/17000</f>
        <v>0.50542056074766351</v>
      </c>
      <c r="K68" s="307">
        <f>AVERAGE(January_17!J69,February_17!J69,March_17!J70,April_17!J70,May_17!J70,'June_17 '!J70,July_17!J68,'Aug_17 '!J68)</f>
        <v>0.62142330455465367</v>
      </c>
      <c r="L68"/>
      <c r="M68"/>
      <c r="N68"/>
      <c r="O68"/>
      <c r="P68" s="2"/>
      <c r="Q68" s="159"/>
      <c r="S68" s="8"/>
      <c r="T68"/>
      <c r="U68"/>
      <c r="V68" s="6"/>
      <c r="W68" s="10"/>
      <c r="X68"/>
      <c r="Y68" s="177" t="s">
        <v>374</v>
      </c>
      <c r="Z68" s="217"/>
      <c r="AA68" s="387">
        <f>'[5]August_2017 '!F89</f>
        <v>4.2410018697413523E-2</v>
      </c>
      <c r="AB68" s="181">
        <f>[5]YearToDate!F9</f>
        <v>7.6171674114030377E-2</v>
      </c>
    </row>
    <row r="69" spans="2:29" s="1" customFormat="1" ht="18.75" thickBot="1" x14ac:dyDescent="0.3">
      <c r="B69" s="8"/>
      <c r="C69" s="203">
        <v>6</v>
      </c>
      <c r="D69" s="205" t="s">
        <v>25</v>
      </c>
      <c r="E69" s="192">
        <f>SUM(G29,G30,G31,G32)</f>
        <v>2930</v>
      </c>
      <c r="F69" s="193">
        <f>SUM(K29)</f>
        <v>602</v>
      </c>
      <c r="G69" s="194">
        <f>SUM(F29:F32)</f>
        <v>238.08814285714288</v>
      </c>
      <c r="H69" s="194">
        <f>SUM(H29:H32)</f>
        <v>231.47</v>
      </c>
      <c r="I69" s="109">
        <f t="shared" si="0"/>
        <v>2.7797028351444989E-2</v>
      </c>
      <c r="J69" s="191">
        <f>(E69)*24/(F69/60)/17000</f>
        <v>0.41227281610318545</v>
      </c>
      <c r="K69" s="307">
        <f>AVERAGE(January_17!J70,February_17!J70,March_17!J71,April_17!J71,May_17!J71,'June_17 '!J71,July_17!J69,'Aug_17 '!J69)</f>
        <v>0.52122758957935966</v>
      </c>
      <c r="L69"/>
      <c r="M69"/>
      <c r="N69"/>
      <c r="O69"/>
      <c r="P69" s="2"/>
      <c r="Q69" s="159"/>
      <c r="T69"/>
      <c r="U69"/>
      <c r="V69"/>
      <c r="X69"/>
      <c r="Y69" s="218" t="s">
        <v>25</v>
      </c>
      <c r="Z69" s="219"/>
      <c r="AA69" s="309">
        <f>'[5]August_2017 '!F90</f>
        <v>1.875652221672983E-2</v>
      </c>
      <c r="AB69" s="220">
        <f>[5]YearToDate!F10</f>
        <v>4.5790074270967041E-2</v>
      </c>
    </row>
    <row r="70" spans="2:29" s="1" customFormat="1" ht="19.5" thickTop="1" thickBot="1" x14ac:dyDescent="0.3">
      <c r="C70" s="112"/>
      <c r="D70" s="195" t="s">
        <v>22</v>
      </c>
      <c r="E70" s="196">
        <f>SUM(E64:E69)</f>
        <v>90073</v>
      </c>
      <c r="F70" s="197">
        <f>K58</f>
        <v>13140</v>
      </c>
      <c r="G70" s="198">
        <f>SUM(G64:G69)</f>
        <v>6200.8461428571427</v>
      </c>
      <c r="H70" s="198">
        <f>SUM(H64:H69)</f>
        <v>6135.9424000000008</v>
      </c>
      <c r="I70" s="199">
        <f>((G70)-(H70))/(G70)</f>
        <v>1.046691715321877E-2</v>
      </c>
      <c r="J70" s="200">
        <f>E70*24/((F70-249)/60)/17000</f>
        <v>0.59186354364878369</v>
      </c>
      <c r="K70" s="308">
        <f>V64</f>
        <v>0.62121958376833064</v>
      </c>
      <c r="L70"/>
      <c r="M70"/>
      <c r="N70"/>
      <c r="O70"/>
      <c r="P70" s="139"/>
      <c r="Q70" s="159"/>
      <c r="T70"/>
      <c r="U70"/>
      <c r="V70"/>
      <c r="X70"/>
      <c r="Y70" s="221" t="s">
        <v>379</v>
      </c>
      <c r="Z70" s="222"/>
      <c r="AA70" s="222">
        <f>'[5]August_2017 '!$F$92</f>
        <v>3.4412493572924412E-2</v>
      </c>
      <c r="AB70" s="223">
        <f>[5]YearToDate!$F$12</f>
        <v>5.7449685942507892E-2</v>
      </c>
    </row>
    <row r="71" spans="2:29" s="1" customFormat="1" ht="18.75" thickTop="1" x14ac:dyDescent="0.25">
      <c r="C71" s="311"/>
      <c r="D71" s="153"/>
      <c r="E71" s="312"/>
      <c r="F71" s="313"/>
      <c r="G71" s="314"/>
      <c r="H71" s="314"/>
      <c r="I71" s="315"/>
      <c r="J71" s="315"/>
      <c r="K71" s="315"/>
      <c r="L71"/>
      <c r="M71"/>
      <c r="N71"/>
      <c r="O71"/>
      <c r="P71" s="139"/>
      <c r="Q71" s="159"/>
      <c r="T71"/>
      <c r="U71"/>
      <c r="V71"/>
      <c r="X71"/>
      <c r="Y71" s="316"/>
      <c r="Z71" s="317"/>
      <c r="AA71" s="317"/>
      <c r="AB71" s="317"/>
    </row>
    <row r="72" spans="2:29" s="1" customFormat="1" ht="18" x14ac:dyDescent="0.25">
      <c r="C72" s="311"/>
      <c r="D72" s="153"/>
      <c r="E72" s="312"/>
      <c r="F72" s="313"/>
      <c r="G72" s="314"/>
      <c r="H72" s="314"/>
      <c r="I72" s="315"/>
      <c r="J72" s="315"/>
      <c r="K72" s="315"/>
      <c r="L72"/>
      <c r="M72"/>
      <c r="N72"/>
      <c r="O72"/>
      <c r="P72" s="139"/>
      <c r="Q72" s="159"/>
      <c r="T72"/>
      <c r="U72"/>
      <c r="V72"/>
      <c r="X72"/>
      <c r="Y72" s="316"/>
      <c r="Z72" s="317"/>
      <c r="AA72" s="317"/>
      <c r="AB72" s="317"/>
    </row>
    <row r="73" spans="2:29" s="1" customFormat="1" ht="27" customHeight="1" thickBot="1" x14ac:dyDescent="0.4">
      <c r="C73" s="311"/>
      <c r="D73" s="1110" t="s">
        <v>618</v>
      </c>
      <c r="E73" s="1110"/>
      <c r="F73" s="1110"/>
      <c r="G73" s="1110"/>
      <c r="H73" s="1110"/>
      <c r="I73" s="1110"/>
      <c r="J73" s="1110"/>
      <c r="K73" s="1110"/>
      <c r="L73" s="1110"/>
      <c r="M73" s="1110"/>
      <c r="N73" s="1110"/>
      <c r="O73" s="1110"/>
      <c r="P73" s="1110"/>
      <c r="Q73" s="159"/>
      <c r="T73"/>
      <c r="U73"/>
      <c r="V73"/>
      <c r="X73"/>
      <c r="Y73" s="316"/>
      <c r="Z73" s="317"/>
      <c r="AA73" s="317"/>
      <c r="AB73" s="317"/>
    </row>
    <row r="74" spans="2:29" s="1" customFormat="1" ht="24" thickBot="1" x14ac:dyDescent="0.4">
      <c r="C74" s="322"/>
      <c r="D74" s="332" t="s">
        <v>605</v>
      </c>
      <c r="E74" s="333" t="s">
        <v>606</v>
      </c>
      <c r="F74" s="334" t="s">
        <v>607</v>
      </c>
      <c r="G74" s="333" t="s">
        <v>608</v>
      </c>
      <c r="H74" s="334" t="s">
        <v>609</v>
      </c>
      <c r="I74" s="333" t="s">
        <v>610</v>
      </c>
      <c r="J74" s="334" t="s">
        <v>611</v>
      </c>
      <c r="K74" s="333" t="s">
        <v>612</v>
      </c>
      <c r="L74" s="334" t="s">
        <v>613</v>
      </c>
      <c r="M74" s="333" t="s">
        <v>614</v>
      </c>
      <c r="N74" s="334" t="s">
        <v>615</v>
      </c>
      <c r="O74" s="335" t="s">
        <v>616</v>
      </c>
      <c r="P74" s="329" t="s">
        <v>617</v>
      </c>
      <c r="Q74" s="159"/>
      <c r="T74"/>
      <c r="U74"/>
      <c r="V74"/>
      <c r="X74"/>
    </row>
    <row r="75" spans="2:29" s="1" customFormat="1" ht="23.25" x14ac:dyDescent="0.35">
      <c r="C75" s="330">
        <v>2016</v>
      </c>
      <c r="D75" s="324">
        <f>[6]Jan!$I$57</f>
        <v>7</v>
      </c>
      <c r="E75" s="325">
        <f>[6]Feb!$I$57</f>
        <v>9</v>
      </c>
      <c r="F75" s="326">
        <f>[6]Mar!$I$57</f>
        <v>8</v>
      </c>
      <c r="G75" s="325">
        <f>[6]Apr!$I$57</f>
        <v>12</v>
      </c>
      <c r="H75" s="326">
        <f>[6]May!$I$57</f>
        <v>11</v>
      </c>
      <c r="I75" s="325">
        <f>[6]Jun!$I$57</f>
        <v>10</v>
      </c>
      <c r="J75" s="326">
        <f>[6]Jul!$I$57</f>
        <v>12</v>
      </c>
      <c r="K75" s="325">
        <f>[6]Aug!$I$57</f>
        <v>9</v>
      </c>
      <c r="L75" s="326"/>
      <c r="M75" s="325"/>
      <c r="N75" s="326"/>
      <c r="O75" s="327"/>
      <c r="P75" s="328">
        <f>SUM(D75:O75)</f>
        <v>78</v>
      </c>
      <c r="Q75" s="159"/>
      <c r="T75"/>
      <c r="U75"/>
      <c r="V75"/>
      <c r="X75"/>
    </row>
    <row r="76" spans="2:29" s="1" customFormat="1" ht="24" thickBot="1" x14ac:dyDescent="0.4">
      <c r="C76" s="331">
        <v>2017</v>
      </c>
      <c r="D76" s="321">
        <f>[4]Jan!$I$57</f>
        <v>13</v>
      </c>
      <c r="E76" s="318">
        <f>[4]Feb!$I$57</f>
        <v>8</v>
      </c>
      <c r="F76" s="318">
        <f>[4]Mar!$I$57</f>
        <v>12</v>
      </c>
      <c r="G76" s="318">
        <f>[4]Apr!$I$57</f>
        <v>5</v>
      </c>
      <c r="H76" s="318">
        <f>[4]May!$I$57</f>
        <v>11</v>
      </c>
      <c r="I76" s="318">
        <f>[4]Jun!$I$57</f>
        <v>13</v>
      </c>
      <c r="J76" s="318">
        <f>[4]Jul!$I$57</f>
        <v>9</v>
      </c>
      <c r="K76" s="318">
        <f>[4]Aug!$I$57</f>
        <v>15</v>
      </c>
      <c r="L76" s="319"/>
      <c r="M76" s="319"/>
      <c r="N76" s="319"/>
      <c r="O76" s="320"/>
      <c r="P76" s="323">
        <f>SUM(D76:O76)</f>
        <v>86</v>
      </c>
      <c r="Q76" s="159"/>
      <c r="T76"/>
      <c r="U76"/>
      <c r="V76"/>
      <c r="X76" s="9"/>
    </row>
    <row r="77" spans="2:29" s="1" customFormat="1" ht="20.25" customHeight="1" x14ac:dyDescent="0.3">
      <c r="C77" s="371" t="s">
        <v>619</v>
      </c>
      <c r="D77" s="372">
        <f>+(D76-D75)/D75</f>
        <v>0.8571428571428571</v>
      </c>
      <c r="E77" s="372">
        <f t="shared" ref="E77:K77" si="1">+(E76-E75)/E75</f>
        <v>-0.1111111111111111</v>
      </c>
      <c r="F77" s="372">
        <f t="shared" si="1"/>
        <v>0.5</v>
      </c>
      <c r="G77" s="372">
        <f t="shared" si="1"/>
        <v>-0.58333333333333337</v>
      </c>
      <c r="H77" s="372">
        <f t="shared" si="1"/>
        <v>0</v>
      </c>
      <c r="I77" s="372">
        <f t="shared" si="1"/>
        <v>0.3</v>
      </c>
      <c r="J77" s="372">
        <f t="shared" si="1"/>
        <v>-0.25</v>
      </c>
      <c r="K77" s="372">
        <f t="shared" si="1"/>
        <v>0.66666666666666663</v>
      </c>
      <c r="L77" s="372"/>
      <c r="M77" s="372"/>
      <c r="N77" s="372"/>
      <c r="O77" s="372"/>
      <c r="P77" s="373">
        <f>+(P76-P75)/P75</f>
        <v>0.10256410256410256</v>
      </c>
      <c r="X77" s="9"/>
    </row>
    <row r="78" spans="2:29" s="1" customFormat="1" x14ac:dyDescent="0.2">
      <c r="J78"/>
      <c r="K78"/>
      <c r="L78"/>
      <c r="M78"/>
      <c r="N78"/>
      <c r="O78"/>
      <c r="P78" s="2"/>
      <c r="X78" s="9"/>
    </row>
    <row r="79" spans="2:29" s="1" customFormat="1" ht="12.75" customHeight="1" x14ac:dyDescent="0.2">
      <c r="J79"/>
      <c r="K79"/>
      <c r="L79"/>
      <c r="M79"/>
      <c r="N79"/>
      <c r="O79"/>
      <c r="P79" s="2"/>
      <c r="T79"/>
      <c r="U79"/>
      <c r="V79"/>
      <c r="X79" s="9"/>
    </row>
    <row r="80" spans="2:29" s="1" customFormat="1" ht="21" hidden="1" customHeight="1" thickBot="1" x14ac:dyDescent="0.25">
      <c r="J80"/>
      <c r="K80"/>
      <c r="L80"/>
      <c r="M80"/>
      <c r="N80"/>
      <c r="O80"/>
      <c r="P80" s="2"/>
      <c r="Q80" s="3">
        <f>G61</f>
        <v>701240</v>
      </c>
      <c r="S80" s="3">
        <f>SUM(January_17!K60,February_17!K60,March_17!K60:K60,April_17!K60,May_17!K60,'June_17 '!K60,July_17!K58,'Aug_17 '!K58)-249</f>
        <v>95617</v>
      </c>
      <c r="T80"/>
      <c r="U80" s="63">
        <f>(Q80)*24/(S80/60)/15000</f>
        <v>0.70404886160410807</v>
      </c>
      <c r="V80" s="128">
        <f>(Q80)*24/(S80/60)/17000</f>
        <v>0.62121958376833064</v>
      </c>
      <c r="W80" s="230"/>
      <c r="X80" s="9"/>
    </row>
    <row r="81" spans="3:24" s="1" customFormat="1" ht="21" hidden="1" customHeight="1" thickTop="1" thickBot="1" x14ac:dyDescent="0.35">
      <c r="J81"/>
      <c r="K81"/>
      <c r="L81"/>
      <c r="M81"/>
      <c r="N81"/>
      <c r="O81"/>
      <c r="P81" s="2"/>
      <c r="Q81" s="140">
        <f>SUM(January_17!F60,February_17!F60,March_17!F60,April_17!F60,May_17!F60,'June_17 '!F60,July_17!F58,'Aug_17 '!F58)</f>
        <v>47957.659829931974</v>
      </c>
      <c r="S81" s="140">
        <f>SUM(January_17!H60,February_17!H60,March_17!H60,April_17!H60,May_17!H60,'June_17 '!H60,July_17!H58,'Aug_17 '!H58)</f>
        <v>47545.190600000002</v>
      </c>
      <c r="T81"/>
      <c r="U81" s="87">
        <f>(Q81-S81)/Q81</f>
        <v>8.6006955175601876E-3</v>
      </c>
      <c r="V81"/>
      <c r="X81" s="9"/>
    </row>
    <row r="82" spans="3:24" s="1" customFormat="1" x14ac:dyDescent="0.2">
      <c r="J82"/>
      <c r="K82"/>
      <c r="L82"/>
      <c r="M82"/>
      <c r="N82"/>
      <c r="O82"/>
      <c r="P82" s="2"/>
      <c r="T82"/>
      <c r="U82"/>
      <c r="V82"/>
      <c r="X82" s="9"/>
    </row>
    <row r="83" spans="3:24" s="1" customFormat="1" ht="20.25" customHeight="1" x14ac:dyDescent="0.3">
      <c r="C83" s="1109" t="s">
        <v>620</v>
      </c>
      <c r="D83" s="1109"/>
      <c r="E83" s="1109"/>
      <c r="F83" s="1109"/>
      <c r="G83" s="1109"/>
      <c r="H83" s="1109"/>
      <c r="I83" s="1109"/>
      <c r="J83" s="1109"/>
      <c r="K83" s="1109"/>
      <c r="L83" s="1109"/>
      <c r="M83" s="1109"/>
      <c r="N83" s="1109"/>
      <c r="O83" s="1109"/>
      <c r="P83" s="271"/>
      <c r="Q83"/>
      <c r="R83"/>
      <c r="T83"/>
      <c r="U83"/>
      <c r="V83"/>
      <c r="X83" s="9"/>
    </row>
    <row r="84" spans="3:24" s="1" customFormat="1" ht="21.75" thickBot="1" x14ac:dyDescent="0.4">
      <c r="C84" s="1109"/>
      <c r="D84" s="1109"/>
      <c r="E84" s="1109"/>
      <c r="F84" s="1109"/>
      <c r="G84" s="1109"/>
      <c r="H84" s="1109"/>
      <c r="I84" s="1109"/>
      <c r="J84" s="1109"/>
      <c r="K84" s="1109"/>
      <c r="L84" s="1109"/>
      <c r="M84" s="1109"/>
      <c r="N84" s="1109"/>
      <c r="O84" s="1109"/>
      <c r="P84" s="338"/>
      <c r="Q84" s="336"/>
      <c r="R84" s="336"/>
      <c r="T84"/>
      <c r="U84"/>
      <c r="V84"/>
      <c r="X84" s="9"/>
    </row>
    <row r="85" spans="3:24" s="1" customFormat="1" ht="21" thickBot="1" x14ac:dyDescent="0.35">
      <c r="C85" s="351"/>
      <c r="D85" s="352" t="s">
        <v>605</v>
      </c>
      <c r="E85" s="353" t="s">
        <v>606</v>
      </c>
      <c r="F85" s="353" t="s">
        <v>607</v>
      </c>
      <c r="G85" s="353" t="s">
        <v>608</v>
      </c>
      <c r="H85" s="353" t="s">
        <v>609</v>
      </c>
      <c r="I85" s="353" t="s">
        <v>610</v>
      </c>
      <c r="J85" s="353" t="s">
        <v>611</v>
      </c>
      <c r="K85" s="353" t="s">
        <v>612</v>
      </c>
      <c r="L85" s="353" t="s">
        <v>613</v>
      </c>
      <c r="M85" s="353" t="s">
        <v>614</v>
      </c>
      <c r="N85" s="353" t="s">
        <v>615</v>
      </c>
      <c r="O85" s="354" t="s">
        <v>616</v>
      </c>
      <c r="P85" s="355" t="s">
        <v>379</v>
      </c>
      <c r="Q85" s="336"/>
      <c r="R85" s="336"/>
      <c r="T85"/>
      <c r="U85"/>
      <c r="V85"/>
      <c r="X85" s="9"/>
    </row>
    <row r="86" spans="3:24" s="1" customFormat="1" ht="21" thickBot="1" x14ac:dyDescent="0.35">
      <c r="C86" s="356">
        <v>2016</v>
      </c>
      <c r="D86" s="357">
        <v>257</v>
      </c>
      <c r="E86" s="358">
        <v>234</v>
      </c>
      <c r="F86" s="358">
        <v>300</v>
      </c>
      <c r="G86" s="358">
        <v>547</v>
      </c>
      <c r="H86" s="358">
        <v>196</v>
      </c>
      <c r="I86" s="358">
        <v>373</v>
      </c>
      <c r="J86" s="359">
        <f>[6]Jul!$I$54</f>
        <v>480</v>
      </c>
      <c r="K86" s="359">
        <f>[6]Aug!$I$54</f>
        <v>300</v>
      </c>
      <c r="L86" s="358"/>
      <c r="M86" s="358"/>
      <c r="N86" s="358"/>
      <c r="O86" s="360"/>
      <c r="P86" s="361">
        <f>SUM(D86:J86)</f>
        <v>2387</v>
      </c>
      <c r="Q86" s="336"/>
      <c r="R86" s="336"/>
      <c r="T86"/>
      <c r="U86"/>
      <c r="V86"/>
      <c r="X86" s="9"/>
    </row>
    <row r="87" spans="3:24" s="1" customFormat="1" ht="21" thickBot="1" x14ac:dyDescent="0.35">
      <c r="C87" s="362">
        <v>2017</v>
      </c>
      <c r="D87" s="363">
        <f>436</f>
        <v>436</v>
      </c>
      <c r="E87" s="364">
        <v>148</v>
      </c>
      <c r="F87" s="364">
        <f>316</f>
        <v>316</v>
      </c>
      <c r="G87" s="364">
        <v>314</v>
      </c>
      <c r="H87" s="364">
        <v>259</v>
      </c>
      <c r="I87" s="365">
        <f>[4]Jun!$I$54</f>
        <v>558</v>
      </c>
      <c r="J87" s="365">
        <f>[4]Jul!$I$54</f>
        <v>220</v>
      </c>
      <c r="K87" s="365">
        <f>[4]Aug!$I$54</f>
        <v>441</v>
      </c>
      <c r="L87" s="364"/>
      <c r="M87" s="364"/>
      <c r="N87" s="364"/>
      <c r="O87" s="366"/>
      <c r="P87" s="367">
        <f>SUM(D87:O87)</f>
        <v>2692</v>
      </c>
      <c r="Q87" s="336"/>
      <c r="R87" s="336"/>
      <c r="T87"/>
      <c r="U87"/>
      <c r="V87"/>
      <c r="X87" s="9"/>
    </row>
    <row r="88" spans="3:24" s="1" customFormat="1" ht="20.25" x14ac:dyDescent="0.3">
      <c r="C88" s="371" t="s">
        <v>619</v>
      </c>
      <c r="D88" s="372">
        <f t="shared" ref="D88:K88" si="2">+(D87-D86)/D86</f>
        <v>0.69649805447470814</v>
      </c>
      <c r="E88" s="372">
        <f t="shared" si="2"/>
        <v>-0.36752136752136755</v>
      </c>
      <c r="F88" s="372">
        <f t="shared" si="2"/>
        <v>5.3333333333333337E-2</v>
      </c>
      <c r="G88" s="372">
        <f t="shared" si="2"/>
        <v>-0.42595978062157219</v>
      </c>
      <c r="H88" s="372">
        <f t="shared" si="2"/>
        <v>0.32142857142857145</v>
      </c>
      <c r="I88" s="372">
        <f t="shared" si="2"/>
        <v>0.49597855227882037</v>
      </c>
      <c r="J88" s="372">
        <f t="shared" si="2"/>
        <v>-0.54166666666666663</v>
      </c>
      <c r="K88" s="372">
        <f t="shared" si="2"/>
        <v>0.47</v>
      </c>
      <c r="L88" s="372"/>
      <c r="M88" s="372"/>
      <c r="N88" s="372"/>
      <c r="O88" s="372"/>
      <c r="P88" s="373">
        <f>+(P87-P86)/P86</f>
        <v>0.12777545035609553</v>
      </c>
      <c r="Q88" s="336"/>
      <c r="R88" s="337" t="s">
        <v>621</v>
      </c>
      <c r="T88"/>
      <c r="U88"/>
      <c r="V88"/>
      <c r="X88" s="9"/>
    </row>
    <row r="89" spans="3:24" s="1" customFormat="1" x14ac:dyDescent="0.2">
      <c r="J89"/>
      <c r="K89"/>
      <c r="L89"/>
      <c r="M89"/>
      <c r="N89"/>
      <c r="O89"/>
      <c r="P89" s="2"/>
      <c r="T89"/>
      <c r="U89"/>
      <c r="V89"/>
      <c r="X89"/>
    </row>
    <row r="90" spans="3:24" s="1" customFormat="1" ht="13.5" thickBot="1" x14ac:dyDescent="0.25">
      <c r="J90"/>
      <c r="K90"/>
      <c r="L90"/>
      <c r="M90"/>
      <c r="N90"/>
      <c r="O90"/>
      <c r="P90" s="2"/>
      <c r="T90"/>
      <c r="U90"/>
      <c r="V90"/>
      <c r="X90"/>
    </row>
    <row r="91" spans="3:24" s="1" customFormat="1" ht="36" customHeight="1" thickBot="1" x14ac:dyDescent="0.3">
      <c r="C91" s="382" t="str">
        <f>[4]Aug!C57</f>
        <v>Change-Overs</v>
      </c>
      <c r="D91" s="377" t="str">
        <f>[4]Aug!D57</f>
        <v>Actual Starts</v>
      </c>
      <c r="E91" s="378" t="str">
        <f>[4]Jul!$E$57</f>
        <v>1 Start</v>
      </c>
      <c r="J91"/>
      <c r="K91"/>
      <c r="L91"/>
      <c r="M91"/>
      <c r="N91"/>
      <c r="O91"/>
      <c r="P91" s="2"/>
      <c r="T91"/>
      <c r="U91"/>
      <c r="V91"/>
      <c r="X91"/>
    </row>
    <row r="92" spans="3:24" s="1" customFormat="1" ht="18.75" thickBot="1" x14ac:dyDescent="0.3">
      <c r="C92" s="379">
        <f>[4]Aug!C58</f>
        <v>15</v>
      </c>
      <c r="D92" s="380">
        <f>[4]Aug!D58</f>
        <v>33</v>
      </c>
      <c r="E92" s="381">
        <f>[4]Aug!E58</f>
        <v>20</v>
      </c>
      <c r="J92"/>
      <c r="K92"/>
      <c r="L92"/>
      <c r="M92"/>
      <c r="N92"/>
      <c r="O92"/>
      <c r="P92" s="2"/>
      <c r="T92"/>
      <c r="U92"/>
      <c r="V92"/>
      <c r="X92"/>
    </row>
    <row r="93" spans="3:24" s="1" customFormat="1" x14ac:dyDescent="0.2">
      <c r="C93" s="1114" t="s">
        <v>658</v>
      </c>
      <c r="D93" s="1116">
        <f>[4]Aug!$D$60</f>
        <v>1.65</v>
      </c>
      <c r="E93" s="1118">
        <f>[4]Aug!$E$60</f>
        <v>12.1275</v>
      </c>
      <c r="J93"/>
      <c r="K93"/>
      <c r="L93"/>
      <c r="M93"/>
      <c r="N93"/>
      <c r="O93"/>
      <c r="P93" s="2"/>
      <c r="T93"/>
      <c r="U93"/>
      <c r="V93"/>
      <c r="X93"/>
    </row>
    <row r="94" spans="3:24" s="1" customFormat="1" ht="13.5" thickBot="1" x14ac:dyDescent="0.25">
      <c r="C94" s="1115"/>
      <c r="D94" s="1117"/>
      <c r="E94" s="1119"/>
      <c r="J94"/>
      <c r="K94"/>
      <c r="L94"/>
      <c r="M94"/>
      <c r="N94"/>
      <c r="O94"/>
      <c r="P94" s="2"/>
      <c r="T94"/>
      <c r="U94"/>
      <c r="V94"/>
      <c r="X94"/>
    </row>
    <row r="95" spans="3:24" s="1" customFormat="1" x14ac:dyDescent="0.2">
      <c r="J95"/>
      <c r="K95"/>
      <c r="L95"/>
      <c r="M95"/>
      <c r="N95"/>
      <c r="O95"/>
      <c r="P95" s="2"/>
      <c r="T95"/>
      <c r="U95"/>
      <c r="V95"/>
      <c r="X95"/>
    </row>
    <row r="96" spans="3:24" s="1" customFormat="1" x14ac:dyDescent="0.2">
      <c r="J96"/>
      <c r="K96"/>
      <c r="L96"/>
      <c r="M96"/>
      <c r="N96"/>
      <c r="O96"/>
      <c r="P96" s="2"/>
      <c r="T96"/>
      <c r="U96"/>
      <c r="V96"/>
      <c r="X96"/>
    </row>
    <row r="97" spans="10:24" s="1" customFormat="1" x14ac:dyDescent="0.2">
      <c r="J97"/>
      <c r="K97"/>
      <c r="L97"/>
      <c r="M97"/>
      <c r="N97"/>
      <c r="O97"/>
      <c r="P97" s="2"/>
      <c r="T97"/>
      <c r="U97"/>
      <c r="V97"/>
      <c r="X97"/>
    </row>
    <row r="98" spans="10:24" s="1" customFormat="1" x14ac:dyDescent="0.2">
      <c r="J98"/>
      <c r="K98"/>
      <c r="L98"/>
      <c r="M98"/>
      <c r="N98"/>
      <c r="O98"/>
      <c r="P98" s="2"/>
      <c r="T98"/>
      <c r="U98"/>
      <c r="V98"/>
      <c r="X98"/>
    </row>
    <row r="99" spans="10:24" s="1" customFormat="1" x14ac:dyDescent="0.2">
      <c r="J99"/>
      <c r="K99"/>
      <c r="L99"/>
      <c r="M99"/>
      <c r="N99"/>
      <c r="O99"/>
      <c r="P99" s="2"/>
      <c r="T99"/>
      <c r="U99"/>
      <c r="V99"/>
      <c r="X99"/>
    </row>
    <row r="100" spans="10:24" s="1" customFormat="1" x14ac:dyDescent="0.2">
      <c r="J100"/>
      <c r="K100"/>
      <c r="L100"/>
      <c r="M100"/>
      <c r="N100"/>
      <c r="O100"/>
      <c r="P100" s="2"/>
      <c r="T100"/>
      <c r="U100"/>
      <c r="V100"/>
      <c r="X100"/>
    </row>
    <row r="101" spans="10:24" s="1" customFormat="1" x14ac:dyDescent="0.2">
      <c r="J101"/>
      <c r="K101"/>
      <c r="L101"/>
      <c r="M101"/>
      <c r="N101"/>
      <c r="O101"/>
      <c r="P101" s="2"/>
      <c r="T101"/>
      <c r="U101"/>
      <c r="V101"/>
      <c r="X101"/>
    </row>
    <row r="102" spans="10:24" s="1" customFormat="1" x14ac:dyDescent="0.2">
      <c r="J102"/>
      <c r="K102"/>
      <c r="L102"/>
      <c r="M102"/>
      <c r="N102"/>
      <c r="O102"/>
      <c r="P102" s="2"/>
      <c r="T102"/>
      <c r="U102"/>
      <c r="V102"/>
      <c r="X102"/>
    </row>
    <row r="103" spans="10:24" s="1" customFormat="1" x14ac:dyDescent="0.2">
      <c r="J103"/>
      <c r="K103"/>
      <c r="L103"/>
      <c r="M103"/>
      <c r="N103"/>
      <c r="O103"/>
      <c r="P103" s="2"/>
      <c r="T103"/>
      <c r="U103"/>
      <c r="V103"/>
      <c r="X103"/>
    </row>
    <row r="104" spans="10:24" s="1" customFormat="1" x14ac:dyDescent="0.2">
      <c r="J104"/>
      <c r="K104"/>
      <c r="L104"/>
      <c r="M104"/>
      <c r="N104"/>
      <c r="O104"/>
      <c r="P104" s="2"/>
      <c r="T104"/>
      <c r="U104"/>
      <c r="V104"/>
      <c r="X104"/>
    </row>
    <row r="105" spans="10:24" s="1" customFormat="1" x14ac:dyDescent="0.2">
      <c r="J105"/>
      <c r="K105"/>
      <c r="L105"/>
      <c r="M105"/>
      <c r="N105"/>
      <c r="O105"/>
      <c r="P105" s="2"/>
      <c r="T105"/>
      <c r="U105"/>
      <c r="V105"/>
      <c r="X105"/>
    </row>
    <row r="106" spans="10:24" s="1" customFormat="1" x14ac:dyDescent="0.2">
      <c r="J106"/>
      <c r="K106"/>
      <c r="L106"/>
      <c r="M106"/>
      <c r="N106"/>
      <c r="O106"/>
      <c r="P106" s="2"/>
      <c r="T106"/>
      <c r="U106"/>
      <c r="V106"/>
      <c r="X106"/>
    </row>
    <row r="107" spans="10:24" s="1" customFormat="1" x14ac:dyDescent="0.2">
      <c r="J107"/>
      <c r="K107"/>
      <c r="L107"/>
      <c r="M107"/>
      <c r="N107"/>
      <c r="O107"/>
      <c r="P107" s="2"/>
      <c r="T107"/>
      <c r="U107"/>
      <c r="V107"/>
      <c r="X107"/>
    </row>
    <row r="108" spans="10:24" s="1" customFormat="1" x14ac:dyDescent="0.2">
      <c r="J108"/>
      <c r="K108"/>
      <c r="L108"/>
      <c r="M108"/>
      <c r="N108"/>
      <c r="O108"/>
      <c r="P108" s="2"/>
      <c r="T108"/>
      <c r="U108"/>
      <c r="V108"/>
      <c r="X108"/>
    </row>
    <row r="109" spans="10:24" s="1" customFormat="1" x14ac:dyDescent="0.2">
      <c r="J109"/>
      <c r="K109"/>
      <c r="L109"/>
      <c r="M109"/>
      <c r="N109"/>
      <c r="O109"/>
      <c r="P109" s="2"/>
      <c r="T109"/>
      <c r="U109"/>
      <c r="V109"/>
      <c r="X109"/>
    </row>
    <row r="110" spans="10:24" s="1" customFormat="1" x14ac:dyDescent="0.2">
      <c r="J110"/>
      <c r="K110"/>
      <c r="L110"/>
      <c r="M110"/>
      <c r="N110"/>
      <c r="O110"/>
      <c r="P110" s="2"/>
      <c r="T110"/>
      <c r="U110"/>
      <c r="V110"/>
      <c r="X110"/>
    </row>
    <row r="111" spans="10:24" s="1" customFormat="1" x14ac:dyDescent="0.2">
      <c r="J111"/>
      <c r="K111"/>
      <c r="L111"/>
      <c r="M111"/>
      <c r="N111"/>
      <c r="O111"/>
      <c r="P111" s="2"/>
      <c r="T111"/>
      <c r="U111"/>
      <c r="V111"/>
      <c r="X111"/>
    </row>
    <row r="112" spans="10:24" s="1" customFormat="1" x14ac:dyDescent="0.2">
      <c r="J112"/>
      <c r="K112"/>
      <c r="L112"/>
      <c r="M112"/>
      <c r="N112"/>
      <c r="O112"/>
      <c r="P112" s="2"/>
      <c r="T112"/>
      <c r="U112"/>
      <c r="V112"/>
      <c r="X112"/>
    </row>
    <row r="113" spans="10:24" s="1" customFormat="1" x14ac:dyDescent="0.2">
      <c r="J113"/>
      <c r="K113"/>
      <c r="L113"/>
      <c r="M113"/>
      <c r="N113"/>
      <c r="O113"/>
      <c r="P113" s="2"/>
      <c r="T113"/>
      <c r="U113"/>
      <c r="V113"/>
      <c r="X113"/>
    </row>
    <row r="114" spans="10:24" s="1" customFormat="1" x14ac:dyDescent="0.2">
      <c r="J114"/>
      <c r="K114"/>
      <c r="L114"/>
      <c r="M114"/>
      <c r="N114"/>
      <c r="O114"/>
      <c r="P114" s="2"/>
      <c r="T114"/>
      <c r="U114"/>
      <c r="V114"/>
      <c r="X114"/>
    </row>
    <row r="115" spans="10:24" s="1" customFormat="1" x14ac:dyDescent="0.2">
      <c r="J115"/>
      <c r="K115"/>
      <c r="L115"/>
      <c r="M115"/>
      <c r="N115"/>
      <c r="O115"/>
      <c r="P115" s="2"/>
      <c r="T115"/>
      <c r="U115"/>
      <c r="V115"/>
      <c r="X115"/>
    </row>
    <row r="116" spans="10:24" s="1" customFormat="1" x14ac:dyDescent="0.2">
      <c r="J116"/>
      <c r="K116"/>
      <c r="L116"/>
      <c r="M116"/>
      <c r="N116"/>
      <c r="O116"/>
      <c r="P116" s="2"/>
      <c r="T116"/>
      <c r="U116"/>
      <c r="V116"/>
      <c r="X116"/>
    </row>
    <row r="117" spans="10:24" s="1" customFormat="1" x14ac:dyDescent="0.2">
      <c r="J117"/>
      <c r="K117"/>
      <c r="L117"/>
      <c r="M117"/>
      <c r="N117"/>
      <c r="O117"/>
      <c r="P117" s="2"/>
      <c r="T117"/>
      <c r="U117"/>
      <c r="V117"/>
      <c r="X117"/>
    </row>
    <row r="118" spans="10:24" s="1" customFormat="1" x14ac:dyDescent="0.2">
      <c r="J118"/>
      <c r="K118"/>
      <c r="L118"/>
      <c r="M118"/>
      <c r="N118"/>
      <c r="O118"/>
      <c r="P118" s="2"/>
      <c r="T118"/>
      <c r="U118"/>
      <c r="V118"/>
      <c r="X118"/>
    </row>
    <row r="119" spans="10:24" s="1" customFormat="1" x14ac:dyDescent="0.2">
      <c r="J119"/>
      <c r="K119"/>
      <c r="L119"/>
      <c r="M119"/>
      <c r="N119"/>
      <c r="O119"/>
      <c r="P119" s="2"/>
      <c r="T119"/>
      <c r="U119"/>
      <c r="V119"/>
      <c r="X119"/>
    </row>
    <row r="120" spans="10:24" s="1" customFormat="1" x14ac:dyDescent="0.2">
      <c r="J120"/>
      <c r="K120"/>
      <c r="L120"/>
      <c r="M120"/>
      <c r="N120"/>
      <c r="O120"/>
      <c r="P120" s="2"/>
      <c r="T120"/>
      <c r="U120"/>
      <c r="V120"/>
      <c r="X120"/>
    </row>
    <row r="121" spans="10:24" s="1" customFormat="1" x14ac:dyDescent="0.2">
      <c r="J121"/>
      <c r="K121"/>
      <c r="L121"/>
      <c r="M121"/>
      <c r="N121"/>
      <c r="O121"/>
      <c r="P121" s="2"/>
      <c r="T121"/>
      <c r="U121"/>
      <c r="V121"/>
      <c r="X121"/>
    </row>
    <row r="122" spans="10:24" s="1" customFormat="1" x14ac:dyDescent="0.2">
      <c r="J122"/>
      <c r="K122"/>
      <c r="L122"/>
      <c r="M122"/>
      <c r="N122"/>
      <c r="O122"/>
      <c r="P122" s="2"/>
      <c r="T122"/>
      <c r="U122"/>
      <c r="V122"/>
      <c r="X122"/>
    </row>
    <row r="123" spans="10:24" s="1" customFormat="1" x14ac:dyDescent="0.2">
      <c r="J123"/>
      <c r="K123"/>
      <c r="L123"/>
      <c r="M123"/>
      <c r="N123"/>
      <c r="O123"/>
      <c r="P123" s="2"/>
      <c r="T123"/>
      <c r="U123"/>
      <c r="V123"/>
      <c r="X123"/>
    </row>
    <row r="124" spans="10:24" s="1" customFormat="1" x14ac:dyDescent="0.2">
      <c r="J124"/>
      <c r="K124"/>
      <c r="L124"/>
      <c r="M124"/>
      <c r="N124"/>
      <c r="O124"/>
      <c r="P124" s="2"/>
      <c r="T124"/>
      <c r="U124"/>
      <c r="V124"/>
      <c r="X124"/>
    </row>
    <row r="125" spans="10:24" s="1" customFormat="1" x14ac:dyDescent="0.2">
      <c r="J125"/>
      <c r="K125"/>
      <c r="L125"/>
      <c r="M125"/>
      <c r="N125"/>
      <c r="O125"/>
      <c r="P125" s="2"/>
      <c r="T125"/>
      <c r="U125"/>
      <c r="V125"/>
      <c r="X125"/>
    </row>
    <row r="126" spans="10:24" s="1" customFormat="1" x14ac:dyDescent="0.2">
      <c r="J126"/>
      <c r="K126"/>
      <c r="L126"/>
      <c r="M126"/>
      <c r="N126"/>
      <c r="O126"/>
      <c r="P126" s="2"/>
      <c r="T126"/>
      <c r="U126"/>
      <c r="V126"/>
      <c r="X126"/>
    </row>
    <row r="127" spans="10:24" s="1" customFormat="1" x14ac:dyDescent="0.2">
      <c r="J127"/>
      <c r="K127"/>
      <c r="L127"/>
      <c r="M127"/>
      <c r="N127"/>
      <c r="O127"/>
      <c r="P127" s="2"/>
      <c r="T127"/>
      <c r="U127"/>
      <c r="V127"/>
      <c r="X127"/>
    </row>
    <row r="128" spans="10:24" s="1" customFormat="1" x14ac:dyDescent="0.2">
      <c r="J128"/>
      <c r="K128"/>
      <c r="L128"/>
      <c r="M128"/>
      <c r="N128"/>
      <c r="O128"/>
      <c r="P128" s="2"/>
      <c r="T128"/>
      <c r="U128"/>
      <c r="V128"/>
      <c r="X128"/>
    </row>
    <row r="129" spans="10:24" s="1" customFormat="1" x14ac:dyDescent="0.2">
      <c r="J129"/>
      <c r="K129"/>
      <c r="L129"/>
      <c r="M129"/>
      <c r="N129"/>
      <c r="O129"/>
      <c r="P129" s="2"/>
      <c r="T129"/>
      <c r="U129"/>
      <c r="V129"/>
      <c r="X129"/>
    </row>
    <row r="130" spans="10:24" s="1" customFormat="1" x14ac:dyDescent="0.2">
      <c r="J130"/>
      <c r="K130"/>
      <c r="L130"/>
      <c r="M130"/>
      <c r="N130"/>
      <c r="O130"/>
      <c r="P130" s="2"/>
      <c r="T130"/>
      <c r="U130"/>
      <c r="V130"/>
      <c r="X130"/>
    </row>
    <row r="131" spans="10:24" s="1" customFormat="1" x14ac:dyDescent="0.2">
      <c r="J131"/>
      <c r="K131"/>
      <c r="L131"/>
      <c r="M131"/>
      <c r="N131"/>
      <c r="O131"/>
      <c r="P131" s="2"/>
      <c r="T131"/>
      <c r="U131"/>
      <c r="V131"/>
      <c r="X131"/>
    </row>
    <row r="132" spans="10:24" s="1" customFormat="1" x14ac:dyDescent="0.2">
      <c r="J132"/>
      <c r="K132"/>
      <c r="L132"/>
      <c r="M132"/>
      <c r="N132"/>
      <c r="O132"/>
      <c r="P132" s="2"/>
      <c r="T132"/>
      <c r="U132"/>
      <c r="V132"/>
      <c r="X132"/>
    </row>
    <row r="133" spans="10:24" s="1" customFormat="1" x14ac:dyDescent="0.2">
      <c r="J133"/>
      <c r="K133"/>
      <c r="L133"/>
      <c r="M133"/>
      <c r="N133"/>
      <c r="O133"/>
      <c r="P133" s="2"/>
      <c r="T133"/>
      <c r="U133"/>
      <c r="V133"/>
      <c r="X133"/>
    </row>
    <row r="134" spans="10:24" s="1" customFormat="1" x14ac:dyDescent="0.2">
      <c r="J134"/>
      <c r="K134"/>
      <c r="L134"/>
      <c r="M134"/>
      <c r="N134"/>
      <c r="O134"/>
      <c r="P134" s="2"/>
      <c r="T134"/>
      <c r="U134"/>
      <c r="V134"/>
      <c r="X134"/>
    </row>
    <row r="135" spans="10:24" s="1" customFormat="1" x14ac:dyDescent="0.2">
      <c r="J135"/>
      <c r="K135"/>
      <c r="L135"/>
      <c r="M135"/>
      <c r="N135"/>
      <c r="O135"/>
      <c r="P135" s="2"/>
      <c r="T135"/>
      <c r="U135"/>
      <c r="V135"/>
      <c r="X135"/>
    </row>
    <row r="136" spans="10:24" s="1" customFormat="1" x14ac:dyDescent="0.2">
      <c r="J136"/>
      <c r="K136"/>
      <c r="L136"/>
      <c r="M136"/>
      <c r="N136"/>
      <c r="O136"/>
      <c r="P136" s="2"/>
      <c r="T136"/>
      <c r="U136"/>
      <c r="V136"/>
      <c r="X136"/>
    </row>
    <row r="137" spans="10:24" s="1" customFormat="1" x14ac:dyDescent="0.2">
      <c r="J137"/>
      <c r="K137"/>
      <c r="L137"/>
      <c r="M137"/>
      <c r="N137"/>
      <c r="O137"/>
      <c r="P137" s="2"/>
      <c r="T137"/>
      <c r="U137"/>
      <c r="V137"/>
      <c r="X137"/>
    </row>
    <row r="138" spans="10:24" s="1" customFormat="1" x14ac:dyDescent="0.2">
      <c r="J138"/>
      <c r="K138"/>
      <c r="L138"/>
      <c r="M138"/>
      <c r="N138"/>
      <c r="O138"/>
      <c r="P138" s="2"/>
      <c r="T138"/>
      <c r="U138"/>
      <c r="V138"/>
      <c r="X138"/>
    </row>
    <row r="139" spans="10:24" s="1" customFormat="1" x14ac:dyDescent="0.2">
      <c r="J139"/>
      <c r="K139"/>
      <c r="L139"/>
      <c r="M139"/>
      <c r="N139"/>
      <c r="O139"/>
      <c r="P139" s="2"/>
      <c r="T139"/>
      <c r="U139"/>
      <c r="V139"/>
      <c r="X139"/>
    </row>
    <row r="140" spans="10:24" s="1" customFormat="1" x14ac:dyDescent="0.2">
      <c r="J140"/>
      <c r="K140"/>
      <c r="L140"/>
      <c r="M140"/>
      <c r="N140"/>
      <c r="O140"/>
      <c r="P140" s="2"/>
      <c r="T140"/>
      <c r="U140"/>
      <c r="V140"/>
      <c r="X140"/>
    </row>
    <row r="141" spans="10:24" s="1" customFormat="1" x14ac:dyDescent="0.2">
      <c r="J141"/>
      <c r="K141"/>
      <c r="L141"/>
      <c r="M141"/>
      <c r="N141"/>
      <c r="O141"/>
      <c r="P141" s="2"/>
      <c r="T141"/>
      <c r="U141"/>
      <c r="V141"/>
      <c r="X141"/>
    </row>
    <row r="142" spans="10:24" s="1" customFormat="1" x14ac:dyDescent="0.2">
      <c r="J142"/>
      <c r="K142"/>
      <c r="L142"/>
      <c r="M142"/>
      <c r="N142"/>
      <c r="O142"/>
      <c r="P142" s="2"/>
      <c r="T142"/>
      <c r="U142"/>
      <c r="V142"/>
      <c r="X142"/>
    </row>
    <row r="143" spans="10:24" s="1" customFormat="1" x14ac:dyDescent="0.2">
      <c r="J143"/>
      <c r="K143"/>
      <c r="L143"/>
      <c r="M143"/>
      <c r="N143"/>
      <c r="O143"/>
      <c r="P143" s="2"/>
      <c r="T143"/>
      <c r="U143"/>
      <c r="V143"/>
      <c r="X143"/>
    </row>
    <row r="144" spans="10:24" s="1" customFormat="1" x14ac:dyDescent="0.2">
      <c r="J144"/>
      <c r="K144"/>
      <c r="L144"/>
      <c r="M144"/>
      <c r="N144"/>
      <c r="O144"/>
      <c r="P144" s="2"/>
      <c r="T144"/>
      <c r="U144"/>
      <c r="V144"/>
      <c r="X144"/>
    </row>
    <row r="145" spans="10:24" s="1" customFormat="1" x14ac:dyDescent="0.2">
      <c r="J145"/>
      <c r="K145"/>
      <c r="L145"/>
      <c r="M145"/>
      <c r="N145"/>
      <c r="O145"/>
      <c r="P145" s="2"/>
      <c r="T145"/>
      <c r="U145"/>
      <c r="V145"/>
      <c r="X145"/>
    </row>
    <row r="146" spans="10:24" s="1" customFormat="1" x14ac:dyDescent="0.2">
      <c r="J146"/>
      <c r="K146"/>
      <c r="L146"/>
      <c r="M146"/>
      <c r="N146"/>
      <c r="O146"/>
      <c r="P146" s="2"/>
      <c r="T146"/>
      <c r="U146"/>
      <c r="V146"/>
      <c r="X146"/>
    </row>
    <row r="147" spans="10:24" s="1" customFormat="1" x14ac:dyDescent="0.2">
      <c r="J147"/>
      <c r="K147"/>
      <c r="L147"/>
      <c r="M147"/>
      <c r="N147"/>
      <c r="O147"/>
      <c r="P147" s="2"/>
      <c r="T147"/>
      <c r="U147"/>
      <c r="V147"/>
      <c r="X147"/>
    </row>
    <row r="148" spans="10:24" s="1" customFormat="1" x14ac:dyDescent="0.2">
      <c r="J148"/>
      <c r="K148"/>
      <c r="L148"/>
      <c r="M148"/>
      <c r="N148"/>
      <c r="O148"/>
      <c r="P148" s="2"/>
      <c r="T148"/>
      <c r="U148"/>
      <c r="V148"/>
      <c r="X148"/>
    </row>
    <row r="149" spans="10:24" s="1" customFormat="1" x14ac:dyDescent="0.2">
      <c r="J149"/>
      <c r="K149"/>
      <c r="L149"/>
      <c r="M149"/>
      <c r="N149"/>
      <c r="O149"/>
      <c r="P149" s="2"/>
      <c r="T149"/>
      <c r="U149"/>
      <c r="V149"/>
      <c r="X149"/>
    </row>
    <row r="150" spans="10:24" s="1" customFormat="1" x14ac:dyDescent="0.2">
      <c r="J150"/>
      <c r="K150"/>
      <c r="L150"/>
      <c r="M150"/>
      <c r="N150"/>
      <c r="O150"/>
      <c r="P150" s="2"/>
      <c r="T150"/>
      <c r="U150"/>
      <c r="V150"/>
      <c r="X150"/>
    </row>
    <row r="151" spans="10:24" s="1" customFormat="1" x14ac:dyDescent="0.2">
      <c r="J151"/>
      <c r="K151"/>
      <c r="L151"/>
      <c r="M151"/>
      <c r="N151"/>
      <c r="O151"/>
      <c r="P151" s="2"/>
      <c r="T151"/>
      <c r="U151"/>
      <c r="V151"/>
      <c r="X151"/>
    </row>
    <row r="152" spans="10:24" s="1" customFormat="1" x14ac:dyDescent="0.2">
      <c r="J152"/>
      <c r="K152"/>
      <c r="L152"/>
      <c r="M152"/>
      <c r="N152"/>
      <c r="O152"/>
      <c r="P152" s="2"/>
      <c r="T152"/>
      <c r="U152"/>
      <c r="V152"/>
      <c r="X152"/>
    </row>
    <row r="153" spans="10:24" s="1" customFormat="1" x14ac:dyDescent="0.2">
      <c r="J153"/>
      <c r="K153"/>
      <c r="L153"/>
      <c r="M153"/>
      <c r="N153"/>
      <c r="O153"/>
      <c r="P153" s="2"/>
      <c r="T153"/>
      <c r="U153"/>
      <c r="V153"/>
      <c r="X153"/>
    </row>
    <row r="154" spans="10:24" s="1" customFormat="1" x14ac:dyDescent="0.2">
      <c r="J154"/>
      <c r="K154"/>
      <c r="L154"/>
      <c r="M154"/>
      <c r="N154"/>
      <c r="O154"/>
      <c r="P154" s="2"/>
      <c r="T154"/>
      <c r="U154"/>
      <c r="V154"/>
      <c r="X154"/>
    </row>
    <row r="155" spans="10:24" s="1" customFormat="1" x14ac:dyDescent="0.2">
      <c r="J155"/>
      <c r="K155"/>
      <c r="L155"/>
      <c r="M155"/>
      <c r="N155"/>
      <c r="O155"/>
      <c r="P155" s="2"/>
      <c r="T155"/>
      <c r="U155"/>
      <c r="V155"/>
      <c r="X155"/>
    </row>
    <row r="156" spans="10:24" s="1" customFormat="1" x14ac:dyDescent="0.2">
      <c r="J156"/>
      <c r="K156"/>
      <c r="L156"/>
      <c r="M156"/>
      <c r="N156"/>
      <c r="O156"/>
      <c r="P156" s="2"/>
      <c r="T156"/>
      <c r="U156"/>
      <c r="V156"/>
      <c r="X156"/>
    </row>
    <row r="157" spans="10:24" s="1" customFormat="1" x14ac:dyDescent="0.2">
      <c r="J157"/>
      <c r="K157"/>
      <c r="L157"/>
      <c r="M157"/>
      <c r="N157"/>
      <c r="O157"/>
      <c r="P157" s="2"/>
      <c r="T157"/>
      <c r="U157"/>
      <c r="V157"/>
      <c r="X157"/>
    </row>
    <row r="158" spans="10:24" s="1" customFormat="1" x14ac:dyDescent="0.2">
      <c r="J158"/>
      <c r="K158"/>
      <c r="L158"/>
      <c r="M158"/>
      <c r="N158"/>
      <c r="O158"/>
      <c r="P158" s="2"/>
      <c r="T158"/>
      <c r="U158"/>
      <c r="V158"/>
      <c r="X158"/>
    </row>
    <row r="159" spans="10:24" s="1" customFormat="1" x14ac:dyDescent="0.2">
      <c r="J159"/>
      <c r="K159"/>
      <c r="L159"/>
      <c r="M159"/>
      <c r="N159"/>
      <c r="O159"/>
      <c r="P159" s="2"/>
      <c r="T159"/>
      <c r="U159"/>
      <c r="V159"/>
      <c r="X159"/>
    </row>
    <row r="160" spans="10:24" s="1" customFormat="1" x14ac:dyDescent="0.2">
      <c r="J160"/>
      <c r="K160"/>
      <c r="L160"/>
      <c r="M160"/>
      <c r="N160"/>
      <c r="O160"/>
      <c r="P160" s="2"/>
      <c r="T160"/>
      <c r="U160"/>
      <c r="V160"/>
      <c r="X160"/>
    </row>
    <row r="161" spans="10:24" s="1" customFormat="1" x14ac:dyDescent="0.2">
      <c r="J161"/>
      <c r="K161"/>
      <c r="L161"/>
      <c r="M161"/>
      <c r="N161"/>
      <c r="O161"/>
      <c r="P161" s="2"/>
      <c r="T161"/>
      <c r="U161"/>
      <c r="V161"/>
      <c r="X161"/>
    </row>
    <row r="162" spans="10:24" s="1" customFormat="1" x14ac:dyDescent="0.2">
      <c r="J162"/>
      <c r="K162"/>
      <c r="L162"/>
      <c r="M162"/>
      <c r="N162"/>
      <c r="O162"/>
      <c r="P162" s="2"/>
      <c r="T162"/>
      <c r="U162"/>
      <c r="V162"/>
      <c r="X162"/>
    </row>
    <row r="163" spans="10:24" s="1" customFormat="1" x14ac:dyDescent="0.2">
      <c r="J163"/>
      <c r="K163"/>
      <c r="L163"/>
      <c r="M163"/>
      <c r="N163"/>
      <c r="O163"/>
      <c r="P163" s="2"/>
      <c r="T163"/>
      <c r="U163"/>
      <c r="V163"/>
      <c r="X163"/>
    </row>
    <row r="164" spans="10:24" s="1" customFormat="1" x14ac:dyDescent="0.2">
      <c r="J164"/>
      <c r="K164"/>
      <c r="L164"/>
      <c r="M164"/>
      <c r="N164"/>
      <c r="O164"/>
      <c r="P164" s="2"/>
      <c r="T164"/>
      <c r="U164"/>
      <c r="V164"/>
      <c r="X164"/>
    </row>
    <row r="165" spans="10:24" s="1" customFormat="1" x14ac:dyDescent="0.2">
      <c r="J165"/>
      <c r="K165"/>
      <c r="L165"/>
      <c r="M165"/>
      <c r="N165"/>
      <c r="O165"/>
      <c r="P165" s="2"/>
      <c r="T165"/>
      <c r="U165"/>
      <c r="V165"/>
      <c r="X165"/>
    </row>
    <row r="166" spans="10:24" s="1" customFormat="1" x14ac:dyDescent="0.2">
      <c r="J166"/>
      <c r="K166"/>
      <c r="L166"/>
      <c r="M166"/>
      <c r="N166"/>
      <c r="O166"/>
      <c r="P166" s="2"/>
      <c r="T166"/>
      <c r="U166"/>
      <c r="V166"/>
      <c r="X166"/>
    </row>
    <row r="167" spans="10:24" s="1" customFormat="1" x14ac:dyDescent="0.2">
      <c r="J167"/>
      <c r="K167"/>
      <c r="L167"/>
      <c r="M167"/>
      <c r="N167"/>
      <c r="O167"/>
      <c r="P167" s="2"/>
      <c r="T167"/>
      <c r="U167"/>
      <c r="V167"/>
      <c r="X167"/>
    </row>
    <row r="168" spans="10:24" s="1" customFormat="1" x14ac:dyDescent="0.2">
      <c r="J168"/>
      <c r="K168"/>
      <c r="L168"/>
      <c r="M168"/>
      <c r="N168"/>
      <c r="O168"/>
      <c r="P168" s="2"/>
      <c r="T168"/>
      <c r="U168"/>
      <c r="V168"/>
      <c r="X168"/>
    </row>
    <row r="169" spans="10:24" s="1" customFormat="1" x14ac:dyDescent="0.2">
      <c r="J169"/>
      <c r="K169"/>
      <c r="L169"/>
      <c r="M169"/>
      <c r="N169"/>
      <c r="O169"/>
      <c r="P169" s="2"/>
      <c r="T169"/>
      <c r="U169"/>
      <c r="V169"/>
      <c r="X169"/>
    </row>
    <row r="170" spans="10:24" s="1" customFormat="1" x14ac:dyDescent="0.2">
      <c r="J170"/>
      <c r="K170"/>
      <c r="L170"/>
      <c r="M170"/>
      <c r="N170"/>
      <c r="O170"/>
      <c r="P170" s="2"/>
      <c r="T170"/>
      <c r="U170"/>
      <c r="V170"/>
      <c r="X170"/>
    </row>
    <row r="171" spans="10:24" s="1" customFormat="1" x14ac:dyDescent="0.2">
      <c r="J171"/>
      <c r="K171"/>
      <c r="L171"/>
      <c r="M171"/>
      <c r="N171"/>
      <c r="O171"/>
      <c r="P171" s="2"/>
      <c r="T171"/>
      <c r="U171"/>
      <c r="V171"/>
      <c r="X171"/>
    </row>
    <row r="172" spans="10:24" s="1" customFormat="1" x14ac:dyDescent="0.2">
      <c r="J172"/>
      <c r="K172"/>
      <c r="L172"/>
      <c r="M172"/>
      <c r="N172"/>
      <c r="O172"/>
      <c r="P172" s="2"/>
      <c r="T172"/>
      <c r="U172"/>
      <c r="V172"/>
      <c r="X172"/>
    </row>
    <row r="173" spans="10:24" s="1" customFormat="1" x14ac:dyDescent="0.2">
      <c r="J173"/>
      <c r="K173"/>
      <c r="L173"/>
      <c r="M173"/>
      <c r="N173"/>
      <c r="O173"/>
      <c r="P173" s="2"/>
      <c r="T173"/>
      <c r="U173"/>
      <c r="V173"/>
      <c r="X173"/>
    </row>
    <row r="174" spans="10:24" s="1" customFormat="1" x14ac:dyDescent="0.2">
      <c r="J174"/>
      <c r="K174"/>
      <c r="L174"/>
      <c r="M174"/>
      <c r="N174"/>
      <c r="O174"/>
      <c r="P174" s="2"/>
      <c r="T174"/>
      <c r="U174"/>
      <c r="V174"/>
      <c r="X174"/>
    </row>
    <row r="175" spans="10:24" s="1" customFormat="1" x14ac:dyDescent="0.2">
      <c r="J175"/>
      <c r="K175"/>
      <c r="L175"/>
      <c r="M175"/>
      <c r="N175"/>
      <c r="O175"/>
      <c r="P175" s="2"/>
      <c r="T175"/>
      <c r="U175"/>
      <c r="V175"/>
      <c r="X175"/>
    </row>
    <row r="176" spans="10:24" s="1" customFormat="1" x14ac:dyDescent="0.2">
      <c r="J176"/>
      <c r="K176"/>
      <c r="L176"/>
      <c r="M176"/>
      <c r="N176"/>
      <c r="O176"/>
      <c r="P176" s="2"/>
      <c r="T176"/>
      <c r="U176"/>
      <c r="V176"/>
      <c r="X176"/>
    </row>
    <row r="177" spans="10:24" s="1" customFormat="1" x14ac:dyDescent="0.2">
      <c r="J177"/>
      <c r="K177"/>
      <c r="L177"/>
      <c r="M177"/>
      <c r="N177"/>
      <c r="O177"/>
      <c r="P177" s="2"/>
      <c r="T177"/>
      <c r="U177"/>
      <c r="V177"/>
      <c r="X177"/>
    </row>
    <row r="178" spans="10:24" s="1" customFormat="1" x14ac:dyDescent="0.2">
      <c r="J178"/>
      <c r="K178"/>
      <c r="L178"/>
      <c r="M178"/>
      <c r="N178"/>
      <c r="O178"/>
      <c r="P178" s="2"/>
      <c r="T178"/>
      <c r="U178"/>
      <c r="V178"/>
      <c r="X178"/>
    </row>
    <row r="179" spans="10:24" s="1" customFormat="1" x14ac:dyDescent="0.2">
      <c r="J179"/>
      <c r="K179"/>
      <c r="L179"/>
      <c r="M179"/>
      <c r="N179"/>
      <c r="O179"/>
      <c r="P179" s="2"/>
      <c r="T179"/>
      <c r="U179"/>
      <c r="V179"/>
      <c r="X179"/>
    </row>
    <row r="180" spans="10:24" s="1" customFormat="1" x14ac:dyDescent="0.2">
      <c r="J180"/>
      <c r="K180"/>
      <c r="L180"/>
      <c r="M180"/>
      <c r="N180"/>
      <c r="O180"/>
      <c r="P180" s="2"/>
      <c r="T180"/>
      <c r="U180"/>
      <c r="V180"/>
      <c r="X180"/>
    </row>
    <row r="181" spans="10:24" s="1" customFormat="1" x14ac:dyDescent="0.2">
      <c r="J181"/>
      <c r="K181"/>
      <c r="L181"/>
      <c r="M181"/>
      <c r="N181"/>
      <c r="O181"/>
      <c r="P181" s="2"/>
      <c r="T181"/>
      <c r="U181"/>
      <c r="V181"/>
      <c r="X181"/>
    </row>
    <row r="182" spans="10:24" s="1" customFormat="1" x14ac:dyDescent="0.2">
      <c r="J182"/>
      <c r="K182"/>
      <c r="L182"/>
      <c r="M182"/>
      <c r="N182"/>
      <c r="O182"/>
      <c r="P182" s="2"/>
      <c r="T182"/>
      <c r="U182"/>
      <c r="V182"/>
      <c r="X182"/>
    </row>
    <row r="183" spans="10:24" s="1" customFormat="1" x14ac:dyDescent="0.2">
      <c r="J183"/>
      <c r="K183"/>
      <c r="L183"/>
      <c r="M183"/>
      <c r="N183"/>
      <c r="O183"/>
      <c r="P183" s="2"/>
      <c r="T183"/>
      <c r="U183"/>
      <c r="V183"/>
      <c r="X183"/>
    </row>
    <row r="184" spans="10:24" s="1" customFormat="1" x14ac:dyDescent="0.2">
      <c r="J184"/>
      <c r="K184"/>
      <c r="L184"/>
      <c r="M184"/>
      <c r="N184"/>
      <c r="O184"/>
      <c r="P184" s="2"/>
      <c r="T184"/>
      <c r="U184"/>
      <c r="V184"/>
      <c r="X184"/>
    </row>
    <row r="185" spans="10:24" s="1" customFormat="1" x14ac:dyDescent="0.2">
      <c r="J185"/>
      <c r="K185"/>
      <c r="L185"/>
      <c r="M185"/>
      <c r="N185"/>
      <c r="O185"/>
      <c r="P185" s="2"/>
      <c r="T185"/>
      <c r="U185"/>
      <c r="V185"/>
      <c r="X185"/>
    </row>
    <row r="186" spans="10:24" s="1" customFormat="1" x14ac:dyDescent="0.2">
      <c r="J186"/>
      <c r="K186"/>
      <c r="L186"/>
      <c r="M186"/>
      <c r="N186"/>
      <c r="O186"/>
      <c r="P186" s="2"/>
      <c r="T186"/>
      <c r="U186"/>
      <c r="V186"/>
      <c r="X186"/>
    </row>
    <row r="187" spans="10:24" s="1" customFormat="1" x14ac:dyDescent="0.2">
      <c r="J187"/>
      <c r="K187"/>
      <c r="L187"/>
      <c r="M187"/>
      <c r="N187"/>
      <c r="O187"/>
      <c r="P187" s="2"/>
      <c r="T187"/>
      <c r="U187"/>
      <c r="V187"/>
      <c r="X187"/>
    </row>
    <row r="188" spans="10:24" s="1" customFormat="1" x14ac:dyDescent="0.2">
      <c r="J188"/>
      <c r="K188"/>
      <c r="L188"/>
      <c r="M188"/>
      <c r="N188"/>
      <c r="O188"/>
      <c r="P188" s="2"/>
      <c r="T188"/>
      <c r="U188"/>
      <c r="V188"/>
      <c r="X188"/>
    </row>
    <row r="189" spans="10:24" s="1" customFormat="1" x14ac:dyDescent="0.2">
      <c r="J189"/>
      <c r="K189"/>
      <c r="L189"/>
      <c r="M189"/>
      <c r="N189"/>
      <c r="O189"/>
      <c r="P189" s="2"/>
      <c r="T189"/>
      <c r="U189"/>
      <c r="V189"/>
      <c r="X189"/>
    </row>
    <row r="190" spans="10:24" s="1" customFormat="1" x14ac:dyDescent="0.2">
      <c r="J190"/>
      <c r="K190"/>
      <c r="L190"/>
      <c r="M190"/>
      <c r="N190"/>
      <c r="O190"/>
      <c r="P190" s="2"/>
      <c r="T190"/>
      <c r="U190"/>
      <c r="V190"/>
      <c r="X190"/>
    </row>
    <row r="191" spans="10:24" s="1" customFormat="1" x14ac:dyDescent="0.2">
      <c r="J191"/>
      <c r="K191"/>
      <c r="L191"/>
      <c r="M191"/>
      <c r="N191"/>
      <c r="O191"/>
      <c r="P191" s="2"/>
      <c r="T191"/>
      <c r="U191"/>
      <c r="V191"/>
      <c r="X191"/>
    </row>
    <row r="192" spans="10:24" s="1" customFormat="1" x14ac:dyDescent="0.2">
      <c r="J192"/>
      <c r="K192"/>
      <c r="L192"/>
      <c r="M192"/>
      <c r="N192"/>
      <c r="O192"/>
      <c r="P192" s="2"/>
      <c r="T192"/>
      <c r="U192"/>
      <c r="V192"/>
      <c r="X192"/>
    </row>
    <row r="193" spans="10:24" s="1" customFormat="1" x14ac:dyDescent="0.2">
      <c r="J193"/>
      <c r="K193"/>
      <c r="L193"/>
      <c r="M193"/>
      <c r="N193"/>
      <c r="O193"/>
      <c r="P193" s="2"/>
      <c r="T193"/>
      <c r="U193"/>
      <c r="V193"/>
      <c r="X193"/>
    </row>
    <row r="194" spans="10:24" s="1" customFormat="1" x14ac:dyDescent="0.2">
      <c r="J194"/>
      <c r="K194"/>
      <c r="L194"/>
      <c r="M194"/>
      <c r="N194"/>
      <c r="O194"/>
      <c r="P194" s="2"/>
      <c r="T194"/>
      <c r="U194"/>
      <c r="V194"/>
      <c r="X194"/>
    </row>
    <row r="195" spans="10:24" s="1" customFormat="1" x14ac:dyDescent="0.2">
      <c r="J195"/>
      <c r="K195"/>
      <c r="L195"/>
      <c r="M195"/>
      <c r="N195"/>
      <c r="O195"/>
      <c r="P195" s="2"/>
      <c r="T195"/>
      <c r="U195"/>
      <c r="V195"/>
      <c r="X195"/>
    </row>
    <row r="196" spans="10:24" s="1" customFormat="1" x14ac:dyDescent="0.2">
      <c r="J196"/>
      <c r="K196"/>
      <c r="L196"/>
      <c r="M196"/>
      <c r="N196"/>
      <c r="O196"/>
      <c r="P196" s="2"/>
      <c r="T196"/>
      <c r="U196"/>
      <c r="V196"/>
      <c r="X196"/>
    </row>
    <row r="197" spans="10:24" s="1" customFormat="1" x14ac:dyDescent="0.2">
      <c r="J197"/>
      <c r="K197"/>
      <c r="L197"/>
      <c r="M197"/>
      <c r="N197"/>
      <c r="O197"/>
      <c r="P197" s="2"/>
      <c r="T197"/>
      <c r="U197"/>
      <c r="V197"/>
      <c r="X197"/>
    </row>
    <row r="198" spans="10:24" s="1" customFormat="1" x14ac:dyDescent="0.2">
      <c r="J198"/>
      <c r="K198"/>
      <c r="L198"/>
      <c r="M198"/>
      <c r="N198"/>
      <c r="O198"/>
      <c r="P198" s="2"/>
      <c r="T198"/>
      <c r="U198"/>
      <c r="V198"/>
      <c r="X198"/>
    </row>
    <row r="199" spans="10:24" s="1" customFormat="1" x14ac:dyDescent="0.2">
      <c r="J199"/>
      <c r="K199"/>
      <c r="L199"/>
      <c r="M199"/>
      <c r="N199"/>
      <c r="O199"/>
      <c r="P199" s="2"/>
      <c r="T199"/>
      <c r="U199"/>
      <c r="V199"/>
      <c r="X199"/>
    </row>
    <row r="200" spans="10:24" s="1" customFormat="1" x14ac:dyDescent="0.2">
      <c r="J200"/>
      <c r="K200"/>
      <c r="L200"/>
      <c r="M200"/>
      <c r="N200"/>
      <c r="O200"/>
      <c r="P200" s="2"/>
      <c r="T200"/>
      <c r="U200"/>
      <c r="V200"/>
      <c r="X200"/>
    </row>
    <row r="201" spans="10:24" s="1" customFormat="1" x14ac:dyDescent="0.2">
      <c r="J201"/>
      <c r="K201"/>
      <c r="L201"/>
      <c r="M201"/>
      <c r="N201"/>
      <c r="O201"/>
      <c r="P201" s="2"/>
      <c r="T201"/>
      <c r="U201"/>
      <c r="V201"/>
      <c r="X201"/>
    </row>
    <row r="202" spans="10:24" s="1" customFormat="1" x14ac:dyDescent="0.2">
      <c r="J202"/>
      <c r="K202"/>
      <c r="L202"/>
      <c r="M202"/>
      <c r="N202"/>
      <c r="O202"/>
      <c r="P202" s="2"/>
      <c r="T202"/>
      <c r="U202"/>
      <c r="V202"/>
      <c r="X202"/>
    </row>
    <row r="203" spans="10:24" s="1" customFormat="1" x14ac:dyDescent="0.2">
      <c r="J203"/>
      <c r="K203"/>
      <c r="L203"/>
      <c r="M203"/>
      <c r="N203"/>
      <c r="O203"/>
      <c r="P203" s="2"/>
      <c r="T203"/>
      <c r="U203"/>
      <c r="V203"/>
      <c r="X203"/>
    </row>
    <row r="204" spans="10:24" s="1" customFormat="1" x14ac:dyDescent="0.2">
      <c r="J204"/>
      <c r="K204"/>
      <c r="L204"/>
      <c r="M204"/>
      <c r="N204"/>
      <c r="O204"/>
      <c r="P204" s="2"/>
      <c r="T204"/>
      <c r="U204"/>
      <c r="V204"/>
      <c r="X204"/>
    </row>
    <row r="205" spans="10:24" s="1" customFormat="1" x14ac:dyDescent="0.2">
      <c r="J205"/>
      <c r="K205"/>
      <c r="L205"/>
      <c r="M205"/>
      <c r="N205"/>
      <c r="O205"/>
      <c r="P205" s="2"/>
      <c r="T205"/>
      <c r="U205"/>
      <c r="V205"/>
      <c r="X205"/>
    </row>
    <row r="206" spans="10:24" s="1" customFormat="1" x14ac:dyDescent="0.2">
      <c r="J206"/>
      <c r="K206"/>
      <c r="L206"/>
      <c r="M206"/>
      <c r="N206"/>
      <c r="O206"/>
      <c r="P206" s="2"/>
      <c r="T206"/>
      <c r="U206"/>
      <c r="V206"/>
      <c r="X206"/>
    </row>
    <row r="207" spans="10:24" s="1" customFormat="1" x14ac:dyDescent="0.2">
      <c r="J207"/>
      <c r="K207"/>
      <c r="L207"/>
      <c r="M207"/>
      <c r="N207"/>
      <c r="O207"/>
      <c r="P207" s="2"/>
      <c r="T207"/>
      <c r="U207"/>
      <c r="V207"/>
      <c r="X207"/>
    </row>
    <row r="208" spans="10:24" s="1" customFormat="1" x14ac:dyDescent="0.2">
      <c r="J208"/>
      <c r="K208"/>
      <c r="L208"/>
      <c r="M208"/>
      <c r="N208"/>
      <c r="O208"/>
      <c r="P208" s="2"/>
      <c r="T208"/>
      <c r="U208"/>
      <c r="V208"/>
      <c r="X208"/>
    </row>
    <row r="209" spans="10:24" s="1" customFormat="1" x14ac:dyDescent="0.2">
      <c r="J209"/>
      <c r="K209"/>
      <c r="L209"/>
      <c r="M209"/>
      <c r="N209"/>
      <c r="O209"/>
      <c r="P209" s="2"/>
      <c r="T209"/>
      <c r="U209"/>
      <c r="V209"/>
      <c r="X209"/>
    </row>
    <row r="210" spans="10:24" s="1" customFormat="1" x14ac:dyDescent="0.2">
      <c r="J210"/>
      <c r="K210"/>
      <c r="L210"/>
      <c r="M210"/>
      <c r="N210"/>
      <c r="O210"/>
      <c r="P210" s="2"/>
      <c r="T210"/>
      <c r="U210"/>
      <c r="V210"/>
      <c r="X210"/>
    </row>
    <row r="211" spans="10:24" s="1" customFormat="1" x14ac:dyDescent="0.2">
      <c r="J211"/>
      <c r="K211"/>
      <c r="L211"/>
      <c r="M211"/>
      <c r="N211"/>
      <c r="O211"/>
      <c r="P211" s="2"/>
      <c r="T211"/>
      <c r="U211"/>
      <c r="V211"/>
      <c r="X211"/>
    </row>
    <row r="212" spans="10:24" s="1" customFormat="1" x14ac:dyDescent="0.2">
      <c r="J212"/>
      <c r="K212"/>
      <c r="L212"/>
      <c r="M212"/>
      <c r="N212"/>
      <c r="O212"/>
      <c r="P212" s="2"/>
      <c r="T212"/>
      <c r="U212"/>
      <c r="V212"/>
      <c r="X212"/>
    </row>
    <row r="213" spans="10:24" s="1" customFormat="1" x14ac:dyDescent="0.2">
      <c r="J213"/>
      <c r="K213"/>
      <c r="L213"/>
      <c r="M213"/>
      <c r="N213"/>
      <c r="O213"/>
      <c r="P213" s="2"/>
      <c r="T213"/>
      <c r="U213"/>
      <c r="V213"/>
      <c r="X213"/>
    </row>
    <row r="214" spans="10:24" s="1" customFormat="1" x14ac:dyDescent="0.2">
      <c r="J214"/>
      <c r="K214"/>
      <c r="L214"/>
      <c r="M214"/>
      <c r="N214"/>
      <c r="O214"/>
      <c r="P214" s="2"/>
      <c r="T214"/>
      <c r="U214"/>
      <c r="V214"/>
      <c r="X214"/>
    </row>
    <row r="215" spans="10:24" s="1" customFormat="1" x14ac:dyDescent="0.2">
      <c r="J215"/>
      <c r="K215"/>
      <c r="L215"/>
      <c r="M215"/>
      <c r="N215"/>
      <c r="O215"/>
      <c r="P215" s="2"/>
      <c r="T215"/>
      <c r="U215"/>
      <c r="V215"/>
      <c r="X215"/>
    </row>
    <row r="216" spans="10:24" s="1" customFormat="1" x14ac:dyDescent="0.2">
      <c r="J216"/>
      <c r="K216"/>
      <c r="L216"/>
      <c r="M216"/>
      <c r="N216"/>
      <c r="O216"/>
      <c r="P216" s="2"/>
      <c r="T216"/>
      <c r="U216"/>
      <c r="V216"/>
      <c r="X216"/>
    </row>
    <row r="217" spans="10:24" s="1" customFormat="1" x14ac:dyDescent="0.2">
      <c r="J217"/>
      <c r="K217"/>
      <c r="L217"/>
      <c r="M217"/>
      <c r="N217"/>
      <c r="O217"/>
      <c r="P217" s="2"/>
      <c r="T217"/>
      <c r="U217"/>
      <c r="V217"/>
      <c r="X217"/>
    </row>
    <row r="218" spans="10:24" s="1" customFormat="1" x14ac:dyDescent="0.2">
      <c r="J218"/>
      <c r="K218"/>
      <c r="L218"/>
      <c r="M218"/>
      <c r="N218"/>
      <c r="O218"/>
      <c r="P218" s="2"/>
      <c r="T218"/>
      <c r="U218"/>
      <c r="V218"/>
      <c r="X218"/>
    </row>
    <row r="219" spans="10:24" s="1" customFormat="1" x14ac:dyDescent="0.2">
      <c r="J219"/>
      <c r="K219"/>
      <c r="L219"/>
      <c r="M219"/>
      <c r="N219"/>
      <c r="O219"/>
      <c r="P219" s="2"/>
      <c r="T219"/>
      <c r="U219"/>
      <c r="V219"/>
      <c r="X219"/>
    </row>
    <row r="220" spans="10:24" s="1" customFormat="1" x14ac:dyDescent="0.2">
      <c r="J220"/>
      <c r="K220"/>
      <c r="L220"/>
      <c r="M220"/>
      <c r="N220"/>
      <c r="O220"/>
      <c r="P220" s="2"/>
      <c r="T220"/>
      <c r="U220"/>
      <c r="V220"/>
      <c r="X220"/>
    </row>
    <row r="221" spans="10:24" s="1" customFormat="1" x14ac:dyDescent="0.2">
      <c r="J221"/>
      <c r="K221"/>
      <c r="L221"/>
      <c r="M221"/>
      <c r="N221"/>
      <c r="O221"/>
      <c r="P221" s="2"/>
      <c r="T221"/>
      <c r="U221"/>
      <c r="V221"/>
      <c r="X221"/>
    </row>
    <row r="222" spans="10:24" s="1" customFormat="1" x14ac:dyDescent="0.2">
      <c r="J222"/>
      <c r="K222"/>
      <c r="L222"/>
      <c r="M222"/>
      <c r="N222"/>
      <c r="O222"/>
      <c r="P222" s="2"/>
      <c r="T222"/>
      <c r="U222"/>
      <c r="V222"/>
      <c r="X222"/>
    </row>
    <row r="223" spans="10:24" s="1" customFormat="1" x14ac:dyDescent="0.2">
      <c r="J223"/>
      <c r="K223"/>
      <c r="L223"/>
      <c r="M223"/>
      <c r="N223"/>
      <c r="O223"/>
      <c r="P223" s="2"/>
      <c r="T223"/>
      <c r="U223"/>
      <c r="V223"/>
      <c r="X223"/>
    </row>
    <row r="224" spans="10:24" s="1" customFormat="1" x14ac:dyDescent="0.2">
      <c r="J224"/>
      <c r="K224"/>
      <c r="L224"/>
      <c r="M224"/>
      <c r="N224"/>
      <c r="O224"/>
      <c r="P224" s="2"/>
      <c r="T224"/>
      <c r="U224"/>
      <c r="V224"/>
      <c r="X224"/>
    </row>
    <row r="225" spans="10:24" s="1" customFormat="1" x14ac:dyDescent="0.2">
      <c r="J225"/>
      <c r="K225"/>
      <c r="L225"/>
      <c r="M225"/>
      <c r="N225"/>
      <c r="O225"/>
      <c r="P225" s="2"/>
      <c r="T225"/>
      <c r="U225"/>
      <c r="V225"/>
      <c r="X225"/>
    </row>
    <row r="226" spans="10:24" s="1" customFormat="1" x14ac:dyDescent="0.2">
      <c r="J226"/>
      <c r="K226"/>
      <c r="L226"/>
      <c r="M226"/>
      <c r="N226"/>
      <c r="O226"/>
      <c r="P226" s="2"/>
      <c r="T226"/>
      <c r="U226"/>
      <c r="V226"/>
      <c r="X226"/>
    </row>
    <row r="227" spans="10:24" s="1" customFormat="1" x14ac:dyDescent="0.2">
      <c r="J227"/>
      <c r="K227"/>
      <c r="L227"/>
      <c r="M227"/>
      <c r="N227"/>
      <c r="O227"/>
      <c r="P227" s="2"/>
      <c r="T227"/>
      <c r="U227"/>
      <c r="V227"/>
      <c r="X227"/>
    </row>
    <row r="228" spans="10:24" s="1" customFormat="1" x14ac:dyDescent="0.2">
      <c r="J228"/>
      <c r="K228"/>
      <c r="L228"/>
      <c r="M228"/>
      <c r="N228"/>
      <c r="O228"/>
      <c r="P228" s="2"/>
      <c r="T228"/>
      <c r="U228"/>
      <c r="V228"/>
      <c r="X228"/>
    </row>
    <row r="229" spans="10:24" s="1" customFormat="1" x14ac:dyDescent="0.2">
      <c r="J229"/>
      <c r="K229"/>
      <c r="L229"/>
      <c r="M229"/>
      <c r="N229"/>
      <c r="O229"/>
      <c r="P229" s="2"/>
      <c r="T229"/>
      <c r="U229"/>
      <c r="V229"/>
      <c r="X229"/>
    </row>
    <row r="230" spans="10:24" s="1" customFormat="1" x14ac:dyDescent="0.2">
      <c r="J230"/>
      <c r="K230"/>
      <c r="L230"/>
      <c r="M230"/>
      <c r="N230"/>
      <c r="O230"/>
      <c r="P230" s="2"/>
      <c r="T230"/>
      <c r="U230"/>
      <c r="V230"/>
      <c r="X230"/>
    </row>
    <row r="231" spans="10:24" s="1" customFormat="1" x14ac:dyDescent="0.2">
      <c r="J231"/>
      <c r="K231"/>
      <c r="L231"/>
      <c r="M231"/>
      <c r="N231"/>
      <c r="O231"/>
      <c r="P231" s="2"/>
      <c r="T231"/>
      <c r="U231"/>
      <c r="V231"/>
      <c r="X231"/>
    </row>
    <row r="232" spans="10:24" s="1" customFormat="1" x14ac:dyDescent="0.2">
      <c r="J232"/>
      <c r="K232"/>
      <c r="L232"/>
      <c r="M232"/>
      <c r="N232"/>
      <c r="O232"/>
      <c r="P232" s="2"/>
      <c r="T232"/>
      <c r="U232"/>
      <c r="V232"/>
      <c r="X232"/>
    </row>
    <row r="233" spans="10:24" s="1" customFormat="1" x14ac:dyDescent="0.2">
      <c r="J233"/>
      <c r="K233"/>
      <c r="L233"/>
      <c r="M233"/>
      <c r="N233"/>
      <c r="O233"/>
      <c r="P233" s="2"/>
      <c r="T233"/>
      <c r="U233"/>
      <c r="V233"/>
      <c r="X233"/>
    </row>
    <row r="234" spans="10:24" s="1" customFormat="1" x14ac:dyDescent="0.2">
      <c r="J234"/>
      <c r="K234"/>
      <c r="L234"/>
      <c r="M234"/>
      <c r="N234"/>
      <c r="O234"/>
      <c r="P234" s="2"/>
      <c r="T234"/>
      <c r="U234"/>
      <c r="V234"/>
      <c r="X234"/>
    </row>
    <row r="235" spans="10:24" s="1" customFormat="1" x14ac:dyDescent="0.2">
      <c r="J235"/>
      <c r="K235"/>
      <c r="L235"/>
      <c r="M235"/>
      <c r="N235"/>
      <c r="O235"/>
      <c r="P235" s="2"/>
      <c r="T235"/>
      <c r="U235"/>
      <c r="V235"/>
      <c r="X235"/>
    </row>
    <row r="236" spans="10:24" s="1" customFormat="1" x14ac:dyDescent="0.2">
      <c r="J236"/>
      <c r="K236"/>
      <c r="L236"/>
      <c r="M236"/>
      <c r="N236"/>
      <c r="O236"/>
      <c r="P236" s="2"/>
      <c r="T236"/>
      <c r="U236"/>
      <c r="V236"/>
      <c r="X236"/>
    </row>
    <row r="237" spans="10:24" s="1" customFormat="1" x14ac:dyDescent="0.2">
      <c r="J237"/>
      <c r="K237"/>
      <c r="L237"/>
      <c r="M237"/>
      <c r="N237"/>
      <c r="O237"/>
      <c r="P237" s="2"/>
      <c r="T237"/>
      <c r="U237"/>
      <c r="V237"/>
      <c r="X237"/>
    </row>
    <row r="238" spans="10:24" s="1" customFormat="1" x14ac:dyDescent="0.2">
      <c r="J238"/>
      <c r="K238"/>
      <c r="L238"/>
      <c r="M238"/>
      <c r="N238"/>
      <c r="O238"/>
      <c r="P238" s="2"/>
      <c r="T238"/>
      <c r="U238"/>
      <c r="V238"/>
      <c r="X238"/>
    </row>
    <row r="239" spans="10:24" s="1" customFormat="1" x14ac:dyDescent="0.2">
      <c r="J239"/>
      <c r="K239"/>
      <c r="L239"/>
      <c r="M239"/>
      <c r="N239"/>
      <c r="O239"/>
      <c r="P239" s="2"/>
      <c r="T239"/>
      <c r="U239"/>
      <c r="V239"/>
      <c r="X239"/>
    </row>
    <row r="240" spans="10:24" s="1" customFormat="1" x14ac:dyDescent="0.2">
      <c r="J240"/>
      <c r="K240"/>
      <c r="L240"/>
      <c r="M240"/>
      <c r="N240"/>
      <c r="O240"/>
      <c r="P240" s="2"/>
      <c r="T240"/>
      <c r="U240"/>
      <c r="V240"/>
      <c r="X240"/>
    </row>
    <row r="241" spans="10:24" s="1" customFormat="1" x14ac:dyDescent="0.2">
      <c r="J241"/>
      <c r="K241"/>
      <c r="L241"/>
      <c r="M241"/>
      <c r="N241"/>
      <c r="O241"/>
      <c r="P241" s="2"/>
      <c r="T241"/>
      <c r="U241"/>
      <c r="V241"/>
      <c r="X241"/>
    </row>
    <row r="242" spans="10:24" s="1" customFormat="1" x14ac:dyDescent="0.2">
      <c r="J242"/>
      <c r="K242"/>
      <c r="L242"/>
      <c r="M242"/>
      <c r="N242"/>
      <c r="O242"/>
      <c r="P242" s="2"/>
      <c r="T242"/>
      <c r="U242"/>
      <c r="V242"/>
      <c r="X242"/>
    </row>
    <row r="243" spans="10:24" s="1" customFormat="1" x14ac:dyDescent="0.2">
      <c r="J243"/>
      <c r="K243"/>
      <c r="L243"/>
      <c r="M243"/>
      <c r="N243"/>
      <c r="O243"/>
      <c r="P243" s="2"/>
      <c r="T243"/>
      <c r="U243"/>
      <c r="V243"/>
      <c r="X243"/>
    </row>
    <row r="244" spans="10:24" s="1" customFormat="1" x14ac:dyDescent="0.2">
      <c r="J244"/>
      <c r="K244"/>
      <c r="L244"/>
      <c r="M244"/>
      <c r="N244"/>
      <c r="O244"/>
      <c r="P244" s="2"/>
      <c r="T244"/>
      <c r="U244"/>
      <c r="V244"/>
      <c r="X244"/>
    </row>
    <row r="245" spans="10:24" s="1" customFormat="1" x14ac:dyDescent="0.2">
      <c r="J245"/>
      <c r="K245"/>
      <c r="L245"/>
      <c r="M245"/>
      <c r="N245"/>
      <c r="O245"/>
      <c r="P245" s="2"/>
      <c r="T245"/>
      <c r="U245"/>
      <c r="V245"/>
      <c r="X245"/>
    </row>
    <row r="246" spans="10:24" s="1" customFormat="1" x14ac:dyDescent="0.2">
      <c r="J246"/>
      <c r="K246"/>
      <c r="L246"/>
      <c r="M246"/>
      <c r="N246"/>
      <c r="O246"/>
      <c r="P246" s="2"/>
      <c r="T246"/>
      <c r="U246"/>
      <c r="V246"/>
      <c r="X246"/>
    </row>
    <row r="247" spans="10:24" s="1" customFormat="1" x14ac:dyDescent="0.2">
      <c r="J247"/>
      <c r="K247"/>
      <c r="L247"/>
      <c r="M247"/>
      <c r="N247"/>
      <c r="O247"/>
      <c r="P247" s="2"/>
      <c r="T247"/>
      <c r="U247"/>
      <c r="V247"/>
      <c r="X247"/>
    </row>
    <row r="248" spans="10:24" s="1" customFormat="1" x14ac:dyDescent="0.2">
      <c r="J248"/>
      <c r="K248"/>
      <c r="L248"/>
      <c r="M248"/>
      <c r="N248"/>
      <c r="O248"/>
      <c r="P248" s="2"/>
      <c r="T248"/>
      <c r="U248"/>
      <c r="V248"/>
      <c r="X248"/>
    </row>
    <row r="249" spans="10:24" s="1" customFormat="1" x14ac:dyDescent="0.2">
      <c r="J249"/>
      <c r="K249"/>
      <c r="L249"/>
      <c r="M249"/>
      <c r="N249"/>
      <c r="O249"/>
      <c r="P249" s="2"/>
      <c r="T249"/>
      <c r="U249"/>
      <c r="V249"/>
      <c r="X249"/>
    </row>
    <row r="250" spans="10:24" s="1" customFormat="1" x14ac:dyDescent="0.2">
      <c r="J250"/>
      <c r="K250"/>
      <c r="L250"/>
      <c r="M250"/>
      <c r="N250"/>
      <c r="O250"/>
      <c r="P250" s="2"/>
      <c r="T250"/>
      <c r="U250"/>
      <c r="V250"/>
      <c r="X250"/>
    </row>
    <row r="251" spans="10:24" s="1" customFormat="1" x14ac:dyDescent="0.2">
      <c r="J251"/>
      <c r="K251"/>
      <c r="L251"/>
      <c r="M251"/>
      <c r="N251"/>
      <c r="O251"/>
      <c r="P251" s="2"/>
      <c r="T251"/>
      <c r="U251"/>
      <c r="V251"/>
      <c r="X251"/>
    </row>
    <row r="252" spans="10:24" s="1" customFormat="1" x14ac:dyDescent="0.2">
      <c r="J252"/>
      <c r="K252"/>
      <c r="L252"/>
      <c r="M252"/>
      <c r="N252"/>
      <c r="O252"/>
      <c r="P252" s="2"/>
      <c r="T252"/>
      <c r="U252"/>
      <c r="V252"/>
      <c r="X252"/>
    </row>
    <row r="253" spans="10:24" s="1" customFormat="1" x14ac:dyDescent="0.2">
      <c r="J253"/>
      <c r="K253"/>
      <c r="L253"/>
      <c r="M253"/>
      <c r="N253"/>
      <c r="O253"/>
      <c r="P253" s="2"/>
      <c r="T253"/>
      <c r="U253"/>
      <c r="V253"/>
      <c r="X253"/>
    </row>
    <row r="254" spans="10:24" s="1" customFormat="1" x14ac:dyDescent="0.2">
      <c r="J254"/>
      <c r="K254"/>
      <c r="L254"/>
      <c r="M254"/>
      <c r="N254"/>
      <c r="O254"/>
      <c r="P254" s="2"/>
      <c r="T254"/>
      <c r="U254"/>
      <c r="V254"/>
      <c r="X254"/>
    </row>
    <row r="255" spans="10:24" s="1" customFormat="1" x14ac:dyDescent="0.2">
      <c r="J255"/>
      <c r="K255"/>
      <c r="L255"/>
      <c r="M255"/>
      <c r="N255"/>
      <c r="O255"/>
      <c r="P255" s="2"/>
      <c r="T255"/>
      <c r="U255"/>
      <c r="V255"/>
      <c r="X255"/>
    </row>
    <row r="256" spans="10:24" s="1" customFormat="1" x14ac:dyDescent="0.2">
      <c r="J256"/>
      <c r="K256"/>
      <c r="L256"/>
      <c r="M256"/>
      <c r="N256"/>
      <c r="O256"/>
      <c r="P256" s="2"/>
      <c r="T256"/>
      <c r="U256"/>
      <c r="V256"/>
      <c r="X256"/>
    </row>
    <row r="257" spans="10:24" s="1" customFormat="1" x14ac:dyDescent="0.2">
      <c r="J257"/>
      <c r="K257"/>
      <c r="L257"/>
      <c r="M257"/>
      <c r="N257"/>
      <c r="O257"/>
      <c r="P257" s="2"/>
      <c r="T257"/>
      <c r="U257"/>
      <c r="V257"/>
      <c r="X257"/>
    </row>
    <row r="258" spans="10:24" s="1" customFormat="1" x14ac:dyDescent="0.2">
      <c r="J258"/>
      <c r="K258"/>
      <c r="L258"/>
      <c r="M258"/>
      <c r="N258"/>
      <c r="O258"/>
      <c r="P258" s="2"/>
      <c r="T258"/>
      <c r="U258"/>
      <c r="V258"/>
      <c r="X258"/>
    </row>
    <row r="259" spans="10:24" s="1" customFormat="1" x14ac:dyDescent="0.2">
      <c r="J259"/>
      <c r="K259"/>
      <c r="L259"/>
      <c r="M259"/>
      <c r="N259"/>
      <c r="O259"/>
      <c r="P259" s="2"/>
      <c r="T259"/>
      <c r="U259"/>
      <c r="V259"/>
      <c r="X259"/>
    </row>
    <row r="260" spans="10:24" s="1" customFormat="1" x14ac:dyDescent="0.2">
      <c r="J260"/>
      <c r="K260"/>
      <c r="L260"/>
      <c r="M260"/>
      <c r="N260"/>
      <c r="O260"/>
      <c r="P260" s="2"/>
      <c r="T260"/>
      <c r="U260"/>
      <c r="V260"/>
      <c r="X260"/>
    </row>
    <row r="261" spans="10:24" s="1" customFormat="1" x14ac:dyDescent="0.2">
      <c r="J261"/>
      <c r="K261"/>
      <c r="L261"/>
      <c r="M261"/>
      <c r="N261"/>
      <c r="O261"/>
      <c r="P261" s="2"/>
      <c r="T261"/>
      <c r="U261"/>
      <c r="V261"/>
      <c r="X261"/>
    </row>
    <row r="262" spans="10:24" s="1" customFormat="1" x14ac:dyDescent="0.2">
      <c r="J262"/>
      <c r="K262"/>
      <c r="L262"/>
      <c r="M262"/>
      <c r="N262"/>
      <c r="O262"/>
      <c r="P262" s="2"/>
      <c r="T262"/>
      <c r="U262"/>
      <c r="V262"/>
      <c r="X262"/>
    </row>
    <row r="263" spans="10:24" s="1" customFormat="1" x14ac:dyDescent="0.2">
      <c r="J263"/>
      <c r="K263"/>
      <c r="L263"/>
      <c r="M263"/>
      <c r="N263"/>
      <c r="O263"/>
      <c r="P263" s="2"/>
      <c r="T263"/>
      <c r="U263"/>
      <c r="V263"/>
      <c r="X263"/>
    </row>
    <row r="264" spans="10:24" s="1" customFormat="1" x14ac:dyDescent="0.2">
      <c r="J264"/>
      <c r="K264"/>
      <c r="L264"/>
      <c r="M264"/>
      <c r="N264"/>
      <c r="O264"/>
      <c r="P264" s="2"/>
      <c r="T264"/>
      <c r="U264"/>
      <c r="V264"/>
      <c r="X264"/>
    </row>
    <row r="265" spans="10:24" s="1" customFormat="1" x14ac:dyDescent="0.2">
      <c r="J265"/>
      <c r="K265"/>
      <c r="L265"/>
      <c r="M265"/>
      <c r="N265"/>
      <c r="O265"/>
      <c r="P265" s="2"/>
      <c r="T265"/>
      <c r="U265"/>
      <c r="V265"/>
      <c r="X265"/>
    </row>
    <row r="266" spans="10:24" s="1" customFormat="1" x14ac:dyDescent="0.2">
      <c r="J266"/>
      <c r="K266"/>
      <c r="L266"/>
      <c r="M266"/>
      <c r="N266"/>
      <c r="O266"/>
      <c r="P266" s="2"/>
      <c r="T266"/>
      <c r="U266"/>
      <c r="V266"/>
      <c r="X266"/>
    </row>
    <row r="267" spans="10:24" s="1" customFormat="1" x14ac:dyDescent="0.2">
      <c r="J267"/>
      <c r="K267"/>
      <c r="L267"/>
      <c r="M267"/>
      <c r="N267"/>
      <c r="O267"/>
      <c r="P267" s="2"/>
      <c r="T267"/>
      <c r="U267"/>
      <c r="V267"/>
      <c r="X267"/>
    </row>
    <row r="268" spans="10:24" s="1" customFormat="1" x14ac:dyDescent="0.2">
      <c r="J268"/>
      <c r="K268"/>
      <c r="L268"/>
      <c r="M268"/>
      <c r="N268"/>
      <c r="O268"/>
      <c r="P268" s="2"/>
      <c r="T268"/>
      <c r="U268"/>
      <c r="V268"/>
      <c r="X268"/>
    </row>
    <row r="269" spans="10:24" s="1" customFormat="1" x14ac:dyDescent="0.2">
      <c r="J269"/>
      <c r="K269"/>
      <c r="L269"/>
      <c r="M269"/>
      <c r="N269"/>
      <c r="O269"/>
      <c r="P269" s="2"/>
      <c r="T269"/>
      <c r="U269"/>
      <c r="V269"/>
      <c r="X269"/>
    </row>
    <row r="270" spans="10:24" s="1" customFormat="1" x14ac:dyDescent="0.2">
      <c r="J270"/>
      <c r="K270"/>
      <c r="L270"/>
      <c r="M270"/>
      <c r="N270"/>
      <c r="O270"/>
      <c r="P270" s="2"/>
      <c r="T270"/>
      <c r="U270"/>
      <c r="V270"/>
      <c r="X270"/>
    </row>
    <row r="271" spans="10:24" s="1" customFormat="1" x14ac:dyDescent="0.2">
      <c r="J271"/>
      <c r="K271"/>
      <c r="L271"/>
      <c r="M271"/>
      <c r="N271"/>
      <c r="O271"/>
      <c r="P271" s="2"/>
      <c r="T271"/>
      <c r="U271"/>
      <c r="V271"/>
      <c r="X271"/>
    </row>
    <row r="272" spans="10:24" s="1" customFormat="1" x14ac:dyDescent="0.2">
      <c r="J272"/>
      <c r="K272"/>
      <c r="L272"/>
      <c r="M272"/>
      <c r="N272"/>
      <c r="O272"/>
      <c r="P272" s="2"/>
      <c r="T272"/>
      <c r="U272"/>
      <c r="V272"/>
      <c r="X272"/>
    </row>
    <row r="273" spans="10:24" s="1" customFormat="1" x14ac:dyDescent="0.2">
      <c r="J273"/>
      <c r="K273"/>
      <c r="L273"/>
      <c r="M273"/>
      <c r="N273"/>
      <c r="O273"/>
      <c r="P273" s="2"/>
      <c r="T273"/>
      <c r="U273"/>
      <c r="V273"/>
      <c r="X273"/>
    </row>
    <row r="274" spans="10:24" s="1" customFormat="1" x14ac:dyDescent="0.2">
      <c r="J274"/>
      <c r="K274"/>
      <c r="L274"/>
      <c r="M274"/>
      <c r="N274"/>
      <c r="O274"/>
      <c r="P274" s="2"/>
      <c r="T274"/>
      <c r="U274"/>
      <c r="V274"/>
      <c r="X274"/>
    </row>
    <row r="275" spans="10:24" s="1" customFormat="1" x14ac:dyDescent="0.2">
      <c r="J275"/>
      <c r="K275"/>
      <c r="L275"/>
      <c r="M275"/>
      <c r="N275"/>
      <c r="O275"/>
      <c r="P275" s="2"/>
      <c r="T275"/>
      <c r="U275"/>
      <c r="V275"/>
      <c r="X275"/>
    </row>
    <row r="276" spans="10:24" s="1" customFormat="1" x14ac:dyDescent="0.2">
      <c r="J276"/>
      <c r="K276"/>
      <c r="L276"/>
      <c r="M276"/>
      <c r="N276"/>
      <c r="O276"/>
      <c r="P276" s="2"/>
      <c r="T276"/>
      <c r="U276"/>
      <c r="V276"/>
      <c r="X276"/>
    </row>
    <row r="277" spans="10:24" s="1" customFormat="1" x14ac:dyDescent="0.2">
      <c r="J277"/>
      <c r="K277"/>
      <c r="L277"/>
      <c r="M277"/>
      <c r="N277"/>
      <c r="O277"/>
      <c r="P277" s="2"/>
      <c r="T277"/>
      <c r="U277"/>
      <c r="V277"/>
      <c r="X277"/>
    </row>
    <row r="278" spans="10:24" s="1" customFormat="1" x14ac:dyDescent="0.2">
      <c r="J278"/>
      <c r="K278"/>
      <c r="L278"/>
      <c r="M278"/>
      <c r="N278"/>
      <c r="O278"/>
      <c r="P278" s="2"/>
      <c r="T278"/>
      <c r="U278"/>
      <c r="V278"/>
      <c r="X278"/>
    </row>
    <row r="279" spans="10:24" s="1" customFormat="1" x14ac:dyDescent="0.2">
      <c r="J279"/>
      <c r="K279"/>
      <c r="L279"/>
      <c r="M279"/>
      <c r="N279"/>
      <c r="O279"/>
      <c r="P279" s="2"/>
      <c r="T279"/>
      <c r="U279"/>
      <c r="V279"/>
      <c r="X279"/>
    </row>
    <row r="280" spans="10:24" s="1" customFormat="1" x14ac:dyDescent="0.2">
      <c r="J280"/>
      <c r="K280"/>
      <c r="L280"/>
      <c r="M280"/>
      <c r="N280"/>
      <c r="O280"/>
      <c r="P280" s="2"/>
      <c r="T280"/>
      <c r="U280"/>
      <c r="V280"/>
      <c r="X280"/>
    </row>
    <row r="281" spans="10:24" s="1" customFormat="1" x14ac:dyDescent="0.2">
      <c r="J281"/>
      <c r="K281"/>
      <c r="L281"/>
      <c r="M281"/>
      <c r="N281"/>
      <c r="O281"/>
      <c r="P281" s="2"/>
      <c r="T281"/>
      <c r="U281"/>
      <c r="V281"/>
      <c r="X281"/>
    </row>
    <row r="282" spans="10:24" s="1" customFormat="1" x14ac:dyDescent="0.2">
      <c r="J282"/>
      <c r="K282"/>
      <c r="L282"/>
      <c r="M282"/>
      <c r="N282"/>
      <c r="O282"/>
      <c r="P282" s="2"/>
      <c r="T282"/>
      <c r="U282"/>
      <c r="V282"/>
      <c r="X282"/>
    </row>
    <row r="283" spans="10:24" s="1" customFormat="1" x14ac:dyDescent="0.2">
      <c r="J283"/>
      <c r="K283"/>
      <c r="L283"/>
      <c r="M283"/>
      <c r="N283"/>
      <c r="O283"/>
      <c r="P283" s="2"/>
      <c r="T283"/>
      <c r="U283"/>
      <c r="V283"/>
      <c r="X283"/>
    </row>
    <row r="284" spans="10:24" s="1" customFormat="1" x14ac:dyDescent="0.2">
      <c r="J284"/>
      <c r="K284"/>
      <c r="L284"/>
      <c r="M284"/>
      <c r="N284"/>
      <c r="O284"/>
      <c r="P284" s="2"/>
      <c r="T284"/>
      <c r="U284"/>
      <c r="V284"/>
      <c r="X284"/>
    </row>
    <row r="285" spans="10:24" s="1" customFormat="1" x14ac:dyDescent="0.2">
      <c r="J285"/>
      <c r="K285"/>
      <c r="L285"/>
      <c r="M285"/>
      <c r="N285"/>
      <c r="O285"/>
      <c r="P285" s="2"/>
      <c r="T285"/>
      <c r="U285"/>
      <c r="V285"/>
      <c r="X285"/>
    </row>
    <row r="286" spans="10:24" s="1" customFormat="1" x14ac:dyDescent="0.2">
      <c r="J286"/>
      <c r="K286"/>
      <c r="L286"/>
      <c r="M286"/>
      <c r="N286"/>
      <c r="O286"/>
      <c r="P286" s="2"/>
      <c r="T286"/>
      <c r="U286"/>
      <c r="V286"/>
      <c r="X286"/>
    </row>
    <row r="287" spans="10:24" s="1" customFormat="1" x14ac:dyDescent="0.2">
      <c r="J287"/>
      <c r="K287"/>
      <c r="L287"/>
      <c r="M287"/>
      <c r="N287"/>
      <c r="O287"/>
      <c r="P287" s="2"/>
      <c r="T287"/>
      <c r="U287"/>
      <c r="V287"/>
      <c r="X287"/>
    </row>
    <row r="288" spans="10:24" s="1" customFormat="1" x14ac:dyDescent="0.2">
      <c r="J288"/>
      <c r="K288"/>
      <c r="L288"/>
      <c r="M288"/>
      <c r="N288"/>
      <c r="O288"/>
      <c r="P288" s="2"/>
      <c r="T288"/>
      <c r="U288"/>
      <c r="V288"/>
      <c r="X288"/>
    </row>
    <row r="289" spans="10:24" s="1" customFormat="1" x14ac:dyDescent="0.2">
      <c r="J289"/>
      <c r="K289"/>
      <c r="L289"/>
      <c r="M289"/>
      <c r="N289"/>
      <c r="O289"/>
      <c r="P289" s="2"/>
      <c r="T289"/>
      <c r="U289"/>
      <c r="V289"/>
      <c r="X289"/>
    </row>
    <row r="290" spans="10:24" s="1" customFormat="1" x14ac:dyDescent="0.2">
      <c r="J290"/>
      <c r="K290"/>
      <c r="L290"/>
      <c r="M290"/>
      <c r="N290"/>
      <c r="O290"/>
      <c r="P290" s="2"/>
      <c r="T290"/>
      <c r="U290"/>
      <c r="V290"/>
      <c r="X290"/>
    </row>
    <row r="291" spans="10:24" s="1" customFormat="1" x14ac:dyDescent="0.2">
      <c r="J291"/>
      <c r="K291"/>
      <c r="L291"/>
      <c r="M291"/>
      <c r="N291"/>
      <c r="O291"/>
      <c r="P291" s="2"/>
      <c r="T291"/>
      <c r="U291"/>
      <c r="V291"/>
      <c r="X291"/>
    </row>
    <row r="292" spans="10:24" s="1" customFormat="1" x14ac:dyDescent="0.2">
      <c r="J292"/>
      <c r="K292"/>
      <c r="L292"/>
      <c r="M292"/>
      <c r="N292"/>
      <c r="O292"/>
      <c r="P292" s="2"/>
      <c r="T292"/>
      <c r="U292"/>
      <c r="V292"/>
      <c r="X292"/>
    </row>
    <row r="293" spans="10:24" s="1" customFormat="1" x14ac:dyDescent="0.2">
      <c r="J293"/>
      <c r="K293"/>
      <c r="L293"/>
      <c r="M293"/>
      <c r="N293"/>
      <c r="O293"/>
      <c r="P293" s="2"/>
      <c r="T293"/>
      <c r="U293"/>
      <c r="V293"/>
      <c r="X293"/>
    </row>
    <row r="294" spans="10:24" s="1" customFormat="1" x14ac:dyDescent="0.2">
      <c r="J294"/>
      <c r="K294"/>
      <c r="L294"/>
      <c r="M294"/>
      <c r="N294"/>
      <c r="O294"/>
      <c r="P294" s="2"/>
      <c r="T294"/>
      <c r="U294"/>
      <c r="V294"/>
      <c r="X294"/>
    </row>
    <row r="295" spans="10:24" s="1" customFormat="1" x14ac:dyDescent="0.2">
      <c r="J295"/>
      <c r="K295"/>
      <c r="L295"/>
      <c r="M295"/>
      <c r="N295"/>
      <c r="O295"/>
      <c r="P295" s="2"/>
      <c r="T295"/>
      <c r="U295"/>
      <c r="V295"/>
      <c r="X295"/>
    </row>
    <row r="296" spans="10:24" s="1" customFormat="1" x14ac:dyDescent="0.2">
      <c r="J296"/>
      <c r="K296"/>
      <c r="L296"/>
      <c r="M296"/>
      <c r="N296"/>
      <c r="O296"/>
      <c r="P296" s="2"/>
      <c r="T296"/>
      <c r="U296"/>
      <c r="V296"/>
      <c r="X296"/>
    </row>
    <row r="297" spans="10:24" s="1" customFormat="1" x14ac:dyDescent="0.2">
      <c r="J297"/>
      <c r="K297"/>
      <c r="L297"/>
      <c r="M297"/>
      <c r="N297"/>
      <c r="O297"/>
      <c r="P297" s="2"/>
      <c r="T297"/>
      <c r="U297"/>
      <c r="V297"/>
      <c r="X297"/>
    </row>
    <row r="298" spans="10:24" s="1" customFormat="1" x14ac:dyDescent="0.2">
      <c r="J298"/>
      <c r="K298"/>
      <c r="L298"/>
      <c r="M298"/>
      <c r="N298"/>
      <c r="O298"/>
      <c r="P298" s="2"/>
      <c r="T298"/>
      <c r="U298"/>
      <c r="V298"/>
      <c r="X298"/>
    </row>
    <row r="299" spans="10:24" s="1" customFormat="1" x14ac:dyDescent="0.2">
      <c r="J299"/>
      <c r="K299"/>
      <c r="L299"/>
      <c r="M299"/>
      <c r="N299"/>
      <c r="O299"/>
      <c r="P299" s="2"/>
      <c r="T299"/>
      <c r="U299"/>
      <c r="V299"/>
      <c r="X299"/>
    </row>
    <row r="300" spans="10:24" s="1" customFormat="1" x14ac:dyDescent="0.2">
      <c r="J300"/>
      <c r="K300"/>
      <c r="L300"/>
      <c r="M300"/>
      <c r="N300"/>
      <c r="O300"/>
      <c r="P300" s="2"/>
      <c r="T300"/>
      <c r="U300"/>
      <c r="V300"/>
      <c r="X300"/>
    </row>
    <row r="301" spans="10:24" s="1" customFormat="1" x14ac:dyDescent="0.2">
      <c r="J301"/>
      <c r="K301"/>
      <c r="L301"/>
      <c r="M301"/>
      <c r="N301"/>
      <c r="O301"/>
      <c r="P301" s="2"/>
      <c r="T301"/>
      <c r="U301"/>
      <c r="V301"/>
      <c r="X301"/>
    </row>
    <row r="302" spans="10:24" s="1" customFormat="1" x14ac:dyDescent="0.2">
      <c r="J302"/>
      <c r="K302"/>
      <c r="L302"/>
      <c r="M302"/>
      <c r="N302"/>
      <c r="O302"/>
      <c r="P302" s="2"/>
      <c r="T302"/>
      <c r="U302"/>
      <c r="V302"/>
      <c r="X302"/>
    </row>
    <row r="303" spans="10:24" s="1" customFormat="1" x14ac:dyDescent="0.2">
      <c r="J303"/>
      <c r="K303"/>
      <c r="L303"/>
      <c r="M303"/>
      <c r="N303"/>
      <c r="O303"/>
      <c r="P303" s="2"/>
      <c r="T303"/>
      <c r="U303"/>
      <c r="V303"/>
      <c r="X303"/>
    </row>
    <row r="304" spans="10:24" s="1" customFormat="1" x14ac:dyDescent="0.2">
      <c r="J304"/>
      <c r="K304"/>
      <c r="L304"/>
      <c r="M304"/>
      <c r="N304"/>
      <c r="O304"/>
      <c r="P304" s="2"/>
      <c r="T304"/>
      <c r="U304"/>
      <c r="V304"/>
      <c r="X304"/>
    </row>
    <row r="305" spans="10:24" s="1" customFormat="1" x14ac:dyDescent="0.2">
      <c r="J305"/>
      <c r="K305"/>
      <c r="L305"/>
      <c r="M305"/>
      <c r="N305"/>
      <c r="O305"/>
      <c r="P305" s="2"/>
      <c r="T305"/>
      <c r="U305"/>
      <c r="V305"/>
      <c r="X305"/>
    </row>
    <row r="306" spans="10:24" s="1" customFormat="1" x14ac:dyDescent="0.2">
      <c r="J306"/>
      <c r="K306"/>
      <c r="L306"/>
      <c r="M306"/>
      <c r="N306"/>
      <c r="O306"/>
      <c r="P306" s="2"/>
      <c r="T306"/>
      <c r="U306"/>
      <c r="V306"/>
      <c r="X306"/>
    </row>
    <row r="307" spans="10:24" s="1" customFormat="1" x14ac:dyDescent="0.2">
      <c r="J307"/>
      <c r="K307"/>
      <c r="L307"/>
      <c r="M307"/>
      <c r="N307"/>
      <c r="O307"/>
      <c r="P307" s="2"/>
      <c r="T307"/>
      <c r="U307"/>
      <c r="V307"/>
      <c r="X307"/>
    </row>
    <row r="308" spans="10:24" s="1" customFormat="1" x14ac:dyDescent="0.2">
      <c r="J308"/>
      <c r="K308"/>
      <c r="L308"/>
      <c r="M308"/>
      <c r="N308"/>
      <c r="O308"/>
      <c r="P308" s="2"/>
      <c r="T308"/>
      <c r="U308"/>
      <c r="V308"/>
      <c r="X308"/>
    </row>
    <row r="309" spans="10:24" s="1" customFormat="1" x14ac:dyDescent="0.2">
      <c r="J309"/>
      <c r="K309"/>
      <c r="L309"/>
      <c r="M309"/>
      <c r="N309"/>
      <c r="O309"/>
      <c r="P309" s="2"/>
      <c r="T309"/>
      <c r="U309"/>
      <c r="V309"/>
      <c r="X309"/>
    </row>
    <row r="310" spans="10:24" s="1" customFormat="1" x14ac:dyDescent="0.2">
      <c r="J310"/>
      <c r="K310"/>
      <c r="L310"/>
      <c r="M310"/>
      <c r="N310"/>
      <c r="O310"/>
      <c r="P310" s="2"/>
      <c r="T310"/>
      <c r="U310"/>
      <c r="V310"/>
      <c r="X310"/>
    </row>
    <row r="311" spans="10:24" s="1" customFormat="1" x14ac:dyDescent="0.2">
      <c r="J311"/>
      <c r="K311"/>
      <c r="L311"/>
      <c r="M311"/>
      <c r="N311"/>
      <c r="O311"/>
      <c r="P311" s="2"/>
      <c r="T311"/>
      <c r="U311"/>
      <c r="V311"/>
      <c r="X311"/>
    </row>
    <row r="312" spans="10:24" s="1" customFormat="1" x14ac:dyDescent="0.2">
      <c r="J312"/>
      <c r="K312"/>
      <c r="L312"/>
      <c r="M312"/>
      <c r="N312"/>
      <c r="O312"/>
      <c r="P312" s="2"/>
      <c r="T312"/>
      <c r="U312"/>
      <c r="V312"/>
      <c r="X312"/>
    </row>
    <row r="313" spans="10:24" s="1" customFormat="1" x14ac:dyDescent="0.2">
      <c r="J313"/>
      <c r="K313"/>
      <c r="L313"/>
      <c r="M313"/>
      <c r="N313"/>
      <c r="O313"/>
      <c r="P313" s="2"/>
      <c r="T313"/>
      <c r="U313"/>
      <c r="V313"/>
      <c r="X313"/>
    </row>
    <row r="314" spans="10:24" s="1" customFormat="1" x14ac:dyDescent="0.2">
      <c r="J314"/>
      <c r="K314"/>
      <c r="L314"/>
      <c r="M314"/>
      <c r="N314"/>
      <c r="O314"/>
      <c r="P314" s="2"/>
      <c r="T314"/>
      <c r="U314"/>
      <c r="V314"/>
      <c r="X314"/>
    </row>
    <row r="315" spans="10:24" s="1" customFormat="1" x14ac:dyDescent="0.2">
      <c r="J315"/>
      <c r="K315"/>
      <c r="L315"/>
      <c r="M315"/>
      <c r="N315"/>
      <c r="O315"/>
      <c r="P315" s="2"/>
      <c r="T315"/>
      <c r="U315"/>
      <c r="V315"/>
      <c r="X315"/>
    </row>
    <row r="316" spans="10:24" s="1" customFormat="1" x14ac:dyDescent="0.2">
      <c r="J316"/>
      <c r="K316"/>
      <c r="L316"/>
      <c r="M316"/>
      <c r="N316"/>
      <c r="O316"/>
      <c r="P316" s="2"/>
      <c r="T316"/>
      <c r="U316"/>
      <c r="V316"/>
      <c r="X316"/>
    </row>
    <row r="317" spans="10:24" s="1" customFormat="1" x14ac:dyDescent="0.2">
      <c r="J317"/>
      <c r="K317"/>
      <c r="L317"/>
      <c r="M317"/>
      <c r="N317"/>
      <c r="O317"/>
      <c r="P317" s="2"/>
      <c r="T317"/>
      <c r="U317"/>
      <c r="V317"/>
      <c r="X317"/>
    </row>
    <row r="318" spans="10:24" s="1" customFormat="1" x14ac:dyDescent="0.2">
      <c r="J318"/>
      <c r="K318"/>
      <c r="L318"/>
      <c r="M318"/>
      <c r="N318"/>
      <c r="O318"/>
      <c r="P318" s="2"/>
      <c r="T318"/>
      <c r="U318"/>
      <c r="V318"/>
      <c r="X318"/>
    </row>
    <row r="319" spans="10:24" s="1" customFormat="1" x14ac:dyDescent="0.2">
      <c r="J319"/>
      <c r="K319"/>
      <c r="L319"/>
      <c r="M319"/>
      <c r="N319"/>
      <c r="O319"/>
      <c r="P319" s="2"/>
      <c r="T319"/>
      <c r="U319"/>
      <c r="V319"/>
      <c r="X319"/>
    </row>
    <row r="320" spans="10:24" s="1" customFormat="1" x14ac:dyDescent="0.2">
      <c r="J320"/>
      <c r="K320"/>
      <c r="L320"/>
      <c r="M320"/>
      <c r="N320"/>
      <c r="O320"/>
      <c r="P320" s="2"/>
      <c r="T320"/>
      <c r="U320"/>
      <c r="V320"/>
      <c r="X320"/>
    </row>
    <row r="321" spans="10:24" s="1" customFormat="1" x14ac:dyDescent="0.2">
      <c r="J321"/>
      <c r="K321"/>
      <c r="L321"/>
      <c r="M321"/>
      <c r="N321"/>
      <c r="O321"/>
      <c r="P321" s="2"/>
      <c r="T321"/>
      <c r="U321"/>
      <c r="V321"/>
      <c r="X321"/>
    </row>
    <row r="322" spans="10:24" s="1" customFormat="1" x14ac:dyDescent="0.2">
      <c r="J322"/>
      <c r="K322"/>
      <c r="L322"/>
      <c r="M322"/>
      <c r="N322"/>
      <c r="O322"/>
      <c r="P322" s="2"/>
      <c r="T322"/>
      <c r="U322"/>
      <c r="V322"/>
      <c r="X322"/>
    </row>
    <row r="323" spans="10:24" s="1" customFormat="1" x14ac:dyDescent="0.2">
      <c r="J323"/>
      <c r="K323"/>
      <c r="L323"/>
      <c r="M323"/>
      <c r="N323"/>
      <c r="O323"/>
      <c r="P323" s="2"/>
      <c r="T323"/>
      <c r="U323"/>
      <c r="V323"/>
      <c r="X323"/>
    </row>
    <row r="324" spans="10:24" s="1" customFormat="1" x14ac:dyDescent="0.2">
      <c r="J324"/>
      <c r="K324"/>
      <c r="L324"/>
      <c r="M324"/>
      <c r="N324"/>
      <c r="O324"/>
      <c r="P324" s="2"/>
      <c r="T324"/>
      <c r="U324"/>
      <c r="V324"/>
      <c r="X324"/>
    </row>
    <row r="325" spans="10:24" s="1" customFormat="1" x14ac:dyDescent="0.2">
      <c r="J325"/>
      <c r="K325"/>
      <c r="L325"/>
      <c r="M325"/>
      <c r="N325"/>
      <c r="O325"/>
      <c r="P325" s="2"/>
      <c r="T325"/>
      <c r="U325"/>
      <c r="V325"/>
      <c r="X325"/>
    </row>
    <row r="326" spans="10:24" s="1" customFormat="1" x14ac:dyDescent="0.2">
      <c r="J326"/>
      <c r="K326"/>
      <c r="L326"/>
      <c r="M326"/>
      <c r="N326"/>
      <c r="O326"/>
      <c r="P326" s="2"/>
      <c r="T326"/>
      <c r="U326"/>
      <c r="V326"/>
      <c r="X326"/>
    </row>
    <row r="327" spans="10:24" s="1" customFormat="1" x14ac:dyDescent="0.2">
      <c r="J327"/>
      <c r="K327"/>
      <c r="L327"/>
      <c r="M327"/>
      <c r="N327"/>
      <c r="O327"/>
      <c r="P327" s="2"/>
      <c r="T327"/>
      <c r="U327"/>
      <c r="V327"/>
      <c r="X327"/>
    </row>
    <row r="328" spans="10:24" s="1" customFormat="1" x14ac:dyDescent="0.2">
      <c r="J328"/>
      <c r="K328"/>
      <c r="L328"/>
      <c r="M328"/>
      <c r="N328"/>
      <c r="O328"/>
      <c r="P328" s="2"/>
      <c r="T328"/>
      <c r="U328"/>
      <c r="V328"/>
      <c r="X328"/>
    </row>
    <row r="329" spans="10:24" s="1" customFormat="1" x14ac:dyDescent="0.2">
      <c r="J329"/>
      <c r="K329"/>
      <c r="L329"/>
      <c r="M329"/>
      <c r="N329"/>
      <c r="O329"/>
      <c r="P329" s="2"/>
      <c r="T329"/>
      <c r="U329"/>
      <c r="V329"/>
      <c r="X329"/>
    </row>
    <row r="330" spans="10:24" s="1" customFormat="1" x14ac:dyDescent="0.2">
      <c r="J330"/>
      <c r="K330"/>
      <c r="L330"/>
      <c r="M330"/>
      <c r="N330"/>
      <c r="O330"/>
      <c r="P330" s="2"/>
      <c r="T330"/>
      <c r="U330"/>
      <c r="V330"/>
      <c r="X330"/>
    </row>
    <row r="331" spans="10:24" s="1" customFormat="1" x14ac:dyDescent="0.2">
      <c r="J331"/>
      <c r="K331"/>
      <c r="L331"/>
      <c r="M331"/>
      <c r="N331"/>
      <c r="O331"/>
      <c r="P331" s="2"/>
      <c r="T331"/>
      <c r="U331"/>
      <c r="V331"/>
      <c r="X331"/>
    </row>
    <row r="332" spans="10:24" s="1" customFormat="1" x14ac:dyDescent="0.2">
      <c r="J332"/>
      <c r="K332"/>
      <c r="L332"/>
      <c r="M332"/>
      <c r="N332"/>
      <c r="O332"/>
      <c r="P332" s="2"/>
      <c r="T332"/>
      <c r="U332"/>
      <c r="V332"/>
      <c r="X332"/>
    </row>
    <row r="333" spans="10:24" s="1" customFormat="1" x14ac:dyDescent="0.2">
      <c r="J333"/>
      <c r="K333"/>
      <c r="L333"/>
      <c r="M333"/>
      <c r="N333"/>
      <c r="O333"/>
      <c r="P333" s="2"/>
      <c r="T333"/>
      <c r="U333"/>
      <c r="V333"/>
      <c r="X333"/>
    </row>
    <row r="334" spans="10:24" s="1" customFormat="1" x14ac:dyDescent="0.2">
      <c r="J334"/>
      <c r="K334"/>
      <c r="L334"/>
      <c r="M334"/>
      <c r="N334"/>
      <c r="O334"/>
      <c r="P334" s="2"/>
      <c r="T334"/>
      <c r="U334"/>
      <c r="V334"/>
      <c r="X334"/>
    </row>
    <row r="335" spans="10:24" s="1" customFormat="1" x14ac:dyDescent="0.2">
      <c r="J335"/>
      <c r="K335"/>
      <c r="L335"/>
      <c r="M335"/>
      <c r="N335"/>
      <c r="O335"/>
      <c r="P335" s="2"/>
      <c r="T335"/>
      <c r="U335"/>
      <c r="V335"/>
      <c r="X335"/>
    </row>
    <row r="336" spans="10:24" s="1" customFormat="1" x14ac:dyDescent="0.2">
      <c r="J336"/>
      <c r="K336"/>
      <c r="L336"/>
      <c r="M336"/>
      <c r="N336"/>
      <c r="O336"/>
      <c r="P336" s="2"/>
      <c r="T336"/>
      <c r="U336"/>
      <c r="V336"/>
      <c r="X336"/>
    </row>
    <row r="337" spans="10:24" s="1" customFormat="1" x14ac:dyDescent="0.2">
      <c r="J337"/>
      <c r="K337"/>
      <c r="L337"/>
      <c r="M337"/>
      <c r="N337"/>
      <c r="O337"/>
      <c r="P337" s="2"/>
      <c r="T337"/>
      <c r="U337"/>
      <c r="V337"/>
      <c r="X337"/>
    </row>
    <row r="338" spans="10:24" s="1" customFormat="1" x14ac:dyDescent="0.2">
      <c r="J338"/>
      <c r="K338"/>
      <c r="L338"/>
      <c r="M338"/>
      <c r="N338"/>
      <c r="O338"/>
      <c r="P338" s="2"/>
      <c r="T338"/>
      <c r="U338"/>
      <c r="V338"/>
      <c r="X338"/>
    </row>
    <row r="339" spans="10:24" s="1" customFormat="1" x14ac:dyDescent="0.2">
      <c r="J339"/>
      <c r="K339"/>
      <c r="L339"/>
      <c r="M339"/>
      <c r="N339"/>
      <c r="O339"/>
      <c r="P339" s="2"/>
      <c r="T339"/>
      <c r="U339"/>
      <c r="V339"/>
      <c r="X339"/>
    </row>
    <row r="340" spans="10:24" s="1" customFormat="1" x14ac:dyDescent="0.2">
      <c r="J340"/>
      <c r="K340"/>
      <c r="L340"/>
      <c r="M340"/>
      <c r="N340"/>
      <c r="O340"/>
      <c r="P340" s="2"/>
      <c r="T340"/>
      <c r="U340"/>
      <c r="V340"/>
      <c r="X340"/>
    </row>
    <row r="341" spans="10:24" s="1" customFormat="1" x14ac:dyDescent="0.2">
      <c r="J341"/>
      <c r="K341"/>
      <c r="L341"/>
      <c r="M341"/>
      <c r="N341"/>
      <c r="O341"/>
      <c r="P341" s="2"/>
      <c r="T341"/>
      <c r="U341"/>
      <c r="V341"/>
      <c r="X341"/>
    </row>
    <row r="342" spans="10:24" s="1" customFormat="1" x14ac:dyDescent="0.2">
      <c r="J342"/>
      <c r="K342"/>
      <c r="L342"/>
      <c r="M342"/>
      <c r="N342"/>
      <c r="O342"/>
      <c r="P342" s="2"/>
      <c r="T342"/>
      <c r="U342"/>
      <c r="V342"/>
      <c r="X342"/>
    </row>
    <row r="343" spans="10:24" s="1" customFormat="1" x14ac:dyDescent="0.2">
      <c r="J343"/>
      <c r="K343"/>
      <c r="L343"/>
      <c r="M343"/>
      <c r="N343"/>
      <c r="O343"/>
      <c r="P343" s="2"/>
      <c r="T343"/>
      <c r="U343"/>
      <c r="V343"/>
      <c r="X343"/>
    </row>
    <row r="344" spans="10:24" s="1" customFormat="1" x14ac:dyDescent="0.2">
      <c r="J344"/>
      <c r="K344"/>
      <c r="L344"/>
      <c r="M344"/>
      <c r="N344"/>
      <c r="O344"/>
      <c r="P344" s="2"/>
      <c r="T344"/>
      <c r="U344"/>
      <c r="V344"/>
      <c r="X344"/>
    </row>
    <row r="345" spans="10:24" s="1" customFormat="1" x14ac:dyDescent="0.2">
      <c r="J345"/>
      <c r="K345"/>
      <c r="L345"/>
      <c r="M345"/>
      <c r="N345"/>
      <c r="O345"/>
      <c r="P345" s="2"/>
      <c r="T345"/>
      <c r="U345"/>
      <c r="V345"/>
      <c r="X345"/>
    </row>
    <row r="346" spans="10:24" s="1" customFormat="1" x14ac:dyDescent="0.2">
      <c r="J346"/>
      <c r="K346"/>
      <c r="L346"/>
      <c r="M346"/>
      <c r="N346"/>
      <c r="O346"/>
      <c r="P346" s="2"/>
      <c r="T346"/>
      <c r="U346"/>
      <c r="V346"/>
      <c r="X346"/>
    </row>
    <row r="347" spans="10:24" s="1" customFormat="1" x14ac:dyDescent="0.2">
      <c r="J347"/>
      <c r="K347"/>
      <c r="L347"/>
      <c r="M347"/>
      <c r="N347"/>
      <c r="O347"/>
      <c r="P347" s="2"/>
      <c r="T347"/>
      <c r="U347"/>
      <c r="V347"/>
      <c r="X347"/>
    </row>
    <row r="348" spans="10:24" s="1" customFormat="1" x14ac:dyDescent="0.2">
      <c r="J348"/>
      <c r="K348"/>
      <c r="L348"/>
      <c r="M348"/>
      <c r="N348"/>
      <c r="O348"/>
      <c r="P348" s="2"/>
      <c r="T348"/>
      <c r="U348"/>
      <c r="V348"/>
      <c r="X348"/>
    </row>
    <row r="349" spans="10:24" s="1" customFormat="1" x14ac:dyDescent="0.2">
      <c r="J349"/>
      <c r="K349"/>
      <c r="L349"/>
      <c r="M349"/>
      <c r="N349"/>
      <c r="O349"/>
      <c r="P349" s="2"/>
      <c r="T349"/>
      <c r="U349"/>
      <c r="V349"/>
      <c r="X349"/>
    </row>
    <row r="350" spans="10:24" s="1" customFormat="1" x14ac:dyDescent="0.2">
      <c r="J350"/>
      <c r="K350"/>
      <c r="L350"/>
      <c r="M350"/>
      <c r="N350"/>
      <c r="O350"/>
      <c r="P350" s="2"/>
      <c r="T350"/>
      <c r="U350"/>
      <c r="V350"/>
      <c r="X350"/>
    </row>
    <row r="351" spans="10:24" s="1" customFormat="1" x14ac:dyDescent="0.2">
      <c r="J351"/>
      <c r="K351"/>
      <c r="L351"/>
      <c r="M351"/>
      <c r="N351"/>
      <c r="O351"/>
      <c r="P351" s="2"/>
      <c r="T351"/>
      <c r="U351"/>
      <c r="V351"/>
      <c r="X351"/>
    </row>
    <row r="352" spans="10:24" s="1" customFormat="1" x14ac:dyDescent="0.2">
      <c r="J352"/>
      <c r="K352"/>
      <c r="L352"/>
      <c r="M352"/>
      <c r="N352"/>
      <c r="O352"/>
      <c r="P352" s="2"/>
      <c r="T352"/>
      <c r="U352"/>
      <c r="V352"/>
      <c r="X352"/>
    </row>
    <row r="353" spans="10:24" s="1" customFormat="1" x14ac:dyDescent="0.2">
      <c r="J353"/>
      <c r="K353"/>
      <c r="L353"/>
      <c r="M353"/>
      <c r="N353"/>
      <c r="O353"/>
      <c r="P353" s="2"/>
      <c r="T353"/>
      <c r="U353"/>
      <c r="V353"/>
      <c r="X353"/>
    </row>
    <row r="354" spans="10:24" s="1" customFormat="1" x14ac:dyDescent="0.2">
      <c r="J354"/>
      <c r="K354"/>
      <c r="L354"/>
      <c r="M354"/>
      <c r="N354"/>
      <c r="O354"/>
      <c r="P354" s="2"/>
      <c r="T354"/>
      <c r="U354"/>
      <c r="V354"/>
      <c r="X354"/>
    </row>
    <row r="355" spans="10:24" s="1" customFormat="1" x14ac:dyDescent="0.2">
      <c r="J355"/>
      <c r="K355"/>
      <c r="L355"/>
      <c r="M355"/>
      <c r="N355"/>
      <c r="O355"/>
      <c r="P355" s="2"/>
      <c r="T355"/>
      <c r="U355"/>
      <c r="V355"/>
      <c r="X355"/>
    </row>
    <row r="356" spans="10:24" s="1" customFormat="1" x14ac:dyDescent="0.2">
      <c r="J356"/>
      <c r="K356"/>
      <c r="L356"/>
      <c r="M356"/>
      <c r="N356"/>
      <c r="O356"/>
      <c r="P356" s="2"/>
      <c r="T356"/>
      <c r="U356"/>
      <c r="V356"/>
      <c r="X356"/>
    </row>
    <row r="357" spans="10:24" s="1" customFormat="1" x14ac:dyDescent="0.2">
      <c r="J357"/>
      <c r="K357"/>
      <c r="L357"/>
      <c r="M357"/>
      <c r="N357"/>
      <c r="O357"/>
      <c r="P357" s="2"/>
      <c r="T357"/>
      <c r="U357"/>
      <c r="V357"/>
      <c r="X357"/>
    </row>
    <row r="358" spans="10:24" s="1" customFormat="1" x14ac:dyDescent="0.2">
      <c r="J358"/>
      <c r="K358"/>
      <c r="L358"/>
      <c r="M358"/>
      <c r="N358"/>
      <c r="O358"/>
      <c r="P358" s="2"/>
      <c r="T358"/>
      <c r="U358"/>
      <c r="V358"/>
      <c r="X358"/>
    </row>
    <row r="359" spans="10:24" s="1" customFormat="1" x14ac:dyDescent="0.2">
      <c r="J359"/>
      <c r="K359"/>
      <c r="L359"/>
      <c r="M359"/>
      <c r="N359"/>
      <c r="O359"/>
      <c r="P359" s="2"/>
      <c r="T359"/>
      <c r="U359"/>
      <c r="V359"/>
      <c r="X359"/>
    </row>
    <row r="360" spans="10:24" s="1" customFormat="1" x14ac:dyDescent="0.2">
      <c r="J360"/>
      <c r="K360"/>
      <c r="L360"/>
      <c r="M360"/>
      <c r="N360"/>
      <c r="O360"/>
      <c r="P360" s="2"/>
      <c r="T360"/>
      <c r="U360"/>
      <c r="V360"/>
      <c r="X360"/>
    </row>
    <row r="361" spans="10:24" s="1" customFormat="1" x14ac:dyDescent="0.2">
      <c r="J361"/>
      <c r="K361"/>
      <c r="L361"/>
      <c r="M361"/>
      <c r="N361"/>
      <c r="O361"/>
      <c r="P361" s="2"/>
      <c r="T361"/>
      <c r="U361"/>
      <c r="V361"/>
      <c r="X361"/>
    </row>
    <row r="362" spans="10:24" s="1" customFormat="1" x14ac:dyDescent="0.2">
      <c r="J362"/>
      <c r="K362"/>
      <c r="L362"/>
      <c r="M362"/>
      <c r="N362"/>
      <c r="O362"/>
      <c r="P362" s="2"/>
      <c r="T362"/>
      <c r="U362"/>
      <c r="V362"/>
      <c r="X362"/>
    </row>
    <row r="363" spans="10:24" s="1" customFormat="1" x14ac:dyDescent="0.2">
      <c r="J363"/>
      <c r="K363"/>
      <c r="L363"/>
      <c r="M363"/>
      <c r="N363"/>
      <c r="O363"/>
      <c r="P363" s="2"/>
      <c r="T363"/>
      <c r="U363"/>
      <c r="V363"/>
      <c r="X363"/>
    </row>
    <row r="364" spans="10:24" s="1" customFormat="1" x14ac:dyDescent="0.2">
      <c r="J364"/>
      <c r="K364"/>
      <c r="L364"/>
      <c r="M364"/>
      <c r="N364"/>
      <c r="O364"/>
      <c r="P364" s="2"/>
      <c r="T364"/>
      <c r="U364"/>
      <c r="V364"/>
      <c r="X364"/>
    </row>
    <row r="365" spans="10:24" s="1" customFormat="1" x14ac:dyDescent="0.2">
      <c r="J365"/>
      <c r="K365"/>
      <c r="L365"/>
      <c r="M365"/>
      <c r="N365"/>
      <c r="O365"/>
      <c r="P365" s="2"/>
      <c r="T365"/>
      <c r="U365"/>
      <c r="V365"/>
      <c r="X365"/>
    </row>
    <row r="366" spans="10:24" s="1" customFormat="1" x14ac:dyDescent="0.2">
      <c r="J366"/>
      <c r="K366"/>
      <c r="L366"/>
      <c r="M366"/>
      <c r="N366"/>
      <c r="O366"/>
      <c r="P366" s="2"/>
      <c r="T366"/>
      <c r="U366"/>
      <c r="V366"/>
      <c r="X366"/>
    </row>
    <row r="367" spans="10:24" s="1" customFormat="1" x14ac:dyDescent="0.2">
      <c r="J367"/>
      <c r="K367"/>
      <c r="L367"/>
      <c r="M367"/>
      <c r="N367"/>
      <c r="O367"/>
      <c r="P367" s="2"/>
      <c r="T367"/>
      <c r="U367"/>
      <c r="V367"/>
      <c r="X367"/>
    </row>
    <row r="368" spans="10:24" s="1" customFormat="1" x14ac:dyDescent="0.2">
      <c r="J368"/>
      <c r="K368"/>
      <c r="L368"/>
      <c r="M368"/>
      <c r="N368"/>
      <c r="O368"/>
      <c r="P368" s="2"/>
      <c r="T368"/>
      <c r="U368"/>
      <c r="V368"/>
      <c r="X368"/>
    </row>
    <row r="369" spans="10:24" s="1" customFormat="1" x14ac:dyDescent="0.2">
      <c r="J369"/>
      <c r="K369"/>
      <c r="L369"/>
      <c r="M369"/>
      <c r="N369"/>
      <c r="O369"/>
      <c r="P369" s="2"/>
      <c r="T369"/>
      <c r="U369"/>
      <c r="V369"/>
      <c r="X369"/>
    </row>
    <row r="370" spans="10:24" s="1" customFormat="1" x14ac:dyDescent="0.2">
      <c r="J370"/>
      <c r="K370"/>
      <c r="L370"/>
      <c r="M370"/>
      <c r="N370"/>
      <c r="O370"/>
      <c r="P370" s="2"/>
      <c r="T370"/>
      <c r="U370"/>
      <c r="V370"/>
      <c r="X370"/>
    </row>
    <row r="371" spans="10:24" s="1" customFormat="1" x14ac:dyDescent="0.2">
      <c r="J371"/>
      <c r="K371"/>
      <c r="L371"/>
      <c r="M371"/>
      <c r="N371"/>
      <c r="O371"/>
      <c r="P371" s="2"/>
      <c r="T371"/>
      <c r="U371"/>
      <c r="V371"/>
      <c r="X371"/>
    </row>
    <row r="372" spans="10:24" s="1" customFormat="1" x14ac:dyDescent="0.2">
      <c r="J372"/>
      <c r="K372"/>
      <c r="L372"/>
      <c r="M372"/>
      <c r="N372"/>
      <c r="O372"/>
      <c r="P372" s="2"/>
      <c r="T372"/>
      <c r="U372"/>
      <c r="V372"/>
      <c r="X372"/>
    </row>
    <row r="373" spans="10:24" s="1" customFormat="1" x14ac:dyDescent="0.2">
      <c r="J373"/>
      <c r="K373"/>
      <c r="L373"/>
      <c r="M373"/>
      <c r="N373"/>
      <c r="O373"/>
      <c r="P373" s="2"/>
      <c r="T373"/>
      <c r="U373"/>
      <c r="V373"/>
      <c r="X373"/>
    </row>
    <row r="374" spans="10:24" s="1" customFormat="1" x14ac:dyDescent="0.2">
      <c r="J374"/>
      <c r="K374"/>
      <c r="L374"/>
      <c r="M374"/>
      <c r="N374"/>
      <c r="O374"/>
      <c r="P374" s="2"/>
      <c r="T374"/>
      <c r="U374"/>
      <c r="V374"/>
      <c r="X374"/>
    </row>
    <row r="375" spans="10:24" s="1" customFormat="1" x14ac:dyDescent="0.2">
      <c r="J375"/>
      <c r="K375"/>
      <c r="L375"/>
      <c r="M375"/>
      <c r="N375"/>
      <c r="O375"/>
      <c r="P375" s="2"/>
      <c r="T375"/>
      <c r="U375"/>
      <c r="V375"/>
      <c r="X375"/>
    </row>
    <row r="376" spans="10:24" s="1" customFormat="1" x14ac:dyDescent="0.2">
      <c r="J376"/>
      <c r="K376"/>
      <c r="L376"/>
      <c r="M376"/>
      <c r="N376"/>
      <c r="O376"/>
      <c r="P376" s="2"/>
      <c r="T376"/>
      <c r="U376"/>
      <c r="V376"/>
      <c r="X376"/>
    </row>
    <row r="377" spans="10:24" s="1" customFormat="1" x14ac:dyDescent="0.2">
      <c r="J377"/>
      <c r="K377"/>
      <c r="L377"/>
      <c r="M377"/>
      <c r="N377"/>
      <c r="O377"/>
      <c r="P377" s="2"/>
      <c r="T377"/>
      <c r="U377"/>
      <c r="V377"/>
      <c r="X377"/>
    </row>
    <row r="378" spans="10:24" s="1" customFormat="1" x14ac:dyDescent="0.2">
      <c r="J378"/>
      <c r="K378"/>
      <c r="L378"/>
      <c r="M378"/>
      <c r="N378"/>
      <c r="O378"/>
      <c r="P378" s="2"/>
      <c r="T378"/>
      <c r="U378"/>
      <c r="V378"/>
      <c r="X378"/>
    </row>
    <row r="379" spans="10:24" s="1" customFormat="1" x14ac:dyDescent="0.2">
      <c r="J379"/>
      <c r="K379"/>
      <c r="L379"/>
      <c r="M379"/>
      <c r="N379"/>
      <c r="O379"/>
      <c r="P379" s="2"/>
      <c r="T379"/>
      <c r="U379"/>
      <c r="V379"/>
      <c r="X379"/>
    </row>
    <row r="380" spans="10:24" s="1" customFormat="1" x14ac:dyDescent="0.2">
      <c r="J380"/>
      <c r="K380"/>
      <c r="L380"/>
      <c r="M380"/>
      <c r="N380"/>
      <c r="O380"/>
      <c r="P380" s="2"/>
      <c r="T380"/>
      <c r="U380"/>
      <c r="V380"/>
      <c r="X380"/>
    </row>
    <row r="381" spans="10:24" s="1" customFormat="1" x14ac:dyDescent="0.2">
      <c r="J381"/>
      <c r="K381"/>
      <c r="L381"/>
      <c r="M381"/>
      <c r="N381"/>
      <c r="O381"/>
      <c r="P381" s="2"/>
      <c r="T381"/>
      <c r="U381"/>
      <c r="V381"/>
      <c r="X381"/>
    </row>
    <row r="382" spans="10:24" s="1" customFormat="1" x14ac:dyDescent="0.2">
      <c r="J382"/>
      <c r="K382"/>
      <c r="L382"/>
      <c r="M382"/>
      <c r="N382"/>
      <c r="O382"/>
      <c r="P382" s="2"/>
      <c r="T382"/>
      <c r="U382"/>
      <c r="V382"/>
      <c r="X382"/>
    </row>
    <row r="383" spans="10:24" s="1" customFormat="1" x14ac:dyDescent="0.2">
      <c r="J383"/>
      <c r="K383"/>
      <c r="L383"/>
      <c r="M383"/>
      <c r="N383"/>
      <c r="O383"/>
      <c r="P383" s="2"/>
      <c r="T383"/>
      <c r="U383"/>
      <c r="V383"/>
      <c r="X383"/>
    </row>
    <row r="384" spans="10:24" s="1" customFormat="1" x14ac:dyDescent="0.2">
      <c r="J384"/>
      <c r="K384"/>
      <c r="L384"/>
      <c r="M384"/>
      <c r="N384"/>
      <c r="O384"/>
      <c r="P384" s="2"/>
      <c r="T384"/>
      <c r="U384"/>
      <c r="V384"/>
      <c r="X384"/>
    </row>
    <row r="385" spans="10:24" s="1" customFormat="1" x14ac:dyDescent="0.2">
      <c r="J385"/>
      <c r="K385"/>
      <c r="L385"/>
      <c r="M385"/>
      <c r="N385"/>
      <c r="O385"/>
      <c r="P385" s="2"/>
      <c r="T385"/>
      <c r="U385"/>
      <c r="V385"/>
      <c r="X385"/>
    </row>
    <row r="386" spans="10:24" s="1" customFormat="1" x14ac:dyDescent="0.2">
      <c r="J386"/>
      <c r="K386"/>
      <c r="L386"/>
      <c r="M386"/>
      <c r="N386"/>
      <c r="O386"/>
      <c r="P386" s="2"/>
      <c r="T386"/>
      <c r="U386"/>
      <c r="V386"/>
      <c r="X386"/>
    </row>
    <row r="387" spans="10:24" s="1" customFormat="1" x14ac:dyDescent="0.2">
      <c r="J387"/>
      <c r="K387"/>
      <c r="L387"/>
      <c r="M387"/>
      <c r="N387"/>
      <c r="O387"/>
      <c r="P387" s="2"/>
      <c r="T387"/>
      <c r="U387"/>
      <c r="V387"/>
      <c r="X387"/>
    </row>
    <row r="388" spans="10:24" s="1" customFormat="1" x14ac:dyDescent="0.2">
      <c r="J388"/>
      <c r="K388"/>
      <c r="L388"/>
      <c r="M388"/>
      <c r="N388"/>
      <c r="O388"/>
      <c r="P388" s="2"/>
      <c r="T388"/>
      <c r="U388"/>
      <c r="V388"/>
      <c r="X388"/>
    </row>
    <row r="389" spans="10:24" s="1" customFormat="1" x14ac:dyDescent="0.2">
      <c r="J389"/>
      <c r="K389"/>
      <c r="L389"/>
      <c r="M389"/>
      <c r="N389"/>
      <c r="O389"/>
      <c r="P389" s="2"/>
      <c r="T389"/>
      <c r="U389"/>
      <c r="V389"/>
      <c r="X389"/>
    </row>
    <row r="390" spans="10:24" s="1" customFormat="1" x14ac:dyDescent="0.2">
      <c r="J390"/>
      <c r="K390"/>
      <c r="L390"/>
      <c r="M390"/>
      <c r="N390"/>
      <c r="O390"/>
      <c r="P390" s="2"/>
      <c r="T390"/>
      <c r="U390"/>
      <c r="V390"/>
      <c r="X390"/>
    </row>
    <row r="391" spans="10:24" s="1" customFormat="1" x14ac:dyDescent="0.2">
      <c r="J391"/>
      <c r="K391"/>
      <c r="L391"/>
      <c r="M391"/>
      <c r="N391"/>
      <c r="O391"/>
      <c r="P391" s="2"/>
      <c r="T391"/>
      <c r="U391"/>
      <c r="V391"/>
      <c r="X391"/>
    </row>
    <row r="392" spans="10:24" s="1" customFormat="1" x14ac:dyDescent="0.2">
      <c r="J392"/>
      <c r="K392"/>
      <c r="L392"/>
      <c r="M392"/>
      <c r="N392"/>
      <c r="O392"/>
      <c r="P392" s="2"/>
      <c r="T392"/>
      <c r="U392"/>
      <c r="V392"/>
      <c r="X392"/>
    </row>
    <row r="393" spans="10:24" s="1" customFormat="1" x14ac:dyDescent="0.2">
      <c r="J393"/>
      <c r="K393"/>
      <c r="L393"/>
      <c r="M393"/>
      <c r="N393"/>
      <c r="O393"/>
      <c r="P393" s="2"/>
      <c r="T393"/>
      <c r="U393"/>
      <c r="V393"/>
      <c r="X393"/>
    </row>
    <row r="394" spans="10:24" s="1" customFormat="1" x14ac:dyDescent="0.2">
      <c r="J394"/>
      <c r="K394"/>
      <c r="L394"/>
      <c r="M394"/>
      <c r="N394"/>
      <c r="O394"/>
      <c r="P394" s="2"/>
      <c r="T394"/>
      <c r="U394"/>
      <c r="V394"/>
      <c r="X394"/>
    </row>
    <row r="395" spans="10:24" s="1" customFormat="1" x14ac:dyDescent="0.2">
      <c r="J395"/>
      <c r="K395"/>
      <c r="L395"/>
      <c r="M395"/>
      <c r="N395"/>
      <c r="O395"/>
      <c r="P395" s="2"/>
      <c r="T395"/>
      <c r="U395"/>
      <c r="V395"/>
      <c r="X395"/>
    </row>
    <row r="396" spans="10:24" s="1" customFormat="1" x14ac:dyDescent="0.2">
      <c r="J396"/>
      <c r="K396"/>
      <c r="L396"/>
      <c r="M396"/>
      <c r="N396"/>
      <c r="O396"/>
      <c r="P396" s="2"/>
      <c r="T396"/>
      <c r="U396"/>
      <c r="V396"/>
      <c r="X396"/>
    </row>
    <row r="397" spans="10:24" s="1" customFormat="1" x14ac:dyDescent="0.2">
      <c r="J397"/>
      <c r="K397"/>
      <c r="L397"/>
      <c r="M397"/>
      <c r="N397"/>
      <c r="O397"/>
      <c r="P397" s="2"/>
      <c r="T397"/>
      <c r="U397"/>
      <c r="V397"/>
      <c r="X397"/>
    </row>
    <row r="398" spans="10:24" s="1" customFormat="1" x14ac:dyDescent="0.2">
      <c r="J398"/>
      <c r="K398"/>
      <c r="L398"/>
      <c r="M398"/>
      <c r="N398"/>
      <c r="O398"/>
      <c r="P398" s="2"/>
      <c r="T398"/>
      <c r="U398"/>
      <c r="V398"/>
      <c r="X398"/>
    </row>
    <row r="399" spans="10:24" s="1" customFormat="1" x14ac:dyDescent="0.2">
      <c r="J399"/>
      <c r="K399"/>
      <c r="L399"/>
      <c r="M399"/>
      <c r="N399"/>
      <c r="O399"/>
      <c r="P399" s="2"/>
      <c r="T399"/>
      <c r="U399"/>
      <c r="V399"/>
      <c r="X399"/>
    </row>
    <row r="400" spans="10:24" s="1" customFormat="1" x14ac:dyDescent="0.2">
      <c r="J400"/>
      <c r="K400"/>
      <c r="L400"/>
      <c r="M400"/>
      <c r="N400"/>
      <c r="O400"/>
      <c r="P400" s="2"/>
      <c r="T400"/>
      <c r="U400"/>
      <c r="V400"/>
      <c r="X400"/>
    </row>
    <row r="401" spans="10:24" s="1" customFormat="1" x14ac:dyDescent="0.2">
      <c r="J401"/>
      <c r="K401"/>
      <c r="L401"/>
      <c r="M401"/>
      <c r="N401"/>
      <c r="O401"/>
      <c r="P401" s="2"/>
      <c r="T401"/>
      <c r="U401"/>
      <c r="V401"/>
      <c r="X401"/>
    </row>
    <row r="402" spans="10:24" s="1" customFormat="1" x14ac:dyDescent="0.2">
      <c r="J402"/>
      <c r="K402"/>
      <c r="L402"/>
      <c r="M402"/>
      <c r="N402"/>
      <c r="O402"/>
      <c r="P402" s="2"/>
      <c r="T402"/>
      <c r="U402"/>
      <c r="V402"/>
      <c r="X402"/>
    </row>
    <row r="403" spans="10:24" s="1" customFormat="1" x14ac:dyDescent="0.2">
      <c r="J403"/>
      <c r="K403"/>
      <c r="L403"/>
      <c r="M403"/>
      <c r="N403"/>
      <c r="O403"/>
      <c r="P403" s="2"/>
      <c r="T403"/>
      <c r="U403"/>
      <c r="V403"/>
      <c r="X403"/>
    </row>
    <row r="404" spans="10:24" s="1" customFormat="1" x14ac:dyDescent="0.2">
      <c r="J404"/>
      <c r="K404"/>
      <c r="L404"/>
      <c r="M404"/>
      <c r="N404"/>
      <c r="O404"/>
      <c r="P404" s="2"/>
      <c r="T404"/>
      <c r="U404"/>
      <c r="V404"/>
      <c r="X404"/>
    </row>
    <row r="405" spans="10:24" s="1" customFormat="1" x14ac:dyDescent="0.2">
      <c r="J405"/>
      <c r="K405"/>
      <c r="L405"/>
      <c r="M405"/>
      <c r="N405"/>
      <c r="O405"/>
      <c r="P405" s="2"/>
      <c r="T405"/>
      <c r="U405"/>
      <c r="V405"/>
      <c r="X405"/>
    </row>
    <row r="406" spans="10:24" s="1" customFormat="1" x14ac:dyDescent="0.2">
      <c r="J406"/>
      <c r="K406"/>
      <c r="L406"/>
      <c r="M406"/>
      <c r="N406"/>
      <c r="O406"/>
      <c r="P406" s="2"/>
      <c r="T406"/>
      <c r="U406"/>
      <c r="V406"/>
      <c r="X406"/>
    </row>
    <row r="407" spans="10:24" s="1" customFormat="1" x14ac:dyDescent="0.2">
      <c r="J407"/>
      <c r="K407"/>
      <c r="L407"/>
      <c r="M407"/>
      <c r="N407"/>
      <c r="O407"/>
      <c r="P407" s="2"/>
      <c r="T407"/>
      <c r="U407"/>
      <c r="V407"/>
      <c r="X407"/>
    </row>
    <row r="408" spans="10:24" s="1" customFormat="1" x14ac:dyDescent="0.2">
      <c r="J408"/>
      <c r="K408"/>
      <c r="L408"/>
      <c r="M408"/>
      <c r="N408"/>
      <c r="O408"/>
      <c r="P408" s="2"/>
      <c r="T408"/>
      <c r="U408"/>
      <c r="V408"/>
      <c r="X408"/>
    </row>
    <row r="409" spans="10:24" s="1" customFormat="1" x14ac:dyDescent="0.2">
      <c r="J409"/>
      <c r="K409"/>
      <c r="L409"/>
      <c r="M409"/>
      <c r="N409"/>
      <c r="O409"/>
      <c r="P409" s="2"/>
      <c r="T409"/>
      <c r="U409"/>
      <c r="V409"/>
      <c r="X409"/>
    </row>
    <row r="410" spans="10:24" s="1" customFormat="1" x14ac:dyDescent="0.2">
      <c r="J410"/>
      <c r="K410"/>
      <c r="L410"/>
      <c r="M410"/>
      <c r="N410"/>
      <c r="O410"/>
      <c r="P410" s="2"/>
      <c r="T410"/>
      <c r="U410"/>
      <c r="V410"/>
      <c r="X410"/>
    </row>
    <row r="411" spans="10:24" s="1" customFormat="1" x14ac:dyDescent="0.2">
      <c r="J411"/>
      <c r="K411"/>
      <c r="L411"/>
      <c r="M411"/>
      <c r="N411"/>
      <c r="O411"/>
      <c r="P411" s="2"/>
      <c r="T411"/>
      <c r="U411"/>
      <c r="V411"/>
      <c r="X411"/>
    </row>
    <row r="412" spans="10:24" s="1" customFormat="1" x14ac:dyDescent="0.2">
      <c r="J412"/>
      <c r="K412"/>
      <c r="L412"/>
      <c r="M412"/>
      <c r="N412"/>
      <c r="O412"/>
      <c r="P412" s="2"/>
      <c r="T412"/>
      <c r="U412"/>
      <c r="V412"/>
      <c r="X412"/>
    </row>
    <row r="413" spans="10:24" s="1" customFormat="1" x14ac:dyDescent="0.2">
      <c r="J413"/>
      <c r="K413"/>
      <c r="L413"/>
      <c r="M413"/>
      <c r="N413"/>
      <c r="O413"/>
      <c r="P413" s="2"/>
      <c r="T413"/>
      <c r="U413"/>
      <c r="V413"/>
      <c r="X413"/>
    </row>
    <row r="414" spans="10:24" s="1" customFormat="1" x14ac:dyDescent="0.2">
      <c r="J414"/>
      <c r="K414"/>
      <c r="L414"/>
      <c r="M414"/>
      <c r="N414"/>
      <c r="O414"/>
      <c r="P414" s="2"/>
      <c r="T414"/>
      <c r="U414"/>
      <c r="V414"/>
      <c r="X414"/>
    </row>
    <row r="415" spans="10:24" s="1" customFormat="1" x14ac:dyDescent="0.2">
      <c r="J415"/>
      <c r="K415"/>
      <c r="L415"/>
      <c r="M415"/>
      <c r="N415"/>
      <c r="O415"/>
      <c r="P415" s="2"/>
      <c r="T415"/>
      <c r="U415"/>
      <c r="V415"/>
      <c r="X415"/>
    </row>
    <row r="416" spans="10:24" s="1" customFormat="1" x14ac:dyDescent="0.2">
      <c r="J416"/>
      <c r="K416"/>
      <c r="L416"/>
      <c r="M416"/>
      <c r="N416"/>
      <c r="O416"/>
      <c r="P416" s="2"/>
      <c r="T416"/>
      <c r="U416"/>
      <c r="V416"/>
      <c r="X416"/>
    </row>
    <row r="417" spans="10:24" s="1" customFormat="1" x14ac:dyDescent="0.2">
      <c r="J417"/>
      <c r="K417"/>
      <c r="L417"/>
      <c r="M417"/>
      <c r="N417"/>
      <c r="O417"/>
      <c r="P417" s="2"/>
      <c r="T417"/>
      <c r="U417"/>
      <c r="V417"/>
      <c r="X417"/>
    </row>
    <row r="418" spans="10:24" s="1" customFormat="1" x14ac:dyDescent="0.2">
      <c r="J418"/>
      <c r="K418"/>
      <c r="L418"/>
      <c r="M418"/>
      <c r="N418"/>
      <c r="O418"/>
      <c r="P418" s="2"/>
      <c r="T418"/>
      <c r="U418"/>
      <c r="V418"/>
      <c r="X418"/>
    </row>
    <row r="419" spans="10:24" s="1" customFormat="1" x14ac:dyDescent="0.2">
      <c r="J419"/>
      <c r="K419"/>
      <c r="L419"/>
      <c r="M419"/>
      <c r="N419"/>
      <c r="O419"/>
      <c r="P419" s="2"/>
      <c r="T419"/>
      <c r="U419"/>
      <c r="V419"/>
      <c r="X419"/>
    </row>
    <row r="420" spans="10:24" s="1" customFormat="1" x14ac:dyDescent="0.2">
      <c r="J420"/>
      <c r="K420"/>
      <c r="L420"/>
      <c r="M420"/>
      <c r="N420"/>
      <c r="O420"/>
      <c r="P420" s="2"/>
      <c r="T420"/>
      <c r="U420"/>
      <c r="V420"/>
      <c r="X420"/>
    </row>
    <row r="421" spans="10:24" s="1" customFormat="1" x14ac:dyDescent="0.2">
      <c r="J421"/>
      <c r="K421"/>
      <c r="L421"/>
      <c r="M421"/>
      <c r="N421"/>
      <c r="O421"/>
      <c r="P421" s="2"/>
      <c r="T421"/>
      <c r="U421"/>
      <c r="V421"/>
      <c r="X421"/>
    </row>
    <row r="422" spans="10:24" s="1" customFormat="1" x14ac:dyDescent="0.2">
      <c r="J422"/>
      <c r="K422"/>
      <c r="L422"/>
      <c r="M422"/>
      <c r="N422"/>
      <c r="O422"/>
      <c r="P422" s="2"/>
      <c r="T422"/>
      <c r="U422"/>
      <c r="V422"/>
      <c r="X422"/>
    </row>
    <row r="423" spans="10:24" s="1" customFormat="1" x14ac:dyDescent="0.2">
      <c r="J423"/>
      <c r="K423"/>
      <c r="L423"/>
      <c r="M423"/>
      <c r="N423"/>
      <c r="O423"/>
      <c r="P423" s="2"/>
      <c r="T423"/>
      <c r="U423"/>
      <c r="V423"/>
      <c r="X423"/>
    </row>
    <row r="424" spans="10:24" s="1" customFormat="1" x14ac:dyDescent="0.2">
      <c r="J424"/>
      <c r="K424"/>
      <c r="L424"/>
      <c r="M424"/>
      <c r="N424"/>
      <c r="O424"/>
      <c r="P424" s="2"/>
      <c r="T424"/>
      <c r="U424"/>
      <c r="V424"/>
      <c r="X424"/>
    </row>
    <row r="425" spans="10:24" s="1" customFormat="1" x14ac:dyDescent="0.2">
      <c r="J425"/>
      <c r="K425"/>
      <c r="L425"/>
      <c r="M425"/>
      <c r="N425"/>
      <c r="O425"/>
      <c r="P425" s="2"/>
      <c r="T425"/>
      <c r="U425"/>
      <c r="V425"/>
      <c r="X425"/>
    </row>
    <row r="426" spans="10:24" s="1" customFormat="1" x14ac:dyDescent="0.2">
      <c r="J426"/>
      <c r="K426"/>
      <c r="L426"/>
      <c r="M426"/>
      <c r="N426"/>
      <c r="O426"/>
      <c r="P426" s="2"/>
      <c r="T426"/>
      <c r="U426"/>
      <c r="V426"/>
      <c r="X426"/>
    </row>
    <row r="427" spans="10:24" s="1" customFormat="1" x14ac:dyDescent="0.2">
      <c r="J427"/>
      <c r="K427"/>
      <c r="L427"/>
      <c r="M427"/>
      <c r="N427"/>
      <c r="O427"/>
      <c r="P427" s="2"/>
      <c r="T427"/>
      <c r="U427"/>
      <c r="V427"/>
      <c r="X427"/>
    </row>
    <row r="428" spans="10:24" s="1" customFormat="1" x14ac:dyDescent="0.2">
      <c r="J428"/>
      <c r="K428"/>
      <c r="L428"/>
      <c r="M428"/>
      <c r="N428"/>
      <c r="O428"/>
      <c r="P428" s="2"/>
      <c r="T428"/>
      <c r="U428"/>
      <c r="V428"/>
      <c r="X428"/>
    </row>
    <row r="429" spans="10:24" s="1" customFormat="1" x14ac:dyDescent="0.2">
      <c r="J429"/>
      <c r="K429"/>
      <c r="L429"/>
      <c r="M429"/>
      <c r="N429"/>
      <c r="O429"/>
      <c r="P429" s="2"/>
      <c r="T429"/>
      <c r="U429"/>
      <c r="V429"/>
      <c r="X429"/>
    </row>
    <row r="430" spans="10:24" s="1" customFormat="1" x14ac:dyDescent="0.2">
      <c r="J430"/>
      <c r="K430"/>
      <c r="L430"/>
      <c r="M430"/>
      <c r="N430"/>
      <c r="O430"/>
      <c r="P430" s="2"/>
      <c r="T430"/>
      <c r="U430"/>
      <c r="V430"/>
      <c r="X430"/>
    </row>
    <row r="431" spans="10:24" s="1" customFormat="1" x14ac:dyDescent="0.2">
      <c r="J431"/>
      <c r="K431"/>
      <c r="L431"/>
      <c r="M431"/>
      <c r="N431"/>
      <c r="O431"/>
      <c r="P431" s="2"/>
      <c r="T431"/>
      <c r="U431"/>
      <c r="V431"/>
      <c r="X431"/>
    </row>
    <row r="432" spans="10:24" s="1" customFormat="1" x14ac:dyDescent="0.2">
      <c r="J432"/>
      <c r="K432"/>
      <c r="L432"/>
      <c r="M432"/>
      <c r="N432"/>
      <c r="O432"/>
      <c r="P432" s="2"/>
      <c r="T432"/>
      <c r="U432"/>
      <c r="V432"/>
      <c r="X432"/>
    </row>
    <row r="433" spans="10:24" s="1" customFormat="1" x14ac:dyDescent="0.2">
      <c r="J433"/>
      <c r="K433"/>
      <c r="L433"/>
      <c r="M433"/>
      <c r="N433"/>
      <c r="O433"/>
      <c r="P433" s="2"/>
      <c r="T433"/>
      <c r="U433"/>
      <c r="V433"/>
      <c r="X433"/>
    </row>
    <row r="434" spans="10:24" s="1" customFormat="1" x14ac:dyDescent="0.2">
      <c r="J434"/>
      <c r="K434"/>
      <c r="L434"/>
      <c r="M434"/>
      <c r="N434"/>
      <c r="O434"/>
      <c r="P434" s="2"/>
      <c r="T434"/>
      <c r="U434"/>
      <c r="V434"/>
      <c r="X434"/>
    </row>
    <row r="435" spans="10:24" s="1" customFormat="1" x14ac:dyDescent="0.2">
      <c r="J435"/>
      <c r="K435"/>
      <c r="L435"/>
      <c r="M435"/>
      <c r="N435"/>
      <c r="O435"/>
      <c r="P435" s="2"/>
      <c r="T435"/>
      <c r="U435"/>
      <c r="V435"/>
      <c r="X435"/>
    </row>
    <row r="436" spans="10:24" s="1" customFormat="1" x14ac:dyDescent="0.2">
      <c r="J436"/>
      <c r="K436"/>
      <c r="L436"/>
      <c r="M436"/>
      <c r="N436"/>
      <c r="O436"/>
      <c r="P436" s="2"/>
      <c r="T436"/>
      <c r="U436"/>
      <c r="V436"/>
      <c r="X436"/>
    </row>
    <row r="437" spans="10:24" s="1" customFormat="1" x14ac:dyDescent="0.2">
      <c r="J437"/>
      <c r="K437"/>
      <c r="L437"/>
      <c r="M437"/>
      <c r="N437"/>
      <c r="O437"/>
      <c r="P437" s="2"/>
      <c r="T437"/>
      <c r="U437"/>
      <c r="V437"/>
      <c r="X437"/>
    </row>
    <row r="438" spans="10:24" s="1" customFormat="1" x14ac:dyDescent="0.2">
      <c r="J438"/>
      <c r="K438"/>
      <c r="L438"/>
      <c r="M438"/>
      <c r="N438"/>
      <c r="O438"/>
      <c r="P438" s="2"/>
      <c r="T438"/>
      <c r="U438"/>
      <c r="V438"/>
      <c r="X438"/>
    </row>
    <row r="439" spans="10:24" s="1" customFormat="1" x14ac:dyDescent="0.2">
      <c r="J439"/>
      <c r="K439"/>
      <c r="L439"/>
      <c r="M439"/>
      <c r="N439"/>
      <c r="O439"/>
      <c r="P439" s="2"/>
      <c r="T439"/>
      <c r="U439"/>
      <c r="V439"/>
      <c r="X439"/>
    </row>
    <row r="440" spans="10:24" s="1" customFormat="1" x14ac:dyDescent="0.2">
      <c r="J440"/>
      <c r="K440"/>
      <c r="L440"/>
      <c r="M440"/>
      <c r="N440"/>
      <c r="O440"/>
      <c r="P440" s="2"/>
      <c r="T440"/>
      <c r="U440"/>
      <c r="V440"/>
      <c r="X440"/>
    </row>
    <row r="441" spans="10:24" s="1" customFormat="1" x14ac:dyDescent="0.2">
      <c r="J441"/>
      <c r="K441"/>
      <c r="L441"/>
      <c r="M441"/>
      <c r="N441"/>
      <c r="O441"/>
      <c r="P441" s="2"/>
      <c r="T441"/>
      <c r="U441"/>
      <c r="V441"/>
      <c r="X441"/>
    </row>
    <row r="442" spans="10:24" s="1" customFormat="1" x14ac:dyDescent="0.2">
      <c r="J442"/>
      <c r="K442"/>
      <c r="L442"/>
      <c r="M442"/>
      <c r="N442"/>
      <c r="O442"/>
      <c r="P442" s="2"/>
      <c r="T442"/>
      <c r="U442"/>
      <c r="V442"/>
      <c r="X442"/>
    </row>
    <row r="443" spans="10:24" s="1" customFormat="1" x14ac:dyDescent="0.2">
      <c r="J443"/>
      <c r="K443"/>
      <c r="L443"/>
      <c r="M443"/>
      <c r="N443"/>
      <c r="O443"/>
      <c r="P443" s="2"/>
      <c r="T443"/>
      <c r="U443"/>
      <c r="V443"/>
      <c r="X443"/>
    </row>
    <row r="444" spans="10:24" s="1" customFormat="1" x14ac:dyDescent="0.2">
      <c r="J444"/>
      <c r="K444"/>
      <c r="L444"/>
      <c r="M444"/>
      <c r="N444"/>
      <c r="O444"/>
      <c r="P444" s="2"/>
      <c r="T444"/>
      <c r="U444"/>
      <c r="V444"/>
      <c r="X444"/>
    </row>
    <row r="445" spans="10:24" s="1" customFormat="1" x14ac:dyDescent="0.2">
      <c r="J445"/>
      <c r="K445"/>
      <c r="L445"/>
      <c r="M445"/>
      <c r="N445"/>
      <c r="O445"/>
      <c r="P445" s="2"/>
      <c r="T445"/>
      <c r="U445"/>
      <c r="V445"/>
      <c r="X445"/>
    </row>
    <row r="446" spans="10:24" s="1" customFormat="1" x14ac:dyDescent="0.2">
      <c r="J446"/>
      <c r="K446"/>
      <c r="L446"/>
      <c r="M446"/>
      <c r="N446"/>
      <c r="O446"/>
      <c r="P446" s="2"/>
      <c r="T446"/>
      <c r="U446"/>
      <c r="V446"/>
      <c r="X446"/>
    </row>
    <row r="447" spans="10:24" s="1" customFormat="1" x14ac:dyDescent="0.2">
      <c r="J447"/>
      <c r="K447"/>
      <c r="L447"/>
      <c r="M447"/>
      <c r="N447"/>
      <c r="O447"/>
      <c r="P447" s="2"/>
      <c r="T447"/>
      <c r="U447"/>
      <c r="V447"/>
      <c r="X447"/>
    </row>
    <row r="448" spans="10:24" s="1" customFormat="1" x14ac:dyDescent="0.2">
      <c r="J448"/>
      <c r="K448"/>
      <c r="L448"/>
      <c r="M448"/>
      <c r="N448"/>
      <c r="O448"/>
      <c r="P448" s="2"/>
      <c r="T448"/>
      <c r="U448"/>
      <c r="V448"/>
      <c r="X448"/>
    </row>
    <row r="449" spans="10:24" s="1" customFormat="1" x14ac:dyDescent="0.2">
      <c r="J449"/>
      <c r="K449"/>
      <c r="L449"/>
      <c r="M449"/>
      <c r="N449"/>
      <c r="O449"/>
      <c r="P449" s="2"/>
      <c r="T449"/>
      <c r="U449"/>
      <c r="V449"/>
      <c r="X449"/>
    </row>
    <row r="450" spans="10:24" s="1" customFormat="1" x14ac:dyDescent="0.2">
      <c r="J450"/>
      <c r="K450"/>
      <c r="L450"/>
      <c r="M450"/>
      <c r="N450"/>
      <c r="O450"/>
      <c r="P450" s="2"/>
      <c r="T450"/>
      <c r="U450"/>
      <c r="V450"/>
      <c r="X450"/>
    </row>
    <row r="451" spans="10:24" s="1" customFormat="1" x14ac:dyDescent="0.2">
      <c r="J451"/>
      <c r="K451"/>
      <c r="L451"/>
      <c r="M451"/>
      <c r="N451"/>
      <c r="O451"/>
      <c r="P451" s="2"/>
      <c r="T451"/>
      <c r="U451"/>
      <c r="V451"/>
      <c r="X451"/>
    </row>
    <row r="452" spans="10:24" s="1" customFormat="1" x14ac:dyDescent="0.2">
      <c r="J452"/>
      <c r="K452"/>
      <c r="L452"/>
      <c r="M452"/>
      <c r="N452"/>
      <c r="O452"/>
      <c r="P452" s="2"/>
      <c r="T452"/>
      <c r="U452"/>
      <c r="V452"/>
      <c r="X452"/>
    </row>
    <row r="453" spans="10:24" s="1" customFormat="1" x14ac:dyDescent="0.2">
      <c r="J453"/>
      <c r="K453"/>
      <c r="L453"/>
      <c r="M453"/>
      <c r="N453"/>
      <c r="O453"/>
      <c r="P453" s="2"/>
      <c r="T453"/>
      <c r="U453"/>
      <c r="V453"/>
      <c r="X453"/>
    </row>
    <row r="454" spans="10:24" s="1" customFormat="1" x14ac:dyDescent="0.2">
      <c r="J454"/>
      <c r="K454"/>
      <c r="L454"/>
      <c r="M454"/>
      <c r="N454"/>
      <c r="O454"/>
      <c r="P454" s="2"/>
      <c r="T454"/>
      <c r="U454"/>
      <c r="V454"/>
      <c r="X454"/>
    </row>
    <row r="455" spans="10:24" s="1" customFormat="1" x14ac:dyDescent="0.2">
      <c r="J455"/>
      <c r="K455"/>
      <c r="L455"/>
      <c r="M455"/>
      <c r="N455"/>
      <c r="O455"/>
      <c r="P455" s="2"/>
      <c r="T455"/>
      <c r="U455"/>
      <c r="V455"/>
      <c r="X455"/>
    </row>
    <row r="456" spans="10:24" s="1" customFormat="1" x14ac:dyDescent="0.2">
      <c r="J456"/>
      <c r="K456"/>
      <c r="L456"/>
      <c r="M456"/>
      <c r="N456"/>
      <c r="O456"/>
      <c r="P456" s="2"/>
      <c r="T456"/>
      <c r="U456"/>
      <c r="V456"/>
      <c r="X456"/>
    </row>
    <row r="457" spans="10:24" s="1" customFormat="1" x14ac:dyDescent="0.2">
      <c r="J457"/>
      <c r="K457"/>
      <c r="L457"/>
      <c r="M457"/>
      <c r="N457"/>
      <c r="O457"/>
      <c r="P457" s="2"/>
      <c r="T457"/>
      <c r="U457"/>
      <c r="V457"/>
      <c r="X457"/>
    </row>
    <row r="458" spans="10:24" s="1" customFormat="1" x14ac:dyDescent="0.2">
      <c r="J458"/>
      <c r="K458"/>
      <c r="L458"/>
      <c r="M458"/>
      <c r="N458"/>
      <c r="O458"/>
      <c r="P458" s="2"/>
      <c r="T458"/>
      <c r="U458"/>
      <c r="V458"/>
      <c r="X458"/>
    </row>
    <row r="459" spans="10:24" s="1" customFormat="1" x14ac:dyDescent="0.2">
      <c r="J459"/>
      <c r="K459"/>
      <c r="L459"/>
      <c r="M459"/>
      <c r="N459"/>
      <c r="O459"/>
      <c r="P459" s="2"/>
      <c r="T459"/>
      <c r="U459"/>
      <c r="V459"/>
      <c r="X459"/>
    </row>
    <row r="460" spans="10:24" s="1" customFormat="1" x14ac:dyDescent="0.2">
      <c r="J460"/>
      <c r="K460"/>
      <c r="L460"/>
      <c r="M460"/>
      <c r="N460"/>
      <c r="O460"/>
      <c r="P460" s="2"/>
      <c r="T460"/>
      <c r="U460"/>
      <c r="V460"/>
      <c r="X460"/>
    </row>
    <row r="461" spans="10:24" s="1" customFormat="1" x14ac:dyDescent="0.2">
      <c r="J461"/>
      <c r="K461"/>
      <c r="L461"/>
      <c r="M461"/>
      <c r="N461"/>
      <c r="O461"/>
      <c r="P461" s="2"/>
      <c r="T461"/>
      <c r="U461"/>
      <c r="V461"/>
      <c r="X461"/>
    </row>
    <row r="462" spans="10:24" s="1" customFormat="1" x14ac:dyDescent="0.2">
      <c r="J462"/>
      <c r="K462"/>
      <c r="L462"/>
      <c r="M462"/>
      <c r="N462"/>
      <c r="O462"/>
      <c r="P462" s="2"/>
      <c r="T462"/>
      <c r="U462"/>
      <c r="V462"/>
      <c r="X462"/>
    </row>
    <row r="463" spans="10:24" s="1" customFormat="1" x14ac:dyDescent="0.2">
      <c r="J463"/>
      <c r="K463"/>
      <c r="L463"/>
      <c r="M463"/>
      <c r="N463"/>
      <c r="O463"/>
      <c r="P463" s="2"/>
      <c r="T463"/>
      <c r="U463"/>
      <c r="V463"/>
      <c r="X463"/>
    </row>
    <row r="464" spans="10:24" s="1" customFormat="1" x14ac:dyDescent="0.2">
      <c r="J464"/>
      <c r="K464"/>
      <c r="L464"/>
      <c r="M464"/>
      <c r="N464"/>
      <c r="O464"/>
      <c r="P464" s="2"/>
      <c r="T464"/>
      <c r="U464"/>
      <c r="V464"/>
      <c r="X464"/>
    </row>
    <row r="465" spans="10:24" s="1" customFormat="1" x14ac:dyDescent="0.2">
      <c r="J465"/>
      <c r="K465"/>
      <c r="L465"/>
      <c r="M465"/>
      <c r="N465"/>
      <c r="O465"/>
      <c r="P465" s="2"/>
      <c r="T465"/>
      <c r="U465"/>
      <c r="V465"/>
      <c r="X465"/>
    </row>
    <row r="466" spans="10:24" s="1" customFormat="1" x14ac:dyDescent="0.2">
      <c r="J466"/>
      <c r="K466"/>
      <c r="L466"/>
      <c r="M466"/>
      <c r="N466"/>
      <c r="O466"/>
      <c r="P466" s="2"/>
      <c r="T466"/>
      <c r="U466"/>
      <c r="V466"/>
      <c r="X466"/>
    </row>
    <row r="467" spans="10:24" s="1" customFormat="1" x14ac:dyDescent="0.2">
      <c r="J467"/>
      <c r="K467"/>
      <c r="L467"/>
      <c r="M467"/>
      <c r="N467"/>
      <c r="O467"/>
      <c r="P467" s="2"/>
      <c r="T467"/>
      <c r="U467"/>
      <c r="V467"/>
      <c r="X467"/>
    </row>
    <row r="468" spans="10:24" s="1" customFormat="1" x14ac:dyDescent="0.2">
      <c r="J468"/>
      <c r="K468"/>
      <c r="L468"/>
      <c r="M468"/>
      <c r="N468"/>
      <c r="O468"/>
      <c r="P468" s="2"/>
      <c r="T468"/>
      <c r="U468"/>
      <c r="V468"/>
      <c r="X468"/>
    </row>
    <row r="469" spans="10:24" s="1" customFormat="1" x14ac:dyDescent="0.2">
      <c r="J469"/>
      <c r="K469"/>
      <c r="L469"/>
      <c r="M469"/>
      <c r="N469"/>
      <c r="O469"/>
      <c r="P469" s="2"/>
      <c r="T469"/>
      <c r="U469"/>
      <c r="V469"/>
      <c r="X469"/>
    </row>
    <row r="470" spans="10:24" s="1" customFormat="1" x14ac:dyDescent="0.2">
      <c r="J470"/>
      <c r="K470"/>
      <c r="L470"/>
      <c r="M470"/>
      <c r="N470"/>
      <c r="O470"/>
      <c r="P470" s="2"/>
      <c r="T470"/>
      <c r="U470"/>
      <c r="V470"/>
      <c r="X470"/>
    </row>
    <row r="471" spans="10:24" s="1" customFormat="1" x14ac:dyDescent="0.2">
      <c r="J471"/>
      <c r="K471"/>
      <c r="L471"/>
      <c r="M471"/>
      <c r="N471"/>
      <c r="O471"/>
      <c r="P471" s="2"/>
      <c r="T471"/>
      <c r="U471"/>
      <c r="V471"/>
      <c r="X471"/>
    </row>
    <row r="472" spans="10:24" s="1" customFormat="1" x14ac:dyDescent="0.2">
      <c r="J472"/>
      <c r="K472"/>
      <c r="L472"/>
      <c r="M472"/>
      <c r="N472"/>
      <c r="O472"/>
      <c r="P472" s="2"/>
      <c r="T472"/>
      <c r="U472"/>
      <c r="V472"/>
      <c r="X472"/>
    </row>
    <row r="473" spans="10:24" s="1" customFormat="1" x14ac:dyDescent="0.2">
      <c r="J473"/>
      <c r="K473"/>
      <c r="L473"/>
      <c r="M473"/>
      <c r="N473"/>
      <c r="O473"/>
      <c r="P473" s="2"/>
      <c r="T473"/>
      <c r="U473"/>
      <c r="V473"/>
      <c r="X473"/>
    </row>
    <row r="474" spans="10:24" s="1" customFormat="1" x14ac:dyDescent="0.2">
      <c r="J474"/>
      <c r="K474"/>
      <c r="L474"/>
      <c r="M474"/>
      <c r="N474"/>
      <c r="O474"/>
      <c r="P474" s="2"/>
      <c r="T474"/>
      <c r="U474"/>
      <c r="V474"/>
      <c r="X474"/>
    </row>
    <row r="475" spans="10:24" s="1" customFormat="1" x14ac:dyDescent="0.2">
      <c r="J475"/>
      <c r="K475"/>
      <c r="L475"/>
      <c r="M475"/>
      <c r="N475"/>
      <c r="O475"/>
      <c r="P475" s="2"/>
      <c r="T475"/>
      <c r="U475"/>
      <c r="V475"/>
      <c r="X475"/>
    </row>
    <row r="476" spans="10:24" s="1" customFormat="1" x14ac:dyDescent="0.2">
      <c r="J476"/>
      <c r="K476"/>
      <c r="L476"/>
      <c r="M476"/>
      <c r="N476"/>
      <c r="O476"/>
      <c r="P476" s="2"/>
      <c r="T476"/>
      <c r="U476"/>
      <c r="V476"/>
      <c r="X476"/>
    </row>
    <row r="477" spans="10:24" s="1" customFormat="1" x14ac:dyDescent="0.2">
      <c r="J477"/>
      <c r="K477"/>
      <c r="L477"/>
      <c r="M477"/>
      <c r="N477"/>
      <c r="O477"/>
      <c r="P477" s="2"/>
      <c r="T477"/>
      <c r="U477"/>
      <c r="V477"/>
      <c r="X477"/>
    </row>
    <row r="478" spans="10:24" s="1" customFormat="1" x14ac:dyDescent="0.2">
      <c r="J478"/>
      <c r="K478"/>
      <c r="L478"/>
      <c r="M478"/>
      <c r="N478"/>
      <c r="O478"/>
      <c r="P478" s="2"/>
      <c r="T478"/>
      <c r="U478"/>
      <c r="V478"/>
      <c r="X478"/>
    </row>
    <row r="479" spans="10:24" s="1" customFormat="1" x14ac:dyDescent="0.2">
      <c r="J479"/>
      <c r="K479"/>
      <c r="L479"/>
      <c r="M479"/>
      <c r="N479"/>
      <c r="O479"/>
      <c r="P479" s="2"/>
      <c r="T479"/>
      <c r="U479"/>
      <c r="V479"/>
      <c r="X479"/>
    </row>
    <row r="480" spans="10:24" s="1" customFormat="1" x14ac:dyDescent="0.2">
      <c r="J480"/>
      <c r="K480"/>
      <c r="L480"/>
      <c r="M480"/>
      <c r="N480"/>
      <c r="O480"/>
      <c r="P480" s="2"/>
      <c r="T480"/>
      <c r="U480"/>
      <c r="V480"/>
      <c r="X480"/>
    </row>
    <row r="481" spans="10:24" s="1" customFormat="1" x14ac:dyDescent="0.2">
      <c r="J481"/>
      <c r="K481"/>
      <c r="L481"/>
      <c r="M481"/>
      <c r="N481"/>
      <c r="O481"/>
      <c r="P481" s="2"/>
      <c r="T481"/>
      <c r="U481"/>
      <c r="V481"/>
      <c r="X481"/>
    </row>
    <row r="482" spans="10:24" s="1" customFormat="1" x14ac:dyDescent="0.2">
      <c r="J482"/>
      <c r="K482"/>
      <c r="L482"/>
      <c r="M482"/>
      <c r="N482"/>
      <c r="O482"/>
      <c r="P482" s="2"/>
      <c r="T482"/>
      <c r="U482"/>
      <c r="V482"/>
      <c r="X482"/>
    </row>
    <row r="483" spans="10:24" s="1" customFormat="1" x14ac:dyDescent="0.2">
      <c r="J483"/>
      <c r="K483"/>
      <c r="L483"/>
      <c r="M483"/>
      <c r="N483"/>
      <c r="O483"/>
      <c r="P483" s="2"/>
      <c r="T483"/>
      <c r="U483"/>
      <c r="V483"/>
      <c r="X483"/>
    </row>
    <row r="484" spans="10:24" s="1" customFormat="1" x14ac:dyDescent="0.2">
      <c r="J484"/>
      <c r="K484"/>
      <c r="L484"/>
      <c r="M484"/>
      <c r="N484"/>
      <c r="O484"/>
      <c r="P484" s="2"/>
      <c r="T484"/>
      <c r="U484"/>
      <c r="V484"/>
      <c r="X484"/>
    </row>
    <row r="485" spans="10:24" s="1" customFormat="1" x14ac:dyDescent="0.2">
      <c r="J485"/>
      <c r="K485"/>
      <c r="L485"/>
      <c r="M485"/>
      <c r="N485"/>
      <c r="O485"/>
      <c r="P485" s="2"/>
      <c r="T485"/>
      <c r="U485"/>
      <c r="V485"/>
      <c r="X485"/>
    </row>
    <row r="486" spans="10:24" s="1" customFormat="1" x14ac:dyDescent="0.2">
      <c r="J486"/>
      <c r="K486"/>
      <c r="L486"/>
      <c r="M486"/>
      <c r="N486"/>
      <c r="O486"/>
      <c r="P486" s="2"/>
      <c r="T486"/>
      <c r="U486"/>
      <c r="V486"/>
      <c r="X486"/>
    </row>
    <row r="487" spans="10:24" s="1" customFormat="1" x14ac:dyDescent="0.2">
      <c r="J487"/>
      <c r="K487"/>
      <c r="L487"/>
      <c r="M487"/>
      <c r="N487"/>
      <c r="O487"/>
      <c r="P487" s="2"/>
      <c r="T487"/>
      <c r="U487"/>
      <c r="V487"/>
      <c r="X487"/>
    </row>
    <row r="488" spans="10:24" s="1" customFormat="1" x14ac:dyDescent="0.2">
      <c r="J488"/>
      <c r="K488"/>
      <c r="L488"/>
      <c r="M488"/>
      <c r="N488"/>
      <c r="O488"/>
      <c r="P488" s="2"/>
      <c r="T488"/>
      <c r="U488"/>
      <c r="V488"/>
      <c r="X488"/>
    </row>
    <row r="489" spans="10:24" s="1" customFormat="1" x14ac:dyDescent="0.2">
      <c r="J489"/>
      <c r="K489"/>
      <c r="L489"/>
      <c r="M489"/>
      <c r="N489"/>
      <c r="O489"/>
      <c r="P489" s="2"/>
      <c r="T489"/>
      <c r="U489"/>
      <c r="V489"/>
      <c r="X489"/>
    </row>
    <row r="490" spans="10:24" s="1" customFormat="1" x14ac:dyDescent="0.2">
      <c r="J490"/>
      <c r="K490"/>
      <c r="L490"/>
      <c r="M490"/>
      <c r="N490"/>
      <c r="O490"/>
      <c r="P490" s="2"/>
      <c r="T490"/>
      <c r="U490"/>
      <c r="V490"/>
      <c r="X490"/>
    </row>
    <row r="491" spans="10:24" s="1" customFormat="1" x14ac:dyDescent="0.2">
      <c r="J491"/>
      <c r="K491"/>
      <c r="L491"/>
      <c r="M491"/>
      <c r="N491"/>
      <c r="O491"/>
      <c r="P491" s="2"/>
      <c r="T491"/>
      <c r="U491"/>
      <c r="V491"/>
      <c r="X491"/>
    </row>
    <row r="492" spans="10:24" s="1" customFormat="1" x14ac:dyDescent="0.2">
      <c r="J492"/>
      <c r="K492"/>
      <c r="L492"/>
      <c r="M492"/>
      <c r="N492"/>
      <c r="O492"/>
      <c r="P492" s="2"/>
      <c r="T492"/>
      <c r="U492"/>
      <c r="V492"/>
      <c r="X492"/>
    </row>
    <row r="493" spans="10:24" s="1" customFormat="1" x14ac:dyDescent="0.2">
      <c r="J493"/>
      <c r="K493"/>
      <c r="L493"/>
      <c r="M493"/>
      <c r="N493"/>
      <c r="O493"/>
      <c r="P493" s="2"/>
      <c r="T493"/>
      <c r="U493"/>
      <c r="V493"/>
      <c r="X493"/>
    </row>
    <row r="494" spans="10:24" s="1" customFormat="1" x14ac:dyDescent="0.2">
      <c r="J494"/>
      <c r="K494"/>
      <c r="L494"/>
      <c r="M494"/>
      <c r="N494"/>
      <c r="O494"/>
      <c r="P494" s="2"/>
      <c r="T494"/>
      <c r="U494"/>
      <c r="V494"/>
      <c r="X494"/>
    </row>
    <row r="495" spans="10:24" s="1" customFormat="1" x14ac:dyDescent="0.2">
      <c r="J495"/>
      <c r="K495"/>
      <c r="L495"/>
      <c r="M495"/>
      <c r="N495"/>
      <c r="O495"/>
      <c r="P495" s="2"/>
      <c r="T495"/>
      <c r="U495"/>
      <c r="V495"/>
      <c r="X495"/>
    </row>
    <row r="496" spans="10:24" s="1" customFormat="1" x14ac:dyDescent="0.2">
      <c r="J496"/>
      <c r="K496"/>
      <c r="L496"/>
      <c r="M496"/>
      <c r="N496"/>
      <c r="O496"/>
      <c r="P496" s="2"/>
      <c r="T496"/>
      <c r="U496"/>
      <c r="V496"/>
      <c r="X496"/>
    </row>
    <row r="497" spans="10:24" s="1" customFormat="1" x14ac:dyDescent="0.2">
      <c r="J497"/>
      <c r="K497"/>
      <c r="L497"/>
      <c r="M497"/>
      <c r="N497"/>
      <c r="O497"/>
      <c r="P497" s="2"/>
      <c r="T497"/>
      <c r="U497"/>
      <c r="V497"/>
      <c r="X497"/>
    </row>
    <row r="498" spans="10:24" s="1" customFormat="1" x14ac:dyDescent="0.2">
      <c r="J498"/>
      <c r="K498"/>
      <c r="L498"/>
      <c r="M498"/>
      <c r="N498"/>
      <c r="O498"/>
      <c r="P498" s="2"/>
      <c r="T498"/>
      <c r="U498"/>
      <c r="V498"/>
      <c r="X498"/>
    </row>
    <row r="499" spans="10:24" s="1" customFormat="1" x14ac:dyDescent="0.2">
      <c r="J499"/>
      <c r="K499"/>
      <c r="L499"/>
      <c r="M499"/>
      <c r="N499"/>
      <c r="O499"/>
      <c r="P499" s="2"/>
      <c r="T499"/>
      <c r="U499"/>
      <c r="V499"/>
      <c r="X499"/>
    </row>
    <row r="500" spans="10:24" s="1" customFormat="1" x14ac:dyDescent="0.2">
      <c r="J500"/>
      <c r="K500"/>
      <c r="L500"/>
      <c r="M500"/>
      <c r="N500"/>
      <c r="O500"/>
      <c r="P500" s="2"/>
      <c r="T500"/>
      <c r="U500"/>
      <c r="V500"/>
      <c r="X500"/>
    </row>
    <row r="501" spans="10:24" s="1" customFormat="1" x14ac:dyDescent="0.2">
      <c r="J501"/>
      <c r="K501"/>
      <c r="L501"/>
      <c r="M501"/>
      <c r="N501"/>
      <c r="O501"/>
      <c r="P501" s="2"/>
      <c r="T501"/>
      <c r="U501"/>
      <c r="V501"/>
      <c r="X501"/>
    </row>
    <row r="502" spans="10:24" s="1" customFormat="1" x14ac:dyDescent="0.2">
      <c r="J502"/>
      <c r="K502"/>
      <c r="L502"/>
      <c r="M502"/>
      <c r="N502"/>
      <c r="O502"/>
      <c r="P502" s="2"/>
      <c r="T502"/>
      <c r="U502"/>
      <c r="V502"/>
      <c r="X502"/>
    </row>
    <row r="503" spans="10:24" s="1" customFormat="1" x14ac:dyDescent="0.2">
      <c r="J503"/>
      <c r="K503"/>
      <c r="L503"/>
      <c r="M503"/>
      <c r="N503"/>
      <c r="O503"/>
      <c r="P503" s="2"/>
      <c r="T503"/>
      <c r="U503"/>
      <c r="V503"/>
      <c r="X503"/>
    </row>
    <row r="504" spans="10:24" s="1" customFormat="1" x14ac:dyDescent="0.2">
      <c r="J504"/>
      <c r="K504"/>
      <c r="L504"/>
      <c r="M504"/>
      <c r="N504"/>
      <c r="O504"/>
      <c r="P504" s="2"/>
      <c r="T504"/>
      <c r="U504"/>
      <c r="V504"/>
      <c r="X504"/>
    </row>
    <row r="505" spans="10:24" s="1" customFormat="1" x14ac:dyDescent="0.2">
      <c r="J505"/>
      <c r="K505"/>
      <c r="L505"/>
      <c r="M505"/>
      <c r="N505"/>
      <c r="O505"/>
      <c r="P505" s="2"/>
      <c r="T505"/>
      <c r="U505"/>
      <c r="V505"/>
      <c r="X505"/>
    </row>
    <row r="506" spans="10:24" s="1" customFormat="1" x14ac:dyDescent="0.2">
      <c r="J506"/>
      <c r="K506"/>
      <c r="L506"/>
      <c r="M506"/>
      <c r="N506"/>
      <c r="O506"/>
      <c r="P506" s="2"/>
      <c r="T506"/>
      <c r="U506"/>
      <c r="V506"/>
      <c r="X506"/>
    </row>
    <row r="507" spans="10:24" s="1" customFormat="1" x14ac:dyDescent="0.2">
      <c r="J507"/>
      <c r="K507"/>
      <c r="L507"/>
      <c r="M507"/>
      <c r="N507"/>
      <c r="O507"/>
      <c r="P507" s="2"/>
      <c r="T507"/>
      <c r="U507"/>
      <c r="V507"/>
      <c r="X507"/>
    </row>
    <row r="508" spans="10:24" s="1" customFormat="1" x14ac:dyDescent="0.2">
      <c r="J508"/>
      <c r="K508"/>
      <c r="L508"/>
      <c r="M508"/>
      <c r="N508"/>
      <c r="O508"/>
      <c r="P508" s="2"/>
      <c r="T508"/>
      <c r="U508"/>
      <c r="V508"/>
      <c r="X508"/>
    </row>
    <row r="509" spans="10:24" s="1" customFormat="1" x14ac:dyDescent="0.2">
      <c r="J509"/>
      <c r="K509"/>
      <c r="L509"/>
      <c r="M509"/>
      <c r="N509"/>
      <c r="O509"/>
      <c r="P509" s="2"/>
      <c r="T509"/>
      <c r="U509"/>
      <c r="V509"/>
      <c r="X509"/>
    </row>
    <row r="510" spans="10:24" s="1" customFormat="1" x14ac:dyDescent="0.2">
      <c r="J510"/>
      <c r="K510"/>
      <c r="L510"/>
      <c r="M510"/>
      <c r="N510"/>
      <c r="O510"/>
      <c r="P510" s="2"/>
      <c r="T510"/>
      <c r="U510"/>
      <c r="V510"/>
      <c r="X510"/>
    </row>
    <row r="511" spans="10:24" s="1" customFormat="1" x14ac:dyDescent="0.2">
      <c r="J511"/>
      <c r="K511"/>
      <c r="L511"/>
      <c r="M511"/>
      <c r="N511"/>
      <c r="O511"/>
      <c r="P511" s="2"/>
      <c r="T511"/>
      <c r="U511"/>
      <c r="V511"/>
      <c r="X511"/>
    </row>
    <row r="512" spans="10:24" s="1" customFormat="1" x14ac:dyDescent="0.2">
      <c r="J512"/>
      <c r="K512"/>
      <c r="L512"/>
      <c r="M512"/>
      <c r="N512"/>
      <c r="O512"/>
      <c r="P512" s="2"/>
      <c r="T512"/>
      <c r="U512"/>
      <c r="V512"/>
      <c r="X512"/>
    </row>
    <row r="513" spans="10:24" s="1" customFormat="1" x14ac:dyDescent="0.2">
      <c r="J513"/>
      <c r="K513"/>
      <c r="L513"/>
      <c r="M513"/>
      <c r="N513"/>
      <c r="O513"/>
      <c r="P513" s="2"/>
      <c r="T513"/>
      <c r="U513"/>
      <c r="V513"/>
      <c r="X513"/>
    </row>
    <row r="514" spans="10:24" s="1" customFormat="1" x14ac:dyDescent="0.2">
      <c r="J514"/>
      <c r="K514"/>
      <c r="L514"/>
      <c r="M514"/>
      <c r="N514"/>
      <c r="O514"/>
      <c r="P514" s="2"/>
      <c r="T514"/>
      <c r="U514"/>
      <c r="V514"/>
      <c r="X514"/>
    </row>
    <row r="515" spans="10:24" s="1" customFormat="1" x14ac:dyDescent="0.2">
      <c r="J515"/>
      <c r="K515"/>
      <c r="L515"/>
      <c r="M515"/>
      <c r="N515"/>
      <c r="O515"/>
      <c r="P515" s="2"/>
      <c r="T515"/>
      <c r="U515"/>
      <c r="V515"/>
      <c r="X515"/>
    </row>
    <row r="516" spans="10:24" s="1" customFormat="1" x14ac:dyDescent="0.2">
      <c r="J516"/>
      <c r="K516"/>
      <c r="L516"/>
      <c r="M516"/>
      <c r="N516"/>
      <c r="O516"/>
      <c r="P516" s="2"/>
      <c r="T516"/>
      <c r="U516"/>
      <c r="V516"/>
      <c r="X516"/>
    </row>
    <row r="517" spans="10:24" s="1" customFormat="1" x14ac:dyDescent="0.2">
      <c r="J517"/>
      <c r="K517"/>
      <c r="L517"/>
      <c r="M517"/>
      <c r="N517"/>
      <c r="O517"/>
      <c r="P517" s="2"/>
      <c r="T517"/>
      <c r="U517"/>
      <c r="V517"/>
      <c r="X517"/>
    </row>
    <row r="518" spans="10:24" s="1" customFormat="1" x14ac:dyDescent="0.2">
      <c r="J518"/>
      <c r="K518"/>
      <c r="L518"/>
      <c r="M518"/>
      <c r="N518"/>
      <c r="O518"/>
      <c r="P518" s="2"/>
      <c r="T518"/>
      <c r="U518"/>
      <c r="V518"/>
      <c r="X518"/>
    </row>
    <row r="519" spans="10:24" s="1" customFormat="1" x14ac:dyDescent="0.2">
      <c r="J519"/>
      <c r="K519"/>
      <c r="L519"/>
      <c r="M519"/>
      <c r="N519"/>
      <c r="O519"/>
      <c r="P519" s="2"/>
      <c r="T519"/>
      <c r="U519"/>
      <c r="V519"/>
      <c r="X519"/>
    </row>
    <row r="520" spans="10:24" s="1" customFormat="1" x14ac:dyDescent="0.2">
      <c r="J520"/>
      <c r="K520"/>
      <c r="L520"/>
      <c r="M520"/>
      <c r="N520"/>
      <c r="O520"/>
      <c r="P520" s="2"/>
      <c r="T520"/>
      <c r="U520"/>
      <c r="V520"/>
      <c r="X520"/>
    </row>
    <row r="521" spans="10:24" s="1" customFormat="1" x14ac:dyDescent="0.2">
      <c r="J521"/>
      <c r="K521"/>
      <c r="L521"/>
      <c r="M521"/>
      <c r="N521"/>
      <c r="O521"/>
      <c r="P521" s="2"/>
      <c r="T521"/>
      <c r="U521"/>
      <c r="V521"/>
      <c r="X521"/>
    </row>
    <row r="522" spans="10:24" s="1" customFormat="1" x14ac:dyDescent="0.2">
      <c r="J522"/>
      <c r="K522"/>
      <c r="L522"/>
      <c r="M522"/>
      <c r="N522"/>
      <c r="O522"/>
      <c r="P522" s="2"/>
      <c r="T522"/>
      <c r="U522"/>
      <c r="V522"/>
      <c r="X522"/>
    </row>
    <row r="523" spans="10:24" s="1" customFormat="1" x14ac:dyDescent="0.2">
      <c r="J523"/>
      <c r="K523"/>
      <c r="L523"/>
      <c r="M523"/>
      <c r="N523"/>
      <c r="O523"/>
      <c r="P523" s="2"/>
      <c r="T523"/>
      <c r="U523"/>
      <c r="V523"/>
      <c r="X523"/>
    </row>
    <row r="524" spans="10:24" s="1" customFormat="1" x14ac:dyDescent="0.2">
      <c r="J524"/>
      <c r="K524"/>
      <c r="L524"/>
      <c r="M524"/>
      <c r="N524"/>
      <c r="O524"/>
      <c r="P524" s="2"/>
      <c r="T524"/>
      <c r="U524"/>
      <c r="V524"/>
      <c r="X524"/>
    </row>
    <row r="525" spans="10:24" s="1" customFormat="1" x14ac:dyDescent="0.2">
      <c r="J525"/>
      <c r="K525"/>
      <c r="L525"/>
      <c r="M525"/>
      <c r="N525"/>
      <c r="O525"/>
      <c r="P525" s="2"/>
      <c r="T525"/>
      <c r="U525"/>
      <c r="V525"/>
      <c r="X525"/>
    </row>
    <row r="526" spans="10:24" s="1" customFormat="1" x14ac:dyDescent="0.2">
      <c r="J526"/>
      <c r="K526"/>
      <c r="L526"/>
      <c r="M526"/>
      <c r="N526"/>
      <c r="O526"/>
      <c r="P526" s="2"/>
      <c r="T526"/>
      <c r="U526"/>
      <c r="V526"/>
      <c r="X526"/>
    </row>
    <row r="527" spans="10:24" s="1" customFormat="1" x14ac:dyDescent="0.2">
      <c r="J527"/>
      <c r="K527"/>
      <c r="L527"/>
      <c r="M527"/>
      <c r="N527"/>
      <c r="O527"/>
      <c r="P527" s="2"/>
      <c r="T527"/>
      <c r="U527"/>
      <c r="V527"/>
      <c r="X527"/>
    </row>
    <row r="528" spans="10:24" s="1" customFormat="1" x14ac:dyDescent="0.2">
      <c r="J528"/>
      <c r="K528"/>
      <c r="L528"/>
      <c r="M528"/>
      <c r="N528"/>
      <c r="O528"/>
      <c r="P528" s="2"/>
      <c r="T528"/>
      <c r="U528"/>
      <c r="V528"/>
      <c r="X528"/>
    </row>
    <row r="529" spans="10:24" s="1" customFormat="1" x14ac:dyDescent="0.2">
      <c r="J529"/>
      <c r="K529"/>
      <c r="L529"/>
      <c r="M529"/>
      <c r="N529"/>
      <c r="O529"/>
      <c r="P529" s="2"/>
      <c r="T529"/>
      <c r="U529"/>
      <c r="V529"/>
      <c r="X529"/>
    </row>
    <row r="530" spans="10:24" s="1" customFormat="1" x14ac:dyDescent="0.2">
      <c r="J530"/>
      <c r="K530"/>
      <c r="L530"/>
      <c r="M530"/>
      <c r="N530"/>
      <c r="O530"/>
      <c r="P530" s="2"/>
      <c r="T530"/>
      <c r="U530"/>
      <c r="V530"/>
      <c r="X530"/>
    </row>
    <row r="531" spans="10:24" s="1" customFormat="1" x14ac:dyDescent="0.2">
      <c r="J531"/>
      <c r="K531"/>
      <c r="L531"/>
      <c r="M531"/>
      <c r="N531"/>
      <c r="O531"/>
      <c r="P531" s="2"/>
      <c r="T531"/>
      <c r="U531"/>
      <c r="V531"/>
      <c r="X531"/>
    </row>
    <row r="532" spans="10:24" s="1" customFormat="1" x14ac:dyDescent="0.2">
      <c r="J532"/>
      <c r="K532"/>
      <c r="L532"/>
      <c r="M532"/>
      <c r="N532"/>
      <c r="O532"/>
      <c r="P532" s="2"/>
      <c r="T532"/>
      <c r="U532"/>
      <c r="V532"/>
      <c r="X532"/>
    </row>
    <row r="533" spans="10:24" s="1" customFormat="1" x14ac:dyDescent="0.2">
      <c r="J533"/>
      <c r="K533"/>
      <c r="L533"/>
      <c r="M533"/>
      <c r="N533"/>
      <c r="O533"/>
      <c r="P533" s="2"/>
      <c r="T533"/>
      <c r="U533"/>
      <c r="V533"/>
      <c r="X533"/>
    </row>
    <row r="534" spans="10:24" s="1" customFormat="1" x14ac:dyDescent="0.2">
      <c r="J534"/>
      <c r="K534"/>
      <c r="L534"/>
      <c r="M534"/>
      <c r="N534"/>
      <c r="O534"/>
      <c r="P534" s="2"/>
      <c r="T534"/>
      <c r="U534"/>
      <c r="V534"/>
      <c r="X534"/>
    </row>
    <row r="535" spans="10:24" s="1" customFormat="1" x14ac:dyDescent="0.2">
      <c r="J535"/>
      <c r="K535"/>
      <c r="L535"/>
      <c r="M535"/>
      <c r="N535"/>
      <c r="O535"/>
      <c r="P535" s="2"/>
      <c r="T535"/>
      <c r="U535"/>
      <c r="V535"/>
      <c r="X535"/>
    </row>
    <row r="536" spans="10:24" s="1" customFormat="1" x14ac:dyDescent="0.2">
      <c r="J536"/>
      <c r="K536"/>
      <c r="L536"/>
      <c r="M536"/>
      <c r="N536"/>
      <c r="O536"/>
      <c r="P536" s="2"/>
      <c r="T536"/>
      <c r="U536"/>
      <c r="V536"/>
      <c r="X536"/>
    </row>
    <row r="537" spans="10:24" s="1" customFormat="1" x14ac:dyDescent="0.2">
      <c r="J537"/>
      <c r="K537"/>
      <c r="L537"/>
      <c r="M537"/>
      <c r="N537"/>
      <c r="O537"/>
      <c r="P537" s="2"/>
      <c r="T537"/>
      <c r="U537"/>
      <c r="V537"/>
      <c r="X537"/>
    </row>
    <row r="538" spans="10:24" s="1" customFormat="1" x14ac:dyDescent="0.2">
      <c r="J538"/>
      <c r="K538"/>
      <c r="L538"/>
      <c r="M538"/>
      <c r="N538"/>
      <c r="O538"/>
      <c r="P538" s="2"/>
      <c r="T538"/>
      <c r="U538"/>
      <c r="V538"/>
      <c r="X538"/>
    </row>
    <row r="539" spans="10:24" s="1" customFormat="1" x14ac:dyDescent="0.2">
      <c r="J539"/>
      <c r="K539"/>
      <c r="L539"/>
      <c r="M539"/>
      <c r="N539"/>
      <c r="O539"/>
      <c r="P539" s="2"/>
      <c r="T539"/>
      <c r="U539"/>
      <c r="V539"/>
      <c r="X539"/>
    </row>
    <row r="540" spans="10:24" s="1" customFormat="1" x14ac:dyDescent="0.2">
      <c r="J540"/>
      <c r="K540"/>
      <c r="L540"/>
      <c r="M540"/>
      <c r="N540"/>
      <c r="O540"/>
      <c r="P540" s="2"/>
      <c r="T540"/>
      <c r="U540"/>
      <c r="V540"/>
      <c r="X540"/>
    </row>
    <row r="541" spans="10:24" s="1" customFormat="1" x14ac:dyDescent="0.2">
      <c r="J541"/>
      <c r="K541"/>
      <c r="L541"/>
      <c r="M541"/>
      <c r="N541"/>
      <c r="O541"/>
      <c r="P541" s="2"/>
      <c r="T541"/>
      <c r="U541"/>
      <c r="V541"/>
      <c r="X541"/>
    </row>
    <row r="542" spans="10:24" s="1" customFormat="1" x14ac:dyDescent="0.2">
      <c r="J542"/>
      <c r="K542"/>
      <c r="L542"/>
      <c r="M542"/>
      <c r="N542"/>
      <c r="O542"/>
      <c r="P542" s="2"/>
      <c r="T542"/>
      <c r="U542"/>
      <c r="V542"/>
      <c r="X542"/>
    </row>
    <row r="543" spans="10:24" s="1" customFormat="1" x14ac:dyDescent="0.2">
      <c r="J543"/>
      <c r="K543"/>
      <c r="L543"/>
      <c r="M543"/>
      <c r="N543"/>
      <c r="O543"/>
      <c r="P543" s="2"/>
      <c r="T543"/>
      <c r="U543"/>
      <c r="V543"/>
      <c r="X543"/>
    </row>
    <row r="544" spans="10:24" s="1" customFormat="1" x14ac:dyDescent="0.2">
      <c r="J544"/>
      <c r="K544"/>
      <c r="L544"/>
      <c r="M544"/>
      <c r="N544"/>
      <c r="O544"/>
      <c r="P544" s="2"/>
      <c r="T544"/>
      <c r="U544"/>
      <c r="V544"/>
      <c r="X544"/>
    </row>
    <row r="545" spans="10:24" s="1" customFormat="1" x14ac:dyDescent="0.2">
      <c r="J545"/>
      <c r="K545"/>
      <c r="L545"/>
      <c r="M545"/>
      <c r="N545"/>
      <c r="O545"/>
      <c r="P545" s="2"/>
      <c r="T545"/>
      <c r="U545"/>
      <c r="V545"/>
      <c r="X545"/>
    </row>
    <row r="546" spans="10:24" s="1" customFormat="1" x14ac:dyDescent="0.2">
      <c r="J546"/>
      <c r="K546"/>
      <c r="L546"/>
      <c r="M546"/>
      <c r="N546"/>
      <c r="O546"/>
      <c r="P546" s="2"/>
      <c r="T546"/>
      <c r="U546"/>
      <c r="V546"/>
      <c r="X546"/>
    </row>
    <row r="547" spans="10:24" s="1" customFormat="1" x14ac:dyDescent="0.2">
      <c r="J547"/>
      <c r="K547"/>
      <c r="L547"/>
      <c r="M547"/>
      <c r="N547"/>
      <c r="O547"/>
      <c r="P547" s="2"/>
      <c r="T547"/>
      <c r="U547"/>
      <c r="V547"/>
      <c r="X547"/>
    </row>
    <row r="548" spans="10:24" s="1" customFormat="1" x14ac:dyDescent="0.2">
      <c r="J548"/>
      <c r="K548"/>
      <c r="L548"/>
      <c r="M548"/>
      <c r="N548"/>
      <c r="O548"/>
      <c r="P548" s="2"/>
      <c r="T548"/>
      <c r="U548"/>
      <c r="V548"/>
      <c r="X548"/>
    </row>
    <row r="549" spans="10:24" s="1" customFormat="1" x14ac:dyDescent="0.2">
      <c r="J549"/>
      <c r="K549"/>
      <c r="L549"/>
      <c r="M549"/>
      <c r="N549"/>
      <c r="O549"/>
      <c r="P549" s="2"/>
      <c r="T549"/>
      <c r="U549"/>
      <c r="V549"/>
      <c r="X549"/>
    </row>
    <row r="550" spans="10:24" s="1" customFormat="1" x14ac:dyDescent="0.2">
      <c r="J550"/>
      <c r="K550"/>
      <c r="L550"/>
      <c r="M550"/>
      <c r="N550"/>
      <c r="O550"/>
      <c r="P550" s="2"/>
      <c r="T550"/>
      <c r="U550"/>
      <c r="V550"/>
      <c r="X550"/>
    </row>
    <row r="551" spans="10:24" s="1" customFormat="1" x14ac:dyDescent="0.2">
      <c r="J551"/>
      <c r="K551"/>
      <c r="L551"/>
      <c r="M551"/>
      <c r="N551"/>
      <c r="O551"/>
      <c r="P551" s="2"/>
      <c r="T551"/>
      <c r="U551"/>
      <c r="V551"/>
      <c r="X551"/>
    </row>
    <row r="552" spans="10:24" s="1" customFormat="1" x14ac:dyDescent="0.2">
      <c r="J552"/>
      <c r="K552"/>
      <c r="L552"/>
      <c r="M552"/>
      <c r="N552"/>
      <c r="O552"/>
      <c r="P552" s="2"/>
      <c r="T552"/>
      <c r="U552"/>
      <c r="V552"/>
      <c r="X552"/>
    </row>
    <row r="553" spans="10:24" s="1" customFormat="1" x14ac:dyDescent="0.2">
      <c r="J553"/>
      <c r="K553"/>
      <c r="L553"/>
      <c r="M553"/>
      <c r="N553"/>
      <c r="O553"/>
      <c r="P553" s="2"/>
      <c r="T553"/>
      <c r="U553"/>
      <c r="V553"/>
      <c r="X553"/>
    </row>
    <row r="554" spans="10:24" s="1" customFormat="1" x14ac:dyDescent="0.2">
      <c r="J554"/>
      <c r="K554"/>
      <c r="L554"/>
      <c r="M554"/>
      <c r="N554"/>
      <c r="O554"/>
      <c r="P554" s="2"/>
      <c r="T554"/>
      <c r="U554"/>
      <c r="V554"/>
      <c r="X554"/>
    </row>
    <row r="555" spans="10:24" s="1" customFormat="1" x14ac:dyDescent="0.2">
      <c r="J555"/>
      <c r="K555"/>
      <c r="L555"/>
      <c r="M555"/>
      <c r="N555"/>
      <c r="O555"/>
      <c r="P555" s="2"/>
      <c r="T555"/>
      <c r="U555"/>
      <c r="V555"/>
      <c r="X555"/>
    </row>
    <row r="556" spans="10:24" s="1" customFormat="1" x14ac:dyDescent="0.2">
      <c r="J556"/>
      <c r="K556"/>
      <c r="L556"/>
      <c r="M556"/>
      <c r="N556"/>
      <c r="O556"/>
      <c r="P556" s="2"/>
      <c r="T556"/>
      <c r="U556"/>
      <c r="V556"/>
      <c r="X556"/>
    </row>
    <row r="557" spans="10:24" s="1" customFormat="1" x14ac:dyDescent="0.2">
      <c r="J557"/>
      <c r="K557"/>
      <c r="L557"/>
      <c r="M557"/>
      <c r="N557"/>
      <c r="O557"/>
      <c r="P557" s="2"/>
      <c r="T557"/>
      <c r="U557"/>
      <c r="V557"/>
      <c r="X557"/>
    </row>
    <row r="558" spans="10:24" s="1" customFormat="1" x14ac:dyDescent="0.2">
      <c r="J558"/>
      <c r="K558"/>
      <c r="L558"/>
      <c r="M558"/>
      <c r="N558"/>
      <c r="O558"/>
      <c r="P558" s="2"/>
      <c r="T558"/>
      <c r="U558"/>
      <c r="V558"/>
      <c r="X558"/>
    </row>
    <row r="559" spans="10:24" s="1" customFormat="1" x14ac:dyDescent="0.2">
      <c r="J559"/>
      <c r="K559"/>
      <c r="L559"/>
      <c r="M559"/>
      <c r="N559"/>
      <c r="O559"/>
      <c r="P559" s="2"/>
      <c r="T559"/>
      <c r="U559"/>
      <c r="V559"/>
      <c r="X559"/>
    </row>
    <row r="560" spans="10:24" s="1" customFormat="1" x14ac:dyDescent="0.2">
      <c r="J560"/>
      <c r="K560"/>
      <c r="L560"/>
      <c r="M560"/>
      <c r="N560"/>
      <c r="O560"/>
      <c r="P560" s="2"/>
      <c r="T560"/>
      <c r="U560"/>
      <c r="V560"/>
      <c r="X560"/>
    </row>
    <row r="561" spans="10:24" s="1" customFormat="1" x14ac:dyDescent="0.2">
      <c r="J561"/>
      <c r="K561"/>
      <c r="L561"/>
      <c r="M561"/>
      <c r="N561"/>
      <c r="O561"/>
      <c r="P561" s="2"/>
      <c r="T561"/>
      <c r="U561"/>
      <c r="V561"/>
      <c r="X561"/>
    </row>
    <row r="562" spans="10:24" s="1" customFormat="1" x14ac:dyDescent="0.2">
      <c r="J562"/>
      <c r="K562"/>
      <c r="L562"/>
      <c r="M562"/>
      <c r="N562"/>
      <c r="O562"/>
      <c r="P562" s="2"/>
      <c r="T562"/>
      <c r="U562"/>
      <c r="V562"/>
      <c r="X562"/>
    </row>
    <row r="563" spans="10:24" s="1" customFormat="1" x14ac:dyDescent="0.2">
      <c r="J563"/>
      <c r="K563"/>
      <c r="L563"/>
      <c r="M563"/>
      <c r="N563"/>
      <c r="O563"/>
      <c r="P563" s="2"/>
      <c r="T563"/>
      <c r="U563"/>
      <c r="V563"/>
      <c r="X563"/>
    </row>
    <row r="564" spans="10:24" s="1" customFormat="1" x14ac:dyDescent="0.2">
      <c r="J564"/>
      <c r="K564"/>
      <c r="L564"/>
      <c r="M564"/>
      <c r="N564"/>
      <c r="O564"/>
      <c r="P564" s="2"/>
      <c r="T564"/>
      <c r="U564"/>
      <c r="V564"/>
      <c r="X564"/>
    </row>
    <row r="565" spans="10:24" s="1" customFormat="1" x14ac:dyDescent="0.2">
      <c r="J565"/>
      <c r="K565"/>
      <c r="L565"/>
      <c r="M565"/>
      <c r="N565"/>
      <c r="O565"/>
      <c r="P565" s="2"/>
      <c r="T565"/>
      <c r="U565"/>
      <c r="V565"/>
      <c r="X565"/>
    </row>
    <row r="566" spans="10:24" s="1" customFormat="1" x14ac:dyDescent="0.2">
      <c r="J566"/>
      <c r="K566"/>
      <c r="L566"/>
      <c r="M566"/>
      <c r="N566"/>
      <c r="O566"/>
      <c r="P566" s="2"/>
      <c r="T566"/>
      <c r="U566"/>
      <c r="V566"/>
      <c r="X566"/>
    </row>
    <row r="567" spans="10:24" s="1" customFormat="1" x14ac:dyDescent="0.2">
      <c r="J567"/>
      <c r="K567"/>
      <c r="L567"/>
      <c r="M567"/>
      <c r="N567"/>
      <c r="O567"/>
      <c r="P567" s="2"/>
      <c r="T567"/>
      <c r="U567"/>
      <c r="V567"/>
      <c r="X567"/>
    </row>
    <row r="568" spans="10:24" s="1" customFormat="1" x14ac:dyDescent="0.2">
      <c r="J568"/>
      <c r="K568"/>
      <c r="L568"/>
      <c r="M568"/>
      <c r="N568"/>
      <c r="O568"/>
      <c r="P568" s="2"/>
      <c r="T568"/>
      <c r="U568"/>
      <c r="V568"/>
      <c r="X568"/>
    </row>
    <row r="569" spans="10:24" s="1" customFormat="1" x14ac:dyDescent="0.2">
      <c r="J569"/>
      <c r="K569"/>
      <c r="L569"/>
      <c r="M569"/>
      <c r="N569"/>
      <c r="O569"/>
      <c r="P569" s="2"/>
      <c r="T569"/>
      <c r="U569"/>
      <c r="V569"/>
      <c r="X569"/>
    </row>
    <row r="570" spans="10:24" s="1" customFormat="1" x14ac:dyDescent="0.2">
      <c r="J570"/>
      <c r="K570"/>
      <c r="L570"/>
      <c r="M570"/>
      <c r="N570"/>
      <c r="O570"/>
      <c r="P570" s="2"/>
      <c r="T570"/>
      <c r="U570"/>
      <c r="V570"/>
      <c r="X570"/>
    </row>
    <row r="571" spans="10:24" s="1" customFormat="1" x14ac:dyDescent="0.2">
      <c r="J571"/>
      <c r="K571"/>
      <c r="L571"/>
      <c r="M571"/>
      <c r="N571"/>
      <c r="O571"/>
      <c r="P571" s="2"/>
      <c r="T571"/>
      <c r="U571"/>
      <c r="V571"/>
      <c r="X571"/>
    </row>
    <row r="572" spans="10:24" s="1" customFormat="1" x14ac:dyDescent="0.2">
      <c r="J572"/>
      <c r="K572"/>
      <c r="L572"/>
      <c r="M572"/>
      <c r="N572"/>
      <c r="O572"/>
      <c r="P572" s="2"/>
      <c r="T572"/>
      <c r="U572"/>
      <c r="V572"/>
      <c r="X572"/>
    </row>
    <row r="573" spans="10:24" s="1" customFormat="1" x14ac:dyDescent="0.2">
      <c r="J573"/>
      <c r="K573"/>
      <c r="L573"/>
      <c r="M573"/>
      <c r="N573"/>
      <c r="O573"/>
      <c r="P573" s="2"/>
      <c r="T573"/>
      <c r="U573"/>
      <c r="V573"/>
      <c r="X573"/>
    </row>
    <row r="574" spans="10:24" s="1" customFormat="1" x14ac:dyDescent="0.2">
      <c r="J574"/>
      <c r="K574"/>
      <c r="L574"/>
      <c r="M574"/>
      <c r="N574"/>
      <c r="O574"/>
      <c r="P574" s="2"/>
      <c r="T574"/>
      <c r="U574"/>
      <c r="V574"/>
      <c r="X574"/>
    </row>
    <row r="575" spans="10:24" s="1" customFormat="1" x14ac:dyDescent="0.2">
      <c r="J575"/>
      <c r="K575"/>
      <c r="L575"/>
      <c r="M575"/>
      <c r="N575"/>
      <c r="O575"/>
      <c r="P575" s="2"/>
      <c r="T575"/>
      <c r="U575"/>
      <c r="V575"/>
      <c r="X575"/>
    </row>
    <row r="576" spans="10:24" s="1" customFormat="1" x14ac:dyDescent="0.2">
      <c r="J576"/>
      <c r="K576"/>
      <c r="L576"/>
      <c r="M576"/>
      <c r="N576"/>
      <c r="O576"/>
      <c r="P576" s="2"/>
      <c r="T576"/>
      <c r="U576"/>
      <c r="V576"/>
      <c r="X576"/>
    </row>
    <row r="577" spans="10:24" s="1" customFormat="1" x14ac:dyDescent="0.2">
      <c r="J577"/>
      <c r="K577"/>
      <c r="L577"/>
      <c r="M577"/>
      <c r="N577"/>
      <c r="O577"/>
      <c r="P577" s="2"/>
      <c r="T577"/>
      <c r="U577"/>
      <c r="V577"/>
      <c r="X577"/>
    </row>
    <row r="578" spans="10:24" s="1" customFormat="1" x14ac:dyDescent="0.2">
      <c r="J578"/>
      <c r="K578"/>
      <c r="L578"/>
      <c r="M578"/>
      <c r="N578"/>
      <c r="O578"/>
      <c r="P578" s="2"/>
      <c r="T578"/>
      <c r="U578"/>
      <c r="V578"/>
      <c r="X578"/>
    </row>
    <row r="579" spans="10:24" s="1" customFormat="1" x14ac:dyDescent="0.2">
      <c r="J579"/>
      <c r="K579"/>
      <c r="L579"/>
      <c r="M579"/>
      <c r="N579"/>
      <c r="O579"/>
      <c r="P579" s="2"/>
      <c r="T579"/>
      <c r="U579"/>
      <c r="V579"/>
      <c r="X579"/>
    </row>
    <row r="580" spans="10:24" s="1" customFormat="1" x14ac:dyDescent="0.2">
      <c r="J580"/>
      <c r="K580"/>
      <c r="L580"/>
      <c r="M580"/>
      <c r="N580"/>
      <c r="O580"/>
      <c r="P580" s="2"/>
      <c r="T580"/>
      <c r="U580"/>
      <c r="V580"/>
      <c r="X580"/>
    </row>
    <row r="581" spans="10:24" s="1" customFormat="1" x14ac:dyDescent="0.2">
      <c r="J581"/>
      <c r="K581"/>
      <c r="L581"/>
      <c r="M581"/>
      <c r="N581"/>
      <c r="O581"/>
      <c r="P581" s="2"/>
      <c r="T581"/>
      <c r="U581"/>
      <c r="V581"/>
      <c r="X581"/>
    </row>
    <row r="582" spans="10:24" s="1" customFormat="1" x14ac:dyDescent="0.2">
      <c r="J582"/>
      <c r="K582"/>
      <c r="L582"/>
      <c r="M582"/>
      <c r="N582"/>
      <c r="O582"/>
      <c r="P582" s="2"/>
      <c r="T582"/>
      <c r="U582"/>
      <c r="V582"/>
      <c r="X582"/>
    </row>
    <row r="583" spans="10:24" s="1" customFormat="1" x14ac:dyDescent="0.2">
      <c r="J583"/>
      <c r="K583"/>
      <c r="L583"/>
      <c r="M583"/>
      <c r="N583"/>
      <c r="O583"/>
      <c r="P583" s="2"/>
      <c r="T583"/>
      <c r="U583"/>
      <c r="V583"/>
      <c r="X583"/>
    </row>
    <row r="584" spans="10:24" s="1" customFormat="1" x14ac:dyDescent="0.2">
      <c r="J584"/>
      <c r="K584"/>
      <c r="L584"/>
      <c r="M584"/>
      <c r="N584"/>
      <c r="O584"/>
      <c r="P584" s="2"/>
      <c r="T584"/>
      <c r="U584"/>
      <c r="V584"/>
      <c r="X584"/>
    </row>
    <row r="585" spans="10:24" s="1" customFormat="1" x14ac:dyDescent="0.2">
      <c r="J585"/>
      <c r="K585"/>
      <c r="L585"/>
      <c r="M585"/>
      <c r="N585"/>
      <c r="O585"/>
      <c r="P585" s="2"/>
      <c r="T585"/>
      <c r="U585"/>
      <c r="V585"/>
      <c r="X585"/>
    </row>
    <row r="586" spans="10:24" s="1" customFormat="1" x14ac:dyDescent="0.2">
      <c r="J586"/>
      <c r="K586"/>
      <c r="L586"/>
      <c r="M586"/>
      <c r="N586"/>
      <c r="O586"/>
      <c r="P586" s="2"/>
      <c r="T586"/>
      <c r="U586"/>
      <c r="V586"/>
      <c r="X586"/>
    </row>
    <row r="587" spans="10:24" s="1" customFormat="1" x14ac:dyDescent="0.2">
      <c r="J587"/>
      <c r="K587"/>
      <c r="L587"/>
      <c r="M587"/>
      <c r="N587"/>
      <c r="O587"/>
      <c r="P587" s="2"/>
      <c r="T587"/>
      <c r="U587"/>
      <c r="V587"/>
      <c r="X587"/>
    </row>
    <row r="588" spans="10:24" s="1" customFormat="1" x14ac:dyDescent="0.2">
      <c r="J588"/>
      <c r="K588"/>
      <c r="L588"/>
      <c r="M588"/>
      <c r="N588"/>
      <c r="O588"/>
      <c r="P588" s="2"/>
      <c r="T588"/>
      <c r="U588"/>
      <c r="V588"/>
      <c r="X588"/>
    </row>
    <row r="589" spans="10:24" s="1" customFormat="1" x14ac:dyDescent="0.2">
      <c r="J589"/>
      <c r="K589"/>
      <c r="L589"/>
      <c r="M589"/>
      <c r="N589"/>
      <c r="O589"/>
      <c r="P589" s="2"/>
      <c r="T589"/>
      <c r="U589"/>
      <c r="V589"/>
      <c r="X589"/>
    </row>
    <row r="590" spans="10:24" s="1" customFormat="1" x14ac:dyDescent="0.2">
      <c r="J590"/>
      <c r="K590"/>
      <c r="L590"/>
      <c r="M590"/>
      <c r="N590"/>
      <c r="O590"/>
      <c r="P590" s="2"/>
      <c r="T590"/>
      <c r="U590"/>
      <c r="V590"/>
      <c r="X590"/>
    </row>
    <row r="591" spans="10:24" s="1" customFormat="1" x14ac:dyDescent="0.2">
      <c r="J591"/>
      <c r="K591"/>
      <c r="L591"/>
      <c r="M591"/>
      <c r="N591"/>
      <c r="O591"/>
      <c r="P591" s="2"/>
      <c r="T591"/>
      <c r="U591"/>
      <c r="V591"/>
      <c r="X591"/>
    </row>
    <row r="592" spans="10:24" s="1" customFormat="1" x14ac:dyDescent="0.2">
      <c r="J592"/>
      <c r="K592"/>
      <c r="L592"/>
      <c r="M592"/>
      <c r="N592"/>
      <c r="O592"/>
      <c r="P592" s="2"/>
      <c r="T592"/>
      <c r="U592"/>
      <c r="V592"/>
      <c r="X592"/>
    </row>
    <row r="593" spans="10:24" s="1" customFormat="1" x14ac:dyDescent="0.2">
      <c r="J593"/>
      <c r="K593"/>
      <c r="L593"/>
      <c r="M593"/>
      <c r="N593"/>
      <c r="O593"/>
      <c r="P593" s="2"/>
      <c r="T593"/>
      <c r="U593"/>
      <c r="V593"/>
      <c r="X593"/>
    </row>
    <row r="594" spans="10:24" s="1" customFormat="1" x14ac:dyDescent="0.2">
      <c r="J594"/>
      <c r="K594"/>
      <c r="L594"/>
      <c r="M594"/>
      <c r="N594"/>
      <c r="O594"/>
      <c r="P594" s="2"/>
      <c r="T594"/>
      <c r="U594"/>
      <c r="V594"/>
      <c r="X594"/>
    </row>
    <row r="595" spans="10:24" s="1" customFormat="1" x14ac:dyDescent="0.2">
      <c r="J595"/>
      <c r="K595"/>
      <c r="L595"/>
      <c r="M595"/>
      <c r="N595"/>
      <c r="O595"/>
      <c r="P595" s="2"/>
      <c r="T595"/>
      <c r="U595"/>
      <c r="V595"/>
      <c r="X595"/>
    </row>
    <row r="596" spans="10:24" s="1" customFormat="1" x14ac:dyDescent="0.2">
      <c r="J596"/>
      <c r="K596"/>
      <c r="L596"/>
      <c r="M596"/>
      <c r="N596"/>
      <c r="O596"/>
      <c r="P596" s="2"/>
      <c r="T596"/>
      <c r="U596"/>
      <c r="V596"/>
      <c r="X596"/>
    </row>
    <row r="597" spans="10:24" s="1" customFormat="1" x14ac:dyDescent="0.2">
      <c r="J597"/>
      <c r="K597"/>
      <c r="L597"/>
      <c r="M597"/>
      <c r="N597"/>
      <c r="O597"/>
      <c r="P597" s="2"/>
      <c r="T597"/>
      <c r="U597"/>
      <c r="V597"/>
      <c r="X597"/>
    </row>
    <row r="598" spans="10:24" s="1" customFormat="1" x14ac:dyDescent="0.2">
      <c r="J598"/>
      <c r="K598"/>
      <c r="L598"/>
      <c r="M598"/>
      <c r="N598"/>
      <c r="O598"/>
      <c r="P598" s="2"/>
      <c r="T598"/>
      <c r="U598"/>
      <c r="V598"/>
      <c r="X598"/>
    </row>
    <row r="599" spans="10:24" s="1" customFormat="1" x14ac:dyDescent="0.2">
      <c r="J599"/>
      <c r="K599"/>
      <c r="L599"/>
      <c r="M599"/>
      <c r="N599"/>
      <c r="O599"/>
      <c r="P599" s="2"/>
      <c r="T599"/>
      <c r="U599"/>
      <c r="V599"/>
      <c r="X599"/>
    </row>
    <row r="600" spans="10:24" s="1" customFormat="1" x14ac:dyDescent="0.2">
      <c r="J600"/>
      <c r="K600"/>
      <c r="L600"/>
      <c r="M600"/>
      <c r="N600"/>
      <c r="O600"/>
      <c r="P600" s="2"/>
      <c r="T600"/>
      <c r="U600"/>
      <c r="V600"/>
      <c r="X600"/>
    </row>
    <row r="601" spans="10:24" s="1" customFormat="1" x14ac:dyDescent="0.2">
      <c r="J601"/>
      <c r="K601"/>
      <c r="L601"/>
      <c r="M601"/>
      <c r="N601"/>
      <c r="O601"/>
      <c r="P601" s="2"/>
      <c r="T601"/>
      <c r="U601"/>
      <c r="V601"/>
      <c r="X601"/>
    </row>
    <row r="602" spans="10:24" s="1" customFormat="1" x14ac:dyDescent="0.2">
      <c r="J602"/>
      <c r="K602"/>
      <c r="L602"/>
      <c r="M602"/>
      <c r="N602"/>
      <c r="O602"/>
      <c r="P602" s="2"/>
      <c r="T602"/>
      <c r="U602"/>
      <c r="V602"/>
      <c r="X602"/>
    </row>
    <row r="603" spans="10:24" s="1" customFormat="1" x14ac:dyDescent="0.2">
      <c r="J603"/>
      <c r="K603"/>
      <c r="L603"/>
      <c r="M603"/>
      <c r="N603"/>
      <c r="O603"/>
      <c r="P603" s="2"/>
      <c r="T603"/>
      <c r="U603"/>
      <c r="V603"/>
      <c r="X603"/>
    </row>
    <row r="604" spans="10:24" s="1" customFormat="1" x14ac:dyDescent="0.2">
      <c r="J604"/>
      <c r="K604"/>
      <c r="L604"/>
      <c r="M604"/>
      <c r="N604"/>
      <c r="O604"/>
      <c r="P604" s="2"/>
      <c r="T604"/>
      <c r="U604"/>
      <c r="V604"/>
      <c r="X604"/>
    </row>
    <row r="605" spans="10:24" s="1" customFormat="1" x14ac:dyDescent="0.2">
      <c r="J605"/>
      <c r="K605"/>
      <c r="L605"/>
      <c r="M605"/>
      <c r="N605"/>
      <c r="O605"/>
      <c r="P605" s="2"/>
      <c r="T605"/>
      <c r="U605"/>
      <c r="V605"/>
      <c r="X605"/>
    </row>
    <row r="606" spans="10:24" s="1" customFormat="1" x14ac:dyDescent="0.2">
      <c r="J606"/>
      <c r="K606"/>
      <c r="L606"/>
      <c r="M606"/>
      <c r="N606"/>
      <c r="O606"/>
      <c r="P606" s="2"/>
      <c r="T606"/>
      <c r="U606"/>
      <c r="V606"/>
      <c r="X606"/>
    </row>
    <row r="607" spans="10:24" s="1" customFormat="1" x14ac:dyDescent="0.2">
      <c r="J607"/>
      <c r="K607"/>
      <c r="L607"/>
      <c r="M607"/>
      <c r="N607"/>
      <c r="O607"/>
      <c r="P607" s="2"/>
      <c r="T607"/>
      <c r="U607"/>
      <c r="V607"/>
      <c r="X607"/>
    </row>
    <row r="608" spans="10:24" s="1" customFormat="1" x14ac:dyDescent="0.2">
      <c r="J608"/>
      <c r="K608"/>
      <c r="L608"/>
      <c r="M608"/>
      <c r="N608"/>
      <c r="O608"/>
      <c r="P608" s="2"/>
      <c r="T608"/>
      <c r="U608"/>
      <c r="V608"/>
      <c r="X608"/>
    </row>
    <row r="609" spans="10:24" s="1" customFormat="1" x14ac:dyDescent="0.2">
      <c r="J609"/>
      <c r="K609"/>
      <c r="L609"/>
      <c r="M609"/>
      <c r="N609"/>
      <c r="O609"/>
      <c r="P609" s="2"/>
      <c r="T609"/>
      <c r="U609"/>
      <c r="V609"/>
      <c r="X609"/>
    </row>
    <row r="610" spans="10:24" s="1" customFormat="1" x14ac:dyDescent="0.2">
      <c r="J610"/>
      <c r="K610"/>
      <c r="L610"/>
      <c r="M610"/>
      <c r="N610"/>
      <c r="O610"/>
      <c r="P610" s="2"/>
      <c r="T610"/>
      <c r="U610"/>
      <c r="V610"/>
      <c r="X610"/>
    </row>
    <row r="611" spans="10:24" s="1" customFormat="1" x14ac:dyDescent="0.2">
      <c r="J611"/>
      <c r="K611"/>
      <c r="L611"/>
      <c r="M611"/>
      <c r="N611"/>
      <c r="O611"/>
      <c r="P611" s="2"/>
      <c r="T611"/>
      <c r="U611"/>
      <c r="V611"/>
      <c r="X611"/>
    </row>
    <row r="612" spans="10:24" s="1" customFormat="1" x14ac:dyDescent="0.2">
      <c r="J612"/>
      <c r="K612"/>
      <c r="L612"/>
      <c r="M612"/>
      <c r="N612"/>
      <c r="O612"/>
      <c r="P612" s="2"/>
      <c r="T612"/>
      <c r="U612"/>
      <c r="V612"/>
      <c r="X612"/>
    </row>
    <row r="613" spans="10:24" s="1" customFormat="1" x14ac:dyDescent="0.2">
      <c r="J613"/>
      <c r="K613"/>
      <c r="L613"/>
      <c r="M613"/>
      <c r="N613"/>
      <c r="O613"/>
      <c r="P613" s="2"/>
      <c r="T613"/>
      <c r="U613"/>
      <c r="V613"/>
      <c r="X613"/>
    </row>
    <row r="614" spans="10:24" s="1" customFormat="1" x14ac:dyDescent="0.2">
      <c r="J614"/>
      <c r="K614"/>
      <c r="L614"/>
      <c r="M614"/>
      <c r="N614"/>
      <c r="O614"/>
      <c r="P614" s="2"/>
      <c r="T614"/>
      <c r="U614"/>
      <c r="V614"/>
      <c r="X614"/>
    </row>
    <row r="615" spans="10:24" s="1" customFormat="1" x14ac:dyDescent="0.2">
      <c r="J615"/>
      <c r="K615"/>
      <c r="L615"/>
      <c r="M615"/>
      <c r="N615"/>
      <c r="O615"/>
      <c r="P615" s="2"/>
      <c r="T615"/>
      <c r="U615"/>
      <c r="V615"/>
      <c r="X615"/>
    </row>
    <row r="616" spans="10:24" s="1" customFormat="1" x14ac:dyDescent="0.2">
      <c r="J616"/>
      <c r="K616"/>
      <c r="L616"/>
      <c r="M616"/>
      <c r="N616"/>
      <c r="O616"/>
      <c r="P616" s="2"/>
      <c r="T616"/>
      <c r="U616"/>
      <c r="V616"/>
      <c r="X616"/>
    </row>
    <row r="617" spans="10:24" s="1" customFormat="1" x14ac:dyDescent="0.2">
      <c r="J617"/>
      <c r="K617"/>
      <c r="L617"/>
      <c r="M617"/>
      <c r="N617"/>
      <c r="O617"/>
      <c r="P617" s="2"/>
      <c r="T617"/>
      <c r="U617"/>
      <c r="V617"/>
      <c r="X617"/>
    </row>
    <row r="618" spans="10:24" s="1" customFormat="1" x14ac:dyDescent="0.2">
      <c r="J618"/>
      <c r="K618"/>
      <c r="L618"/>
      <c r="M618"/>
      <c r="N618"/>
      <c r="O618"/>
      <c r="P618" s="2"/>
      <c r="T618"/>
      <c r="U618"/>
      <c r="V618"/>
      <c r="X618"/>
    </row>
    <row r="619" spans="10:24" s="1" customFormat="1" x14ac:dyDescent="0.2">
      <c r="J619"/>
      <c r="K619"/>
      <c r="L619"/>
      <c r="M619"/>
      <c r="N619"/>
      <c r="O619"/>
      <c r="P619" s="2"/>
      <c r="T619"/>
      <c r="U619"/>
      <c r="V619"/>
      <c r="X619"/>
    </row>
    <row r="620" spans="10:24" s="1" customFormat="1" x14ac:dyDescent="0.2">
      <c r="J620"/>
      <c r="K620"/>
      <c r="L620"/>
      <c r="M620"/>
      <c r="N620"/>
      <c r="O620"/>
      <c r="P620" s="2"/>
      <c r="T620"/>
      <c r="U620"/>
      <c r="V620"/>
      <c r="X620"/>
    </row>
    <row r="621" spans="10:24" s="1" customFormat="1" x14ac:dyDescent="0.2">
      <c r="J621"/>
      <c r="K621"/>
      <c r="L621"/>
      <c r="M621"/>
      <c r="N621"/>
      <c r="O621"/>
      <c r="P621" s="2"/>
      <c r="T621"/>
      <c r="U621"/>
      <c r="V621"/>
      <c r="X621"/>
    </row>
    <row r="622" spans="10:24" s="1" customFormat="1" x14ac:dyDescent="0.2">
      <c r="J622"/>
      <c r="K622"/>
      <c r="L622"/>
      <c r="M622"/>
      <c r="N622"/>
      <c r="O622"/>
      <c r="P622" s="2"/>
      <c r="T622"/>
      <c r="U622"/>
      <c r="V622"/>
      <c r="X622"/>
    </row>
    <row r="623" spans="10:24" s="1" customFormat="1" x14ac:dyDescent="0.2">
      <c r="J623"/>
      <c r="K623"/>
      <c r="L623"/>
      <c r="M623"/>
      <c r="N623"/>
      <c r="O623"/>
      <c r="P623" s="2"/>
      <c r="T623"/>
      <c r="U623"/>
      <c r="V623"/>
      <c r="X623"/>
    </row>
    <row r="624" spans="10:24" s="1" customFormat="1" x14ac:dyDescent="0.2">
      <c r="J624"/>
      <c r="K624"/>
      <c r="L624"/>
      <c r="M624"/>
      <c r="N624"/>
      <c r="O624"/>
      <c r="P624" s="2"/>
      <c r="T624"/>
      <c r="U624"/>
      <c r="V624"/>
      <c r="X624"/>
    </row>
    <row r="625" spans="10:24" s="1" customFormat="1" x14ac:dyDescent="0.2">
      <c r="J625"/>
      <c r="K625"/>
      <c r="L625"/>
      <c r="M625"/>
      <c r="N625"/>
      <c r="O625"/>
      <c r="P625" s="2"/>
      <c r="T625"/>
      <c r="U625"/>
      <c r="V625"/>
      <c r="X625"/>
    </row>
    <row r="626" spans="10:24" s="1" customFormat="1" x14ac:dyDescent="0.2">
      <c r="J626"/>
      <c r="K626"/>
      <c r="L626"/>
      <c r="M626"/>
      <c r="N626"/>
      <c r="O626"/>
      <c r="P626" s="2"/>
      <c r="T626"/>
      <c r="U626"/>
      <c r="V626"/>
      <c r="X626"/>
    </row>
    <row r="627" spans="10:24" s="1" customFormat="1" x14ac:dyDescent="0.2">
      <c r="J627"/>
      <c r="K627"/>
      <c r="L627"/>
      <c r="M627"/>
      <c r="N627"/>
      <c r="O627"/>
      <c r="P627" s="2"/>
      <c r="T627"/>
      <c r="U627"/>
      <c r="V627"/>
      <c r="X627"/>
    </row>
    <row r="628" spans="10:24" s="1" customFormat="1" x14ac:dyDescent="0.2">
      <c r="J628"/>
      <c r="K628"/>
      <c r="L628"/>
      <c r="M628"/>
      <c r="N628"/>
      <c r="O628"/>
      <c r="P628" s="2"/>
      <c r="T628"/>
      <c r="U628"/>
      <c r="V628"/>
      <c r="X628"/>
    </row>
    <row r="629" spans="10:24" s="1" customFormat="1" x14ac:dyDescent="0.2">
      <c r="J629"/>
      <c r="K629"/>
      <c r="L629"/>
      <c r="M629"/>
      <c r="N629"/>
      <c r="O629"/>
      <c r="P629" s="2"/>
      <c r="T629"/>
      <c r="U629"/>
      <c r="V629"/>
      <c r="X629"/>
    </row>
    <row r="630" spans="10:24" s="1" customFormat="1" x14ac:dyDescent="0.2">
      <c r="J630"/>
      <c r="K630"/>
      <c r="L630"/>
      <c r="M630"/>
      <c r="N630"/>
      <c r="O630"/>
      <c r="P630" s="2"/>
      <c r="T630"/>
      <c r="U630"/>
      <c r="V630"/>
      <c r="X630"/>
    </row>
    <row r="631" spans="10:24" s="1" customFormat="1" x14ac:dyDescent="0.2">
      <c r="J631"/>
      <c r="K631"/>
      <c r="L631"/>
      <c r="M631"/>
      <c r="N631"/>
      <c r="O631"/>
      <c r="P631" s="2"/>
      <c r="T631"/>
      <c r="U631"/>
      <c r="V631"/>
      <c r="X631"/>
    </row>
    <row r="632" spans="10:24" s="1" customFormat="1" x14ac:dyDescent="0.2">
      <c r="J632"/>
      <c r="K632"/>
      <c r="L632"/>
      <c r="M632"/>
      <c r="N632"/>
      <c r="O632"/>
      <c r="P632" s="2"/>
      <c r="T632"/>
      <c r="U632"/>
      <c r="V632"/>
      <c r="X632"/>
    </row>
    <row r="633" spans="10:24" s="1" customFormat="1" x14ac:dyDescent="0.2">
      <c r="J633"/>
      <c r="K633"/>
      <c r="L633"/>
      <c r="M633"/>
      <c r="N633"/>
      <c r="O633"/>
      <c r="P633" s="2"/>
      <c r="T633"/>
      <c r="U633"/>
      <c r="V633"/>
      <c r="X633"/>
    </row>
    <row r="634" spans="10:24" s="1" customFormat="1" x14ac:dyDescent="0.2">
      <c r="J634"/>
      <c r="K634"/>
      <c r="L634"/>
      <c r="M634"/>
      <c r="N634"/>
      <c r="O634"/>
      <c r="P634" s="2"/>
      <c r="T634"/>
      <c r="U634"/>
      <c r="V634"/>
      <c r="X634"/>
    </row>
    <row r="635" spans="10:24" s="1" customFormat="1" x14ac:dyDescent="0.2">
      <c r="J635"/>
      <c r="K635"/>
      <c r="L635"/>
      <c r="M635"/>
      <c r="N635"/>
      <c r="O635"/>
      <c r="P635" s="2"/>
      <c r="T635"/>
      <c r="U635"/>
      <c r="V635"/>
      <c r="X635"/>
    </row>
    <row r="636" spans="10:24" s="1" customFormat="1" x14ac:dyDescent="0.2">
      <c r="J636"/>
      <c r="K636"/>
      <c r="L636"/>
      <c r="M636"/>
      <c r="N636"/>
      <c r="O636"/>
      <c r="P636" s="2"/>
      <c r="T636"/>
      <c r="U636"/>
      <c r="V636"/>
      <c r="X636"/>
    </row>
    <row r="637" spans="10:24" s="1" customFormat="1" x14ac:dyDescent="0.2">
      <c r="J637"/>
      <c r="K637"/>
      <c r="L637"/>
      <c r="M637"/>
      <c r="N637"/>
      <c r="O637"/>
      <c r="P637" s="2"/>
      <c r="T637"/>
      <c r="U637"/>
      <c r="V637"/>
      <c r="X637"/>
    </row>
    <row r="638" spans="10:24" s="1" customFormat="1" x14ac:dyDescent="0.2">
      <c r="J638"/>
      <c r="K638"/>
      <c r="L638"/>
      <c r="M638"/>
      <c r="N638"/>
      <c r="O638"/>
      <c r="P638" s="2"/>
      <c r="T638"/>
      <c r="U638"/>
      <c r="V638"/>
      <c r="X638"/>
    </row>
    <row r="639" spans="10:24" s="1" customFormat="1" x14ac:dyDescent="0.2">
      <c r="J639"/>
      <c r="K639"/>
      <c r="L639"/>
      <c r="M639"/>
      <c r="N639"/>
      <c r="O639"/>
      <c r="P639" s="2"/>
      <c r="T639"/>
      <c r="U639"/>
      <c r="V639"/>
      <c r="X639"/>
    </row>
    <row r="640" spans="10:24" s="1" customFormat="1" x14ac:dyDescent="0.2">
      <c r="J640"/>
      <c r="K640"/>
      <c r="L640"/>
      <c r="M640"/>
      <c r="N640"/>
      <c r="O640"/>
      <c r="P640" s="2"/>
      <c r="T640"/>
      <c r="U640"/>
      <c r="V640"/>
      <c r="X640"/>
    </row>
    <row r="641" spans="10:24" s="1" customFormat="1" x14ac:dyDescent="0.2">
      <c r="J641"/>
      <c r="K641"/>
      <c r="L641"/>
      <c r="M641"/>
      <c r="N641"/>
      <c r="O641"/>
      <c r="P641" s="2"/>
      <c r="T641"/>
      <c r="U641"/>
      <c r="V641"/>
      <c r="X641"/>
    </row>
    <row r="642" spans="10:24" s="1" customFormat="1" x14ac:dyDescent="0.2">
      <c r="J642"/>
      <c r="K642"/>
      <c r="L642"/>
      <c r="M642"/>
      <c r="N642"/>
      <c r="O642"/>
      <c r="P642" s="2"/>
      <c r="T642"/>
      <c r="U642"/>
      <c r="V642"/>
      <c r="X642"/>
    </row>
    <row r="643" spans="10:24" s="1" customFormat="1" x14ac:dyDescent="0.2">
      <c r="J643"/>
      <c r="K643"/>
      <c r="L643"/>
      <c r="M643"/>
      <c r="N643"/>
      <c r="O643"/>
      <c r="P643" s="2"/>
      <c r="T643"/>
      <c r="U643"/>
      <c r="V643"/>
      <c r="X643"/>
    </row>
    <row r="644" spans="10:24" s="1" customFormat="1" x14ac:dyDescent="0.2">
      <c r="J644"/>
      <c r="K644"/>
      <c r="L644"/>
      <c r="M644"/>
      <c r="N644"/>
      <c r="O644"/>
      <c r="P644" s="2"/>
      <c r="T644"/>
      <c r="U644"/>
      <c r="V644"/>
      <c r="X644"/>
    </row>
    <row r="645" spans="10:24" s="1" customFormat="1" x14ac:dyDescent="0.2">
      <c r="J645"/>
      <c r="K645"/>
      <c r="L645"/>
      <c r="M645"/>
      <c r="N645"/>
      <c r="O645"/>
      <c r="P645" s="2"/>
      <c r="T645"/>
      <c r="U645"/>
      <c r="V645"/>
      <c r="X645"/>
    </row>
    <row r="646" spans="10:24" s="1" customFormat="1" x14ac:dyDescent="0.2">
      <c r="J646"/>
      <c r="K646"/>
      <c r="L646"/>
      <c r="M646"/>
      <c r="N646"/>
      <c r="O646"/>
      <c r="P646" s="2"/>
      <c r="T646"/>
      <c r="U646"/>
      <c r="V646"/>
      <c r="X646"/>
    </row>
    <row r="647" spans="10:24" s="1" customFormat="1" x14ac:dyDescent="0.2">
      <c r="J647"/>
      <c r="K647"/>
      <c r="L647"/>
      <c r="M647"/>
      <c r="N647"/>
      <c r="O647"/>
      <c r="P647" s="2"/>
      <c r="T647"/>
      <c r="U647"/>
      <c r="V647"/>
      <c r="X647"/>
    </row>
    <row r="648" spans="10:24" s="1" customFormat="1" x14ac:dyDescent="0.2">
      <c r="J648"/>
      <c r="K648"/>
      <c r="L648"/>
      <c r="M648"/>
      <c r="N648"/>
      <c r="O648"/>
      <c r="P648" s="2"/>
      <c r="T648"/>
      <c r="U648"/>
      <c r="V648"/>
      <c r="X648"/>
    </row>
    <row r="649" spans="10:24" s="1" customFormat="1" x14ac:dyDescent="0.2">
      <c r="J649"/>
      <c r="K649"/>
      <c r="L649"/>
      <c r="M649"/>
      <c r="N649"/>
      <c r="O649"/>
      <c r="P649" s="2"/>
      <c r="T649"/>
      <c r="U649"/>
      <c r="V649"/>
      <c r="X649"/>
    </row>
    <row r="650" spans="10:24" s="1" customFormat="1" x14ac:dyDescent="0.2">
      <c r="J650"/>
      <c r="K650"/>
      <c r="L650"/>
      <c r="M650"/>
      <c r="N650"/>
      <c r="O650"/>
      <c r="P650" s="2"/>
      <c r="T650"/>
      <c r="U650"/>
      <c r="V650"/>
      <c r="X650"/>
    </row>
    <row r="651" spans="10:24" s="1" customFormat="1" x14ac:dyDescent="0.2">
      <c r="J651"/>
      <c r="K651"/>
      <c r="L651"/>
      <c r="M651"/>
      <c r="N651"/>
      <c r="O651"/>
      <c r="P651" s="2"/>
      <c r="T651"/>
      <c r="U651"/>
      <c r="V651"/>
      <c r="X651"/>
    </row>
    <row r="652" spans="10:24" s="1" customFormat="1" x14ac:dyDescent="0.2">
      <c r="J652"/>
      <c r="K652"/>
      <c r="L652"/>
      <c r="M652"/>
      <c r="N652"/>
      <c r="O652"/>
      <c r="P652" s="2"/>
      <c r="T652"/>
      <c r="U652"/>
      <c r="V652"/>
      <c r="X652"/>
    </row>
    <row r="653" spans="10:24" s="1" customFormat="1" x14ac:dyDescent="0.2">
      <c r="J653"/>
      <c r="K653"/>
      <c r="L653"/>
      <c r="M653"/>
      <c r="N653"/>
      <c r="O653"/>
      <c r="P653" s="2"/>
      <c r="T653"/>
      <c r="U653"/>
      <c r="V653"/>
      <c r="X653"/>
    </row>
    <row r="654" spans="10:24" s="1" customFormat="1" x14ac:dyDescent="0.2">
      <c r="J654"/>
      <c r="K654"/>
      <c r="L654"/>
      <c r="M654"/>
      <c r="N654"/>
      <c r="O654"/>
      <c r="P654" s="2"/>
      <c r="T654"/>
      <c r="U654"/>
      <c r="V654"/>
      <c r="X654"/>
    </row>
    <row r="655" spans="10:24" s="1" customFormat="1" x14ac:dyDescent="0.2">
      <c r="J655"/>
      <c r="K655"/>
      <c r="L655"/>
      <c r="M655"/>
      <c r="N655"/>
      <c r="O655"/>
      <c r="P655" s="2"/>
      <c r="T655"/>
      <c r="U655"/>
      <c r="V655"/>
      <c r="X655"/>
    </row>
    <row r="656" spans="10:24" s="1" customFormat="1" x14ac:dyDescent="0.2">
      <c r="J656"/>
      <c r="K656"/>
      <c r="L656"/>
      <c r="M656"/>
      <c r="N656"/>
      <c r="O656"/>
      <c r="P656" s="2"/>
      <c r="T656"/>
      <c r="U656"/>
      <c r="V656"/>
      <c r="X656"/>
    </row>
    <row r="657" spans="10:24" s="1" customFormat="1" x14ac:dyDescent="0.2">
      <c r="J657"/>
      <c r="K657"/>
      <c r="L657"/>
      <c r="M657"/>
      <c r="N657"/>
      <c r="O657"/>
      <c r="P657" s="2"/>
      <c r="T657"/>
      <c r="U657"/>
      <c r="V657"/>
      <c r="X657"/>
    </row>
    <row r="658" spans="10:24" s="1" customFormat="1" x14ac:dyDescent="0.2">
      <c r="J658"/>
      <c r="K658"/>
      <c r="L658"/>
      <c r="M658"/>
      <c r="N658"/>
      <c r="O658"/>
      <c r="P658" s="2"/>
      <c r="T658"/>
      <c r="U658"/>
      <c r="V658"/>
      <c r="X658"/>
    </row>
    <row r="659" spans="10:24" s="1" customFormat="1" x14ac:dyDescent="0.2">
      <c r="J659"/>
      <c r="K659"/>
      <c r="L659"/>
      <c r="M659"/>
      <c r="N659"/>
      <c r="O659"/>
      <c r="P659" s="2"/>
      <c r="T659"/>
      <c r="U659"/>
      <c r="V659"/>
      <c r="X659"/>
    </row>
    <row r="660" spans="10:24" s="1" customFormat="1" x14ac:dyDescent="0.2">
      <c r="J660"/>
      <c r="K660"/>
      <c r="L660"/>
      <c r="M660"/>
      <c r="N660"/>
      <c r="O660"/>
      <c r="P660" s="2"/>
      <c r="T660"/>
      <c r="U660"/>
      <c r="V660"/>
      <c r="X660"/>
    </row>
    <row r="661" spans="10:24" s="1" customFormat="1" x14ac:dyDescent="0.2">
      <c r="J661"/>
      <c r="K661"/>
      <c r="L661"/>
      <c r="M661"/>
      <c r="N661"/>
      <c r="O661"/>
      <c r="P661" s="2"/>
      <c r="T661"/>
      <c r="U661"/>
      <c r="V661"/>
      <c r="X661"/>
    </row>
    <row r="662" spans="10:24" s="1" customFormat="1" x14ac:dyDescent="0.2">
      <c r="J662"/>
      <c r="K662"/>
      <c r="L662"/>
      <c r="M662"/>
      <c r="N662"/>
      <c r="O662"/>
      <c r="P662" s="2"/>
      <c r="T662"/>
      <c r="U662"/>
      <c r="V662"/>
      <c r="X662"/>
    </row>
    <row r="663" spans="10:24" s="1" customFormat="1" x14ac:dyDescent="0.2">
      <c r="J663"/>
      <c r="K663"/>
      <c r="L663"/>
      <c r="M663"/>
      <c r="N663"/>
      <c r="O663"/>
      <c r="P663" s="2"/>
      <c r="T663"/>
      <c r="U663"/>
      <c r="V663"/>
      <c r="X663"/>
    </row>
    <row r="664" spans="10:24" s="1" customFormat="1" x14ac:dyDescent="0.2">
      <c r="J664"/>
      <c r="K664"/>
      <c r="L664"/>
      <c r="M664"/>
      <c r="N664"/>
      <c r="O664"/>
      <c r="P664" s="2"/>
      <c r="T664"/>
      <c r="U664"/>
      <c r="V664"/>
      <c r="X664"/>
    </row>
    <row r="665" spans="10:24" s="1" customFormat="1" x14ac:dyDescent="0.2">
      <c r="J665"/>
      <c r="K665"/>
      <c r="L665"/>
      <c r="M665"/>
      <c r="N665"/>
      <c r="O665"/>
      <c r="P665" s="2"/>
      <c r="T665"/>
      <c r="U665"/>
      <c r="V665"/>
      <c r="X665"/>
    </row>
    <row r="666" spans="10:24" s="1" customFormat="1" x14ac:dyDescent="0.2">
      <c r="J666"/>
      <c r="K666"/>
      <c r="L666"/>
      <c r="M666"/>
      <c r="N666"/>
      <c r="O666"/>
      <c r="P666" s="2"/>
      <c r="T666"/>
      <c r="U666"/>
      <c r="V666"/>
      <c r="X666"/>
    </row>
    <row r="667" spans="10:24" s="1" customFormat="1" x14ac:dyDescent="0.2">
      <c r="J667"/>
      <c r="K667"/>
      <c r="L667"/>
      <c r="M667"/>
      <c r="N667"/>
      <c r="O667"/>
      <c r="P667" s="2"/>
      <c r="T667"/>
      <c r="U667"/>
      <c r="V667"/>
      <c r="X667"/>
    </row>
    <row r="668" spans="10:24" s="1" customFormat="1" x14ac:dyDescent="0.2">
      <c r="J668"/>
      <c r="K668"/>
      <c r="L668"/>
      <c r="M668"/>
      <c r="N668"/>
      <c r="O668"/>
      <c r="P668" s="2"/>
      <c r="T668"/>
      <c r="U668"/>
      <c r="V668"/>
      <c r="X668"/>
    </row>
    <row r="669" spans="10:24" s="1" customFormat="1" x14ac:dyDescent="0.2">
      <c r="J669"/>
      <c r="K669"/>
      <c r="L669"/>
      <c r="M669"/>
      <c r="N669"/>
      <c r="O669"/>
      <c r="P669" s="2"/>
      <c r="T669"/>
      <c r="U669"/>
      <c r="V669"/>
      <c r="X669"/>
    </row>
    <row r="670" spans="10:24" s="1" customFormat="1" x14ac:dyDescent="0.2">
      <c r="J670"/>
      <c r="K670"/>
      <c r="L670"/>
      <c r="M670"/>
      <c r="N670"/>
      <c r="O670"/>
      <c r="P670" s="2"/>
      <c r="T670"/>
      <c r="U670"/>
      <c r="V670"/>
      <c r="X670"/>
    </row>
    <row r="671" spans="10:24" s="1" customFormat="1" x14ac:dyDescent="0.2">
      <c r="J671"/>
      <c r="K671"/>
      <c r="L671"/>
      <c r="M671"/>
      <c r="N671"/>
      <c r="O671"/>
      <c r="P671" s="2"/>
      <c r="T671"/>
      <c r="U671"/>
      <c r="V671"/>
      <c r="X671"/>
    </row>
    <row r="672" spans="10:24" s="1" customFormat="1" x14ac:dyDescent="0.2">
      <c r="J672"/>
      <c r="K672"/>
      <c r="L672"/>
      <c r="M672"/>
      <c r="N672"/>
      <c r="O672"/>
      <c r="P672" s="2"/>
      <c r="T672"/>
      <c r="U672"/>
      <c r="V672"/>
      <c r="X672"/>
    </row>
    <row r="673" spans="10:24" s="1" customFormat="1" x14ac:dyDescent="0.2">
      <c r="J673"/>
      <c r="K673"/>
      <c r="L673"/>
      <c r="M673"/>
      <c r="N673"/>
      <c r="O673"/>
      <c r="P673" s="2"/>
      <c r="T673"/>
      <c r="U673"/>
      <c r="V673"/>
      <c r="X673"/>
    </row>
    <row r="674" spans="10:24" s="1" customFormat="1" x14ac:dyDescent="0.2">
      <c r="J674"/>
      <c r="K674"/>
      <c r="L674"/>
      <c r="M674"/>
      <c r="N674"/>
      <c r="O674"/>
      <c r="P674" s="2"/>
      <c r="T674"/>
      <c r="U674"/>
      <c r="V674"/>
      <c r="X674"/>
    </row>
    <row r="675" spans="10:24" s="1" customFormat="1" x14ac:dyDescent="0.2">
      <c r="J675"/>
      <c r="K675"/>
      <c r="L675"/>
      <c r="M675"/>
      <c r="N675"/>
      <c r="O675"/>
      <c r="P675" s="2"/>
      <c r="T675"/>
      <c r="U675"/>
      <c r="V675"/>
      <c r="X675"/>
    </row>
    <row r="676" spans="10:24" s="1" customFormat="1" x14ac:dyDescent="0.2">
      <c r="J676"/>
      <c r="K676"/>
      <c r="L676"/>
      <c r="M676"/>
      <c r="N676"/>
      <c r="O676"/>
      <c r="P676" s="2"/>
      <c r="T676"/>
      <c r="U676"/>
      <c r="V676"/>
      <c r="X676"/>
    </row>
    <row r="677" spans="10:24" s="1" customFormat="1" x14ac:dyDescent="0.2">
      <c r="J677"/>
      <c r="K677"/>
      <c r="L677"/>
      <c r="M677"/>
      <c r="N677"/>
      <c r="O677"/>
      <c r="P677" s="2"/>
      <c r="T677"/>
      <c r="U677"/>
      <c r="V677"/>
      <c r="X677"/>
    </row>
    <row r="678" spans="10:24" s="1" customFormat="1" x14ac:dyDescent="0.2">
      <c r="J678"/>
      <c r="K678"/>
      <c r="L678"/>
      <c r="M678"/>
      <c r="N678"/>
      <c r="O678"/>
      <c r="P678" s="2"/>
      <c r="T678"/>
      <c r="U678"/>
      <c r="V678"/>
      <c r="X678"/>
    </row>
    <row r="679" spans="10:24" s="1" customFormat="1" x14ac:dyDescent="0.2">
      <c r="J679"/>
      <c r="K679"/>
      <c r="L679"/>
      <c r="M679"/>
      <c r="N679"/>
      <c r="O679"/>
      <c r="P679" s="2"/>
      <c r="T679"/>
      <c r="U679"/>
      <c r="V679"/>
      <c r="X679"/>
    </row>
    <row r="680" spans="10:24" s="1" customFormat="1" x14ac:dyDescent="0.2">
      <c r="J680"/>
      <c r="K680"/>
      <c r="L680"/>
      <c r="M680"/>
      <c r="N680"/>
      <c r="O680"/>
      <c r="P680" s="2"/>
      <c r="T680"/>
      <c r="U680"/>
      <c r="V680"/>
      <c r="X680"/>
    </row>
    <row r="681" spans="10:24" s="1" customFormat="1" x14ac:dyDescent="0.2">
      <c r="J681"/>
      <c r="K681"/>
      <c r="L681"/>
      <c r="M681"/>
      <c r="N681"/>
      <c r="O681"/>
      <c r="P681" s="2"/>
      <c r="T681"/>
      <c r="U681"/>
      <c r="V681"/>
      <c r="X681"/>
    </row>
    <row r="682" spans="10:24" s="1" customFormat="1" x14ac:dyDescent="0.2">
      <c r="J682"/>
      <c r="K682"/>
      <c r="L682"/>
      <c r="M682"/>
      <c r="N682"/>
      <c r="O682"/>
      <c r="P682" s="2"/>
      <c r="T682"/>
      <c r="U682"/>
      <c r="V682"/>
      <c r="X682"/>
    </row>
    <row r="683" spans="10:24" s="1" customFormat="1" x14ac:dyDescent="0.2">
      <c r="J683"/>
      <c r="K683"/>
      <c r="L683"/>
      <c r="M683"/>
      <c r="N683"/>
      <c r="O683"/>
      <c r="P683" s="2"/>
      <c r="T683"/>
      <c r="U683"/>
      <c r="V683"/>
      <c r="X683"/>
    </row>
    <row r="684" spans="10:24" s="1" customFormat="1" x14ac:dyDescent="0.2">
      <c r="J684"/>
      <c r="K684"/>
      <c r="L684"/>
      <c r="M684"/>
      <c r="N684"/>
      <c r="O684"/>
      <c r="P684" s="2"/>
      <c r="T684"/>
      <c r="U684"/>
      <c r="V684"/>
      <c r="X684"/>
    </row>
    <row r="685" spans="10:24" s="1" customFormat="1" x14ac:dyDescent="0.2">
      <c r="J685"/>
      <c r="K685"/>
      <c r="L685"/>
      <c r="M685"/>
      <c r="N685"/>
      <c r="O685"/>
      <c r="P685" s="2"/>
      <c r="T685"/>
      <c r="U685"/>
      <c r="V685"/>
      <c r="X685"/>
    </row>
    <row r="686" spans="10:24" s="1" customFormat="1" x14ac:dyDescent="0.2">
      <c r="J686"/>
      <c r="K686"/>
      <c r="L686"/>
      <c r="M686"/>
      <c r="N686"/>
      <c r="O686"/>
      <c r="P686" s="2"/>
      <c r="T686"/>
      <c r="U686"/>
      <c r="V686"/>
      <c r="X686"/>
    </row>
    <row r="687" spans="10:24" s="1" customFormat="1" x14ac:dyDescent="0.2">
      <c r="J687"/>
      <c r="K687"/>
      <c r="L687"/>
      <c r="M687"/>
      <c r="N687"/>
      <c r="O687"/>
      <c r="P687" s="2"/>
      <c r="T687"/>
      <c r="U687"/>
      <c r="V687"/>
      <c r="X687"/>
    </row>
    <row r="688" spans="10:24" s="1" customFormat="1" x14ac:dyDescent="0.2">
      <c r="J688"/>
      <c r="K688"/>
      <c r="L688"/>
      <c r="M688"/>
      <c r="N688"/>
      <c r="O688"/>
      <c r="P688" s="2"/>
      <c r="T688"/>
      <c r="U688"/>
      <c r="V688"/>
      <c r="X688"/>
    </row>
    <row r="689" spans="10:24" s="1" customFormat="1" x14ac:dyDescent="0.2">
      <c r="J689"/>
      <c r="K689"/>
      <c r="L689"/>
      <c r="M689"/>
      <c r="N689"/>
      <c r="O689"/>
      <c r="P689" s="2"/>
      <c r="T689"/>
      <c r="U689"/>
      <c r="V689"/>
      <c r="X689"/>
    </row>
    <row r="690" spans="10:24" s="1" customFormat="1" x14ac:dyDescent="0.2">
      <c r="J690"/>
      <c r="K690"/>
      <c r="L690"/>
      <c r="M690"/>
      <c r="N690"/>
      <c r="O690"/>
      <c r="P690" s="2"/>
      <c r="T690"/>
      <c r="U690"/>
      <c r="V690"/>
      <c r="X690"/>
    </row>
    <row r="691" spans="10:24" s="1" customFormat="1" x14ac:dyDescent="0.2">
      <c r="J691"/>
      <c r="K691"/>
      <c r="L691"/>
      <c r="M691"/>
      <c r="N691"/>
      <c r="O691"/>
      <c r="P691" s="2"/>
      <c r="T691"/>
      <c r="U691"/>
      <c r="V691"/>
      <c r="X691"/>
    </row>
    <row r="692" spans="10:24" s="1" customFormat="1" x14ac:dyDescent="0.2">
      <c r="J692"/>
      <c r="K692"/>
      <c r="L692"/>
      <c r="M692"/>
      <c r="N692"/>
      <c r="O692"/>
      <c r="P692" s="2"/>
      <c r="T692"/>
      <c r="U692"/>
      <c r="V692"/>
      <c r="X692"/>
    </row>
    <row r="693" spans="10:24" s="1" customFormat="1" x14ac:dyDescent="0.2">
      <c r="J693"/>
      <c r="K693"/>
      <c r="L693"/>
      <c r="M693"/>
      <c r="N693"/>
      <c r="O693"/>
      <c r="P693" s="2"/>
      <c r="T693"/>
      <c r="U693"/>
      <c r="V693"/>
      <c r="X693"/>
    </row>
    <row r="694" spans="10:24" s="1" customFormat="1" x14ac:dyDescent="0.2">
      <c r="J694"/>
      <c r="K694"/>
      <c r="L694"/>
      <c r="M694"/>
      <c r="N694"/>
      <c r="O694"/>
      <c r="P694" s="2"/>
      <c r="T694"/>
      <c r="U694"/>
      <c r="V694"/>
      <c r="X694"/>
    </row>
    <row r="695" spans="10:24" s="1" customFormat="1" x14ac:dyDescent="0.2">
      <c r="J695"/>
      <c r="K695"/>
      <c r="L695"/>
      <c r="M695"/>
      <c r="N695"/>
      <c r="O695"/>
      <c r="P695" s="2"/>
      <c r="T695"/>
      <c r="U695"/>
      <c r="V695"/>
      <c r="X695"/>
    </row>
    <row r="696" spans="10:24" s="1" customFormat="1" x14ac:dyDescent="0.2">
      <c r="J696"/>
      <c r="K696"/>
      <c r="L696"/>
      <c r="M696"/>
      <c r="N696"/>
      <c r="O696"/>
      <c r="P696" s="2"/>
      <c r="T696"/>
      <c r="U696"/>
      <c r="V696"/>
      <c r="X696"/>
    </row>
    <row r="697" spans="10:24" s="1" customFormat="1" x14ac:dyDescent="0.2">
      <c r="J697"/>
      <c r="K697"/>
      <c r="L697"/>
      <c r="M697"/>
      <c r="N697"/>
      <c r="O697"/>
      <c r="P697" s="2"/>
      <c r="T697"/>
      <c r="U697"/>
      <c r="V697"/>
      <c r="X697"/>
    </row>
    <row r="698" spans="10:24" s="1" customFormat="1" x14ac:dyDescent="0.2">
      <c r="J698"/>
      <c r="K698"/>
      <c r="L698"/>
      <c r="M698"/>
      <c r="N698"/>
      <c r="O698"/>
      <c r="P698" s="2"/>
      <c r="T698"/>
      <c r="U698"/>
      <c r="V698"/>
      <c r="X698"/>
    </row>
    <row r="699" spans="10:24" s="1" customFormat="1" x14ac:dyDescent="0.2">
      <c r="J699"/>
      <c r="K699"/>
      <c r="L699"/>
      <c r="M699"/>
      <c r="N699"/>
      <c r="O699"/>
      <c r="P699" s="2"/>
      <c r="T699"/>
      <c r="U699"/>
      <c r="V699"/>
      <c r="X699"/>
    </row>
    <row r="700" spans="10:24" s="1" customFormat="1" x14ac:dyDescent="0.2">
      <c r="J700"/>
      <c r="K700"/>
      <c r="L700"/>
      <c r="M700"/>
      <c r="N700"/>
      <c r="O700"/>
      <c r="P700" s="2"/>
      <c r="T700"/>
      <c r="U700"/>
      <c r="V700"/>
      <c r="X700"/>
    </row>
    <row r="701" spans="10:24" s="1" customFormat="1" x14ac:dyDescent="0.2">
      <c r="J701"/>
      <c r="K701"/>
      <c r="L701"/>
      <c r="M701"/>
      <c r="N701"/>
      <c r="O701"/>
      <c r="P701" s="2"/>
      <c r="T701"/>
      <c r="U701"/>
      <c r="V701"/>
      <c r="X701"/>
    </row>
    <row r="702" spans="10:24" s="1" customFormat="1" x14ac:dyDescent="0.2">
      <c r="J702"/>
      <c r="K702"/>
      <c r="L702"/>
      <c r="M702"/>
      <c r="N702"/>
      <c r="O702"/>
      <c r="P702" s="2"/>
      <c r="T702"/>
      <c r="U702"/>
      <c r="V702"/>
      <c r="X702"/>
    </row>
    <row r="703" spans="10:24" s="1" customFormat="1" x14ac:dyDescent="0.2">
      <c r="J703"/>
      <c r="K703"/>
      <c r="L703"/>
      <c r="M703"/>
      <c r="N703"/>
      <c r="O703"/>
      <c r="P703" s="2"/>
      <c r="T703"/>
      <c r="U703"/>
      <c r="V703"/>
      <c r="X703"/>
    </row>
    <row r="704" spans="10:24" s="1" customFormat="1" x14ac:dyDescent="0.2">
      <c r="J704"/>
      <c r="K704"/>
      <c r="L704"/>
      <c r="M704"/>
      <c r="N704"/>
      <c r="O704"/>
      <c r="P704" s="2"/>
      <c r="T704"/>
      <c r="U704"/>
      <c r="V704"/>
      <c r="X704"/>
    </row>
    <row r="705" spans="10:24" s="1" customFormat="1" x14ac:dyDescent="0.2">
      <c r="J705"/>
      <c r="K705"/>
      <c r="L705"/>
      <c r="M705"/>
      <c r="N705"/>
      <c r="O705"/>
      <c r="P705" s="2"/>
      <c r="T705"/>
      <c r="U705"/>
      <c r="V705"/>
      <c r="X705"/>
    </row>
    <row r="706" spans="10:24" s="1" customFormat="1" x14ac:dyDescent="0.2">
      <c r="J706"/>
      <c r="K706"/>
      <c r="L706"/>
      <c r="M706"/>
      <c r="N706"/>
      <c r="O706"/>
      <c r="P706" s="2"/>
      <c r="T706"/>
      <c r="U706"/>
      <c r="V706"/>
      <c r="X706"/>
    </row>
    <row r="707" spans="10:24" s="1" customFormat="1" x14ac:dyDescent="0.2">
      <c r="J707"/>
      <c r="K707"/>
      <c r="L707"/>
      <c r="M707"/>
      <c r="N707"/>
      <c r="O707"/>
      <c r="P707" s="2"/>
      <c r="T707"/>
      <c r="U707"/>
      <c r="V707"/>
      <c r="X707"/>
    </row>
    <row r="708" spans="10:24" s="1" customFormat="1" x14ac:dyDescent="0.2">
      <c r="J708"/>
      <c r="K708"/>
      <c r="L708"/>
      <c r="M708"/>
      <c r="N708"/>
      <c r="O708"/>
      <c r="P708" s="2"/>
      <c r="T708"/>
      <c r="U708"/>
      <c r="V708"/>
      <c r="X708"/>
    </row>
    <row r="709" spans="10:24" s="1" customFormat="1" x14ac:dyDescent="0.2">
      <c r="J709"/>
      <c r="K709"/>
      <c r="L709"/>
      <c r="M709"/>
      <c r="N709"/>
      <c r="O709"/>
      <c r="P709" s="2"/>
      <c r="T709"/>
      <c r="U709"/>
      <c r="V709"/>
      <c r="X709"/>
    </row>
    <row r="710" spans="10:24" s="1" customFormat="1" x14ac:dyDescent="0.2">
      <c r="J710"/>
      <c r="K710"/>
      <c r="L710"/>
      <c r="M710"/>
      <c r="N710"/>
      <c r="O710"/>
      <c r="P710" s="2"/>
      <c r="T710"/>
      <c r="U710"/>
      <c r="V710"/>
      <c r="X710"/>
    </row>
    <row r="711" spans="10:24" s="1" customFormat="1" x14ac:dyDescent="0.2">
      <c r="J711"/>
      <c r="K711"/>
      <c r="L711"/>
      <c r="M711"/>
      <c r="N711"/>
      <c r="O711"/>
      <c r="P711" s="2"/>
      <c r="T711"/>
      <c r="U711"/>
      <c r="V711"/>
      <c r="X711"/>
    </row>
    <row r="712" spans="10:24" s="1" customFormat="1" x14ac:dyDescent="0.2">
      <c r="J712"/>
      <c r="K712"/>
      <c r="L712"/>
      <c r="M712"/>
      <c r="N712"/>
      <c r="O712"/>
      <c r="P712" s="2"/>
      <c r="T712"/>
      <c r="U712"/>
      <c r="V712"/>
      <c r="X712"/>
    </row>
    <row r="713" spans="10:24" s="1" customFormat="1" x14ac:dyDescent="0.2">
      <c r="J713"/>
      <c r="K713"/>
      <c r="L713"/>
      <c r="M713"/>
      <c r="N713"/>
      <c r="O713"/>
      <c r="P713" s="2"/>
      <c r="T713"/>
      <c r="U713"/>
      <c r="V713"/>
      <c r="X713"/>
    </row>
    <row r="714" spans="10:24" s="1" customFormat="1" x14ac:dyDescent="0.2">
      <c r="J714"/>
      <c r="K714"/>
      <c r="L714"/>
      <c r="M714"/>
      <c r="N714"/>
      <c r="O714"/>
      <c r="P714" s="2"/>
      <c r="T714"/>
      <c r="U714"/>
      <c r="V714"/>
      <c r="X714"/>
    </row>
    <row r="715" spans="10:24" s="1" customFormat="1" x14ac:dyDescent="0.2">
      <c r="J715"/>
      <c r="K715"/>
      <c r="L715"/>
      <c r="M715"/>
      <c r="N715"/>
      <c r="O715"/>
      <c r="P715" s="2"/>
      <c r="T715"/>
      <c r="U715"/>
      <c r="V715"/>
      <c r="X715"/>
    </row>
    <row r="716" spans="10:24" s="1" customFormat="1" x14ac:dyDescent="0.2">
      <c r="J716"/>
      <c r="K716"/>
      <c r="L716"/>
      <c r="M716"/>
      <c r="N716"/>
      <c r="O716"/>
      <c r="P716" s="2"/>
      <c r="T716"/>
      <c r="U716"/>
      <c r="V716"/>
      <c r="X716"/>
    </row>
    <row r="717" spans="10:24" s="1" customFormat="1" x14ac:dyDescent="0.2">
      <c r="J717"/>
      <c r="K717"/>
      <c r="L717"/>
      <c r="M717"/>
      <c r="N717"/>
      <c r="O717"/>
      <c r="P717" s="2"/>
      <c r="T717"/>
      <c r="U717"/>
      <c r="V717"/>
      <c r="X717"/>
    </row>
    <row r="718" spans="10:24" s="1" customFormat="1" x14ac:dyDescent="0.2">
      <c r="J718"/>
      <c r="K718"/>
      <c r="L718"/>
      <c r="M718"/>
      <c r="N718"/>
      <c r="O718"/>
      <c r="P718" s="2"/>
      <c r="T718"/>
      <c r="U718"/>
      <c r="V718"/>
      <c r="X718"/>
    </row>
    <row r="719" spans="10:24" s="1" customFormat="1" x14ac:dyDescent="0.2">
      <c r="J719"/>
      <c r="K719"/>
      <c r="L719"/>
      <c r="M719"/>
      <c r="N719"/>
      <c r="O719"/>
      <c r="P719" s="2"/>
      <c r="T719"/>
      <c r="U719"/>
      <c r="V719"/>
      <c r="X719"/>
    </row>
    <row r="720" spans="10:24" s="1" customFormat="1" x14ac:dyDescent="0.2">
      <c r="J720"/>
      <c r="K720"/>
      <c r="L720"/>
      <c r="M720"/>
      <c r="N720"/>
      <c r="O720"/>
      <c r="P720" s="2"/>
      <c r="T720"/>
      <c r="U720"/>
      <c r="V720"/>
      <c r="X720"/>
    </row>
    <row r="721" spans="10:24" s="1" customFormat="1" x14ac:dyDescent="0.2">
      <c r="J721"/>
      <c r="K721"/>
      <c r="L721"/>
      <c r="M721"/>
      <c r="N721"/>
      <c r="O721"/>
      <c r="P721" s="2"/>
      <c r="T721"/>
      <c r="U721"/>
      <c r="V721"/>
      <c r="X721"/>
    </row>
    <row r="722" spans="10:24" s="1" customFormat="1" x14ac:dyDescent="0.2">
      <c r="J722"/>
      <c r="K722"/>
      <c r="L722"/>
      <c r="M722"/>
      <c r="N722"/>
      <c r="O722"/>
      <c r="P722" s="2"/>
      <c r="T722"/>
      <c r="U722"/>
      <c r="V722"/>
      <c r="X722"/>
    </row>
    <row r="723" spans="10:24" s="1" customFormat="1" x14ac:dyDescent="0.2">
      <c r="J723"/>
      <c r="K723"/>
      <c r="L723"/>
      <c r="M723"/>
      <c r="N723"/>
      <c r="O723"/>
      <c r="P723" s="2"/>
      <c r="T723"/>
      <c r="U723"/>
      <c r="V723"/>
      <c r="X723"/>
    </row>
    <row r="724" spans="10:24" s="1" customFormat="1" x14ac:dyDescent="0.2">
      <c r="J724"/>
      <c r="K724"/>
      <c r="L724"/>
      <c r="M724"/>
      <c r="N724"/>
      <c r="O724"/>
      <c r="P724" s="2"/>
      <c r="T724"/>
      <c r="U724"/>
      <c r="V724"/>
      <c r="X724"/>
    </row>
    <row r="725" spans="10:24" s="1" customFormat="1" x14ac:dyDescent="0.2">
      <c r="J725"/>
      <c r="K725"/>
      <c r="L725"/>
      <c r="M725"/>
      <c r="N725"/>
      <c r="O725"/>
      <c r="P725" s="2"/>
      <c r="T725"/>
      <c r="U725"/>
      <c r="V725"/>
      <c r="X725"/>
    </row>
    <row r="726" spans="10:24" s="1" customFormat="1" x14ac:dyDescent="0.2">
      <c r="J726"/>
      <c r="K726"/>
      <c r="L726"/>
      <c r="M726"/>
      <c r="N726"/>
      <c r="O726"/>
      <c r="P726" s="2"/>
      <c r="T726"/>
      <c r="U726"/>
      <c r="V726"/>
      <c r="X726"/>
    </row>
    <row r="727" spans="10:24" s="1" customFormat="1" x14ac:dyDescent="0.2">
      <c r="J727"/>
      <c r="K727"/>
      <c r="L727"/>
      <c r="M727"/>
      <c r="N727"/>
      <c r="O727"/>
      <c r="P727" s="2"/>
      <c r="T727"/>
      <c r="U727"/>
      <c r="V727"/>
      <c r="X727"/>
    </row>
    <row r="728" spans="10:24" s="1" customFormat="1" x14ac:dyDescent="0.2">
      <c r="J728"/>
      <c r="K728"/>
      <c r="L728"/>
      <c r="M728"/>
      <c r="N728"/>
      <c r="O728"/>
      <c r="P728" s="2"/>
      <c r="T728"/>
      <c r="U728"/>
      <c r="V728"/>
      <c r="X728"/>
    </row>
    <row r="729" spans="10:24" s="1" customFormat="1" x14ac:dyDescent="0.2">
      <c r="J729"/>
      <c r="K729"/>
      <c r="L729"/>
      <c r="M729"/>
      <c r="N729"/>
      <c r="O729"/>
      <c r="P729" s="2"/>
      <c r="T729"/>
      <c r="U729"/>
      <c r="V729"/>
      <c r="X729"/>
    </row>
    <row r="730" spans="10:24" s="1" customFormat="1" x14ac:dyDescent="0.2">
      <c r="J730"/>
      <c r="K730"/>
      <c r="L730"/>
      <c r="M730"/>
      <c r="N730"/>
      <c r="O730"/>
      <c r="P730" s="2"/>
      <c r="T730"/>
      <c r="U730"/>
      <c r="V730"/>
      <c r="X730"/>
    </row>
    <row r="731" spans="10:24" s="1" customFormat="1" x14ac:dyDescent="0.2">
      <c r="J731"/>
      <c r="K731"/>
      <c r="L731"/>
      <c r="M731"/>
      <c r="N731"/>
      <c r="O731"/>
      <c r="P731" s="2"/>
      <c r="T731"/>
      <c r="U731"/>
      <c r="V731"/>
      <c r="X731"/>
    </row>
    <row r="732" spans="10:24" s="1" customFormat="1" x14ac:dyDescent="0.2">
      <c r="J732"/>
      <c r="K732"/>
      <c r="L732"/>
      <c r="M732"/>
      <c r="N732"/>
      <c r="O732"/>
      <c r="P732" s="2"/>
      <c r="T732"/>
      <c r="U732"/>
      <c r="V732"/>
      <c r="X732"/>
    </row>
    <row r="733" spans="10:24" s="1" customFormat="1" x14ac:dyDescent="0.2">
      <c r="J733"/>
      <c r="K733"/>
      <c r="L733"/>
      <c r="M733"/>
      <c r="N733"/>
      <c r="O733"/>
      <c r="P733" s="2"/>
      <c r="T733"/>
      <c r="U733"/>
      <c r="V733"/>
      <c r="X733"/>
    </row>
    <row r="734" spans="10:24" s="1" customFormat="1" x14ac:dyDescent="0.2">
      <c r="J734"/>
      <c r="K734"/>
      <c r="L734"/>
      <c r="M734"/>
      <c r="N734"/>
      <c r="O734"/>
      <c r="P734" s="2"/>
      <c r="T734"/>
      <c r="U734"/>
      <c r="V734"/>
      <c r="X734"/>
    </row>
    <row r="735" spans="10:24" s="1" customFormat="1" x14ac:dyDescent="0.2">
      <c r="J735"/>
      <c r="K735"/>
      <c r="L735"/>
      <c r="M735"/>
      <c r="N735"/>
      <c r="O735"/>
      <c r="P735" s="2"/>
      <c r="T735"/>
      <c r="U735"/>
      <c r="V735"/>
      <c r="X735"/>
    </row>
    <row r="736" spans="10:24" s="1" customFormat="1" x14ac:dyDescent="0.2">
      <c r="J736"/>
      <c r="K736"/>
      <c r="L736"/>
      <c r="M736"/>
      <c r="N736"/>
      <c r="O736"/>
      <c r="P736" s="2"/>
      <c r="T736"/>
      <c r="U736"/>
      <c r="V736"/>
      <c r="X736"/>
    </row>
    <row r="65465" spans="13:13" x14ac:dyDescent="0.2">
      <c r="M65465">
        <v>4</v>
      </c>
    </row>
  </sheetData>
  <mergeCells count="196">
    <mergeCell ref="V24:V25"/>
    <mergeCell ref="W24:W25"/>
    <mergeCell ref="D36:D37"/>
    <mergeCell ref="V35:V36"/>
    <mergeCell ref="W35:W36"/>
    <mergeCell ref="J35:J36"/>
    <mergeCell ref="K35:K36"/>
    <mergeCell ref="B35:B36"/>
    <mergeCell ref="E35:E36"/>
    <mergeCell ref="M35:M36"/>
    <mergeCell ref="S35:S36"/>
    <mergeCell ref="T35:T36"/>
    <mergeCell ref="H24:H25"/>
    <mergeCell ref="I24:I25"/>
    <mergeCell ref="J24:J25"/>
    <mergeCell ref="K24:K25"/>
    <mergeCell ref="M24:M25"/>
    <mergeCell ref="N24:N25"/>
    <mergeCell ref="U35:U36"/>
    <mergeCell ref="O24:O25"/>
    <mergeCell ref="P24:P25"/>
    <mergeCell ref="Q24:Q25"/>
    <mergeCell ref="S24:S25"/>
    <mergeCell ref="T24:T25"/>
    <mergeCell ref="U24:U25"/>
    <mergeCell ref="T16:T17"/>
    <mergeCell ref="U16:U17"/>
    <mergeCell ref="V16:V17"/>
    <mergeCell ref="W16:W17"/>
    <mergeCell ref="B16:B17"/>
    <mergeCell ref="E16:E17"/>
    <mergeCell ref="M16:M17"/>
    <mergeCell ref="J16:J17"/>
    <mergeCell ref="K16:K17"/>
    <mergeCell ref="S16:S17"/>
    <mergeCell ref="S19:S20"/>
    <mergeCell ref="B24:B25"/>
    <mergeCell ref="D24:D25"/>
    <mergeCell ref="E24:E25"/>
    <mergeCell ref="F24:F25"/>
    <mergeCell ref="T19:T20"/>
    <mergeCell ref="U19:U20"/>
    <mergeCell ref="V19:V20"/>
    <mergeCell ref="W19:W20"/>
    <mergeCell ref="B19:B20"/>
    <mergeCell ref="D18:D19"/>
    <mergeCell ref="E19:E20"/>
    <mergeCell ref="J19:J20"/>
    <mergeCell ref="C93:C94"/>
    <mergeCell ref="D93:D94"/>
    <mergeCell ref="E93:E94"/>
    <mergeCell ref="E61:F61"/>
    <mergeCell ref="E62:F62"/>
    <mergeCell ref="X53:AD53"/>
    <mergeCell ref="X54:AD54"/>
    <mergeCell ref="X55:AD55"/>
    <mergeCell ref="X56:AD56"/>
    <mergeCell ref="X57:AD57"/>
    <mergeCell ref="D73:P73"/>
    <mergeCell ref="C83:O84"/>
    <mergeCell ref="E60:F60"/>
    <mergeCell ref="X58:AD58"/>
    <mergeCell ref="X48:AD48"/>
    <mergeCell ref="X49:AD49"/>
    <mergeCell ref="X50:AD50"/>
    <mergeCell ref="X51:AD51"/>
    <mergeCell ref="X38:AD38"/>
    <mergeCell ref="X39:AD39"/>
    <mergeCell ref="X40:AD40"/>
    <mergeCell ref="X41:AD41"/>
    <mergeCell ref="X52:AD52"/>
    <mergeCell ref="X47:AD47"/>
    <mergeCell ref="X42:AD42"/>
    <mergeCell ref="X43:AD43"/>
    <mergeCell ref="X44:AD44"/>
    <mergeCell ref="X45:AD45"/>
    <mergeCell ref="X35:AD35"/>
    <mergeCell ref="X46:AD46"/>
    <mergeCell ref="X36:AD36"/>
    <mergeCell ref="W4:W5"/>
    <mergeCell ref="X23:AD23"/>
    <mergeCell ref="X33:AD33"/>
    <mergeCell ref="X34:AD34"/>
    <mergeCell ref="X37:AD37"/>
    <mergeCell ref="X27:AD27"/>
    <mergeCell ref="X16:AD16"/>
    <mergeCell ref="W22:W23"/>
    <mergeCell ref="X24:AD25"/>
    <mergeCell ref="X32:AD32"/>
    <mergeCell ref="X19:AD19"/>
    <mergeCell ref="X20:AD20"/>
    <mergeCell ref="X12:AD12"/>
    <mergeCell ref="X13:AD13"/>
    <mergeCell ref="X31:AD31"/>
    <mergeCell ref="X17:AD17"/>
    <mergeCell ref="X18:AD18"/>
    <mergeCell ref="X14:AD14"/>
    <mergeCell ref="X30:AD30"/>
    <mergeCell ref="X28:AD28"/>
    <mergeCell ref="X29:AD29"/>
    <mergeCell ref="X26:AD26"/>
    <mergeCell ref="X7:AD7"/>
    <mergeCell ref="X21:AD21"/>
    <mergeCell ref="X15:AD15"/>
    <mergeCell ref="X10:AD10"/>
    <mergeCell ref="X22:AD22"/>
    <mergeCell ref="X11:AD11"/>
    <mergeCell ref="X9:AD9"/>
    <mergeCell ref="B2:X2"/>
    <mergeCell ref="X3:AD3"/>
    <mergeCell ref="X4:AD4"/>
    <mergeCell ref="X5:AD5"/>
    <mergeCell ref="X6:AD6"/>
    <mergeCell ref="E9:E10"/>
    <mergeCell ref="S4:S5"/>
    <mergeCell ref="U4:U5"/>
    <mergeCell ref="X8:AD8"/>
    <mergeCell ref="V4:V5"/>
    <mergeCell ref="B4:B5"/>
    <mergeCell ref="E4:E5"/>
    <mergeCell ref="J4:J5"/>
    <mergeCell ref="K4:K5"/>
    <mergeCell ref="M4:M5"/>
    <mergeCell ref="B7:B8"/>
    <mergeCell ref="T4:T5"/>
    <mergeCell ref="W7:W8"/>
    <mergeCell ref="V7:V8"/>
    <mergeCell ref="K7:K8"/>
    <mergeCell ref="M7:M8"/>
    <mergeCell ref="T7:T8"/>
    <mergeCell ref="S7:S8"/>
    <mergeCell ref="U7:U8"/>
    <mergeCell ref="E11:E12"/>
    <mergeCell ref="M11:M12"/>
    <mergeCell ref="J11:J12"/>
    <mergeCell ref="K11:K12"/>
    <mergeCell ref="S11:S12"/>
    <mergeCell ref="J7:J8"/>
    <mergeCell ref="M9:M10"/>
    <mergeCell ref="K9:K10"/>
    <mergeCell ref="E7:E8"/>
    <mergeCell ref="V9:V10"/>
    <mergeCell ref="W9:W10"/>
    <mergeCell ref="J9:J10"/>
    <mergeCell ref="V11:V12"/>
    <mergeCell ref="W11:W12"/>
    <mergeCell ref="S9:S10"/>
    <mergeCell ref="U9:U10"/>
    <mergeCell ref="S14:S15"/>
    <mergeCell ref="T11:T12"/>
    <mergeCell ref="U11:U12"/>
    <mergeCell ref="T9:T10"/>
    <mergeCell ref="T14:T15"/>
    <mergeCell ref="U14:U15"/>
    <mergeCell ref="V14:V15"/>
    <mergeCell ref="W14:W15"/>
    <mergeCell ref="B14:B15"/>
    <mergeCell ref="D13:D14"/>
    <mergeCell ref="J14:J15"/>
    <mergeCell ref="K14:K15"/>
    <mergeCell ref="M14:M15"/>
    <mergeCell ref="E14:E15"/>
    <mergeCell ref="B9:B10"/>
    <mergeCell ref="B11:B12"/>
    <mergeCell ref="K19:K20"/>
    <mergeCell ref="M19:M20"/>
    <mergeCell ref="T22:T23"/>
    <mergeCell ref="U22:U23"/>
    <mergeCell ref="V22:V23"/>
    <mergeCell ref="B22:B23"/>
    <mergeCell ref="E22:E23"/>
    <mergeCell ref="J22:J23"/>
    <mergeCell ref="K22:K23"/>
    <mergeCell ref="M22:M23"/>
    <mergeCell ref="S22:S23"/>
    <mergeCell ref="W26:W27"/>
    <mergeCell ref="Q26:Q27"/>
    <mergeCell ref="S26:S27"/>
    <mergeCell ref="T26:T27"/>
    <mergeCell ref="U26:U27"/>
    <mergeCell ref="V26:V27"/>
    <mergeCell ref="B26:B27"/>
    <mergeCell ref="E26:E27"/>
    <mergeCell ref="J26:J27"/>
    <mergeCell ref="K26:K27"/>
    <mergeCell ref="M26:M27"/>
    <mergeCell ref="S29:S32"/>
    <mergeCell ref="T29:T32"/>
    <mergeCell ref="U29:U32"/>
    <mergeCell ref="V29:V32"/>
    <mergeCell ref="W29:W32"/>
    <mergeCell ref="B29:B32"/>
    <mergeCell ref="E29:E32"/>
    <mergeCell ref="J29:J32"/>
    <mergeCell ref="K29:K32"/>
    <mergeCell ref="M29:M32"/>
  </mergeCells>
  <conditionalFormatting sqref="B2 J78:J86 J89:J65536">
    <cfRule type="cellIs" dxfId="1634" priority="739" stopIfTrue="1" operator="lessThan">
      <formula>438</formula>
    </cfRule>
  </conditionalFormatting>
  <conditionalFormatting sqref="I64:I72">
    <cfRule type="cellIs" dxfId="1633" priority="722" stopIfTrue="1" operator="lessThan">
      <formula>0%</formula>
    </cfRule>
    <cfRule type="cellIs" dxfId="1632" priority="721" stopIfTrue="1" operator="greaterThan">
      <formula>1.5%</formula>
    </cfRule>
  </conditionalFormatting>
  <conditionalFormatting sqref="J3">
    <cfRule type="cellIs" dxfId="1631" priority="587" stopIfTrue="1" operator="lessThan">
      <formula>438</formula>
    </cfRule>
    <cfRule type="cellIs" dxfId="1630" priority="585" stopIfTrue="1" operator="lessThan">
      <formula>456.25</formula>
    </cfRule>
  </conditionalFormatting>
  <conditionalFormatting sqref="J4 J6:J7 J9 J11">
    <cfRule type="cellIs" dxfId="1629" priority="449" stopIfTrue="1" operator="lessThan">
      <formula>524</formula>
    </cfRule>
  </conditionalFormatting>
  <conditionalFormatting sqref="J13:J14 J16">
    <cfRule type="cellIs" dxfId="1628" priority="359" stopIfTrue="1" operator="lessThan">
      <formula>524</formula>
    </cfRule>
  </conditionalFormatting>
  <conditionalFormatting sqref="J18:J19">
    <cfRule type="cellIs" dxfId="1627" priority="277" stopIfTrue="1" operator="lessThan">
      <formula>524</formula>
    </cfRule>
  </conditionalFormatting>
  <conditionalFormatting sqref="J21:J22 J24 J26">
    <cfRule type="cellIs" dxfId="1626" priority="173" stopIfTrue="1" operator="lessThan">
      <formula>524</formula>
    </cfRule>
  </conditionalFormatting>
  <conditionalFormatting sqref="J28:J29">
    <cfRule type="cellIs" dxfId="1625" priority="168" stopIfTrue="1" operator="lessThan">
      <formula>524</formula>
    </cfRule>
  </conditionalFormatting>
  <conditionalFormatting sqref="J33:J35">
    <cfRule type="cellIs" dxfId="1624" priority="62" stopIfTrue="1" operator="lessThan">
      <formula>524</formula>
    </cfRule>
  </conditionalFormatting>
  <conditionalFormatting sqref="J37:J58">
    <cfRule type="cellIs" dxfId="1623" priority="4" stopIfTrue="1" operator="lessThan">
      <formula>524</formula>
    </cfRule>
  </conditionalFormatting>
  <conditionalFormatting sqref="J59">
    <cfRule type="cellIs" dxfId="1622" priority="733" stopIfTrue="1" operator="lessThan">
      <formula>462</formula>
    </cfRule>
  </conditionalFormatting>
  <conditionalFormatting sqref="J64:K72">
    <cfRule type="cellIs" dxfId="1621" priority="517" stopIfTrue="1" operator="lessThan">
      <formula>73%</formula>
    </cfRule>
  </conditionalFormatting>
  <conditionalFormatting sqref="K13:K14 K16">
    <cfRule type="cellIs" dxfId="1620" priority="335" stopIfTrue="1" operator="lessThan">
      <formula>540</formula>
    </cfRule>
  </conditionalFormatting>
  <conditionalFormatting sqref="K18:K19">
    <cfRule type="cellIs" dxfId="1619" priority="229" stopIfTrue="1" operator="lessThan">
      <formula>540</formula>
    </cfRule>
  </conditionalFormatting>
  <conditionalFormatting sqref="K21:K22 K24 K26">
    <cfRule type="cellIs" dxfId="1618" priority="175" stopIfTrue="1" operator="lessThan">
      <formula>540</formula>
    </cfRule>
  </conditionalFormatting>
  <conditionalFormatting sqref="K28:K29">
    <cfRule type="cellIs" dxfId="1617" priority="120" stopIfTrue="1" operator="lessThan">
      <formula>540</formula>
    </cfRule>
  </conditionalFormatting>
  <conditionalFormatting sqref="K33:K35">
    <cfRule type="cellIs" dxfId="1616" priority="38" stopIfTrue="1" operator="lessThan">
      <formula>540</formula>
    </cfRule>
  </conditionalFormatting>
  <conditionalFormatting sqref="K37">
    <cfRule type="cellIs" dxfId="1615" priority="5" stopIfTrue="1" operator="lessThan">
      <formula>540</formula>
    </cfRule>
  </conditionalFormatting>
  <conditionalFormatting sqref="K4:L4 L5 K6:L7 L8 K9:L9 L10:L12 K11 K13:L13">
    <cfRule type="cellIs" dxfId="1614" priority="519" stopIfTrue="1" operator="lessThan">
      <formula>540</formula>
    </cfRule>
  </conditionalFormatting>
  <conditionalFormatting sqref="L14:L37 K38:L57">
    <cfRule type="cellIs" dxfId="1613" priority="363" stopIfTrue="1" operator="lessThan">
      <formula>540</formula>
    </cfRule>
  </conditionalFormatting>
  <conditionalFormatting sqref="Q4:Q24 Q26">
    <cfRule type="cellIs" dxfId="1612" priority="400" stopIfTrue="1" operator="greaterThan">
      <formula>1.1</formula>
    </cfRule>
  </conditionalFormatting>
  <conditionalFormatting sqref="Q28:Q60">
    <cfRule type="cellIs" dxfId="1611" priority="119" stopIfTrue="1" operator="greaterThan">
      <formula>1.1</formula>
    </cfRule>
  </conditionalFormatting>
  <conditionalFormatting sqref="Q60:Q61">
    <cfRule type="cellIs" dxfId="1610" priority="735" stopIfTrue="1" operator="lessThan">
      <formula>0%</formula>
    </cfRule>
    <cfRule type="cellIs" dxfId="1609" priority="734" stopIfTrue="1" operator="greaterThan">
      <formula>1.5%</formula>
    </cfRule>
  </conditionalFormatting>
  <conditionalFormatting sqref="Q64">
    <cfRule type="cellIs" dxfId="1608" priority="723" stopIfTrue="1" operator="greaterThan">
      <formula>1.1</formula>
    </cfRule>
  </conditionalFormatting>
  <conditionalFormatting sqref="S4:T4">
    <cfRule type="cellIs" dxfId="1607" priority="589" stopIfTrue="1" operator="lessThan">
      <formula>0.67</formula>
    </cfRule>
  </conditionalFormatting>
  <conditionalFormatting sqref="S6:T7">
    <cfRule type="cellIs" dxfId="1606" priority="401" stopIfTrue="1" operator="lessThan">
      <formula>0.67</formula>
    </cfRule>
  </conditionalFormatting>
  <conditionalFormatting sqref="S9:T9 S11:T11">
    <cfRule type="cellIs" dxfId="1605" priority="397" stopIfTrue="1" operator="lessThan">
      <formula>0.67</formula>
    </cfRule>
  </conditionalFormatting>
  <conditionalFormatting sqref="S13:T14 S16:T16">
    <cfRule type="cellIs" dxfId="1604" priority="332" stopIfTrue="1" operator="lessThan">
      <formula>0.67</formula>
    </cfRule>
  </conditionalFormatting>
  <conditionalFormatting sqref="S18:T19">
    <cfRule type="cellIs" dxfId="1603" priority="226" stopIfTrue="1" operator="lessThan">
      <formula>0.67</formula>
    </cfRule>
  </conditionalFormatting>
  <conditionalFormatting sqref="S21:T22 S24:T24 S26:T26">
    <cfRule type="cellIs" dxfId="1602" priority="170" stopIfTrue="1" operator="lessThan">
      <formula>0.67</formula>
    </cfRule>
  </conditionalFormatting>
  <conditionalFormatting sqref="S28:T29">
    <cfRule type="cellIs" dxfId="1601" priority="116" stopIfTrue="1" operator="lessThan">
      <formula>0.67</formula>
    </cfRule>
  </conditionalFormatting>
  <conditionalFormatting sqref="S33:T35">
    <cfRule type="cellIs" dxfId="1600" priority="29" stopIfTrue="1" operator="lessThan">
      <formula>0.67</formula>
    </cfRule>
  </conditionalFormatting>
  <conditionalFormatting sqref="S37:T57">
    <cfRule type="cellIs" dxfId="1599" priority="1" stopIfTrue="1" operator="lessThan">
      <formula>0.67</formula>
    </cfRule>
  </conditionalFormatting>
  <conditionalFormatting sqref="S58:T58">
    <cfRule type="cellIs" dxfId="1598" priority="516" stopIfTrue="1" operator="greaterThan">
      <formula>1.1</formula>
    </cfRule>
  </conditionalFormatting>
  <conditionalFormatting sqref="S59:T59">
    <cfRule type="cellIs" dxfId="1597" priority="691" stopIfTrue="1" operator="lessThan">
      <formula>0.6</formula>
    </cfRule>
  </conditionalFormatting>
  <conditionalFormatting sqref="S64:T64">
    <cfRule type="cellIs" dxfId="1596" priority="486" stopIfTrue="1" operator="lessThan">
      <formula>0.67</formula>
    </cfRule>
  </conditionalFormatting>
  <conditionalFormatting sqref="U60:U61">
    <cfRule type="cellIs" dxfId="1595" priority="737" stopIfTrue="1" operator="lessThan">
      <formula>73%</formula>
    </cfRule>
  </conditionalFormatting>
  <conditionalFormatting sqref="U81">
    <cfRule type="cellIs" dxfId="1594" priority="726" stopIfTrue="1" operator="greaterThan">
      <formula>1.1</formula>
    </cfRule>
  </conditionalFormatting>
  <conditionalFormatting sqref="U4:V4">
    <cfRule type="cellIs" dxfId="1593" priority="732" stopIfTrue="1" operator="lessThan">
      <formula>0.74</formula>
    </cfRule>
  </conditionalFormatting>
  <conditionalFormatting sqref="U6:V7">
    <cfRule type="cellIs" dxfId="1592" priority="393" stopIfTrue="1" operator="lessThan">
      <formula>0.74</formula>
    </cfRule>
  </conditionalFormatting>
  <conditionalFormatting sqref="U9:V9 U11:V11">
    <cfRule type="cellIs" dxfId="1591" priority="395" stopIfTrue="1" operator="lessThan">
      <formula>0.74</formula>
    </cfRule>
  </conditionalFormatting>
  <conditionalFormatting sqref="U13:V14 U16:V16">
    <cfRule type="cellIs" dxfId="1590" priority="334" stopIfTrue="1" operator="lessThan">
      <formula>0.74</formula>
    </cfRule>
  </conditionalFormatting>
  <conditionalFormatting sqref="U18:V19">
    <cfRule type="cellIs" dxfId="1589" priority="228" stopIfTrue="1" operator="lessThan">
      <formula>0.74</formula>
    </cfRule>
  </conditionalFormatting>
  <conditionalFormatting sqref="U21:V22 U24:V24 U26:V26">
    <cfRule type="cellIs" dxfId="1588" priority="172" stopIfTrue="1" operator="lessThan">
      <formula>0.74</formula>
    </cfRule>
  </conditionalFormatting>
  <conditionalFormatting sqref="U28:V29">
    <cfRule type="cellIs" dxfId="1587" priority="118" stopIfTrue="1" operator="lessThan">
      <formula>0.74</formula>
    </cfRule>
  </conditionalFormatting>
  <conditionalFormatting sqref="U33:V35">
    <cfRule type="cellIs" dxfId="1586" priority="31" stopIfTrue="1" operator="lessThan">
      <formula>0.74</formula>
    </cfRule>
  </conditionalFormatting>
  <conditionalFormatting sqref="U37:V59">
    <cfRule type="cellIs" dxfId="1585" priority="3" stopIfTrue="1" operator="lessThan">
      <formula>0.74</formula>
    </cfRule>
  </conditionalFormatting>
  <conditionalFormatting sqref="U64:V64">
    <cfRule type="cellIs" dxfId="1584" priority="724" stopIfTrue="1" operator="lessThan">
      <formula>0.74</formula>
    </cfRule>
  </conditionalFormatting>
  <conditionalFormatting sqref="U3:W3">
    <cfRule type="cellIs" dxfId="1583" priority="730" stopIfTrue="1" operator="lessThan">
      <formula>0.65</formula>
    </cfRule>
  </conditionalFormatting>
  <conditionalFormatting sqref="U80:W80">
    <cfRule type="cellIs" dxfId="1582" priority="727" stopIfTrue="1" operator="lessThan">
      <formula>0.74</formula>
    </cfRule>
  </conditionalFormatting>
  <conditionalFormatting sqref="V60:W61">
    <cfRule type="cellIs" dxfId="1581" priority="738" stopIfTrue="1" operator="lessThan">
      <formula>75%</formula>
    </cfRule>
  </conditionalFormatting>
  <conditionalFormatting sqref="W4">
    <cfRule type="cellIs" dxfId="1580" priority="590" stopIfTrue="1" operator="lessThan">
      <formula>0.95</formula>
    </cfRule>
  </conditionalFormatting>
  <conditionalFormatting sqref="W6:W7">
    <cfRule type="cellIs" dxfId="1579" priority="392" stopIfTrue="1" operator="lessThan">
      <formula>0.95</formula>
    </cfRule>
  </conditionalFormatting>
  <conditionalFormatting sqref="W9 W11">
    <cfRule type="cellIs" dxfId="1578" priority="394" stopIfTrue="1" operator="lessThan">
      <formula>0.95</formula>
    </cfRule>
  </conditionalFormatting>
  <conditionalFormatting sqref="W13:W14 W16">
    <cfRule type="cellIs" dxfId="1577" priority="333" stopIfTrue="1" operator="lessThan">
      <formula>0.95</formula>
    </cfRule>
  </conditionalFormatting>
  <conditionalFormatting sqref="W18:W19">
    <cfRule type="cellIs" dxfId="1576" priority="227" stopIfTrue="1" operator="lessThan">
      <formula>0.95</formula>
    </cfRule>
  </conditionalFormatting>
  <conditionalFormatting sqref="W21:W22 W24 W26">
    <cfRule type="cellIs" dxfId="1575" priority="171" stopIfTrue="1" operator="lessThan">
      <formula>0.95</formula>
    </cfRule>
  </conditionalFormatting>
  <conditionalFormatting sqref="W28:W29">
    <cfRule type="cellIs" dxfId="1574" priority="117" stopIfTrue="1" operator="lessThan">
      <formula>0.95</formula>
    </cfRule>
  </conditionalFormatting>
  <conditionalFormatting sqref="W33:W35">
    <cfRule type="cellIs" dxfId="1573" priority="30" stopIfTrue="1" operator="lessThan">
      <formula>0.95</formula>
    </cfRule>
  </conditionalFormatting>
  <conditionalFormatting sqref="W37:W59">
    <cfRule type="cellIs" dxfId="1572" priority="2" stopIfTrue="1" operator="lessThan">
      <formula>0.95</formula>
    </cfRule>
  </conditionalFormatting>
  <conditionalFormatting sqref="W63">
    <cfRule type="cellIs" dxfId="1571" priority="545" stopIfTrue="1" operator="lessThan">
      <formula>0.65</formula>
    </cfRule>
  </conditionalFormatting>
  <conditionalFormatting sqref="W64">
    <cfRule type="cellIs" dxfId="1570" priority="544" stopIfTrue="1" operator="lessThan">
      <formula>0.95</formula>
    </cfRule>
  </conditionalFormatting>
  <printOptions horizontalCentered="1"/>
  <pageMargins left="0.10312499999999999" right="0.5" top="0.25" bottom="0.27" header="0.25" footer="0.27"/>
  <pageSetup paperSize="5" scale="37" fitToHeight="0" orientation="landscape"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DF3C7-EC7F-4791-AF56-CE890C536AD0}">
  <sheetPr codeName="Sheet16">
    <pageSetUpPr fitToPage="1"/>
  </sheetPr>
  <dimension ref="A2:AE65465"/>
  <sheetViews>
    <sheetView showZeros="0" showWhiteSpace="0" zoomScale="66" zoomScaleNormal="66" workbookViewId="0">
      <pane xSplit="3" ySplit="3" topLeftCell="L19" activePane="bottomRight" state="frozen"/>
      <selection activeCell="M66" sqref="M66"/>
      <selection pane="topRight" activeCell="M66" sqref="M66"/>
      <selection pane="bottomLeft" activeCell="M66" sqref="M66"/>
      <selection pane="bottomRight" activeCell="M66" sqref="M66"/>
    </sheetView>
  </sheetViews>
  <sheetFormatPr defaultColWidth="9.42578125" defaultRowHeight="12.75" x14ac:dyDescent="0.2"/>
  <cols>
    <col min="1" max="1" width="3.42578125" customWidth="1"/>
    <col min="2" max="2" width="21.42578125" style="1" customWidth="1"/>
    <col min="3" max="3" width="37.42578125" style="1" customWidth="1"/>
    <col min="4" max="4" width="15.5703125" style="1" customWidth="1"/>
    <col min="5" max="5" width="13.42578125" style="1" customWidth="1"/>
    <col min="6" max="6" width="12.42578125" style="1" customWidth="1"/>
    <col min="7" max="7" width="12.42578125" customWidth="1"/>
    <col min="8" max="8" width="13.42578125" customWidth="1"/>
    <col min="9" max="9" width="11.42578125" style="1" customWidth="1"/>
    <col min="10" max="10" width="14.42578125" customWidth="1"/>
    <col min="11" max="11" width="17.42578125" customWidth="1"/>
    <col min="12" max="12" width="12.42578125" customWidth="1"/>
    <col min="13" max="13" width="10.42578125" customWidth="1"/>
    <col min="14" max="14" width="10" style="392" customWidth="1"/>
    <col min="15" max="15" width="12" style="2" customWidth="1"/>
    <col min="16" max="16" width="14.42578125" style="1" customWidth="1"/>
    <col min="17" max="17" width="7.5703125" style="1" hidden="1" customWidth="1"/>
    <col min="18" max="18" width="16.42578125" style="1" customWidth="1"/>
    <col min="19" max="19" width="15.5703125" customWidth="1"/>
    <col min="20" max="20" width="13.42578125" customWidth="1"/>
    <col min="21" max="21" width="14.5703125" customWidth="1"/>
    <col min="22" max="22" width="20.5703125" style="1" customWidth="1"/>
    <col min="23" max="23" width="12" customWidth="1"/>
    <col min="24" max="24" width="17" customWidth="1"/>
    <col min="25" max="25" width="15.42578125" customWidth="1"/>
    <col min="26" max="26" width="15.5703125" customWidth="1"/>
    <col min="27" max="27" width="14" customWidth="1"/>
    <col min="28" max="28" width="25.5703125" customWidth="1"/>
    <col min="29" max="29" width="52.42578125" customWidth="1"/>
  </cols>
  <sheetData>
    <row r="2" spans="2:31" ht="24" thickBot="1" x14ac:dyDescent="0.4">
      <c r="B2" s="1022" t="s">
        <v>406</v>
      </c>
      <c r="C2" s="1022"/>
      <c r="D2" s="1022"/>
      <c r="E2" s="1022"/>
      <c r="F2" s="1022"/>
      <c r="G2" s="1022"/>
      <c r="H2" s="1022"/>
      <c r="I2" s="1022"/>
      <c r="J2" s="1022"/>
      <c r="K2" s="1022"/>
      <c r="L2" s="1022"/>
      <c r="M2" s="1022"/>
      <c r="N2" s="1022"/>
      <c r="O2" s="1022"/>
      <c r="P2" s="1022"/>
      <c r="Q2" s="1022"/>
      <c r="R2" s="1022"/>
      <c r="S2" s="1022"/>
      <c r="T2" s="1022"/>
      <c r="U2" s="1022"/>
      <c r="V2" s="1065"/>
      <c r="W2" s="1065"/>
    </row>
    <row r="3" spans="2:31" ht="80.25" customHeight="1" thickTop="1" thickBot="1" x14ac:dyDescent="0.25">
      <c r="B3" s="37" t="s">
        <v>0</v>
      </c>
      <c r="C3" s="38" t="s">
        <v>2</v>
      </c>
      <c r="D3" s="38" t="s">
        <v>12</v>
      </c>
      <c r="E3" s="38" t="s">
        <v>11</v>
      </c>
      <c r="F3" s="38" t="s">
        <v>15</v>
      </c>
      <c r="G3" s="38" t="s">
        <v>9</v>
      </c>
      <c r="H3" s="38" t="s">
        <v>17</v>
      </c>
      <c r="I3" s="38" t="s">
        <v>5</v>
      </c>
      <c r="J3" s="38" t="s">
        <v>494</v>
      </c>
      <c r="K3" s="38" t="s">
        <v>4</v>
      </c>
      <c r="L3" s="38" t="s">
        <v>161</v>
      </c>
      <c r="M3" s="38" t="s">
        <v>10</v>
      </c>
      <c r="N3" s="38" t="s">
        <v>622</v>
      </c>
      <c r="O3" s="294" t="s">
        <v>34</v>
      </c>
      <c r="P3" s="40" t="s">
        <v>55</v>
      </c>
      <c r="Q3" s="40" t="s">
        <v>8</v>
      </c>
      <c r="R3" s="41" t="s">
        <v>464</v>
      </c>
      <c r="S3" s="41" t="s">
        <v>473</v>
      </c>
      <c r="T3" s="41" t="s">
        <v>307</v>
      </c>
      <c r="U3" s="282" t="s">
        <v>308</v>
      </c>
      <c r="V3" s="283" t="s">
        <v>425</v>
      </c>
      <c r="W3" s="1066" t="s">
        <v>1</v>
      </c>
      <c r="X3" s="1067"/>
      <c r="Y3" s="1067"/>
      <c r="Z3" s="1067"/>
      <c r="AA3" s="1067"/>
      <c r="AB3" s="1067"/>
      <c r="AC3" s="1068"/>
      <c r="AD3">
        <v>15000</v>
      </c>
      <c r="AE3">
        <v>17000</v>
      </c>
    </row>
    <row r="4" spans="2:31" s="19" customFormat="1" ht="69.75" customHeight="1" thickTop="1" x14ac:dyDescent="0.2">
      <c r="B4" s="168">
        <f>[3]September_2017!$B8</f>
        <v>42979</v>
      </c>
      <c r="C4" s="26" t="str">
        <f>[3]September_2017!$D8</f>
        <v xml:space="preserve">MACKESON </v>
      </c>
      <c r="D4" s="27">
        <v>3500</v>
      </c>
      <c r="E4" s="28">
        <v>0.33055555555555555</v>
      </c>
      <c r="F4" s="369">
        <f>[3]September_2017!$J8</f>
        <v>219.2</v>
      </c>
      <c r="G4" s="30">
        <f>[3]September_2017!$F8</f>
        <v>3313</v>
      </c>
      <c r="H4" s="369">
        <f>[3]September_2017!$K8</f>
        <v>218.65800000000002</v>
      </c>
      <c r="I4" s="370">
        <f>[3]September_2017!$N8</f>
        <v>30</v>
      </c>
      <c r="J4" s="32">
        <f>[3]September_2017!$Q8</f>
        <v>330.19933554817277</v>
      </c>
      <c r="K4" s="32">
        <f>[3]September_2017!$E8</f>
        <v>602</v>
      </c>
      <c r="L4" s="169">
        <v>0.78472222222222221</v>
      </c>
      <c r="M4" s="32">
        <f>[4]Sep!$AC$8</f>
        <v>231</v>
      </c>
      <c r="N4" s="376" t="e">
        <f>[4]Sep!$I8</f>
        <v>#REF!</v>
      </c>
      <c r="O4" s="32">
        <f>[3]September_2017!$H8</f>
        <v>10</v>
      </c>
      <c r="P4" s="349">
        <f>[3]September_2017!$P8</f>
        <v>0.24726277372261549</v>
      </c>
      <c r="Q4" s="32"/>
      <c r="R4" s="46">
        <f>($G4)/(($K4/60)*AD$3*(1/24))</f>
        <v>0.52831893687707643</v>
      </c>
      <c r="S4" s="46">
        <f>($G4)/(($K4/60)*AE$3*(1/24))</f>
        <v>0.46616376783271457</v>
      </c>
      <c r="T4" s="46">
        <f>($G4)*24/(($K4)/60)/$AD$3</f>
        <v>0.52831893687707643</v>
      </c>
      <c r="U4" s="227">
        <f>($G4)*24/(($K4)/60)/$AE$3</f>
        <v>0.46616376783271446</v>
      </c>
      <c r="V4" s="383">
        <f>(709-((M4)-[4]Sep!$J$8))/709</f>
        <v>0.68547249647390696</v>
      </c>
      <c r="W4" s="1059" t="s">
        <v>693</v>
      </c>
      <c r="X4" s="1060"/>
      <c r="Y4" s="1060"/>
      <c r="Z4" s="1060"/>
      <c r="AA4" s="1060"/>
      <c r="AB4" s="1060"/>
      <c r="AC4" s="1061"/>
    </row>
    <row r="5" spans="2:31" s="19" customFormat="1" ht="72" customHeight="1" x14ac:dyDescent="0.2">
      <c r="B5" s="168">
        <f>[3]September_2017!$B9</f>
        <v>42992</v>
      </c>
      <c r="C5" s="26" t="str">
        <f>[3]September_2017!$D9</f>
        <v>STAG</v>
      </c>
      <c r="D5" s="27">
        <v>1400</v>
      </c>
      <c r="E5" s="28">
        <v>0.78125</v>
      </c>
      <c r="F5" s="369">
        <f>[3]September_2017!$J9</f>
        <v>100.19999999999999</v>
      </c>
      <c r="G5" s="30">
        <f>[3]September_2017!$F9</f>
        <v>1503</v>
      </c>
      <c r="H5" s="369">
        <f>[3]September_2017!$K9</f>
        <v>99.198000000000008</v>
      </c>
      <c r="I5" s="370">
        <f>[3]September_2017!$N9</f>
        <v>12</v>
      </c>
      <c r="J5" s="32">
        <f>[3]September_2017!$Q9</f>
        <v>352.265625</v>
      </c>
      <c r="K5" s="32">
        <f>[3]September_2017!$E9</f>
        <v>256</v>
      </c>
      <c r="L5" s="169">
        <v>0.99305555555555547</v>
      </c>
      <c r="M5" s="32">
        <f>[4]Sep!$AC$9</f>
        <v>119</v>
      </c>
      <c r="N5" s="376" t="e">
        <f>[4]Sep!$I9</f>
        <v>#REF!</v>
      </c>
      <c r="O5" s="32">
        <f>[3]September_2017!$H9</f>
        <v>32</v>
      </c>
      <c r="P5" s="349">
        <f>[3]September_2017!$P9</f>
        <v>0.99999999999998124</v>
      </c>
      <c r="Q5" s="32"/>
      <c r="R5" s="46">
        <f>($G5)/(($K5/60)*AD$3*(1/24))</f>
        <v>0.56362500000000004</v>
      </c>
      <c r="S5" s="46">
        <f>($G5)/(($K5/60)*AE$3*(1/24))</f>
        <v>0.49731617647058834</v>
      </c>
      <c r="T5" s="46">
        <f>($G5)*24/(($K5)/60)/$AD$3</f>
        <v>0.56362500000000004</v>
      </c>
      <c r="U5" s="227">
        <f>($G5)*24/(($K5)/60)/$AE$3</f>
        <v>0.49731617647058823</v>
      </c>
      <c r="V5" s="383">
        <f>(560-(M5))/560</f>
        <v>0.78749999999999998</v>
      </c>
      <c r="W5" s="1059" t="s">
        <v>694</v>
      </c>
      <c r="X5" s="1060"/>
      <c r="Y5" s="1060"/>
      <c r="Z5" s="1060"/>
      <c r="AA5" s="1060"/>
      <c r="AB5" s="1060"/>
      <c r="AC5" s="1061"/>
    </row>
    <row r="6" spans="2:31" s="19" customFormat="1" ht="40.5" customHeight="1" x14ac:dyDescent="0.2">
      <c r="B6" s="1037">
        <f>[3]September_2017!$B10</f>
        <v>42993</v>
      </c>
      <c r="C6" s="26" t="str">
        <f>[3]September_2017!$D10</f>
        <v>STAG</v>
      </c>
      <c r="D6" s="27">
        <v>2800</v>
      </c>
      <c r="E6" s="1051">
        <v>0.3263888888888889</v>
      </c>
      <c r="F6" s="369">
        <f>[3]September_2017!$J10</f>
        <v>174.8</v>
      </c>
      <c r="G6" s="30">
        <f>[3]September_2017!$F10</f>
        <v>2634</v>
      </c>
      <c r="H6" s="369">
        <f>[3]September_2017!$K10</f>
        <v>173.84399999999999</v>
      </c>
      <c r="I6" s="370">
        <f>[3]September_2017!$N10</f>
        <v>18</v>
      </c>
      <c r="J6" s="991">
        <f>[3]September_2017!$Q10</f>
        <v>429.17737789203085</v>
      </c>
      <c r="K6" s="991">
        <f>[3]September_2017!$E10</f>
        <v>778</v>
      </c>
      <c r="L6" s="1017">
        <v>0.83263888888888893</v>
      </c>
      <c r="M6" s="32">
        <f>[4]Sep!$AC$11</f>
        <v>54</v>
      </c>
      <c r="N6" s="350">
        <f>[4]Sep!$I11</f>
        <v>22</v>
      </c>
      <c r="O6" s="32">
        <f>[3]September_2017!$H10</f>
        <v>0</v>
      </c>
      <c r="P6" s="349">
        <f>[3]September_2017!$P10</f>
        <v>0.54691075514875132</v>
      </c>
      <c r="Q6" s="32"/>
      <c r="R6" s="1039">
        <f>($G6+G7)/(($K6/60)*AD$3*(1/24))</f>
        <v>0.68668380462724943</v>
      </c>
      <c r="S6" s="1039">
        <f>($G6+G7)/(($K6/60)*AE$3*(1/24))</f>
        <v>0.60589747467110233</v>
      </c>
      <c r="T6" s="1039">
        <f>($G6+G7)*24/(($K6)/60)/$AD$3</f>
        <v>0.68668380462724943</v>
      </c>
      <c r="U6" s="1047">
        <f>($G6+G7)*24/(($K6)/60)/$AE$3</f>
        <v>0.60589747467110244</v>
      </c>
      <c r="V6" s="1035">
        <f>(755-((M6+M7)-[4]Sep!$I$11-[4]Sep!$I$12-[4]Sep!$J$12-[4]Sep!$Z$11-[4]Sep!$Z$12))/755</f>
        <v>0.93112582781456954</v>
      </c>
      <c r="W6" s="1059" t="s">
        <v>696</v>
      </c>
      <c r="X6" s="1060"/>
      <c r="Y6" s="1060"/>
      <c r="Z6" s="1060"/>
      <c r="AA6" s="1060"/>
      <c r="AB6" s="1060"/>
      <c r="AC6" s="1061"/>
    </row>
    <row r="7" spans="2:31" s="19" customFormat="1" ht="40.5" customHeight="1" x14ac:dyDescent="0.2">
      <c r="B7" s="1038"/>
      <c r="C7" s="26" t="str">
        <f>[3]September_2017!$D11</f>
        <v>CARIB (AMBER)</v>
      </c>
      <c r="D7" s="27">
        <v>2800</v>
      </c>
      <c r="E7" s="1053"/>
      <c r="F7" s="369">
        <f>[3]September_2017!$J11</f>
        <v>194.60000000000002</v>
      </c>
      <c r="G7" s="30">
        <f>[3]September_2017!$F11</f>
        <v>2931</v>
      </c>
      <c r="H7" s="369">
        <f>[3]September_2017!$K11</f>
        <v>193.446</v>
      </c>
      <c r="I7" s="370">
        <f>[3]September_2017!$N11</f>
        <v>6.5</v>
      </c>
      <c r="J7" s="992"/>
      <c r="K7" s="992"/>
      <c r="L7" s="1018"/>
      <c r="M7" s="32">
        <f>SUM([4]Sep!$AC$10+[4]Sep!$AC$12)</f>
        <v>54</v>
      </c>
      <c r="N7" s="350">
        <f>[4]Sep!$I12</f>
        <v>21</v>
      </c>
      <c r="O7" s="32">
        <f>[3]September_2017!$H11</f>
        <v>0</v>
      </c>
      <c r="P7" s="349">
        <f>[3]September_2017!$P11</f>
        <v>0.59301130524153378</v>
      </c>
      <c r="Q7" s="32"/>
      <c r="R7" s="1040"/>
      <c r="S7" s="1040"/>
      <c r="T7" s="1040"/>
      <c r="U7" s="1048"/>
      <c r="V7" s="1036"/>
      <c r="W7" s="1059" t="s">
        <v>695</v>
      </c>
      <c r="X7" s="1060"/>
      <c r="Y7" s="1060"/>
      <c r="Z7" s="1060"/>
      <c r="AA7" s="1060"/>
      <c r="AB7" s="1060"/>
      <c r="AC7" s="1061"/>
    </row>
    <row r="8" spans="2:31" s="19" customFormat="1" ht="56.25" customHeight="1" x14ac:dyDescent="0.2">
      <c r="B8" s="168">
        <v>42994</v>
      </c>
      <c r="C8" s="26" t="str">
        <f>[3]September_2017!$D12</f>
        <v>VITA MALT</v>
      </c>
      <c r="D8" s="27">
        <v>4020</v>
      </c>
      <c r="E8" s="28">
        <v>0.36458333333333331</v>
      </c>
      <c r="F8" s="369">
        <f>[3]September_2017!$J12</f>
        <v>297.7</v>
      </c>
      <c r="G8" s="30">
        <f>[3]September_2017!$F12</f>
        <v>3968</v>
      </c>
      <c r="H8" s="369">
        <f>[3]September_2017!$K12</f>
        <v>295.2192</v>
      </c>
      <c r="I8" s="370">
        <f>[3]September_2017!$N12</f>
        <v>16.5</v>
      </c>
      <c r="J8" s="32">
        <f>[3]September_2017!$Q12</f>
        <v>394.82587064676613</v>
      </c>
      <c r="K8" s="32">
        <f>[3]September_2017!$E12</f>
        <v>603</v>
      </c>
      <c r="L8" s="169">
        <v>0.7895833333333333</v>
      </c>
      <c r="M8" s="32">
        <f>[4]Sep!$AC13</f>
        <v>155</v>
      </c>
      <c r="N8" s="376" t="e">
        <f>[4]Sep!$I13</f>
        <v>#REF!</v>
      </c>
      <c r="O8" s="32"/>
      <c r="P8" s="349">
        <f>[3]September_2017!$P12</f>
        <v>0.83332213637890096</v>
      </c>
      <c r="Q8" s="32"/>
      <c r="R8" s="46">
        <f>($G8)/(($K8/60)*AD$3*(1/24))</f>
        <v>0.63172139303482588</v>
      </c>
      <c r="S8" s="46">
        <f>($G8)/(($K8/60)*AE$3*(1/24))</f>
        <v>0.55740122914837575</v>
      </c>
      <c r="T8" s="46">
        <f>($G8)*24/(($K8)/60)/$AD$3</f>
        <v>0.63172139303482577</v>
      </c>
      <c r="U8" s="227">
        <f>($G8)*24/(($K8)/60)/$AE$3</f>
        <v>0.55740122914837575</v>
      </c>
      <c r="V8" s="383">
        <f>(687-((M8)-[4]Sep!$Z$13))/687</f>
        <v>0.84279475982532748</v>
      </c>
      <c r="W8" s="1059" t="s">
        <v>699</v>
      </c>
      <c r="X8" s="1060"/>
      <c r="Y8" s="1060"/>
      <c r="Z8" s="1060"/>
      <c r="AA8" s="1060"/>
      <c r="AB8" s="1060"/>
      <c r="AC8" s="1061"/>
    </row>
    <row r="9" spans="2:31" s="19" customFormat="1" ht="77.25" customHeight="1" x14ac:dyDescent="0.2">
      <c r="B9" s="1037">
        <v>42996</v>
      </c>
      <c r="C9" s="26" t="str">
        <f>[3]September_2017!$D13</f>
        <v>STAG</v>
      </c>
      <c r="D9" s="27">
        <v>5600</v>
      </c>
      <c r="E9" s="1051">
        <v>0.34652777777777777</v>
      </c>
      <c r="F9" s="369">
        <f>[3]September_2017!$J13</f>
        <v>364.6</v>
      </c>
      <c r="G9" s="30">
        <f>[3]September_2017!$F13</f>
        <v>5499</v>
      </c>
      <c r="H9" s="369">
        <f>[3]September_2017!$K13</f>
        <v>362.93400000000003</v>
      </c>
      <c r="I9" s="370">
        <f>[3]September_2017!$N13</f>
        <v>44.25</v>
      </c>
      <c r="J9" s="991">
        <f>[3]September_2017!$Q13</f>
        <v>384.53389830508479</v>
      </c>
      <c r="K9" s="991">
        <f>[3]September_2017!$E13</f>
        <v>944</v>
      </c>
      <c r="L9" s="1017">
        <v>1.0173611111111112</v>
      </c>
      <c r="M9" s="32">
        <f>[4]Sep!$AC14</f>
        <v>247</v>
      </c>
      <c r="N9" s="376" t="e">
        <f>[4]Sep!$I14</f>
        <v>#REF!</v>
      </c>
      <c r="O9" s="32"/>
      <c r="P9" s="349">
        <f>[3]September_2017!$P13</f>
        <v>0.45693911135490861</v>
      </c>
      <c r="Q9" s="32"/>
      <c r="R9" s="1039">
        <f>($G9+G10)/(($K9/60)*AD$3*(1/24))</f>
        <v>0.61525423728813566</v>
      </c>
      <c r="S9" s="1039">
        <f>($G9+G10)/(($K9/60)*AE$3*(1/24))</f>
        <v>0.54287138584247274</v>
      </c>
      <c r="T9" s="1039">
        <f>($G9+G10)*24/(($K9)/60)/$AD$3</f>
        <v>0.61525423728813555</v>
      </c>
      <c r="U9" s="1047">
        <f>($G9+G10)*24/(($K9)/60)/$AE$3</f>
        <v>0.54287138584247263</v>
      </c>
      <c r="V9" s="1035">
        <f>(1016-((M9+M10)-[4]Sep!$I$15-[4]Sep!$Z$14-[4]Sep!$Z$15))/1016</f>
        <v>0.75295275590551181</v>
      </c>
      <c r="W9" s="1059" t="s">
        <v>697</v>
      </c>
      <c r="X9" s="1060"/>
      <c r="Y9" s="1060"/>
      <c r="Z9" s="1060"/>
      <c r="AA9" s="1060"/>
      <c r="AB9" s="1060"/>
      <c r="AC9" s="1061"/>
    </row>
    <row r="10" spans="2:31" s="19" customFormat="1" ht="37.5" customHeight="1" x14ac:dyDescent="0.2">
      <c r="B10" s="1038"/>
      <c r="C10" s="26" t="str">
        <f>[3]September_2017!$D14</f>
        <v>BAD DOG</v>
      </c>
      <c r="D10" s="27">
        <v>700</v>
      </c>
      <c r="E10" s="1053"/>
      <c r="F10" s="369">
        <f>[3]September_2017!$J14</f>
        <v>39.700000000000003</v>
      </c>
      <c r="G10" s="30">
        <f>[3]September_2017!$F14</f>
        <v>551</v>
      </c>
      <c r="H10" s="369">
        <f>[3]September_2017!$K14</f>
        <v>38.265999999999998</v>
      </c>
      <c r="I10" s="370">
        <f>[3]September_2017!$N14</f>
        <v>7</v>
      </c>
      <c r="J10" s="992"/>
      <c r="K10" s="992"/>
      <c r="L10" s="1018"/>
      <c r="M10" s="32">
        <f>[4]Sep!$AC15</f>
        <v>33</v>
      </c>
      <c r="N10" s="350">
        <f>[4]Sep!$I15</f>
        <v>22</v>
      </c>
      <c r="O10" s="32"/>
      <c r="P10" s="349">
        <f>[3]September_2017!$P14</f>
        <v>3.6120906801007671</v>
      </c>
      <c r="Q10" s="32"/>
      <c r="R10" s="1040"/>
      <c r="S10" s="1040"/>
      <c r="T10" s="1040"/>
      <c r="U10" s="1048"/>
      <c r="V10" s="1036"/>
      <c r="W10" s="1059" t="s">
        <v>698</v>
      </c>
      <c r="X10" s="1060"/>
      <c r="Y10" s="1060"/>
      <c r="Z10" s="1060"/>
      <c r="AA10" s="1060"/>
      <c r="AB10" s="1060"/>
      <c r="AC10" s="1061"/>
    </row>
    <row r="11" spans="2:31" s="19" customFormat="1" ht="81.75" customHeight="1" x14ac:dyDescent="0.2">
      <c r="B11" s="168">
        <v>42997</v>
      </c>
      <c r="C11" s="26" t="str">
        <f>[3]September_2017!$D15</f>
        <v>CARIB (AMBER)</v>
      </c>
      <c r="D11" s="27">
        <v>8200</v>
      </c>
      <c r="E11" s="28">
        <v>0.33194444444444443</v>
      </c>
      <c r="F11" s="369">
        <f>[3]September_2017!$J15</f>
        <v>511.70000000000005</v>
      </c>
      <c r="G11" s="30">
        <f>[3]September_2017!$F15</f>
        <v>7490</v>
      </c>
      <c r="H11" s="369">
        <f>[3]September_2017!$K15</f>
        <v>508.59000000000003</v>
      </c>
      <c r="I11" s="370">
        <f>[3]September_2017!$N15</f>
        <v>33</v>
      </c>
      <c r="J11" s="32">
        <f>[3]September_2017!$Q15</f>
        <v>490.07633587786262</v>
      </c>
      <c r="K11" s="32">
        <f>[3]September_2017!$E15</f>
        <v>917</v>
      </c>
      <c r="L11" s="169">
        <v>1.0006944444444443</v>
      </c>
      <c r="M11" s="32">
        <f>[4]Sep!$AC16</f>
        <v>177</v>
      </c>
      <c r="N11" s="376" t="e">
        <f>[4]Sep!$I16</f>
        <v>#REF!</v>
      </c>
      <c r="O11" s="32"/>
      <c r="P11" s="349">
        <f>[3]September_2017!$P15</f>
        <v>0.60777799491890039</v>
      </c>
      <c r="Q11" s="32"/>
      <c r="R11" s="46">
        <f>($G11)/(($K11/60)*AD$3*(1/24))</f>
        <v>0.78412213740458026</v>
      </c>
      <c r="S11" s="46">
        <f>($G11)/(($K11/60)*AE$3*(1/24))</f>
        <v>0.69187247418051201</v>
      </c>
      <c r="T11" s="46">
        <f>($G11)*24/(($K11)/60)/$AD$3</f>
        <v>0.78412213740458014</v>
      </c>
      <c r="U11" s="227">
        <f>($G11)*24/(($K11)/60)/$AE$3</f>
        <v>0.6918724741805119</v>
      </c>
      <c r="V11" s="383">
        <f>(1012-((M11)-[4]Sep!$Z$16-[4]Sep!$J$16))/1012</f>
        <v>0.85770750988142297</v>
      </c>
      <c r="W11" s="1059" t="s">
        <v>700</v>
      </c>
      <c r="X11" s="1060"/>
      <c r="Y11" s="1060"/>
      <c r="Z11" s="1060"/>
      <c r="AA11" s="1060"/>
      <c r="AB11" s="1060"/>
      <c r="AC11" s="1061"/>
    </row>
    <row r="12" spans="2:31" s="19" customFormat="1" ht="105" customHeight="1" x14ac:dyDescent="0.2">
      <c r="B12" s="168">
        <v>42998</v>
      </c>
      <c r="C12" s="26" t="str">
        <f>[3]September_2017!$D16</f>
        <v>GUINNESS</v>
      </c>
      <c r="D12" s="1098">
        <v>4900</v>
      </c>
      <c r="E12" s="28">
        <v>0.33749999999999997</v>
      </c>
      <c r="F12" s="369">
        <f>[3]September_2017!$J16</f>
        <v>212.70000000000002</v>
      </c>
      <c r="G12" s="30">
        <f>[3]September_2017!$F16</f>
        <v>3218</v>
      </c>
      <c r="H12" s="369">
        <f>[3]September_2017!$K16</f>
        <v>212.38800000000001</v>
      </c>
      <c r="I12" s="370">
        <f>[3]September_2017!$N16</f>
        <v>15</v>
      </c>
      <c r="J12" s="32">
        <f>[3]September_2017!$Q16</f>
        <v>211.01639344262296</v>
      </c>
      <c r="K12" s="32">
        <f>[3]September_2017!$E16</f>
        <v>915</v>
      </c>
      <c r="L12" s="169">
        <v>0.65625</v>
      </c>
      <c r="M12" s="32">
        <f>[4]Sep!$AC17</f>
        <v>595</v>
      </c>
      <c r="N12" s="376" t="e">
        <f>[4]Sep!$I17</f>
        <v>#REF!</v>
      </c>
      <c r="O12" s="32"/>
      <c r="P12" s="349">
        <f>[3]September_2017!$P16</f>
        <v>0.14668547249647945</v>
      </c>
      <c r="Q12" s="32"/>
      <c r="R12" s="46">
        <f>($G12)/(($K12/60)*AD$3*(1/24))</f>
        <v>0.33762622950819671</v>
      </c>
      <c r="S12" s="46">
        <f>($G12)/(($K12/60)*AE$3*(1/24))</f>
        <v>0.29790549662487947</v>
      </c>
      <c r="T12" s="46">
        <f>($G12)*24/(($K12)/60)/$AD$3</f>
        <v>0.33762622950819671</v>
      </c>
      <c r="U12" s="227">
        <f>($G12)*24/(($K12)/60)/$AE$3</f>
        <v>0.29790549662487947</v>
      </c>
      <c r="V12" s="383">
        <f>(946-((M12)-[4]Sep!$Z$17-[4]Sep!$J$17))/946</f>
        <v>0.39746300211416491</v>
      </c>
      <c r="W12" s="1059" t="s">
        <v>701</v>
      </c>
      <c r="X12" s="1060"/>
      <c r="Y12" s="1060"/>
      <c r="Z12" s="1060"/>
      <c r="AA12" s="1060"/>
      <c r="AB12" s="1060"/>
      <c r="AC12" s="1061"/>
    </row>
    <row r="13" spans="2:31" s="19" customFormat="1" ht="91.5" customHeight="1" x14ac:dyDescent="0.2">
      <c r="B13" s="1037">
        <v>42999</v>
      </c>
      <c r="C13" s="26" t="str">
        <f>[3]September_2017!$D17</f>
        <v>GUINNESS</v>
      </c>
      <c r="D13" s="1099"/>
      <c r="E13" s="1051">
        <v>0.33402777777777781</v>
      </c>
      <c r="F13" s="369">
        <f>[3]September_2017!$J17</f>
        <v>91.1</v>
      </c>
      <c r="G13" s="30">
        <f>[3]September_2017!$F17</f>
        <v>1346</v>
      </c>
      <c r="H13" s="369">
        <f>[3]September_2017!$K17</f>
        <v>88.835999999999999</v>
      </c>
      <c r="I13" s="370">
        <f>[3]September_2017!$N17</f>
        <v>11</v>
      </c>
      <c r="J13" s="991">
        <f>[3]September_2017!$Q17</f>
        <v>429.56705385427665</v>
      </c>
      <c r="K13" s="991">
        <f>[3]September_2017!$E17</f>
        <v>947</v>
      </c>
      <c r="L13" s="1017">
        <v>0.98333333333333339</v>
      </c>
      <c r="M13" s="32">
        <f>[4]Sep!$AC18</f>
        <v>77</v>
      </c>
      <c r="N13" s="376" t="e">
        <f>[4]Sep!$I18</f>
        <v>#REF!</v>
      </c>
      <c r="O13" s="32"/>
      <c r="P13" s="349">
        <f>[3]September_2017!$P17</f>
        <v>2.485181119648733</v>
      </c>
      <c r="Q13" s="32"/>
      <c r="R13" s="1039">
        <f>($G13+G14)/(($K13/60)*AD$3*(1/24))</f>
        <v>0.68730728616684278</v>
      </c>
      <c r="S13" s="1039">
        <f>($G13+G14)/(($K13/60)*AE$3*(1/24))</f>
        <v>0.60644760544133169</v>
      </c>
      <c r="T13" s="1039">
        <f>($G13+G14)*24/(($K13)/60)/$AD$3</f>
        <v>0.68730728616684267</v>
      </c>
      <c r="U13" s="1047">
        <f>($G13+G14)*24/(($K13)/60)/$AE$3</f>
        <v>0.60644760544133181</v>
      </c>
      <c r="V13" s="1035">
        <f>(986-((M13+M14)-[4]Sep!$Z$19-[4]Sep!$I$19))/986</f>
        <v>0.84685598377281945</v>
      </c>
      <c r="W13" s="1122" t="s">
        <v>702</v>
      </c>
      <c r="X13" s="1123"/>
      <c r="Y13" s="1123"/>
      <c r="Z13" s="1123"/>
      <c r="AA13" s="1123"/>
      <c r="AB13" s="1123"/>
      <c r="AC13" s="1124"/>
    </row>
    <row r="14" spans="2:31" s="19" customFormat="1" ht="102.75" customHeight="1" x14ac:dyDescent="0.2">
      <c r="B14" s="1038"/>
      <c r="C14" s="26" t="str">
        <f>[3]September_2017!$D18</f>
        <v>STAG</v>
      </c>
      <c r="D14" s="27">
        <v>8400</v>
      </c>
      <c r="E14" s="1053"/>
      <c r="F14" s="369">
        <f>[3]September_2017!$J18</f>
        <v>365.40000000000003</v>
      </c>
      <c r="G14" s="30">
        <f>[3]September_2017!$F18</f>
        <v>5434</v>
      </c>
      <c r="H14" s="369">
        <f>[3]September_2017!$K18</f>
        <v>363.39400000000001</v>
      </c>
      <c r="I14" s="370">
        <f>[3]September_2017!$N18</f>
        <v>20.75</v>
      </c>
      <c r="J14" s="992"/>
      <c r="K14" s="992"/>
      <c r="L14" s="1018"/>
      <c r="M14" s="32">
        <f>[4]Sep!$AC19</f>
        <v>143</v>
      </c>
      <c r="N14" s="376">
        <f>[4]Sep!$I19</f>
        <v>57</v>
      </c>
      <c r="O14" s="32"/>
      <c r="P14" s="349">
        <f>[3]September_2017!$P18</f>
        <v>0.54898741105638438</v>
      </c>
      <c r="Q14" s="32"/>
      <c r="R14" s="1040"/>
      <c r="S14" s="1040"/>
      <c r="T14" s="1040"/>
      <c r="U14" s="1048"/>
      <c r="V14" s="1036"/>
      <c r="W14" s="1059" t="s">
        <v>703</v>
      </c>
      <c r="X14" s="1060"/>
      <c r="Y14" s="1060"/>
      <c r="Z14" s="1060"/>
      <c r="AA14" s="1060"/>
      <c r="AB14" s="1060"/>
      <c r="AC14" s="1061"/>
    </row>
    <row r="15" spans="2:31" s="19" customFormat="1" ht="56.25" customHeight="1" x14ac:dyDescent="0.2">
      <c r="B15" s="1037">
        <v>43000</v>
      </c>
      <c r="C15" s="26" t="str">
        <f>[3]September_2017!$D19</f>
        <v>STAG</v>
      </c>
      <c r="D15" s="27">
        <v>5600</v>
      </c>
      <c r="E15" s="1051">
        <v>0.33263888888888887</v>
      </c>
      <c r="F15" s="369">
        <f>[3]September_2017!$J19</f>
        <v>167.8</v>
      </c>
      <c r="G15" s="30">
        <f>[3]September_2017!$F19</f>
        <v>2528</v>
      </c>
      <c r="H15" s="369">
        <f>[3]September_2017!$K19</f>
        <v>166.84800000000001</v>
      </c>
      <c r="I15" s="370">
        <f>[3]September_2017!$N19</f>
        <v>11</v>
      </c>
      <c r="J15" s="991">
        <f>[3]September_2017!$Q19</f>
        <v>442.78772378516624</v>
      </c>
      <c r="K15" s="991">
        <f>[3]September_2017!$E19</f>
        <v>782</v>
      </c>
      <c r="L15" s="1017">
        <v>0.90972222222222221</v>
      </c>
      <c r="M15" s="32">
        <f>[4]Sep!$AC20</f>
        <v>47</v>
      </c>
      <c r="N15" s="376" t="e">
        <f>[4]Sep!$I20</f>
        <v>#REF!</v>
      </c>
      <c r="O15" s="32"/>
      <c r="P15" s="349">
        <f>[3]September_2017!$P19</f>
        <v>0.56734207389749591</v>
      </c>
      <c r="Q15" s="32"/>
      <c r="R15" s="1039">
        <f>($G15+G16)/(($K15/60)*AD$3*(1/24))</f>
        <v>0.70846035805626606</v>
      </c>
      <c r="S15" s="1039">
        <f>($G15+G16)/(($K15/60)*AE$3*(1/24))</f>
        <v>0.62511208063788182</v>
      </c>
      <c r="T15" s="1039">
        <f>($G15+G16)*24/(($K15)/60)/$AD$3</f>
        <v>0.70846035805626595</v>
      </c>
      <c r="U15" s="1047">
        <f>($G15+G16)*24/(($K15)/60)/$AE$3</f>
        <v>0.62511208063788171</v>
      </c>
      <c r="V15" s="1035">
        <f>(878-((M15+M16)-[4]Sep!$Z$21-[4]Sep!$Z$20-[4]Sep!$I$21-[4]Sep!$J$21))/878</f>
        <v>0.91116173120728927</v>
      </c>
      <c r="W15" s="1059" t="s">
        <v>704</v>
      </c>
      <c r="X15" s="1060"/>
      <c r="Y15" s="1060"/>
      <c r="Z15" s="1060"/>
      <c r="AA15" s="1060"/>
      <c r="AB15" s="1060"/>
      <c r="AC15" s="1061"/>
    </row>
    <row r="16" spans="2:31" s="19" customFormat="1" ht="75" customHeight="1" x14ac:dyDescent="0.2">
      <c r="B16" s="1038"/>
      <c r="C16" s="26" t="str">
        <f>[3]September_2017!$D20</f>
        <v>CARIB (AMBER)</v>
      </c>
      <c r="D16" s="27">
        <v>2800</v>
      </c>
      <c r="E16" s="1053"/>
      <c r="F16" s="369">
        <f>[3]September_2017!$J20</f>
        <v>217.9</v>
      </c>
      <c r="G16" s="30">
        <f>[3]September_2017!$F20</f>
        <v>3243</v>
      </c>
      <c r="H16" s="369">
        <f>[3]September_2017!$K20</f>
        <v>214.03800000000001</v>
      </c>
      <c r="I16" s="370">
        <f>[3]September_2017!$N20</f>
        <v>11</v>
      </c>
      <c r="J16" s="992"/>
      <c r="K16" s="992"/>
      <c r="L16" s="1018"/>
      <c r="M16" s="32">
        <f>[4]Sep!$AC21</f>
        <v>104</v>
      </c>
      <c r="N16" s="376">
        <f>[4]Sep!$I21</f>
        <v>11</v>
      </c>
      <c r="O16" s="32"/>
      <c r="P16" s="349">
        <f>[3]September_2017!$P20</f>
        <v>1.772372648003669</v>
      </c>
      <c r="Q16" s="32"/>
      <c r="R16" s="1040"/>
      <c r="S16" s="1040"/>
      <c r="T16" s="1040"/>
      <c r="U16" s="1048"/>
      <c r="V16" s="1036"/>
      <c r="W16" s="1059" t="s">
        <v>705</v>
      </c>
      <c r="X16" s="1060"/>
      <c r="Y16" s="1060"/>
      <c r="Z16" s="1060"/>
      <c r="AA16" s="1060"/>
      <c r="AB16" s="1060"/>
      <c r="AC16" s="1061"/>
    </row>
    <row r="17" spans="2:29" s="19" customFormat="1" ht="39.75" customHeight="1" x14ac:dyDescent="0.2">
      <c r="B17" s="168">
        <v>43003</v>
      </c>
      <c r="C17" s="26" t="str">
        <f>[3]September_2017!$D21</f>
        <v>CARIB (AMBER)</v>
      </c>
      <c r="D17" s="27">
        <v>2800</v>
      </c>
      <c r="E17" s="28">
        <v>0.4513888888888889</v>
      </c>
      <c r="F17" s="369">
        <f>[3]September_2017!$J21</f>
        <v>177.10000000000002</v>
      </c>
      <c r="G17" s="30">
        <f>[3]September_2017!$F21</f>
        <v>2659</v>
      </c>
      <c r="H17" s="369">
        <f>[3]September_2017!$K21</f>
        <v>175.494</v>
      </c>
      <c r="I17" s="370">
        <f>[3]September_2017!$N21</f>
        <v>24</v>
      </c>
      <c r="J17" s="32">
        <f>[3]September_2017!$Q21</f>
        <v>374.50704225352115</v>
      </c>
      <c r="K17" s="32">
        <f>[3]September_2017!$E21</f>
        <v>426</v>
      </c>
      <c r="L17" s="169">
        <v>0.80555555555555547</v>
      </c>
      <c r="M17" s="32">
        <f>[4]Sep!$AC22</f>
        <v>172</v>
      </c>
      <c r="N17" s="376" t="e">
        <f>[4]Sep!$I22</f>
        <v>#REF!</v>
      </c>
      <c r="O17" s="32"/>
      <c r="P17" s="349">
        <f>[3]September_2017!$P21</f>
        <v>0.90683229813665889</v>
      </c>
      <c r="Q17" s="32"/>
      <c r="R17" s="46">
        <f>($G17)/(($K17/60)*AD$3*(1/24))</f>
        <v>0.59921126760563381</v>
      </c>
      <c r="S17" s="46">
        <f>($G17)/(($K17/60)*AE$3*(1/24))</f>
        <v>0.5287158243579122</v>
      </c>
      <c r="T17" s="46">
        <f>($G17)*24/(($K17)/60)/$AD$3</f>
        <v>0.59921126760563381</v>
      </c>
      <c r="U17" s="227">
        <f>($G17)*24/(($K17)/60)/$AE$3</f>
        <v>0.5287158243579122</v>
      </c>
      <c r="V17" s="383" t="e">
        <f>(510-((M17)-[4]Sep!$Z$22))/510</f>
        <v>#REF!</v>
      </c>
      <c r="W17" s="1059" t="s">
        <v>706</v>
      </c>
      <c r="X17" s="1060"/>
      <c r="Y17" s="1060"/>
      <c r="Z17" s="1060"/>
      <c r="AA17" s="1060"/>
      <c r="AB17" s="1060"/>
      <c r="AC17" s="1061"/>
    </row>
    <row r="18" spans="2:29" s="19" customFormat="1" ht="60" customHeight="1" x14ac:dyDescent="0.2">
      <c r="B18" s="168">
        <v>43004</v>
      </c>
      <c r="C18" s="26" t="str">
        <f>[3]September_2017!$D22</f>
        <v>STAG</v>
      </c>
      <c r="D18" s="27">
        <v>5600</v>
      </c>
      <c r="E18" s="28">
        <v>0.34930555555555554</v>
      </c>
      <c r="F18" s="369">
        <f>[3]September_2017!$J22</f>
        <v>360.8</v>
      </c>
      <c r="G18" s="30">
        <f>[3]September_2017!$F22</f>
        <v>5449</v>
      </c>
      <c r="H18" s="369">
        <f>[3]September_2017!$K22</f>
        <v>359.63400000000001</v>
      </c>
      <c r="I18" s="370">
        <f>[3]September_2017!$N22</f>
        <v>17</v>
      </c>
      <c r="J18" s="32">
        <f>[3]September_2017!$Q22</f>
        <v>527.32258064516122</v>
      </c>
      <c r="K18" s="32">
        <f>[3]September_2017!$E22</f>
        <v>620</v>
      </c>
      <c r="L18" s="169">
        <v>0.79652777777777783</v>
      </c>
      <c r="M18" s="32">
        <f>[4]Sep!$AC23</f>
        <v>118</v>
      </c>
      <c r="N18" s="376" t="e">
        <f>[4]Sep!$I23</f>
        <v>#REF!</v>
      </c>
      <c r="O18" s="32"/>
      <c r="P18" s="349">
        <f>[3]September_2017!$P22</f>
        <v>0.32317073170731619</v>
      </c>
      <c r="Q18" s="32"/>
      <c r="R18" s="46">
        <f>($G18)/(($K18/60)*AD$3*(1/24))</f>
        <v>0.84371612903225812</v>
      </c>
      <c r="S18" s="46">
        <f>($G18)/(($K18/60)*AE$3*(1/24))</f>
        <v>0.74445540796963938</v>
      </c>
      <c r="T18" s="46">
        <f>($G18)*24/(($K18)/60)/$AD$3</f>
        <v>0.84371612903225801</v>
      </c>
      <c r="U18" s="227">
        <f>($G18)*24/(($K18)/60)/$AE$3</f>
        <v>0.74445540796963938</v>
      </c>
      <c r="V18" s="383">
        <f>(723-((M18)-[4]Sep!$Z$23-[4]Sep!$J$23))/723</f>
        <v>0.85062240663900412</v>
      </c>
      <c r="W18" s="1059" t="s">
        <v>707</v>
      </c>
      <c r="X18" s="1060"/>
      <c r="Y18" s="1060"/>
      <c r="Z18" s="1060"/>
      <c r="AA18" s="1060"/>
      <c r="AB18" s="1060"/>
      <c r="AC18" s="1061"/>
    </row>
    <row r="19" spans="2:29" s="19" customFormat="1" ht="30.75" customHeight="1" x14ac:dyDescent="0.2">
      <c r="B19" s="1037">
        <v>43000</v>
      </c>
      <c r="C19" s="26" t="str">
        <f>[3]September_2017!$D23</f>
        <v>CARIB (FLINT)</v>
      </c>
      <c r="D19" s="27">
        <v>2000</v>
      </c>
      <c r="E19" s="1051">
        <v>0.3298611111111111</v>
      </c>
      <c r="F19" s="989">
        <f>[3]September_2017!$J23</f>
        <v>229.5</v>
      </c>
      <c r="G19" s="30">
        <f>[3]September_2017!$F23</f>
        <v>1830</v>
      </c>
      <c r="H19" s="989">
        <f>[3]September_2017!$K23</f>
        <v>228.554</v>
      </c>
      <c r="I19" s="1004">
        <f>[3]September_2017!$N23</f>
        <v>22</v>
      </c>
      <c r="J19" s="991">
        <f>[3]September_2017!$Q23</f>
        <v>382.22648752399232</v>
      </c>
      <c r="K19" s="991">
        <f>[3]September_2017!$E23</f>
        <v>521</v>
      </c>
      <c r="L19" s="1017">
        <v>0.72222222222222221</v>
      </c>
      <c r="M19" s="991">
        <f>[4]Sep!$AC24</f>
        <v>175</v>
      </c>
      <c r="N19" s="376"/>
      <c r="O19" s="32"/>
      <c r="P19" s="1045">
        <f>[3]September_2017!$P23</f>
        <v>0.4122004357298466</v>
      </c>
      <c r="Q19" s="32"/>
      <c r="R19" s="1039">
        <f>($G19+G20)/(($K19/60)*AD$3*(1/24))</f>
        <v>0.6115623800383877</v>
      </c>
      <c r="S19" s="1039">
        <f>($G19+G20)/(($K19/60)*AE$3*(1/24))</f>
        <v>0.53961386473975392</v>
      </c>
      <c r="T19" s="1039">
        <f>($G19+G20)*24/(($K19)/60)/$AD$3</f>
        <v>0.6115623800383877</v>
      </c>
      <c r="U19" s="1047">
        <f>($G19+G20)*24/(($K19)/60)/$AE$3</f>
        <v>0.53961386473975381</v>
      </c>
      <c r="V19" s="1035">
        <f>(614-((M19)-[4]Sep!$I$24-[4]Sep!$J$24-[4]Sep!$Z$24-[4]Sep!$AA$24))/614</f>
        <v>0.79153094462540718</v>
      </c>
      <c r="W19" s="1056" t="s">
        <v>708</v>
      </c>
      <c r="X19" s="1057"/>
      <c r="Y19" s="1057"/>
      <c r="Z19" s="1057"/>
      <c r="AA19" s="1057"/>
      <c r="AB19" s="1057"/>
      <c r="AC19" s="1058"/>
    </row>
    <row r="20" spans="2:29" s="19" customFormat="1" ht="31.5" customHeight="1" x14ac:dyDescent="0.2">
      <c r="B20" s="1038"/>
      <c r="C20" s="26" t="str">
        <f>[3]September_2017!$D24</f>
        <v>CARIB (AMBER)</v>
      </c>
      <c r="D20" s="27">
        <v>1425</v>
      </c>
      <c r="E20" s="1053"/>
      <c r="F20" s="990"/>
      <c r="G20" s="30">
        <f>[3]September_2017!$F24</f>
        <v>1489</v>
      </c>
      <c r="H20" s="990"/>
      <c r="I20" s="1005"/>
      <c r="J20" s="992"/>
      <c r="K20" s="992"/>
      <c r="L20" s="1018"/>
      <c r="M20" s="992"/>
      <c r="N20" s="350">
        <f>[4]Sep!$I24</f>
        <v>19</v>
      </c>
      <c r="O20" s="32"/>
      <c r="P20" s="1046"/>
      <c r="Q20" s="32"/>
      <c r="R20" s="1040"/>
      <c r="S20" s="1040"/>
      <c r="T20" s="1040"/>
      <c r="U20" s="1048"/>
      <c r="V20" s="1036"/>
      <c r="W20" s="1059"/>
      <c r="X20" s="1060"/>
      <c r="Y20" s="1060"/>
      <c r="Z20" s="1060"/>
      <c r="AA20" s="1060"/>
      <c r="AB20" s="1060"/>
      <c r="AC20" s="1061"/>
    </row>
    <row r="21" spans="2:29" s="19" customFormat="1" ht="56.25" customHeight="1" x14ac:dyDescent="0.2">
      <c r="B21" s="168">
        <v>43006</v>
      </c>
      <c r="C21" s="26" t="str">
        <f>[3]September_2017!$D25</f>
        <v>GUINNESS</v>
      </c>
      <c r="D21" s="27">
        <v>4900</v>
      </c>
      <c r="E21" s="28">
        <v>0.3298611111111111</v>
      </c>
      <c r="F21" s="369">
        <f>[3]September_2017!$J25</f>
        <v>312.8</v>
      </c>
      <c r="G21" s="30">
        <f>[3]September_2017!$F25</f>
        <v>4722</v>
      </c>
      <c r="H21" s="369">
        <f>[3]September_2017!$K25</f>
        <v>311.65199999999999</v>
      </c>
      <c r="I21" s="370">
        <f>[3]September_2017!$N25</f>
        <v>29</v>
      </c>
      <c r="J21" s="32">
        <f>[3]September_2017!$Q25</f>
        <v>434.53987730061345</v>
      </c>
      <c r="K21" s="32">
        <f>[3]September_2017!$E25</f>
        <v>652</v>
      </c>
      <c r="L21" s="169">
        <v>0.82430555555555562</v>
      </c>
      <c r="M21" s="32">
        <f>[4]Sep!$AC25</f>
        <v>187</v>
      </c>
      <c r="N21" s="376" t="e">
        <f>[4]Sep!$I26</f>
        <v>#REF!</v>
      </c>
      <c r="O21" s="32"/>
      <c r="P21" s="349">
        <f>[3]September_2017!$P25</f>
        <v>0.36700767263427891</v>
      </c>
      <c r="Q21" s="32"/>
      <c r="R21" s="46">
        <f>($G21)/(($K21/60)*AD$3*(1/24))</f>
        <v>0.69526380368098162</v>
      </c>
      <c r="S21" s="46">
        <f>($G21)/(($K21/60)*AE$3*(1/24))</f>
        <v>0.61346806207145432</v>
      </c>
      <c r="T21" s="46">
        <f>($G21)*24/(($K21)/60)/$AD$3</f>
        <v>0.69526380368098151</v>
      </c>
      <c r="U21" s="227">
        <f>($G21)*24/(($K21)/60)/$AE$3</f>
        <v>0.61346806207145432</v>
      </c>
      <c r="V21" s="383">
        <f>(756-((M21)-[4]Sep!$J$25-[4]Sep!$Z$25-[4]Sep!$AA$25))/756</f>
        <v>0.76190476190476186</v>
      </c>
      <c r="W21" s="1059" t="s">
        <v>709</v>
      </c>
      <c r="X21" s="1060"/>
      <c r="Y21" s="1060"/>
      <c r="Z21" s="1060"/>
      <c r="AA21" s="1060"/>
      <c r="AB21" s="1060"/>
      <c r="AC21" s="1061"/>
    </row>
    <row r="22" spans="2:29" s="19" customFormat="1" ht="45" customHeight="1" x14ac:dyDescent="0.2">
      <c r="B22" s="1037">
        <v>43007</v>
      </c>
      <c r="C22" s="26" t="str">
        <f>[3]September_2017!$D26</f>
        <v>GINGER</v>
      </c>
      <c r="D22" s="27">
        <v>1150</v>
      </c>
      <c r="E22" s="1051">
        <v>0.43333333333333335</v>
      </c>
      <c r="F22" s="369">
        <f>[3]September_2017!$J26</f>
        <v>80.012460000000004</v>
      </c>
      <c r="G22" s="30">
        <f>[3]September_2017!$F26</f>
        <v>1177</v>
      </c>
      <c r="H22" s="369">
        <f>[3]September_2017!$K26</f>
        <v>77.682000000000002</v>
      </c>
      <c r="I22" s="370">
        <f>[3]September_2017!$N26</f>
        <v>4</v>
      </c>
      <c r="J22" s="991">
        <f>[3]September_2017!$Q26</f>
        <v>325.38053097345136</v>
      </c>
      <c r="K22" s="991">
        <f>[3]September_2017!$E26</f>
        <v>565</v>
      </c>
      <c r="L22" s="1017">
        <v>0.75347222222222221</v>
      </c>
      <c r="M22" s="32">
        <f>[4]Sep!$AC26</f>
        <v>183</v>
      </c>
      <c r="N22" s="376">
        <f>[4]Sep!$I27</f>
        <v>22</v>
      </c>
      <c r="O22" s="32"/>
      <c r="P22" s="349">
        <f>[3]September_2017!$P26</f>
        <v>2.9126213592233037</v>
      </c>
      <c r="Q22" s="32"/>
      <c r="R22" s="1039">
        <f>($G22+$G23+$G24)/(($K22/60)*AD$3*(1/24))</f>
        <v>0.52060884955752218</v>
      </c>
      <c r="S22" s="1039">
        <f>($G22+$G23+$G24)/(($K22/60)*AE$3*(1/24))</f>
        <v>0.4593607496095784</v>
      </c>
      <c r="T22" s="1039">
        <f>($G22+$G23+$G24)*24/(($K22)/60)/$AD$3</f>
        <v>0.52060884955752218</v>
      </c>
      <c r="U22" s="1047">
        <f>($G22+$G23+$G24)*24/(($K22)/60)/$AE$3</f>
        <v>0.45936074960957834</v>
      </c>
      <c r="V22" s="1035">
        <f>(657-((M22+M23+M24)-[4]Sep!$J$26-[4]Sep!$J$27-[4]Sep!$I$27-[4]Sep!$I$28-[4]Sep!$Z$26-[4]Sep!$Z$27))/657</f>
        <v>0.68949771689497719</v>
      </c>
      <c r="W22" s="1059" t="s">
        <v>711</v>
      </c>
      <c r="X22" s="1060"/>
      <c r="Y22" s="1060"/>
      <c r="Z22" s="1060"/>
      <c r="AA22" s="1060"/>
      <c r="AB22" s="1060"/>
      <c r="AC22" s="1061"/>
    </row>
    <row r="23" spans="2:29" s="19" customFormat="1" ht="28.5" customHeight="1" x14ac:dyDescent="0.2">
      <c r="B23" s="1050"/>
      <c r="C23" s="26" t="str">
        <f>[3]September_2017!$D27</f>
        <v>KOLA</v>
      </c>
      <c r="D23" s="27">
        <v>800</v>
      </c>
      <c r="E23" s="1052"/>
      <c r="F23" s="369">
        <f>[3]September_2017!$J27</f>
        <v>52.140660000000004</v>
      </c>
      <c r="G23" s="30">
        <f>[3]September_2017!$F27</f>
        <v>767</v>
      </c>
      <c r="H23" s="369">
        <f>[3]September_2017!$K27</f>
        <v>50.622</v>
      </c>
      <c r="I23" s="370">
        <f>[3]September_2017!$N27</f>
        <v>1</v>
      </c>
      <c r="J23" s="1042"/>
      <c r="K23" s="1042"/>
      <c r="L23" s="1055"/>
      <c r="M23" s="32">
        <f>[4]Sep!$AC27</f>
        <v>33</v>
      </c>
      <c r="N23" s="376">
        <f>[4]Sep!$I28</f>
        <v>17</v>
      </c>
      <c r="O23" s="32"/>
      <c r="P23" s="349">
        <f>[3]September_2017!$P27</f>
        <v>2.9126213592233086</v>
      </c>
      <c r="Q23" s="32"/>
      <c r="R23" s="1041"/>
      <c r="S23" s="1041"/>
      <c r="T23" s="1041"/>
      <c r="U23" s="1049"/>
      <c r="V23" s="1054"/>
      <c r="W23" s="1059" t="s">
        <v>712</v>
      </c>
      <c r="X23" s="1060"/>
      <c r="Y23" s="1060"/>
      <c r="Z23" s="1060"/>
      <c r="AA23" s="1060"/>
      <c r="AB23" s="1060"/>
      <c r="AC23" s="1061"/>
    </row>
    <row r="24" spans="2:29" s="19" customFormat="1" ht="41.25" customHeight="1" x14ac:dyDescent="0.2">
      <c r="B24" s="1038"/>
      <c r="C24" s="26" t="str">
        <f>[3]September_2017!$D28</f>
        <v>BANANA</v>
      </c>
      <c r="D24" s="27">
        <v>1150</v>
      </c>
      <c r="E24" s="1053"/>
      <c r="F24" s="369">
        <f>[3]September_2017!$J28</f>
        <v>76.137600000000006</v>
      </c>
      <c r="G24" s="30">
        <f>[3]September_2017!$F28</f>
        <v>1120</v>
      </c>
      <c r="H24" s="369">
        <f>[3]September_2017!$K28</f>
        <v>73.92</v>
      </c>
      <c r="I24" s="370">
        <f>[3]September_2017!$N28</f>
        <v>3.5</v>
      </c>
      <c r="J24" s="992"/>
      <c r="K24" s="992"/>
      <c r="L24" s="1018"/>
      <c r="M24" s="32">
        <f>[4]Sep!$AC28</f>
        <v>36</v>
      </c>
      <c r="N24" s="376" t="e">
        <f>[4]Sep!$I29</f>
        <v>#REF!</v>
      </c>
      <c r="O24" s="32"/>
      <c r="P24" s="349">
        <f>[3]September_2017!$P28</f>
        <v>2.9126213592233068</v>
      </c>
      <c r="Q24" s="32"/>
      <c r="R24" s="1040"/>
      <c r="S24" s="1040"/>
      <c r="T24" s="1040"/>
      <c r="U24" s="1048"/>
      <c r="V24" s="1036"/>
      <c r="W24" s="1059" t="s">
        <v>713</v>
      </c>
      <c r="X24" s="1060"/>
      <c r="Y24" s="1060"/>
      <c r="Z24" s="1060"/>
      <c r="AA24" s="1060"/>
      <c r="AB24" s="1060"/>
      <c r="AC24" s="1061"/>
    </row>
    <row r="25" spans="2:29" s="19" customFormat="1" ht="19.5" customHeight="1" thickBot="1" x14ac:dyDescent="0.25">
      <c r="B25" s="168"/>
      <c r="C25" s="26"/>
      <c r="D25" s="27"/>
      <c r="E25" s="28"/>
      <c r="F25" s="369"/>
      <c r="G25" s="30"/>
      <c r="H25" s="369"/>
      <c r="I25" s="370"/>
      <c r="J25" s="32"/>
      <c r="K25" s="32"/>
      <c r="L25" s="169"/>
      <c r="M25" s="32"/>
      <c r="N25" s="376"/>
      <c r="O25" s="32"/>
      <c r="P25" s="349"/>
      <c r="Q25" s="32"/>
      <c r="R25" s="46"/>
      <c r="S25" s="46"/>
      <c r="T25" s="46"/>
      <c r="U25" s="227"/>
      <c r="V25" s="383"/>
      <c r="W25" s="1059"/>
      <c r="X25" s="1060"/>
      <c r="Y25" s="1060"/>
      <c r="Z25" s="1060"/>
      <c r="AA25" s="1060"/>
      <c r="AB25" s="1060"/>
      <c r="AC25" s="1061"/>
    </row>
    <row r="26" spans="2:29" s="19" customFormat="1" ht="19.5" hidden="1" customHeight="1" x14ac:dyDescent="0.2">
      <c r="B26" s="168"/>
      <c r="C26" s="26"/>
      <c r="D26" s="27"/>
      <c r="E26" s="28"/>
      <c r="F26" s="369"/>
      <c r="G26" s="30"/>
      <c r="H26" s="369"/>
      <c r="I26" s="370"/>
      <c r="J26" s="32"/>
      <c r="K26" s="32"/>
      <c r="L26" s="169"/>
      <c r="M26" s="32"/>
      <c r="N26" s="376"/>
      <c r="O26" s="32"/>
      <c r="P26" s="349"/>
      <c r="Q26" s="32"/>
      <c r="R26" s="46"/>
      <c r="S26" s="46"/>
      <c r="T26" s="46"/>
      <c r="U26" s="227"/>
      <c r="V26" s="383"/>
      <c r="W26" s="1059"/>
      <c r="X26" s="1060"/>
      <c r="Y26" s="1060"/>
      <c r="Z26" s="1060"/>
      <c r="AA26" s="1060"/>
      <c r="AB26" s="1060"/>
      <c r="AC26" s="1061"/>
    </row>
    <row r="27" spans="2:29" s="19" customFormat="1" ht="19.5" hidden="1" customHeight="1" x14ac:dyDescent="0.2">
      <c r="B27" s="168"/>
      <c r="C27" s="26"/>
      <c r="D27" s="27"/>
      <c r="E27" s="28"/>
      <c r="F27" s="369"/>
      <c r="G27" s="30"/>
      <c r="H27" s="369"/>
      <c r="I27" s="370"/>
      <c r="J27" s="32"/>
      <c r="K27" s="32"/>
      <c r="L27" s="169"/>
      <c r="M27" s="32"/>
      <c r="N27" s="376"/>
      <c r="O27" s="32"/>
      <c r="P27" s="349"/>
      <c r="Q27" s="32"/>
      <c r="R27" s="46"/>
      <c r="S27" s="46"/>
      <c r="T27" s="46"/>
      <c r="U27" s="227"/>
      <c r="V27" s="383"/>
      <c r="W27" s="1059"/>
      <c r="X27" s="1060"/>
      <c r="Y27" s="1060"/>
      <c r="Z27" s="1060"/>
      <c r="AA27" s="1060"/>
      <c r="AB27" s="1060"/>
      <c r="AC27" s="1061"/>
    </row>
    <row r="28" spans="2:29" s="19" customFormat="1" ht="19.5" hidden="1" customHeight="1" x14ac:dyDescent="0.2">
      <c r="B28" s="168"/>
      <c r="C28" s="26"/>
      <c r="D28" s="27"/>
      <c r="E28" s="28"/>
      <c r="F28" s="369"/>
      <c r="G28" s="30"/>
      <c r="H28" s="369"/>
      <c r="I28" s="370"/>
      <c r="J28" s="32"/>
      <c r="K28" s="32"/>
      <c r="L28" s="169"/>
      <c r="M28" s="32"/>
      <c r="N28" s="376"/>
      <c r="O28" s="32"/>
      <c r="P28" s="349"/>
      <c r="Q28" s="32"/>
      <c r="R28" s="46"/>
      <c r="S28" s="46"/>
      <c r="T28" s="46"/>
      <c r="U28" s="227"/>
      <c r="V28" s="383"/>
      <c r="W28" s="1059"/>
      <c r="X28" s="1060"/>
      <c r="Y28" s="1060"/>
      <c r="Z28" s="1060"/>
      <c r="AA28" s="1060"/>
      <c r="AB28" s="1060"/>
      <c r="AC28" s="1061"/>
    </row>
    <row r="29" spans="2:29" s="19" customFormat="1" ht="19.5" hidden="1" customHeight="1" x14ac:dyDescent="0.2">
      <c r="B29" s="168"/>
      <c r="C29" s="26"/>
      <c r="D29" s="27"/>
      <c r="E29" s="28"/>
      <c r="F29" s="369"/>
      <c r="G29" s="30"/>
      <c r="H29" s="369"/>
      <c r="I29" s="370"/>
      <c r="J29" s="32"/>
      <c r="K29" s="32"/>
      <c r="L29" s="169"/>
      <c r="M29" s="32"/>
      <c r="N29" s="376"/>
      <c r="O29" s="32"/>
      <c r="P29" s="349"/>
      <c r="Q29" s="32"/>
      <c r="R29" s="46"/>
      <c r="S29" s="46"/>
      <c r="T29" s="46"/>
      <c r="U29" s="227"/>
      <c r="V29" s="383"/>
      <c r="W29" s="1059"/>
      <c r="X29" s="1060"/>
      <c r="Y29" s="1060"/>
      <c r="Z29" s="1060"/>
      <c r="AA29" s="1060"/>
      <c r="AB29" s="1060"/>
      <c r="AC29" s="1061"/>
    </row>
    <row r="30" spans="2:29" s="19" customFormat="1" ht="19.5" hidden="1" customHeight="1" x14ac:dyDescent="0.2">
      <c r="B30" s="168"/>
      <c r="C30" s="26"/>
      <c r="D30" s="27"/>
      <c r="E30" s="28"/>
      <c r="F30" s="369"/>
      <c r="G30" s="30"/>
      <c r="H30" s="369"/>
      <c r="I30" s="370"/>
      <c r="J30" s="32"/>
      <c r="K30" s="32"/>
      <c r="L30" s="169"/>
      <c r="M30" s="32"/>
      <c r="N30" s="376"/>
      <c r="O30" s="32"/>
      <c r="P30" s="349"/>
      <c r="Q30" s="32"/>
      <c r="R30" s="46"/>
      <c r="S30" s="46"/>
      <c r="T30" s="46"/>
      <c r="U30" s="227"/>
      <c r="V30" s="383"/>
      <c r="W30" s="1059"/>
      <c r="X30" s="1060"/>
      <c r="Y30" s="1060"/>
      <c r="Z30" s="1060"/>
      <c r="AA30" s="1060"/>
      <c r="AB30" s="1060"/>
      <c r="AC30" s="1061"/>
    </row>
    <row r="31" spans="2:29" s="19" customFormat="1" ht="19.5" hidden="1" customHeight="1" x14ac:dyDescent="0.2">
      <c r="B31" s="168"/>
      <c r="C31" s="26"/>
      <c r="D31" s="27"/>
      <c r="E31" s="28"/>
      <c r="F31" s="369"/>
      <c r="G31" s="30"/>
      <c r="H31" s="369"/>
      <c r="I31" s="370"/>
      <c r="J31" s="32"/>
      <c r="K31" s="32"/>
      <c r="L31" s="169"/>
      <c r="M31" s="32"/>
      <c r="N31" s="376"/>
      <c r="O31" s="32"/>
      <c r="P31" s="349"/>
      <c r="Q31" s="32"/>
      <c r="R31" s="46"/>
      <c r="S31" s="46"/>
      <c r="T31" s="46"/>
      <c r="U31" s="227"/>
      <c r="V31" s="383"/>
      <c r="W31" s="1059"/>
      <c r="X31" s="1060"/>
      <c r="Y31" s="1060"/>
      <c r="Z31" s="1060"/>
      <c r="AA31" s="1060"/>
      <c r="AB31" s="1060"/>
      <c r="AC31" s="1061"/>
    </row>
    <row r="32" spans="2:29" s="19" customFormat="1" ht="19.5" hidden="1" customHeight="1" x14ac:dyDescent="0.2">
      <c r="B32" s="168"/>
      <c r="C32" s="26"/>
      <c r="D32" s="27"/>
      <c r="E32" s="28"/>
      <c r="F32" s="369"/>
      <c r="G32" s="30"/>
      <c r="H32" s="369"/>
      <c r="I32" s="370"/>
      <c r="J32" s="32"/>
      <c r="K32" s="32"/>
      <c r="L32" s="169"/>
      <c r="M32" s="32"/>
      <c r="N32" s="376"/>
      <c r="O32" s="32"/>
      <c r="P32" s="349"/>
      <c r="Q32" s="32"/>
      <c r="R32" s="46"/>
      <c r="S32" s="46"/>
      <c r="T32" s="46"/>
      <c r="U32" s="227"/>
      <c r="V32" s="383"/>
      <c r="W32" s="1059"/>
      <c r="X32" s="1060"/>
      <c r="Y32" s="1060"/>
      <c r="Z32" s="1060"/>
      <c r="AA32" s="1060"/>
      <c r="AB32" s="1060"/>
      <c r="AC32" s="1061"/>
    </row>
    <row r="33" spans="2:29" s="19" customFormat="1" ht="19.5" hidden="1" customHeight="1" x14ac:dyDescent="0.2">
      <c r="B33" s="168"/>
      <c r="C33" s="26"/>
      <c r="D33" s="27"/>
      <c r="E33" s="28"/>
      <c r="F33" s="369"/>
      <c r="G33" s="30"/>
      <c r="H33" s="369"/>
      <c r="I33" s="370"/>
      <c r="J33" s="32"/>
      <c r="K33" s="32"/>
      <c r="L33" s="169"/>
      <c r="M33" s="32"/>
      <c r="N33" s="376"/>
      <c r="O33" s="32"/>
      <c r="P33" s="349"/>
      <c r="Q33" s="32"/>
      <c r="R33" s="46"/>
      <c r="S33" s="46"/>
      <c r="T33" s="46"/>
      <c r="U33" s="227"/>
      <c r="V33" s="383"/>
      <c r="W33" s="1059"/>
      <c r="X33" s="1060"/>
      <c r="Y33" s="1060"/>
      <c r="Z33" s="1060"/>
      <c r="AA33" s="1060"/>
      <c r="AB33" s="1060"/>
      <c r="AC33" s="1061"/>
    </row>
    <row r="34" spans="2:29" s="19" customFormat="1" ht="19.5" hidden="1" customHeight="1" x14ac:dyDescent="0.2">
      <c r="B34" s="168"/>
      <c r="C34" s="26"/>
      <c r="D34" s="27"/>
      <c r="E34" s="28"/>
      <c r="F34" s="369"/>
      <c r="G34" s="30"/>
      <c r="H34" s="369"/>
      <c r="I34" s="370"/>
      <c r="J34" s="32"/>
      <c r="K34" s="32"/>
      <c r="L34" s="169"/>
      <c r="M34" s="32"/>
      <c r="N34" s="376"/>
      <c r="O34" s="32"/>
      <c r="P34" s="349"/>
      <c r="Q34" s="32"/>
      <c r="R34" s="46"/>
      <c r="S34" s="46"/>
      <c r="T34" s="46"/>
      <c r="U34" s="227"/>
      <c r="V34" s="383"/>
      <c r="W34" s="1059"/>
      <c r="X34" s="1060"/>
      <c r="Y34" s="1060"/>
      <c r="Z34" s="1060"/>
      <c r="AA34" s="1060"/>
      <c r="AB34" s="1060"/>
      <c r="AC34" s="1061"/>
    </row>
    <row r="35" spans="2:29" s="19" customFormat="1" ht="19.5" hidden="1" customHeight="1" x14ac:dyDescent="0.2">
      <c r="B35" s="168"/>
      <c r="C35" s="26"/>
      <c r="D35" s="27"/>
      <c r="E35" s="28"/>
      <c r="F35" s="369"/>
      <c r="G35" s="30"/>
      <c r="H35" s="369"/>
      <c r="I35" s="370"/>
      <c r="J35" s="32"/>
      <c r="K35" s="32"/>
      <c r="L35" s="169"/>
      <c r="M35" s="32"/>
      <c r="N35" s="376"/>
      <c r="O35" s="32"/>
      <c r="P35" s="349"/>
      <c r="Q35" s="32"/>
      <c r="R35" s="46"/>
      <c r="S35" s="46"/>
      <c r="T35" s="46"/>
      <c r="U35" s="227"/>
      <c r="V35" s="383"/>
      <c r="W35" s="1059"/>
      <c r="X35" s="1060"/>
      <c r="Y35" s="1060"/>
      <c r="Z35" s="1060"/>
      <c r="AA35" s="1060"/>
      <c r="AB35" s="1060"/>
      <c r="AC35" s="1061"/>
    </row>
    <row r="36" spans="2:29" s="19" customFormat="1" ht="19.5" hidden="1" customHeight="1" x14ac:dyDescent="0.2">
      <c r="B36" s="168"/>
      <c r="C36" s="26"/>
      <c r="D36" s="27"/>
      <c r="E36" s="28"/>
      <c r="F36" s="369"/>
      <c r="G36" s="30"/>
      <c r="H36" s="369"/>
      <c r="I36" s="370"/>
      <c r="J36" s="32"/>
      <c r="K36" s="32"/>
      <c r="L36" s="169"/>
      <c r="M36" s="32"/>
      <c r="N36" s="376"/>
      <c r="O36" s="32"/>
      <c r="P36" s="349"/>
      <c r="Q36" s="32"/>
      <c r="R36" s="46"/>
      <c r="S36" s="46"/>
      <c r="T36" s="46"/>
      <c r="U36" s="227"/>
      <c r="V36" s="383"/>
      <c r="W36" s="1059"/>
      <c r="X36" s="1060"/>
      <c r="Y36" s="1060"/>
      <c r="Z36" s="1060"/>
      <c r="AA36" s="1060"/>
      <c r="AB36" s="1060"/>
      <c r="AC36" s="1061"/>
    </row>
    <row r="37" spans="2:29" s="19" customFormat="1" ht="19.5" hidden="1" customHeight="1" x14ac:dyDescent="0.2">
      <c r="B37" s="168"/>
      <c r="C37" s="26"/>
      <c r="D37" s="27"/>
      <c r="E37" s="28"/>
      <c r="F37" s="369"/>
      <c r="G37" s="30"/>
      <c r="H37" s="369"/>
      <c r="I37" s="370"/>
      <c r="J37" s="32"/>
      <c r="K37" s="32"/>
      <c r="L37" s="169"/>
      <c r="M37" s="32"/>
      <c r="N37" s="376"/>
      <c r="O37" s="32"/>
      <c r="P37" s="349"/>
      <c r="Q37" s="32"/>
      <c r="R37" s="46"/>
      <c r="S37" s="46"/>
      <c r="T37" s="46"/>
      <c r="U37" s="227"/>
      <c r="V37" s="383"/>
      <c r="W37" s="1059"/>
      <c r="X37" s="1060"/>
      <c r="Y37" s="1060"/>
      <c r="Z37" s="1060"/>
      <c r="AA37" s="1060"/>
      <c r="AB37" s="1060"/>
      <c r="AC37" s="1061"/>
    </row>
    <row r="38" spans="2:29" s="19" customFormat="1" ht="20.25" hidden="1" x14ac:dyDescent="0.2">
      <c r="B38" s="168"/>
      <c r="C38" s="26"/>
      <c r="D38" s="27"/>
      <c r="E38" s="28"/>
      <c r="F38" s="29"/>
      <c r="G38" s="30"/>
      <c r="H38" s="29"/>
      <c r="I38" s="31"/>
      <c r="J38" s="32"/>
      <c r="K38" s="32"/>
      <c r="L38" s="169"/>
      <c r="M38" s="32"/>
      <c r="N38" s="236"/>
      <c r="O38" s="32"/>
      <c r="P38" s="33"/>
      <c r="Q38" s="32"/>
      <c r="R38" s="129"/>
      <c r="S38" s="129"/>
      <c r="T38" s="129"/>
      <c r="U38" s="227"/>
      <c r="V38" s="233"/>
      <c r="W38" s="1059"/>
      <c r="X38" s="1060"/>
      <c r="Y38" s="1060"/>
      <c r="Z38" s="1060"/>
      <c r="AA38" s="1060"/>
      <c r="AB38" s="1060"/>
      <c r="AC38" s="1061"/>
    </row>
    <row r="39" spans="2:29" s="19" customFormat="1" ht="20.25" hidden="1" x14ac:dyDescent="0.2">
      <c r="B39" s="168"/>
      <c r="C39" s="26"/>
      <c r="D39" s="27"/>
      <c r="E39" s="28"/>
      <c r="F39" s="29"/>
      <c r="G39" s="30"/>
      <c r="H39" s="29"/>
      <c r="I39" s="31"/>
      <c r="J39" s="32"/>
      <c r="K39" s="32"/>
      <c r="L39" s="169"/>
      <c r="M39" s="32"/>
      <c r="N39" s="236"/>
      <c r="O39" s="32"/>
      <c r="P39" s="33"/>
      <c r="Q39" s="32"/>
      <c r="R39" s="129"/>
      <c r="S39" s="129"/>
      <c r="T39" s="129"/>
      <c r="U39" s="227"/>
      <c r="V39" s="233"/>
      <c r="W39" s="1059"/>
      <c r="X39" s="1060"/>
      <c r="Y39" s="1060"/>
      <c r="Z39" s="1060"/>
      <c r="AA39" s="1060"/>
      <c r="AB39" s="1060"/>
      <c r="AC39" s="1061"/>
    </row>
    <row r="40" spans="2:29" s="19" customFormat="1" ht="20.25" hidden="1" x14ac:dyDescent="0.2">
      <c r="B40" s="168"/>
      <c r="C40" s="26"/>
      <c r="D40" s="27"/>
      <c r="E40" s="28"/>
      <c r="F40" s="29"/>
      <c r="G40" s="30"/>
      <c r="H40" s="29"/>
      <c r="I40" s="31"/>
      <c r="J40" s="32"/>
      <c r="K40" s="32"/>
      <c r="L40" s="169"/>
      <c r="M40" s="32"/>
      <c r="N40" s="236"/>
      <c r="O40" s="32"/>
      <c r="P40" s="33"/>
      <c r="Q40" s="32"/>
      <c r="R40" s="129"/>
      <c r="S40" s="129"/>
      <c r="T40" s="129"/>
      <c r="U40" s="227"/>
      <c r="V40" s="233"/>
      <c r="W40" s="1059"/>
      <c r="X40" s="1060"/>
      <c r="Y40" s="1060"/>
      <c r="Z40" s="1060"/>
      <c r="AA40" s="1060"/>
      <c r="AB40" s="1060"/>
      <c r="AC40" s="1061"/>
    </row>
    <row r="41" spans="2:29" s="19" customFormat="1" ht="20.25" hidden="1" x14ac:dyDescent="0.2">
      <c r="B41" s="168"/>
      <c r="C41" s="26"/>
      <c r="D41" s="27"/>
      <c r="E41" s="28"/>
      <c r="F41" s="29"/>
      <c r="G41" s="30"/>
      <c r="H41" s="29"/>
      <c r="I41" s="31"/>
      <c r="J41" s="32"/>
      <c r="K41" s="32"/>
      <c r="L41" s="169"/>
      <c r="M41" s="32"/>
      <c r="N41" s="236"/>
      <c r="O41" s="32"/>
      <c r="P41" s="33"/>
      <c r="Q41" s="32"/>
      <c r="R41" s="129"/>
      <c r="S41" s="129"/>
      <c r="T41" s="129"/>
      <c r="U41" s="227"/>
      <c r="V41" s="233"/>
      <c r="W41" s="1059"/>
      <c r="X41" s="1060"/>
      <c r="Y41" s="1060"/>
      <c r="Z41" s="1060"/>
      <c r="AA41" s="1060"/>
      <c r="AB41" s="1060"/>
      <c r="AC41" s="1061"/>
    </row>
    <row r="42" spans="2:29" s="19" customFormat="1" ht="20.25" hidden="1" x14ac:dyDescent="0.2">
      <c r="B42" s="168"/>
      <c r="C42" s="26"/>
      <c r="D42" s="27"/>
      <c r="E42" s="28"/>
      <c r="F42" s="29"/>
      <c r="G42" s="30"/>
      <c r="H42" s="29"/>
      <c r="I42" s="31"/>
      <c r="J42" s="32"/>
      <c r="K42" s="32"/>
      <c r="L42" s="169"/>
      <c r="M42" s="32"/>
      <c r="N42" s="236"/>
      <c r="O42" s="32"/>
      <c r="P42" s="33"/>
      <c r="Q42" s="32"/>
      <c r="R42" s="129"/>
      <c r="S42" s="129"/>
      <c r="T42" s="129"/>
      <c r="U42" s="227"/>
      <c r="V42" s="233"/>
      <c r="W42" s="1059"/>
      <c r="X42" s="1060"/>
      <c r="Y42" s="1060"/>
      <c r="Z42" s="1060"/>
      <c r="AA42" s="1060"/>
      <c r="AB42" s="1060"/>
      <c r="AC42" s="1061"/>
    </row>
    <row r="43" spans="2:29" s="19" customFormat="1" ht="20.25" hidden="1" x14ac:dyDescent="0.2">
      <c r="B43" s="168"/>
      <c r="C43" s="26"/>
      <c r="D43" s="27"/>
      <c r="E43" s="28"/>
      <c r="F43" s="29"/>
      <c r="G43" s="30"/>
      <c r="H43" s="29"/>
      <c r="I43" s="31"/>
      <c r="J43" s="32"/>
      <c r="K43" s="32"/>
      <c r="L43" s="169"/>
      <c r="M43" s="32"/>
      <c r="N43" s="236"/>
      <c r="O43" s="32"/>
      <c r="P43" s="33"/>
      <c r="Q43" s="32"/>
      <c r="R43" s="129"/>
      <c r="S43" s="129"/>
      <c r="T43" s="129"/>
      <c r="U43" s="227"/>
      <c r="V43" s="233"/>
      <c r="W43" s="1059"/>
      <c r="X43" s="1060"/>
      <c r="Y43" s="1060"/>
      <c r="Z43" s="1060"/>
      <c r="AA43" s="1060"/>
      <c r="AB43" s="1060"/>
      <c r="AC43" s="1061"/>
    </row>
    <row r="44" spans="2:29" s="19" customFormat="1" ht="20.25" hidden="1" x14ac:dyDescent="0.2">
      <c r="B44" s="168"/>
      <c r="C44" s="26"/>
      <c r="D44" s="27"/>
      <c r="E44" s="28"/>
      <c r="F44" s="29"/>
      <c r="G44" s="30"/>
      <c r="H44" s="29"/>
      <c r="I44" s="31"/>
      <c r="J44" s="32"/>
      <c r="K44" s="32"/>
      <c r="L44" s="169"/>
      <c r="M44" s="32"/>
      <c r="N44" s="236"/>
      <c r="O44" s="32"/>
      <c r="P44" s="33"/>
      <c r="Q44" s="32"/>
      <c r="R44" s="129"/>
      <c r="S44" s="129"/>
      <c r="T44" s="129"/>
      <c r="U44" s="227"/>
      <c r="V44" s="233"/>
      <c r="W44" s="1059"/>
      <c r="X44" s="1060"/>
      <c r="Y44" s="1060"/>
      <c r="Z44" s="1060"/>
      <c r="AA44" s="1060"/>
      <c r="AB44" s="1060"/>
      <c r="AC44" s="1061"/>
    </row>
    <row r="45" spans="2:29" s="19" customFormat="1" ht="20.25" hidden="1" x14ac:dyDescent="0.2">
      <c r="B45" s="168"/>
      <c r="C45" s="26"/>
      <c r="D45" s="27"/>
      <c r="E45" s="28"/>
      <c r="F45" s="29"/>
      <c r="G45" s="30"/>
      <c r="H45" s="29"/>
      <c r="I45" s="31"/>
      <c r="J45" s="32"/>
      <c r="K45" s="32"/>
      <c r="L45" s="169"/>
      <c r="M45" s="32"/>
      <c r="N45" s="236"/>
      <c r="O45" s="32"/>
      <c r="P45" s="33"/>
      <c r="Q45" s="32"/>
      <c r="R45" s="129"/>
      <c r="S45" s="129"/>
      <c r="T45" s="129"/>
      <c r="U45" s="227"/>
      <c r="V45" s="233"/>
      <c r="W45" s="1059"/>
      <c r="X45" s="1060"/>
      <c r="Y45" s="1060"/>
      <c r="Z45" s="1060"/>
      <c r="AA45" s="1060"/>
      <c r="AB45" s="1060"/>
      <c r="AC45" s="1061"/>
    </row>
    <row r="46" spans="2:29" s="19" customFormat="1" ht="20.25" hidden="1" x14ac:dyDescent="0.2">
      <c r="B46" s="168"/>
      <c r="C46" s="26"/>
      <c r="D46" s="27"/>
      <c r="E46" s="28"/>
      <c r="F46" s="29"/>
      <c r="G46" s="30"/>
      <c r="H46" s="29"/>
      <c r="I46" s="31"/>
      <c r="J46" s="32"/>
      <c r="K46" s="32"/>
      <c r="L46" s="169"/>
      <c r="M46" s="32"/>
      <c r="N46" s="236"/>
      <c r="O46" s="32"/>
      <c r="P46" s="33"/>
      <c r="Q46" s="32"/>
      <c r="R46" s="129"/>
      <c r="S46" s="129"/>
      <c r="T46" s="129"/>
      <c r="U46" s="227"/>
      <c r="V46" s="233"/>
      <c r="W46" s="1059"/>
      <c r="X46" s="1060"/>
      <c r="Y46" s="1060"/>
      <c r="Z46" s="1060"/>
      <c r="AA46" s="1060"/>
      <c r="AB46" s="1060"/>
      <c r="AC46" s="1061"/>
    </row>
    <row r="47" spans="2:29" s="19" customFormat="1" ht="20.25" hidden="1" x14ac:dyDescent="0.2">
      <c r="B47" s="168"/>
      <c r="C47" s="26"/>
      <c r="D47" s="27"/>
      <c r="E47" s="28"/>
      <c r="F47" s="29"/>
      <c r="G47" s="30"/>
      <c r="H47" s="29"/>
      <c r="I47" s="31"/>
      <c r="J47" s="32"/>
      <c r="K47" s="32"/>
      <c r="L47" s="169"/>
      <c r="M47" s="32"/>
      <c r="N47" s="236"/>
      <c r="O47" s="32"/>
      <c r="P47" s="33"/>
      <c r="Q47" s="32"/>
      <c r="R47" s="129"/>
      <c r="S47" s="129"/>
      <c r="T47" s="129"/>
      <c r="U47" s="227"/>
      <c r="V47" s="233"/>
      <c r="W47" s="1059"/>
      <c r="X47" s="1060"/>
      <c r="Y47" s="1060"/>
      <c r="Z47" s="1060"/>
      <c r="AA47" s="1060"/>
      <c r="AB47" s="1060"/>
      <c r="AC47" s="1061"/>
    </row>
    <row r="48" spans="2:29" s="19" customFormat="1" ht="20.25" hidden="1" x14ac:dyDescent="0.2">
      <c r="B48" s="168"/>
      <c r="C48" s="26"/>
      <c r="D48" s="27"/>
      <c r="E48" s="28"/>
      <c r="F48" s="29"/>
      <c r="G48" s="30"/>
      <c r="H48" s="29"/>
      <c r="I48" s="31"/>
      <c r="J48" s="32"/>
      <c r="K48" s="32"/>
      <c r="L48" s="169"/>
      <c r="M48" s="32"/>
      <c r="N48" s="236"/>
      <c r="O48" s="32"/>
      <c r="P48" s="33"/>
      <c r="Q48" s="32"/>
      <c r="R48" s="129"/>
      <c r="S48" s="129"/>
      <c r="T48" s="129"/>
      <c r="U48" s="227"/>
      <c r="V48" s="233"/>
      <c r="W48" s="1059"/>
      <c r="X48" s="1060"/>
      <c r="Y48" s="1060"/>
      <c r="Z48" s="1060"/>
      <c r="AA48" s="1060"/>
      <c r="AB48" s="1060"/>
      <c r="AC48" s="1061"/>
    </row>
    <row r="49" spans="1:29" s="19" customFormat="1" ht="20.25" hidden="1" x14ac:dyDescent="0.2">
      <c r="B49" s="168"/>
      <c r="C49" s="26"/>
      <c r="D49" s="27"/>
      <c r="E49" s="28"/>
      <c r="F49" s="29"/>
      <c r="G49" s="30"/>
      <c r="H49" s="29"/>
      <c r="I49" s="31"/>
      <c r="J49" s="32"/>
      <c r="K49" s="32"/>
      <c r="L49" s="169"/>
      <c r="M49" s="32"/>
      <c r="N49" s="236"/>
      <c r="O49" s="32"/>
      <c r="P49" s="33"/>
      <c r="Q49" s="32"/>
      <c r="R49" s="129"/>
      <c r="S49" s="129"/>
      <c r="T49" s="129"/>
      <c r="U49" s="227"/>
      <c r="V49" s="233"/>
      <c r="W49" s="1059"/>
      <c r="X49" s="1060"/>
      <c r="Y49" s="1060"/>
      <c r="Z49" s="1060"/>
      <c r="AA49" s="1060"/>
      <c r="AB49" s="1060"/>
      <c r="AC49" s="1061"/>
    </row>
    <row r="50" spans="1:29" s="19" customFormat="1" ht="20.25" hidden="1" x14ac:dyDescent="0.2">
      <c r="B50" s="168"/>
      <c r="C50" s="26"/>
      <c r="D50" s="27"/>
      <c r="E50" s="28"/>
      <c r="F50" s="29"/>
      <c r="G50" s="30"/>
      <c r="H50" s="29"/>
      <c r="I50" s="31"/>
      <c r="J50" s="32"/>
      <c r="K50" s="32"/>
      <c r="L50" s="169"/>
      <c r="M50" s="32"/>
      <c r="N50" s="236"/>
      <c r="O50" s="32"/>
      <c r="P50" s="33"/>
      <c r="Q50" s="32"/>
      <c r="R50" s="129"/>
      <c r="S50" s="129"/>
      <c r="T50" s="129"/>
      <c r="U50" s="227"/>
      <c r="V50" s="233"/>
      <c r="W50" s="1059"/>
      <c r="X50" s="1060"/>
      <c r="Y50" s="1060"/>
      <c r="Z50" s="1060"/>
      <c r="AA50" s="1060"/>
      <c r="AB50" s="1060"/>
      <c r="AC50" s="1061"/>
    </row>
    <row r="51" spans="1:29" s="19" customFormat="1" ht="20.25" hidden="1" x14ac:dyDescent="0.2">
      <c r="B51" s="168"/>
      <c r="C51" s="26"/>
      <c r="D51" s="27"/>
      <c r="E51" s="28"/>
      <c r="F51" s="29"/>
      <c r="G51" s="30"/>
      <c r="H51" s="29"/>
      <c r="I51" s="31"/>
      <c r="J51" s="32"/>
      <c r="K51" s="32"/>
      <c r="L51" s="169"/>
      <c r="M51" s="32"/>
      <c r="N51" s="236"/>
      <c r="O51" s="32"/>
      <c r="P51" s="33"/>
      <c r="Q51" s="32"/>
      <c r="R51" s="129"/>
      <c r="S51" s="129"/>
      <c r="T51" s="129"/>
      <c r="U51" s="227"/>
      <c r="V51" s="233"/>
      <c r="W51" s="1059"/>
      <c r="X51" s="1060"/>
      <c r="Y51" s="1060"/>
      <c r="Z51" s="1060"/>
      <c r="AA51" s="1060"/>
      <c r="AB51" s="1060"/>
      <c r="AC51" s="1061"/>
    </row>
    <row r="52" spans="1:29" s="19" customFormat="1" ht="20.25" hidden="1" x14ac:dyDescent="0.2">
      <c r="B52" s="168"/>
      <c r="C52" s="26"/>
      <c r="D52" s="27"/>
      <c r="E52" s="28"/>
      <c r="F52" s="29"/>
      <c r="G52" s="30"/>
      <c r="H52" s="29"/>
      <c r="I52" s="31"/>
      <c r="J52" s="32"/>
      <c r="K52" s="32"/>
      <c r="L52" s="169"/>
      <c r="M52" s="32"/>
      <c r="N52" s="236"/>
      <c r="O52" s="32"/>
      <c r="P52" s="33"/>
      <c r="Q52" s="32"/>
      <c r="R52" s="129"/>
      <c r="S52" s="129"/>
      <c r="T52" s="129"/>
      <c r="U52" s="227"/>
      <c r="V52" s="233"/>
      <c r="W52" s="1059"/>
      <c r="X52" s="1060"/>
      <c r="Y52" s="1060"/>
      <c r="Z52" s="1060"/>
      <c r="AA52" s="1060"/>
      <c r="AB52" s="1060"/>
      <c r="AC52" s="1061"/>
    </row>
    <row r="53" spans="1:29" s="19" customFormat="1" ht="20.25" hidden="1" x14ac:dyDescent="0.2">
      <c r="B53" s="168"/>
      <c r="C53" s="26"/>
      <c r="D53" s="27"/>
      <c r="E53" s="28"/>
      <c r="F53" s="29"/>
      <c r="G53" s="30"/>
      <c r="H53" s="29"/>
      <c r="I53" s="31"/>
      <c r="J53" s="32"/>
      <c r="K53" s="32"/>
      <c r="L53" s="169"/>
      <c r="M53" s="32"/>
      <c r="N53" s="236"/>
      <c r="O53" s="32"/>
      <c r="P53" s="33"/>
      <c r="Q53" s="32"/>
      <c r="R53" s="129"/>
      <c r="S53" s="129"/>
      <c r="T53" s="129"/>
      <c r="U53" s="227"/>
      <c r="V53" s="233"/>
      <c r="W53" s="1059"/>
      <c r="X53" s="1060"/>
      <c r="Y53" s="1060"/>
      <c r="Z53" s="1060"/>
      <c r="AA53" s="1060"/>
      <c r="AB53" s="1060"/>
      <c r="AC53" s="1061"/>
    </row>
    <row r="54" spans="1:29" s="19" customFormat="1" ht="20.25" hidden="1" x14ac:dyDescent="0.2">
      <c r="B54" s="168"/>
      <c r="C54" s="26"/>
      <c r="D54" s="27"/>
      <c r="E54" s="28"/>
      <c r="F54" s="29"/>
      <c r="G54" s="30"/>
      <c r="H54" s="29"/>
      <c r="I54" s="31"/>
      <c r="J54" s="32"/>
      <c r="K54" s="32"/>
      <c r="L54" s="169"/>
      <c r="M54" s="32"/>
      <c r="N54" s="236"/>
      <c r="O54" s="32"/>
      <c r="P54" s="33"/>
      <c r="Q54" s="32"/>
      <c r="R54" s="129"/>
      <c r="S54" s="129"/>
      <c r="T54" s="129"/>
      <c r="U54" s="227"/>
      <c r="V54" s="233"/>
      <c r="W54" s="1059"/>
      <c r="X54" s="1060"/>
      <c r="Y54" s="1060"/>
      <c r="Z54" s="1060"/>
      <c r="AA54" s="1060"/>
      <c r="AB54" s="1060"/>
      <c r="AC54" s="1061"/>
    </row>
    <row r="55" spans="1:29" s="19" customFormat="1" ht="20.25" hidden="1" x14ac:dyDescent="0.2">
      <c r="B55" s="168"/>
      <c r="C55" s="26"/>
      <c r="D55" s="27"/>
      <c r="E55" s="28"/>
      <c r="F55" s="29"/>
      <c r="G55" s="30"/>
      <c r="H55" s="29"/>
      <c r="I55" s="31"/>
      <c r="J55" s="32"/>
      <c r="K55" s="32"/>
      <c r="L55" s="169"/>
      <c r="M55" s="32"/>
      <c r="N55" s="236"/>
      <c r="O55" s="32"/>
      <c r="P55" s="33"/>
      <c r="Q55" s="32"/>
      <c r="R55" s="129"/>
      <c r="S55" s="129"/>
      <c r="T55" s="129"/>
      <c r="U55" s="227"/>
      <c r="V55" s="233"/>
      <c r="W55" s="1059"/>
      <c r="X55" s="1060"/>
      <c r="Y55" s="1060"/>
      <c r="Z55" s="1060"/>
      <c r="AA55" s="1060"/>
      <c r="AB55" s="1060"/>
      <c r="AC55" s="1061"/>
    </row>
    <row r="56" spans="1:29" s="19" customFormat="1" ht="20.25" hidden="1" x14ac:dyDescent="0.2">
      <c r="B56" s="168"/>
      <c r="C56" s="26"/>
      <c r="D56" s="27"/>
      <c r="E56" s="28"/>
      <c r="F56" s="29"/>
      <c r="G56" s="30"/>
      <c r="H56" s="29"/>
      <c r="I56" s="31"/>
      <c r="J56" s="32"/>
      <c r="K56" s="32"/>
      <c r="L56" s="169"/>
      <c r="M56" s="32"/>
      <c r="N56" s="236"/>
      <c r="O56" s="32"/>
      <c r="P56" s="33"/>
      <c r="Q56" s="32"/>
      <c r="R56" s="129"/>
      <c r="S56" s="129"/>
      <c r="T56" s="129"/>
      <c r="U56" s="227"/>
      <c r="V56" s="233"/>
      <c r="W56" s="1059"/>
      <c r="X56" s="1060"/>
      <c r="Y56" s="1060"/>
      <c r="Z56" s="1060"/>
      <c r="AA56" s="1060"/>
      <c r="AB56" s="1060"/>
      <c r="AC56" s="1061"/>
    </row>
    <row r="57" spans="1:29" s="19" customFormat="1" ht="21" hidden="1" thickBot="1" x14ac:dyDescent="0.25">
      <c r="B57" s="168"/>
      <c r="C57" s="26"/>
      <c r="D57" s="27"/>
      <c r="E57" s="28"/>
      <c r="F57" s="29"/>
      <c r="G57" s="30"/>
      <c r="H57" s="29"/>
      <c r="I57" s="31"/>
      <c r="J57" s="32"/>
      <c r="K57" s="32"/>
      <c r="L57" s="169"/>
      <c r="M57" s="32"/>
      <c r="N57" s="236"/>
      <c r="O57" s="32"/>
      <c r="P57" s="33"/>
      <c r="Q57" s="32"/>
      <c r="R57" s="129"/>
      <c r="S57" s="129"/>
      <c r="T57" s="129"/>
      <c r="U57" s="227"/>
      <c r="V57" s="233"/>
      <c r="W57" s="1059"/>
      <c r="X57" s="1060"/>
      <c r="Y57" s="1060"/>
      <c r="Z57" s="1060"/>
      <c r="AA57" s="1060"/>
      <c r="AB57" s="1060"/>
      <c r="AC57" s="1061"/>
    </row>
    <row r="58" spans="1:29" s="19" customFormat="1" ht="42" customHeight="1" thickBot="1" x14ac:dyDescent="0.25">
      <c r="B58" s="240" t="s">
        <v>3</v>
      </c>
      <c r="C58" s="241"/>
      <c r="D58" s="242">
        <f>SUM(D4:D56)</f>
        <v>70545</v>
      </c>
      <c r="E58" s="243">
        <f>AVERAGE(E4:E56)</f>
        <v>0.38422619047619044</v>
      </c>
      <c r="F58" s="244">
        <f>SUM(F4:F57)</f>
        <v>4245.8907200000003</v>
      </c>
      <c r="G58" s="242">
        <f>SUM(G4:G56)</f>
        <v>62871</v>
      </c>
      <c r="H58" s="244">
        <f>SUM(H4:H57)</f>
        <v>4213.2172</v>
      </c>
      <c r="I58" s="245">
        <f>SUM(I4:I56)</f>
        <v>336.5</v>
      </c>
      <c r="J58" s="245">
        <f>G58/(K58/60)</f>
        <v>395.9130982367758</v>
      </c>
      <c r="K58" s="242">
        <f>SUM(K4:K56)</f>
        <v>9528</v>
      </c>
      <c r="L58" s="246">
        <f>AVERAGE(L4:L57)</f>
        <v>0.8478174603174603</v>
      </c>
      <c r="M58" s="242">
        <f>SUM(M4:M56)</f>
        <v>2940</v>
      </c>
      <c r="N58" s="242">
        <f>[4]Sep!$I$54</f>
        <v>191</v>
      </c>
      <c r="O58" s="245">
        <f>SUM(O4:O57)</f>
        <v>42</v>
      </c>
      <c r="P58" s="292">
        <f>(F58-H58)/F58</f>
        <v>7.6953275895900305E-3</v>
      </c>
      <c r="Q58" s="249">
        <f>SUM(Q4:Q56)</f>
        <v>0</v>
      </c>
      <c r="R58" s="292">
        <f>((R4*($G$4))+(R5*($G$5))+(R6*($G$6+$G$7))+(R8*($G$8))+(R9*($G$9+$G$10))+(R11*($G$11))+(R12*($G$12))+(R13*($G$13+$G$14))+(R15*($G$15+$G$16))+(R17*($G$17))+(R18*($G$18))+(R19*($G$19+$G$20))+(R21*($G$21)))/($G$58)</f>
        <v>0.63398626264956104</v>
      </c>
      <c r="S58" s="292">
        <f>((S4*($G$4))+(S5*($G$5))+(S6*($G$6+$G$7))+(S8*($G$8))+(S9*($G$9+$G$10))+(S11*($G$11))+(S12*($G$12))+(S13*($G$13+$G$14))+(S15*($G$15+$G$16))+(S17*($G$17))+(S18*($G$18))+(S19*($G$19+$G$20))+(S21*($G$21)))/($G$58)</f>
        <v>0.55939964351431848</v>
      </c>
      <c r="T58" s="251">
        <f>(G58)*24/((K58)/60)/$AD$3</f>
        <v>0.63346095717884132</v>
      </c>
      <c r="U58" s="251">
        <f>(G58)*24/((K58)/60)/$AE$3</f>
        <v>0.55893613868721292</v>
      </c>
      <c r="V58" s="252">
        <f>(10152-(M58-[4]Sep!$H$54-[4]Sep!$I$54-[4]Sep!$J$54-[4]Sep!$Z$54-[4]Sep!$AA$54))/10152</f>
        <v>0.75492513790386129</v>
      </c>
      <c r="W58" s="1059"/>
      <c r="X58" s="1060"/>
      <c r="Y58" s="1060"/>
      <c r="Z58" s="1060"/>
      <c r="AA58" s="1060"/>
      <c r="AB58" s="1060"/>
      <c r="AC58" s="1061"/>
    </row>
    <row r="59" spans="1:29" s="271" customFormat="1" ht="49.5" hidden="1" customHeight="1" thickTop="1" x14ac:dyDescent="0.3">
      <c r="A59" s="274"/>
      <c r="B59" s="260" t="s">
        <v>474</v>
      </c>
      <c r="C59" s="260"/>
      <c r="D59" s="261"/>
      <c r="E59" s="262"/>
      <c r="F59" s="263"/>
      <c r="G59" s="261"/>
      <c r="H59" s="263"/>
      <c r="I59" s="273"/>
      <c r="J59" s="273">
        <v>524</v>
      </c>
      <c r="K59" s="261"/>
      <c r="L59" s="265"/>
      <c r="M59" s="261"/>
      <c r="N59" s="266"/>
      <c r="O59" s="264"/>
      <c r="P59" s="267">
        <v>1.0999999999999999E-2</v>
      </c>
      <c r="Q59" s="268"/>
      <c r="R59" s="268"/>
      <c r="S59" s="268">
        <v>0.6</v>
      </c>
      <c r="T59" s="268"/>
      <c r="U59" s="268">
        <v>0.74</v>
      </c>
      <c r="V59" s="269">
        <v>0.95</v>
      </c>
      <c r="W59" s="270"/>
      <c r="X59" s="270"/>
      <c r="Y59" s="270"/>
      <c r="Z59" s="270"/>
      <c r="AA59" s="270"/>
      <c r="AB59" s="270"/>
      <c r="AC59" s="270"/>
    </row>
    <row r="60" spans="1:29" ht="24.75" customHeight="1" thickTop="1" x14ac:dyDescent="0.25">
      <c r="B60" s="11"/>
      <c r="C60" s="150" t="s">
        <v>35</v>
      </c>
      <c r="D60" s="210">
        <v>53550</v>
      </c>
      <c r="E60" s="1081" t="s">
        <v>692</v>
      </c>
      <c r="F60" s="1081"/>
      <c r="G60" s="210">
        <f>D60-G58</f>
        <v>-9321</v>
      </c>
      <c r="H60" s="150" t="s">
        <v>327</v>
      </c>
      <c r="I60" s="272">
        <f>G58/D60</f>
        <v>1.1740616246498599</v>
      </c>
      <c r="J60" s="152">
        <v>0</v>
      </c>
      <c r="K60" s="12"/>
      <c r="L60" s="12"/>
      <c r="M60" s="12"/>
      <c r="N60" s="12"/>
      <c r="O60" s="13"/>
      <c r="P60" s="14"/>
      <c r="Q60" s="12"/>
      <c r="R60" s="15"/>
      <c r="S60" s="16"/>
      <c r="T60" s="15"/>
      <c r="U60" s="15"/>
      <c r="V60" s="15"/>
      <c r="W60" s="17" t="s">
        <v>48</v>
      </c>
    </row>
    <row r="61" spans="1:29" ht="20.25" customHeight="1" x14ac:dyDescent="0.25">
      <c r="B61" s="11"/>
      <c r="C61" s="150" t="s">
        <v>37</v>
      </c>
      <c r="D61" s="210">
        <f>'Aug_17 '!D61+Sep_17!D60</f>
        <v>740580</v>
      </c>
      <c r="E61" s="1081" t="s">
        <v>36</v>
      </c>
      <c r="F61" s="1081"/>
      <c r="G61" s="210">
        <f>'Aug_17 '!G61+Sep_17!G58</f>
        <v>764111</v>
      </c>
      <c r="H61" s="150" t="s">
        <v>326</v>
      </c>
      <c r="I61" s="212">
        <v>0</v>
      </c>
      <c r="J61" s="152"/>
      <c r="K61" s="12">
        <v>0</v>
      </c>
      <c r="L61" s="12"/>
      <c r="M61" s="12"/>
      <c r="N61" s="12"/>
      <c r="O61" s="13"/>
      <c r="P61" s="14"/>
      <c r="Q61" s="12"/>
      <c r="R61" s="15"/>
      <c r="S61" s="16"/>
      <c r="T61" s="15"/>
      <c r="U61" s="15"/>
      <c r="V61" s="15"/>
      <c r="W61" s="17"/>
    </row>
    <row r="62" spans="1:29" ht="6.75" customHeight="1" thickBot="1" x14ac:dyDescent="0.3">
      <c r="C62" s="23"/>
      <c r="D62" s="42"/>
      <c r="E62" s="1082"/>
      <c r="F62" s="1082"/>
      <c r="G62" s="42"/>
      <c r="H62" s="44"/>
      <c r="I62" s="44"/>
      <c r="J62" s="149"/>
      <c r="O62"/>
      <c r="R62" s="10"/>
      <c r="W62" s="17"/>
    </row>
    <row r="63" spans="1:29" ht="57" customHeight="1" thickTop="1" thickBot="1" x14ac:dyDescent="0.25">
      <c r="B63" s="7"/>
      <c r="C63" s="206" t="s">
        <v>19</v>
      </c>
      <c r="D63" s="207" t="s">
        <v>14</v>
      </c>
      <c r="E63" s="207" t="s">
        <v>23</v>
      </c>
      <c r="F63" s="207" t="s">
        <v>24</v>
      </c>
      <c r="G63" s="208" t="s">
        <v>15</v>
      </c>
      <c r="H63" s="207" t="s">
        <v>17</v>
      </c>
      <c r="I63" s="207" t="s">
        <v>16</v>
      </c>
      <c r="J63" s="209" t="s">
        <v>600</v>
      </c>
      <c r="K63" s="305" t="s">
        <v>599</v>
      </c>
      <c r="O63"/>
      <c r="P63" s="141" t="s">
        <v>325</v>
      </c>
      <c r="Q63" s="90" t="s">
        <v>320</v>
      </c>
      <c r="R63" s="90" t="s">
        <v>466</v>
      </c>
      <c r="S63" s="90" t="s">
        <v>467</v>
      </c>
      <c r="T63" s="90" t="s">
        <v>323</v>
      </c>
      <c r="U63" s="143" t="s">
        <v>324</v>
      </c>
      <c r="V63" s="300" t="s">
        <v>576</v>
      </c>
      <c r="X63" s="165" t="s">
        <v>375</v>
      </c>
      <c r="Y63" s="166" t="s">
        <v>376</v>
      </c>
      <c r="Z63" s="166" t="s">
        <v>377</v>
      </c>
      <c r="AA63" s="167" t="s">
        <v>378</v>
      </c>
    </row>
    <row r="64" spans="1:29" ht="21" thickBot="1" x14ac:dyDescent="0.35">
      <c r="B64" s="8"/>
      <c r="C64" s="201">
        <v>1</v>
      </c>
      <c r="D64" s="202" t="s">
        <v>20</v>
      </c>
      <c r="E64" s="182">
        <f>SUM(G5,G6,G7,G9,G11,G14,G15:G16,G17,G18,G19:G20)</f>
        <v>42689</v>
      </c>
      <c r="F64" s="183">
        <f>SUM(K5,K6,K9,K11,K13,K15,K17,K18,K19)</f>
        <v>6191</v>
      </c>
      <c r="G64" s="184">
        <f>SUM(F5,F6,F7,F9,F11,F14,F15:F16,F17,F18,F19)</f>
        <v>2864.4</v>
      </c>
      <c r="H64" s="184">
        <f>SUM(H5,H6,H7,H9,H11,H14,H15:H16,H17,H18,H19)</f>
        <v>2845.9740000000006</v>
      </c>
      <c r="I64" s="97">
        <f t="shared" ref="I64:I69" si="0">(G64-H64)/G64</f>
        <v>6.4327607875993139E-3</v>
      </c>
      <c r="J64" s="191">
        <f>(E64+G10+G14)*24/(F64/60)/17000</f>
        <v>0.66596254525069598</v>
      </c>
      <c r="K64" s="307">
        <f>AVERAGE(January_17!J65,February_17!J65,March_17!J66,April_17!J66,May_17!J66,'June_17 '!J66,July_17!J64,'Aug_17 '!J64,Sep_17!J64)</f>
        <v>0.66189074778756007</v>
      </c>
      <c r="O64"/>
      <c r="P64" s="253">
        <f>T81</f>
        <v>8.5270588924062397E-3</v>
      </c>
      <c r="Q64" s="254"/>
      <c r="R64" s="255">
        <f>((January_17!Q$60*January_17!$G$60)+(February_17!R$60*February_17!$G$60)+(March_17!R$60*March_17!$G$60)+(April_17!R$60*April_17!$G$60)+(May_17!S$60*May_17!$G$60)+('June_17 '!S$60*'June_17 '!G$60)+(July_17!$S$58*July_17!$G$58)+('Aug_17 '!$S$58*'Aug_17 '!$G$58)+(R$58*$G$58))/($G$61)</f>
        <v>0.7284244850619439</v>
      </c>
      <c r="S64" s="255">
        <f>((January_17!$R$60*January_17!$G$60)+(February_17!$S$60*February_17!$G$60)+(March_17!$S$60*March_17!$G$60)+(April_17!$S$60*April_17!$G$60)+(May_17!T60*May_17!$G$60)+('June_17 '!$T$60*'June_17 '!$G$60)+(July_17!$T$58*July_17!$G$58)+('Aug_17 '!$T$58*'Aug_17 '!$G$58)+($S$58*$G$58))/($G$61)</f>
        <v>0.64351502253849513</v>
      </c>
      <c r="T64" s="254">
        <f>T80</f>
        <v>0.69765234675923726</v>
      </c>
      <c r="U64" s="257">
        <f>U80</f>
        <v>0.61557560008167989</v>
      </c>
      <c r="V64" s="301">
        <f>AVERAGE(January_17!U60,February_17!W60,March_17!W60,April_17!W60,May_17!X60,'June_17 '!X60,July_17!W58,'Aug_17 '!W58,Sep_17!V58)</f>
        <v>0.82500267591640275</v>
      </c>
      <c r="X64" s="176" t="s">
        <v>370</v>
      </c>
      <c r="Y64" s="178"/>
      <c r="Z64" s="178">
        <f>[5]September_2017!F85</f>
        <v>6.2892163185408301E-2</v>
      </c>
      <c r="AA64" s="179">
        <f>[5]YearToDate!F5</f>
        <v>5.7508070397275124E-2</v>
      </c>
    </row>
    <row r="65" spans="2:28" s="1" customFormat="1" ht="18.75" thickTop="1" x14ac:dyDescent="0.25">
      <c r="B65" s="8"/>
      <c r="C65" s="203">
        <v>2</v>
      </c>
      <c r="D65" s="204" t="s">
        <v>21</v>
      </c>
      <c r="E65" s="182">
        <f>SUM(G4,G12,G13,G21)</f>
        <v>12599</v>
      </c>
      <c r="F65" s="183">
        <f>SUM(K4,K12,K13,K21)</f>
        <v>3116</v>
      </c>
      <c r="G65" s="184">
        <f>SUM(F4,F12,F13,F21)</f>
        <v>835.8</v>
      </c>
      <c r="H65" s="184">
        <f>SUM(H4,H12,H13,H21)</f>
        <v>831.53400000000011</v>
      </c>
      <c r="I65" s="97">
        <f t="shared" si="0"/>
        <v>5.1040918880113058E-3</v>
      </c>
      <c r="J65" s="191">
        <f>(E65+G14)*24/(F65/60)/17000</f>
        <v>0.49021218757079216</v>
      </c>
      <c r="K65" s="307">
        <f>AVERAGE(January_17!J66,February_17!J66,March_17!J67,April_17!J67,May_17!J67,'June_17 '!J67,July_17!J65,'Aug_17 '!J65,Sep_17!J65)</f>
        <v>0.61325683212196758</v>
      </c>
      <c r="L65"/>
      <c r="M65"/>
      <c r="N65" s="392"/>
      <c r="O65" s="2"/>
      <c r="S65"/>
      <c r="T65"/>
      <c r="U65"/>
      <c r="W65"/>
      <c r="X65" s="213" t="s">
        <v>371</v>
      </c>
      <c r="Y65" s="384"/>
      <c r="Z65" s="289">
        <f>[5]September_2017!F86</f>
        <v>4.1208791208791208E-2</v>
      </c>
      <c r="AA65" s="214">
        <f>[5]YearToDate!F6</f>
        <v>7.4495145412179109E-2</v>
      </c>
      <c r="AB65"/>
    </row>
    <row r="66" spans="2:28" s="1" customFormat="1" ht="18" x14ac:dyDescent="0.25">
      <c r="B66" s="8"/>
      <c r="C66" s="201">
        <v>3</v>
      </c>
      <c r="D66" s="204" t="s">
        <v>124</v>
      </c>
      <c r="E66" s="182">
        <f>SUM(G10)</f>
        <v>551</v>
      </c>
      <c r="F66" s="183">
        <f>SUM(K9)</f>
        <v>944</v>
      </c>
      <c r="G66" s="184">
        <f>SUM(F10)</f>
        <v>39.700000000000003</v>
      </c>
      <c r="H66" s="184">
        <f>SUM(H10)</f>
        <v>38.265999999999998</v>
      </c>
      <c r="I66" s="97">
        <f t="shared" si="0"/>
        <v>3.6120906801007671E-2</v>
      </c>
      <c r="J66" s="191">
        <f>(E66+G9)*24/(F66/60)/17000</f>
        <v>0.54287138584247263</v>
      </c>
      <c r="K66" s="307">
        <f>AVERAGE(January_17!J67,February_17!J67,March_17!J68,April_17!J68,May_17!J68,'June_17 '!J68,July_17!J66,'Aug_17 '!J66,Sep_17!J66)</f>
        <v>0.54287138584247263</v>
      </c>
      <c r="L66"/>
      <c r="M66"/>
      <c r="N66" s="392"/>
      <c r="O66" s="2"/>
      <c r="S66"/>
      <c r="T66"/>
      <c r="U66"/>
      <c r="W66"/>
      <c r="X66" s="177" t="s">
        <v>372</v>
      </c>
      <c r="Y66" s="217"/>
      <c r="Z66" s="180">
        <f>[5]September_2017!F87</f>
        <v>5.2596348713808791E-2</v>
      </c>
      <c r="AA66" s="181">
        <f>[5]YearToDate!F7</f>
        <v>5.2359214885581859E-2</v>
      </c>
      <c r="AB66"/>
    </row>
    <row r="67" spans="2:28" s="1" customFormat="1" ht="18" x14ac:dyDescent="0.25">
      <c r="B67" s="8"/>
      <c r="C67" s="203">
        <v>4</v>
      </c>
      <c r="D67" s="204" t="s">
        <v>18</v>
      </c>
      <c r="E67" s="182">
        <f>SUM(G8)</f>
        <v>3968</v>
      </c>
      <c r="F67" s="183">
        <f>SUM(K8)</f>
        <v>603</v>
      </c>
      <c r="G67" s="182">
        <f>SUM(F8)</f>
        <v>297.7</v>
      </c>
      <c r="H67" s="182">
        <f>SUM(H8)</f>
        <v>295.2192</v>
      </c>
      <c r="I67" s="97">
        <f t="shared" si="0"/>
        <v>8.3332213637890094E-3</v>
      </c>
      <c r="J67" s="191">
        <f>(E67)*24/(F67/60)/17000</f>
        <v>0.55740122914837575</v>
      </c>
      <c r="K67" s="307">
        <f>AVERAGE(January_17!J68,February_17!J68,March_17!J69,April_17!J69,May_17!J69,'June_17 '!J69,July_17!J67,'Aug_17 '!J67,Sep_17!J67)</f>
        <v>0.6320490137904573</v>
      </c>
      <c r="L67"/>
      <c r="M67"/>
      <c r="N67" s="392"/>
      <c r="O67" s="2"/>
      <c r="P67" s="159"/>
      <c r="Q67" s="159"/>
      <c r="R67" s="159"/>
      <c r="S67" s="160"/>
      <c r="T67" s="160"/>
      <c r="U67" s="161"/>
      <c r="V67" s="234"/>
      <c r="W67"/>
      <c r="X67" s="213" t="s">
        <v>373</v>
      </c>
      <c r="Y67" s="384"/>
      <c r="Z67" s="289">
        <f>[5]September_2017!F88</f>
        <v>3.4671485569200473E-2</v>
      </c>
      <c r="AA67" s="214">
        <f>[5]YearToDate!F8</f>
        <v>5.4903170815414681E-2</v>
      </c>
    </row>
    <row r="68" spans="2:28" s="1" customFormat="1" ht="18" x14ac:dyDescent="0.25">
      <c r="B68" s="8"/>
      <c r="C68" s="201">
        <v>5</v>
      </c>
      <c r="D68" s="205" t="s">
        <v>26</v>
      </c>
      <c r="E68" s="192"/>
      <c r="F68" s="193"/>
      <c r="G68" s="194"/>
      <c r="H68" s="194"/>
      <c r="I68" s="396" t="e">
        <f t="shared" si="0"/>
        <v>#DIV/0!</v>
      </c>
      <c r="J68" s="397"/>
      <c r="K68" s="310">
        <f>AVERAGE(January_17!J69,February_17!J69,March_17!J70,April_17!J70,May_17!J70,'June_17 '!J70,July_17!J68,'Aug_17 '!J68,Sep_17!J68)</f>
        <v>0.62142330455465367</v>
      </c>
      <c r="L68"/>
      <c r="M68"/>
      <c r="N68" s="392"/>
      <c r="O68" s="2"/>
      <c r="P68" s="159"/>
      <c r="R68" s="8"/>
      <c r="S68"/>
      <c r="T68"/>
      <c r="U68" s="6"/>
      <c r="V68" s="10"/>
      <c r="W68"/>
      <c r="X68" s="177" t="s">
        <v>374</v>
      </c>
      <c r="Y68" s="217"/>
      <c r="Z68" s="180">
        <f>[5]September_2017!F89</f>
        <v>7.8428761651131829E-2</v>
      </c>
      <c r="AA68" s="181">
        <f>[5]YearToDate!F9</f>
        <v>7.6171674114030377E-2</v>
      </c>
    </row>
    <row r="69" spans="2:28" s="1" customFormat="1" ht="18.75" thickBot="1" x14ac:dyDescent="0.3">
      <c r="B69" s="8"/>
      <c r="C69" s="203">
        <v>6</v>
      </c>
      <c r="D69" s="205" t="s">
        <v>25</v>
      </c>
      <c r="E69" s="192">
        <f>SUM(G22:G24)</f>
        <v>3064</v>
      </c>
      <c r="F69" s="193">
        <f>SUM(K22)</f>
        <v>565</v>
      </c>
      <c r="G69" s="194">
        <f>SUM(F22:F24)</f>
        <v>208.29072000000002</v>
      </c>
      <c r="H69" s="194">
        <f>SUM(H22:H24)</f>
        <v>202.22399999999999</v>
      </c>
      <c r="I69" s="97">
        <f t="shared" si="0"/>
        <v>2.912621359223316E-2</v>
      </c>
      <c r="J69" s="186">
        <f>(E69)*24/(F69/60)/17000</f>
        <v>0.45936074960957834</v>
      </c>
      <c r="K69" s="307">
        <f>AVERAGE(January_17!J70,February_17!J70,March_17!J71,April_17!J71,May_17!J71,'June_17 '!J71,July_17!J69,'Aug_17 '!J69,Sep_17!J69)</f>
        <v>0.51238946958367659</v>
      </c>
      <c r="L69"/>
      <c r="M69"/>
      <c r="N69" s="392"/>
      <c r="O69" s="2"/>
      <c r="P69" s="159"/>
      <c r="S69"/>
      <c r="T69"/>
      <c r="U69"/>
      <c r="W69"/>
      <c r="X69" s="218" t="s">
        <v>25</v>
      </c>
      <c r="Y69" s="219">
        <f>SUM([5]September_2017!$F$22)</f>
        <v>5.7667685052546179E-2</v>
      </c>
      <c r="Z69" s="215">
        <f>[5]September_2017!F90</f>
        <v>5.7667685052546179E-2</v>
      </c>
      <c r="AA69" s="220">
        <f>[5]YearToDate!F10</f>
        <v>4.5790074270967041E-2</v>
      </c>
    </row>
    <row r="70" spans="2:28" s="1" customFormat="1" ht="19.5" thickTop="1" thickBot="1" x14ac:dyDescent="0.3">
      <c r="C70" s="112"/>
      <c r="D70" s="195" t="s">
        <v>22</v>
      </c>
      <c r="E70" s="196">
        <f>SUM(E64:E69)</f>
        <v>62871</v>
      </c>
      <c r="F70" s="197">
        <f>K58</f>
        <v>9528</v>
      </c>
      <c r="G70" s="198">
        <f>SUM(G64:G69)</f>
        <v>4245.8907199999994</v>
      </c>
      <c r="H70" s="198">
        <f>SUM(H64:H69)</f>
        <v>4213.217200000001</v>
      </c>
      <c r="I70" s="199">
        <f>((G70)-(H70))/(G70)</f>
        <v>7.6953275895896038E-3</v>
      </c>
      <c r="J70" s="200">
        <f>E70*24/((F70)/60)/17000</f>
        <v>0.55893613868721292</v>
      </c>
      <c r="K70" s="308">
        <f>U64</f>
        <v>0.61557560008167989</v>
      </c>
      <c r="L70"/>
      <c r="M70"/>
      <c r="N70" s="392"/>
      <c r="O70" s="139"/>
      <c r="P70" s="159"/>
      <c r="S70"/>
      <c r="T70"/>
      <c r="U70"/>
      <c r="W70"/>
      <c r="X70" s="221" t="s">
        <v>379</v>
      </c>
      <c r="Y70" s="222">
        <f>AVERAGE(Y64:Y69)</f>
        <v>5.7667685052546179E-2</v>
      </c>
      <c r="Z70" s="222">
        <f>[5]September_2017!$F$92</f>
        <v>5.6074338490936598E-2</v>
      </c>
      <c r="AA70" s="223">
        <f>[5]YearToDate!$F$12</f>
        <v>5.7449685942507892E-2</v>
      </c>
    </row>
    <row r="71" spans="2:28" s="1" customFormat="1" ht="18.75" thickTop="1" x14ac:dyDescent="0.25">
      <c r="C71" s="311"/>
      <c r="D71" s="153"/>
      <c r="E71" s="312"/>
      <c r="F71" s="313"/>
      <c r="G71" s="314"/>
      <c r="H71" s="314"/>
      <c r="I71" s="315"/>
      <c r="J71" s="315"/>
      <c r="K71" s="315"/>
      <c r="L71"/>
      <c r="M71"/>
      <c r="N71" s="392"/>
      <c r="O71" s="139"/>
      <c r="P71" s="159"/>
      <c r="S71"/>
      <c r="T71"/>
      <c r="U71"/>
      <c r="W71"/>
      <c r="X71" s="316"/>
      <c r="Y71" s="317"/>
      <c r="Z71" s="317"/>
      <c r="AA71" s="317"/>
    </row>
    <row r="72" spans="2:28" s="1" customFormat="1" ht="18" x14ac:dyDescent="0.25">
      <c r="C72" s="311"/>
      <c r="D72" s="153"/>
      <c r="E72" s="312"/>
      <c r="F72" s="313"/>
      <c r="G72" s="314"/>
      <c r="H72" s="314"/>
      <c r="I72" s="315"/>
      <c r="J72" s="315"/>
      <c r="K72" s="315"/>
      <c r="L72"/>
      <c r="M72"/>
      <c r="N72" s="392"/>
      <c r="O72" s="139"/>
      <c r="P72" s="159"/>
      <c r="S72"/>
      <c r="T72"/>
      <c r="U72"/>
      <c r="W72"/>
      <c r="X72" s="316"/>
      <c r="Y72" s="317"/>
      <c r="Z72" s="317"/>
      <c r="AA72" s="317"/>
    </row>
    <row r="73" spans="2:28" s="1" customFormat="1" ht="27" customHeight="1" thickBot="1" x14ac:dyDescent="0.4">
      <c r="C73" s="311"/>
      <c r="D73" s="1125" t="s">
        <v>618</v>
      </c>
      <c r="E73" s="1125"/>
      <c r="F73" s="1125"/>
      <c r="G73" s="1125"/>
      <c r="H73" s="1125"/>
      <c r="I73" s="1125"/>
      <c r="J73" s="1125"/>
      <c r="K73" s="1125"/>
      <c r="L73" s="1125"/>
      <c r="M73" s="1125"/>
      <c r="N73" s="1125"/>
      <c r="O73" s="1125"/>
      <c r="P73" s="1125"/>
      <c r="S73"/>
      <c r="T73"/>
      <c r="U73"/>
      <c r="W73"/>
      <c r="X73" s="316"/>
      <c r="Y73" s="317"/>
      <c r="Z73" s="317"/>
      <c r="AA73" s="317"/>
    </row>
    <row r="74" spans="2:28" s="1" customFormat="1" ht="24" thickBot="1" x14ac:dyDescent="0.4">
      <c r="C74" s="322"/>
      <c r="D74" s="332" t="s">
        <v>605</v>
      </c>
      <c r="E74" s="333" t="s">
        <v>606</v>
      </c>
      <c r="F74" s="334" t="s">
        <v>607</v>
      </c>
      <c r="G74" s="333" t="s">
        <v>608</v>
      </c>
      <c r="H74" s="334" t="s">
        <v>609</v>
      </c>
      <c r="I74" s="333" t="s">
        <v>610</v>
      </c>
      <c r="J74" s="334" t="s">
        <v>611</v>
      </c>
      <c r="K74" s="333" t="s">
        <v>612</v>
      </c>
      <c r="L74" s="333" t="s">
        <v>613</v>
      </c>
      <c r="M74" s="333" t="s">
        <v>614</v>
      </c>
      <c r="N74" s="334" t="s">
        <v>615</v>
      </c>
      <c r="O74" s="335" t="s">
        <v>616</v>
      </c>
      <c r="P74" s="329" t="s">
        <v>617</v>
      </c>
      <c r="S74"/>
      <c r="T74"/>
      <c r="U74"/>
      <c r="W74"/>
    </row>
    <row r="75" spans="2:28" s="1" customFormat="1" ht="23.25" x14ac:dyDescent="0.35">
      <c r="C75" s="330">
        <v>2016</v>
      </c>
      <c r="D75" s="324">
        <f>[6]Jan!$I$57</f>
        <v>7</v>
      </c>
      <c r="E75" s="325">
        <f>[6]Feb!$I$57</f>
        <v>9</v>
      </c>
      <c r="F75" s="326">
        <f>[6]Mar!$I$57</f>
        <v>8</v>
      </c>
      <c r="G75" s="325">
        <f>[6]Apr!$I$57</f>
        <v>12</v>
      </c>
      <c r="H75" s="326">
        <f>[6]May!$I$57</f>
        <v>11</v>
      </c>
      <c r="I75" s="325">
        <f>[6]Jun!$I$57</f>
        <v>10</v>
      </c>
      <c r="J75" s="326">
        <f>[6]Jul!$I$57</f>
        <v>12</v>
      </c>
      <c r="K75" s="325">
        <f>[6]Aug!$I$57</f>
        <v>9</v>
      </c>
      <c r="L75" s="325">
        <f>[6]Sep!$I$57</f>
        <v>13</v>
      </c>
      <c r="M75" s="325"/>
      <c r="N75" s="326"/>
      <c r="O75" s="327"/>
      <c r="P75" s="328">
        <f>SUM(D75:O75)</f>
        <v>91</v>
      </c>
      <c r="S75"/>
      <c r="T75"/>
      <c r="U75"/>
      <c r="W75"/>
    </row>
    <row r="76" spans="2:28" s="1" customFormat="1" ht="24" thickBot="1" x14ac:dyDescent="0.4">
      <c r="C76" s="331">
        <v>2017</v>
      </c>
      <c r="D76" s="321">
        <f>[4]Jan!$I$57</f>
        <v>13</v>
      </c>
      <c r="E76" s="318">
        <f>[4]Feb!$I$57</f>
        <v>8</v>
      </c>
      <c r="F76" s="318">
        <f>[4]Mar!$I$57</f>
        <v>12</v>
      </c>
      <c r="G76" s="318">
        <f>[4]Apr!$I$57</f>
        <v>5</v>
      </c>
      <c r="H76" s="318">
        <f>[4]May!$I$57</f>
        <v>11</v>
      </c>
      <c r="I76" s="318">
        <f>[4]Jun!$I$57</f>
        <v>13</v>
      </c>
      <c r="J76" s="318">
        <f>[4]Jul!$I$57</f>
        <v>9</v>
      </c>
      <c r="K76" s="318">
        <f>[4]Aug!$I$57</f>
        <v>15</v>
      </c>
      <c r="L76" s="318">
        <f>[4]Sep!$I$57</f>
        <v>8</v>
      </c>
      <c r="M76" s="319"/>
      <c r="N76" s="319"/>
      <c r="O76" s="320"/>
      <c r="P76" s="323">
        <f>SUM(D76:O76)</f>
        <v>94</v>
      </c>
      <c r="S76"/>
      <c r="T76"/>
      <c r="U76"/>
      <c r="W76" s="9"/>
    </row>
    <row r="77" spans="2:28" s="1" customFormat="1" ht="20.25" customHeight="1" x14ac:dyDescent="0.3">
      <c r="C77" s="371" t="s">
        <v>619</v>
      </c>
      <c r="D77" s="372">
        <f>+(D76-D75)/D75</f>
        <v>0.8571428571428571</v>
      </c>
      <c r="E77" s="372">
        <f t="shared" ref="E77:L77" si="1">+(E76-E75)/E75</f>
        <v>-0.1111111111111111</v>
      </c>
      <c r="F77" s="372">
        <f t="shared" si="1"/>
        <v>0.5</v>
      </c>
      <c r="G77" s="372">
        <f t="shared" si="1"/>
        <v>-0.58333333333333337</v>
      </c>
      <c r="H77" s="372">
        <f t="shared" si="1"/>
        <v>0</v>
      </c>
      <c r="I77" s="372">
        <f t="shared" si="1"/>
        <v>0.3</v>
      </c>
      <c r="J77" s="372">
        <f t="shared" si="1"/>
        <v>-0.25</v>
      </c>
      <c r="K77" s="372">
        <f t="shared" si="1"/>
        <v>0.66666666666666663</v>
      </c>
      <c r="L77" s="372">
        <f t="shared" si="1"/>
        <v>-0.38461538461538464</v>
      </c>
      <c r="M77" s="372"/>
      <c r="N77" s="393"/>
      <c r="O77" s="372"/>
      <c r="P77" s="373">
        <f>+(P76-P75)/P75</f>
        <v>3.2967032967032968E-2</v>
      </c>
      <c r="W77" s="9"/>
    </row>
    <row r="78" spans="2:28" s="1" customFormat="1" x14ac:dyDescent="0.2">
      <c r="J78"/>
      <c r="K78"/>
      <c r="L78"/>
      <c r="M78"/>
      <c r="N78" s="392"/>
      <c r="O78" s="2"/>
      <c r="W78" s="9"/>
    </row>
    <row r="79" spans="2:28" s="1" customFormat="1" ht="12.75" customHeight="1" x14ac:dyDescent="0.2">
      <c r="J79"/>
      <c r="K79"/>
      <c r="L79"/>
      <c r="M79"/>
      <c r="N79" s="392"/>
      <c r="O79" s="2"/>
      <c r="S79"/>
      <c r="T79"/>
      <c r="U79"/>
      <c r="W79" s="9"/>
    </row>
    <row r="80" spans="2:28" s="1" customFormat="1" ht="21" hidden="1" customHeight="1" thickBot="1" x14ac:dyDescent="0.25">
      <c r="J80"/>
      <c r="K80"/>
      <c r="L80"/>
      <c r="M80"/>
      <c r="N80" s="392"/>
      <c r="O80" s="2"/>
      <c r="P80" s="3">
        <f>G61</f>
        <v>764111</v>
      </c>
      <c r="R80" s="3">
        <f>SUM(January_17!K60,February_17!K60,March_17!K60:K60,April_17!K60,May_17!K60,'June_17 '!K60,July_17!K58,'Aug_17 '!K58,Sep_17!K58)-249</f>
        <v>105145</v>
      </c>
      <c r="S80"/>
      <c r="T80" s="63">
        <f>(P80)*24/(R80/60)/15000</f>
        <v>0.69765234675923726</v>
      </c>
      <c r="U80" s="128">
        <f>(P80)*24/(R80/60)/17000</f>
        <v>0.61557560008167989</v>
      </c>
      <c r="V80" s="230"/>
      <c r="W80" s="9"/>
    </row>
    <row r="81" spans="3:23" s="1" customFormat="1" ht="21" hidden="1" customHeight="1" thickTop="1" thickBot="1" x14ac:dyDescent="0.35">
      <c r="J81"/>
      <c r="K81"/>
      <c r="L81"/>
      <c r="M81"/>
      <c r="N81" s="392"/>
      <c r="O81" s="2"/>
      <c r="P81" s="140">
        <f>SUM(January_17!F60,February_17!F60,March_17!F60,April_17!F60,May_17!F60,'June_17 '!F60,July_17!F58,'Aug_17 '!F58,Sep_17!F58)</f>
        <v>52203.550549931977</v>
      </c>
      <c r="R81" s="140">
        <f>SUM(January_17!H60,February_17!H60,March_17!H60,April_17!H60,May_17!H60,'June_17 '!H60,July_17!H58,'Aug_17 '!H58,Sep_17!H58)</f>
        <v>51758.407800000001</v>
      </c>
      <c r="S81"/>
      <c r="T81" s="87">
        <f>(P81-R81)/P81</f>
        <v>8.5270588924062397E-3</v>
      </c>
      <c r="U81"/>
      <c r="W81" s="9"/>
    </row>
    <row r="82" spans="3:23" s="1" customFormat="1" x14ac:dyDescent="0.2">
      <c r="J82"/>
      <c r="K82"/>
      <c r="L82"/>
      <c r="M82"/>
      <c r="N82" s="392"/>
      <c r="O82" s="2"/>
      <c r="S82"/>
      <c r="T82"/>
      <c r="U82"/>
      <c r="W82" s="9"/>
    </row>
    <row r="83" spans="3:23" s="1" customFormat="1" ht="20.25" customHeight="1" x14ac:dyDescent="0.2">
      <c r="C83" s="1109" t="s">
        <v>620</v>
      </c>
      <c r="D83" s="1109"/>
      <c r="E83" s="1109"/>
      <c r="F83" s="1109"/>
      <c r="G83" s="1109"/>
      <c r="H83" s="1109"/>
      <c r="I83" s="1109"/>
      <c r="J83" s="1109"/>
      <c r="K83" s="1109"/>
      <c r="L83" s="1109"/>
      <c r="M83" s="1109"/>
      <c r="N83" s="1109"/>
      <c r="O83" s="1109"/>
      <c r="P83" s="1109"/>
      <c r="Q83"/>
      <c r="S83"/>
      <c r="T83"/>
      <c r="U83"/>
      <c r="W83" s="9"/>
    </row>
    <row r="84" spans="3:23" s="1" customFormat="1" ht="21.75" customHeight="1" thickBot="1" x14ac:dyDescent="0.3">
      <c r="C84" s="1109"/>
      <c r="D84" s="1109"/>
      <c r="E84" s="1109"/>
      <c r="F84" s="1109"/>
      <c r="G84" s="1109"/>
      <c r="H84" s="1109"/>
      <c r="I84" s="1109"/>
      <c r="J84" s="1109"/>
      <c r="K84" s="1109"/>
      <c r="L84" s="1109"/>
      <c r="M84" s="1109"/>
      <c r="N84" s="1109"/>
      <c r="O84" s="1109"/>
      <c r="P84" s="1109"/>
      <c r="Q84" s="336"/>
      <c r="S84"/>
      <c r="T84"/>
      <c r="U84"/>
      <c r="W84" s="9"/>
    </row>
    <row r="85" spans="3:23" s="1" customFormat="1" ht="21" thickBot="1" x14ac:dyDescent="0.35">
      <c r="C85" s="351"/>
      <c r="D85" s="352" t="s">
        <v>605</v>
      </c>
      <c r="E85" s="353" t="s">
        <v>606</v>
      </c>
      <c r="F85" s="353" t="s">
        <v>607</v>
      </c>
      <c r="G85" s="353" t="s">
        <v>608</v>
      </c>
      <c r="H85" s="353" t="s">
        <v>609</v>
      </c>
      <c r="I85" s="353" t="s">
        <v>610</v>
      </c>
      <c r="J85" s="353" t="s">
        <v>611</v>
      </c>
      <c r="K85" s="353" t="s">
        <v>612</v>
      </c>
      <c r="L85" s="353" t="s">
        <v>613</v>
      </c>
      <c r="M85" s="353" t="s">
        <v>614</v>
      </c>
      <c r="N85" s="394" t="s">
        <v>615</v>
      </c>
      <c r="O85" s="354" t="s">
        <v>616</v>
      </c>
      <c r="P85" s="355" t="s">
        <v>379</v>
      </c>
      <c r="Q85" s="336"/>
      <c r="S85"/>
      <c r="T85"/>
      <c r="U85"/>
      <c r="W85" s="9"/>
    </row>
    <row r="86" spans="3:23" s="1" customFormat="1" ht="21" thickBot="1" x14ac:dyDescent="0.35">
      <c r="C86" s="356">
        <v>2016</v>
      </c>
      <c r="D86" s="357">
        <v>257</v>
      </c>
      <c r="E86" s="358">
        <v>234</v>
      </c>
      <c r="F86" s="358">
        <v>300</v>
      </c>
      <c r="G86" s="358">
        <v>547</v>
      </c>
      <c r="H86" s="358">
        <v>196</v>
      </c>
      <c r="I86" s="358">
        <v>373</v>
      </c>
      <c r="J86" s="359">
        <f>[6]Jul!$I$54</f>
        <v>480</v>
      </c>
      <c r="K86" s="359">
        <f>[6]Aug!$I$54</f>
        <v>300</v>
      </c>
      <c r="L86" s="359">
        <f>[6]Sep!$I$54</f>
        <v>370</v>
      </c>
      <c r="M86" s="358"/>
      <c r="N86" s="395"/>
      <c r="O86" s="360"/>
      <c r="P86" s="361">
        <f>SUM(D86:K86)</f>
        <v>2687</v>
      </c>
      <c r="Q86" s="336"/>
      <c r="S86"/>
      <c r="T86"/>
      <c r="U86"/>
      <c r="W86" s="9"/>
    </row>
    <row r="87" spans="3:23" s="1" customFormat="1" ht="21" thickBot="1" x14ac:dyDescent="0.35">
      <c r="C87" s="362">
        <v>2017</v>
      </c>
      <c r="D87" s="363">
        <f>436</f>
        <v>436</v>
      </c>
      <c r="E87" s="364">
        <v>148</v>
      </c>
      <c r="F87" s="364">
        <f>316</f>
        <v>316</v>
      </c>
      <c r="G87" s="364">
        <v>314</v>
      </c>
      <c r="H87" s="364">
        <v>259</v>
      </c>
      <c r="I87" s="365">
        <f>[4]Jun!$I$54</f>
        <v>558</v>
      </c>
      <c r="J87" s="365">
        <f>[4]Jul!$I$54</f>
        <v>220</v>
      </c>
      <c r="K87" s="365">
        <f>[4]Aug!$I$54</f>
        <v>441</v>
      </c>
      <c r="L87" s="365">
        <f>[4]Sep!$I$54</f>
        <v>191</v>
      </c>
      <c r="M87" s="364"/>
      <c r="N87" s="319"/>
      <c r="O87" s="366"/>
      <c r="P87" s="367">
        <f>SUM(D87:O87)</f>
        <v>2883</v>
      </c>
      <c r="Q87" s="336"/>
      <c r="S87"/>
      <c r="T87"/>
      <c r="U87"/>
      <c r="W87" s="9"/>
    </row>
    <row r="88" spans="3:23" s="1" customFormat="1" ht="20.25" x14ac:dyDescent="0.3">
      <c r="C88" s="371" t="s">
        <v>619</v>
      </c>
      <c r="D88" s="372">
        <f t="shared" ref="D88:L88" si="2">+(D87-D86)/D86</f>
        <v>0.69649805447470814</v>
      </c>
      <c r="E88" s="372">
        <f t="shared" si="2"/>
        <v>-0.36752136752136755</v>
      </c>
      <c r="F88" s="372">
        <f t="shared" si="2"/>
        <v>5.3333333333333337E-2</v>
      </c>
      <c r="G88" s="372">
        <f t="shared" si="2"/>
        <v>-0.42595978062157219</v>
      </c>
      <c r="H88" s="372">
        <f t="shared" si="2"/>
        <v>0.32142857142857145</v>
      </c>
      <c r="I88" s="372">
        <f t="shared" si="2"/>
        <v>0.49597855227882037</v>
      </c>
      <c r="J88" s="372">
        <f t="shared" si="2"/>
        <v>-0.54166666666666663</v>
      </c>
      <c r="K88" s="372">
        <f t="shared" si="2"/>
        <v>0.47</v>
      </c>
      <c r="L88" s="372">
        <f t="shared" si="2"/>
        <v>-0.48378378378378378</v>
      </c>
      <c r="M88" s="372"/>
      <c r="N88" s="393"/>
      <c r="O88" s="372"/>
      <c r="P88" s="373">
        <f>+(P87-P86)/P86</f>
        <v>7.2943803498325271E-2</v>
      </c>
      <c r="Q88" s="337" t="s">
        <v>621</v>
      </c>
      <c r="S88"/>
      <c r="T88"/>
      <c r="U88"/>
      <c r="W88" s="9"/>
    </row>
    <row r="89" spans="3:23" s="1" customFormat="1" x14ac:dyDescent="0.2">
      <c r="J89"/>
      <c r="K89"/>
      <c r="L89"/>
      <c r="M89"/>
      <c r="N89" s="392"/>
      <c r="O89" s="2"/>
      <c r="S89"/>
      <c r="T89"/>
      <c r="U89"/>
      <c r="W89"/>
    </row>
    <row r="90" spans="3:23" s="1" customFormat="1" ht="13.5" thickBot="1" x14ac:dyDescent="0.25">
      <c r="J90"/>
      <c r="K90"/>
      <c r="L90"/>
      <c r="M90"/>
      <c r="N90" s="392"/>
      <c r="O90" s="2"/>
      <c r="S90"/>
      <c r="T90"/>
      <c r="U90"/>
      <c r="W90"/>
    </row>
    <row r="91" spans="3:23" s="1" customFormat="1" ht="36" customHeight="1" thickBot="1" x14ac:dyDescent="0.3">
      <c r="C91" s="382" t="str">
        <f>[4]Aug!C57</f>
        <v>Change-Overs</v>
      </c>
      <c r="D91" s="377" t="str">
        <f>[4]Aug!D57</f>
        <v>Actual Starts</v>
      </c>
      <c r="E91" s="378" t="str">
        <f>[4]Jul!$E$57</f>
        <v>1 Start</v>
      </c>
      <c r="J91"/>
      <c r="K91"/>
      <c r="L91"/>
      <c r="M91"/>
      <c r="N91" s="392"/>
      <c r="O91" s="2"/>
      <c r="S91"/>
      <c r="T91"/>
      <c r="U91"/>
      <c r="W91"/>
    </row>
    <row r="92" spans="3:23" s="1" customFormat="1" ht="18.75" thickBot="1" x14ac:dyDescent="0.3">
      <c r="C92" s="379">
        <f>[4]Sep!$I$57</f>
        <v>8</v>
      </c>
      <c r="D92" s="390">
        <f>[4]Sep!$D$58</f>
        <v>21</v>
      </c>
      <c r="E92" s="391">
        <f>[4]Sep!$E$58</f>
        <v>14</v>
      </c>
      <c r="J92"/>
      <c r="K92"/>
      <c r="L92"/>
      <c r="M92"/>
      <c r="N92" s="392"/>
      <c r="O92" s="2"/>
      <c r="S92"/>
      <c r="T92"/>
      <c r="U92"/>
      <c r="W92"/>
    </row>
    <row r="93" spans="3:23" s="1" customFormat="1" x14ac:dyDescent="0.2">
      <c r="C93" s="1114" t="s">
        <v>658</v>
      </c>
      <c r="D93" s="1116">
        <f>[4]Sep!$D$60</f>
        <v>1.5</v>
      </c>
      <c r="E93" s="1118">
        <f>[4]Sep!$E$60</f>
        <v>4.7749999999999995</v>
      </c>
      <c r="J93"/>
      <c r="K93"/>
      <c r="L93"/>
      <c r="M93"/>
      <c r="N93" s="392"/>
      <c r="O93" s="2"/>
      <c r="S93"/>
      <c r="T93"/>
      <c r="U93"/>
      <c r="W93"/>
    </row>
    <row r="94" spans="3:23" s="1" customFormat="1" ht="13.5" thickBot="1" x14ac:dyDescent="0.25">
      <c r="C94" s="1115"/>
      <c r="D94" s="1117"/>
      <c r="E94" s="1119"/>
      <c r="J94"/>
      <c r="K94"/>
      <c r="L94"/>
      <c r="M94"/>
      <c r="N94" s="392"/>
      <c r="O94" s="2"/>
      <c r="S94"/>
      <c r="T94"/>
      <c r="U94"/>
      <c r="W94"/>
    </row>
    <row r="95" spans="3:23" s="1" customFormat="1" x14ac:dyDescent="0.2">
      <c r="J95"/>
      <c r="K95"/>
      <c r="L95"/>
      <c r="M95"/>
      <c r="N95" s="392"/>
      <c r="O95" s="2"/>
      <c r="S95"/>
      <c r="T95"/>
      <c r="U95"/>
      <c r="W95"/>
    </row>
    <row r="96" spans="3:23" s="1" customFormat="1" x14ac:dyDescent="0.2">
      <c r="J96"/>
      <c r="K96"/>
      <c r="L96"/>
      <c r="M96"/>
      <c r="N96" s="392"/>
      <c r="O96" s="2"/>
      <c r="S96"/>
      <c r="T96"/>
      <c r="U96"/>
      <c r="W96"/>
    </row>
    <row r="97" spans="10:23" s="1" customFormat="1" x14ac:dyDescent="0.2">
      <c r="J97"/>
      <c r="K97"/>
      <c r="L97"/>
      <c r="M97"/>
      <c r="N97" s="392"/>
      <c r="O97" s="2"/>
      <c r="S97"/>
      <c r="T97"/>
      <c r="U97"/>
      <c r="W97"/>
    </row>
    <row r="98" spans="10:23" s="1" customFormat="1" x14ac:dyDescent="0.2">
      <c r="J98"/>
      <c r="K98"/>
      <c r="L98"/>
      <c r="M98"/>
      <c r="N98" s="392"/>
      <c r="O98" s="2"/>
      <c r="S98"/>
      <c r="T98"/>
      <c r="U98"/>
      <c r="W98"/>
    </row>
    <row r="99" spans="10:23" s="1" customFormat="1" x14ac:dyDescent="0.2">
      <c r="J99"/>
      <c r="K99"/>
      <c r="L99"/>
      <c r="M99"/>
      <c r="N99" s="392"/>
      <c r="O99" s="2"/>
      <c r="S99"/>
      <c r="T99"/>
      <c r="U99"/>
      <c r="W99"/>
    </row>
    <row r="100" spans="10:23" s="1" customFormat="1" x14ac:dyDescent="0.2">
      <c r="J100"/>
      <c r="K100"/>
      <c r="L100"/>
      <c r="M100"/>
      <c r="N100" s="392"/>
      <c r="O100" s="2"/>
      <c r="S100"/>
      <c r="T100"/>
      <c r="U100"/>
      <c r="W100"/>
    </row>
    <row r="101" spans="10:23" s="1" customFormat="1" x14ac:dyDescent="0.2">
      <c r="J101"/>
      <c r="K101"/>
      <c r="L101"/>
      <c r="M101"/>
      <c r="N101" s="392"/>
      <c r="O101" s="2"/>
      <c r="S101"/>
      <c r="T101"/>
      <c r="U101"/>
      <c r="W101"/>
    </row>
    <row r="102" spans="10:23" s="1" customFormat="1" x14ac:dyDescent="0.2">
      <c r="J102"/>
      <c r="K102"/>
      <c r="L102"/>
      <c r="M102"/>
      <c r="N102" s="392"/>
      <c r="O102" s="2"/>
      <c r="S102"/>
      <c r="T102"/>
      <c r="U102"/>
      <c r="W102"/>
    </row>
    <row r="103" spans="10:23" s="1" customFormat="1" x14ac:dyDescent="0.2">
      <c r="J103"/>
      <c r="K103"/>
      <c r="L103"/>
      <c r="M103"/>
      <c r="N103" s="392"/>
      <c r="O103" s="2"/>
      <c r="S103"/>
      <c r="T103"/>
      <c r="U103"/>
      <c r="W103"/>
    </row>
    <row r="104" spans="10:23" s="1" customFormat="1" x14ac:dyDescent="0.2">
      <c r="J104"/>
      <c r="K104"/>
      <c r="L104"/>
      <c r="M104"/>
      <c r="N104" s="392"/>
      <c r="O104" s="2"/>
      <c r="S104"/>
      <c r="T104"/>
      <c r="U104"/>
      <c r="W104"/>
    </row>
    <row r="105" spans="10:23" s="1" customFormat="1" x14ac:dyDescent="0.2">
      <c r="J105"/>
      <c r="K105"/>
      <c r="L105"/>
      <c r="M105"/>
      <c r="N105" s="392"/>
      <c r="O105" s="2"/>
      <c r="S105"/>
      <c r="T105"/>
      <c r="U105"/>
      <c r="W105"/>
    </row>
    <row r="106" spans="10:23" s="1" customFormat="1" x14ac:dyDescent="0.2">
      <c r="J106"/>
      <c r="K106"/>
      <c r="L106"/>
      <c r="M106"/>
      <c r="N106" s="392"/>
      <c r="O106" s="2"/>
      <c r="S106"/>
      <c r="T106"/>
      <c r="U106"/>
      <c r="W106"/>
    </row>
    <row r="107" spans="10:23" s="1" customFormat="1" x14ac:dyDescent="0.2">
      <c r="J107"/>
      <c r="K107"/>
      <c r="L107"/>
      <c r="M107"/>
      <c r="N107" s="392"/>
      <c r="O107" s="2"/>
      <c r="S107"/>
      <c r="T107"/>
      <c r="U107"/>
      <c r="W107"/>
    </row>
    <row r="108" spans="10:23" s="1" customFormat="1" x14ac:dyDescent="0.2">
      <c r="J108"/>
      <c r="K108"/>
      <c r="L108"/>
      <c r="M108"/>
      <c r="N108" s="392"/>
      <c r="O108" s="2"/>
      <c r="S108"/>
      <c r="T108"/>
      <c r="U108"/>
      <c r="W108"/>
    </row>
    <row r="109" spans="10:23" s="1" customFormat="1" x14ac:dyDescent="0.2">
      <c r="J109"/>
      <c r="K109"/>
      <c r="L109"/>
      <c r="M109"/>
      <c r="N109" s="392"/>
      <c r="O109" s="2"/>
      <c r="S109"/>
      <c r="T109"/>
      <c r="U109"/>
      <c r="W109"/>
    </row>
    <row r="110" spans="10:23" s="1" customFormat="1" x14ac:dyDescent="0.2">
      <c r="J110"/>
      <c r="K110"/>
      <c r="L110"/>
      <c r="M110"/>
      <c r="N110" s="392"/>
      <c r="O110" s="2"/>
      <c r="S110"/>
      <c r="T110"/>
      <c r="U110"/>
      <c r="W110"/>
    </row>
    <row r="111" spans="10:23" s="1" customFormat="1" x14ac:dyDescent="0.2">
      <c r="J111"/>
      <c r="K111"/>
      <c r="L111"/>
      <c r="M111"/>
      <c r="N111" s="392"/>
      <c r="O111" s="2"/>
      <c r="S111"/>
      <c r="T111"/>
      <c r="U111"/>
      <c r="W111"/>
    </row>
    <row r="112" spans="10:23" s="1" customFormat="1" x14ac:dyDescent="0.2">
      <c r="J112"/>
      <c r="K112"/>
      <c r="L112"/>
      <c r="M112"/>
      <c r="N112" s="392"/>
      <c r="O112" s="2"/>
      <c r="S112"/>
      <c r="T112"/>
      <c r="U112"/>
      <c r="W112"/>
    </row>
    <row r="113" spans="10:23" s="1" customFormat="1" x14ac:dyDescent="0.2">
      <c r="J113"/>
      <c r="K113"/>
      <c r="L113"/>
      <c r="M113"/>
      <c r="N113" s="392"/>
      <c r="O113" s="2"/>
      <c r="S113"/>
      <c r="T113"/>
      <c r="U113"/>
      <c r="W113"/>
    </row>
    <row r="114" spans="10:23" s="1" customFormat="1" x14ac:dyDescent="0.2">
      <c r="J114"/>
      <c r="K114"/>
      <c r="L114"/>
      <c r="M114"/>
      <c r="N114" s="392"/>
      <c r="O114" s="2"/>
      <c r="S114"/>
      <c r="T114"/>
      <c r="U114"/>
      <c r="W114"/>
    </row>
    <row r="115" spans="10:23" s="1" customFormat="1" x14ac:dyDescent="0.2">
      <c r="J115"/>
      <c r="K115"/>
      <c r="L115"/>
      <c r="M115"/>
      <c r="N115" s="392"/>
      <c r="O115" s="2"/>
      <c r="S115"/>
      <c r="T115"/>
      <c r="U115"/>
      <c r="W115"/>
    </row>
    <row r="116" spans="10:23" s="1" customFormat="1" x14ac:dyDescent="0.2">
      <c r="J116"/>
      <c r="K116"/>
      <c r="L116"/>
      <c r="M116"/>
      <c r="N116" s="392"/>
      <c r="O116" s="2"/>
      <c r="S116"/>
      <c r="T116"/>
      <c r="U116"/>
      <c r="W116"/>
    </row>
    <row r="117" spans="10:23" s="1" customFormat="1" x14ac:dyDescent="0.2">
      <c r="J117"/>
      <c r="K117"/>
      <c r="L117"/>
      <c r="M117"/>
      <c r="N117" s="392"/>
      <c r="O117" s="2"/>
      <c r="S117"/>
      <c r="T117"/>
      <c r="U117"/>
      <c r="W117"/>
    </row>
    <row r="118" spans="10:23" s="1" customFormat="1" x14ac:dyDescent="0.2">
      <c r="J118"/>
      <c r="K118"/>
      <c r="L118"/>
      <c r="M118"/>
      <c r="N118" s="392"/>
      <c r="O118" s="2"/>
      <c r="S118"/>
      <c r="T118"/>
      <c r="U118"/>
      <c r="W118"/>
    </row>
    <row r="119" spans="10:23" s="1" customFormat="1" x14ac:dyDescent="0.2">
      <c r="J119"/>
      <c r="K119"/>
      <c r="L119"/>
      <c r="M119"/>
      <c r="N119" s="392"/>
      <c r="O119" s="2"/>
      <c r="S119"/>
      <c r="T119"/>
      <c r="U119"/>
      <c r="W119"/>
    </row>
    <row r="120" spans="10:23" s="1" customFormat="1" x14ac:dyDescent="0.2">
      <c r="J120"/>
      <c r="K120"/>
      <c r="L120"/>
      <c r="M120"/>
      <c r="N120" s="392"/>
      <c r="O120" s="2"/>
      <c r="S120"/>
      <c r="T120"/>
      <c r="U120"/>
      <c r="W120"/>
    </row>
    <row r="121" spans="10:23" s="1" customFormat="1" x14ac:dyDescent="0.2">
      <c r="J121"/>
      <c r="K121"/>
      <c r="L121"/>
      <c r="M121"/>
      <c r="N121" s="392"/>
      <c r="O121" s="2"/>
      <c r="S121"/>
      <c r="T121"/>
      <c r="U121"/>
      <c r="W121"/>
    </row>
    <row r="122" spans="10:23" s="1" customFormat="1" x14ac:dyDescent="0.2">
      <c r="J122"/>
      <c r="K122"/>
      <c r="L122"/>
      <c r="M122"/>
      <c r="N122" s="392"/>
      <c r="O122" s="2"/>
      <c r="S122"/>
      <c r="T122"/>
      <c r="U122"/>
      <c r="W122"/>
    </row>
    <row r="123" spans="10:23" s="1" customFormat="1" x14ac:dyDescent="0.2">
      <c r="J123"/>
      <c r="K123"/>
      <c r="L123"/>
      <c r="M123"/>
      <c r="N123" s="392"/>
      <c r="O123" s="2"/>
      <c r="S123"/>
      <c r="T123"/>
      <c r="U123"/>
      <c r="W123"/>
    </row>
    <row r="124" spans="10:23" s="1" customFormat="1" x14ac:dyDescent="0.2">
      <c r="J124"/>
      <c r="K124"/>
      <c r="L124"/>
      <c r="M124"/>
      <c r="N124" s="392"/>
      <c r="O124" s="2"/>
      <c r="S124"/>
      <c r="T124"/>
      <c r="U124"/>
      <c r="W124"/>
    </row>
    <row r="125" spans="10:23" s="1" customFormat="1" x14ac:dyDescent="0.2">
      <c r="J125"/>
      <c r="K125"/>
      <c r="L125"/>
      <c r="M125"/>
      <c r="N125" s="392"/>
      <c r="O125" s="2"/>
      <c r="S125"/>
      <c r="T125"/>
      <c r="U125"/>
      <c r="W125"/>
    </row>
    <row r="126" spans="10:23" s="1" customFormat="1" x14ac:dyDescent="0.2">
      <c r="J126"/>
      <c r="K126"/>
      <c r="L126"/>
      <c r="M126"/>
      <c r="N126" s="392"/>
      <c r="O126" s="2"/>
      <c r="S126"/>
      <c r="T126"/>
      <c r="U126"/>
      <c r="W126"/>
    </row>
    <row r="127" spans="10:23" s="1" customFormat="1" x14ac:dyDescent="0.2">
      <c r="J127"/>
      <c r="K127"/>
      <c r="L127"/>
      <c r="M127"/>
      <c r="N127" s="392"/>
      <c r="O127" s="2"/>
      <c r="S127"/>
      <c r="T127"/>
      <c r="U127"/>
      <c r="W127"/>
    </row>
    <row r="128" spans="10:23" s="1" customFormat="1" x14ac:dyDescent="0.2">
      <c r="J128"/>
      <c r="K128"/>
      <c r="L128"/>
      <c r="M128"/>
      <c r="N128" s="392"/>
      <c r="O128" s="2"/>
      <c r="S128"/>
      <c r="T128"/>
      <c r="U128"/>
      <c r="W128"/>
    </row>
    <row r="129" spans="10:23" s="1" customFormat="1" x14ac:dyDescent="0.2">
      <c r="J129"/>
      <c r="K129"/>
      <c r="L129"/>
      <c r="M129"/>
      <c r="N129" s="392"/>
      <c r="O129" s="2"/>
      <c r="S129"/>
      <c r="T129"/>
      <c r="U129"/>
      <c r="W129"/>
    </row>
    <row r="130" spans="10:23" s="1" customFormat="1" x14ac:dyDescent="0.2">
      <c r="J130"/>
      <c r="K130"/>
      <c r="L130"/>
      <c r="M130"/>
      <c r="N130" s="392"/>
      <c r="O130" s="2"/>
      <c r="S130"/>
      <c r="T130"/>
      <c r="U130"/>
      <c r="W130"/>
    </row>
    <row r="131" spans="10:23" s="1" customFormat="1" x14ac:dyDescent="0.2">
      <c r="J131"/>
      <c r="K131"/>
      <c r="L131"/>
      <c r="M131"/>
      <c r="N131" s="392"/>
      <c r="O131" s="2"/>
      <c r="S131"/>
      <c r="T131"/>
      <c r="U131"/>
      <c r="W131"/>
    </row>
    <row r="132" spans="10:23" s="1" customFormat="1" x14ac:dyDescent="0.2">
      <c r="J132"/>
      <c r="K132"/>
      <c r="L132"/>
      <c r="M132"/>
      <c r="N132" s="392"/>
      <c r="O132" s="2"/>
      <c r="S132"/>
      <c r="T132"/>
      <c r="U132"/>
      <c r="W132"/>
    </row>
    <row r="133" spans="10:23" s="1" customFormat="1" x14ac:dyDescent="0.2">
      <c r="J133"/>
      <c r="K133"/>
      <c r="L133"/>
      <c r="M133"/>
      <c r="N133" s="392"/>
      <c r="O133" s="2"/>
      <c r="S133"/>
      <c r="T133"/>
      <c r="U133"/>
      <c r="W133"/>
    </row>
    <row r="134" spans="10:23" s="1" customFormat="1" x14ac:dyDescent="0.2">
      <c r="J134"/>
      <c r="K134"/>
      <c r="L134"/>
      <c r="M134"/>
      <c r="N134" s="392"/>
      <c r="O134" s="2"/>
      <c r="S134"/>
      <c r="T134"/>
      <c r="U134"/>
      <c r="W134"/>
    </row>
    <row r="135" spans="10:23" s="1" customFormat="1" x14ac:dyDescent="0.2">
      <c r="J135"/>
      <c r="K135"/>
      <c r="L135"/>
      <c r="M135"/>
      <c r="N135" s="392"/>
      <c r="O135" s="2"/>
      <c r="S135"/>
      <c r="T135"/>
      <c r="U135"/>
      <c r="W135"/>
    </row>
    <row r="136" spans="10:23" s="1" customFormat="1" x14ac:dyDescent="0.2">
      <c r="J136"/>
      <c r="K136"/>
      <c r="L136"/>
      <c r="M136"/>
      <c r="N136" s="392"/>
      <c r="O136" s="2"/>
      <c r="S136"/>
      <c r="T136"/>
      <c r="U136"/>
      <c r="W136"/>
    </row>
    <row r="137" spans="10:23" s="1" customFormat="1" x14ac:dyDescent="0.2">
      <c r="J137"/>
      <c r="K137"/>
      <c r="L137"/>
      <c r="M137"/>
      <c r="N137" s="392"/>
      <c r="O137" s="2"/>
      <c r="S137"/>
      <c r="T137"/>
      <c r="U137"/>
      <c r="W137"/>
    </row>
    <row r="138" spans="10:23" s="1" customFormat="1" x14ac:dyDescent="0.2">
      <c r="J138"/>
      <c r="K138"/>
      <c r="L138"/>
      <c r="M138"/>
      <c r="N138" s="392"/>
      <c r="O138" s="2"/>
      <c r="S138"/>
      <c r="T138"/>
      <c r="U138"/>
      <c r="W138"/>
    </row>
    <row r="139" spans="10:23" s="1" customFormat="1" x14ac:dyDescent="0.2">
      <c r="J139"/>
      <c r="K139"/>
      <c r="L139"/>
      <c r="M139"/>
      <c r="N139" s="392"/>
      <c r="O139" s="2"/>
      <c r="S139"/>
      <c r="T139"/>
      <c r="U139"/>
      <c r="W139"/>
    </row>
    <row r="140" spans="10:23" s="1" customFormat="1" x14ac:dyDescent="0.2">
      <c r="J140"/>
      <c r="K140"/>
      <c r="L140"/>
      <c r="M140"/>
      <c r="N140" s="392"/>
      <c r="O140" s="2"/>
      <c r="S140"/>
      <c r="T140"/>
      <c r="U140"/>
      <c r="W140"/>
    </row>
    <row r="141" spans="10:23" s="1" customFormat="1" x14ac:dyDescent="0.2">
      <c r="J141"/>
      <c r="K141"/>
      <c r="L141"/>
      <c r="M141"/>
      <c r="N141" s="392"/>
      <c r="O141" s="2"/>
      <c r="S141"/>
      <c r="T141"/>
      <c r="U141"/>
      <c r="W141"/>
    </row>
    <row r="142" spans="10:23" s="1" customFormat="1" x14ac:dyDescent="0.2">
      <c r="J142"/>
      <c r="K142"/>
      <c r="L142"/>
      <c r="M142"/>
      <c r="N142" s="392"/>
      <c r="O142" s="2"/>
      <c r="S142"/>
      <c r="T142"/>
      <c r="U142"/>
      <c r="W142"/>
    </row>
    <row r="143" spans="10:23" s="1" customFormat="1" x14ac:dyDescent="0.2">
      <c r="J143"/>
      <c r="K143"/>
      <c r="L143"/>
      <c r="M143"/>
      <c r="N143" s="392"/>
      <c r="O143" s="2"/>
      <c r="S143"/>
      <c r="T143"/>
      <c r="U143"/>
      <c r="W143"/>
    </row>
    <row r="144" spans="10:23" s="1" customFormat="1" x14ac:dyDescent="0.2">
      <c r="J144"/>
      <c r="K144"/>
      <c r="L144"/>
      <c r="M144"/>
      <c r="N144" s="392"/>
      <c r="O144" s="2"/>
      <c r="S144"/>
      <c r="T144"/>
      <c r="U144"/>
      <c r="W144"/>
    </row>
    <row r="145" spans="10:23" s="1" customFormat="1" x14ac:dyDescent="0.2">
      <c r="J145"/>
      <c r="K145"/>
      <c r="L145"/>
      <c r="M145"/>
      <c r="N145" s="392"/>
      <c r="O145" s="2"/>
      <c r="S145"/>
      <c r="T145"/>
      <c r="U145"/>
      <c r="W145"/>
    </row>
    <row r="146" spans="10:23" s="1" customFormat="1" x14ac:dyDescent="0.2">
      <c r="J146"/>
      <c r="K146"/>
      <c r="L146"/>
      <c r="M146"/>
      <c r="N146" s="392"/>
      <c r="O146" s="2"/>
      <c r="S146"/>
      <c r="T146"/>
      <c r="U146"/>
      <c r="W146"/>
    </row>
    <row r="147" spans="10:23" s="1" customFormat="1" x14ac:dyDescent="0.2">
      <c r="J147"/>
      <c r="K147"/>
      <c r="L147"/>
      <c r="M147"/>
      <c r="N147" s="392"/>
      <c r="O147" s="2"/>
      <c r="S147"/>
      <c r="T147"/>
      <c r="U147"/>
      <c r="W147"/>
    </row>
    <row r="148" spans="10:23" s="1" customFormat="1" x14ac:dyDescent="0.2">
      <c r="J148"/>
      <c r="K148"/>
      <c r="L148"/>
      <c r="M148"/>
      <c r="N148" s="392"/>
      <c r="O148" s="2"/>
      <c r="S148"/>
      <c r="T148"/>
      <c r="U148"/>
      <c r="W148"/>
    </row>
    <row r="149" spans="10:23" s="1" customFormat="1" x14ac:dyDescent="0.2">
      <c r="J149"/>
      <c r="K149"/>
      <c r="L149"/>
      <c r="M149"/>
      <c r="N149" s="392"/>
      <c r="O149" s="2"/>
      <c r="S149"/>
      <c r="T149"/>
      <c r="U149"/>
      <c r="W149"/>
    </row>
    <row r="150" spans="10:23" s="1" customFormat="1" x14ac:dyDescent="0.2">
      <c r="J150"/>
      <c r="K150"/>
      <c r="L150"/>
      <c r="M150"/>
      <c r="N150" s="392"/>
      <c r="O150" s="2"/>
      <c r="S150"/>
      <c r="T150"/>
      <c r="U150"/>
      <c r="W150"/>
    </row>
    <row r="151" spans="10:23" s="1" customFormat="1" x14ac:dyDescent="0.2">
      <c r="J151"/>
      <c r="K151"/>
      <c r="L151"/>
      <c r="M151"/>
      <c r="N151" s="392"/>
      <c r="O151" s="2"/>
      <c r="S151"/>
      <c r="T151"/>
      <c r="U151"/>
      <c r="W151"/>
    </row>
    <row r="152" spans="10:23" s="1" customFormat="1" x14ac:dyDescent="0.2">
      <c r="J152"/>
      <c r="K152"/>
      <c r="L152"/>
      <c r="M152"/>
      <c r="N152" s="392"/>
      <c r="O152" s="2"/>
      <c r="S152"/>
      <c r="T152"/>
      <c r="U152"/>
      <c r="W152"/>
    </row>
    <row r="153" spans="10:23" s="1" customFormat="1" x14ac:dyDescent="0.2">
      <c r="J153"/>
      <c r="K153"/>
      <c r="L153"/>
      <c r="M153"/>
      <c r="N153" s="392"/>
      <c r="O153" s="2"/>
      <c r="S153"/>
      <c r="T153"/>
      <c r="U153"/>
      <c r="W153"/>
    </row>
    <row r="154" spans="10:23" s="1" customFormat="1" x14ac:dyDescent="0.2">
      <c r="J154"/>
      <c r="K154"/>
      <c r="L154"/>
      <c r="M154"/>
      <c r="N154" s="392"/>
      <c r="O154" s="2"/>
      <c r="S154"/>
      <c r="T154"/>
      <c r="U154"/>
      <c r="W154"/>
    </row>
    <row r="155" spans="10:23" s="1" customFormat="1" x14ac:dyDescent="0.2">
      <c r="J155"/>
      <c r="K155"/>
      <c r="L155"/>
      <c r="M155"/>
      <c r="N155" s="392"/>
      <c r="O155" s="2"/>
      <c r="S155"/>
      <c r="T155"/>
      <c r="U155"/>
      <c r="W155"/>
    </row>
    <row r="156" spans="10:23" s="1" customFormat="1" x14ac:dyDescent="0.2">
      <c r="J156"/>
      <c r="K156"/>
      <c r="L156"/>
      <c r="M156"/>
      <c r="N156" s="392"/>
      <c r="O156" s="2"/>
      <c r="S156"/>
      <c r="T156"/>
      <c r="U156"/>
      <c r="W156"/>
    </row>
    <row r="157" spans="10:23" s="1" customFormat="1" x14ac:dyDescent="0.2">
      <c r="J157"/>
      <c r="K157"/>
      <c r="L157"/>
      <c r="M157"/>
      <c r="N157" s="392"/>
      <c r="O157" s="2"/>
      <c r="S157"/>
      <c r="T157"/>
      <c r="U157"/>
      <c r="W157"/>
    </row>
    <row r="158" spans="10:23" s="1" customFormat="1" x14ac:dyDescent="0.2">
      <c r="J158"/>
      <c r="K158"/>
      <c r="L158"/>
      <c r="M158"/>
      <c r="N158" s="392"/>
      <c r="O158" s="2"/>
      <c r="S158"/>
      <c r="T158"/>
      <c r="U158"/>
      <c r="W158"/>
    </row>
    <row r="159" spans="10:23" s="1" customFormat="1" x14ac:dyDescent="0.2">
      <c r="J159"/>
      <c r="K159"/>
      <c r="L159"/>
      <c r="M159"/>
      <c r="N159" s="392"/>
      <c r="O159" s="2"/>
      <c r="S159"/>
      <c r="T159"/>
      <c r="U159"/>
      <c r="W159"/>
    </row>
    <row r="160" spans="10:23" s="1" customFormat="1" x14ac:dyDescent="0.2">
      <c r="J160"/>
      <c r="K160"/>
      <c r="L160"/>
      <c r="M160"/>
      <c r="N160" s="392"/>
      <c r="O160" s="2"/>
      <c r="S160"/>
      <c r="T160"/>
      <c r="U160"/>
      <c r="W160"/>
    </row>
    <row r="161" spans="10:23" s="1" customFormat="1" x14ac:dyDescent="0.2">
      <c r="J161"/>
      <c r="K161"/>
      <c r="L161"/>
      <c r="M161"/>
      <c r="N161" s="392"/>
      <c r="O161" s="2"/>
      <c r="S161"/>
      <c r="T161"/>
      <c r="U161"/>
      <c r="W161"/>
    </row>
    <row r="162" spans="10:23" s="1" customFormat="1" x14ac:dyDescent="0.2">
      <c r="J162"/>
      <c r="K162"/>
      <c r="L162"/>
      <c r="M162"/>
      <c r="N162" s="392"/>
      <c r="O162" s="2"/>
      <c r="S162"/>
      <c r="T162"/>
      <c r="U162"/>
      <c r="W162"/>
    </row>
    <row r="163" spans="10:23" s="1" customFormat="1" x14ac:dyDescent="0.2">
      <c r="J163"/>
      <c r="K163"/>
      <c r="L163"/>
      <c r="M163"/>
      <c r="N163" s="392"/>
      <c r="O163" s="2"/>
      <c r="S163"/>
      <c r="T163"/>
      <c r="U163"/>
      <c r="W163"/>
    </row>
    <row r="164" spans="10:23" s="1" customFormat="1" x14ac:dyDescent="0.2">
      <c r="J164"/>
      <c r="K164"/>
      <c r="L164"/>
      <c r="M164"/>
      <c r="N164" s="392"/>
      <c r="O164" s="2"/>
      <c r="S164"/>
      <c r="T164"/>
      <c r="U164"/>
      <c r="W164"/>
    </row>
    <row r="165" spans="10:23" s="1" customFormat="1" x14ac:dyDescent="0.2">
      <c r="J165"/>
      <c r="K165"/>
      <c r="L165"/>
      <c r="M165"/>
      <c r="N165" s="392"/>
      <c r="O165" s="2"/>
      <c r="S165"/>
      <c r="T165"/>
      <c r="U165"/>
      <c r="W165"/>
    </row>
    <row r="166" spans="10:23" s="1" customFormat="1" x14ac:dyDescent="0.2">
      <c r="J166"/>
      <c r="K166"/>
      <c r="L166"/>
      <c r="M166"/>
      <c r="N166" s="392"/>
      <c r="O166" s="2"/>
      <c r="S166"/>
      <c r="T166"/>
      <c r="U166"/>
      <c r="W166"/>
    </row>
    <row r="167" spans="10:23" s="1" customFormat="1" x14ac:dyDescent="0.2">
      <c r="J167"/>
      <c r="K167"/>
      <c r="L167"/>
      <c r="M167"/>
      <c r="N167" s="392"/>
      <c r="O167" s="2"/>
      <c r="S167"/>
      <c r="T167"/>
      <c r="U167"/>
      <c r="W167"/>
    </row>
    <row r="168" spans="10:23" s="1" customFormat="1" x14ac:dyDescent="0.2">
      <c r="J168"/>
      <c r="K168"/>
      <c r="L168"/>
      <c r="M168"/>
      <c r="N168" s="392"/>
      <c r="O168" s="2"/>
      <c r="S168"/>
      <c r="T168"/>
      <c r="U168"/>
      <c r="W168"/>
    </row>
    <row r="169" spans="10:23" s="1" customFormat="1" x14ac:dyDescent="0.2">
      <c r="J169"/>
      <c r="K169"/>
      <c r="L169"/>
      <c r="M169"/>
      <c r="N169" s="392"/>
      <c r="O169" s="2"/>
      <c r="S169"/>
      <c r="T169"/>
      <c r="U169"/>
      <c r="W169"/>
    </row>
    <row r="170" spans="10:23" s="1" customFormat="1" x14ac:dyDescent="0.2">
      <c r="J170"/>
      <c r="K170"/>
      <c r="L170"/>
      <c r="M170"/>
      <c r="N170" s="392"/>
      <c r="O170" s="2"/>
      <c r="S170"/>
      <c r="T170"/>
      <c r="U170"/>
      <c r="W170"/>
    </row>
    <row r="171" spans="10:23" s="1" customFormat="1" x14ac:dyDescent="0.2">
      <c r="J171"/>
      <c r="K171"/>
      <c r="L171"/>
      <c r="M171"/>
      <c r="N171" s="392"/>
      <c r="O171" s="2"/>
      <c r="S171"/>
      <c r="T171"/>
      <c r="U171"/>
      <c r="W171"/>
    </row>
    <row r="172" spans="10:23" s="1" customFormat="1" x14ac:dyDescent="0.2">
      <c r="J172"/>
      <c r="K172"/>
      <c r="L172"/>
      <c r="M172"/>
      <c r="N172" s="392"/>
      <c r="O172" s="2"/>
      <c r="S172"/>
      <c r="T172"/>
      <c r="U172"/>
      <c r="W172"/>
    </row>
    <row r="173" spans="10:23" s="1" customFormat="1" x14ac:dyDescent="0.2">
      <c r="J173"/>
      <c r="K173"/>
      <c r="L173"/>
      <c r="M173"/>
      <c r="N173" s="392"/>
      <c r="O173" s="2"/>
      <c r="S173"/>
      <c r="T173"/>
      <c r="U173"/>
      <c r="W173"/>
    </row>
    <row r="174" spans="10:23" s="1" customFormat="1" x14ac:dyDescent="0.2">
      <c r="J174"/>
      <c r="K174"/>
      <c r="L174"/>
      <c r="M174"/>
      <c r="N174" s="392"/>
      <c r="O174" s="2"/>
      <c r="S174"/>
      <c r="T174"/>
      <c r="U174"/>
      <c r="W174"/>
    </row>
    <row r="175" spans="10:23" s="1" customFormat="1" x14ac:dyDescent="0.2">
      <c r="J175"/>
      <c r="K175"/>
      <c r="L175"/>
      <c r="M175"/>
      <c r="N175" s="392"/>
      <c r="O175" s="2"/>
      <c r="S175"/>
      <c r="T175"/>
      <c r="U175"/>
      <c r="W175"/>
    </row>
    <row r="176" spans="10:23" s="1" customFormat="1" x14ac:dyDescent="0.2">
      <c r="J176"/>
      <c r="K176"/>
      <c r="L176"/>
      <c r="M176"/>
      <c r="N176" s="392"/>
      <c r="O176" s="2"/>
      <c r="S176"/>
      <c r="T176"/>
      <c r="U176"/>
      <c r="W176"/>
    </row>
    <row r="177" spans="10:23" s="1" customFormat="1" x14ac:dyDescent="0.2">
      <c r="J177"/>
      <c r="K177"/>
      <c r="L177"/>
      <c r="M177"/>
      <c r="N177" s="392"/>
      <c r="O177" s="2"/>
      <c r="S177"/>
      <c r="T177"/>
      <c r="U177"/>
      <c r="W177"/>
    </row>
    <row r="178" spans="10:23" s="1" customFormat="1" x14ac:dyDescent="0.2">
      <c r="J178"/>
      <c r="K178"/>
      <c r="L178"/>
      <c r="M178"/>
      <c r="N178" s="392"/>
      <c r="O178" s="2"/>
      <c r="S178"/>
      <c r="T178"/>
      <c r="U178"/>
      <c r="W178"/>
    </row>
    <row r="179" spans="10:23" s="1" customFormat="1" x14ac:dyDescent="0.2">
      <c r="J179"/>
      <c r="K179"/>
      <c r="L179"/>
      <c r="M179"/>
      <c r="N179" s="392"/>
      <c r="O179" s="2"/>
      <c r="S179"/>
      <c r="T179"/>
      <c r="U179"/>
      <c r="W179"/>
    </row>
    <row r="180" spans="10:23" s="1" customFormat="1" x14ac:dyDescent="0.2">
      <c r="J180"/>
      <c r="K180"/>
      <c r="L180"/>
      <c r="M180"/>
      <c r="N180" s="392"/>
      <c r="O180" s="2"/>
      <c r="S180"/>
      <c r="T180"/>
      <c r="U180"/>
      <c r="W180"/>
    </row>
    <row r="181" spans="10:23" s="1" customFormat="1" x14ac:dyDescent="0.2">
      <c r="J181"/>
      <c r="K181"/>
      <c r="L181"/>
      <c r="M181"/>
      <c r="N181" s="392"/>
      <c r="O181" s="2"/>
      <c r="S181"/>
      <c r="T181"/>
      <c r="U181"/>
      <c r="W181"/>
    </row>
    <row r="182" spans="10:23" s="1" customFormat="1" x14ac:dyDescent="0.2">
      <c r="J182"/>
      <c r="K182"/>
      <c r="L182"/>
      <c r="M182"/>
      <c r="N182" s="392"/>
      <c r="O182" s="2"/>
      <c r="S182"/>
      <c r="T182"/>
      <c r="U182"/>
      <c r="W182"/>
    </row>
    <row r="183" spans="10:23" s="1" customFormat="1" x14ac:dyDescent="0.2">
      <c r="J183"/>
      <c r="K183"/>
      <c r="L183"/>
      <c r="M183"/>
      <c r="N183" s="392"/>
      <c r="O183" s="2"/>
      <c r="S183"/>
      <c r="T183"/>
      <c r="U183"/>
      <c r="W183"/>
    </row>
    <row r="184" spans="10:23" s="1" customFormat="1" x14ac:dyDescent="0.2">
      <c r="J184"/>
      <c r="K184"/>
      <c r="L184"/>
      <c r="M184"/>
      <c r="N184" s="392"/>
      <c r="O184" s="2"/>
      <c r="S184"/>
      <c r="T184"/>
      <c r="U184"/>
      <c r="W184"/>
    </row>
    <row r="185" spans="10:23" s="1" customFormat="1" x14ac:dyDescent="0.2">
      <c r="J185"/>
      <c r="K185"/>
      <c r="L185"/>
      <c r="M185"/>
      <c r="N185" s="392"/>
      <c r="O185" s="2"/>
      <c r="S185"/>
      <c r="T185"/>
      <c r="U185"/>
      <c r="W185"/>
    </row>
    <row r="186" spans="10:23" s="1" customFormat="1" x14ac:dyDescent="0.2">
      <c r="J186"/>
      <c r="K186"/>
      <c r="L186"/>
      <c r="M186"/>
      <c r="N186" s="392"/>
      <c r="O186" s="2"/>
      <c r="S186"/>
      <c r="T186"/>
      <c r="U186"/>
      <c r="W186"/>
    </row>
    <row r="187" spans="10:23" s="1" customFormat="1" x14ac:dyDescent="0.2">
      <c r="J187"/>
      <c r="K187"/>
      <c r="L187"/>
      <c r="M187"/>
      <c r="N187" s="392"/>
      <c r="O187" s="2"/>
      <c r="S187"/>
      <c r="T187"/>
      <c r="U187"/>
      <c r="W187"/>
    </row>
    <row r="188" spans="10:23" s="1" customFormat="1" x14ac:dyDescent="0.2">
      <c r="J188"/>
      <c r="K188"/>
      <c r="L188"/>
      <c r="M188"/>
      <c r="N188" s="392"/>
      <c r="O188" s="2"/>
      <c r="S188"/>
      <c r="T188"/>
      <c r="U188"/>
      <c r="W188"/>
    </row>
    <row r="189" spans="10:23" s="1" customFormat="1" x14ac:dyDescent="0.2">
      <c r="J189"/>
      <c r="K189"/>
      <c r="L189"/>
      <c r="M189"/>
      <c r="N189" s="392"/>
      <c r="O189" s="2"/>
      <c r="S189"/>
      <c r="T189"/>
      <c r="U189"/>
      <c r="W189"/>
    </row>
    <row r="190" spans="10:23" s="1" customFormat="1" x14ac:dyDescent="0.2">
      <c r="J190"/>
      <c r="K190"/>
      <c r="L190"/>
      <c r="M190"/>
      <c r="N190" s="392"/>
      <c r="O190" s="2"/>
      <c r="S190"/>
      <c r="T190"/>
      <c r="U190"/>
      <c r="W190"/>
    </row>
    <row r="191" spans="10:23" s="1" customFormat="1" x14ac:dyDescent="0.2">
      <c r="J191"/>
      <c r="K191"/>
      <c r="L191"/>
      <c r="M191"/>
      <c r="N191" s="392"/>
      <c r="O191" s="2"/>
      <c r="S191"/>
      <c r="T191"/>
      <c r="U191"/>
      <c r="W191"/>
    </row>
    <row r="192" spans="10:23" s="1" customFormat="1" x14ac:dyDescent="0.2">
      <c r="J192"/>
      <c r="K192"/>
      <c r="L192"/>
      <c r="M192"/>
      <c r="N192" s="392"/>
      <c r="O192" s="2"/>
      <c r="S192"/>
      <c r="T192"/>
      <c r="U192"/>
      <c r="W192"/>
    </row>
    <row r="193" spans="10:23" s="1" customFormat="1" x14ac:dyDescent="0.2">
      <c r="J193"/>
      <c r="K193"/>
      <c r="L193"/>
      <c r="M193"/>
      <c r="N193" s="392"/>
      <c r="O193" s="2"/>
      <c r="S193"/>
      <c r="T193"/>
      <c r="U193"/>
      <c r="W193"/>
    </row>
    <row r="194" spans="10:23" s="1" customFormat="1" x14ac:dyDescent="0.2">
      <c r="J194"/>
      <c r="K194"/>
      <c r="L194"/>
      <c r="M194"/>
      <c r="N194" s="392"/>
      <c r="O194" s="2"/>
      <c r="S194"/>
      <c r="T194"/>
      <c r="U194"/>
      <c r="W194"/>
    </row>
    <row r="195" spans="10:23" s="1" customFormat="1" x14ac:dyDescent="0.2">
      <c r="J195"/>
      <c r="K195"/>
      <c r="L195"/>
      <c r="M195"/>
      <c r="N195" s="392"/>
      <c r="O195" s="2"/>
      <c r="S195"/>
      <c r="T195"/>
      <c r="U195"/>
      <c r="W195"/>
    </row>
    <row r="196" spans="10:23" s="1" customFormat="1" x14ac:dyDescent="0.2">
      <c r="J196"/>
      <c r="K196"/>
      <c r="L196"/>
      <c r="M196"/>
      <c r="N196" s="392"/>
      <c r="O196" s="2"/>
      <c r="S196"/>
      <c r="T196"/>
      <c r="U196"/>
      <c r="W196"/>
    </row>
    <row r="197" spans="10:23" s="1" customFormat="1" x14ac:dyDescent="0.2">
      <c r="J197"/>
      <c r="K197"/>
      <c r="L197"/>
      <c r="M197"/>
      <c r="N197" s="392"/>
      <c r="O197" s="2"/>
      <c r="S197"/>
      <c r="T197"/>
      <c r="U197"/>
      <c r="W197"/>
    </row>
    <row r="198" spans="10:23" s="1" customFormat="1" x14ac:dyDescent="0.2">
      <c r="J198"/>
      <c r="K198"/>
      <c r="L198"/>
      <c r="M198"/>
      <c r="N198" s="392"/>
      <c r="O198" s="2"/>
      <c r="S198"/>
      <c r="T198"/>
      <c r="U198"/>
      <c r="W198"/>
    </row>
    <row r="199" spans="10:23" s="1" customFormat="1" x14ac:dyDescent="0.2">
      <c r="J199"/>
      <c r="K199"/>
      <c r="L199"/>
      <c r="M199"/>
      <c r="N199" s="392"/>
      <c r="O199" s="2"/>
      <c r="S199"/>
      <c r="T199"/>
      <c r="U199"/>
      <c r="W199"/>
    </row>
    <row r="200" spans="10:23" s="1" customFormat="1" x14ac:dyDescent="0.2">
      <c r="J200"/>
      <c r="K200"/>
      <c r="L200"/>
      <c r="M200"/>
      <c r="N200" s="392"/>
      <c r="O200" s="2"/>
      <c r="S200"/>
      <c r="T200"/>
      <c r="U200"/>
      <c r="W200"/>
    </row>
    <row r="201" spans="10:23" s="1" customFormat="1" x14ac:dyDescent="0.2">
      <c r="J201"/>
      <c r="K201"/>
      <c r="L201"/>
      <c r="M201"/>
      <c r="N201" s="392"/>
      <c r="O201" s="2"/>
      <c r="S201"/>
      <c r="T201"/>
      <c r="U201"/>
      <c r="W201"/>
    </row>
    <row r="202" spans="10:23" s="1" customFormat="1" x14ac:dyDescent="0.2">
      <c r="J202"/>
      <c r="K202"/>
      <c r="L202"/>
      <c r="M202"/>
      <c r="N202" s="392"/>
      <c r="O202" s="2"/>
      <c r="S202"/>
      <c r="T202"/>
      <c r="U202"/>
      <c r="W202"/>
    </row>
    <row r="203" spans="10:23" s="1" customFormat="1" x14ac:dyDescent="0.2">
      <c r="J203"/>
      <c r="K203"/>
      <c r="L203"/>
      <c r="M203"/>
      <c r="N203" s="392"/>
      <c r="O203" s="2"/>
      <c r="S203"/>
      <c r="T203"/>
      <c r="U203"/>
      <c r="W203"/>
    </row>
    <row r="204" spans="10:23" s="1" customFormat="1" x14ac:dyDescent="0.2">
      <c r="J204"/>
      <c r="K204"/>
      <c r="L204"/>
      <c r="M204"/>
      <c r="N204" s="392"/>
      <c r="O204" s="2"/>
      <c r="S204"/>
      <c r="T204"/>
      <c r="U204"/>
      <c r="W204"/>
    </row>
    <row r="205" spans="10:23" s="1" customFormat="1" x14ac:dyDescent="0.2">
      <c r="J205"/>
      <c r="K205"/>
      <c r="L205"/>
      <c r="M205"/>
      <c r="N205" s="392"/>
      <c r="O205" s="2"/>
      <c r="S205"/>
      <c r="T205"/>
      <c r="U205"/>
      <c r="W205"/>
    </row>
    <row r="206" spans="10:23" s="1" customFormat="1" x14ac:dyDescent="0.2">
      <c r="J206"/>
      <c r="K206"/>
      <c r="L206"/>
      <c r="M206"/>
      <c r="N206" s="392"/>
      <c r="O206" s="2"/>
      <c r="S206"/>
      <c r="T206"/>
      <c r="U206"/>
      <c r="W206"/>
    </row>
    <row r="207" spans="10:23" s="1" customFormat="1" x14ac:dyDescent="0.2">
      <c r="J207"/>
      <c r="K207"/>
      <c r="L207"/>
      <c r="M207"/>
      <c r="N207" s="392"/>
      <c r="O207" s="2"/>
      <c r="S207"/>
      <c r="T207"/>
      <c r="U207"/>
      <c r="W207"/>
    </row>
    <row r="208" spans="10:23" s="1" customFormat="1" x14ac:dyDescent="0.2">
      <c r="J208"/>
      <c r="K208"/>
      <c r="L208"/>
      <c r="M208"/>
      <c r="N208" s="392"/>
      <c r="O208" s="2"/>
      <c r="S208"/>
      <c r="T208"/>
      <c r="U208"/>
      <c r="W208"/>
    </row>
    <row r="209" spans="10:23" s="1" customFormat="1" x14ac:dyDescent="0.2">
      <c r="J209"/>
      <c r="K209"/>
      <c r="L209"/>
      <c r="M209"/>
      <c r="N209" s="392"/>
      <c r="O209" s="2"/>
      <c r="S209"/>
      <c r="T209"/>
      <c r="U209"/>
      <c r="W209"/>
    </row>
    <row r="210" spans="10:23" s="1" customFormat="1" x14ac:dyDescent="0.2">
      <c r="J210"/>
      <c r="K210"/>
      <c r="L210"/>
      <c r="M210"/>
      <c r="N210" s="392"/>
      <c r="O210" s="2"/>
      <c r="S210"/>
      <c r="T210"/>
      <c r="U210"/>
      <c r="W210"/>
    </row>
    <row r="211" spans="10:23" s="1" customFormat="1" x14ac:dyDescent="0.2">
      <c r="J211"/>
      <c r="K211"/>
      <c r="L211"/>
      <c r="M211"/>
      <c r="N211" s="392"/>
      <c r="O211" s="2"/>
      <c r="S211"/>
      <c r="T211"/>
      <c r="U211"/>
      <c r="W211"/>
    </row>
    <row r="212" spans="10:23" s="1" customFormat="1" x14ac:dyDescent="0.2">
      <c r="J212"/>
      <c r="K212"/>
      <c r="L212"/>
      <c r="M212"/>
      <c r="N212" s="392"/>
      <c r="O212" s="2"/>
      <c r="S212"/>
      <c r="T212"/>
      <c r="U212"/>
      <c r="W212"/>
    </row>
    <row r="213" spans="10:23" s="1" customFormat="1" x14ac:dyDescent="0.2">
      <c r="J213"/>
      <c r="K213"/>
      <c r="L213"/>
      <c r="M213"/>
      <c r="N213" s="392"/>
      <c r="O213" s="2"/>
      <c r="S213"/>
      <c r="T213"/>
      <c r="U213"/>
      <c r="W213"/>
    </row>
    <row r="214" spans="10:23" s="1" customFormat="1" x14ac:dyDescent="0.2">
      <c r="J214"/>
      <c r="K214"/>
      <c r="L214"/>
      <c r="M214"/>
      <c r="N214" s="392"/>
      <c r="O214" s="2"/>
      <c r="S214"/>
      <c r="T214"/>
      <c r="U214"/>
      <c r="W214"/>
    </row>
    <row r="215" spans="10:23" s="1" customFormat="1" x14ac:dyDescent="0.2">
      <c r="J215"/>
      <c r="K215"/>
      <c r="L215"/>
      <c r="M215"/>
      <c r="N215" s="392"/>
      <c r="O215" s="2"/>
      <c r="S215"/>
      <c r="T215"/>
      <c r="U215"/>
      <c r="W215"/>
    </row>
    <row r="216" spans="10:23" s="1" customFormat="1" x14ac:dyDescent="0.2">
      <c r="J216"/>
      <c r="K216"/>
      <c r="L216"/>
      <c r="M216"/>
      <c r="N216" s="392"/>
      <c r="O216" s="2"/>
      <c r="S216"/>
      <c r="T216"/>
      <c r="U216"/>
      <c r="W216"/>
    </row>
    <row r="217" spans="10:23" s="1" customFormat="1" x14ac:dyDescent="0.2">
      <c r="J217"/>
      <c r="K217"/>
      <c r="L217"/>
      <c r="M217"/>
      <c r="N217" s="392"/>
      <c r="O217" s="2"/>
      <c r="S217"/>
      <c r="T217"/>
      <c r="U217"/>
      <c r="W217"/>
    </row>
    <row r="218" spans="10:23" s="1" customFormat="1" x14ac:dyDescent="0.2">
      <c r="J218"/>
      <c r="K218"/>
      <c r="L218"/>
      <c r="M218"/>
      <c r="N218" s="392"/>
      <c r="O218" s="2"/>
      <c r="S218"/>
      <c r="T218"/>
      <c r="U218"/>
      <c r="W218"/>
    </row>
    <row r="219" spans="10:23" s="1" customFormat="1" x14ac:dyDescent="0.2">
      <c r="J219"/>
      <c r="K219"/>
      <c r="L219"/>
      <c r="M219"/>
      <c r="N219" s="392"/>
      <c r="O219" s="2"/>
      <c r="S219"/>
      <c r="T219"/>
      <c r="U219"/>
      <c r="W219"/>
    </row>
    <row r="220" spans="10:23" s="1" customFormat="1" x14ac:dyDescent="0.2">
      <c r="J220"/>
      <c r="K220"/>
      <c r="L220"/>
      <c r="M220"/>
      <c r="N220" s="392"/>
      <c r="O220" s="2"/>
      <c r="S220"/>
      <c r="T220"/>
      <c r="U220"/>
      <c r="W220"/>
    </row>
    <row r="221" spans="10:23" s="1" customFormat="1" x14ac:dyDescent="0.2">
      <c r="J221"/>
      <c r="K221"/>
      <c r="L221"/>
      <c r="M221"/>
      <c r="N221" s="392"/>
      <c r="O221" s="2"/>
      <c r="S221"/>
      <c r="T221"/>
      <c r="U221"/>
      <c r="W221"/>
    </row>
    <row r="222" spans="10:23" s="1" customFormat="1" x14ac:dyDescent="0.2">
      <c r="J222"/>
      <c r="K222"/>
      <c r="L222"/>
      <c r="M222"/>
      <c r="N222" s="392"/>
      <c r="O222" s="2"/>
      <c r="S222"/>
      <c r="T222"/>
      <c r="U222"/>
      <c r="W222"/>
    </row>
    <row r="223" spans="10:23" s="1" customFormat="1" x14ac:dyDescent="0.2">
      <c r="J223"/>
      <c r="K223"/>
      <c r="L223"/>
      <c r="M223"/>
      <c r="N223" s="392"/>
      <c r="O223" s="2"/>
      <c r="S223"/>
      <c r="T223"/>
      <c r="U223"/>
      <c r="W223"/>
    </row>
    <row r="224" spans="10:23" s="1" customFormat="1" x14ac:dyDescent="0.2">
      <c r="J224"/>
      <c r="K224"/>
      <c r="L224"/>
      <c r="M224"/>
      <c r="N224" s="392"/>
      <c r="O224" s="2"/>
      <c r="S224"/>
      <c r="T224"/>
      <c r="U224"/>
      <c r="W224"/>
    </row>
    <row r="225" spans="10:23" s="1" customFormat="1" x14ac:dyDescent="0.2">
      <c r="J225"/>
      <c r="K225"/>
      <c r="L225"/>
      <c r="M225"/>
      <c r="N225" s="392"/>
      <c r="O225" s="2"/>
      <c r="S225"/>
      <c r="T225"/>
      <c r="U225"/>
      <c r="W225"/>
    </row>
    <row r="226" spans="10:23" s="1" customFormat="1" x14ac:dyDescent="0.2">
      <c r="J226"/>
      <c r="K226"/>
      <c r="L226"/>
      <c r="M226"/>
      <c r="N226" s="392"/>
      <c r="O226" s="2"/>
      <c r="S226"/>
      <c r="T226"/>
      <c r="U226"/>
      <c r="W226"/>
    </row>
    <row r="227" spans="10:23" s="1" customFormat="1" x14ac:dyDescent="0.2">
      <c r="J227"/>
      <c r="K227"/>
      <c r="L227"/>
      <c r="M227"/>
      <c r="N227" s="392"/>
      <c r="O227" s="2"/>
      <c r="S227"/>
      <c r="T227"/>
      <c r="U227"/>
      <c r="W227"/>
    </row>
    <row r="228" spans="10:23" s="1" customFormat="1" x14ac:dyDescent="0.2">
      <c r="J228"/>
      <c r="K228"/>
      <c r="L228"/>
      <c r="M228"/>
      <c r="N228" s="392"/>
      <c r="O228" s="2"/>
      <c r="S228"/>
      <c r="T228"/>
      <c r="U228"/>
      <c r="W228"/>
    </row>
    <row r="229" spans="10:23" s="1" customFormat="1" x14ac:dyDescent="0.2">
      <c r="J229"/>
      <c r="K229"/>
      <c r="L229"/>
      <c r="M229"/>
      <c r="N229" s="392"/>
      <c r="O229" s="2"/>
      <c r="S229"/>
      <c r="T229"/>
      <c r="U229"/>
      <c r="W229"/>
    </row>
    <row r="230" spans="10:23" s="1" customFormat="1" x14ac:dyDescent="0.2">
      <c r="J230"/>
      <c r="K230"/>
      <c r="L230"/>
      <c r="M230"/>
      <c r="N230" s="392"/>
      <c r="O230" s="2"/>
      <c r="S230"/>
      <c r="T230"/>
      <c r="U230"/>
      <c r="W230"/>
    </row>
    <row r="231" spans="10:23" s="1" customFormat="1" x14ac:dyDescent="0.2">
      <c r="J231"/>
      <c r="K231"/>
      <c r="L231"/>
      <c r="M231"/>
      <c r="N231" s="392"/>
      <c r="O231" s="2"/>
      <c r="S231"/>
      <c r="T231"/>
      <c r="U231"/>
      <c r="W231"/>
    </row>
    <row r="232" spans="10:23" s="1" customFormat="1" x14ac:dyDescent="0.2">
      <c r="J232"/>
      <c r="K232"/>
      <c r="L232"/>
      <c r="M232"/>
      <c r="N232" s="392"/>
      <c r="O232" s="2"/>
      <c r="S232"/>
      <c r="T232"/>
      <c r="U232"/>
      <c r="W232"/>
    </row>
    <row r="233" spans="10:23" s="1" customFormat="1" x14ac:dyDescent="0.2">
      <c r="J233"/>
      <c r="K233"/>
      <c r="L233"/>
      <c r="M233"/>
      <c r="N233" s="392"/>
      <c r="O233" s="2"/>
      <c r="S233"/>
      <c r="T233"/>
      <c r="U233"/>
      <c r="W233"/>
    </row>
    <row r="234" spans="10:23" s="1" customFormat="1" x14ac:dyDescent="0.2">
      <c r="J234"/>
      <c r="K234"/>
      <c r="L234"/>
      <c r="M234"/>
      <c r="N234" s="392"/>
      <c r="O234" s="2"/>
      <c r="S234"/>
      <c r="T234"/>
      <c r="U234"/>
      <c r="W234"/>
    </row>
    <row r="235" spans="10:23" s="1" customFormat="1" x14ac:dyDescent="0.2">
      <c r="J235"/>
      <c r="K235"/>
      <c r="L235"/>
      <c r="M235"/>
      <c r="N235" s="392"/>
      <c r="O235" s="2"/>
      <c r="S235"/>
      <c r="T235"/>
      <c r="U235"/>
      <c r="W235"/>
    </row>
    <row r="236" spans="10:23" s="1" customFormat="1" x14ac:dyDescent="0.2">
      <c r="J236"/>
      <c r="K236"/>
      <c r="L236"/>
      <c r="M236"/>
      <c r="N236" s="392"/>
      <c r="O236" s="2"/>
      <c r="S236"/>
      <c r="T236"/>
      <c r="U236"/>
      <c r="W236"/>
    </row>
    <row r="237" spans="10:23" s="1" customFormat="1" x14ac:dyDescent="0.2">
      <c r="J237"/>
      <c r="K237"/>
      <c r="L237"/>
      <c r="M237"/>
      <c r="N237" s="392"/>
      <c r="O237" s="2"/>
      <c r="S237"/>
      <c r="T237"/>
      <c r="U237"/>
      <c r="W237"/>
    </row>
    <row r="238" spans="10:23" s="1" customFormat="1" x14ac:dyDescent="0.2">
      <c r="J238"/>
      <c r="K238"/>
      <c r="L238"/>
      <c r="M238"/>
      <c r="N238" s="392"/>
      <c r="O238" s="2"/>
      <c r="S238"/>
      <c r="T238"/>
      <c r="U238"/>
      <c r="W238"/>
    </row>
    <row r="239" spans="10:23" s="1" customFormat="1" x14ac:dyDescent="0.2">
      <c r="J239"/>
      <c r="K239"/>
      <c r="L239"/>
      <c r="M239"/>
      <c r="N239" s="392"/>
      <c r="O239" s="2"/>
      <c r="S239"/>
      <c r="T239"/>
      <c r="U239"/>
      <c r="W239"/>
    </row>
    <row r="240" spans="10:23" s="1" customFormat="1" x14ac:dyDescent="0.2">
      <c r="J240"/>
      <c r="K240"/>
      <c r="L240"/>
      <c r="M240"/>
      <c r="N240" s="392"/>
      <c r="O240" s="2"/>
      <c r="S240"/>
      <c r="T240"/>
      <c r="U240"/>
      <c r="W240"/>
    </row>
    <row r="241" spans="10:23" s="1" customFormat="1" x14ac:dyDescent="0.2">
      <c r="J241"/>
      <c r="K241"/>
      <c r="L241"/>
      <c r="M241"/>
      <c r="N241" s="392"/>
      <c r="O241" s="2"/>
      <c r="S241"/>
      <c r="T241"/>
      <c r="U241"/>
      <c r="W241"/>
    </row>
    <row r="242" spans="10:23" s="1" customFormat="1" x14ac:dyDescent="0.2">
      <c r="J242"/>
      <c r="K242"/>
      <c r="L242"/>
      <c r="M242"/>
      <c r="N242" s="392"/>
      <c r="O242" s="2"/>
      <c r="S242"/>
      <c r="T242"/>
      <c r="U242"/>
      <c r="W242"/>
    </row>
    <row r="243" spans="10:23" s="1" customFormat="1" x14ac:dyDescent="0.2">
      <c r="J243"/>
      <c r="K243"/>
      <c r="L243"/>
      <c r="M243"/>
      <c r="N243" s="392"/>
      <c r="O243" s="2"/>
      <c r="S243"/>
      <c r="T243"/>
      <c r="U243"/>
      <c r="W243"/>
    </row>
    <row r="244" spans="10:23" s="1" customFormat="1" x14ac:dyDescent="0.2">
      <c r="J244"/>
      <c r="K244"/>
      <c r="L244"/>
      <c r="M244"/>
      <c r="N244" s="392"/>
      <c r="O244" s="2"/>
      <c r="S244"/>
      <c r="T244"/>
      <c r="U244"/>
      <c r="W244"/>
    </row>
    <row r="245" spans="10:23" s="1" customFormat="1" x14ac:dyDescent="0.2">
      <c r="J245"/>
      <c r="K245"/>
      <c r="L245"/>
      <c r="M245"/>
      <c r="N245" s="392"/>
      <c r="O245" s="2"/>
      <c r="S245"/>
      <c r="T245"/>
      <c r="U245"/>
      <c r="W245"/>
    </row>
    <row r="246" spans="10:23" s="1" customFormat="1" x14ac:dyDescent="0.2">
      <c r="J246"/>
      <c r="K246"/>
      <c r="L246"/>
      <c r="M246"/>
      <c r="N246" s="392"/>
      <c r="O246" s="2"/>
      <c r="S246"/>
      <c r="T246"/>
      <c r="U246"/>
      <c r="W246"/>
    </row>
    <row r="247" spans="10:23" s="1" customFormat="1" x14ac:dyDescent="0.2">
      <c r="J247"/>
      <c r="K247"/>
      <c r="L247"/>
      <c r="M247"/>
      <c r="N247" s="392"/>
      <c r="O247" s="2"/>
      <c r="S247"/>
      <c r="T247"/>
      <c r="U247"/>
      <c r="W247"/>
    </row>
    <row r="248" spans="10:23" s="1" customFormat="1" x14ac:dyDescent="0.2">
      <c r="J248"/>
      <c r="K248"/>
      <c r="L248"/>
      <c r="M248"/>
      <c r="N248" s="392"/>
      <c r="O248" s="2"/>
      <c r="S248"/>
      <c r="T248"/>
      <c r="U248"/>
      <c r="W248"/>
    </row>
    <row r="249" spans="10:23" s="1" customFormat="1" x14ac:dyDescent="0.2">
      <c r="J249"/>
      <c r="K249"/>
      <c r="L249"/>
      <c r="M249"/>
      <c r="N249" s="392"/>
      <c r="O249" s="2"/>
      <c r="S249"/>
      <c r="T249"/>
      <c r="U249"/>
      <c r="W249"/>
    </row>
    <row r="250" spans="10:23" s="1" customFormat="1" x14ac:dyDescent="0.2">
      <c r="J250"/>
      <c r="K250"/>
      <c r="L250"/>
      <c r="M250"/>
      <c r="N250" s="392"/>
      <c r="O250" s="2"/>
      <c r="S250"/>
      <c r="T250"/>
      <c r="U250"/>
      <c r="W250"/>
    </row>
    <row r="251" spans="10:23" s="1" customFormat="1" x14ac:dyDescent="0.2">
      <c r="J251"/>
      <c r="K251"/>
      <c r="L251"/>
      <c r="M251"/>
      <c r="N251" s="392"/>
      <c r="O251" s="2"/>
      <c r="S251"/>
      <c r="T251"/>
      <c r="U251"/>
      <c r="W251"/>
    </row>
    <row r="252" spans="10:23" s="1" customFormat="1" x14ac:dyDescent="0.2">
      <c r="J252"/>
      <c r="K252"/>
      <c r="L252"/>
      <c r="M252"/>
      <c r="N252" s="392"/>
      <c r="O252" s="2"/>
      <c r="S252"/>
      <c r="T252"/>
      <c r="U252"/>
      <c r="W252"/>
    </row>
    <row r="253" spans="10:23" s="1" customFormat="1" x14ac:dyDescent="0.2">
      <c r="J253"/>
      <c r="K253"/>
      <c r="L253"/>
      <c r="M253"/>
      <c r="N253" s="392"/>
      <c r="O253" s="2"/>
      <c r="S253"/>
      <c r="T253"/>
      <c r="U253"/>
      <c r="W253"/>
    </row>
    <row r="254" spans="10:23" s="1" customFormat="1" x14ac:dyDescent="0.2">
      <c r="J254"/>
      <c r="K254"/>
      <c r="L254"/>
      <c r="M254"/>
      <c r="N254" s="392"/>
      <c r="O254" s="2"/>
      <c r="S254"/>
      <c r="T254"/>
      <c r="U254"/>
      <c r="W254"/>
    </row>
    <row r="255" spans="10:23" s="1" customFormat="1" x14ac:dyDescent="0.2">
      <c r="J255"/>
      <c r="K255"/>
      <c r="L255"/>
      <c r="M255"/>
      <c r="N255" s="392"/>
      <c r="O255" s="2"/>
      <c r="S255"/>
      <c r="T255"/>
      <c r="U255"/>
      <c r="W255"/>
    </row>
    <row r="256" spans="10:23" s="1" customFormat="1" x14ac:dyDescent="0.2">
      <c r="J256"/>
      <c r="K256"/>
      <c r="L256"/>
      <c r="M256"/>
      <c r="N256" s="392"/>
      <c r="O256" s="2"/>
      <c r="S256"/>
      <c r="T256"/>
      <c r="U256"/>
      <c r="W256"/>
    </row>
    <row r="257" spans="10:23" s="1" customFormat="1" x14ac:dyDescent="0.2">
      <c r="J257"/>
      <c r="K257"/>
      <c r="L257"/>
      <c r="M257"/>
      <c r="N257" s="392"/>
      <c r="O257" s="2"/>
      <c r="S257"/>
      <c r="T257"/>
      <c r="U257"/>
      <c r="W257"/>
    </row>
    <row r="258" spans="10:23" s="1" customFormat="1" x14ac:dyDescent="0.2">
      <c r="J258"/>
      <c r="K258"/>
      <c r="L258"/>
      <c r="M258"/>
      <c r="N258" s="392"/>
      <c r="O258" s="2"/>
      <c r="S258"/>
      <c r="T258"/>
      <c r="U258"/>
      <c r="W258"/>
    </row>
    <row r="259" spans="10:23" s="1" customFormat="1" x14ac:dyDescent="0.2">
      <c r="J259"/>
      <c r="K259"/>
      <c r="L259"/>
      <c r="M259"/>
      <c r="N259" s="392"/>
      <c r="O259" s="2"/>
      <c r="S259"/>
      <c r="T259"/>
      <c r="U259"/>
      <c r="W259"/>
    </row>
    <row r="260" spans="10:23" s="1" customFormat="1" x14ac:dyDescent="0.2">
      <c r="J260"/>
      <c r="K260"/>
      <c r="L260"/>
      <c r="M260"/>
      <c r="N260" s="392"/>
      <c r="O260" s="2"/>
      <c r="S260"/>
      <c r="T260"/>
      <c r="U260"/>
      <c r="W260"/>
    </row>
    <row r="261" spans="10:23" s="1" customFormat="1" x14ac:dyDescent="0.2">
      <c r="J261"/>
      <c r="K261"/>
      <c r="L261"/>
      <c r="M261"/>
      <c r="N261" s="392"/>
      <c r="O261" s="2"/>
      <c r="S261"/>
      <c r="T261"/>
      <c r="U261"/>
      <c r="W261"/>
    </row>
    <row r="262" spans="10:23" s="1" customFormat="1" x14ac:dyDescent="0.2">
      <c r="J262"/>
      <c r="K262"/>
      <c r="L262"/>
      <c r="M262"/>
      <c r="N262" s="392"/>
      <c r="O262" s="2"/>
      <c r="S262"/>
      <c r="T262"/>
      <c r="U262"/>
      <c r="W262"/>
    </row>
    <row r="263" spans="10:23" s="1" customFormat="1" x14ac:dyDescent="0.2">
      <c r="J263"/>
      <c r="K263"/>
      <c r="L263"/>
      <c r="M263"/>
      <c r="N263" s="392"/>
      <c r="O263" s="2"/>
      <c r="S263"/>
      <c r="T263"/>
      <c r="U263"/>
      <c r="W263"/>
    </row>
    <row r="264" spans="10:23" s="1" customFormat="1" x14ac:dyDescent="0.2">
      <c r="J264"/>
      <c r="K264"/>
      <c r="L264"/>
      <c r="M264"/>
      <c r="N264" s="392"/>
      <c r="O264" s="2"/>
      <c r="S264"/>
      <c r="T264"/>
      <c r="U264"/>
      <c r="W264"/>
    </row>
    <row r="265" spans="10:23" s="1" customFormat="1" x14ac:dyDescent="0.2">
      <c r="J265"/>
      <c r="K265"/>
      <c r="L265"/>
      <c r="M265"/>
      <c r="N265" s="392"/>
      <c r="O265" s="2"/>
      <c r="S265"/>
      <c r="T265"/>
      <c r="U265"/>
      <c r="W265"/>
    </row>
    <row r="266" spans="10:23" s="1" customFormat="1" x14ac:dyDescent="0.2">
      <c r="J266"/>
      <c r="K266"/>
      <c r="L266"/>
      <c r="M266"/>
      <c r="N266" s="392"/>
      <c r="O266" s="2"/>
      <c r="S266"/>
      <c r="T266"/>
      <c r="U266"/>
      <c r="W266"/>
    </row>
    <row r="267" spans="10:23" s="1" customFormat="1" x14ac:dyDescent="0.2">
      <c r="J267"/>
      <c r="K267"/>
      <c r="L267"/>
      <c r="M267"/>
      <c r="N267" s="392"/>
      <c r="O267" s="2"/>
      <c r="S267"/>
      <c r="T267"/>
      <c r="U267"/>
      <c r="W267"/>
    </row>
    <row r="268" spans="10:23" s="1" customFormat="1" x14ac:dyDescent="0.2">
      <c r="J268"/>
      <c r="K268"/>
      <c r="L268"/>
      <c r="M268"/>
      <c r="N268" s="392"/>
      <c r="O268" s="2"/>
      <c r="S268"/>
      <c r="T268"/>
      <c r="U268"/>
      <c r="W268"/>
    </row>
    <row r="269" spans="10:23" s="1" customFormat="1" x14ac:dyDescent="0.2">
      <c r="J269"/>
      <c r="K269"/>
      <c r="L269"/>
      <c r="M269"/>
      <c r="N269" s="392"/>
      <c r="O269" s="2"/>
      <c r="S269"/>
      <c r="T269"/>
      <c r="U269"/>
      <c r="W269"/>
    </row>
    <row r="270" spans="10:23" s="1" customFormat="1" x14ac:dyDescent="0.2">
      <c r="J270"/>
      <c r="K270"/>
      <c r="L270"/>
      <c r="M270"/>
      <c r="N270" s="392"/>
      <c r="O270" s="2"/>
      <c r="S270"/>
      <c r="T270"/>
      <c r="U270"/>
      <c r="W270"/>
    </row>
    <row r="271" spans="10:23" s="1" customFormat="1" x14ac:dyDescent="0.2">
      <c r="J271"/>
      <c r="K271"/>
      <c r="L271"/>
      <c r="M271"/>
      <c r="N271" s="392"/>
      <c r="O271" s="2"/>
      <c r="S271"/>
      <c r="T271"/>
      <c r="U271"/>
      <c r="W271"/>
    </row>
    <row r="272" spans="10:23" s="1" customFormat="1" x14ac:dyDescent="0.2">
      <c r="J272"/>
      <c r="K272"/>
      <c r="L272"/>
      <c r="M272"/>
      <c r="N272" s="392"/>
      <c r="O272" s="2"/>
      <c r="S272"/>
      <c r="T272"/>
      <c r="U272"/>
      <c r="W272"/>
    </row>
    <row r="273" spans="10:23" s="1" customFormat="1" x14ac:dyDescent="0.2">
      <c r="J273"/>
      <c r="K273"/>
      <c r="L273"/>
      <c r="M273"/>
      <c r="N273" s="392"/>
      <c r="O273" s="2"/>
      <c r="S273"/>
      <c r="T273"/>
      <c r="U273"/>
      <c r="W273"/>
    </row>
    <row r="274" spans="10:23" s="1" customFormat="1" x14ac:dyDescent="0.2">
      <c r="J274"/>
      <c r="K274"/>
      <c r="L274"/>
      <c r="M274"/>
      <c r="N274" s="392"/>
      <c r="O274" s="2"/>
      <c r="S274"/>
      <c r="T274"/>
      <c r="U274"/>
      <c r="W274"/>
    </row>
    <row r="275" spans="10:23" s="1" customFormat="1" x14ac:dyDescent="0.2">
      <c r="J275"/>
      <c r="K275"/>
      <c r="L275"/>
      <c r="M275"/>
      <c r="N275" s="392"/>
      <c r="O275" s="2"/>
      <c r="S275"/>
      <c r="T275"/>
      <c r="U275"/>
      <c r="W275"/>
    </row>
    <row r="276" spans="10:23" s="1" customFormat="1" x14ac:dyDescent="0.2">
      <c r="J276"/>
      <c r="K276"/>
      <c r="L276"/>
      <c r="M276"/>
      <c r="N276" s="392"/>
      <c r="O276" s="2"/>
      <c r="S276"/>
      <c r="T276"/>
      <c r="U276"/>
      <c r="W276"/>
    </row>
    <row r="277" spans="10:23" s="1" customFormat="1" x14ac:dyDescent="0.2">
      <c r="J277"/>
      <c r="K277"/>
      <c r="L277"/>
      <c r="M277"/>
      <c r="N277" s="392"/>
      <c r="O277" s="2"/>
      <c r="S277"/>
      <c r="T277"/>
      <c r="U277"/>
      <c r="W277"/>
    </row>
    <row r="278" spans="10:23" s="1" customFormat="1" x14ac:dyDescent="0.2">
      <c r="J278"/>
      <c r="K278"/>
      <c r="L278"/>
      <c r="M278"/>
      <c r="N278" s="392"/>
      <c r="O278" s="2"/>
      <c r="S278"/>
      <c r="T278"/>
      <c r="U278"/>
      <c r="W278"/>
    </row>
    <row r="279" spans="10:23" s="1" customFormat="1" x14ac:dyDescent="0.2">
      <c r="J279"/>
      <c r="K279"/>
      <c r="L279"/>
      <c r="M279"/>
      <c r="N279" s="392"/>
      <c r="O279" s="2"/>
      <c r="S279"/>
      <c r="T279"/>
      <c r="U279"/>
      <c r="W279"/>
    </row>
    <row r="280" spans="10:23" s="1" customFormat="1" x14ac:dyDescent="0.2">
      <c r="J280"/>
      <c r="K280"/>
      <c r="L280"/>
      <c r="M280"/>
      <c r="N280" s="392"/>
      <c r="O280" s="2"/>
      <c r="S280"/>
      <c r="T280"/>
      <c r="U280"/>
      <c r="W280"/>
    </row>
    <row r="281" spans="10:23" s="1" customFormat="1" x14ac:dyDescent="0.2">
      <c r="J281"/>
      <c r="K281"/>
      <c r="L281"/>
      <c r="M281"/>
      <c r="N281" s="392"/>
      <c r="O281" s="2"/>
      <c r="S281"/>
      <c r="T281"/>
      <c r="U281"/>
      <c r="W281"/>
    </row>
    <row r="282" spans="10:23" s="1" customFormat="1" x14ac:dyDescent="0.2">
      <c r="J282"/>
      <c r="K282"/>
      <c r="L282"/>
      <c r="M282"/>
      <c r="N282" s="392"/>
      <c r="O282" s="2"/>
      <c r="S282"/>
      <c r="T282"/>
      <c r="U282"/>
      <c r="W282"/>
    </row>
    <row r="283" spans="10:23" s="1" customFormat="1" x14ac:dyDescent="0.2">
      <c r="J283"/>
      <c r="K283"/>
      <c r="L283"/>
      <c r="M283"/>
      <c r="N283" s="392"/>
      <c r="O283" s="2"/>
      <c r="S283"/>
      <c r="T283"/>
      <c r="U283"/>
      <c r="W283"/>
    </row>
    <row r="284" spans="10:23" s="1" customFormat="1" x14ac:dyDescent="0.2">
      <c r="J284"/>
      <c r="K284"/>
      <c r="L284"/>
      <c r="M284"/>
      <c r="N284" s="392"/>
      <c r="O284" s="2"/>
      <c r="S284"/>
      <c r="T284"/>
      <c r="U284"/>
      <c r="W284"/>
    </row>
    <row r="285" spans="10:23" s="1" customFormat="1" x14ac:dyDescent="0.2">
      <c r="J285"/>
      <c r="K285"/>
      <c r="L285"/>
      <c r="M285"/>
      <c r="N285" s="392"/>
      <c r="O285" s="2"/>
      <c r="S285"/>
      <c r="T285"/>
      <c r="U285"/>
      <c r="W285"/>
    </row>
    <row r="286" spans="10:23" s="1" customFormat="1" x14ac:dyDescent="0.2">
      <c r="J286"/>
      <c r="K286"/>
      <c r="L286"/>
      <c r="M286"/>
      <c r="N286" s="392"/>
      <c r="O286" s="2"/>
      <c r="S286"/>
      <c r="T286"/>
      <c r="U286"/>
      <c r="W286"/>
    </row>
    <row r="287" spans="10:23" s="1" customFormat="1" x14ac:dyDescent="0.2">
      <c r="J287"/>
      <c r="K287"/>
      <c r="L287"/>
      <c r="M287"/>
      <c r="N287" s="392"/>
      <c r="O287" s="2"/>
      <c r="S287"/>
      <c r="T287"/>
      <c r="U287"/>
      <c r="W287"/>
    </row>
    <row r="288" spans="10:23" s="1" customFormat="1" x14ac:dyDescent="0.2">
      <c r="J288"/>
      <c r="K288"/>
      <c r="L288"/>
      <c r="M288"/>
      <c r="N288" s="392"/>
      <c r="O288" s="2"/>
      <c r="S288"/>
      <c r="T288"/>
      <c r="U288"/>
      <c r="W288"/>
    </row>
    <row r="289" spans="10:23" s="1" customFormat="1" x14ac:dyDescent="0.2">
      <c r="J289"/>
      <c r="K289"/>
      <c r="L289"/>
      <c r="M289"/>
      <c r="N289" s="392"/>
      <c r="O289" s="2"/>
      <c r="S289"/>
      <c r="T289"/>
      <c r="U289"/>
      <c r="W289"/>
    </row>
    <row r="290" spans="10:23" s="1" customFormat="1" x14ac:dyDescent="0.2">
      <c r="J290"/>
      <c r="K290"/>
      <c r="L290"/>
      <c r="M290"/>
      <c r="N290" s="392"/>
      <c r="O290" s="2"/>
      <c r="S290"/>
      <c r="T290"/>
      <c r="U290"/>
      <c r="W290"/>
    </row>
    <row r="291" spans="10:23" s="1" customFormat="1" x14ac:dyDescent="0.2">
      <c r="J291"/>
      <c r="K291"/>
      <c r="L291"/>
      <c r="M291"/>
      <c r="N291" s="392"/>
      <c r="O291" s="2"/>
      <c r="S291"/>
      <c r="T291"/>
      <c r="U291"/>
      <c r="W291"/>
    </row>
    <row r="292" spans="10:23" s="1" customFormat="1" x14ac:dyDescent="0.2">
      <c r="J292"/>
      <c r="K292"/>
      <c r="L292"/>
      <c r="M292"/>
      <c r="N292" s="392"/>
      <c r="O292" s="2"/>
      <c r="S292"/>
      <c r="T292"/>
      <c r="U292"/>
      <c r="W292"/>
    </row>
    <row r="293" spans="10:23" s="1" customFormat="1" x14ac:dyDescent="0.2">
      <c r="J293"/>
      <c r="K293"/>
      <c r="L293"/>
      <c r="M293"/>
      <c r="N293" s="392"/>
      <c r="O293" s="2"/>
      <c r="S293"/>
      <c r="T293"/>
      <c r="U293"/>
      <c r="W293"/>
    </row>
    <row r="294" spans="10:23" s="1" customFormat="1" x14ac:dyDescent="0.2">
      <c r="J294"/>
      <c r="K294"/>
      <c r="L294"/>
      <c r="M294"/>
      <c r="N294" s="392"/>
      <c r="O294" s="2"/>
      <c r="S294"/>
      <c r="T294"/>
      <c r="U294"/>
      <c r="W294"/>
    </row>
    <row r="295" spans="10:23" s="1" customFormat="1" x14ac:dyDescent="0.2">
      <c r="J295"/>
      <c r="K295"/>
      <c r="L295"/>
      <c r="M295"/>
      <c r="N295" s="392"/>
      <c r="O295" s="2"/>
      <c r="S295"/>
      <c r="T295"/>
      <c r="U295"/>
      <c r="W295"/>
    </row>
    <row r="296" spans="10:23" s="1" customFormat="1" x14ac:dyDescent="0.2">
      <c r="J296"/>
      <c r="K296"/>
      <c r="L296"/>
      <c r="M296"/>
      <c r="N296" s="392"/>
      <c r="O296" s="2"/>
      <c r="S296"/>
      <c r="T296"/>
      <c r="U296"/>
      <c r="W296"/>
    </row>
    <row r="297" spans="10:23" s="1" customFormat="1" x14ac:dyDescent="0.2">
      <c r="J297"/>
      <c r="K297"/>
      <c r="L297"/>
      <c r="M297"/>
      <c r="N297" s="392"/>
      <c r="O297" s="2"/>
      <c r="S297"/>
      <c r="T297"/>
      <c r="U297"/>
      <c r="W297"/>
    </row>
    <row r="298" spans="10:23" s="1" customFormat="1" x14ac:dyDescent="0.2">
      <c r="J298"/>
      <c r="K298"/>
      <c r="L298"/>
      <c r="M298"/>
      <c r="N298" s="392"/>
      <c r="O298" s="2"/>
      <c r="S298"/>
      <c r="T298"/>
      <c r="U298"/>
      <c r="W298"/>
    </row>
    <row r="299" spans="10:23" s="1" customFormat="1" x14ac:dyDescent="0.2">
      <c r="J299"/>
      <c r="K299"/>
      <c r="L299"/>
      <c r="M299"/>
      <c r="N299" s="392"/>
      <c r="O299" s="2"/>
      <c r="S299"/>
      <c r="T299"/>
      <c r="U299"/>
      <c r="W299"/>
    </row>
    <row r="300" spans="10:23" s="1" customFormat="1" x14ac:dyDescent="0.2">
      <c r="J300"/>
      <c r="K300"/>
      <c r="L300"/>
      <c r="M300"/>
      <c r="N300" s="392"/>
      <c r="O300" s="2"/>
      <c r="S300"/>
      <c r="T300"/>
      <c r="U300"/>
      <c r="W300"/>
    </row>
    <row r="301" spans="10:23" s="1" customFormat="1" x14ac:dyDescent="0.2">
      <c r="J301"/>
      <c r="K301"/>
      <c r="L301"/>
      <c r="M301"/>
      <c r="N301" s="392"/>
      <c r="O301" s="2"/>
      <c r="S301"/>
      <c r="T301"/>
      <c r="U301"/>
      <c r="W301"/>
    </row>
    <row r="302" spans="10:23" s="1" customFormat="1" x14ac:dyDescent="0.2">
      <c r="J302"/>
      <c r="K302"/>
      <c r="L302"/>
      <c r="M302"/>
      <c r="N302" s="392"/>
      <c r="O302" s="2"/>
      <c r="S302"/>
      <c r="T302"/>
      <c r="U302"/>
      <c r="W302"/>
    </row>
    <row r="303" spans="10:23" s="1" customFormat="1" x14ac:dyDescent="0.2">
      <c r="J303"/>
      <c r="K303"/>
      <c r="L303"/>
      <c r="M303"/>
      <c r="N303" s="392"/>
      <c r="O303" s="2"/>
      <c r="S303"/>
      <c r="T303"/>
      <c r="U303"/>
      <c r="W303"/>
    </row>
    <row r="304" spans="10:23" s="1" customFormat="1" x14ac:dyDescent="0.2">
      <c r="J304"/>
      <c r="K304"/>
      <c r="L304"/>
      <c r="M304"/>
      <c r="N304" s="392"/>
      <c r="O304" s="2"/>
      <c r="S304"/>
      <c r="T304"/>
      <c r="U304"/>
      <c r="W304"/>
    </row>
    <row r="305" spans="10:23" s="1" customFormat="1" x14ac:dyDescent="0.2">
      <c r="J305"/>
      <c r="K305"/>
      <c r="L305"/>
      <c r="M305"/>
      <c r="N305" s="392"/>
      <c r="O305" s="2"/>
      <c r="S305"/>
      <c r="T305"/>
      <c r="U305"/>
      <c r="W305"/>
    </row>
    <row r="306" spans="10:23" s="1" customFormat="1" x14ac:dyDescent="0.2">
      <c r="J306"/>
      <c r="K306"/>
      <c r="L306"/>
      <c r="M306"/>
      <c r="N306" s="392"/>
      <c r="O306" s="2"/>
      <c r="S306"/>
      <c r="T306"/>
      <c r="U306"/>
      <c r="W306"/>
    </row>
    <row r="307" spans="10:23" s="1" customFormat="1" x14ac:dyDescent="0.2">
      <c r="J307"/>
      <c r="K307"/>
      <c r="L307"/>
      <c r="M307"/>
      <c r="N307" s="392"/>
      <c r="O307" s="2"/>
      <c r="S307"/>
      <c r="T307"/>
      <c r="U307"/>
      <c r="W307"/>
    </row>
    <row r="308" spans="10:23" s="1" customFormat="1" x14ac:dyDescent="0.2">
      <c r="J308"/>
      <c r="K308"/>
      <c r="L308"/>
      <c r="M308"/>
      <c r="N308" s="392"/>
      <c r="O308" s="2"/>
      <c r="S308"/>
      <c r="T308"/>
      <c r="U308"/>
      <c r="W308"/>
    </row>
    <row r="309" spans="10:23" s="1" customFormat="1" x14ac:dyDescent="0.2">
      <c r="J309"/>
      <c r="K309"/>
      <c r="L309"/>
      <c r="M309"/>
      <c r="N309" s="392"/>
      <c r="O309" s="2"/>
      <c r="S309"/>
      <c r="T309"/>
      <c r="U309"/>
      <c r="W309"/>
    </row>
    <row r="310" spans="10:23" s="1" customFormat="1" x14ac:dyDescent="0.2">
      <c r="J310"/>
      <c r="K310"/>
      <c r="L310"/>
      <c r="M310"/>
      <c r="N310" s="392"/>
      <c r="O310" s="2"/>
      <c r="S310"/>
      <c r="T310"/>
      <c r="U310"/>
      <c r="W310"/>
    </row>
    <row r="311" spans="10:23" s="1" customFormat="1" x14ac:dyDescent="0.2">
      <c r="J311"/>
      <c r="K311"/>
      <c r="L311"/>
      <c r="M311"/>
      <c r="N311" s="392"/>
      <c r="O311" s="2"/>
      <c r="S311"/>
      <c r="T311"/>
      <c r="U311"/>
      <c r="W311"/>
    </row>
    <row r="312" spans="10:23" s="1" customFormat="1" x14ac:dyDescent="0.2">
      <c r="J312"/>
      <c r="K312"/>
      <c r="L312"/>
      <c r="M312"/>
      <c r="N312" s="392"/>
      <c r="O312" s="2"/>
      <c r="S312"/>
      <c r="T312"/>
      <c r="U312"/>
      <c r="W312"/>
    </row>
    <row r="313" spans="10:23" s="1" customFormat="1" x14ac:dyDescent="0.2">
      <c r="J313"/>
      <c r="K313"/>
      <c r="L313"/>
      <c r="M313"/>
      <c r="N313" s="392"/>
      <c r="O313" s="2"/>
      <c r="S313"/>
      <c r="T313"/>
      <c r="U313"/>
      <c r="W313"/>
    </row>
    <row r="314" spans="10:23" s="1" customFormat="1" x14ac:dyDescent="0.2">
      <c r="J314"/>
      <c r="K314"/>
      <c r="L314"/>
      <c r="M314"/>
      <c r="N314" s="392"/>
      <c r="O314" s="2"/>
      <c r="S314"/>
      <c r="T314"/>
      <c r="U314"/>
      <c r="W314"/>
    </row>
    <row r="315" spans="10:23" s="1" customFormat="1" x14ac:dyDescent="0.2">
      <c r="J315"/>
      <c r="K315"/>
      <c r="L315"/>
      <c r="M315"/>
      <c r="N315" s="392"/>
      <c r="O315" s="2"/>
      <c r="S315"/>
      <c r="T315"/>
      <c r="U315"/>
      <c r="W315"/>
    </row>
    <row r="316" spans="10:23" s="1" customFormat="1" x14ac:dyDescent="0.2">
      <c r="J316"/>
      <c r="K316"/>
      <c r="L316"/>
      <c r="M316"/>
      <c r="N316" s="392"/>
      <c r="O316" s="2"/>
      <c r="S316"/>
      <c r="T316"/>
      <c r="U316"/>
      <c r="W316"/>
    </row>
    <row r="317" spans="10:23" s="1" customFormat="1" x14ac:dyDescent="0.2">
      <c r="J317"/>
      <c r="K317"/>
      <c r="L317"/>
      <c r="M317"/>
      <c r="N317" s="392"/>
      <c r="O317" s="2"/>
      <c r="S317"/>
      <c r="T317"/>
      <c r="U317"/>
      <c r="W317"/>
    </row>
    <row r="318" spans="10:23" s="1" customFormat="1" x14ac:dyDescent="0.2">
      <c r="J318"/>
      <c r="K318"/>
      <c r="L318"/>
      <c r="M318"/>
      <c r="N318" s="392"/>
      <c r="O318" s="2"/>
      <c r="S318"/>
      <c r="T318"/>
      <c r="U318"/>
      <c r="W318"/>
    </row>
    <row r="319" spans="10:23" s="1" customFormat="1" x14ac:dyDescent="0.2">
      <c r="J319"/>
      <c r="K319"/>
      <c r="L319"/>
      <c r="M319"/>
      <c r="N319" s="392"/>
      <c r="O319" s="2"/>
      <c r="S319"/>
      <c r="T319"/>
      <c r="U319"/>
      <c r="W319"/>
    </row>
    <row r="320" spans="10:23" s="1" customFormat="1" x14ac:dyDescent="0.2">
      <c r="J320"/>
      <c r="K320"/>
      <c r="L320"/>
      <c r="M320"/>
      <c r="N320" s="392"/>
      <c r="O320" s="2"/>
      <c r="S320"/>
      <c r="T320"/>
      <c r="U320"/>
      <c r="W320"/>
    </row>
    <row r="321" spans="10:23" s="1" customFormat="1" x14ac:dyDescent="0.2">
      <c r="J321"/>
      <c r="K321"/>
      <c r="L321"/>
      <c r="M321"/>
      <c r="N321" s="392"/>
      <c r="O321" s="2"/>
      <c r="S321"/>
      <c r="T321"/>
      <c r="U321"/>
      <c r="W321"/>
    </row>
    <row r="322" spans="10:23" s="1" customFormat="1" x14ac:dyDescent="0.2">
      <c r="J322"/>
      <c r="K322"/>
      <c r="L322"/>
      <c r="M322"/>
      <c r="N322" s="392"/>
      <c r="O322" s="2"/>
      <c r="S322"/>
      <c r="T322"/>
      <c r="U322"/>
      <c r="W322"/>
    </row>
    <row r="323" spans="10:23" s="1" customFormat="1" x14ac:dyDescent="0.2">
      <c r="J323"/>
      <c r="K323"/>
      <c r="L323"/>
      <c r="M323"/>
      <c r="N323" s="392"/>
      <c r="O323" s="2"/>
      <c r="S323"/>
      <c r="T323"/>
      <c r="U323"/>
      <c r="W323"/>
    </row>
    <row r="324" spans="10:23" s="1" customFormat="1" x14ac:dyDescent="0.2">
      <c r="J324"/>
      <c r="K324"/>
      <c r="L324"/>
      <c r="M324"/>
      <c r="N324" s="392"/>
      <c r="O324" s="2"/>
      <c r="S324"/>
      <c r="T324"/>
      <c r="U324"/>
      <c r="W324"/>
    </row>
    <row r="325" spans="10:23" s="1" customFormat="1" x14ac:dyDescent="0.2">
      <c r="J325"/>
      <c r="K325"/>
      <c r="L325"/>
      <c r="M325"/>
      <c r="N325" s="392"/>
      <c r="O325" s="2"/>
      <c r="S325"/>
      <c r="T325"/>
      <c r="U325"/>
      <c r="W325"/>
    </row>
    <row r="326" spans="10:23" s="1" customFormat="1" x14ac:dyDescent="0.2">
      <c r="J326"/>
      <c r="K326"/>
      <c r="L326"/>
      <c r="M326"/>
      <c r="N326" s="392"/>
      <c r="O326" s="2"/>
      <c r="S326"/>
      <c r="T326"/>
      <c r="U326"/>
      <c r="W326"/>
    </row>
    <row r="327" spans="10:23" s="1" customFormat="1" x14ac:dyDescent="0.2">
      <c r="J327"/>
      <c r="K327"/>
      <c r="L327"/>
      <c r="M327"/>
      <c r="N327" s="392"/>
      <c r="O327" s="2"/>
      <c r="S327"/>
      <c r="T327"/>
      <c r="U327"/>
      <c r="W327"/>
    </row>
    <row r="328" spans="10:23" s="1" customFormat="1" x14ac:dyDescent="0.2">
      <c r="J328"/>
      <c r="K328"/>
      <c r="L328"/>
      <c r="M328"/>
      <c r="N328" s="392"/>
      <c r="O328" s="2"/>
      <c r="S328"/>
      <c r="T328"/>
      <c r="U328"/>
      <c r="W328"/>
    </row>
    <row r="329" spans="10:23" s="1" customFormat="1" x14ac:dyDescent="0.2">
      <c r="J329"/>
      <c r="K329"/>
      <c r="L329"/>
      <c r="M329"/>
      <c r="N329" s="392"/>
      <c r="O329" s="2"/>
      <c r="S329"/>
      <c r="T329"/>
      <c r="U329"/>
      <c r="W329"/>
    </row>
    <row r="330" spans="10:23" s="1" customFormat="1" x14ac:dyDescent="0.2">
      <c r="J330"/>
      <c r="K330"/>
      <c r="L330"/>
      <c r="M330"/>
      <c r="N330" s="392"/>
      <c r="O330" s="2"/>
      <c r="S330"/>
      <c r="T330"/>
      <c r="U330"/>
      <c r="W330"/>
    </row>
    <row r="331" spans="10:23" s="1" customFormat="1" x14ac:dyDescent="0.2">
      <c r="J331"/>
      <c r="K331"/>
      <c r="L331"/>
      <c r="M331"/>
      <c r="N331" s="392"/>
      <c r="O331" s="2"/>
      <c r="S331"/>
      <c r="T331"/>
      <c r="U331"/>
      <c r="W331"/>
    </row>
    <row r="332" spans="10:23" s="1" customFormat="1" x14ac:dyDescent="0.2">
      <c r="J332"/>
      <c r="K332"/>
      <c r="L332"/>
      <c r="M332"/>
      <c r="N332" s="392"/>
      <c r="O332" s="2"/>
      <c r="S332"/>
      <c r="T332"/>
      <c r="U332"/>
      <c r="W332"/>
    </row>
    <row r="333" spans="10:23" s="1" customFormat="1" x14ac:dyDescent="0.2">
      <c r="J333"/>
      <c r="K333"/>
      <c r="L333"/>
      <c r="M333"/>
      <c r="N333" s="392"/>
      <c r="O333" s="2"/>
      <c r="S333"/>
      <c r="T333"/>
      <c r="U333"/>
      <c r="W333"/>
    </row>
    <row r="334" spans="10:23" s="1" customFormat="1" x14ac:dyDescent="0.2">
      <c r="J334"/>
      <c r="K334"/>
      <c r="L334"/>
      <c r="M334"/>
      <c r="N334" s="392"/>
      <c r="O334" s="2"/>
      <c r="S334"/>
      <c r="T334"/>
      <c r="U334"/>
      <c r="W334"/>
    </row>
    <row r="335" spans="10:23" s="1" customFormat="1" x14ac:dyDescent="0.2">
      <c r="J335"/>
      <c r="K335"/>
      <c r="L335"/>
      <c r="M335"/>
      <c r="N335" s="392"/>
      <c r="O335" s="2"/>
      <c r="S335"/>
      <c r="T335"/>
      <c r="U335"/>
      <c r="W335"/>
    </row>
    <row r="336" spans="10:23" s="1" customFormat="1" x14ac:dyDescent="0.2">
      <c r="J336"/>
      <c r="K336"/>
      <c r="L336"/>
      <c r="M336"/>
      <c r="N336" s="392"/>
      <c r="O336" s="2"/>
      <c r="S336"/>
      <c r="T336"/>
      <c r="U336"/>
      <c r="W336"/>
    </row>
    <row r="337" spans="10:23" s="1" customFormat="1" x14ac:dyDescent="0.2">
      <c r="J337"/>
      <c r="K337"/>
      <c r="L337"/>
      <c r="M337"/>
      <c r="N337" s="392"/>
      <c r="O337" s="2"/>
      <c r="S337"/>
      <c r="T337"/>
      <c r="U337"/>
      <c r="W337"/>
    </row>
    <row r="338" spans="10:23" s="1" customFormat="1" x14ac:dyDescent="0.2">
      <c r="J338"/>
      <c r="K338"/>
      <c r="L338"/>
      <c r="M338"/>
      <c r="N338" s="392"/>
      <c r="O338" s="2"/>
      <c r="S338"/>
      <c r="T338"/>
      <c r="U338"/>
      <c r="W338"/>
    </row>
    <row r="339" spans="10:23" s="1" customFormat="1" x14ac:dyDescent="0.2">
      <c r="J339"/>
      <c r="K339"/>
      <c r="L339"/>
      <c r="M339"/>
      <c r="N339" s="392"/>
      <c r="O339" s="2"/>
      <c r="S339"/>
      <c r="T339"/>
      <c r="U339"/>
      <c r="W339"/>
    </row>
    <row r="340" spans="10:23" s="1" customFormat="1" x14ac:dyDescent="0.2">
      <c r="J340"/>
      <c r="K340"/>
      <c r="L340"/>
      <c r="M340"/>
      <c r="N340" s="392"/>
      <c r="O340" s="2"/>
      <c r="S340"/>
      <c r="T340"/>
      <c r="U340"/>
      <c r="W340"/>
    </row>
    <row r="341" spans="10:23" s="1" customFormat="1" x14ac:dyDescent="0.2">
      <c r="J341"/>
      <c r="K341"/>
      <c r="L341"/>
      <c r="M341"/>
      <c r="N341" s="392"/>
      <c r="O341" s="2"/>
      <c r="S341"/>
      <c r="T341"/>
      <c r="U341"/>
      <c r="W341"/>
    </row>
    <row r="342" spans="10:23" s="1" customFormat="1" x14ac:dyDescent="0.2">
      <c r="J342"/>
      <c r="K342"/>
      <c r="L342"/>
      <c r="M342"/>
      <c r="N342" s="392"/>
      <c r="O342" s="2"/>
      <c r="S342"/>
      <c r="T342"/>
      <c r="U342"/>
      <c r="W342"/>
    </row>
    <row r="343" spans="10:23" s="1" customFormat="1" x14ac:dyDescent="0.2">
      <c r="J343"/>
      <c r="K343"/>
      <c r="L343"/>
      <c r="M343"/>
      <c r="N343" s="392"/>
      <c r="O343" s="2"/>
      <c r="S343"/>
      <c r="T343"/>
      <c r="U343"/>
      <c r="W343"/>
    </row>
    <row r="344" spans="10:23" s="1" customFormat="1" x14ac:dyDescent="0.2">
      <c r="J344"/>
      <c r="K344"/>
      <c r="L344"/>
      <c r="M344"/>
      <c r="N344" s="392"/>
      <c r="O344" s="2"/>
      <c r="S344"/>
      <c r="T344"/>
      <c r="U344"/>
      <c r="W344"/>
    </row>
    <row r="345" spans="10:23" s="1" customFormat="1" x14ac:dyDescent="0.2">
      <c r="J345"/>
      <c r="K345"/>
      <c r="L345"/>
      <c r="M345"/>
      <c r="N345" s="392"/>
      <c r="O345" s="2"/>
      <c r="S345"/>
      <c r="T345"/>
      <c r="U345"/>
      <c r="W345"/>
    </row>
    <row r="346" spans="10:23" s="1" customFormat="1" x14ac:dyDescent="0.2">
      <c r="J346"/>
      <c r="K346"/>
      <c r="L346"/>
      <c r="M346"/>
      <c r="N346" s="392"/>
      <c r="O346" s="2"/>
      <c r="S346"/>
      <c r="T346"/>
      <c r="U346"/>
      <c r="W346"/>
    </row>
    <row r="347" spans="10:23" s="1" customFormat="1" x14ac:dyDescent="0.2">
      <c r="J347"/>
      <c r="K347"/>
      <c r="L347"/>
      <c r="M347"/>
      <c r="N347" s="392"/>
      <c r="O347" s="2"/>
      <c r="S347"/>
      <c r="T347"/>
      <c r="U347"/>
      <c r="W347"/>
    </row>
    <row r="348" spans="10:23" s="1" customFormat="1" x14ac:dyDescent="0.2">
      <c r="J348"/>
      <c r="K348"/>
      <c r="L348"/>
      <c r="M348"/>
      <c r="N348" s="392"/>
      <c r="O348" s="2"/>
      <c r="S348"/>
      <c r="T348"/>
      <c r="U348"/>
      <c r="W348"/>
    </row>
    <row r="349" spans="10:23" s="1" customFormat="1" x14ac:dyDescent="0.2">
      <c r="J349"/>
      <c r="K349"/>
      <c r="L349"/>
      <c r="M349"/>
      <c r="N349" s="392"/>
      <c r="O349" s="2"/>
      <c r="S349"/>
      <c r="T349"/>
      <c r="U349"/>
      <c r="W349"/>
    </row>
    <row r="350" spans="10:23" s="1" customFormat="1" x14ac:dyDescent="0.2">
      <c r="J350"/>
      <c r="K350"/>
      <c r="L350"/>
      <c r="M350"/>
      <c r="N350" s="392"/>
      <c r="O350" s="2"/>
      <c r="S350"/>
      <c r="T350"/>
      <c r="U350"/>
      <c r="W350"/>
    </row>
    <row r="351" spans="10:23" s="1" customFormat="1" x14ac:dyDescent="0.2">
      <c r="J351"/>
      <c r="K351"/>
      <c r="L351"/>
      <c r="M351"/>
      <c r="N351" s="392"/>
      <c r="O351" s="2"/>
      <c r="S351"/>
      <c r="T351"/>
      <c r="U351"/>
      <c r="W351"/>
    </row>
    <row r="352" spans="10:23" s="1" customFormat="1" x14ac:dyDescent="0.2">
      <c r="J352"/>
      <c r="K352"/>
      <c r="L352"/>
      <c r="M352"/>
      <c r="N352" s="392"/>
      <c r="O352" s="2"/>
      <c r="S352"/>
      <c r="T352"/>
      <c r="U352"/>
      <c r="W352"/>
    </row>
    <row r="353" spans="10:23" s="1" customFormat="1" x14ac:dyDescent="0.2">
      <c r="J353"/>
      <c r="K353"/>
      <c r="L353"/>
      <c r="M353"/>
      <c r="N353" s="392"/>
      <c r="O353" s="2"/>
      <c r="S353"/>
      <c r="T353"/>
      <c r="U353"/>
      <c r="W353"/>
    </row>
    <row r="354" spans="10:23" s="1" customFormat="1" x14ac:dyDescent="0.2">
      <c r="J354"/>
      <c r="K354"/>
      <c r="L354"/>
      <c r="M354"/>
      <c r="N354" s="392"/>
      <c r="O354" s="2"/>
      <c r="S354"/>
      <c r="T354"/>
      <c r="U354"/>
      <c r="W354"/>
    </row>
    <row r="355" spans="10:23" s="1" customFormat="1" x14ac:dyDescent="0.2">
      <c r="J355"/>
      <c r="K355"/>
      <c r="L355"/>
      <c r="M355"/>
      <c r="N355" s="392"/>
      <c r="O355" s="2"/>
      <c r="S355"/>
      <c r="T355"/>
      <c r="U355"/>
      <c r="W355"/>
    </row>
    <row r="356" spans="10:23" s="1" customFormat="1" x14ac:dyDescent="0.2">
      <c r="J356"/>
      <c r="K356"/>
      <c r="L356"/>
      <c r="M356"/>
      <c r="N356" s="392"/>
      <c r="O356" s="2"/>
      <c r="S356"/>
      <c r="T356"/>
      <c r="U356"/>
      <c r="W356"/>
    </row>
    <row r="357" spans="10:23" s="1" customFormat="1" x14ac:dyDescent="0.2">
      <c r="J357"/>
      <c r="K357"/>
      <c r="L357"/>
      <c r="M357"/>
      <c r="N357" s="392"/>
      <c r="O357" s="2"/>
      <c r="S357"/>
      <c r="T357"/>
      <c r="U357"/>
      <c r="W357"/>
    </row>
    <row r="358" spans="10:23" s="1" customFormat="1" x14ac:dyDescent="0.2">
      <c r="J358"/>
      <c r="K358"/>
      <c r="L358"/>
      <c r="M358"/>
      <c r="N358" s="392"/>
      <c r="O358" s="2"/>
      <c r="S358"/>
      <c r="T358"/>
      <c r="U358"/>
      <c r="W358"/>
    </row>
    <row r="359" spans="10:23" s="1" customFormat="1" x14ac:dyDescent="0.2">
      <c r="J359"/>
      <c r="K359"/>
      <c r="L359"/>
      <c r="M359"/>
      <c r="N359" s="392"/>
      <c r="O359" s="2"/>
      <c r="S359"/>
      <c r="T359"/>
      <c r="U359"/>
      <c r="W359"/>
    </row>
    <row r="360" spans="10:23" s="1" customFormat="1" x14ac:dyDescent="0.2">
      <c r="J360"/>
      <c r="K360"/>
      <c r="L360"/>
      <c r="M360"/>
      <c r="N360" s="392"/>
      <c r="O360" s="2"/>
      <c r="S360"/>
      <c r="T360"/>
      <c r="U360"/>
      <c r="W360"/>
    </row>
    <row r="361" spans="10:23" s="1" customFormat="1" x14ac:dyDescent="0.2">
      <c r="J361"/>
      <c r="K361"/>
      <c r="L361"/>
      <c r="M361"/>
      <c r="N361" s="392"/>
      <c r="O361" s="2"/>
      <c r="S361"/>
      <c r="T361"/>
      <c r="U361"/>
      <c r="W361"/>
    </row>
    <row r="362" spans="10:23" s="1" customFormat="1" x14ac:dyDescent="0.2">
      <c r="J362"/>
      <c r="K362"/>
      <c r="L362"/>
      <c r="M362"/>
      <c r="N362" s="392"/>
      <c r="O362" s="2"/>
      <c r="S362"/>
      <c r="T362"/>
      <c r="U362"/>
      <c r="W362"/>
    </row>
    <row r="363" spans="10:23" s="1" customFormat="1" x14ac:dyDescent="0.2">
      <c r="J363"/>
      <c r="K363"/>
      <c r="L363"/>
      <c r="M363"/>
      <c r="N363" s="392"/>
      <c r="O363" s="2"/>
      <c r="S363"/>
      <c r="T363"/>
      <c r="U363"/>
      <c r="W363"/>
    </row>
    <row r="364" spans="10:23" s="1" customFormat="1" x14ac:dyDescent="0.2">
      <c r="J364"/>
      <c r="K364"/>
      <c r="L364"/>
      <c r="M364"/>
      <c r="N364" s="392"/>
      <c r="O364" s="2"/>
      <c r="S364"/>
      <c r="T364"/>
      <c r="U364"/>
      <c r="W364"/>
    </row>
    <row r="365" spans="10:23" s="1" customFormat="1" x14ac:dyDescent="0.2">
      <c r="J365"/>
      <c r="K365"/>
      <c r="L365"/>
      <c r="M365"/>
      <c r="N365" s="392"/>
      <c r="O365" s="2"/>
      <c r="S365"/>
      <c r="T365"/>
      <c r="U365"/>
      <c r="W365"/>
    </row>
    <row r="366" spans="10:23" s="1" customFormat="1" x14ac:dyDescent="0.2">
      <c r="J366"/>
      <c r="K366"/>
      <c r="L366"/>
      <c r="M366"/>
      <c r="N366" s="392"/>
      <c r="O366" s="2"/>
      <c r="S366"/>
      <c r="T366"/>
      <c r="U366"/>
      <c r="W366"/>
    </row>
    <row r="367" spans="10:23" s="1" customFormat="1" x14ac:dyDescent="0.2">
      <c r="J367"/>
      <c r="K367"/>
      <c r="L367"/>
      <c r="M367"/>
      <c r="N367" s="392"/>
      <c r="O367" s="2"/>
      <c r="S367"/>
      <c r="T367"/>
      <c r="U367"/>
      <c r="W367"/>
    </row>
    <row r="368" spans="10:23" s="1" customFormat="1" x14ac:dyDescent="0.2">
      <c r="J368"/>
      <c r="K368"/>
      <c r="L368"/>
      <c r="M368"/>
      <c r="N368" s="392"/>
      <c r="O368" s="2"/>
      <c r="S368"/>
      <c r="T368"/>
      <c r="U368"/>
      <c r="W368"/>
    </row>
    <row r="369" spans="10:23" s="1" customFormat="1" x14ac:dyDescent="0.2">
      <c r="J369"/>
      <c r="K369"/>
      <c r="L369"/>
      <c r="M369"/>
      <c r="N369" s="392"/>
      <c r="O369" s="2"/>
      <c r="S369"/>
      <c r="T369"/>
      <c r="U369"/>
      <c r="W369"/>
    </row>
    <row r="370" spans="10:23" s="1" customFormat="1" x14ac:dyDescent="0.2">
      <c r="J370"/>
      <c r="K370"/>
      <c r="L370"/>
      <c r="M370"/>
      <c r="N370" s="392"/>
      <c r="O370" s="2"/>
      <c r="S370"/>
      <c r="T370"/>
      <c r="U370"/>
      <c r="W370"/>
    </row>
    <row r="371" spans="10:23" s="1" customFormat="1" x14ac:dyDescent="0.2">
      <c r="J371"/>
      <c r="K371"/>
      <c r="L371"/>
      <c r="M371"/>
      <c r="N371" s="392"/>
      <c r="O371" s="2"/>
      <c r="S371"/>
      <c r="T371"/>
      <c r="U371"/>
      <c r="W371"/>
    </row>
    <row r="372" spans="10:23" s="1" customFormat="1" x14ac:dyDescent="0.2">
      <c r="J372"/>
      <c r="K372"/>
      <c r="L372"/>
      <c r="M372"/>
      <c r="N372" s="392"/>
      <c r="O372" s="2"/>
      <c r="S372"/>
      <c r="T372"/>
      <c r="U372"/>
      <c r="W372"/>
    </row>
    <row r="373" spans="10:23" s="1" customFormat="1" x14ac:dyDescent="0.2">
      <c r="J373"/>
      <c r="K373"/>
      <c r="L373"/>
      <c r="M373"/>
      <c r="N373" s="392"/>
      <c r="O373" s="2"/>
      <c r="S373"/>
      <c r="T373"/>
      <c r="U373"/>
      <c r="W373"/>
    </row>
    <row r="374" spans="10:23" s="1" customFormat="1" x14ac:dyDescent="0.2">
      <c r="J374"/>
      <c r="K374"/>
      <c r="L374"/>
      <c r="M374"/>
      <c r="N374" s="392"/>
      <c r="O374" s="2"/>
      <c r="S374"/>
      <c r="T374"/>
      <c r="U374"/>
      <c r="W374"/>
    </row>
    <row r="375" spans="10:23" s="1" customFormat="1" x14ac:dyDescent="0.2">
      <c r="J375"/>
      <c r="K375"/>
      <c r="L375"/>
      <c r="M375"/>
      <c r="N375" s="392"/>
      <c r="O375" s="2"/>
      <c r="S375"/>
      <c r="T375"/>
      <c r="U375"/>
      <c r="W375"/>
    </row>
    <row r="376" spans="10:23" s="1" customFormat="1" x14ac:dyDescent="0.2">
      <c r="J376"/>
      <c r="K376"/>
      <c r="L376"/>
      <c r="M376"/>
      <c r="N376" s="392"/>
      <c r="O376" s="2"/>
      <c r="S376"/>
      <c r="T376"/>
      <c r="U376"/>
      <c r="W376"/>
    </row>
    <row r="377" spans="10:23" s="1" customFormat="1" x14ac:dyDescent="0.2">
      <c r="J377"/>
      <c r="K377"/>
      <c r="L377"/>
      <c r="M377"/>
      <c r="N377" s="392"/>
      <c r="O377" s="2"/>
      <c r="S377"/>
      <c r="T377"/>
      <c r="U377"/>
      <c r="W377"/>
    </row>
    <row r="378" spans="10:23" s="1" customFormat="1" x14ac:dyDescent="0.2">
      <c r="J378"/>
      <c r="K378"/>
      <c r="L378"/>
      <c r="M378"/>
      <c r="N378" s="392"/>
      <c r="O378" s="2"/>
      <c r="S378"/>
      <c r="T378"/>
      <c r="U378"/>
      <c r="W378"/>
    </row>
    <row r="379" spans="10:23" s="1" customFormat="1" x14ac:dyDescent="0.2">
      <c r="J379"/>
      <c r="K379"/>
      <c r="L379"/>
      <c r="M379"/>
      <c r="N379" s="392"/>
      <c r="O379" s="2"/>
      <c r="S379"/>
      <c r="T379"/>
      <c r="U379"/>
      <c r="W379"/>
    </row>
    <row r="380" spans="10:23" s="1" customFormat="1" x14ac:dyDescent="0.2">
      <c r="J380"/>
      <c r="K380"/>
      <c r="L380"/>
      <c r="M380"/>
      <c r="N380" s="392"/>
      <c r="O380" s="2"/>
      <c r="S380"/>
      <c r="T380"/>
      <c r="U380"/>
      <c r="W380"/>
    </row>
    <row r="381" spans="10:23" s="1" customFormat="1" x14ac:dyDescent="0.2">
      <c r="J381"/>
      <c r="K381"/>
      <c r="L381"/>
      <c r="M381"/>
      <c r="N381" s="392"/>
      <c r="O381" s="2"/>
      <c r="S381"/>
      <c r="T381"/>
      <c r="U381"/>
      <c r="W381"/>
    </row>
    <row r="382" spans="10:23" s="1" customFormat="1" x14ac:dyDescent="0.2">
      <c r="J382"/>
      <c r="K382"/>
      <c r="L382"/>
      <c r="M382"/>
      <c r="N382" s="392"/>
      <c r="O382" s="2"/>
      <c r="S382"/>
      <c r="T382"/>
      <c r="U382"/>
      <c r="W382"/>
    </row>
    <row r="383" spans="10:23" s="1" customFormat="1" x14ac:dyDescent="0.2">
      <c r="J383"/>
      <c r="K383"/>
      <c r="L383"/>
      <c r="M383"/>
      <c r="N383" s="392"/>
      <c r="O383" s="2"/>
      <c r="S383"/>
      <c r="T383"/>
      <c r="U383"/>
      <c r="W383"/>
    </row>
    <row r="384" spans="10:23" s="1" customFormat="1" x14ac:dyDescent="0.2">
      <c r="J384"/>
      <c r="K384"/>
      <c r="L384"/>
      <c r="M384"/>
      <c r="N384" s="392"/>
      <c r="O384" s="2"/>
      <c r="S384"/>
      <c r="T384"/>
      <c r="U384"/>
      <c r="W384"/>
    </row>
    <row r="385" spans="10:23" s="1" customFormat="1" x14ac:dyDescent="0.2">
      <c r="J385"/>
      <c r="K385"/>
      <c r="L385"/>
      <c r="M385"/>
      <c r="N385" s="392"/>
      <c r="O385" s="2"/>
      <c r="S385"/>
      <c r="T385"/>
      <c r="U385"/>
      <c r="W385"/>
    </row>
    <row r="386" spans="10:23" s="1" customFormat="1" x14ac:dyDescent="0.2">
      <c r="J386"/>
      <c r="K386"/>
      <c r="L386"/>
      <c r="M386"/>
      <c r="N386" s="392"/>
      <c r="O386" s="2"/>
      <c r="S386"/>
      <c r="T386"/>
      <c r="U386"/>
      <c r="W386"/>
    </row>
    <row r="387" spans="10:23" s="1" customFormat="1" x14ac:dyDescent="0.2">
      <c r="J387"/>
      <c r="K387"/>
      <c r="L387"/>
      <c r="M387"/>
      <c r="N387" s="392"/>
      <c r="O387" s="2"/>
      <c r="S387"/>
      <c r="T387"/>
      <c r="U387"/>
      <c r="W387"/>
    </row>
    <row r="388" spans="10:23" s="1" customFormat="1" x14ac:dyDescent="0.2">
      <c r="J388"/>
      <c r="K388"/>
      <c r="L388"/>
      <c r="M388"/>
      <c r="N388" s="392"/>
      <c r="O388" s="2"/>
      <c r="S388"/>
      <c r="T388"/>
      <c r="U388"/>
      <c r="W388"/>
    </row>
    <row r="389" spans="10:23" s="1" customFormat="1" x14ac:dyDescent="0.2">
      <c r="J389"/>
      <c r="K389"/>
      <c r="L389"/>
      <c r="M389"/>
      <c r="N389" s="392"/>
      <c r="O389" s="2"/>
      <c r="S389"/>
      <c r="T389"/>
      <c r="U389"/>
      <c r="W389"/>
    </row>
    <row r="390" spans="10:23" s="1" customFormat="1" x14ac:dyDescent="0.2">
      <c r="J390"/>
      <c r="K390"/>
      <c r="L390"/>
      <c r="M390"/>
      <c r="N390" s="392"/>
      <c r="O390" s="2"/>
      <c r="S390"/>
      <c r="T390"/>
      <c r="U390"/>
      <c r="W390"/>
    </row>
    <row r="391" spans="10:23" s="1" customFormat="1" x14ac:dyDescent="0.2">
      <c r="J391"/>
      <c r="K391"/>
      <c r="L391"/>
      <c r="M391"/>
      <c r="N391" s="392"/>
      <c r="O391" s="2"/>
      <c r="S391"/>
      <c r="T391"/>
      <c r="U391"/>
      <c r="W391"/>
    </row>
    <row r="392" spans="10:23" s="1" customFormat="1" x14ac:dyDescent="0.2">
      <c r="J392"/>
      <c r="K392"/>
      <c r="L392"/>
      <c r="M392"/>
      <c r="N392" s="392"/>
      <c r="O392" s="2"/>
      <c r="S392"/>
      <c r="T392"/>
      <c r="U392"/>
      <c r="W392"/>
    </row>
    <row r="393" spans="10:23" s="1" customFormat="1" x14ac:dyDescent="0.2">
      <c r="J393"/>
      <c r="K393"/>
      <c r="L393"/>
      <c r="M393"/>
      <c r="N393" s="392"/>
      <c r="O393" s="2"/>
      <c r="S393"/>
      <c r="T393"/>
      <c r="U393"/>
      <c r="W393"/>
    </row>
    <row r="394" spans="10:23" s="1" customFormat="1" x14ac:dyDescent="0.2">
      <c r="J394"/>
      <c r="K394"/>
      <c r="L394"/>
      <c r="M394"/>
      <c r="N394" s="392"/>
      <c r="O394" s="2"/>
      <c r="S394"/>
      <c r="T394"/>
      <c r="U394"/>
      <c r="W394"/>
    </row>
    <row r="395" spans="10:23" s="1" customFormat="1" x14ac:dyDescent="0.2">
      <c r="J395"/>
      <c r="K395"/>
      <c r="L395"/>
      <c r="M395"/>
      <c r="N395" s="392"/>
      <c r="O395" s="2"/>
      <c r="S395"/>
      <c r="T395"/>
      <c r="U395"/>
      <c r="W395"/>
    </row>
    <row r="396" spans="10:23" s="1" customFormat="1" x14ac:dyDescent="0.2">
      <c r="J396"/>
      <c r="K396"/>
      <c r="L396"/>
      <c r="M396"/>
      <c r="N396" s="392"/>
      <c r="O396" s="2"/>
      <c r="S396"/>
      <c r="T396"/>
      <c r="U396"/>
      <c r="W396"/>
    </row>
    <row r="397" spans="10:23" s="1" customFormat="1" x14ac:dyDescent="0.2">
      <c r="J397"/>
      <c r="K397"/>
      <c r="L397"/>
      <c r="M397"/>
      <c r="N397" s="392"/>
      <c r="O397" s="2"/>
      <c r="S397"/>
      <c r="T397"/>
      <c r="U397"/>
      <c r="W397"/>
    </row>
    <row r="398" spans="10:23" s="1" customFormat="1" x14ac:dyDescent="0.2">
      <c r="J398"/>
      <c r="K398"/>
      <c r="L398"/>
      <c r="M398"/>
      <c r="N398" s="392"/>
      <c r="O398" s="2"/>
      <c r="S398"/>
      <c r="T398"/>
      <c r="U398"/>
      <c r="W398"/>
    </row>
    <row r="399" spans="10:23" s="1" customFormat="1" x14ac:dyDescent="0.2">
      <c r="J399"/>
      <c r="K399"/>
      <c r="L399"/>
      <c r="M399"/>
      <c r="N399" s="392"/>
      <c r="O399" s="2"/>
      <c r="S399"/>
      <c r="T399"/>
      <c r="U399"/>
      <c r="W399"/>
    </row>
    <row r="400" spans="10:23" s="1" customFormat="1" x14ac:dyDescent="0.2">
      <c r="J400"/>
      <c r="K400"/>
      <c r="L400"/>
      <c r="M400"/>
      <c r="N400" s="392"/>
      <c r="O400" s="2"/>
      <c r="S400"/>
      <c r="T400"/>
      <c r="U400"/>
      <c r="W400"/>
    </row>
    <row r="401" spans="10:23" s="1" customFormat="1" x14ac:dyDescent="0.2">
      <c r="J401"/>
      <c r="K401"/>
      <c r="L401"/>
      <c r="M401"/>
      <c r="N401" s="392"/>
      <c r="O401" s="2"/>
      <c r="S401"/>
      <c r="T401"/>
      <c r="U401"/>
      <c r="W401"/>
    </row>
    <row r="402" spans="10:23" s="1" customFormat="1" x14ac:dyDescent="0.2">
      <c r="J402"/>
      <c r="K402"/>
      <c r="L402"/>
      <c r="M402"/>
      <c r="N402" s="392"/>
      <c r="O402" s="2"/>
      <c r="S402"/>
      <c r="T402"/>
      <c r="U402"/>
      <c r="W402"/>
    </row>
    <row r="403" spans="10:23" s="1" customFormat="1" x14ac:dyDescent="0.2">
      <c r="J403"/>
      <c r="K403"/>
      <c r="L403"/>
      <c r="M403"/>
      <c r="N403" s="392"/>
      <c r="O403" s="2"/>
      <c r="S403"/>
      <c r="T403"/>
      <c r="U403"/>
      <c r="W403"/>
    </row>
    <row r="404" spans="10:23" s="1" customFormat="1" x14ac:dyDescent="0.2">
      <c r="J404"/>
      <c r="K404"/>
      <c r="L404"/>
      <c r="M404"/>
      <c r="N404" s="392"/>
      <c r="O404" s="2"/>
      <c r="S404"/>
      <c r="T404"/>
      <c r="U404"/>
      <c r="W404"/>
    </row>
    <row r="405" spans="10:23" s="1" customFormat="1" x14ac:dyDescent="0.2">
      <c r="J405"/>
      <c r="K405"/>
      <c r="L405"/>
      <c r="M405"/>
      <c r="N405" s="392"/>
      <c r="O405" s="2"/>
      <c r="S405"/>
      <c r="T405"/>
      <c r="U405"/>
      <c r="W405"/>
    </row>
    <row r="406" spans="10:23" s="1" customFormat="1" x14ac:dyDescent="0.2">
      <c r="J406"/>
      <c r="K406"/>
      <c r="L406"/>
      <c r="M406"/>
      <c r="N406" s="392"/>
      <c r="O406" s="2"/>
      <c r="S406"/>
      <c r="T406"/>
      <c r="U406"/>
      <c r="W406"/>
    </row>
    <row r="407" spans="10:23" s="1" customFormat="1" x14ac:dyDescent="0.2">
      <c r="J407"/>
      <c r="K407"/>
      <c r="L407"/>
      <c r="M407"/>
      <c r="N407" s="392"/>
      <c r="O407" s="2"/>
      <c r="S407"/>
      <c r="T407"/>
      <c r="U407"/>
      <c r="W407"/>
    </row>
    <row r="408" spans="10:23" s="1" customFormat="1" x14ac:dyDescent="0.2">
      <c r="J408"/>
      <c r="K408"/>
      <c r="L408"/>
      <c r="M408"/>
      <c r="N408" s="392"/>
      <c r="O408" s="2"/>
      <c r="S408"/>
      <c r="T408"/>
      <c r="U408"/>
      <c r="W408"/>
    </row>
    <row r="409" spans="10:23" s="1" customFormat="1" x14ac:dyDescent="0.2">
      <c r="J409"/>
      <c r="K409"/>
      <c r="L409"/>
      <c r="M409"/>
      <c r="N409" s="392"/>
      <c r="O409" s="2"/>
      <c r="S409"/>
      <c r="T409"/>
      <c r="U409"/>
      <c r="W409"/>
    </row>
    <row r="410" spans="10:23" s="1" customFormat="1" x14ac:dyDescent="0.2">
      <c r="J410"/>
      <c r="K410"/>
      <c r="L410"/>
      <c r="M410"/>
      <c r="N410" s="392"/>
      <c r="O410" s="2"/>
      <c r="S410"/>
      <c r="T410"/>
      <c r="U410"/>
      <c r="W410"/>
    </row>
    <row r="411" spans="10:23" s="1" customFormat="1" x14ac:dyDescent="0.2">
      <c r="J411"/>
      <c r="K411"/>
      <c r="L411"/>
      <c r="M411"/>
      <c r="N411" s="392"/>
      <c r="O411" s="2"/>
      <c r="S411"/>
      <c r="T411"/>
      <c r="U411"/>
      <c r="W411"/>
    </row>
    <row r="412" spans="10:23" s="1" customFormat="1" x14ac:dyDescent="0.2">
      <c r="J412"/>
      <c r="K412"/>
      <c r="L412"/>
      <c r="M412"/>
      <c r="N412" s="392"/>
      <c r="O412" s="2"/>
      <c r="S412"/>
      <c r="T412"/>
      <c r="U412"/>
      <c r="W412"/>
    </row>
    <row r="413" spans="10:23" s="1" customFormat="1" x14ac:dyDescent="0.2">
      <c r="J413"/>
      <c r="K413"/>
      <c r="L413"/>
      <c r="M413"/>
      <c r="N413" s="392"/>
      <c r="O413" s="2"/>
      <c r="S413"/>
      <c r="T413"/>
      <c r="U413"/>
      <c r="W413"/>
    </row>
    <row r="414" spans="10:23" s="1" customFormat="1" x14ac:dyDescent="0.2">
      <c r="J414"/>
      <c r="K414"/>
      <c r="L414"/>
      <c r="M414"/>
      <c r="N414" s="392"/>
      <c r="O414" s="2"/>
      <c r="S414"/>
      <c r="T414"/>
      <c r="U414"/>
      <c r="W414"/>
    </row>
    <row r="415" spans="10:23" s="1" customFormat="1" x14ac:dyDescent="0.2">
      <c r="J415"/>
      <c r="K415"/>
      <c r="L415"/>
      <c r="M415"/>
      <c r="N415" s="392"/>
      <c r="O415" s="2"/>
      <c r="S415"/>
      <c r="T415"/>
      <c r="U415"/>
      <c r="W415"/>
    </row>
    <row r="416" spans="10:23" s="1" customFormat="1" x14ac:dyDescent="0.2">
      <c r="J416"/>
      <c r="K416"/>
      <c r="L416"/>
      <c r="M416"/>
      <c r="N416" s="392"/>
      <c r="O416" s="2"/>
      <c r="S416"/>
      <c r="T416"/>
      <c r="U416"/>
      <c r="W416"/>
    </row>
    <row r="417" spans="10:23" s="1" customFormat="1" x14ac:dyDescent="0.2">
      <c r="J417"/>
      <c r="K417"/>
      <c r="L417"/>
      <c r="M417"/>
      <c r="N417" s="392"/>
      <c r="O417" s="2"/>
      <c r="S417"/>
      <c r="T417"/>
      <c r="U417"/>
      <c r="W417"/>
    </row>
    <row r="418" spans="10:23" s="1" customFormat="1" x14ac:dyDescent="0.2">
      <c r="J418"/>
      <c r="K418"/>
      <c r="L418"/>
      <c r="M418"/>
      <c r="N418" s="392"/>
      <c r="O418" s="2"/>
      <c r="S418"/>
      <c r="T418"/>
      <c r="U418"/>
      <c r="W418"/>
    </row>
    <row r="419" spans="10:23" s="1" customFormat="1" x14ac:dyDescent="0.2">
      <c r="J419"/>
      <c r="K419"/>
      <c r="L419"/>
      <c r="M419"/>
      <c r="N419" s="392"/>
      <c r="O419" s="2"/>
      <c r="S419"/>
      <c r="T419"/>
      <c r="U419"/>
      <c r="W419"/>
    </row>
    <row r="420" spans="10:23" s="1" customFormat="1" x14ac:dyDescent="0.2">
      <c r="J420"/>
      <c r="K420"/>
      <c r="L420"/>
      <c r="M420"/>
      <c r="N420" s="392"/>
      <c r="O420" s="2"/>
      <c r="S420"/>
      <c r="T420"/>
      <c r="U420"/>
      <c r="W420"/>
    </row>
    <row r="421" spans="10:23" s="1" customFormat="1" x14ac:dyDescent="0.2">
      <c r="J421"/>
      <c r="K421"/>
      <c r="L421"/>
      <c r="M421"/>
      <c r="N421" s="392"/>
      <c r="O421" s="2"/>
      <c r="S421"/>
      <c r="T421"/>
      <c r="U421"/>
      <c r="W421"/>
    </row>
    <row r="422" spans="10:23" s="1" customFormat="1" x14ac:dyDescent="0.2">
      <c r="J422"/>
      <c r="K422"/>
      <c r="L422"/>
      <c r="M422"/>
      <c r="N422" s="392"/>
      <c r="O422" s="2"/>
      <c r="S422"/>
      <c r="T422"/>
      <c r="U422"/>
      <c r="W422"/>
    </row>
    <row r="423" spans="10:23" s="1" customFormat="1" x14ac:dyDescent="0.2">
      <c r="J423"/>
      <c r="K423"/>
      <c r="L423"/>
      <c r="M423"/>
      <c r="N423" s="392"/>
      <c r="O423" s="2"/>
      <c r="S423"/>
      <c r="T423"/>
      <c r="U423"/>
      <c r="W423"/>
    </row>
    <row r="424" spans="10:23" s="1" customFormat="1" x14ac:dyDescent="0.2">
      <c r="J424"/>
      <c r="K424"/>
      <c r="L424"/>
      <c r="M424"/>
      <c r="N424" s="392"/>
      <c r="O424" s="2"/>
      <c r="S424"/>
      <c r="T424"/>
      <c r="U424"/>
      <c r="W424"/>
    </row>
    <row r="425" spans="10:23" s="1" customFormat="1" x14ac:dyDescent="0.2">
      <c r="J425"/>
      <c r="K425"/>
      <c r="L425"/>
      <c r="M425"/>
      <c r="N425" s="392"/>
      <c r="O425" s="2"/>
      <c r="S425"/>
      <c r="T425"/>
      <c r="U425"/>
      <c r="W425"/>
    </row>
    <row r="426" spans="10:23" s="1" customFormat="1" x14ac:dyDescent="0.2">
      <c r="J426"/>
      <c r="K426"/>
      <c r="L426"/>
      <c r="M426"/>
      <c r="N426" s="392"/>
      <c r="O426" s="2"/>
      <c r="S426"/>
      <c r="T426"/>
      <c r="U426"/>
      <c r="W426"/>
    </row>
    <row r="427" spans="10:23" s="1" customFormat="1" x14ac:dyDescent="0.2">
      <c r="J427"/>
      <c r="K427"/>
      <c r="L427"/>
      <c r="M427"/>
      <c r="N427" s="392"/>
      <c r="O427" s="2"/>
      <c r="S427"/>
      <c r="T427"/>
      <c r="U427"/>
      <c r="W427"/>
    </row>
    <row r="428" spans="10:23" s="1" customFormat="1" x14ac:dyDescent="0.2">
      <c r="J428"/>
      <c r="K428"/>
      <c r="L428"/>
      <c r="M428"/>
      <c r="N428" s="392"/>
      <c r="O428" s="2"/>
      <c r="S428"/>
      <c r="T428"/>
      <c r="U428"/>
      <c r="W428"/>
    </row>
    <row r="429" spans="10:23" s="1" customFormat="1" x14ac:dyDescent="0.2">
      <c r="J429"/>
      <c r="K429"/>
      <c r="L429"/>
      <c r="M429"/>
      <c r="N429" s="392"/>
      <c r="O429" s="2"/>
      <c r="S429"/>
      <c r="T429"/>
      <c r="U429"/>
      <c r="W429"/>
    </row>
    <row r="430" spans="10:23" s="1" customFormat="1" x14ac:dyDescent="0.2">
      <c r="J430"/>
      <c r="K430"/>
      <c r="L430"/>
      <c r="M430"/>
      <c r="N430" s="392"/>
      <c r="O430" s="2"/>
      <c r="S430"/>
      <c r="T430"/>
      <c r="U430"/>
      <c r="W430"/>
    </row>
    <row r="431" spans="10:23" s="1" customFormat="1" x14ac:dyDescent="0.2">
      <c r="J431"/>
      <c r="K431"/>
      <c r="L431"/>
      <c r="M431"/>
      <c r="N431" s="392"/>
      <c r="O431" s="2"/>
      <c r="S431"/>
      <c r="T431"/>
      <c r="U431"/>
      <c r="W431"/>
    </row>
    <row r="432" spans="10:23" s="1" customFormat="1" x14ac:dyDescent="0.2">
      <c r="J432"/>
      <c r="K432"/>
      <c r="L432"/>
      <c r="M432"/>
      <c r="N432" s="392"/>
      <c r="O432" s="2"/>
      <c r="S432"/>
      <c r="T432"/>
      <c r="U432"/>
      <c r="W432"/>
    </row>
    <row r="433" spans="10:23" s="1" customFormat="1" x14ac:dyDescent="0.2">
      <c r="J433"/>
      <c r="K433"/>
      <c r="L433"/>
      <c r="M433"/>
      <c r="N433" s="392"/>
      <c r="O433" s="2"/>
      <c r="S433"/>
      <c r="T433"/>
      <c r="U433"/>
      <c r="W433"/>
    </row>
    <row r="434" spans="10:23" s="1" customFormat="1" x14ac:dyDescent="0.2">
      <c r="J434"/>
      <c r="K434"/>
      <c r="L434"/>
      <c r="M434"/>
      <c r="N434" s="392"/>
      <c r="O434" s="2"/>
      <c r="S434"/>
      <c r="T434"/>
      <c r="U434"/>
      <c r="W434"/>
    </row>
    <row r="435" spans="10:23" s="1" customFormat="1" x14ac:dyDescent="0.2">
      <c r="J435"/>
      <c r="K435"/>
      <c r="L435"/>
      <c r="M435"/>
      <c r="N435" s="392"/>
      <c r="O435" s="2"/>
      <c r="S435"/>
      <c r="T435"/>
      <c r="U435"/>
      <c r="W435"/>
    </row>
    <row r="436" spans="10:23" s="1" customFormat="1" x14ac:dyDescent="0.2">
      <c r="J436"/>
      <c r="K436"/>
      <c r="L436"/>
      <c r="M436"/>
      <c r="N436" s="392"/>
      <c r="O436" s="2"/>
      <c r="S436"/>
      <c r="T436"/>
      <c r="U436"/>
      <c r="W436"/>
    </row>
    <row r="437" spans="10:23" s="1" customFormat="1" x14ac:dyDescent="0.2">
      <c r="J437"/>
      <c r="K437"/>
      <c r="L437"/>
      <c r="M437"/>
      <c r="N437" s="392"/>
      <c r="O437" s="2"/>
      <c r="S437"/>
      <c r="T437"/>
      <c r="U437"/>
      <c r="W437"/>
    </row>
    <row r="438" spans="10:23" s="1" customFormat="1" x14ac:dyDescent="0.2">
      <c r="J438"/>
      <c r="K438"/>
      <c r="L438"/>
      <c r="M438"/>
      <c r="N438" s="392"/>
      <c r="O438" s="2"/>
      <c r="S438"/>
      <c r="T438"/>
      <c r="U438"/>
      <c r="W438"/>
    </row>
    <row r="439" spans="10:23" s="1" customFormat="1" x14ac:dyDescent="0.2">
      <c r="J439"/>
      <c r="K439"/>
      <c r="L439"/>
      <c r="M439"/>
      <c r="N439" s="392"/>
      <c r="O439" s="2"/>
      <c r="S439"/>
      <c r="T439"/>
      <c r="U439"/>
      <c r="W439"/>
    </row>
    <row r="440" spans="10:23" s="1" customFormat="1" x14ac:dyDescent="0.2">
      <c r="J440"/>
      <c r="K440"/>
      <c r="L440"/>
      <c r="M440"/>
      <c r="N440" s="392"/>
      <c r="O440" s="2"/>
      <c r="S440"/>
      <c r="T440"/>
      <c r="U440"/>
      <c r="W440"/>
    </row>
    <row r="441" spans="10:23" s="1" customFormat="1" x14ac:dyDescent="0.2">
      <c r="J441"/>
      <c r="K441"/>
      <c r="L441"/>
      <c r="M441"/>
      <c r="N441" s="392"/>
      <c r="O441" s="2"/>
      <c r="S441"/>
      <c r="T441"/>
      <c r="U441"/>
      <c r="W441"/>
    </row>
    <row r="442" spans="10:23" s="1" customFormat="1" x14ac:dyDescent="0.2">
      <c r="J442"/>
      <c r="K442"/>
      <c r="L442"/>
      <c r="M442"/>
      <c r="N442" s="392"/>
      <c r="O442" s="2"/>
      <c r="S442"/>
      <c r="T442"/>
      <c r="U442"/>
      <c r="W442"/>
    </row>
    <row r="443" spans="10:23" s="1" customFormat="1" x14ac:dyDescent="0.2">
      <c r="J443"/>
      <c r="K443"/>
      <c r="L443"/>
      <c r="M443"/>
      <c r="N443" s="392"/>
      <c r="O443" s="2"/>
      <c r="S443"/>
      <c r="T443"/>
      <c r="U443"/>
      <c r="W443"/>
    </row>
    <row r="444" spans="10:23" s="1" customFormat="1" x14ac:dyDescent="0.2">
      <c r="J444"/>
      <c r="K444"/>
      <c r="L444"/>
      <c r="M444"/>
      <c r="N444" s="392"/>
      <c r="O444" s="2"/>
      <c r="S444"/>
      <c r="T444"/>
      <c r="U444"/>
      <c r="W444"/>
    </row>
    <row r="445" spans="10:23" s="1" customFormat="1" x14ac:dyDescent="0.2">
      <c r="J445"/>
      <c r="K445"/>
      <c r="L445"/>
      <c r="M445"/>
      <c r="N445" s="392"/>
      <c r="O445" s="2"/>
      <c r="S445"/>
      <c r="T445"/>
      <c r="U445"/>
      <c r="W445"/>
    </row>
    <row r="446" spans="10:23" s="1" customFormat="1" x14ac:dyDescent="0.2">
      <c r="J446"/>
      <c r="K446"/>
      <c r="L446"/>
      <c r="M446"/>
      <c r="N446" s="392"/>
      <c r="O446" s="2"/>
      <c r="S446"/>
      <c r="T446"/>
      <c r="U446"/>
      <c r="W446"/>
    </row>
    <row r="447" spans="10:23" s="1" customFormat="1" x14ac:dyDescent="0.2">
      <c r="J447"/>
      <c r="K447"/>
      <c r="L447"/>
      <c r="M447"/>
      <c r="N447" s="392"/>
      <c r="O447" s="2"/>
      <c r="S447"/>
      <c r="T447"/>
      <c r="U447"/>
      <c r="W447"/>
    </row>
    <row r="448" spans="10:23" s="1" customFormat="1" x14ac:dyDescent="0.2">
      <c r="J448"/>
      <c r="K448"/>
      <c r="L448"/>
      <c r="M448"/>
      <c r="N448" s="392"/>
      <c r="O448" s="2"/>
      <c r="S448"/>
      <c r="T448"/>
      <c r="U448"/>
      <c r="W448"/>
    </row>
    <row r="449" spans="10:23" s="1" customFormat="1" x14ac:dyDescent="0.2">
      <c r="J449"/>
      <c r="K449"/>
      <c r="L449"/>
      <c r="M449"/>
      <c r="N449" s="392"/>
      <c r="O449" s="2"/>
      <c r="S449"/>
      <c r="T449"/>
      <c r="U449"/>
      <c r="W449"/>
    </row>
    <row r="450" spans="10:23" s="1" customFormat="1" x14ac:dyDescent="0.2">
      <c r="J450"/>
      <c r="K450"/>
      <c r="L450"/>
      <c r="M450"/>
      <c r="N450" s="392"/>
      <c r="O450" s="2"/>
      <c r="S450"/>
      <c r="T450"/>
      <c r="U450"/>
      <c r="W450"/>
    </row>
    <row r="451" spans="10:23" s="1" customFormat="1" x14ac:dyDescent="0.2">
      <c r="J451"/>
      <c r="K451"/>
      <c r="L451"/>
      <c r="M451"/>
      <c r="N451" s="392"/>
      <c r="O451" s="2"/>
      <c r="S451"/>
      <c r="T451"/>
      <c r="U451"/>
      <c r="W451"/>
    </row>
    <row r="452" spans="10:23" s="1" customFormat="1" x14ac:dyDescent="0.2">
      <c r="J452"/>
      <c r="K452"/>
      <c r="L452"/>
      <c r="M452"/>
      <c r="N452" s="392"/>
      <c r="O452" s="2"/>
      <c r="S452"/>
      <c r="T452"/>
      <c r="U452"/>
      <c r="W452"/>
    </row>
    <row r="453" spans="10:23" s="1" customFormat="1" x14ac:dyDescent="0.2">
      <c r="J453"/>
      <c r="K453"/>
      <c r="L453"/>
      <c r="M453"/>
      <c r="N453" s="392"/>
      <c r="O453" s="2"/>
      <c r="S453"/>
      <c r="T453"/>
      <c r="U453"/>
      <c r="W453"/>
    </row>
    <row r="454" spans="10:23" s="1" customFormat="1" x14ac:dyDescent="0.2">
      <c r="J454"/>
      <c r="K454"/>
      <c r="L454"/>
      <c r="M454"/>
      <c r="N454" s="392"/>
      <c r="O454" s="2"/>
      <c r="S454"/>
      <c r="T454"/>
      <c r="U454"/>
      <c r="W454"/>
    </row>
    <row r="455" spans="10:23" s="1" customFormat="1" x14ac:dyDescent="0.2">
      <c r="J455"/>
      <c r="K455"/>
      <c r="L455"/>
      <c r="M455"/>
      <c r="N455" s="392"/>
      <c r="O455" s="2"/>
      <c r="S455"/>
      <c r="T455"/>
      <c r="U455"/>
      <c r="W455"/>
    </row>
    <row r="456" spans="10:23" s="1" customFormat="1" x14ac:dyDescent="0.2">
      <c r="J456"/>
      <c r="K456"/>
      <c r="L456"/>
      <c r="M456"/>
      <c r="N456" s="392"/>
      <c r="O456" s="2"/>
      <c r="S456"/>
      <c r="T456"/>
      <c r="U456"/>
      <c r="W456"/>
    </row>
    <row r="457" spans="10:23" s="1" customFormat="1" x14ac:dyDescent="0.2">
      <c r="J457"/>
      <c r="K457"/>
      <c r="L457"/>
      <c r="M457"/>
      <c r="N457" s="392"/>
      <c r="O457" s="2"/>
      <c r="S457"/>
      <c r="T457"/>
      <c r="U457"/>
      <c r="W457"/>
    </row>
    <row r="458" spans="10:23" s="1" customFormat="1" x14ac:dyDescent="0.2">
      <c r="J458"/>
      <c r="K458"/>
      <c r="L458"/>
      <c r="M458"/>
      <c r="N458" s="392"/>
      <c r="O458" s="2"/>
      <c r="S458"/>
      <c r="T458"/>
      <c r="U458"/>
      <c r="W458"/>
    </row>
    <row r="459" spans="10:23" s="1" customFormat="1" x14ac:dyDescent="0.2">
      <c r="J459"/>
      <c r="K459"/>
      <c r="L459"/>
      <c r="M459"/>
      <c r="N459" s="392"/>
      <c r="O459" s="2"/>
      <c r="S459"/>
      <c r="T459"/>
      <c r="U459"/>
      <c r="W459"/>
    </row>
    <row r="460" spans="10:23" s="1" customFormat="1" x14ac:dyDescent="0.2">
      <c r="J460"/>
      <c r="K460"/>
      <c r="L460"/>
      <c r="M460"/>
      <c r="N460" s="392"/>
      <c r="O460" s="2"/>
      <c r="S460"/>
      <c r="T460"/>
      <c r="U460"/>
      <c r="W460"/>
    </row>
    <row r="461" spans="10:23" s="1" customFormat="1" x14ac:dyDescent="0.2">
      <c r="J461"/>
      <c r="K461"/>
      <c r="L461"/>
      <c r="M461"/>
      <c r="N461" s="392"/>
      <c r="O461" s="2"/>
      <c r="S461"/>
      <c r="T461"/>
      <c r="U461"/>
      <c r="W461"/>
    </row>
    <row r="462" spans="10:23" s="1" customFormat="1" x14ac:dyDescent="0.2">
      <c r="J462"/>
      <c r="K462"/>
      <c r="L462"/>
      <c r="M462"/>
      <c r="N462" s="392"/>
      <c r="O462" s="2"/>
      <c r="S462"/>
      <c r="T462"/>
      <c r="U462"/>
      <c r="W462"/>
    </row>
    <row r="463" spans="10:23" s="1" customFormat="1" x14ac:dyDescent="0.2">
      <c r="J463"/>
      <c r="K463"/>
      <c r="L463"/>
      <c r="M463"/>
      <c r="N463" s="392"/>
      <c r="O463" s="2"/>
      <c r="S463"/>
      <c r="T463"/>
      <c r="U463"/>
      <c r="W463"/>
    </row>
    <row r="464" spans="10:23" s="1" customFormat="1" x14ac:dyDescent="0.2">
      <c r="J464"/>
      <c r="K464"/>
      <c r="L464"/>
      <c r="M464"/>
      <c r="N464" s="392"/>
      <c r="O464" s="2"/>
      <c r="S464"/>
      <c r="T464"/>
      <c r="U464"/>
      <c r="W464"/>
    </row>
    <row r="465" spans="10:23" s="1" customFormat="1" x14ac:dyDescent="0.2">
      <c r="J465"/>
      <c r="K465"/>
      <c r="L465"/>
      <c r="M465"/>
      <c r="N465" s="392"/>
      <c r="O465" s="2"/>
      <c r="S465"/>
      <c r="T465"/>
      <c r="U465"/>
      <c r="W465"/>
    </row>
    <row r="466" spans="10:23" s="1" customFormat="1" x14ac:dyDescent="0.2">
      <c r="J466"/>
      <c r="K466"/>
      <c r="L466"/>
      <c r="M466"/>
      <c r="N466" s="392"/>
      <c r="O466" s="2"/>
      <c r="S466"/>
      <c r="T466"/>
      <c r="U466"/>
      <c r="W466"/>
    </row>
    <row r="467" spans="10:23" s="1" customFormat="1" x14ac:dyDescent="0.2">
      <c r="J467"/>
      <c r="K467"/>
      <c r="L467"/>
      <c r="M467"/>
      <c r="N467" s="392"/>
      <c r="O467" s="2"/>
      <c r="S467"/>
      <c r="T467"/>
      <c r="U467"/>
      <c r="W467"/>
    </row>
    <row r="468" spans="10:23" s="1" customFormat="1" x14ac:dyDescent="0.2">
      <c r="J468"/>
      <c r="K468"/>
      <c r="L468"/>
      <c r="M468"/>
      <c r="N468" s="392"/>
      <c r="O468" s="2"/>
      <c r="S468"/>
      <c r="T468"/>
      <c r="U468"/>
      <c r="W468"/>
    </row>
    <row r="469" spans="10:23" s="1" customFormat="1" x14ac:dyDescent="0.2">
      <c r="J469"/>
      <c r="K469"/>
      <c r="L469"/>
      <c r="M469"/>
      <c r="N469" s="392"/>
      <c r="O469" s="2"/>
      <c r="S469"/>
      <c r="T469"/>
      <c r="U469"/>
      <c r="W469"/>
    </row>
    <row r="470" spans="10:23" s="1" customFormat="1" x14ac:dyDescent="0.2">
      <c r="J470"/>
      <c r="K470"/>
      <c r="L470"/>
      <c r="M470"/>
      <c r="N470" s="392"/>
      <c r="O470" s="2"/>
      <c r="S470"/>
      <c r="T470"/>
      <c r="U470"/>
      <c r="W470"/>
    </row>
    <row r="471" spans="10:23" s="1" customFormat="1" x14ac:dyDescent="0.2">
      <c r="J471"/>
      <c r="K471"/>
      <c r="L471"/>
      <c r="M471"/>
      <c r="N471" s="392"/>
      <c r="O471" s="2"/>
      <c r="S471"/>
      <c r="T471"/>
      <c r="U471"/>
      <c r="W471"/>
    </row>
    <row r="472" spans="10:23" s="1" customFormat="1" x14ac:dyDescent="0.2">
      <c r="J472"/>
      <c r="K472"/>
      <c r="L472"/>
      <c r="M472"/>
      <c r="N472" s="392"/>
      <c r="O472" s="2"/>
      <c r="S472"/>
      <c r="T472"/>
      <c r="U472"/>
      <c r="W472"/>
    </row>
    <row r="473" spans="10:23" s="1" customFormat="1" x14ac:dyDescent="0.2">
      <c r="J473"/>
      <c r="K473"/>
      <c r="L473"/>
      <c r="M473"/>
      <c r="N473" s="392"/>
      <c r="O473" s="2"/>
      <c r="S473"/>
      <c r="T473"/>
      <c r="U473"/>
      <c r="W473"/>
    </row>
    <row r="474" spans="10:23" s="1" customFormat="1" x14ac:dyDescent="0.2">
      <c r="J474"/>
      <c r="K474"/>
      <c r="L474"/>
      <c r="M474"/>
      <c r="N474" s="392"/>
      <c r="O474" s="2"/>
      <c r="S474"/>
      <c r="T474"/>
      <c r="U474"/>
      <c r="W474"/>
    </row>
    <row r="475" spans="10:23" s="1" customFormat="1" x14ac:dyDescent="0.2">
      <c r="J475"/>
      <c r="K475"/>
      <c r="L475"/>
      <c r="M475"/>
      <c r="N475" s="392"/>
      <c r="O475" s="2"/>
      <c r="S475"/>
      <c r="T475"/>
      <c r="U475"/>
      <c r="W475"/>
    </row>
    <row r="476" spans="10:23" s="1" customFormat="1" x14ac:dyDescent="0.2">
      <c r="J476"/>
      <c r="K476"/>
      <c r="L476"/>
      <c r="M476"/>
      <c r="N476" s="392"/>
      <c r="O476" s="2"/>
      <c r="S476"/>
      <c r="T476"/>
      <c r="U476"/>
      <c r="W476"/>
    </row>
    <row r="477" spans="10:23" s="1" customFormat="1" x14ac:dyDescent="0.2">
      <c r="J477"/>
      <c r="K477"/>
      <c r="L477"/>
      <c r="M477"/>
      <c r="N477" s="392"/>
      <c r="O477" s="2"/>
      <c r="S477"/>
      <c r="T477"/>
      <c r="U477"/>
      <c r="W477"/>
    </row>
    <row r="478" spans="10:23" s="1" customFormat="1" x14ac:dyDescent="0.2">
      <c r="J478"/>
      <c r="K478"/>
      <c r="L478"/>
      <c r="M478"/>
      <c r="N478" s="392"/>
      <c r="O478" s="2"/>
      <c r="S478"/>
      <c r="T478"/>
      <c r="U478"/>
      <c r="W478"/>
    </row>
    <row r="479" spans="10:23" s="1" customFormat="1" x14ac:dyDescent="0.2">
      <c r="J479"/>
      <c r="K479"/>
      <c r="L479"/>
      <c r="M479"/>
      <c r="N479" s="392"/>
      <c r="O479" s="2"/>
      <c r="S479"/>
      <c r="T479"/>
      <c r="U479"/>
      <c r="W479"/>
    </row>
    <row r="480" spans="10:23" s="1" customFormat="1" x14ac:dyDescent="0.2">
      <c r="J480"/>
      <c r="K480"/>
      <c r="L480"/>
      <c r="M480"/>
      <c r="N480" s="392"/>
      <c r="O480" s="2"/>
      <c r="S480"/>
      <c r="T480"/>
      <c r="U480"/>
      <c r="W480"/>
    </row>
    <row r="481" spans="10:23" s="1" customFormat="1" x14ac:dyDescent="0.2">
      <c r="J481"/>
      <c r="K481"/>
      <c r="L481"/>
      <c r="M481"/>
      <c r="N481" s="392"/>
      <c r="O481" s="2"/>
      <c r="S481"/>
      <c r="T481"/>
      <c r="U481"/>
      <c r="W481"/>
    </row>
    <row r="482" spans="10:23" s="1" customFormat="1" x14ac:dyDescent="0.2">
      <c r="J482"/>
      <c r="K482"/>
      <c r="L482"/>
      <c r="M482"/>
      <c r="N482" s="392"/>
      <c r="O482" s="2"/>
      <c r="S482"/>
      <c r="T482"/>
      <c r="U482"/>
      <c r="W482"/>
    </row>
    <row r="483" spans="10:23" s="1" customFormat="1" x14ac:dyDescent="0.2">
      <c r="J483"/>
      <c r="K483"/>
      <c r="L483"/>
      <c r="M483"/>
      <c r="N483" s="392"/>
      <c r="O483" s="2"/>
      <c r="S483"/>
      <c r="T483"/>
      <c r="U483"/>
      <c r="W483"/>
    </row>
    <row r="484" spans="10:23" s="1" customFormat="1" x14ac:dyDescent="0.2">
      <c r="J484"/>
      <c r="K484"/>
      <c r="L484"/>
      <c r="M484"/>
      <c r="N484" s="392"/>
      <c r="O484" s="2"/>
      <c r="S484"/>
      <c r="T484"/>
      <c r="U484"/>
      <c r="W484"/>
    </row>
    <row r="485" spans="10:23" s="1" customFormat="1" x14ac:dyDescent="0.2">
      <c r="J485"/>
      <c r="K485"/>
      <c r="L485"/>
      <c r="M485"/>
      <c r="N485" s="392"/>
      <c r="O485" s="2"/>
      <c r="S485"/>
      <c r="T485"/>
      <c r="U485"/>
      <c r="W485"/>
    </row>
    <row r="486" spans="10:23" s="1" customFormat="1" x14ac:dyDescent="0.2">
      <c r="J486"/>
      <c r="K486"/>
      <c r="L486"/>
      <c r="M486"/>
      <c r="N486" s="392"/>
      <c r="O486" s="2"/>
      <c r="S486"/>
      <c r="T486"/>
      <c r="U486"/>
      <c r="W486"/>
    </row>
    <row r="487" spans="10:23" s="1" customFormat="1" x14ac:dyDescent="0.2">
      <c r="J487"/>
      <c r="K487"/>
      <c r="L487"/>
      <c r="M487"/>
      <c r="N487" s="392"/>
      <c r="O487" s="2"/>
      <c r="S487"/>
      <c r="T487"/>
      <c r="U487"/>
      <c r="W487"/>
    </row>
    <row r="488" spans="10:23" s="1" customFormat="1" x14ac:dyDescent="0.2">
      <c r="J488"/>
      <c r="K488"/>
      <c r="L488"/>
      <c r="M488"/>
      <c r="N488" s="392"/>
      <c r="O488" s="2"/>
      <c r="S488"/>
      <c r="T488"/>
      <c r="U488"/>
      <c r="W488"/>
    </row>
    <row r="489" spans="10:23" s="1" customFormat="1" x14ac:dyDescent="0.2">
      <c r="J489"/>
      <c r="K489"/>
      <c r="L489"/>
      <c r="M489"/>
      <c r="N489" s="392"/>
      <c r="O489" s="2"/>
      <c r="S489"/>
      <c r="T489"/>
      <c r="U489"/>
      <c r="W489"/>
    </row>
    <row r="490" spans="10:23" s="1" customFormat="1" x14ac:dyDescent="0.2">
      <c r="J490"/>
      <c r="K490"/>
      <c r="L490"/>
      <c r="M490"/>
      <c r="N490" s="392"/>
      <c r="O490" s="2"/>
      <c r="S490"/>
      <c r="T490"/>
      <c r="U490"/>
      <c r="W490"/>
    </row>
    <row r="491" spans="10:23" s="1" customFormat="1" x14ac:dyDescent="0.2">
      <c r="J491"/>
      <c r="K491"/>
      <c r="L491"/>
      <c r="M491"/>
      <c r="N491" s="392"/>
      <c r="O491" s="2"/>
      <c r="S491"/>
      <c r="T491"/>
      <c r="U491"/>
      <c r="W491"/>
    </row>
    <row r="492" spans="10:23" s="1" customFormat="1" x14ac:dyDescent="0.2">
      <c r="J492"/>
      <c r="K492"/>
      <c r="L492"/>
      <c r="M492"/>
      <c r="N492" s="392"/>
      <c r="O492" s="2"/>
      <c r="S492"/>
      <c r="T492"/>
      <c r="U492"/>
      <c r="W492"/>
    </row>
    <row r="493" spans="10:23" s="1" customFormat="1" x14ac:dyDescent="0.2">
      <c r="J493"/>
      <c r="K493"/>
      <c r="L493"/>
      <c r="M493"/>
      <c r="N493" s="392"/>
      <c r="O493" s="2"/>
      <c r="S493"/>
      <c r="T493"/>
      <c r="U493"/>
      <c r="W493"/>
    </row>
    <row r="494" spans="10:23" s="1" customFormat="1" x14ac:dyDescent="0.2">
      <c r="J494"/>
      <c r="K494"/>
      <c r="L494"/>
      <c r="M494"/>
      <c r="N494" s="392"/>
      <c r="O494" s="2"/>
      <c r="S494"/>
      <c r="T494"/>
      <c r="U494"/>
      <c r="W494"/>
    </row>
    <row r="495" spans="10:23" s="1" customFormat="1" x14ac:dyDescent="0.2">
      <c r="J495"/>
      <c r="K495"/>
      <c r="L495"/>
      <c r="M495"/>
      <c r="N495" s="392"/>
      <c r="O495" s="2"/>
      <c r="S495"/>
      <c r="T495"/>
      <c r="U495"/>
      <c r="W495"/>
    </row>
    <row r="496" spans="10:23" s="1" customFormat="1" x14ac:dyDescent="0.2">
      <c r="J496"/>
      <c r="K496"/>
      <c r="L496"/>
      <c r="M496"/>
      <c r="N496" s="392"/>
      <c r="O496" s="2"/>
      <c r="S496"/>
      <c r="T496"/>
      <c r="U496"/>
      <c r="W496"/>
    </row>
    <row r="497" spans="10:23" s="1" customFormat="1" x14ac:dyDescent="0.2">
      <c r="J497"/>
      <c r="K497"/>
      <c r="L497"/>
      <c r="M497"/>
      <c r="N497" s="392"/>
      <c r="O497" s="2"/>
      <c r="S497"/>
      <c r="T497"/>
      <c r="U497"/>
      <c r="W497"/>
    </row>
    <row r="498" spans="10:23" s="1" customFormat="1" x14ac:dyDescent="0.2">
      <c r="J498"/>
      <c r="K498"/>
      <c r="L498"/>
      <c r="M498"/>
      <c r="N498" s="392"/>
      <c r="O498" s="2"/>
      <c r="S498"/>
      <c r="T498"/>
      <c r="U498"/>
      <c r="W498"/>
    </row>
    <row r="499" spans="10:23" s="1" customFormat="1" x14ac:dyDescent="0.2">
      <c r="J499"/>
      <c r="K499"/>
      <c r="L499"/>
      <c r="M499"/>
      <c r="N499" s="392"/>
      <c r="O499" s="2"/>
      <c r="S499"/>
      <c r="T499"/>
      <c r="U499"/>
      <c r="W499"/>
    </row>
    <row r="500" spans="10:23" s="1" customFormat="1" x14ac:dyDescent="0.2">
      <c r="J500"/>
      <c r="K500"/>
      <c r="L500"/>
      <c r="M500"/>
      <c r="N500" s="392"/>
      <c r="O500" s="2"/>
      <c r="S500"/>
      <c r="T500"/>
      <c r="U500"/>
      <c r="W500"/>
    </row>
    <row r="501" spans="10:23" s="1" customFormat="1" x14ac:dyDescent="0.2">
      <c r="J501"/>
      <c r="K501"/>
      <c r="L501"/>
      <c r="M501"/>
      <c r="N501" s="392"/>
      <c r="O501" s="2"/>
      <c r="S501"/>
      <c r="T501"/>
      <c r="U501"/>
      <c r="W501"/>
    </row>
    <row r="502" spans="10:23" s="1" customFormat="1" x14ac:dyDescent="0.2">
      <c r="J502"/>
      <c r="K502"/>
      <c r="L502"/>
      <c r="M502"/>
      <c r="N502" s="392"/>
      <c r="O502" s="2"/>
      <c r="S502"/>
      <c r="T502"/>
      <c r="U502"/>
      <c r="W502"/>
    </row>
    <row r="503" spans="10:23" s="1" customFormat="1" x14ac:dyDescent="0.2">
      <c r="J503"/>
      <c r="K503"/>
      <c r="L503"/>
      <c r="M503"/>
      <c r="N503" s="392"/>
      <c r="O503" s="2"/>
      <c r="S503"/>
      <c r="T503"/>
      <c r="U503"/>
      <c r="W503"/>
    </row>
    <row r="504" spans="10:23" s="1" customFormat="1" x14ac:dyDescent="0.2">
      <c r="J504"/>
      <c r="K504"/>
      <c r="L504"/>
      <c r="M504"/>
      <c r="N504" s="392"/>
      <c r="O504" s="2"/>
      <c r="S504"/>
      <c r="T504"/>
      <c r="U504"/>
      <c r="W504"/>
    </row>
    <row r="505" spans="10:23" s="1" customFormat="1" x14ac:dyDescent="0.2">
      <c r="J505"/>
      <c r="K505"/>
      <c r="L505"/>
      <c r="M505"/>
      <c r="N505" s="392"/>
      <c r="O505" s="2"/>
      <c r="S505"/>
      <c r="T505"/>
      <c r="U505"/>
      <c r="W505"/>
    </row>
    <row r="506" spans="10:23" s="1" customFormat="1" x14ac:dyDescent="0.2">
      <c r="J506"/>
      <c r="K506"/>
      <c r="L506"/>
      <c r="M506"/>
      <c r="N506" s="392"/>
      <c r="O506" s="2"/>
      <c r="S506"/>
      <c r="T506"/>
      <c r="U506"/>
      <c r="W506"/>
    </row>
    <row r="507" spans="10:23" s="1" customFormat="1" x14ac:dyDescent="0.2">
      <c r="J507"/>
      <c r="K507"/>
      <c r="L507"/>
      <c r="M507"/>
      <c r="N507" s="392"/>
      <c r="O507" s="2"/>
      <c r="S507"/>
      <c r="T507"/>
      <c r="U507"/>
      <c r="W507"/>
    </row>
    <row r="508" spans="10:23" s="1" customFormat="1" x14ac:dyDescent="0.2">
      <c r="J508"/>
      <c r="K508"/>
      <c r="L508"/>
      <c r="M508"/>
      <c r="N508" s="392"/>
      <c r="O508" s="2"/>
      <c r="S508"/>
      <c r="T508"/>
      <c r="U508"/>
      <c r="W508"/>
    </row>
    <row r="509" spans="10:23" s="1" customFormat="1" x14ac:dyDescent="0.2">
      <c r="J509"/>
      <c r="K509"/>
      <c r="L509"/>
      <c r="M509"/>
      <c r="N509" s="392"/>
      <c r="O509" s="2"/>
      <c r="S509"/>
      <c r="T509"/>
      <c r="U509"/>
      <c r="W509"/>
    </row>
    <row r="510" spans="10:23" s="1" customFormat="1" x14ac:dyDescent="0.2">
      <c r="J510"/>
      <c r="K510"/>
      <c r="L510"/>
      <c r="M510"/>
      <c r="N510" s="392"/>
      <c r="O510" s="2"/>
      <c r="S510"/>
      <c r="T510"/>
      <c r="U510"/>
      <c r="W510"/>
    </row>
    <row r="511" spans="10:23" s="1" customFormat="1" x14ac:dyDescent="0.2">
      <c r="J511"/>
      <c r="K511"/>
      <c r="L511"/>
      <c r="M511"/>
      <c r="N511" s="392"/>
      <c r="O511" s="2"/>
      <c r="S511"/>
      <c r="T511"/>
      <c r="U511"/>
      <c r="W511"/>
    </row>
    <row r="512" spans="10:23" s="1" customFormat="1" x14ac:dyDescent="0.2">
      <c r="J512"/>
      <c r="K512"/>
      <c r="L512"/>
      <c r="M512"/>
      <c r="N512" s="392"/>
      <c r="O512" s="2"/>
      <c r="S512"/>
      <c r="T512"/>
      <c r="U512"/>
      <c r="W512"/>
    </row>
    <row r="513" spans="10:23" s="1" customFormat="1" x14ac:dyDescent="0.2">
      <c r="J513"/>
      <c r="K513"/>
      <c r="L513"/>
      <c r="M513"/>
      <c r="N513" s="392"/>
      <c r="O513" s="2"/>
      <c r="S513"/>
      <c r="T513"/>
      <c r="U513"/>
      <c r="W513"/>
    </row>
    <row r="514" spans="10:23" s="1" customFormat="1" x14ac:dyDescent="0.2">
      <c r="J514"/>
      <c r="K514"/>
      <c r="L514"/>
      <c r="M514"/>
      <c r="N514" s="392"/>
      <c r="O514" s="2"/>
      <c r="S514"/>
      <c r="T514"/>
      <c r="U514"/>
      <c r="W514"/>
    </row>
    <row r="515" spans="10:23" s="1" customFormat="1" x14ac:dyDescent="0.2">
      <c r="J515"/>
      <c r="K515"/>
      <c r="L515"/>
      <c r="M515"/>
      <c r="N515" s="392"/>
      <c r="O515" s="2"/>
      <c r="S515"/>
      <c r="T515"/>
      <c r="U515"/>
      <c r="W515"/>
    </row>
    <row r="516" spans="10:23" s="1" customFormat="1" x14ac:dyDescent="0.2">
      <c r="J516"/>
      <c r="K516"/>
      <c r="L516"/>
      <c r="M516"/>
      <c r="N516" s="392"/>
      <c r="O516" s="2"/>
      <c r="S516"/>
      <c r="T516"/>
      <c r="U516"/>
      <c r="W516"/>
    </row>
    <row r="517" spans="10:23" s="1" customFormat="1" x14ac:dyDescent="0.2">
      <c r="J517"/>
      <c r="K517"/>
      <c r="L517"/>
      <c r="M517"/>
      <c r="N517" s="392"/>
      <c r="O517" s="2"/>
      <c r="S517"/>
      <c r="T517"/>
      <c r="U517"/>
      <c r="W517"/>
    </row>
    <row r="518" spans="10:23" s="1" customFormat="1" x14ac:dyDescent="0.2">
      <c r="J518"/>
      <c r="K518"/>
      <c r="L518"/>
      <c r="M518"/>
      <c r="N518" s="392"/>
      <c r="O518" s="2"/>
      <c r="S518"/>
      <c r="T518"/>
      <c r="U518"/>
      <c r="W518"/>
    </row>
    <row r="519" spans="10:23" s="1" customFormat="1" x14ac:dyDescent="0.2">
      <c r="J519"/>
      <c r="K519"/>
      <c r="L519"/>
      <c r="M519"/>
      <c r="N519" s="392"/>
      <c r="O519" s="2"/>
      <c r="S519"/>
      <c r="T519"/>
      <c r="U519"/>
      <c r="W519"/>
    </row>
    <row r="520" spans="10:23" s="1" customFormat="1" x14ac:dyDescent="0.2">
      <c r="J520"/>
      <c r="K520"/>
      <c r="L520"/>
      <c r="M520"/>
      <c r="N520" s="392"/>
      <c r="O520" s="2"/>
      <c r="S520"/>
      <c r="T520"/>
      <c r="U520"/>
      <c r="W520"/>
    </row>
    <row r="521" spans="10:23" s="1" customFormat="1" x14ac:dyDescent="0.2">
      <c r="J521"/>
      <c r="K521"/>
      <c r="L521"/>
      <c r="M521"/>
      <c r="N521" s="392"/>
      <c r="O521" s="2"/>
      <c r="S521"/>
      <c r="T521"/>
      <c r="U521"/>
      <c r="W521"/>
    </row>
    <row r="522" spans="10:23" s="1" customFormat="1" x14ac:dyDescent="0.2">
      <c r="J522"/>
      <c r="K522"/>
      <c r="L522"/>
      <c r="M522"/>
      <c r="N522" s="392"/>
      <c r="O522" s="2"/>
      <c r="S522"/>
      <c r="T522"/>
      <c r="U522"/>
      <c r="W522"/>
    </row>
    <row r="523" spans="10:23" s="1" customFormat="1" x14ac:dyDescent="0.2">
      <c r="J523"/>
      <c r="K523"/>
      <c r="L523"/>
      <c r="M523"/>
      <c r="N523" s="392"/>
      <c r="O523" s="2"/>
      <c r="S523"/>
      <c r="T523"/>
      <c r="U523"/>
      <c r="W523"/>
    </row>
    <row r="524" spans="10:23" s="1" customFormat="1" x14ac:dyDescent="0.2">
      <c r="J524"/>
      <c r="K524"/>
      <c r="L524"/>
      <c r="M524"/>
      <c r="N524" s="392"/>
      <c r="O524" s="2"/>
      <c r="S524"/>
      <c r="T524"/>
      <c r="U524"/>
      <c r="W524"/>
    </row>
    <row r="525" spans="10:23" s="1" customFormat="1" x14ac:dyDescent="0.2">
      <c r="J525"/>
      <c r="K525"/>
      <c r="L525"/>
      <c r="M525"/>
      <c r="N525" s="392"/>
      <c r="O525" s="2"/>
      <c r="S525"/>
      <c r="T525"/>
      <c r="U525"/>
      <c r="W525"/>
    </row>
    <row r="526" spans="10:23" s="1" customFormat="1" x14ac:dyDescent="0.2">
      <c r="J526"/>
      <c r="K526"/>
      <c r="L526"/>
      <c r="M526"/>
      <c r="N526" s="392"/>
      <c r="O526" s="2"/>
      <c r="S526"/>
      <c r="T526"/>
      <c r="U526"/>
      <c r="W526"/>
    </row>
    <row r="527" spans="10:23" s="1" customFormat="1" x14ac:dyDescent="0.2">
      <c r="J527"/>
      <c r="K527"/>
      <c r="L527"/>
      <c r="M527"/>
      <c r="N527" s="392"/>
      <c r="O527" s="2"/>
      <c r="S527"/>
      <c r="T527"/>
      <c r="U527"/>
      <c r="W527"/>
    </row>
    <row r="528" spans="10:23" s="1" customFormat="1" x14ac:dyDescent="0.2">
      <c r="J528"/>
      <c r="K528"/>
      <c r="L528"/>
      <c r="M528"/>
      <c r="N528" s="392"/>
      <c r="O528" s="2"/>
      <c r="S528"/>
      <c r="T528"/>
      <c r="U528"/>
      <c r="W528"/>
    </row>
    <row r="529" spans="10:23" s="1" customFormat="1" x14ac:dyDescent="0.2">
      <c r="J529"/>
      <c r="K529"/>
      <c r="L529"/>
      <c r="M529"/>
      <c r="N529" s="392"/>
      <c r="O529" s="2"/>
      <c r="S529"/>
      <c r="T529"/>
      <c r="U529"/>
      <c r="W529"/>
    </row>
    <row r="530" spans="10:23" s="1" customFormat="1" x14ac:dyDescent="0.2">
      <c r="J530"/>
      <c r="K530"/>
      <c r="L530"/>
      <c r="M530"/>
      <c r="N530" s="392"/>
      <c r="O530" s="2"/>
      <c r="S530"/>
      <c r="T530"/>
      <c r="U530"/>
      <c r="W530"/>
    </row>
    <row r="531" spans="10:23" s="1" customFormat="1" x14ac:dyDescent="0.2">
      <c r="J531"/>
      <c r="K531"/>
      <c r="L531"/>
      <c r="M531"/>
      <c r="N531" s="392"/>
      <c r="O531" s="2"/>
      <c r="S531"/>
      <c r="T531"/>
      <c r="U531"/>
      <c r="W531"/>
    </row>
    <row r="532" spans="10:23" s="1" customFormat="1" x14ac:dyDescent="0.2">
      <c r="J532"/>
      <c r="K532"/>
      <c r="L532"/>
      <c r="M532"/>
      <c r="N532" s="392"/>
      <c r="O532" s="2"/>
      <c r="S532"/>
      <c r="T532"/>
      <c r="U532"/>
      <c r="W532"/>
    </row>
    <row r="533" spans="10:23" s="1" customFormat="1" x14ac:dyDescent="0.2">
      <c r="J533"/>
      <c r="K533"/>
      <c r="L533"/>
      <c r="M533"/>
      <c r="N533" s="392"/>
      <c r="O533" s="2"/>
      <c r="S533"/>
      <c r="T533"/>
      <c r="U533"/>
      <c r="W533"/>
    </row>
    <row r="534" spans="10:23" s="1" customFormat="1" x14ac:dyDescent="0.2">
      <c r="J534"/>
      <c r="K534"/>
      <c r="L534"/>
      <c r="M534"/>
      <c r="N534" s="392"/>
      <c r="O534" s="2"/>
      <c r="S534"/>
      <c r="T534"/>
      <c r="U534"/>
      <c r="W534"/>
    </row>
    <row r="535" spans="10:23" s="1" customFormat="1" x14ac:dyDescent="0.2">
      <c r="J535"/>
      <c r="K535"/>
      <c r="L535"/>
      <c r="M535"/>
      <c r="N535" s="392"/>
      <c r="O535" s="2"/>
      <c r="S535"/>
      <c r="T535"/>
      <c r="U535"/>
      <c r="W535"/>
    </row>
    <row r="536" spans="10:23" s="1" customFormat="1" x14ac:dyDescent="0.2">
      <c r="J536"/>
      <c r="K536"/>
      <c r="L536"/>
      <c r="M536"/>
      <c r="N536" s="392"/>
      <c r="O536" s="2"/>
      <c r="S536"/>
      <c r="T536"/>
      <c r="U536"/>
      <c r="W536"/>
    </row>
    <row r="537" spans="10:23" s="1" customFormat="1" x14ac:dyDescent="0.2">
      <c r="J537"/>
      <c r="K537"/>
      <c r="L537"/>
      <c r="M537"/>
      <c r="N537" s="392"/>
      <c r="O537" s="2"/>
      <c r="S537"/>
      <c r="T537"/>
      <c r="U537"/>
      <c r="W537"/>
    </row>
    <row r="538" spans="10:23" s="1" customFormat="1" x14ac:dyDescent="0.2">
      <c r="J538"/>
      <c r="K538"/>
      <c r="L538"/>
      <c r="M538"/>
      <c r="N538" s="392"/>
      <c r="O538" s="2"/>
      <c r="S538"/>
      <c r="T538"/>
      <c r="U538"/>
      <c r="W538"/>
    </row>
    <row r="539" spans="10:23" s="1" customFormat="1" x14ac:dyDescent="0.2">
      <c r="J539"/>
      <c r="K539"/>
      <c r="L539"/>
      <c r="M539"/>
      <c r="N539" s="392"/>
      <c r="O539" s="2"/>
      <c r="S539"/>
      <c r="T539"/>
      <c r="U539"/>
      <c r="W539"/>
    </row>
    <row r="540" spans="10:23" s="1" customFormat="1" x14ac:dyDescent="0.2">
      <c r="J540"/>
      <c r="K540"/>
      <c r="L540"/>
      <c r="M540"/>
      <c r="N540" s="392"/>
      <c r="O540" s="2"/>
      <c r="S540"/>
      <c r="T540"/>
      <c r="U540"/>
      <c r="W540"/>
    </row>
    <row r="541" spans="10:23" s="1" customFormat="1" x14ac:dyDescent="0.2">
      <c r="J541"/>
      <c r="K541"/>
      <c r="L541"/>
      <c r="M541"/>
      <c r="N541" s="392"/>
      <c r="O541" s="2"/>
      <c r="S541"/>
      <c r="T541"/>
      <c r="U541"/>
      <c r="W541"/>
    </row>
    <row r="542" spans="10:23" s="1" customFormat="1" x14ac:dyDescent="0.2">
      <c r="J542"/>
      <c r="K542"/>
      <c r="L542"/>
      <c r="M542"/>
      <c r="N542" s="392"/>
      <c r="O542" s="2"/>
      <c r="S542"/>
      <c r="T542"/>
      <c r="U542"/>
      <c r="W542"/>
    </row>
    <row r="543" spans="10:23" s="1" customFormat="1" x14ac:dyDescent="0.2">
      <c r="J543"/>
      <c r="K543"/>
      <c r="L543"/>
      <c r="M543"/>
      <c r="N543" s="392"/>
      <c r="O543" s="2"/>
      <c r="S543"/>
      <c r="T543"/>
      <c r="U543"/>
      <c r="W543"/>
    </row>
    <row r="544" spans="10:23" s="1" customFormat="1" x14ac:dyDescent="0.2">
      <c r="J544"/>
      <c r="K544"/>
      <c r="L544"/>
      <c r="M544"/>
      <c r="N544" s="392"/>
      <c r="O544" s="2"/>
      <c r="S544"/>
      <c r="T544"/>
      <c r="U544"/>
      <c r="W544"/>
    </row>
    <row r="545" spans="10:23" s="1" customFormat="1" x14ac:dyDescent="0.2">
      <c r="J545"/>
      <c r="K545"/>
      <c r="L545"/>
      <c r="M545"/>
      <c r="N545" s="392"/>
      <c r="O545" s="2"/>
      <c r="S545"/>
      <c r="T545"/>
      <c r="U545"/>
      <c r="W545"/>
    </row>
    <row r="546" spans="10:23" s="1" customFormat="1" x14ac:dyDescent="0.2">
      <c r="J546"/>
      <c r="K546"/>
      <c r="L546"/>
      <c r="M546"/>
      <c r="N546" s="392"/>
      <c r="O546" s="2"/>
      <c r="S546"/>
      <c r="T546"/>
      <c r="U546"/>
      <c r="W546"/>
    </row>
    <row r="547" spans="10:23" s="1" customFormat="1" x14ac:dyDescent="0.2">
      <c r="J547"/>
      <c r="K547"/>
      <c r="L547"/>
      <c r="M547"/>
      <c r="N547" s="392"/>
      <c r="O547" s="2"/>
      <c r="S547"/>
      <c r="T547"/>
      <c r="U547"/>
      <c r="W547"/>
    </row>
    <row r="548" spans="10:23" s="1" customFormat="1" x14ac:dyDescent="0.2">
      <c r="J548"/>
      <c r="K548"/>
      <c r="L548"/>
      <c r="M548"/>
      <c r="N548" s="392"/>
      <c r="O548" s="2"/>
      <c r="S548"/>
      <c r="T548"/>
      <c r="U548"/>
      <c r="W548"/>
    </row>
    <row r="549" spans="10:23" s="1" customFormat="1" x14ac:dyDescent="0.2">
      <c r="J549"/>
      <c r="K549"/>
      <c r="L549"/>
      <c r="M549"/>
      <c r="N549" s="392"/>
      <c r="O549" s="2"/>
      <c r="S549"/>
      <c r="T549"/>
      <c r="U549"/>
      <c r="W549"/>
    </row>
    <row r="550" spans="10:23" s="1" customFormat="1" x14ac:dyDescent="0.2">
      <c r="J550"/>
      <c r="K550"/>
      <c r="L550"/>
      <c r="M550"/>
      <c r="N550" s="392"/>
      <c r="O550" s="2"/>
      <c r="S550"/>
      <c r="T550"/>
      <c r="U550"/>
      <c r="W550"/>
    </row>
    <row r="551" spans="10:23" s="1" customFormat="1" x14ac:dyDescent="0.2">
      <c r="J551"/>
      <c r="K551"/>
      <c r="L551"/>
      <c r="M551"/>
      <c r="N551" s="392"/>
      <c r="O551" s="2"/>
      <c r="S551"/>
      <c r="T551"/>
      <c r="U551"/>
      <c r="W551"/>
    </row>
    <row r="552" spans="10:23" s="1" customFormat="1" x14ac:dyDescent="0.2">
      <c r="J552"/>
      <c r="K552"/>
      <c r="L552"/>
      <c r="M552"/>
      <c r="N552" s="392"/>
      <c r="O552" s="2"/>
      <c r="S552"/>
      <c r="T552"/>
      <c r="U552"/>
      <c r="W552"/>
    </row>
    <row r="553" spans="10:23" s="1" customFormat="1" x14ac:dyDescent="0.2">
      <c r="J553"/>
      <c r="K553"/>
      <c r="L553"/>
      <c r="M553"/>
      <c r="N553" s="392"/>
      <c r="O553" s="2"/>
      <c r="S553"/>
      <c r="T553"/>
      <c r="U553"/>
      <c r="W553"/>
    </row>
    <row r="554" spans="10:23" s="1" customFormat="1" x14ac:dyDescent="0.2">
      <c r="J554"/>
      <c r="K554"/>
      <c r="L554"/>
      <c r="M554"/>
      <c r="N554" s="392"/>
      <c r="O554" s="2"/>
      <c r="S554"/>
      <c r="T554"/>
      <c r="U554"/>
      <c r="W554"/>
    </row>
    <row r="555" spans="10:23" s="1" customFormat="1" x14ac:dyDescent="0.2">
      <c r="J555"/>
      <c r="K555"/>
      <c r="L555"/>
      <c r="M555"/>
      <c r="N555" s="392"/>
      <c r="O555" s="2"/>
      <c r="S555"/>
      <c r="T555"/>
      <c r="U555"/>
      <c r="W555"/>
    </row>
    <row r="556" spans="10:23" s="1" customFormat="1" x14ac:dyDescent="0.2">
      <c r="J556"/>
      <c r="K556"/>
      <c r="L556"/>
      <c r="M556"/>
      <c r="N556" s="392"/>
      <c r="O556" s="2"/>
      <c r="S556"/>
      <c r="T556"/>
      <c r="U556"/>
      <c r="W556"/>
    </row>
    <row r="557" spans="10:23" s="1" customFormat="1" x14ac:dyDescent="0.2">
      <c r="J557"/>
      <c r="K557"/>
      <c r="L557"/>
      <c r="M557"/>
      <c r="N557" s="392"/>
      <c r="O557" s="2"/>
      <c r="S557"/>
      <c r="T557"/>
      <c r="U557"/>
      <c r="W557"/>
    </row>
    <row r="558" spans="10:23" s="1" customFormat="1" x14ac:dyDescent="0.2">
      <c r="J558"/>
      <c r="K558"/>
      <c r="L558"/>
      <c r="M558"/>
      <c r="N558" s="392"/>
      <c r="O558" s="2"/>
      <c r="S558"/>
      <c r="T558"/>
      <c r="U558"/>
      <c r="W558"/>
    </row>
    <row r="559" spans="10:23" s="1" customFormat="1" x14ac:dyDescent="0.2">
      <c r="J559"/>
      <c r="K559"/>
      <c r="L559"/>
      <c r="M559"/>
      <c r="N559" s="392"/>
      <c r="O559" s="2"/>
      <c r="S559"/>
      <c r="T559"/>
      <c r="U559"/>
      <c r="W559"/>
    </row>
    <row r="560" spans="10:23" s="1" customFormat="1" x14ac:dyDescent="0.2">
      <c r="J560"/>
      <c r="K560"/>
      <c r="L560"/>
      <c r="M560"/>
      <c r="N560" s="392"/>
      <c r="O560" s="2"/>
      <c r="S560"/>
      <c r="T560"/>
      <c r="U560"/>
      <c r="W560"/>
    </row>
    <row r="561" spans="10:23" s="1" customFormat="1" x14ac:dyDescent="0.2">
      <c r="J561"/>
      <c r="K561"/>
      <c r="L561"/>
      <c r="M561"/>
      <c r="N561" s="392"/>
      <c r="O561" s="2"/>
      <c r="S561"/>
      <c r="T561"/>
      <c r="U561"/>
      <c r="W561"/>
    </row>
    <row r="562" spans="10:23" s="1" customFormat="1" x14ac:dyDescent="0.2">
      <c r="J562"/>
      <c r="K562"/>
      <c r="L562"/>
      <c r="M562"/>
      <c r="N562" s="392"/>
      <c r="O562" s="2"/>
      <c r="S562"/>
      <c r="T562"/>
      <c r="U562"/>
      <c r="W562"/>
    </row>
    <row r="563" spans="10:23" s="1" customFormat="1" x14ac:dyDescent="0.2">
      <c r="J563"/>
      <c r="K563"/>
      <c r="L563"/>
      <c r="M563"/>
      <c r="N563" s="392"/>
      <c r="O563" s="2"/>
      <c r="S563"/>
      <c r="T563"/>
      <c r="U563"/>
      <c r="W563"/>
    </row>
    <row r="564" spans="10:23" s="1" customFormat="1" x14ac:dyDescent="0.2">
      <c r="J564"/>
      <c r="K564"/>
      <c r="L564"/>
      <c r="M564"/>
      <c r="N564" s="392"/>
      <c r="O564" s="2"/>
      <c r="S564"/>
      <c r="T564"/>
      <c r="U564"/>
      <c r="W564"/>
    </row>
    <row r="565" spans="10:23" s="1" customFormat="1" x14ac:dyDescent="0.2">
      <c r="J565"/>
      <c r="K565"/>
      <c r="L565"/>
      <c r="M565"/>
      <c r="N565" s="392"/>
      <c r="O565" s="2"/>
      <c r="S565"/>
      <c r="T565"/>
      <c r="U565"/>
      <c r="W565"/>
    </row>
    <row r="566" spans="10:23" s="1" customFormat="1" x14ac:dyDescent="0.2">
      <c r="J566"/>
      <c r="K566"/>
      <c r="L566"/>
      <c r="M566"/>
      <c r="N566" s="392"/>
      <c r="O566" s="2"/>
      <c r="S566"/>
      <c r="T566"/>
      <c r="U566"/>
      <c r="W566"/>
    </row>
    <row r="567" spans="10:23" s="1" customFormat="1" x14ac:dyDescent="0.2">
      <c r="J567"/>
      <c r="K567"/>
      <c r="L567"/>
      <c r="M567"/>
      <c r="N567" s="392"/>
      <c r="O567" s="2"/>
      <c r="S567"/>
      <c r="T567"/>
      <c r="U567"/>
      <c r="W567"/>
    </row>
    <row r="568" spans="10:23" s="1" customFormat="1" x14ac:dyDescent="0.2">
      <c r="J568"/>
      <c r="K568"/>
      <c r="L568"/>
      <c r="M568"/>
      <c r="N568" s="392"/>
      <c r="O568" s="2"/>
      <c r="S568"/>
      <c r="T568"/>
      <c r="U568"/>
      <c r="W568"/>
    </row>
    <row r="569" spans="10:23" s="1" customFormat="1" x14ac:dyDescent="0.2">
      <c r="J569"/>
      <c r="K569"/>
      <c r="L569"/>
      <c r="M569"/>
      <c r="N569" s="392"/>
      <c r="O569" s="2"/>
      <c r="S569"/>
      <c r="T569"/>
      <c r="U569"/>
      <c r="W569"/>
    </row>
    <row r="570" spans="10:23" s="1" customFormat="1" x14ac:dyDescent="0.2">
      <c r="J570"/>
      <c r="K570"/>
      <c r="L570"/>
      <c r="M570"/>
      <c r="N570" s="392"/>
      <c r="O570" s="2"/>
      <c r="S570"/>
      <c r="T570"/>
      <c r="U570"/>
      <c r="W570"/>
    </row>
    <row r="571" spans="10:23" s="1" customFormat="1" x14ac:dyDescent="0.2">
      <c r="J571"/>
      <c r="K571"/>
      <c r="L571"/>
      <c r="M571"/>
      <c r="N571" s="392"/>
      <c r="O571" s="2"/>
      <c r="S571"/>
      <c r="T571"/>
      <c r="U571"/>
      <c r="W571"/>
    </row>
    <row r="572" spans="10:23" s="1" customFormat="1" x14ac:dyDescent="0.2">
      <c r="J572"/>
      <c r="K572"/>
      <c r="L572"/>
      <c r="M572"/>
      <c r="N572" s="392"/>
      <c r="O572" s="2"/>
      <c r="S572"/>
      <c r="T572"/>
      <c r="U572"/>
      <c r="W572"/>
    </row>
    <row r="573" spans="10:23" s="1" customFormat="1" x14ac:dyDescent="0.2">
      <c r="J573"/>
      <c r="K573"/>
      <c r="L573"/>
      <c r="M573"/>
      <c r="N573" s="392"/>
      <c r="O573" s="2"/>
      <c r="S573"/>
      <c r="T573"/>
      <c r="U573"/>
      <c r="W573"/>
    </row>
    <row r="574" spans="10:23" s="1" customFormat="1" x14ac:dyDescent="0.2">
      <c r="J574"/>
      <c r="K574"/>
      <c r="L574"/>
      <c r="M574"/>
      <c r="N574" s="392"/>
      <c r="O574" s="2"/>
      <c r="S574"/>
      <c r="T574"/>
      <c r="U574"/>
      <c r="W574"/>
    </row>
    <row r="575" spans="10:23" s="1" customFormat="1" x14ac:dyDescent="0.2">
      <c r="J575"/>
      <c r="K575"/>
      <c r="L575"/>
      <c r="M575"/>
      <c r="N575" s="392"/>
      <c r="O575" s="2"/>
      <c r="S575"/>
      <c r="T575"/>
      <c r="U575"/>
      <c r="W575"/>
    </row>
    <row r="576" spans="10:23" s="1" customFormat="1" x14ac:dyDescent="0.2">
      <c r="J576"/>
      <c r="K576"/>
      <c r="L576"/>
      <c r="M576"/>
      <c r="N576" s="392"/>
      <c r="O576" s="2"/>
      <c r="S576"/>
      <c r="T576"/>
      <c r="U576"/>
      <c r="W576"/>
    </row>
    <row r="577" spans="10:23" s="1" customFormat="1" x14ac:dyDescent="0.2">
      <c r="J577"/>
      <c r="K577"/>
      <c r="L577"/>
      <c r="M577"/>
      <c r="N577" s="392"/>
      <c r="O577" s="2"/>
      <c r="S577"/>
      <c r="T577"/>
      <c r="U577"/>
      <c r="W577"/>
    </row>
    <row r="578" spans="10:23" s="1" customFormat="1" x14ac:dyDescent="0.2">
      <c r="J578"/>
      <c r="K578"/>
      <c r="L578"/>
      <c r="M578"/>
      <c r="N578" s="392"/>
      <c r="O578" s="2"/>
      <c r="S578"/>
      <c r="T578"/>
      <c r="U578"/>
      <c r="W578"/>
    </row>
    <row r="579" spans="10:23" s="1" customFormat="1" x14ac:dyDescent="0.2">
      <c r="J579"/>
      <c r="K579"/>
      <c r="L579"/>
      <c r="M579"/>
      <c r="N579" s="392"/>
      <c r="O579" s="2"/>
      <c r="S579"/>
      <c r="T579"/>
      <c r="U579"/>
      <c r="W579"/>
    </row>
    <row r="580" spans="10:23" s="1" customFormat="1" x14ac:dyDescent="0.2">
      <c r="J580"/>
      <c r="K580"/>
      <c r="L580"/>
      <c r="M580"/>
      <c r="N580" s="392"/>
      <c r="O580" s="2"/>
      <c r="S580"/>
      <c r="T580"/>
      <c r="U580"/>
      <c r="W580"/>
    </row>
    <row r="581" spans="10:23" s="1" customFormat="1" x14ac:dyDescent="0.2">
      <c r="J581"/>
      <c r="K581"/>
      <c r="L581"/>
      <c r="M581"/>
      <c r="N581" s="392"/>
      <c r="O581" s="2"/>
      <c r="S581"/>
      <c r="T581"/>
      <c r="U581"/>
      <c r="W581"/>
    </row>
    <row r="582" spans="10:23" s="1" customFormat="1" x14ac:dyDescent="0.2">
      <c r="J582"/>
      <c r="K582"/>
      <c r="L582"/>
      <c r="M582"/>
      <c r="N582" s="392"/>
      <c r="O582" s="2"/>
      <c r="S582"/>
      <c r="T582"/>
      <c r="U582"/>
      <c r="W582"/>
    </row>
    <row r="583" spans="10:23" s="1" customFormat="1" x14ac:dyDescent="0.2">
      <c r="J583"/>
      <c r="K583"/>
      <c r="L583"/>
      <c r="M583"/>
      <c r="N583" s="392"/>
      <c r="O583" s="2"/>
      <c r="S583"/>
      <c r="T583"/>
      <c r="U583"/>
      <c r="W583"/>
    </row>
    <row r="584" spans="10:23" s="1" customFormat="1" x14ac:dyDescent="0.2">
      <c r="J584"/>
      <c r="K584"/>
      <c r="L584"/>
      <c r="M584"/>
      <c r="N584" s="392"/>
      <c r="O584" s="2"/>
      <c r="S584"/>
      <c r="T584"/>
      <c r="U584"/>
      <c r="W584"/>
    </row>
    <row r="585" spans="10:23" s="1" customFormat="1" x14ac:dyDescent="0.2">
      <c r="J585"/>
      <c r="K585"/>
      <c r="L585"/>
      <c r="M585"/>
      <c r="N585" s="392"/>
      <c r="O585" s="2"/>
      <c r="S585"/>
      <c r="T585"/>
      <c r="U585"/>
      <c r="W585"/>
    </row>
    <row r="586" spans="10:23" s="1" customFormat="1" x14ac:dyDescent="0.2">
      <c r="J586"/>
      <c r="K586"/>
      <c r="L586"/>
      <c r="M586"/>
      <c r="N586" s="392"/>
      <c r="O586" s="2"/>
      <c r="S586"/>
      <c r="T586"/>
      <c r="U586"/>
      <c r="W586"/>
    </row>
    <row r="587" spans="10:23" s="1" customFormat="1" x14ac:dyDescent="0.2">
      <c r="J587"/>
      <c r="K587"/>
      <c r="L587"/>
      <c r="M587"/>
      <c r="N587" s="392"/>
      <c r="O587" s="2"/>
      <c r="S587"/>
      <c r="T587"/>
      <c r="U587"/>
      <c r="W587"/>
    </row>
    <row r="588" spans="10:23" s="1" customFormat="1" x14ac:dyDescent="0.2">
      <c r="J588"/>
      <c r="K588"/>
      <c r="L588"/>
      <c r="M588"/>
      <c r="N588" s="392"/>
      <c r="O588" s="2"/>
      <c r="S588"/>
      <c r="T588"/>
      <c r="U588"/>
      <c r="W588"/>
    </row>
    <row r="589" spans="10:23" s="1" customFormat="1" x14ac:dyDescent="0.2">
      <c r="J589"/>
      <c r="K589"/>
      <c r="L589"/>
      <c r="M589"/>
      <c r="N589" s="392"/>
      <c r="O589" s="2"/>
      <c r="S589"/>
      <c r="T589"/>
      <c r="U589"/>
      <c r="W589"/>
    </row>
    <row r="590" spans="10:23" s="1" customFormat="1" x14ac:dyDescent="0.2">
      <c r="J590"/>
      <c r="K590"/>
      <c r="L590"/>
      <c r="M590"/>
      <c r="N590" s="392"/>
      <c r="O590" s="2"/>
      <c r="S590"/>
      <c r="T590"/>
      <c r="U590"/>
      <c r="W590"/>
    </row>
    <row r="591" spans="10:23" s="1" customFormat="1" x14ac:dyDescent="0.2">
      <c r="J591"/>
      <c r="K591"/>
      <c r="L591"/>
      <c r="M591"/>
      <c r="N591" s="392"/>
      <c r="O591" s="2"/>
      <c r="S591"/>
      <c r="T591"/>
      <c r="U591"/>
      <c r="W591"/>
    </row>
    <row r="592" spans="10:23" s="1" customFormat="1" x14ac:dyDescent="0.2">
      <c r="J592"/>
      <c r="K592"/>
      <c r="L592"/>
      <c r="M592"/>
      <c r="N592" s="392"/>
      <c r="O592" s="2"/>
      <c r="S592"/>
      <c r="T592"/>
      <c r="U592"/>
      <c r="W592"/>
    </row>
    <row r="593" spans="10:23" s="1" customFormat="1" x14ac:dyDescent="0.2">
      <c r="J593"/>
      <c r="K593"/>
      <c r="L593"/>
      <c r="M593"/>
      <c r="N593" s="392"/>
      <c r="O593" s="2"/>
      <c r="S593"/>
      <c r="T593"/>
      <c r="U593"/>
      <c r="W593"/>
    </row>
    <row r="594" spans="10:23" s="1" customFormat="1" x14ac:dyDescent="0.2">
      <c r="J594"/>
      <c r="K594"/>
      <c r="L594"/>
      <c r="M594"/>
      <c r="N594" s="392"/>
      <c r="O594" s="2"/>
      <c r="S594"/>
      <c r="T594"/>
      <c r="U594"/>
      <c r="W594"/>
    </row>
    <row r="595" spans="10:23" s="1" customFormat="1" x14ac:dyDescent="0.2">
      <c r="J595"/>
      <c r="K595"/>
      <c r="L595"/>
      <c r="M595"/>
      <c r="N595" s="392"/>
      <c r="O595" s="2"/>
      <c r="S595"/>
      <c r="T595"/>
      <c r="U595"/>
      <c r="W595"/>
    </row>
    <row r="596" spans="10:23" s="1" customFormat="1" x14ac:dyDescent="0.2">
      <c r="J596"/>
      <c r="K596"/>
      <c r="L596"/>
      <c r="M596"/>
      <c r="N596" s="392"/>
      <c r="O596" s="2"/>
      <c r="S596"/>
      <c r="T596"/>
      <c r="U596"/>
      <c r="W596"/>
    </row>
    <row r="597" spans="10:23" s="1" customFormat="1" x14ac:dyDescent="0.2">
      <c r="J597"/>
      <c r="K597"/>
      <c r="L597"/>
      <c r="M597"/>
      <c r="N597" s="392"/>
      <c r="O597" s="2"/>
      <c r="S597"/>
      <c r="T597"/>
      <c r="U597"/>
      <c r="W597"/>
    </row>
    <row r="598" spans="10:23" s="1" customFormat="1" x14ac:dyDescent="0.2">
      <c r="J598"/>
      <c r="K598"/>
      <c r="L598"/>
      <c r="M598"/>
      <c r="N598" s="392"/>
      <c r="O598" s="2"/>
      <c r="S598"/>
      <c r="T598"/>
      <c r="U598"/>
      <c r="W598"/>
    </row>
    <row r="599" spans="10:23" s="1" customFormat="1" x14ac:dyDescent="0.2">
      <c r="J599"/>
      <c r="K599"/>
      <c r="L599"/>
      <c r="M599"/>
      <c r="N599" s="392"/>
      <c r="O599" s="2"/>
      <c r="S599"/>
      <c r="T599"/>
      <c r="U599"/>
      <c r="W599"/>
    </row>
    <row r="600" spans="10:23" s="1" customFormat="1" x14ac:dyDescent="0.2">
      <c r="J600"/>
      <c r="K600"/>
      <c r="L600"/>
      <c r="M600"/>
      <c r="N600" s="392"/>
      <c r="O600" s="2"/>
      <c r="S600"/>
      <c r="T600"/>
      <c r="U600"/>
      <c r="W600"/>
    </row>
    <row r="601" spans="10:23" s="1" customFormat="1" x14ac:dyDescent="0.2">
      <c r="J601"/>
      <c r="K601"/>
      <c r="L601"/>
      <c r="M601"/>
      <c r="N601" s="392"/>
      <c r="O601" s="2"/>
      <c r="S601"/>
      <c r="T601"/>
      <c r="U601"/>
      <c r="W601"/>
    </row>
    <row r="602" spans="10:23" s="1" customFormat="1" x14ac:dyDescent="0.2">
      <c r="J602"/>
      <c r="K602"/>
      <c r="L602"/>
      <c r="M602"/>
      <c r="N602" s="392"/>
      <c r="O602" s="2"/>
      <c r="S602"/>
      <c r="T602"/>
      <c r="U602"/>
      <c r="W602"/>
    </row>
    <row r="603" spans="10:23" s="1" customFormat="1" x14ac:dyDescent="0.2">
      <c r="J603"/>
      <c r="K603"/>
      <c r="L603"/>
      <c r="M603"/>
      <c r="N603" s="392"/>
      <c r="O603" s="2"/>
      <c r="S603"/>
      <c r="T603"/>
      <c r="U603"/>
      <c r="W603"/>
    </row>
    <row r="604" spans="10:23" s="1" customFormat="1" x14ac:dyDescent="0.2">
      <c r="J604"/>
      <c r="K604"/>
      <c r="L604"/>
      <c r="M604"/>
      <c r="N604" s="392"/>
      <c r="O604" s="2"/>
      <c r="S604"/>
      <c r="T604"/>
      <c r="U604"/>
      <c r="W604"/>
    </row>
    <row r="605" spans="10:23" s="1" customFormat="1" x14ac:dyDescent="0.2">
      <c r="J605"/>
      <c r="K605"/>
      <c r="L605"/>
      <c r="M605"/>
      <c r="N605" s="392"/>
      <c r="O605" s="2"/>
      <c r="S605"/>
      <c r="T605"/>
      <c r="U605"/>
      <c r="W605"/>
    </row>
    <row r="606" spans="10:23" s="1" customFormat="1" x14ac:dyDescent="0.2">
      <c r="J606"/>
      <c r="K606"/>
      <c r="L606"/>
      <c r="M606"/>
      <c r="N606" s="392"/>
      <c r="O606" s="2"/>
      <c r="S606"/>
      <c r="T606"/>
      <c r="U606"/>
      <c r="W606"/>
    </row>
    <row r="607" spans="10:23" s="1" customFormat="1" x14ac:dyDescent="0.2">
      <c r="J607"/>
      <c r="K607"/>
      <c r="L607"/>
      <c r="M607"/>
      <c r="N607" s="392"/>
      <c r="O607" s="2"/>
      <c r="S607"/>
      <c r="T607"/>
      <c r="U607"/>
      <c r="W607"/>
    </row>
    <row r="608" spans="10:23" s="1" customFormat="1" x14ac:dyDescent="0.2">
      <c r="J608"/>
      <c r="K608"/>
      <c r="L608"/>
      <c r="M608"/>
      <c r="N608" s="392"/>
      <c r="O608" s="2"/>
      <c r="S608"/>
      <c r="T608"/>
      <c r="U608"/>
      <c r="W608"/>
    </row>
    <row r="609" spans="10:23" s="1" customFormat="1" x14ac:dyDescent="0.2">
      <c r="J609"/>
      <c r="K609"/>
      <c r="L609"/>
      <c r="M609"/>
      <c r="N609" s="392"/>
      <c r="O609" s="2"/>
      <c r="S609"/>
      <c r="T609"/>
      <c r="U609"/>
      <c r="W609"/>
    </row>
    <row r="610" spans="10:23" s="1" customFormat="1" x14ac:dyDescent="0.2">
      <c r="J610"/>
      <c r="K610"/>
      <c r="L610"/>
      <c r="M610"/>
      <c r="N610" s="392"/>
      <c r="O610" s="2"/>
      <c r="S610"/>
      <c r="T610"/>
      <c r="U610"/>
      <c r="W610"/>
    </row>
    <row r="611" spans="10:23" s="1" customFormat="1" x14ac:dyDescent="0.2">
      <c r="J611"/>
      <c r="K611"/>
      <c r="L611"/>
      <c r="M611"/>
      <c r="N611" s="392"/>
      <c r="O611" s="2"/>
      <c r="S611"/>
      <c r="T611"/>
      <c r="U611"/>
      <c r="W611"/>
    </row>
    <row r="612" spans="10:23" s="1" customFormat="1" x14ac:dyDescent="0.2">
      <c r="J612"/>
      <c r="K612"/>
      <c r="L612"/>
      <c r="M612"/>
      <c r="N612" s="392"/>
      <c r="O612" s="2"/>
      <c r="S612"/>
      <c r="T612"/>
      <c r="U612"/>
      <c r="W612"/>
    </row>
    <row r="613" spans="10:23" s="1" customFormat="1" x14ac:dyDescent="0.2">
      <c r="J613"/>
      <c r="K613"/>
      <c r="L613"/>
      <c r="M613"/>
      <c r="N613" s="392"/>
      <c r="O613" s="2"/>
      <c r="S613"/>
      <c r="T613"/>
      <c r="U613"/>
      <c r="W613"/>
    </row>
    <row r="614" spans="10:23" s="1" customFormat="1" x14ac:dyDescent="0.2">
      <c r="J614"/>
      <c r="K614"/>
      <c r="L614"/>
      <c r="M614"/>
      <c r="N614" s="392"/>
      <c r="O614" s="2"/>
      <c r="S614"/>
      <c r="T614"/>
      <c r="U614"/>
      <c r="W614"/>
    </row>
    <row r="615" spans="10:23" s="1" customFormat="1" x14ac:dyDescent="0.2">
      <c r="J615"/>
      <c r="K615"/>
      <c r="L615"/>
      <c r="M615"/>
      <c r="N615" s="392"/>
      <c r="O615" s="2"/>
      <c r="S615"/>
      <c r="T615"/>
      <c r="U615"/>
      <c r="W615"/>
    </row>
    <row r="616" spans="10:23" s="1" customFormat="1" x14ac:dyDescent="0.2">
      <c r="J616"/>
      <c r="K616"/>
      <c r="L616"/>
      <c r="M616"/>
      <c r="N616" s="392"/>
      <c r="O616" s="2"/>
      <c r="S616"/>
      <c r="T616"/>
      <c r="U616"/>
      <c r="W616"/>
    </row>
    <row r="617" spans="10:23" s="1" customFormat="1" x14ac:dyDescent="0.2">
      <c r="J617"/>
      <c r="K617"/>
      <c r="L617"/>
      <c r="M617"/>
      <c r="N617" s="392"/>
      <c r="O617" s="2"/>
      <c r="S617"/>
      <c r="T617"/>
      <c r="U617"/>
      <c r="W617"/>
    </row>
    <row r="618" spans="10:23" s="1" customFormat="1" x14ac:dyDescent="0.2">
      <c r="J618"/>
      <c r="K618"/>
      <c r="L618"/>
      <c r="M618"/>
      <c r="N618" s="392"/>
      <c r="O618" s="2"/>
      <c r="S618"/>
      <c r="T618"/>
      <c r="U618"/>
      <c r="W618"/>
    </row>
    <row r="619" spans="10:23" s="1" customFormat="1" x14ac:dyDescent="0.2">
      <c r="J619"/>
      <c r="K619"/>
      <c r="L619"/>
      <c r="M619"/>
      <c r="N619" s="392"/>
      <c r="O619" s="2"/>
      <c r="S619"/>
      <c r="T619"/>
      <c r="U619"/>
      <c r="W619"/>
    </row>
    <row r="620" spans="10:23" s="1" customFormat="1" x14ac:dyDescent="0.2">
      <c r="J620"/>
      <c r="K620"/>
      <c r="L620"/>
      <c r="M620"/>
      <c r="N620" s="392"/>
      <c r="O620" s="2"/>
      <c r="S620"/>
      <c r="T620"/>
      <c r="U620"/>
      <c r="W620"/>
    </row>
    <row r="621" spans="10:23" s="1" customFormat="1" x14ac:dyDescent="0.2">
      <c r="J621"/>
      <c r="K621"/>
      <c r="L621"/>
      <c r="M621"/>
      <c r="N621" s="392"/>
      <c r="O621" s="2"/>
      <c r="S621"/>
      <c r="T621"/>
      <c r="U621"/>
      <c r="W621"/>
    </row>
    <row r="622" spans="10:23" s="1" customFormat="1" x14ac:dyDescent="0.2">
      <c r="J622"/>
      <c r="K622"/>
      <c r="L622"/>
      <c r="M622"/>
      <c r="N622" s="392"/>
      <c r="O622" s="2"/>
      <c r="S622"/>
      <c r="T622"/>
      <c r="U622"/>
      <c r="W622"/>
    </row>
    <row r="623" spans="10:23" s="1" customFormat="1" x14ac:dyDescent="0.2">
      <c r="J623"/>
      <c r="K623"/>
      <c r="L623"/>
      <c r="M623"/>
      <c r="N623" s="392"/>
      <c r="O623" s="2"/>
      <c r="S623"/>
      <c r="T623"/>
      <c r="U623"/>
      <c r="W623"/>
    </row>
    <row r="624" spans="10:23" s="1" customFormat="1" x14ac:dyDescent="0.2">
      <c r="J624"/>
      <c r="K624"/>
      <c r="L624"/>
      <c r="M624"/>
      <c r="N624" s="392"/>
      <c r="O624" s="2"/>
      <c r="S624"/>
      <c r="T624"/>
      <c r="U624"/>
      <c r="W624"/>
    </row>
    <row r="625" spans="10:23" s="1" customFormat="1" x14ac:dyDescent="0.2">
      <c r="J625"/>
      <c r="K625"/>
      <c r="L625"/>
      <c r="M625"/>
      <c r="N625" s="392"/>
      <c r="O625" s="2"/>
      <c r="S625"/>
      <c r="T625"/>
      <c r="U625"/>
      <c r="W625"/>
    </row>
    <row r="626" spans="10:23" s="1" customFormat="1" x14ac:dyDescent="0.2">
      <c r="J626"/>
      <c r="K626"/>
      <c r="L626"/>
      <c r="M626"/>
      <c r="N626" s="392"/>
      <c r="O626" s="2"/>
      <c r="S626"/>
      <c r="T626"/>
      <c r="U626"/>
      <c r="W626"/>
    </row>
    <row r="627" spans="10:23" s="1" customFormat="1" x14ac:dyDescent="0.2">
      <c r="J627"/>
      <c r="K627"/>
      <c r="L627"/>
      <c r="M627"/>
      <c r="N627" s="392"/>
      <c r="O627" s="2"/>
      <c r="S627"/>
      <c r="T627"/>
      <c r="U627"/>
      <c r="W627"/>
    </row>
    <row r="628" spans="10:23" s="1" customFormat="1" x14ac:dyDescent="0.2">
      <c r="J628"/>
      <c r="K628"/>
      <c r="L628"/>
      <c r="M628"/>
      <c r="N628" s="392"/>
      <c r="O628" s="2"/>
      <c r="S628"/>
      <c r="T628"/>
      <c r="U628"/>
      <c r="W628"/>
    </row>
    <row r="629" spans="10:23" s="1" customFormat="1" x14ac:dyDescent="0.2">
      <c r="J629"/>
      <c r="K629"/>
      <c r="L629"/>
      <c r="M629"/>
      <c r="N629" s="392"/>
      <c r="O629" s="2"/>
      <c r="S629"/>
      <c r="T629"/>
      <c r="U629"/>
      <c r="W629"/>
    </row>
    <row r="630" spans="10:23" s="1" customFormat="1" x14ac:dyDescent="0.2">
      <c r="J630"/>
      <c r="K630"/>
      <c r="L630"/>
      <c r="M630"/>
      <c r="N630" s="392"/>
      <c r="O630" s="2"/>
      <c r="S630"/>
      <c r="T630"/>
      <c r="U630"/>
      <c r="W630"/>
    </row>
    <row r="631" spans="10:23" s="1" customFormat="1" x14ac:dyDescent="0.2">
      <c r="J631"/>
      <c r="K631"/>
      <c r="L631"/>
      <c r="M631"/>
      <c r="N631" s="392"/>
      <c r="O631" s="2"/>
      <c r="S631"/>
      <c r="T631"/>
      <c r="U631"/>
      <c r="W631"/>
    </row>
    <row r="632" spans="10:23" s="1" customFormat="1" x14ac:dyDescent="0.2">
      <c r="J632"/>
      <c r="K632"/>
      <c r="L632"/>
      <c r="M632"/>
      <c r="N632" s="392"/>
      <c r="O632" s="2"/>
      <c r="S632"/>
      <c r="T632"/>
      <c r="U632"/>
      <c r="W632"/>
    </row>
    <row r="633" spans="10:23" s="1" customFormat="1" x14ac:dyDescent="0.2">
      <c r="J633"/>
      <c r="K633"/>
      <c r="L633"/>
      <c r="M633"/>
      <c r="N633" s="392"/>
      <c r="O633" s="2"/>
      <c r="S633"/>
      <c r="T633"/>
      <c r="U633"/>
      <c r="W633"/>
    </row>
    <row r="634" spans="10:23" s="1" customFormat="1" x14ac:dyDescent="0.2">
      <c r="J634"/>
      <c r="K634"/>
      <c r="L634"/>
      <c r="M634"/>
      <c r="N634" s="392"/>
      <c r="O634" s="2"/>
      <c r="S634"/>
      <c r="T634"/>
      <c r="U634"/>
      <c r="W634"/>
    </row>
    <row r="635" spans="10:23" s="1" customFormat="1" x14ac:dyDescent="0.2">
      <c r="J635"/>
      <c r="K635"/>
      <c r="L635"/>
      <c r="M635"/>
      <c r="N635" s="392"/>
      <c r="O635" s="2"/>
      <c r="S635"/>
      <c r="T635"/>
      <c r="U635"/>
      <c r="W635"/>
    </row>
    <row r="636" spans="10:23" s="1" customFormat="1" x14ac:dyDescent="0.2">
      <c r="J636"/>
      <c r="K636"/>
      <c r="L636"/>
      <c r="M636"/>
      <c r="N636" s="392"/>
      <c r="O636" s="2"/>
      <c r="S636"/>
      <c r="T636"/>
      <c r="U636"/>
      <c r="W636"/>
    </row>
    <row r="637" spans="10:23" s="1" customFormat="1" x14ac:dyDescent="0.2">
      <c r="J637"/>
      <c r="K637"/>
      <c r="L637"/>
      <c r="M637"/>
      <c r="N637" s="392"/>
      <c r="O637" s="2"/>
      <c r="S637"/>
      <c r="T637"/>
      <c r="U637"/>
      <c r="W637"/>
    </row>
    <row r="638" spans="10:23" s="1" customFormat="1" x14ac:dyDescent="0.2">
      <c r="J638"/>
      <c r="K638"/>
      <c r="L638"/>
      <c r="M638"/>
      <c r="N638" s="392"/>
      <c r="O638" s="2"/>
      <c r="S638"/>
      <c r="T638"/>
      <c r="U638"/>
      <c r="W638"/>
    </row>
    <row r="639" spans="10:23" s="1" customFormat="1" x14ac:dyDescent="0.2">
      <c r="J639"/>
      <c r="K639"/>
      <c r="L639"/>
      <c r="M639"/>
      <c r="N639" s="392"/>
      <c r="O639" s="2"/>
      <c r="S639"/>
      <c r="T639"/>
      <c r="U639"/>
      <c r="W639"/>
    </row>
    <row r="640" spans="10:23" s="1" customFormat="1" x14ac:dyDescent="0.2">
      <c r="J640"/>
      <c r="K640"/>
      <c r="L640"/>
      <c r="M640"/>
      <c r="N640" s="392"/>
      <c r="O640" s="2"/>
      <c r="S640"/>
      <c r="T640"/>
      <c r="U640"/>
      <c r="W640"/>
    </row>
    <row r="641" spans="10:23" s="1" customFormat="1" x14ac:dyDescent="0.2">
      <c r="J641"/>
      <c r="K641"/>
      <c r="L641"/>
      <c r="M641"/>
      <c r="N641" s="392"/>
      <c r="O641" s="2"/>
      <c r="S641"/>
      <c r="T641"/>
      <c r="U641"/>
      <c r="W641"/>
    </row>
    <row r="642" spans="10:23" s="1" customFormat="1" x14ac:dyDescent="0.2">
      <c r="J642"/>
      <c r="K642"/>
      <c r="L642"/>
      <c r="M642"/>
      <c r="N642" s="392"/>
      <c r="O642" s="2"/>
      <c r="S642"/>
      <c r="T642"/>
      <c r="U642"/>
      <c r="W642"/>
    </row>
    <row r="643" spans="10:23" s="1" customFormat="1" x14ac:dyDescent="0.2">
      <c r="J643"/>
      <c r="K643"/>
      <c r="L643"/>
      <c r="M643"/>
      <c r="N643" s="392"/>
      <c r="O643" s="2"/>
      <c r="S643"/>
      <c r="T643"/>
      <c r="U643"/>
      <c r="W643"/>
    </row>
    <row r="644" spans="10:23" s="1" customFormat="1" x14ac:dyDescent="0.2">
      <c r="J644"/>
      <c r="K644"/>
      <c r="L644"/>
      <c r="M644"/>
      <c r="N644" s="392"/>
      <c r="O644" s="2"/>
      <c r="S644"/>
      <c r="T644"/>
      <c r="U644"/>
      <c r="W644"/>
    </row>
    <row r="645" spans="10:23" s="1" customFormat="1" x14ac:dyDescent="0.2">
      <c r="J645"/>
      <c r="K645"/>
      <c r="L645"/>
      <c r="M645"/>
      <c r="N645" s="392"/>
      <c r="O645" s="2"/>
      <c r="S645"/>
      <c r="T645"/>
      <c r="U645"/>
      <c r="W645"/>
    </row>
    <row r="646" spans="10:23" s="1" customFormat="1" x14ac:dyDescent="0.2">
      <c r="J646"/>
      <c r="K646"/>
      <c r="L646"/>
      <c r="M646"/>
      <c r="N646" s="392"/>
      <c r="O646" s="2"/>
      <c r="S646"/>
      <c r="T646"/>
      <c r="U646"/>
      <c r="W646"/>
    </row>
    <row r="647" spans="10:23" s="1" customFormat="1" x14ac:dyDescent="0.2">
      <c r="J647"/>
      <c r="K647"/>
      <c r="L647"/>
      <c r="M647"/>
      <c r="N647" s="392"/>
      <c r="O647" s="2"/>
      <c r="S647"/>
      <c r="T647"/>
      <c r="U647"/>
      <c r="W647"/>
    </row>
    <row r="648" spans="10:23" s="1" customFormat="1" x14ac:dyDescent="0.2">
      <c r="J648"/>
      <c r="K648"/>
      <c r="L648"/>
      <c r="M648"/>
      <c r="N648" s="392"/>
      <c r="O648" s="2"/>
      <c r="S648"/>
      <c r="T648"/>
      <c r="U648"/>
      <c r="W648"/>
    </row>
    <row r="649" spans="10:23" s="1" customFormat="1" x14ac:dyDescent="0.2">
      <c r="J649"/>
      <c r="K649"/>
      <c r="L649"/>
      <c r="M649"/>
      <c r="N649" s="392"/>
      <c r="O649" s="2"/>
      <c r="S649"/>
      <c r="T649"/>
      <c r="U649"/>
      <c r="W649"/>
    </row>
    <row r="650" spans="10:23" s="1" customFormat="1" x14ac:dyDescent="0.2">
      <c r="J650"/>
      <c r="K650"/>
      <c r="L650"/>
      <c r="M650"/>
      <c r="N650" s="392"/>
      <c r="O650" s="2"/>
      <c r="S650"/>
      <c r="T650"/>
      <c r="U650"/>
      <c r="W650"/>
    </row>
    <row r="651" spans="10:23" s="1" customFormat="1" x14ac:dyDescent="0.2">
      <c r="J651"/>
      <c r="K651"/>
      <c r="L651"/>
      <c r="M651"/>
      <c r="N651" s="392"/>
      <c r="O651" s="2"/>
      <c r="S651"/>
      <c r="T651"/>
      <c r="U651"/>
      <c r="W651"/>
    </row>
    <row r="652" spans="10:23" s="1" customFormat="1" x14ac:dyDescent="0.2">
      <c r="J652"/>
      <c r="K652"/>
      <c r="L652"/>
      <c r="M652"/>
      <c r="N652" s="392"/>
      <c r="O652" s="2"/>
      <c r="S652"/>
      <c r="T652"/>
      <c r="U652"/>
      <c r="W652"/>
    </row>
    <row r="653" spans="10:23" s="1" customFormat="1" x14ac:dyDescent="0.2">
      <c r="J653"/>
      <c r="K653"/>
      <c r="L653"/>
      <c r="M653"/>
      <c r="N653" s="392"/>
      <c r="O653" s="2"/>
      <c r="S653"/>
      <c r="T653"/>
      <c r="U653"/>
      <c r="W653"/>
    </row>
    <row r="654" spans="10:23" s="1" customFormat="1" x14ac:dyDescent="0.2">
      <c r="J654"/>
      <c r="K654"/>
      <c r="L654"/>
      <c r="M654"/>
      <c r="N654" s="392"/>
      <c r="O654" s="2"/>
      <c r="S654"/>
      <c r="T654"/>
      <c r="U654"/>
      <c r="W654"/>
    </row>
    <row r="655" spans="10:23" s="1" customFormat="1" x14ac:dyDescent="0.2">
      <c r="J655"/>
      <c r="K655"/>
      <c r="L655"/>
      <c r="M655"/>
      <c r="N655" s="392"/>
      <c r="O655" s="2"/>
      <c r="S655"/>
      <c r="T655"/>
      <c r="U655"/>
      <c r="W655"/>
    </row>
    <row r="656" spans="10:23" s="1" customFormat="1" x14ac:dyDescent="0.2">
      <c r="J656"/>
      <c r="K656"/>
      <c r="L656"/>
      <c r="M656"/>
      <c r="N656" s="392"/>
      <c r="O656" s="2"/>
      <c r="S656"/>
      <c r="T656"/>
      <c r="U656"/>
      <c r="W656"/>
    </row>
    <row r="657" spans="10:23" s="1" customFormat="1" x14ac:dyDescent="0.2">
      <c r="J657"/>
      <c r="K657"/>
      <c r="L657"/>
      <c r="M657"/>
      <c r="N657" s="392"/>
      <c r="O657" s="2"/>
      <c r="S657"/>
      <c r="T657"/>
      <c r="U657"/>
      <c r="W657"/>
    </row>
    <row r="658" spans="10:23" s="1" customFormat="1" x14ac:dyDescent="0.2">
      <c r="J658"/>
      <c r="K658"/>
      <c r="L658"/>
      <c r="M658"/>
      <c r="N658" s="392"/>
      <c r="O658" s="2"/>
      <c r="S658"/>
      <c r="T658"/>
      <c r="U658"/>
      <c r="W658"/>
    </row>
    <row r="659" spans="10:23" s="1" customFormat="1" x14ac:dyDescent="0.2">
      <c r="J659"/>
      <c r="K659"/>
      <c r="L659"/>
      <c r="M659"/>
      <c r="N659" s="392"/>
      <c r="O659" s="2"/>
      <c r="S659"/>
      <c r="T659"/>
      <c r="U659"/>
      <c r="W659"/>
    </row>
    <row r="660" spans="10:23" s="1" customFormat="1" x14ac:dyDescent="0.2">
      <c r="J660"/>
      <c r="K660"/>
      <c r="L660"/>
      <c r="M660"/>
      <c r="N660" s="392"/>
      <c r="O660" s="2"/>
      <c r="S660"/>
      <c r="T660"/>
      <c r="U660"/>
      <c r="W660"/>
    </row>
    <row r="661" spans="10:23" s="1" customFormat="1" x14ac:dyDescent="0.2">
      <c r="J661"/>
      <c r="K661"/>
      <c r="L661"/>
      <c r="M661"/>
      <c r="N661" s="392"/>
      <c r="O661" s="2"/>
      <c r="S661"/>
      <c r="T661"/>
      <c r="U661"/>
      <c r="W661"/>
    </row>
    <row r="662" spans="10:23" s="1" customFormat="1" x14ac:dyDescent="0.2">
      <c r="J662"/>
      <c r="K662"/>
      <c r="L662"/>
      <c r="M662"/>
      <c r="N662" s="392"/>
      <c r="O662" s="2"/>
      <c r="S662"/>
      <c r="T662"/>
      <c r="U662"/>
      <c r="W662"/>
    </row>
    <row r="663" spans="10:23" s="1" customFormat="1" x14ac:dyDescent="0.2">
      <c r="J663"/>
      <c r="K663"/>
      <c r="L663"/>
      <c r="M663"/>
      <c r="N663" s="392"/>
      <c r="O663" s="2"/>
      <c r="S663"/>
      <c r="T663"/>
      <c r="U663"/>
      <c r="W663"/>
    </row>
    <row r="664" spans="10:23" s="1" customFormat="1" x14ac:dyDescent="0.2">
      <c r="J664"/>
      <c r="K664"/>
      <c r="L664"/>
      <c r="M664"/>
      <c r="N664" s="392"/>
      <c r="O664" s="2"/>
      <c r="S664"/>
      <c r="T664"/>
      <c r="U664"/>
      <c r="W664"/>
    </row>
    <row r="665" spans="10:23" s="1" customFormat="1" x14ac:dyDescent="0.2">
      <c r="J665"/>
      <c r="K665"/>
      <c r="L665"/>
      <c r="M665"/>
      <c r="N665" s="392"/>
      <c r="O665" s="2"/>
      <c r="S665"/>
      <c r="T665"/>
      <c r="U665"/>
      <c r="W665"/>
    </row>
    <row r="666" spans="10:23" s="1" customFormat="1" x14ac:dyDescent="0.2">
      <c r="J666"/>
      <c r="K666"/>
      <c r="L666"/>
      <c r="M666"/>
      <c r="N666" s="392"/>
      <c r="O666" s="2"/>
      <c r="S666"/>
      <c r="T666"/>
      <c r="U666"/>
      <c r="W666"/>
    </row>
    <row r="667" spans="10:23" s="1" customFormat="1" x14ac:dyDescent="0.2">
      <c r="J667"/>
      <c r="K667"/>
      <c r="L667"/>
      <c r="M667"/>
      <c r="N667" s="392"/>
      <c r="O667" s="2"/>
      <c r="S667"/>
      <c r="T667"/>
      <c r="U667"/>
      <c r="W667"/>
    </row>
    <row r="668" spans="10:23" s="1" customFormat="1" x14ac:dyDescent="0.2">
      <c r="J668"/>
      <c r="K668"/>
      <c r="L668"/>
      <c r="M668"/>
      <c r="N668" s="392"/>
      <c r="O668" s="2"/>
      <c r="S668"/>
      <c r="T668"/>
      <c r="U668"/>
      <c r="W668"/>
    </row>
    <row r="669" spans="10:23" s="1" customFormat="1" x14ac:dyDescent="0.2">
      <c r="J669"/>
      <c r="K669"/>
      <c r="L669"/>
      <c r="M669"/>
      <c r="N669" s="392"/>
      <c r="O669" s="2"/>
      <c r="S669"/>
      <c r="T669"/>
      <c r="U669"/>
      <c r="W669"/>
    </row>
    <row r="670" spans="10:23" s="1" customFormat="1" x14ac:dyDescent="0.2">
      <c r="J670"/>
      <c r="K670"/>
      <c r="L670"/>
      <c r="M670"/>
      <c r="N670" s="392"/>
      <c r="O670" s="2"/>
      <c r="S670"/>
      <c r="T670"/>
      <c r="U670"/>
      <c r="W670"/>
    </row>
    <row r="671" spans="10:23" s="1" customFormat="1" x14ac:dyDescent="0.2">
      <c r="J671"/>
      <c r="K671"/>
      <c r="L671"/>
      <c r="M671"/>
      <c r="N671" s="392"/>
      <c r="O671" s="2"/>
      <c r="S671"/>
      <c r="T671"/>
      <c r="U671"/>
      <c r="W671"/>
    </row>
    <row r="672" spans="10:23" s="1" customFormat="1" x14ac:dyDescent="0.2">
      <c r="J672"/>
      <c r="K672"/>
      <c r="L672"/>
      <c r="M672"/>
      <c r="N672" s="392"/>
      <c r="O672" s="2"/>
      <c r="S672"/>
      <c r="T672"/>
      <c r="U672"/>
      <c r="W672"/>
    </row>
    <row r="673" spans="10:23" s="1" customFormat="1" x14ac:dyDescent="0.2">
      <c r="J673"/>
      <c r="K673"/>
      <c r="L673"/>
      <c r="M673"/>
      <c r="N673" s="392"/>
      <c r="O673" s="2"/>
      <c r="S673"/>
      <c r="T673"/>
      <c r="U673"/>
      <c r="W673"/>
    </row>
    <row r="674" spans="10:23" s="1" customFormat="1" x14ac:dyDescent="0.2">
      <c r="J674"/>
      <c r="K674"/>
      <c r="L674"/>
      <c r="M674"/>
      <c r="N674" s="392"/>
      <c r="O674" s="2"/>
      <c r="S674"/>
      <c r="T674"/>
      <c r="U674"/>
      <c r="W674"/>
    </row>
    <row r="675" spans="10:23" s="1" customFormat="1" x14ac:dyDescent="0.2">
      <c r="J675"/>
      <c r="K675"/>
      <c r="L675"/>
      <c r="M675"/>
      <c r="N675" s="392"/>
      <c r="O675" s="2"/>
      <c r="S675"/>
      <c r="T675"/>
      <c r="U675"/>
      <c r="W675"/>
    </row>
    <row r="676" spans="10:23" s="1" customFormat="1" x14ac:dyDescent="0.2">
      <c r="J676"/>
      <c r="K676"/>
      <c r="L676"/>
      <c r="M676"/>
      <c r="N676" s="392"/>
      <c r="O676" s="2"/>
      <c r="S676"/>
      <c r="T676"/>
      <c r="U676"/>
      <c r="W676"/>
    </row>
    <row r="677" spans="10:23" s="1" customFormat="1" x14ac:dyDescent="0.2">
      <c r="J677"/>
      <c r="K677"/>
      <c r="L677"/>
      <c r="M677"/>
      <c r="N677" s="392"/>
      <c r="O677" s="2"/>
      <c r="S677"/>
      <c r="T677"/>
      <c r="U677"/>
      <c r="W677"/>
    </row>
    <row r="678" spans="10:23" s="1" customFormat="1" x14ac:dyDescent="0.2">
      <c r="J678"/>
      <c r="K678"/>
      <c r="L678"/>
      <c r="M678"/>
      <c r="N678" s="392"/>
      <c r="O678" s="2"/>
      <c r="S678"/>
      <c r="T678"/>
      <c r="U678"/>
      <c r="W678"/>
    </row>
    <row r="679" spans="10:23" s="1" customFormat="1" x14ac:dyDescent="0.2">
      <c r="J679"/>
      <c r="K679"/>
      <c r="L679"/>
      <c r="M679"/>
      <c r="N679" s="392"/>
      <c r="O679" s="2"/>
      <c r="S679"/>
      <c r="T679"/>
      <c r="U679"/>
      <c r="W679"/>
    </row>
    <row r="680" spans="10:23" s="1" customFormat="1" x14ac:dyDescent="0.2">
      <c r="J680"/>
      <c r="K680"/>
      <c r="L680"/>
      <c r="M680"/>
      <c r="N680" s="392"/>
      <c r="O680" s="2"/>
      <c r="S680"/>
      <c r="T680"/>
      <c r="U680"/>
      <c r="W680"/>
    </row>
    <row r="681" spans="10:23" s="1" customFormat="1" x14ac:dyDescent="0.2">
      <c r="J681"/>
      <c r="K681"/>
      <c r="L681"/>
      <c r="M681"/>
      <c r="N681" s="392"/>
      <c r="O681" s="2"/>
      <c r="S681"/>
      <c r="T681"/>
      <c r="U681"/>
      <c r="W681"/>
    </row>
    <row r="682" spans="10:23" s="1" customFormat="1" x14ac:dyDescent="0.2">
      <c r="J682"/>
      <c r="K682"/>
      <c r="L682"/>
      <c r="M682"/>
      <c r="N682" s="392"/>
      <c r="O682" s="2"/>
      <c r="S682"/>
      <c r="T682"/>
      <c r="U682"/>
      <c r="W682"/>
    </row>
    <row r="683" spans="10:23" s="1" customFormat="1" x14ac:dyDescent="0.2">
      <c r="J683"/>
      <c r="K683"/>
      <c r="L683"/>
      <c r="M683"/>
      <c r="N683" s="392"/>
      <c r="O683" s="2"/>
      <c r="S683"/>
      <c r="T683"/>
      <c r="U683"/>
      <c r="W683"/>
    </row>
    <row r="684" spans="10:23" s="1" customFormat="1" x14ac:dyDescent="0.2">
      <c r="J684"/>
      <c r="K684"/>
      <c r="L684"/>
      <c r="M684"/>
      <c r="N684" s="392"/>
      <c r="O684" s="2"/>
      <c r="S684"/>
      <c r="T684"/>
      <c r="U684"/>
      <c r="W684"/>
    </row>
    <row r="685" spans="10:23" s="1" customFormat="1" x14ac:dyDescent="0.2">
      <c r="J685"/>
      <c r="K685"/>
      <c r="L685"/>
      <c r="M685"/>
      <c r="N685" s="392"/>
      <c r="O685" s="2"/>
      <c r="S685"/>
      <c r="T685"/>
      <c r="U685"/>
      <c r="W685"/>
    </row>
    <row r="686" spans="10:23" s="1" customFormat="1" x14ac:dyDescent="0.2">
      <c r="J686"/>
      <c r="K686"/>
      <c r="L686"/>
      <c r="M686"/>
      <c r="N686" s="392"/>
      <c r="O686" s="2"/>
      <c r="S686"/>
      <c r="T686"/>
      <c r="U686"/>
      <c r="W686"/>
    </row>
    <row r="687" spans="10:23" s="1" customFormat="1" x14ac:dyDescent="0.2">
      <c r="J687"/>
      <c r="K687"/>
      <c r="L687"/>
      <c r="M687"/>
      <c r="N687" s="392"/>
      <c r="O687" s="2"/>
      <c r="S687"/>
      <c r="T687"/>
      <c r="U687"/>
      <c r="W687"/>
    </row>
    <row r="688" spans="10:23" s="1" customFormat="1" x14ac:dyDescent="0.2">
      <c r="J688"/>
      <c r="K688"/>
      <c r="L688"/>
      <c r="M688"/>
      <c r="N688" s="392"/>
      <c r="O688" s="2"/>
      <c r="S688"/>
      <c r="T688"/>
      <c r="U688"/>
      <c r="W688"/>
    </row>
    <row r="689" spans="10:23" s="1" customFormat="1" x14ac:dyDescent="0.2">
      <c r="J689"/>
      <c r="K689"/>
      <c r="L689"/>
      <c r="M689"/>
      <c r="N689" s="392"/>
      <c r="O689" s="2"/>
      <c r="S689"/>
      <c r="T689"/>
      <c r="U689"/>
      <c r="W689"/>
    </row>
    <row r="690" spans="10:23" s="1" customFormat="1" x14ac:dyDescent="0.2">
      <c r="J690"/>
      <c r="K690"/>
      <c r="L690"/>
      <c r="M690"/>
      <c r="N690" s="392"/>
      <c r="O690" s="2"/>
      <c r="S690"/>
      <c r="T690"/>
      <c r="U690"/>
      <c r="W690"/>
    </row>
    <row r="691" spans="10:23" s="1" customFormat="1" x14ac:dyDescent="0.2">
      <c r="J691"/>
      <c r="K691"/>
      <c r="L691"/>
      <c r="M691"/>
      <c r="N691" s="392"/>
      <c r="O691" s="2"/>
      <c r="S691"/>
      <c r="T691"/>
      <c r="U691"/>
      <c r="W691"/>
    </row>
    <row r="692" spans="10:23" s="1" customFormat="1" x14ac:dyDescent="0.2">
      <c r="J692"/>
      <c r="K692"/>
      <c r="L692"/>
      <c r="M692"/>
      <c r="N692" s="392"/>
      <c r="O692" s="2"/>
      <c r="S692"/>
      <c r="T692"/>
      <c r="U692"/>
      <c r="W692"/>
    </row>
    <row r="693" spans="10:23" s="1" customFormat="1" x14ac:dyDescent="0.2">
      <c r="J693"/>
      <c r="K693"/>
      <c r="L693"/>
      <c r="M693"/>
      <c r="N693" s="392"/>
      <c r="O693" s="2"/>
      <c r="S693"/>
      <c r="T693"/>
      <c r="U693"/>
      <c r="W693"/>
    </row>
    <row r="694" spans="10:23" s="1" customFormat="1" x14ac:dyDescent="0.2">
      <c r="J694"/>
      <c r="K694"/>
      <c r="L694"/>
      <c r="M694"/>
      <c r="N694" s="392"/>
      <c r="O694" s="2"/>
      <c r="S694"/>
      <c r="T694"/>
      <c r="U694"/>
      <c r="W694"/>
    </row>
    <row r="695" spans="10:23" s="1" customFormat="1" x14ac:dyDescent="0.2">
      <c r="J695"/>
      <c r="K695"/>
      <c r="L695"/>
      <c r="M695"/>
      <c r="N695" s="392"/>
      <c r="O695" s="2"/>
      <c r="S695"/>
      <c r="T695"/>
      <c r="U695"/>
      <c r="W695"/>
    </row>
    <row r="696" spans="10:23" s="1" customFormat="1" x14ac:dyDescent="0.2">
      <c r="J696"/>
      <c r="K696"/>
      <c r="L696"/>
      <c r="M696"/>
      <c r="N696" s="392"/>
      <c r="O696" s="2"/>
      <c r="S696"/>
      <c r="T696"/>
      <c r="U696"/>
      <c r="W696"/>
    </row>
    <row r="697" spans="10:23" s="1" customFormat="1" x14ac:dyDescent="0.2">
      <c r="J697"/>
      <c r="K697"/>
      <c r="L697"/>
      <c r="M697"/>
      <c r="N697" s="392"/>
      <c r="O697" s="2"/>
      <c r="S697"/>
      <c r="T697"/>
      <c r="U697"/>
      <c r="W697"/>
    </row>
    <row r="698" spans="10:23" s="1" customFormat="1" x14ac:dyDescent="0.2">
      <c r="J698"/>
      <c r="K698"/>
      <c r="L698"/>
      <c r="M698"/>
      <c r="N698" s="392"/>
      <c r="O698" s="2"/>
      <c r="S698"/>
      <c r="T698"/>
      <c r="U698"/>
      <c r="W698"/>
    </row>
    <row r="699" spans="10:23" s="1" customFormat="1" x14ac:dyDescent="0.2">
      <c r="J699"/>
      <c r="K699"/>
      <c r="L699"/>
      <c r="M699"/>
      <c r="N699" s="392"/>
      <c r="O699" s="2"/>
      <c r="S699"/>
      <c r="T699"/>
      <c r="U699"/>
      <c r="W699"/>
    </row>
    <row r="700" spans="10:23" s="1" customFormat="1" x14ac:dyDescent="0.2">
      <c r="J700"/>
      <c r="K700"/>
      <c r="L700"/>
      <c r="M700"/>
      <c r="N700" s="392"/>
      <c r="O700" s="2"/>
      <c r="S700"/>
      <c r="T700"/>
      <c r="U700"/>
      <c r="W700"/>
    </row>
    <row r="701" spans="10:23" s="1" customFormat="1" x14ac:dyDescent="0.2">
      <c r="J701"/>
      <c r="K701"/>
      <c r="L701"/>
      <c r="M701"/>
      <c r="N701" s="392"/>
      <c r="O701" s="2"/>
      <c r="S701"/>
      <c r="T701"/>
      <c r="U701"/>
      <c r="W701"/>
    </row>
    <row r="702" spans="10:23" s="1" customFormat="1" x14ac:dyDescent="0.2">
      <c r="J702"/>
      <c r="K702"/>
      <c r="L702"/>
      <c r="M702"/>
      <c r="N702" s="392"/>
      <c r="O702" s="2"/>
      <c r="S702"/>
      <c r="T702"/>
      <c r="U702"/>
      <c r="W702"/>
    </row>
    <row r="703" spans="10:23" s="1" customFormat="1" x14ac:dyDescent="0.2">
      <c r="J703"/>
      <c r="K703"/>
      <c r="L703"/>
      <c r="M703"/>
      <c r="N703" s="392"/>
      <c r="O703" s="2"/>
      <c r="S703"/>
      <c r="T703"/>
      <c r="U703"/>
      <c r="W703"/>
    </row>
    <row r="704" spans="10:23" s="1" customFormat="1" x14ac:dyDescent="0.2">
      <c r="J704"/>
      <c r="K704"/>
      <c r="L704"/>
      <c r="M704"/>
      <c r="N704" s="392"/>
      <c r="O704" s="2"/>
      <c r="S704"/>
      <c r="T704"/>
      <c r="U704"/>
      <c r="W704"/>
    </row>
    <row r="705" spans="10:23" s="1" customFormat="1" x14ac:dyDescent="0.2">
      <c r="J705"/>
      <c r="K705"/>
      <c r="L705"/>
      <c r="M705"/>
      <c r="N705" s="392"/>
      <c r="O705" s="2"/>
      <c r="S705"/>
      <c r="T705"/>
      <c r="U705"/>
      <c r="W705"/>
    </row>
    <row r="706" spans="10:23" s="1" customFormat="1" x14ac:dyDescent="0.2">
      <c r="J706"/>
      <c r="K706"/>
      <c r="L706"/>
      <c r="M706"/>
      <c r="N706" s="392"/>
      <c r="O706" s="2"/>
      <c r="S706"/>
      <c r="T706"/>
      <c r="U706"/>
      <c r="W706"/>
    </row>
    <row r="707" spans="10:23" s="1" customFormat="1" x14ac:dyDescent="0.2">
      <c r="J707"/>
      <c r="K707"/>
      <c r="L707"/>
      <c r="M707"/>
      <c r="N707" s="392"/>
      <c r="O707" s="2"/>
      <c r="S707"/>
      <c r="T707"/>
      <c r="U707"/>
      <c r="W707"/>
    </row>
    <row r="708" spans="10:23" s="1" customFormat="1" x14ac:dyDescent="0.2">
      <c r="J708"/>
      <c r="K708"/>
      <c r="L708"/>
      <c r="M708"/>
      <c r="N708" s="392"/>
      <c r="O708" s="2"/>
      <c r="S708"/>
      <c r="T708"/>
      <c r="U708"/>
      <c r="W708"/>
    </row>
    <row r="709" spans="10:23" s="1" customFormat="1" x14ac:dyDescent="0.2">
      <c r="J709"/>
      <c r="K709"/>
      <c r="L709"/>
      <c r="M709"/>
      <c r="N709" s="392"/>
      <c r="O709" s="2"/>
      <c r="S709"/>
      <c r="T709"/>
      <c r="U709"/>
      <c r="W709"/>
    </row>
    <row r="710" spans="10:23" s="1" customFormat="1" x14ac:dyDescent="0.2">
      <c r="J710"/>
      <c r="K710"/>
      <c r="L710"/>
      <c r="M710"/>
      <c r="N710" s="392"/>
      <c r="O710" s="2"/>
      <c r="S710"/>
      <c r="T710"/>
      <c r="U710"/>
      <c r="W710"/>
    </row>
    <row r="711" spans="10:23" s="1" customFormat="1" x14ac:dyDescent="0.2">
      <c r="J711"/>
      <c r="K711"/>
      <c r="L711"/>
      <c r="M711"/>
      <c r="N711" s="392"/>
      <c r="O711" s="2"/>
      <c r="S711"/>
      <c r="T711"/>
      <c r="U711"/>
      <c r="W711"/>
    </row>
    <row r="712" spans="10:23" s="1" customFormat="1" x14ac:dyDescent="0.2">
      <c r="J712"/>
      <c r="K712"/>
      <c r="L712"/>
      <c r="M712"/>
      <c r="N712" s="392"/>
      <c r="O712" s="2"/>
      <c r="S712"/>
      <c r="T712"/>
      <c r="U712"/>
      <c r="W712"/>
    </row>
    <row r="713" spans="10:23" s="1" customFormat="1" x14ac:dyDescent="0.2">
      <c r="J713"/>
      <c r="K713"/>
      <c r="L713"/>
      <c r="M713"/>
      <c r="N713" s="392"/>
      <c r="O713" s="2"/>
      <c r="S713"/>
      <c r="T713"/>
      <c r="U713"/>
      <c r="W713"/>
    </row>
    <row r="714" spans="10:23" s="1" customFormat="1" x14ac:dyDescent="0.2">
      <c r="J714"/>
      <c r="K714"/>
      <c r="L714"/>
      <c r="M714"/>
      <c r="N714" s="392"/>
      <c r="O714" s="2"/>
      <c r="S714"/>
      <c r="T714"/>
      <c r="U714"/>
      <c r="W714"/>
    </row>
    <row r="715" spans="10:23" s="1" customFormat="1" x14ac:dyDescent="0.2">
      <c r="J715"/>
      <c r="K715"/>
      <c r="L715"/>
      <c r="M715"/>
      <c r="N715" s="392"/>
      <c r="O715" s="2"/>
      <c r="S715"/>
      <c r="T715"/>
      <c r="U715"/>
      <c r="W715"/>
    </row>
    <row r="716" spans="10:23" s="1" customFormat="1" x14ac:dyDescent="0.2">
      <c r="J716"/>
      <c r="K716"/>
      <c r="L716"/>
      <c r="M716"/>
      <c r="N716" s="392"/>
      <c r="O716" s="2"/>
      <c r="S716"/>
      <c r="T716"/>
      <c r="U716"/>
      <c r="W716"/>
    </row>
    <row r="717" spans="10:23" s="1" customFormat="1" x14ac:dyDescent="0.2">
      <c r="J717"/>
      <c r="K717"/>
      <c r="L717"/>
      <c r="M717"/>
      <c r="N717" s="392"/>
      <c r="O717" s="2"/>
      <c r="S717"/>
      <c r="T717"/>
      <c r="U717"/>
      <c r="W717"/>
    </row>
    <row r="718" spans="10:23" s="1" customFormat="1" x14ac:dyDescent="0.2">
      <c r="J718"/>
      <c r="K718"/>
      <c r="L718"/>
      <c r="M718"/>
      <c r="N718" s="392"/>
      <c r="O718" s="2"/>
      <c r="S718"/>
      <c r="T718"/>
      <c r="U718"/>
      <c r="W718"/>
    </row>
    <row r="719" spans="10:23" s="1" customFormat="1" x14ac:dyDescent="0.2">
      <c r="J719"/>
      <c r="K719"/>
      <c r="L719"/>
      <c r="M719"/>
      <c r="N719" s="392"/>
      <c r="O719" s="2"/>
      <c r="S719"/>
      <c r="T719"/>
      <c r="U719"/>
      <c r="W719"/>
    </row>
    <row r="720" spans="10:23" s="1" customFormat="1" x14ac:dyDescent="0.2">
      <c r="J720"/>
      <c r="K720"/>
      <c r="L720"/>
      <c r="M720"/>
      <c r="N720" s="392"/>
      <c r="O720" s="2"/>
      <c r="S720"/>
      <c r="T720"/>
      <c r="U720"/>
      <c r="W720"/>
    </row>
    <row r="721" spans="10:23" s="1" customFormat="1" x14ac:dyDescent="0.2">
      <c r="J721"/>
      <c r="K721"/>
      <c r="L721"/>
      <c r="M721"/>
      <c r="N721" s="392"/>
      <c r="O721" s="2"/>
      <c r="S721"/>
      <c r="T721"/>
      <c r="U721"/>
      <c r="W721"/>
    </row>
    <row r="722" spans="10:23" s="1" customFormat="1" x14ac:dyDescent="0.2">
      <c r="J722"/>
      <c r="K722"/>
      <c r="L722"/>
      <c r="M722"/>
      <c r="N722" s="392"/>
      <c r="O722" s="2"/>
      <c r="S722"/>
      <c r="T722"/>
      <c r="U722"/>
      <c r="W722"/>
    </row>
    <row r="723" spans="10:23" s="1" customFormat="1" x14ac:dyDescent="0.2">
      <c r="J723"/>
      <c r="K723"/>
      <c r="L723"/>
      <c r="M723"/>
      <c r="N723" s="392"/>
      <c r="O723" s="2"/>
      <c r="S723"/>
      <c r="T723"/>
      <c r="U723"/>
      <c r="W723"/>
    </row>
    <row r="724" spans="10:23" s="1" customFormat="1" x14ac:dyDescent="0.2">
      <c r="J724"/>
      <c r="K724"/>
      <c r="L724"/>
      <c r="M724"/>
      <c r="N724" s="392"/>
      <c r="O724" s="2"/>
      <c r="S724"/>
      <c r="T724"/>
      <c r="U724"/>
      <c r="W724"/>
    </row>
    <row r="725" spans="10:23" s="1" customFormat="1" x14ac:dyDescent="0.2">
      <c r="J725"/>
      <c r="K725"/>
      <c r="L725"/>
      <c r="M725"/>
      <c r="N725" s="392"/>
      <c r="O725" s="2"/>
      <c r="S725"/>
      <c r="T725"/>
      <c r="U725"/>
      <c r="W725"/>
    </row>
    <row r="726" spans="10:23" s="1" customFormat="1" x14ac:dyDescent="0.2">
      <c r="J726"/>
      <c r="K726"/>
      <c r="L726"/>
      <c r="M726"/>
      <c r="N726" s="392"/>
      <c r="O726" s="2"/>
      <c r="S726"/>
      <c r="T726"/>
      <c r="U726"/>
      <c r="W726"/>
    </row>
    <row r="727" spans="10:23" s="1" customFormat="1" x14ac:dyDescent="0.2">
      <c r="J727"/>
      <c r="K727"/>
      <c r="L727"/>
      <c r="M727"/>
      <c r="N727" s="392"/>
      <c r="O727" s="2"/>
      <c r="S727"/>
      <c r="T727"/>
      <c r="U727"/>
      <c r="W727"/>
    </row>
    <row r="728" spans="10:23" s="1" customFormat="1" x14ac:dyDescent="0.2">
      <c r="J728"/>
      <c r="K728"/>
      <c r="L728"/>
      <c r="M728"/>
      <c r="N728" s="392"/>
      <c r="O728" s="2"/>
      <c r="S728"/>
      <c r="T728"/>
      <c r="U728"/>
      <c r="W728"/>
    </row>
    <row r="729" spans="10:23" s="1" customFormat="1" x14ac:dyDescent="0.2">
      <c r="J729"/>
      <c r="K729"/>
      <c r="L729"/>
      <c r="M729"/>
      <c r="N729" s="392"/>
      <c r="O729" s="2"/>
      <c r="S729"/>
      <c r="T729"/>
      <c r="U729"/>
      <c r="W729"/>
    </row>
    <row r="730" spans="10:23" s="1" customFormat="1" x14ac:dyDescent="0.2">
      <c r="J730"/>
      <c r="K730"/>
      <c r="L730"/>
      <c r="M730"/>
      <c r="N730" s="392"/>
      <c r="O730" s="2"/>
      <c r="S730"/>
      <c r="T730"/>
      <c r="U730"/>
      <c r="W730"/>
    </row>
    <row r="731" spans="10:23" s="1" customFormat="1" x14ac:dyDescent="0.2">
      <c r="J731"/>
      <c r="K731"/>
      <c r="L731"/>
      <c r="M731"/>
      <c r="N731" s="392"/>
      <c r="O731" s="2"/>
      <c r="S731"/>
      <c r="T731"/>
      <c r="U731"/>
      <c r="W731"/>
    </row>
    <row r="732" spans="10:23" s="1" customFormat="1" x14ac:dyDescent="0.2">
      <c r="J732"/>
      <c r="K732"/>
      <c r="L732"/>
      <c r="M732"/>
      <c r="N732" s="392"/>
      <c r="O732" s="2"/>
      <c r="S732"/>
      <c r="T732"/>
      <c r="U732"/>
      <c r="W732"/>
    </row>
    <row r="733" spans="10:23" s="1" customFormat="1" x14ac:dyDescent="0.2">
      <c r="J733"/>
      <c r="K733"/>
      <c r="L733"/>
      <c r="M733"/>
      <c r="N733" s="392"/>
      <c r="O733" s="2"/>
      <c r="S733"/>
      <c r="T733"/>
      <c r="U733"/>
      <c r="W733"/>
    </row>
    <row r="734" spans="10:23" s="1" customFormat="1" x14ac:dyDescent="0.2">
      <c r="J734"/>
      <c r="K734"/>
      <c r="L734"/>
      <c r="M734"/>
      <c r="N734" s="392"/>
      <c r="O734" s="2"/>
      <c r="S734"/>
      <c r="T734"/>
      <c r="U734"/>
      <c r="W734"/>
    </row>
    <row r="735" spans="10:23" s="1" customFormat="1" x14ac:dyDescent="0.2">
      <c r="J735"/>
      <c r="K735"/>
      <c r="L735"/>
      <c r="M735"/>
      <c r="N735" s="392"/>
      <c r="O735" s="2"/>
      <c r="S735"/>
      <c r="T735"/>
      <c r="U735"/>
      <c r="W735"/>
    </row>
    <row r="736" spans="10:23" s="1" customFormat="1" x14ac:dyDescent="0.2">
      <c r="J736"/>
      <c r="K736"/>
      <c r="L736"/>
      <c r="M736"/>
      <c r="N736" s="392"/>
      <c r="O736" s="2"/>
      <c r="S736"/>
      <c r="T736"/>
      <c r="U736"/>
      <c r="W736"/>
    </row>
    <row r="65465" spans="12:12" x14ac:dyDescent="0.2">
      <c r="L65465">
        <v>4</v>
      </c>
    </row>
  </sheetData>
  <mergeCells count="130">
    <mergeCell ref="B22:B24"/>
    <mergeCell ref="E22:E24"/>
    <mergeCell ref="L22:L24"/>
    <mergeCell ref="J22:J24"/>
    <mergeCell ref="K22:K24"/>
    <mergeCell ref="R22:R24"/>
    <mergeCell ref="B19:B20"/>
    <mergeCell ref="E19:E20"/>
    <mergeCell ref="F19:F20"/>
    <mergeCell ref="H19:H20"/>
    <mergeCell ref="I19:I20"/>
    <mergeCell ref="J19:J20"/>
    <mergeCell ref="B15:B16"/>
    <mergeCell ref="E15:E16"/>
    <mergeCell ref="J15:J16"/>
    <mergeCell ref="K15:K16"/>
    <mergeCell ref="L15:L16"/>
    <mergeCell ref="R15:R16"/>
    <mergeCell ref="T19:T20"/>
    <mergeCell ref="U19:U20"/>
    <mergeCell ref="V19:V20"/>
    <mergeCell ref="K19:K20"/>
    <mergeCell ref="L19:L20"/>
    <mergeCell ref="M19:M20"/>
    <mergeCell ref="P19:P20"/>
    <mergeCell ref="R19:R20"/>
    <mergeCell ref="S19:S20"/>
    <mergeCell ref="C93:C94"/>
    <mergeCell ref="D93:D94"/>
    <mergeCell ref="E93:E94"/>
    <mergeCell ref="W24:AC24"/>
    <mergeCell ref="W25:AC25"/>
    <mergeCell ref="D73:P73"/>
    <mergeCell ref="C83:P84"/>
    <mergeCell ref="W56:AC56"/>
    <mergeCell ref="W57:AC57"/>
    <mergeCell ref="W58:AC58"/>
    <mergeCell ref="S22:S24"/>
    <mergeCell ref="T22:T24"/>
    <mergeCell ref="U22:U24"/>
    <mergeCell ref="V22:V24"/>
    <mergeCell ref="W47:AC47"/>
    <mergeCell ref="W48:AC48"/>
    <mergeCell ref="W49:AC49"/>
    <mergeCell ref="E60:F60"/>
    <mergeCell ref="E61:F61"/>
    <mergeCell ref="E62:F62"/>
    <mergeCell ref="W50:AC50"/>
    <mergeCell ref="W51:AC51"/>
    <mergeCell ref="W52:AC52"/>
    <mergeCell ref="W53:AC53"/>
    <mergeCell ref="W37:AC37"/>
    <mergeCell ref="W33:AC33"/>
    <mergeCell ref="W34:AC34"/>
    <mergeCell ref="W29:AC29"/>
    <mergeCell ref="W30:AC30"/>
    <mergeCell ref="W31:AC31"/>
    <mergeCell ref="W32:AC32"/>
    <mergeCell ref="W54:AC54"/>
    <mergeCell ref="W55:AC55"/>
    <mergeCell ref="W38:AC38"/>
    <mergeCell ref="W39:AC39"/>
    <mergeCell ref="W40:AC40"/>
    <mergeCell ref="W41:AC41"/>
    <mergeCell ref="W42:AC42"/>
    <mergeCell ref="W43:AC43"/>
    <mergeCell ref="W44:AC44"/>
    <mergeCell ref="W45:AC45"/>
    <mergeCell ref="W46:AC46"/>
    <mergeCell ref="W26:AC26"/>
    <mergeCell ref="W27:AC27"/>
    <mergeCell ref="W28:AC28"/>
    <mergeCell ref="W22:AC22"/>
    <mergeCell ref="W23:AC23"/>
    <mergeCell ref="W21:AC21"/>
    <mergeCell ref="W19:AC20"/>
    <mergeCell ref="W35:AC35"/>
    <mergeCell ref="W36:AC36"/>
    <mergeCell ref="S6:S7"/>
    <mergeCell ref="R6:R7"/>
    <mergeCell ref="T9:T10"/>
    <mergeCell ref="U9:U10"/>
    <mergeCell ref="V9:V10"/>
    <mergeCell ref="S9:S10"/>
    <mergeCell ref="E9:E10"/>
    <mergeCell ref="J9:J10"/>
    <mergeCell ref="W18:AC18"/>
    <mergeCell ref="W16:AC16"/>
    <mergeCell ref="W17:AC17"/>
    <mergeCell ref="W14:AC14"/>
    <mergeCell ref="W15:AC15"/>
    <mergeCell ref="W13:AC13"/>
    <mergeCell ref="S15:S16"/>
    <mergeCell ref="T15:T16"/>
    <mergeCell ref="U15:U16"/>
    <mergeCell ref="V15:V16"/>
    <mergeCell ref="W4:AC4"/>
    <mergeCell ref="W5:AC5"/>
    <mergeCell ref="W6:AC6"/>
    <mergeCell ref="W12:AC12"/>
    <mergeCell ref="S13:S14"/>
    <mergeCell ref="T13:T14"/>
    <mergeCell ref="U13:U14"/>
    <mergeCell ref="V13:V14"/>
    <mergeCell ref="B2:W2"/>
    <mergeCell ref="W3:AC3"/>
    <mergeCell ref="B9:B10"/>
    <mergeCell ref="B6:B7"/>
    <mergeCell ref="V6:V7"/>
    <mergeCell ref="U6:U7"/>
    <mergeCell ref="T6:T7"/>
    <mergeCell ref="W11:AC11"/>
    <mergeCell ref="E6:E7"/>
    <mergeCell ref="L6:L7"/>
    <mergeCell ref="K6:K7"/>
    <mergeCell ref="J6:J7"/>
    <mergeCell ref="W9:AC9"/>
    <mergeCell ref="W10:AC10"/>
    <mergeCell ref="W7:AC7"/>
    <mergeCell ref="W8:AC8"/>
    <mergeCell ref="B13:B14"/>
    <mergeCell ref="D12:D13"/>
    <mergeCell ref="E13:E14"/>
    <mergeCell ref="J13:J14"/>
    <mergeCell ref="K13:K14"/>
    <mergeCell ref="L13:L14"/>
    <mergeCell ref="K9:K10"/>
    <mergeCell ref="L9:L10"/>
    <mergeCell ref="R9:R10"/>
    <mergeCell ref="R13:R14"/>
  </mergeCells>
  <conditionalFormatting sqref="B2 J78:J82 J85:J86 J89:J65536">
    <cfRule type="cellIs" dxfId="1569" priority="1017" stopIfTrue="1" operator="lessThan">
      <formula>438</formula>
    </cfRule>
  </conditionalFormatting>
  <conditionalFormatting sqref="I64:I72">
    <cfRule type="cellIs" dxfId="1568" priority="999" stopIfTrue="1" operator="greaterThan">
      <formula>1.5%</formula>
    </cfRule>
    <cfRule type="cellIs" dxfId="1567" priority="1000" stopIfTrue="1" operator="lessThan">
      <formula>0%</formula>
    </cfRule>
  </conditionalFormatting>
  <conditionalFormatting sqref="J3">
    <cfRule type="cellIs" dxfId="1566" priority="937" stopIfTrue="1" operator="lessThan">
      <formula>438</formula>
    </cfRule>
    <cfRule type="cellIs" dxfId="1565" priority="935" stopIfTrue="1" operator="lessThan">
      <formula>456.25</formula>
    </cfRule>
  </conditionalFormatting>
  <conditionalFormatting sqref="J4:J6">
    <cfRule type="cellIs" dxfId="1564" priority="321" stopIfTrue="1" operator="lessThan">
      <formula>524</formula>
    </cfRule>
  </conditionalFormatting>
  <conditionalFormatting sqref="J8:J9">
    <cfRule type="cellIs" dxfId="1563" priority="319" stopIfTrue="1" operator="lessThan">
      <formula>524</formula>
    </cfRule>
  </conditionalFormatting>
  <conditionalFormatting sqref="J11:J13 J15">
    <cfRule type="cellIs" dxfId="1562" priority="218" stopIfTrue="1" operator="lessThan">
      <formula>524</formula>
    </cfRule>
  </conditionalFormatting>
  <conditionalFormatting sqref="J17:J19">
    <cfRule type="cellIs" dxfId="1561" priority="113" stopIfTrue="1" operator="lessThan">
      <formula>524</formula>
    </cfRule>
  </conditionalFormatting>
  <conditionalFormatting sqref="J21:J22">
    <cfRule type="cellIs" dxfId="1560" priority="5" stopIfTrue="1" operator="lessThan">
      <formula>524</formula>
    </cfRule>
  </conditionalFormatting>
  <conditionalFormatting sqref="J25:J58">
    <cfRule type="cellIs" dxfId="1559" priority="402" stopIfTrue="1" operator="lessThan">
      <formula>524</formula>
    </cfRule>
  </conditionalFormatting>
  <conditionalFormatting sqref="J59">
    <cfRule type="cellIs" dxfId="1558" priority="1011" stopIfTrue="1" operator="lessThan">
      <formula>462</formula>
    </cfRule>
  </conditionalFormatting>
  <conditionalFormatting sqref="J64:K72">
    <cfRule type="cellIs" dxfId="1557" priority="907" stopIfTrue="1" operator="lessThan">
      <formula>73%</formula>
    </cfRule>
  </conditionalFormatting>
  <conditionalFormatting sqref="K4:K6">
    <cfRule type="cellIs" dxfId="1556" priority="323" stopIfTrue="1" operator="lessThan">
      <formula>540</formula>
    </cfRule>
  </conditionalFormatting>
  <conditionalFormatting sqref="K8:K9">
    <cfRule type="cellIs" dxfId="1555" priority="315" stopIfTrue="1" operator="lessThan">
      <formula>540</formula>
    </cfRule>
  </conditionalFormatting>
  <conditionalFormatting sqref="K11:K13 K15">
    <cfRule type="cellIs" dxfId="1554" priority="217" stopIfTrue="1" operator="lessThan">
      <formula>540</formula>
    </cfRule>
  </conditionalFormatting>
  <conditionalFormatting sqref="K17:K19">
    <cfRule type="cellIs" dxfId="1553" priority="112" stopIfTrue="1" operator="lessThan">
      <formula>540</formula>
    </cfRule>
  </conditionalFormatting>
  <conditionalFormatting sqref="K21:K22">
    <cfRule type="cellIs" dxfId="1552" priority="4" stopIfTrue="1" operator="lessThan">
      <formula>540</formula>
    </cfRule>
  </conditionalFormatting>
  <conditionalFormatting sqref="K25:K57">
    <cfRule type="cellIs" dxfId="1551" priority="404" stopIfTrue="1" operator="lessThan">
      <formula>540</formula>
    </cfRule>
  </conditionalFormatting>
  <conditionalFormatting sqref="P4:P19">
    <cfRule type="cellIs" dxfId="1550" priority="210" stopIfTrue="1" operator="greaterThan">
      <formula>1.1</formula>
    </cfRule>
  </conditionalFormatting>
  <conditionalFormatting sqref="P21:P60">
    <cfRule type="cellIs" dxfId="1549" priority="102" stopIfTrue="1" operator="greaterThan">
      <formula>1.1</formula>
    </cfRule>
  </conditionalFormatting>
  <conditionalFormatting sqref="P60:P61">
    <cfRule type="cellIs" dxfId="1548" priority="1012" stopIfTrue="1" operator="greaterThan">
      <formula>1.5%</formula>
    </cfRule>
    <cfRule type="cellIs" dxfId="1547" priority="1013" stopIfTrue="1" operator="lessThan">
      <formula>0%</formula>
    </cfRule>
  </conditionalFormatting>
  <conditionalFormatting sqref="P64">
    <cfRule type="cellIs" dxfId="1546" priority="1001" stopIfTrue="1" operator="greaterThan">
      <formula>1.1</formula>
    </cfRule>
  </conditionalFormatting>
  <conditionalFormatting sqref="R4:S6">
    <cfRule type="cellIs" dxfId="1545" priority="371" stopIfTrue="1" operator="lessThan">
      <formula>0.67</formula>
    </cfRule>
  </conditionalFormatting>
  <conditionalFormatting sqref="R8:S9">
    <cfRule type="cellIs" dxfId="1544" priority="316" stopIfTrue="1" operator="lessThan">
      <formula>0.67</formula>
    </cfRule>
  </conditionalFormatting>
  <conditionalFormatting sqref="R11:S13 R15:S15">
    <cfRule type="cellIs" dxfId="1543" priority="211" stopIfTrue="1" operator="lessThan">
      <formula>0.67</formula>
    </cfRule>
  </conditionalFormatting>
  <conditionalFormatting sqref="R17:S19">
    <cfRule type="cellIs" dxfId="1542" priority="103" stopIfTrue="1" operator="lessThan">
      <formula>0.67</formula>
    </cfRule>
  </conditionalFormatting>
  <conditionalFormatting sqref="R21:S22">
    <cfRule type="cellIs" dxfId="1541" priority="1" stopIfTrue="1" operator="lessThan">
      <formula>0.67</formula>
    </cfRule>
  </conditionalFormatting>
  <conditionalFormatting sqref="R25:S57">
    <cfRule type="cellIs" dxfId="1540" priority="452" stopIfTrue="1" operator="lessThan">
      <formula>0.67</formula>
    </cfRule>
  </conditionalFormatting>
  <conditionalFormatting sqref="R58:S58">
    <cfRule type="cellIs" dxfId="1539" priority="906" stopIfTrue="1" operator="greaterThan">
      <formula>1.1</formula>
    </cfRule>
  </conditionalFormatting>
  <conditionalFormatting sqref="R59:S59">
    <cfRule type="cellIs" dxfId="1538" priority="969" stopIfTrue="1" operator="lessThan">
      <formula>0.6</formula>
    </cfRule>
  </conditionalFormatting>
  <conditionalFormatting sqref="R64:S64">
    <cfRule type="cellIs" dxfId="1537" priority="904" stopIfTrue="1" operator="lessThan">
      <formula>0.67</formula>
    </cfRule>
  </conditionalFormatting>
  <conditionalFormatting sqref="T60:T61">
    <cfRule type="cellIs" dxfId="1536" priority="1015" stopIfTrue="1" operator="lessThan">
      <formula>73%</formula>
    </cfRule>
  </conditionalFormatting>
  <conditionalFormatting sqref="T81">
    <cfRule type="cellIs" dxfId="1535" priority="1004" stopIfTrue="1" operator="greaterThan">
      <formula>1.1</formula>
    </cfRule>
  </conditionalFormatting>
  <conditionalFormatting sqref="T4:U6">
    <cfRule type="cellIs" dxfId="1534" priority="373" stopIfTrue="1" operator="lessThan">
      <formula>0.74</formula>
    </cfRule>
  </conditionalFormatting>
  <conditionalFormatting sqref="T8:U9">
    <cfRule type="cellIs" dxfId="1533" priority="318" stopIfTrue="1" operator="lessThan">
      <formula>0.74</formula>
    </cfRule>
  </conditionalFormatting>
  <conditionalFormatting sqref="T11:U13 T15:U15">
    <cfRule type="cellIs" dxfId="1532" priority="213" stopIfTrue="1" operator="lessThan">
      <formula>0.74</formula>
    </cfRule>
  </conditionalFormatting>
  <conditionalFormatting sqref="T17:U19">
    <cfRule type="cellIs" dxfId="1531" priority="105" stopIfTrue="1" operator="lessThan">
      <formula>0.74</formula>
    </cfRule>
  </conditionalFormatting>
  <conditionalFormatting sqref="T21:U22">
    <cfRule type="cellIs" dxfId="1530" priority="3" stopIfTrue="1" operator="lessThan">
      <formula>0.74</formula>
    </cfRule>
  </conditionalFormatting>
  <conditionalFormatting sqref="T25:U59">
    <cfRule type="cellIs" dxfId="1529" priority="454" stopIfTrue="1" operator="lessThan">
      <formula>0.74</formula>
    </cfRule>
  </conditionalFormatting>
  <conditionalFormatting sqref="T64:U64">
    <cfRule type="cellIs" dxfId="1528" priority="1002" stopIfTrue="1" operator="lessThan">
      <formula>0.74</formula>
    </cfRule>
  </conditionalFormatting>
  <conditionalFormatting sqref="T3:V3">
    <cfRule type="cellIs" dxfId="1527" priority="1008" stopIfTrue="1" operator="lessThan">
      <formula>0.65</formula>
    </cfRule>
  </conditionalFormatting>
  <conditionalFormatting sqref="T80:V80">
    <cfRule type="cellIs" dxfId="1526" priority="1005" stopIfTrue="1" operator="lessThan">
      <formula>0.74</formula>
    </cfRule>
  </conditionalFormatting>
  <conditionalFormatting sqref="U60:V61">
    <cfRule type="cellIs" dxfId="1525" priority="1016" stopIfTrue="1" operator="lessThan">
      <formula>75%</formula>
    </cfRule>
  </conditionalFormatting>
  <conditionalFormatting sqref="V4:V6">
    <cfRule type="cellIs" dxfId="1524" priority="372" stopIfTrue="1" operator="lessThan">
      <formula>0.95</formula>
    </cfRule>
  </conditionalFormatting>
  <conditionalFormatting sqref="V8:V9">
    <cfRule type="cellIs" dxfId="1523" priority="317" stopIfTrue="1" operator="lessThan">
      <formula>0.95</formula>
    </cfRule>
  </conditionalFormatting>
  <conditionalFormatting sqref="V11:V13 V15">
    <cfRule type="cellIs" dxfId="1522" priority="212" stopIfTrue="1" operator="lessThan">
      <formula>0.95</formula>
    </cfRule>
  </conditionalFormatting>
  <conditionalFormatting sqref="V17:V19">
    <cfRule type="cellIs" dxfId="1521" priority="104" stopIfTrue="1" operator="lessThan">
      <formula>0.95</formula>
    </cfRule>
  </conditionalFormatting>
  <conditionalFormatting sqref="V21:V22">
    <cfRule type="cellIs" dxfId="1520" priority="2" stopIfTrue="1" operator="lessThan">
      <formula>0.95</formula>
    </cfRule>
  </conditionalFormatting>
  <conditionalFormatting sqref="V25:V59">
    <cfRule type="cellIs" dxfId="1519" priority="453" stopIfTrue="1" operator="lessThan">
      <formula>0.95</formula>
    </cfRule>
  </conditionalFormatting>
  <conditionalFormatting sqref="V63">
    <cfRule type="cellIs" dxfId="1518" priority="934" stopIfTrue="1" operator="lessThan">
      <formula>0.65</formula>
    </cfRule>
  </conditionalFormatting>
  <conditionalFormatting sqref="V64">
    <cfRule type="cellIs" dxfId="1517" priority="933" stopIfTrue="1" operator="lessThan">
      <formula>0.95</formula>
    </cfRule>
  </conditionalFormatting>
  <printOptions horizontalCentered="1"/>
  <pageMargins left="0.10312499999999999" right="0.5" top="0.25" bottom="0.27" header="0.25" footer="0.27"/>
  <pageSetup paperSize="5" scale="37" fitToHeight="0" orientation="landscape"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399F1-5918-4ED9-BA03-49781C626337}">
  <sheetPr codeName="Sheet17">
    <pageSetUpPr fitToPage="1"/>
  </sheetPr>
  <dimension ref="A2:AE65464"/>
  <sheetViews>
    <sheetView showZeros="0" showWhiteSpace="0" zoomScale="70" zoomScaleNormal="70" workbookViewId="0">
      <pane xSplit="3" ySplit="3" topLeftCell="M33" activePane="bottomRight" state="frozen"/>
      <selection activeCell="M66" sqref="M66"/>
      <selection pane="topRight" activeCell="M66" sqref="M66"/>
      <selection pane="bottomLeft" activeCell="M66" sqref="M66"/>
      <selection pane="bottomRight" activeCell="M66" sqref="M66"/>
    </sheetView>
  </sheetViews>
  <sheetFormatPr defaultColWidth="9.42578125" defaultRowHeight="12.75" x14ac:dyDescent="0.2"/>
  <cols>
    <col min="1" max="1" width="3.42578125" customWidth="1"/>
    <col min="2" max="2" width="21.42578125" style="1" customWidth="1"/>
    <col min="3" max="3" width="37.42578125" style="1" customWidth="1"/>
    <col min="4" max="4" width="15.5703125" style="1" customWidth="1"/>
    <col min="5" max="5" width="13.42578125" style="1" customWidth="1"/>
    <col min="6" max="6" width="12.42578125" style="1" customWidth="1"/>
    <col min="7" max="7" width="12.42578125" customWidth="1"/>
    <col min="8" max="8" width="13.42578125" customWidth="1"/>
    <col min="9" max="9" width="11.42578125" style="1" customWidth="1"/>
    <col min="10" max="10" width="14.42578125" customWidth="1"/>
    <col min="11" max="11" width="17.42578125" customWidth="1"/>
    <col min="12" max="12" width="12.42578125" customWidth="1"/>
    <col min="13" max="13" width="13.42578125" customWidth="1"/>
    <col min="14" max="14" width="10" style="392" customWidth="1"/>
    <col min="15" max="15" width="12" style="2" customWidth="1"/>
    <col min="16" max="16" width="14.42578125" style="1" customWidth="1"/>
    <col min="17" max="17" width="7.5703125" style="1" hidden="1" customWidth="1"/>
    <col min="18" max="18" width="16.42578125" style="1" customWidth="1"/>
    <col min="19" max="19" width="15.5703125" customWidth="1"/>
    <col min="20" max="20" width="13.42578125" customWidth="1"/>
    <col min="21" max="21" width="14.5703125" customWidth="1"/>
    <col min="22" max="22" width="20.5703125" style="1" customWidth="1"/>
    <col min="23" max="23" width="12" customWidth="1"/>
    <col min="24" max="24" width="17" customWidth="1"/>
    <col min="25" max="25" width="15.42578125" customWidth="1"/>
    <col min="26" max="26" width="15.5703125" customWidth="1"/>
    <col min="27" max="27" width="14" customWidth="1"/>
    <col min="28" max="28" width="25.5703125" customWidth="1"/>
    <col min="29" max="29" width="52.42578125" customWidth="1"/>
  </cols>
  <sheetData>
    <row r="2" spans="2:31" ht="24" thickBot="1" x14ac:dyDescent="0.4">
      <c r="B2" s="1022" t="s">
        <v>406</v>
      </c>
      <c r="C2" s="1022"/>
      <c r="D2" s="1022"/>
      <c r="E2" s="1022"/>
      <c r="F2" s="1022"/>
      <c r="G2" s="1022"/>
      <c r="H2" s="1022"/>
      <c r="I2" s="1022"/>
      <c r="J2" s="1022"/>
      <c r="K2" s="1022"/>
      <c r="L2" s="1022"/>
      <c r="M2" s="1022"/>
      <c r="N2" s="1022"/>
      <c r="O2" s="1022"/>
      <c r="P2" s="1022"/>
      <c r="Q2" s="1022"/>
      <c r="R2" s="1022"/>
      <c r="S2" s="1022"/>
      <c r="T2" s="1022"/>
      <c r="U2" s="1022"/>
      <c r="V2" s="1065"/>
      <c r="W2" s="1065"/>
    </row>
    <row r="3" spans="2:31" ht="83.25" customHeight="1" thickTop="1" thickBot="1" x14ac:dyDescent="0.25">
      <c r="B3" s="37" t="s">
        <v>0</v>
      </c>
      <c r="C3" s="38" t="s">
        <v>2</v>
      </c>
      <c r="D3" s="38" t="s">
        <v>12</v>
      </c>
      <c r="E3" s="38" t="s">
        <v>11</v>
      </c>
      <c r="F3" s="38" t="s">
        <v>15</v>
      </c>
      <c r="G3" s="38" t="s">
        <v>9</v>
      </c>
      <c r="H3" s="38" t="s">
        <v>17</v>
      </c>
      <c r="I3" s="38" t="s">
        <v>5</v>
      </c>
      <c r="J3" s="38" t="s">
        <v>494</v>
      </c>
      <c r="K3" s="38" t="s">
        <v>4</v>
      </c>
      <c r="L3" s="38" t="s">
        <v>161</v>
      </c>
      <c r="M3" s="38" t="s">
        <v>10</v>
      </c>
      <c r="N3" s="38" t="s">
        <v>622</v>
      </c>
      <c r="O3" s="294" t="s">
        <v>34</v>
      </c>
      <c r="P3" s="40" t="s">
        <v>55</v>
      </c>
      <c r="Q3" s="40" t="s">
        <v>8</v>
      </c>
      <c r="R3" s="41" t="s">
        <v>464</v>
      </c>
      <c r="S3" s="41" t="s">
        <v>473</v>
      </c>
      <c r="T3" s="41" t="s">
        <v>307</v>
      </c>
      <c r="U3" s="282" t="s">
        <v>308</v>
      </c>
      <c r="V3" s="283" t="s">
        <v>425</v>
      </c>
      <c r="W3" s="1066" t="s">
        <v>1</v>
      </c>
      <c r="X3" s="1067"/>
      <c r="Y3" s="1067"/>
      <c r="Z3" s="1067"/>
      <c r="AA3" s="1067"/>
      <c r="AB3" s="1067"/>
      <c r="AC3" s="1068"/>
      <c r="AD3">
        <v>15000</v>
      </c>
      <c r="AE3">
        <v>17000</v>
      </c>
    </row>
    <row r="4" spans="2:31" s="19" customFormat="1" ht="63.75" customHeight="1" thickTop="1" x14ac:dyDescent="0.2">
      <c r="B4" s="168">
        <f>[3]October_2017!$B8</f>
        <v>43010</v>
      </c>
      <c r="C4" s="26" t="str">
        <f>[3]October_2017!$D8</f>
        <v>STAG</v>
      </c>
      <c r="D4" s="27">
        <v>5600</v>
      </c>
      <c r="E4" s="28">
        <v>0.3666666666666667</v>
      </c>
      <c r="F4" s="369">
        <f>SUM([3]October_2017!$J8)</f>
        <v>269.10000000000002</v>
      </c>
      <c r="G4" s="30">
        <f>SUM([3]October_2017!$F8)</f>
        <v>4060</v>
      </c>
      <c r="H4" s="369">
        <f>SUM([3]October_2017!$K8)</f>
        <v>267.96000000000004</v>
      </c>
      <c r="I4" s="370">
        <f>SUM([3]October_2017!$N8)</f>
        <v>30</v>
      </c>
      <c r="J4" s="32">
        <f>SUM([3]October_2017!$Q8)</f>
        <v>449.44649446494464</v>
      </c>
      <c r="K4" s="32">
        <f>SUM([3]October_2017!$E8)</f>
        <v>542</v>
      </c>
      <c r="L4" s="169">
        <v>0.75347222222222221</v>
      </c>
      <c r="M4" s="32">
        <f>SUM([3]October_2017!$M8)</f>
        <v>200</v>
      </c>
      <c r="N4" s="376"/>
      <c r="O4" s="32">
        <f>SUM([3]October_2017!$H8)</f>
        <v>0</v>
      </c>
      <c r="P4" s="349">
        <f>SUM([3]October_2017!$P8)</f>
        <v>0.42363433667780986</v>
      </c>
      <c r="Q4" s="32"/>
      <c r="R4" s="46">
        <f>($G4)/(($K4/60)*AD$3*(1/24))</f>
        <v>0.71911439114391151</v>
      </c>
      <c r="S4" s="46">
        <f>($G4)/(($K4/60)*AE$3*(1/24))</f>
        <v>0.63451269806815724</v>
      </c>
      <c r="T4" s="46">
        <f>($G4)*24/(($K4)/60)/$AD$3</f>
        <v>0.7191143911439114</v>
      </c>
      <c r="U4" s="227">
        <f>($G4)*24/(($K4)/60)/$AE$3</f>
        <v>0.63451269806815713</v>
      </c>
      <c r="V4" s="383">
        <f>(657-((M4)-[4]Oct!$I$8-[4]Oct!$J$8-[4]Oct!$Z$8))/657</f>
        <v>0.84779299847792999</v>
      </c>
      <c r="W4" s="1059" t="s">
        <v>714</v>
      </c>
      <c r="X4" s="1060"/>
      <c r="Y4" s="1060"/>
      <c r="Z4" s="1060"/>
      <c r="AA4" s="1060"/>
      <c r="AB4" s="1060"/>
      <c r="AC4" s="1061"/>
    </row>
    <row r="5" spans="2:31" s="19" customFormat="1" ht="37.5" customHeight="1" x14ac:dyDescent="0.2">
      <c r="B5" s="1037">
        <f>[3]October_2017!$B9</f>
        <v>43011</v>
      </c>
      <c r="C5" s="26" t="str">
        <f>[3]October_2017!$D9</f>
        <v>STAG</v>
      </c>
      <c r="D5" s="27"/>
      <c r="E5" s="1051">
        <v>0.33680555555555558</v>
      </c>
      <c r="F5" s="369">
        <f>SUM([3]October_2017!$J9)</f>
        <v>65</v>
      </c>
      <c r="G5" s="30">
        <f>SUM([3]October_2017!$F9)</f>
        <v>843.75</v>
      </c>
      <c r="H5" s="369">
        <f>SUM([3]October_2017!$K9)</f>
        <v>64.427499999999995</v>
      </c>
      <c r="I5" s="370">
        <f>SUM([3]October_2017!$N9)</f>
        <v>4</v>
      </c>
      <c r="J5" s="991">
        <f>SUM([3]October_2017!$Q9)</f>
        <v>504.10420475319927</v>
      </c>
      <c r="K5" s="991">
        <f>SUM([3]October_2017!$E9)</f>
        <v>547</v>
      </c>
      <c r="L5" s="1017">
        <v>0.74652777777777779</v>
      </c>
      <c r="M5" s="32">
        <f>SUM([3]October_2017!$M9)</f>
        <v>30</v>
      </c>
      <c r="N5" s="376"/>
      <c r="O5" s="32"/>
      <c r="P5" s="349">
        <f>SUM([3]October_2017!$P9)</f>
        <v>0.88076923076923863</v>
      </c>
      <c r="Q5" s="32"/>
      <c r="R5" s="1039">
        <f>($G5+$G6)/(($K5/60)*AD$3*(1/24))</f>
        <v>0.80656672760511894</v>
      </c>
      <c r="S5" s="1039">
        <f>($G5+$G6)/(($K5/60)*AE$3*(1/24))</f>
        <v>0.71167652435745776</v>
      </c>
      <c r="T5" s="1039">
        <f>($G5+$G6)*24/(($K5)/60)/$AD$3</f>
        <v>0.80656672760511872</v>
      </c>
      <c r="U5" s="1047">
        <f>($G5+$G6)*24/(($K5)/60)/$AE$3</f>
        <v>0.71167652435745776</v>
      </c>
      <c r="V5" s="1035">
        <f>(639-((M5+M6)-[4]Oct!$I$10-[4]Oct!$J$10-[4]Oct!$Z$10-[4]Oct!$AA$10))/639</f>
        <v>0.84976525821596249</v>
      </c>
      <c r="W5" s="1013" t="s">
        <v>716</v>
      </c>
      <c r="X5" s="1014"/>
      <c r="Y5" s="1014"/>
      <c r="Z5" s="1014"/>
      <c r="AA5" s="1014"/>
      <c r="AB5" s="1014"/>
      <c r="AC5" s="1015"/>
    </row>
    <row r="6" spans="2:31" s="19" customFormat="1" ht="53.25" customHeight="1" x14ac:dyDescent="0.2">
      <c r="B6" s="1038"/>
      <c r="C6" s="26" t="str">
        <f>[3]October_2017!$D10</f>
        <v>CARIB (AMBER)</v>
      </c>
      <c r="D6" s="27">
        <v>4200</v>
      </c>
      <c r="E6" s="1053"/>
      <c r="F6" s="369">
        <f>SUM([3]October_2017!$J10)</f>
        <v>268.39999999999998</v>
      </c>
      <c r="G6" s="30">
        <f>SUM([3]October_2017!$F10)</f>
        <v>3752</v>
      </c>
      <c r="H6" s="369">
        <f>SUM([3]October_2017!$K10)</f>
        <v>266.63200000000001</v>
      </c>
      <c r="I6" s="370">
        <f>SUM([3]October_2017!$N10)</f>
        <v>16</v>
      </c>
      <c r="J6" s="992"/>
      <c r="K6" s="992"/>
      <c r="L6" s="1018"/>
      <c r="M6" s="32">
        <f>SUM([3]October_2017!$M10)</f>
        <v>102</v>
      </c>
      <c r="N6" s="350">
        <f>[4]Oct!$I10</f>
        <v>21</v>
      </c>
      <c r="O6" s="32"/>
      <c r="P6" s="349">
        <f>SUM([3]October_2017!$P10)</f>
        <v>0.65871833084946807</v>
      </c>
      <c r="Q6" s="32"/>
      <c r="R6" s="1040"/>
      <c r="S6" s="1040"/>
      <c r="T6" s="1040"/>
      <c r="U6" s="1048"/>
      <c r="V6" s="1036"/>
      <c r="W6" s="1013" t="s">
        <v>715</v>
      </c>
      <c r="X6" s="1014"/>
      <c r="Y6" s="1014"/>
      <c r="Z6" s="1014"/>
      <c r="AA6" s="1014"/>
      <c r="AB6" s="1014"/>
      <c r="AC6" s="1015"/>
    </row>
    <row r="7" spans="2:31" s="19" customFormat="1" ht="72.75" customHeight="1" x14ac:dyDescent="0.2">
      <c r="B7" s="168">
        <f>[3]October_2017!$B11</f>
        <v>43012</v>
      </c>
      <c r="C7" s="26" t="str">
        <f>[3]October_2017!$D11</f>
        <v>STARMALT</v>
      </c>
      <c r="D7" s="27">
        <v>4900</v>
      </c>
      <c r="E7" s="28">
        <v>0.37152777777777773</v>
      </c>
      <c r="F7" s="369">
        <f>SUM([3]October_2017!$J11)</f>
        <v>353.7</v>
      </c>
      <c r="G7" s="30">
        <f>SUM([3]October_2017!$F11)</f>
        <v>5340</v>
      </c>
      <c r="H7" s="369">
        <f>SUM([3]October_2017!$K11)</f>
        <v>352.44</v>
      </c>
      <c r="I7" s="370">
        <f>SUM([3]October_2017!$N11)</f>
        <v>11</v>
      </c>
      <c r="J7" s="32">
        <f>SUM([3]October_2017!$Q11)</f>
        <v>423.8095238095238</v>
      </c>
      <c r="K7" s="32">
        <f>SUM([3]October_2017!$E11)</f>
        <v>756</v>
      </c>
      <c r="L7" s="169">
        <v>0.88888888888888884</v>
      </c>
      <c r="M7" s="32">
        <f>SUM([3]October_2017!$M11)</f>
        <v>294</v>
      </c>
      <c r="N7" s="376"/>
      <c r="O7" s="32">
        <f>SUM([3]October_2017!$H11)</f>
        <v>0</v>
      </c>
      <c r="P7" s="349">
        <f>SUM([3]October_2017!$P11)</f>
        <v>0.35623409669210943</v>
      </c>
      <c r="Q7" s="32"/>
      <c r="R7" s="46">
        <f>($G7)/(($K7/60)*AD$3*(1/24))</f>
        <v>0.67809523809523808</v>
      </c>
      <c r="S7" s="46">
        <f>($G7)/(($K7/60)*AE$3*(1/24))</f>
        <v>0.59831932773109242</v>
      </c>
      <c r="T7" s="46">
        <f>($G7)*24/(($K7)/60)/$AD$3</f>
        <v>0.6780952380952382</v>
      </c>
      <c r="U7" s="227">
        <f>($G7)*24/(($K7)/60)/$AE$3</f>
        <v>0.59831932773109253</v>
      </c>
      <c r="V7" s="383">
        <f>(861-((M7)))/861</f>
        <v>0.65853658536585369</v>
      </c>
      <c r="W7" s="1013" t="s">
        <v>717</v>
      </c>
      <c r="X7" s="1014"/>
      <c r="Y7" s="1014"/>
      <c r="Z7" s="1014"/>
      <c r="AA7" s="1014"/>
      <c r="AB7" s="1014"/>
      <c r="AC7" s="1015"/>
    </row>
    <row r="8" spans="2:31" s="19" customFormat="1" ht="47.25" customHeight="1" x14ac:dyDescent="0.2">
      <c r="B8" s="1037">
        <f>[3]October_2017!$B12</f>
        <v>43017</v>
      </c>
      <c r="C8" s="26" t="str">
        <f>[3]October_2017!$D12</f>
        <v>TING</v>
      </c>
      <c r="D8" s="27">
        <v>1800</v>
      </c>
      <c r="E8" s="1051">
        <v>0.52777777777777779</v>
      </c>
      <c r="F8" s="369">
        <f>SUM([3]October_2017!$J12)</f>
        <v>122.95799999999998</v>
      </c>
      <c r="G8" s="30">
        <f>SUM([3]October_2017!$F12)</f>
        <v>1841</v>
      </c>
      <c r="H8" s="369">
        <f>SUM([3]October_2017!$K12)</f>
        <v>121.506</v>
      </c>
      <c r="I8" s="370">
        <f>SUM([3]October_2017!$N12)</f>
        <v>4</v>
      </c>
      <c r="J8" s="991">
        <f>SUM([3]October_2017!$Q12)</f>
        <v>441.62790697674416</v>
      </c>
      <c r="K8" s="991">
        <f>SUM([3]October_2017!$E12)</f>
        <v>430</v>
      </c>
      <c r="L8" s="1017">
        <v>0.85763888888888884</v>
      </c>
      <c r="M8" s="32">
        <f>SUM([3]October_2017!$M12)</f>
        <v>173</v>
      </c>
      <c r="N8" s="376"/>
      <c r="O8" s="32">
        <f>SUM([3]October_2017!$H12)</f>
        <v>0</v>
      </c>
      <c r="P8" s="349">
        <f>SUM([3]October_2017!$P12)</f>
        <v>1.1808910359634868</v>
      </c>
      <c r="Q8" s="32"/>
      <c r="R8" s="1039">
        <f>($G8+$G9)/(($K8/60)*AD$3*(1/24))</f>
        <v>0.70660465116279081</v>
      </c>
      <c r="S8" s="1039">
        <f>($G8+$G9)/(($K8/60)*AE$3*(1/24))</f>
        <v>0.62347469220246243</v>
      </c>
      <c r="T8" s="1039">
        <f>($G8+$G9)*24/(($K8)/60)/$AD$3</f>
        <v>0.7066046511627907</v>
      </c>
      <c r="U8" s="1047">
        <f>($G8+$G9)*24/(($K8)/60)/$AE$3</f>
        <v>0.62347469220246243</v>
      </c>
      <c r="V8" s="1035">
        <f>(530-((M8+M9)-[4]Oct!$I$13-[4]Oct!$Z$12))/530</f>
        <v>0.65283018867924525</v>
      </c>
      <c r="W8" s="1013" t="s">
        <v>718</v>
      </c>
      <c r="X8" s="1014"/>
      <c r="Y8" s="1014"/>
      <c r="Z8" s="1014"/>
      <c r="AA8" s="1014"/>
      <c r="AB8" s="1014"/>
      <c r="AC8" s="1015"/>
    </row>
    <row r="9" spans="2:31" s="19" customFormat="1" ht="42" customHeight="1" x14ac:dyDescent="0.2">
      <c r="B9" s="1038"/>
      <c r="C9" s="26" t="str">
        <f>[3]October_2017!$D13</f>
        <v>SHANDY SORREL</v>
      </c>
      <c r="D9" s="27">
        <v>1400</v>
      </c>
      <c r="E9" s="1053"/>
      <c r="F9" s="369">
        <f>SUM([3]October_2017!$J13)</f>
        <v>87.9</v>
      </c>
      <c r="G9" s="30">
        <f>SUM([3]October_2017!$F13)</f>
        <v>1324</v>
      </c>
      <c r="H9" s="369">
        <f>SUM([3]October_2017!$K13)</f>
        <v>87.384</v>
      </c>
      <c r="I9" s="370">
        <f>SUM([3]October_2017!$N13)</f>
        <v>7</v>
      </c>
      <c r="J9" s="992"/>
      <c r="K9" s="992"/>
      <c r="L9" s="1018"/>
      <c r="M9" s="32">
        <f>SUM([3]October_2017!$M13)</f>
        <v>71</v>
      </c>
      <c r="N9" s="376">
        <f>[4]Oct!$I$13</f>
        <v>51</v>
      </c>
      <c r="O9" s="32">
        <f>SUM([3]October_2017!$H13)</f>
        <v>0</v>
      </c>
      <c r="P9" s="349">
        <f>SUM([3]October_2017!$P13)</f>
        <v>0.58703071672355556</v>
      </c>
      <c r="Q9" s="32"/>
      <c r="R9" s="1040"/>
      <c r="S9" s="1040"/>
      <c r="T9" s="1040"/>
      <c r="U9" s="1048"/>
      <c r="V9" s="1036"/>
      <c r="W9" s="1013" t="s">
        <v>719</v>
      </c>
      <c r="X9" s="1014"/>
      <c r="Y9" s="1014"/>
      <c r="Z9" s="1014"/>
      <c r="AA9" s="1014"/>
      <c r="AB9" s="1014"/>
      <c r="AC9" s="1015"/>
    </row>
    <row r="10" spans="2:31" s="19" customFormat="1" ht="33" customHeight="1" x14ac:dyDescent="0.2">
      <c r="B10" s="1037">
        <f>[3]October_2017!$B14</f>
        <v>43018</v>
      </c>
      <c r="C10" s="26" t="str">
        <f>[3]October_2017!$D14</f>
        <v>CARIB (FLINT)</v>
      </c>
      <c r="D10" s="27">
        <v>4445</v>
      </c>
      <c r="E10" s="1051">
        <v>0.35416666666666669</v>
      </c>
      <c r="F10" s="989">
        <f>SUM([3]October_2017!$J14)</f>
        <v>328.1</v>
      </c>
      <c r="G10" s="30">
        <f>SUM([3]October_2017!$F14)</f>
        <v>182</v>
      </c>
      <c r="H10" s="989">
        <f>SUM([3]October_2017!$K14)</f>
        <v>327.68200000000002</v>
      </c>
      <c r="I10" s="1004">
        <f>[3]October_2017!$N$15</f>
        <v>25</v>
      </c>
      <c r="J10" s="991">
        <f>SUM([3]October_2017!$Q14)</f>
        <v>477.24489795918362</v>
      </c>
      <c r="K10" s="991">
        <f>SUM([3]October_2017!$E14)</f>
        <v>588</v>
      </c>
      <c r="L10" s="1017">
        <v>0.78472222222222221</v>
      </c>
      <c r="M10" s="991">
        <f>SUM([3]October_2017!$M14)</f>
        <v>143</v>
      </c>
      <c r="N10" s="376"/>
      <c r="O10" s="32">
        <f>SUM([3]October_2017!$H14)</f>
        <v>0</v>
      </c>
      <c r="P10" s="1045">
        <f>SUM([3]October_2017!$P14)</f>
        <v>0.12740018287107782</v>
      </c>
      <c r="Q10" s="32"/>
      <c r="R10" s="1039">
        <f>($G10+$G11)/(($K10/60)*AD$3*(1/24))</f>
        <v>0.76359183673469389</v>
      </c>
      <c r="S10" s="1039">
        <f>($G10+$G11)/(($K10/60)*AE$3*(1/24))</f>
        <v>0.67375750300120052</v>
      </c>
      <c r="T10" s="1039">
        <f>($G10+$G11)*24/(($K10)/60)/$AD$3</f>
        <v>0.76359183673469377</v>
      </c>
      <c r="U10" s="1047">
        <f>($G10+$G11)*24/(($K10)/60)/$AE$3</f>
        <v>0.67375750300120041</v>
      </c>
      <c r="V10" s="1035" t="e">
        <f>(706-((M10)-[4]Oct!$I$14-[4]Oct!$Z$14-11))/706</f>
        <v>#REF!</v>
      </c>
      <c r="W10" s="1056" t="s">
        <v>720</v>
      </c>
      <c r="X10" s="1057"/>
      <c r="Y10" s="1057"/>
      <c r="Z10" s="1057"/>
      <c r="AA10" s="1057"/>
      <c r="AB10" s="1057"/>
      <c r="AC10" s="1058"/>
    </row>
    <row r="11" spans="2:31" s="19" customFormat="1" ht="22.5" customHeight="1" x14ac:dyDescent="0.2">
      <c r="B11" s="1038"/>
      <c r="C11" s="26" t="str">
        <f>[3]October_2017!$D15</f>
        <v>CARIB (AMBER)</v>
      </c>
      <c r="D11" s="27">
        <v>180</v>
      </c>
      <c r="E11" s="1053"/>
      <c r="F11" s="990"/>
      <c r="G11" s="30">
        <f>SUM([3]October_2017!$F15)</f>
        <v>4495</v>
      </c>
      <c r="H11" s="990"/>
      <c r="I11" s="1005"/>
      <c r="J11" s="992"/>
      <c r="K11" s="992"/>
      <c r="L11" s="1018"/>
      <c r="M11" s="992"/>
      <c r="N11" s="376">
        <f>[4]Oct!$I$14</f>
        <v>7</v>
      </c>
      <c r="O11" s="32">
        <f>SUM([3]October_2017!$H15)</f>
        <v>420</v>
      </c>
      <c r="P11" s="1046"/>
      <c r="Q11" s="32"/>
      <c r="R11" s="1040"/>
      <c r="S11" s="1040"/>
      <c r="T11" s="1040"/>
      <c r="U11" s="1048"/>
      <c r="V11" s="1036"/>
      <c r="W11" s="1059"/>
      <c r="X11" s="1060"/>
      <c r="Y11" s="1060"/>
      <c r="Z11" s="1060"/>
      <c r="AA11" s="1060"/>
      <c r="AB11" s="1060"/>
      <c r="AC11" s="1061"/>
    </row>
    <row r="12" spans="2:31" s="19" customFormat="1" ht="94.5" customHeight="1" x14ac:dyDescent="0.2">
      <c r="B12" s="168">
        <f>[3]October_2017!$B16</f>
        <v>43019</v>
      </c>
      <c r="C12" s="26" t="str">
        <f>[3]October_2017!$D16</f>
        <v>MACKESON</v>
      </c>
      <c r="D12" s="27">
        <f>4900-500</f>
        <v>4400</v>
      </c>
      <c r="E12" s="28">
        <v>0.34513888888888888</v>
      </c>
      <c r="F12" s="369">
        <f>SUM([3]October_2017!$J16)</f>
        <v>295.2</v>
      </c>
      <c r="G12" s="30">
        <f>SUM([3]October_2017!$F16)</f>
        <v>4458</v>
      </c>
      <c r="H12" s="369">
        <f>SUM([3]October_2017!$K16)</f>
        <v>294.22800000000001</v>
      </c>
      <c r="I12" s="370">
        <f>SUM([3]October_2017!$N16)</f>
        <v>27.25</v>
      </c>
      <c r="J12" s="32">
        <f>SUM([3]October_2017!$Q16)</f>
        <v>447.29096989966553</v>
      </c>
      <c r="K12" s="32">
        <f>SUM([3]October_2017!$E16)</f>
        <v>598</v>
      </c>
      <c r="L12" s="169">
        <v>0.80069444444444438</v>
      </c>
      <c r="M12" s="32">
        <f>SUM([3]October_2017!$M16)</f>
        <v>222</v>
      </c>
      <c r="N12" s="376"/>
      <c r="O12" s="32">
        <f>SUM([3]October_2017!$H16)</f>
        <v>0</v>
      </c>
      <c r="P12" s="349">
        <f>SUM([3]October_2017!$P16)</f>
        <v>0.32926829268292007</v>
      </c>
      <c r="Q12" s="32"/>
      <c r="R12" s="46">
        <f t="shared" ref="R12:S14" si="0">($G12)/(($K12/60)*AD$3*(1/24))</f>
        <v>0.7156655518394649</v>
      </c>
      <c r="S12" s="46">
        <f t="shared" si="0"/>
        <v>0.63146960456423373</v>
      </c>
      <c r="T12" s="46">
        <f>($G12)*24/(($K12)/60)/$AD$3</f>
        <v>0.7156655518394649</v>
      </c>
      <c r="U12" s="227">
        <f>($G12)*24/(($K12)/60)/$AE$3</f>
        <v>0.63146960456423373</v>
      </c>
      <c r="V12" s="383">
        <f>(723-((M12)-[4]Oct!$J$15-[4]Oct!$Z$15-12))/723</f>
        <v>0.72752420470262791</v>
      </c>
      <c r="W12" s="1013" t="s">
        <v>721</v>
      </c>
      <c r="X12" s="1014"/>
      <c r="Y12" s="1014"/>
      <c r="Z12" s="1014"/>
      <c r="AA12" s="1014"/>
      <c r="AB12" s="1014"/>
      <c r="AC12" s="1015"/>
    </row>
    <row r="13" spans="2:31" s="19" customFormat="1" ht="34.5" customHeight="1" x14ac:dyDescent="0.2">
      <c r="B13" s="168">
        <f>[3]October_2017!$B17</f>
        <v>43020</v>
      </c>
      <c r="C13" s="26" t="str">
        <f>[3]October_2017!$D17</f>
        <v>VITAMALT</v>
      </c>
      <c r="D13" s="27">
        <v>4020</v>
      </c>
      <c r="E13" s="28">
        <v>0.60972222222222217</v>
      </c>
      <c r="F13" s="369">
        <f>SUM([3]October_2017!$J17)</f>
        <v>30</v>
      </c>
      <c r="G13" s="30">
        <f>SUM([3]October_2017!$F17)</f>
        <v>340</v>
      </c>
      <c r="H13" s="369">
        <f>SUM([3]October_2017!$K17)</f>
        <v>25.295999999999999</v>
      </c>
      <c r="I13" s="370">
        <f>SUM([3]October_2017!$N17)</f>
        <v>6</v>
      </c>
      <c r="J13" s="32">
        <f>SUM([3]October_2017!$Q17)</f>
        <v>40.15748031496063</v>
      </c>
      <c r="K13" s="32">
        <f>SUM([3]October_2017!$E17)</f>
        <v>508</v>
      </c>
      <c r="L13" s="169">
        <v>0.7055555555555556</v>
      </c>
      <c r="M13" s="32">
        <f>SUM([3]October_2017!$M17)</f>
        <v>502</v>
      </c>
      <c r="N13" s="376"/>
      <c r="O13" s="32">
        <f>SUM([3]October_2017!$H17)</f>
        <v>0</v>
      </c>
      <c r="P13" s="349">
        <f>SUM([3]October_2017!$P17)</f>
        <v>15.680000000000001</v>
      </c>
      <c r="Q13" s="32"/>
      <c r="R13" s="46">
        <f t="shared" si="0"/>
        <v>6.425196850393701E-2</v>
      </c>
      <c r="S13" s="46">
        <f t="shared" si="0"/>
        <v>5.6692913385826771E-2</v>
      </c>
      <c r="T13" s="46">
        <f>($G13)*24/(($K13)/60)/$AD$3</f>
        <v>6.425196850393701E-2</v>
      </c>
      <c r="U13" s="227">
        <f>($G13)*24/(($K13)/60)/$AE$3</f>
        <v>5.6692913385826771E-2</v>
      </c>
      <c r="V13" s="383">
        <f>(591-((M13)-[4]Oct!$P$16))/591</f>
        <v>0.99661590524534682</v>
      </c>
      <c r="W13" s="1013" t="s">
        <v>722</v>
      </c>
      <c r="X13" s="1014"/>
      <c r="Y13" s="1014"/>
      <c r="Z13" s="1014"/>
      <c r="AA13" s="1014"/>
      <c r="AB13" s="1014"/>
      <c r="AC13" s="1015"/>
    </row>
    <row r="14" spans="2:31" s="19" customFormat="1" ht="75" customHeight="1" x14ac:dyDescent="0.2">
      <c r="B14" s="168">
        <f>[3]October_2017!$B18</f>
        <v>43021</v>
      </c>
      <c r="C14" s="26" t="str">
        <f>[3]October_2017!$D18</f>
        <v>VITAMALT</v>
      </c>
      <c r="D14" s="27"/>
      <c r="E14" s="28">
        <v>0.36249999999999999</v>
      </c>
      <c r="F14" s="369">
        <f>SUM([3]October_2017!$J18)</f>
        <v>277.7</v>
      </c>
      <c r="G14" s="30">
        <f>SUM([3]October_2017!$F18)</f>
        <v>3688</v>
      </c>
      <c r="H14" s="369">
        <f>SUM([3]October_2017!$K18)</f>
        <v>274.38719999999995</v>
      </c>
      <c r="I14" s="370">
        <f>SUM([3]October_2017!$N18)</f>
        <v>32</v>
      </c>
      <c r="J14" s="32">
        <f>SUM([3]October_2017!$Q18)</f>
        <v>409.77777777777777</v>
      </c>
      <c r="K14" s="32">
        <f>SUM([3]October_2017!$E18)</f>
        <v>540</v>
      </c>
      <c r="L14" s="169">
        <v>0.73819444444444438</v>
      </c>
      <c r="M14" s="32">
        <f>SUM([3]October_2017!$M18)</f>
        <v>205</v>
      </c>
      <c r="N14" s="376"/>
      <c r="O14" s="32">
        <f>SUM([3]October_2017!$H18)</f>
        <v>0</v>
      </c>
      <c r="P14" s="349">
        <f>SUM([3]October_2017!$P18)</f>
        <v>1.1929420237666684</v>
      </c>
      <c r="Q14" s="32"/>
      <c r="R14" s="46">
        <f t="shared" si="0"/>
        <v>0.65564444444444447</v>
      </c>
      <c r="S14" s="46">
        <f t="shared" si="0"/>
        <v>0.57850980392156859</v>
      </c>
      <c r="T14" s="46">
        <f>($G14)*24/(($K14)/60)/$AD$3</f>
        <v>0.65564444444444436</v>
      </c>
      <c r="U14" s="227">
        <f>($G14)*24/(($K14)/60)/$AE$3</f>
        <v>0.57850980392156859</v>
      </c>
      <c r="V14" s="383">
        <f>(638-((M14)-88))/638</f>
        <v>0.81661442006269591</v>
      </c>
      <c r="W14" s="1013" t="s">
        <v>723</v>
      </c>
      <c r="X14" s="1014"/>
      <c r="Y14" s="1014"/>
      <c r="Z14" s="1014"/>
      <c r="AA14" s="1014"/>
      <c r="AB14" s="1014"/>
      <c r="AC14" s="1015"/>
    </row>
    <row r="15" spans="2:31" s="19" customFormat="1" ht="39.75" customHeight="1" x14ac:dyDescent="0.2">
      <c r="B15" s="1037">
        <f>[3]October_2017!$B19</f>
        <v>43024</v>
      </c>
      <c r="C15" s="26" t="str">
        <f>[3]October_2017!$D19</f>
        <v>STAG</v>
      </c>
      <c r="D15" s="27">
        <v>4060</v>
      </c>
      <c r="E15" s="1051">
        <v>0.36805555555555558</v>
      </c>
      <c r="F15" s="369">
        <f>SUM([3]October_2017!$J19)</f>
        <v>258.3</v>
      </c>
      <c r="G15" s="30">
        <f>SUM([3]October_2017!$F19)</f>
        <v>3900</v>
      </c>
      <c r="H15" s="369">
        <f>SUM([3]October_2017!$K19)</f>
        <v>257.40000000000003</v>
      </c>
      <c r="I15" s="370">
        <f>SUM([3]October_2017!$N19)</f>
        <v>30</v>
      </c>
      <c r="J15" s="991">
        <f>SUM([3]October_2017!$Q19)</f>
        <v>415.69811320754718</v>
      </c>
      <c r="K15" s="991">
        <f>SUM([3]October_2017!$E19)</f>
        <v>795</v>
      </c>
      <c r="L15" s="1017">
        <v>0.9145833333333333</v>
      </c>
      <c r="M15" s="32">
        <f>SUM([3]October_2017!$M19)</f>
        <v>206</v>
      </c>
      <c r="N15" s="376"/>
      <c r="O15" s="32">
        <f>SUM([3]October_2017!$H19)</f>
        <v>0</v>
      </c>
      <c r="P15" s="349">
        <f>SUM([3]October_2017!$P19)</f>
        <v>0.34843205574912012</v>
      </c>
      <c r="Q15" s="32"/>
      <c r="R15" s="1039">
        <f>($G15+$G16)/(($K15/60)*AD$3*(1/24))</f>
        <v>0.66511698113207551</v>
      </c>
      <c r="S15" s="1039">
        <f>($G15+$G16)/(($K15/60)*AE$3*(1/24))</f>
        <v>0.58686792452830194</v>
      </c>
      <c r="T15" s="1039">
        <f>($G15+$G16)*24/(($K15)/60)/$AD$3</f>
        <v>0.6651169811320754</v>
      </c>
      <c r="U15" s="1047">
        <f>($G15+$G16)*24/(($K15)/60)/$AE$3</f>
        <v>0.58686792452830183</v>
      </c>
      <c r="V15" s="1035">
        <f>(892-((M15+M16)-[4]Oct!$J$18-[4]Oct!$I$19-[4]Oct!$Z$18-[4]Oct!$Z$19))/892</f>
        <v>0.73206278026905824</v>
      </c>
      <c r="W15" s="1013" t="s">
        <v>724</v>
      </c>
      <c r="X15" s="1014"/>
      <c r="Y15" s="1014"/>
      <c r="Z15" s="1014"/>
      <c r="AA15" s="1014"/>
      <c r="AB15" s="1014"/>
      <c r="AC15" s="1015"/>
    </row>
    <row r="16" spans="2:31" s="19" customFormat="1" ht="42" customHeight="1" x14ac:dyDescent="0.2">
      <c r="B16" s="1038"/>
      <c r="C16" s="26" t="str">
        <f>[3]October_2017!$D20</f>
        <v>CARIB (AMBER)</v>
      </c>
      <c r="D16" s="27">
        <v>3500</v>
      </c>
      <c r="E16" s="1053"/>
      <c r="F16" s="369">
        <f>SUM([3]October_2017!$J20)</f>
        <v>106.30000000000001</v>
      </c>
      <c r="G16" s="30">
        <f>SUM([3]October_2017!$F20)</f>
        <v>1608</v>
      </c>
      <c r="H16" s="369">
        <f>SUM([3]October_2017!$K20)</f>
        <v>106.128</v>
      </c>
      <c r="I16" s="370">
        <f>SUM([3]October_2017!$N20)</f>
        <v>9</v>
      </c>
      <c r="J16" s="992"/>
      <c r="K16" s="992"/>
      <c r="L16" s="1018"/>
      <c r="M16" s="32">
        <f>SUM([3]October_2017!$M20)</f>
        <v>99</v>
      </c>
      <c r="N16" s="350">
        <f>[4]Oct!$I$19</f>
        <v>22</v>
      </c>
      <c r="O16" s="32">
        <f>SUM([3]October_2017!$H20)</f>
        <v>0</v>
      </c>
      <c r="P16" s="349">
        <f>SUM([3]October_2017!$P20)</f>
        <v>0.16180620884290803</v>
      </c>
      <c r="Q16" s="32"/>
      <c r="R16" s="1040"/>
      <c r="S16" s="1040"/>
      <c r="T16" s="1040"/>
      <c r="U16" s="1048"/>
      <c r="V16" s="1036"/>
      <c r="W16" s="1013" t="s">
        <v>725</v>
      </c>
      <c r="X16" s="1014"/>
      <c r="Y16" s="1014"/>
      <c r="Z16" s="1014"/>
      <c r="AA16" s="1014"/>
      <c r="AB16" s="1014"/>
      <c r="AC16" s="1015"/>
    </row>
    <row r="17" spans="2:29" s="19" customFormat="1" ht="77.25" customHeight="1" x14ac:dyDescent="0.2">
      <c r="B17" s="168">
        <f>[3]October_2017!$B21</f>
        <v>43025</v>
      </c>
      <c r="C17" s="26" t="str">
        <f>[3]October_2017!$D21</f>
        <v>CARIB (AMBER)</v>
      </c>
      <c r="D17" s="27">
        <v>6100</v>
      </c>
      <c r="E17" s="28">
        <v>0.3888888888888889</v>
      </c>
      <c r="F17" s="369">
        <f>SUM([3]October_2017!$J21)</f>
        <v>433.1</v>
      </c>
      <c r="G17" s="30">
        <f>SUM([3]October_2017!$F21)</f>
        <v>6333</v>
      </c>
      <c r="H17" s="369">
        <f>SUM([3]October_2017!$K21)</f>
        <v>432.22800000000001</v>
      </c>
      <c r="I17" s="370">
        <f>SUM([3]October_2017!$N21)</f>
        <v>22</v>
      </c>
      <c r="J17" s="32">
        <f>SUM([3]October_2017!$Q21)</f>
        <v>417.10208562019756</v>
      </c>
      <c r="K17" s="32">
        <f>SUM([3]October_2017!$E21)</f>
        <v>911</v>
      </c>
      <c r="L17" s="169">
        <v>0.99305555555555547</v>
      </c>
      <c r="M17" s="32">
        <f>SUM([3]October_2017!$M21)</f>
        <v>363</v>
      </c>
      <c r="N17" s="376"/>
      <c r="O17" s="32"/>
      <c r="P17" s="349">
        <f>SUM([3]October_2017!$P21)</f>
        <v>0.20133918263680767</v>
      </c>
      <c r="Q17" s="32"/>
      <c r="R17" s="46">
        <f>($G17)/(($K17/60)*AD$3*(1/24))</f>
        <v>0.6673633369923162</v>
      </c>
      <c r="S17" s="46">
        <f>($G17)/(($K17/60)*AE$3*(1/24))</f>
        <v>0.58885000322851433</v>
      </c>
      <c r="T17" s="46">
        <f>($G17)*24/(($K17)/60)/$AD$3</f>
        <v>0.6673633369923162</v>
      </c>
      <c r="U17" s="227">
        <f>($G17)*24/(($K17)/60)/$AE$3</f>
        <v>0.58885000322851433</v>
      </c>
      <c r="V17" s="383">
        <f>(904-((M17)-[4]Oct!$J$20-[4]Oct!$Z$20))/904</f>
        <v>0.60619469026548678</v>
      </c>
      <c r="W17" s="1013" t="s">
        <v>726</v>
      </c>
      <c r="X17" s="1014"/>
      <c r="Y17" s="1014"/>
      <c r="Z17" s="1014"/>
      <c r="AA17" s="1014"/>
      <c r="AB17" s="1014"/>
      <c r="AC17" s="1015"/>
    </row>
    <row r="18" spans="2:29" s="19" customFormat="1" ht="22.5" customHeight="1" x14ac:dyDescent="0.2">
      <c r="B18" s="1037">
        <f>[3]October_2017!$B22</f>
        <v>43026</v>
      </c>
      <c r="C18" s="26" t="str">
        <f>[3]October_2017!$D22</f>
        <v>CARIB (AMBER)</v>
      </c>
      <c r="D18" s="27"/>
      <c r="E18" s="1051">
        <v>0.3298611111111111</v>
      </c>
      <c r="F18" s="369">
        <f>SUM([3]October_2017!$J22)</f>
        <v>103.5</v>
      </c>
      <c r="G18" s="30">
        <f>SUM([3]October_2017!$F22)</f>
        <v>1557</v>
      </c>
      <c r="H18" s="369">
        <f>SUM([3]October_2017!$K22)</f>
        <v>102.762</v>
      </c>
      <c r="I18" s="370">
        <f>SUM([3]October_2017!$N22)</f>
        <v>12</v>
      </c>
      <c r="J18" s="991">
        <f>SUM([3]October_2017!$Q22)</f>
        <v>399.40106951871655</v>
      </c>
      <c r="K18" s="991">
        <f>SUM([3]October_2017!$E22)</f>
        <v>935</v>
      </c>
      <c r="L18" s="1017">
        <v>1.0097222222222222</v>
      </c>
      <c r="M18" s="32">
        <f>SUM([3]October_2017!$M22)</f>
        <v>60</v>
      </c>
      <c r="N18" s="376"/>
      <c r="O18" s="32"/>
      <c r="P18" s="349">
        <f>SUM([3]October_2017!$P22)</f>
        <v>0.71304347826086911</v>
      </c>
      <c r="Q18" s="32"/>
      <c r="R18" s="1039">
        <f>($G18+$G19)/(($K18/60)*AD$3*(1/24))</f>
        <v>0.63904171122994657</v>
      </c>
      <c r="S18" s="1039">
        <f>($G18+$G19)/(($K18/60)*AE$3*(1/24))</f>
        <v>0.56386033343818809</v>
      </c>
      <c r="T18" s="1039">
        <f>($G18+$G19)*24/(($K18)/60)/$AD$3</f>
        <v>0.63904171122994657</v>
      </c>
      <c r="U18" s="1047">
        <f>($G18+$G19)*24/(($K18)/60)/$AE$3</f>
        <v>0.56386033343818809</v>
      </c>
      <c r="V18" s="1035">
        <f>(1030-((M18+M19)-[4]Oct!$I$22-[4]Oct!$J$22-[4]Oct!$Z$22-[4]Oct!$AA$21))/1030</f>
        <v>0.71067961165048543</v>
      </c>
      <c r="W18" s="1013" t="s">
        <v>727</v>
      </c>
      <c r="X18" s="1014"/>
      <c r="Y18" s="1014"/>
      <c r="Z18" s="1014"/>
      <c r="AA18" s="1014"/>
      <c r="AB18" s="1014"/>
      <c r="AC18" s="1015"/>
    </row>
    <row r="19" spans="2:29" s="19" customFormat="1" ht="53.25" customHeight="1" x14ac:dyDescent="0.2">
      <c r="B19" s="1038"/>
      <c r="C19" s="26" t="str">
        <f>[3]October_2017!$D23</f>
        <v>MACKESON</v>
      </c>
      <c r="D19" s="27">
        <v>4700</v>
      </c>
      <c r="E19" s="1053"/>
      <c r="F19" s="369">
        <f>SUM([3]October_2017!$J23)</f>
        <v>309.7</v>
      </c>
      <c r="G19" s="30">
        <f>SUM([3]October_2017!$F23)</f>
        <v>4667</v>
      </c>
      <c r="H19" s="369">
        <f>SUM([3]October_2017!$K23)</f>
        <v>308.02199999999999</v>
      </c>
      <c r="I19" s="370">
        <f>SUM([3]October_2017!$N23)</f>
        <v>21.25</v>
      </c>
      <c r="J19" s="992"/>
      <c r="K19" s="992"/>
      <c r="L19" s="1018"/>
      <c r="M19" s="32">
        <f>SUM([3]October_2017!$M23)</f>
        <v>323</v>
      </c>
      <c r="N19" s="350">
        <v>27</v>
      </c>
      <c r="O19" s="32"/>
      <c r="P19" s="349">
        <f>SUM([3]October_2017!$P23)</f>
        <v>0.54181465934775508</v>
      </c>
      <c r="Q19" s="32"/>
      <c r="R19" s="1040"/>
      <c r="S19" s="1040"/>
      <c r="T19" s="1040"/>
      <c r="U19" s="1048"/>
      <c r="V19" s="1036"/>
      <c r="W19" s="1013" t="s">
        <v>728</v>
      </c>
      <c r="X19" s="1014"/>
      <c r="Y19" s="1014"/>
      <c r="Z19" s="1014"/>
      <c r="AA19" s="1014"/>
      <c r="AB19" s="1014"/>
      <c r="AC19" s="1015"/>
    </row>
    <row r="20" spans="2:29" s="19" customFormat="1" ht="77.25" customHeight="1" x14ac:dyDescent="0.2">
      <c r="B20" s="1037">
        <f>[3]October_2017!$B24</f>
        <v>43027</v>
      </c>
      <c r="C20" s="26" t="str">
        <f>[3]October_2017!$D24</f>
        <v>STAG</v>
      </c>
      <c r="D20" s="27">
        <v>5600</v>
      </c>
      <c r="E20" s="1051">
        <v>0.36805555555555558</v>
      </c>
      <c r="F20" s="369">
        <f>SUM([3]October_2017!$J24)</f>
        <v>379.3</v>
      </c>
      <c r="G20" s="30">
        <f>SUM([3]October_2017!$F24)</f>
        <v>5679</v>
      </c>
      <c r="H20" s="369">
        <f>SUM([3]October_2017!$K24)</f>
        <v>374.81400000000002</v>
      </c>
      <c r="I20" s="370">
        <f>SUM([3]October_2017!$N24)</f>
        <v>25</v>
      </c>
      <c r="J20" s="991">
        <f>SUM([3]October_2017!$Q24)</f>
        <v>424.02439024390247</v>
      </c>
      <c r="K20" s="991">
        <f>SUM([3]October_2017!$E24)</f>
        <v>820</v>
      </c>
      <c r="L20" s="1017">
        <v>0.92708333333333337</v>
      </c>
      <c r="M20" s="32">
        <f>SUM([3]October_2017!$M24)</f>
        <v>248</v>
      </c>
      <c r="N20" s="376"/>
      <c r="O20" s="32"/>
      <c r="P20" s="349">
        <f>SUM([3]October_2017!$P24)</f>
        <v>1.1827049828631662</v>
      </c>
      <c r="Q20" s="32"/>
      <c r="R20" s="1039">
        <f>($G20+$G21)/(($K20/60)*AD$3*(1/24))</f>
        <v>0.67843902439024395</v>
      </c>
      <c r="S20" s="1039">
        <f>($G20+$G21)/(($K20/60)*AE$3*(1/24))</f>
        <v>0.59862266857962698</v>
      </c>
      <c r="T20" s="1039">
        <f>($G20+$G21)*24/(($K20)/60)/$AD$3</f>
        <v>0.67843902439024395</v>
      </c>
      <c r="U20" s="1047">
        <f>($G20+$G21)*24/(($K20)/60)/$AE$3</f>
        <v>0.59862266857962709</v>
      </c>
      <c r="V20" s="1035">
        <f>(843-((M20+M21)-[4]Oct!$I$24-[4]Oct!$Z$23-[4]Oct!$Z$24))/843</f>
        <v>0.72479240806642942</v>
      </c>
      <c r="W20" s="1013" t="s">
        <v>729</v>
      </c>
      <c r="X20" s="1014"/>
      <c r="Y20" s="1014"/>
      <c r="Z20" s="1014"/>
      <c r="AA20" s="1014"/>
      <c r="AB20" s="1014"/>
      <c r="AC20" s="1015"/>
    </row>
    <row r="21" spans="2:29" s="19" customFormat="1" ht="22.5" customHeight="1" x14ac:dyDescent="0.2">
      <c r="B21" s="1038"/>
      <c r="C21" s="26" t="str">
        <f>[3]October_2017!$D25</f>
        <v>MACKESON</v>
      </c>
      <c r="D21" s="27"/>
      <c r="E21" s="1053"/>
      <c r="F21" s="369">
        <f>SUM([3]October_2017!$J25)</f>
        <v>8.6</v>
      </c>
      <c r="G21" s="30">
        <f>SUM([3]October_2017!$F25)</f>
        <v>116</v>
      </c>
      <c r="H21" s="369">
        <f>SUM([3]October_2017!$K25)</f>
        <v>7.6560000000000006</v>
      </c>
      <c r="I21" s="370">
        <f>SUM([3]October_2017!$N25)</f>
        <v>0</v>
      </c>
      <c r="J21" s="992"/>
      <c r="K21" s="992"/>
      <c r="L21" s="1018"/>
      <c r="M21" s="32">
        <f>SUM([3]October_2017!$M25)</f>
        <v>59</v>
      </c>
      <c r="N21" s="350">
        <f>[4]Oct!$I24</f>
        <v>52</v>
      </c>
      <c r="O21" s="32"/>
      <c r="P21" s="349">
        <f>SUM([3]October_2017!$P25)</f>
        <v>10.976744186046501</v>
      </c>
      <c r="Q21" s="32"/>
      <c r="R21" s="1040"/>
      <c r="S21" s="1040"/>
      <c r="T21" s="1040"/>
      <c r="U21" s="1048"/>
      <c r="V21" s="1036"/>
      <c r="W21" s="1013" t="s">
        <v>730</v>
      </c>
      <c r="X21" s="1014"/>
      <c r="Y21" s="1014"/>
      <c r="Z21" s="1014"/>
      <c r="AA21" s="1014"/>
      <c r="AB21" s="1014"/>
      <c r="AC21" s="1015"/>
    </row>
    <row r="22" spans="2:29" s="19" customFormat="1" ht="22.5" customHeight="1" x14ac:dyDescent="0.2">
      <c r="B22" s="1037">
        <f>[3]October_2017!$B26</f>
        <v>43028</v>
      </c>
      <c r="C22" s="26" t="str">
        <f>[3]October_2017!$D26</f>
        <v>GUINNESS</v>
      </c>
      <c r="D22" s="27">
        <v>4200</v>
      </c>
      <c r="E22" s="1051">
        <v>0.28333333333333333</v>
      </c>
      <c r="F22" s="369">
        <f>SUM([3]October_2017!$J26)</f>
        <v>292.89999999999998</v>
      </c>
      <c r="G22" s="399">
        <v>4420</v>
      </c>
      <c r="H22" s="369">
        <f>SUM([3]October_2017!$K26)</f>
        <v>291.72000000000003</v>
      </c>
      <c r="I22" s="370">
        <f>SUM([3]October_2017!$N26)</f>
        <v>26</v>
      </c>
      <c r="J22" s="991">
        <f>SUM([3]October_2017!$Q26)</f>
        <v>402.90909090909093</v>
      </c>
      <c r="K22" s="991">
        <f>SUM([3]October_2017!$E26)</f>
        <v>825</v>
      </c>
      <c r="L22" s="1017">
        <v>0.94374999999999998</v>
      </c>
      <c r="M22" s="32">
        <f>SUM([3]October_2017!$M26)</f>
        <v>174</v>
      </c>
      <c r="N22" s="350" t="e">
        <f>[4]Oct!$I25</f>
        <v>#REF!</v>
      </c>
      <c r="O22" s="32"/>
      <c r="P22" s="349">
        <f>SUM([3]October_2017!$P26)</f>
        <v>0.40286787299417892</v>
      </c>
      <c r="Q22" s="32"/>
      <c r="R22" s="1039">
        <f>($G22+G23)/(($K22/60)*AD$3*(1/24))</f>
        <v>0.64465454545454548</v>
      </c>
      <c r="S22" s="1039">
        <f>($G22+G23)/(($K22/60)*AE$3*(1/24))</f>
        <v>0.56881283422459905</v>
      </c>
      <c r="T22" s="1039">
        <f>($G22+G23)*24/(($K22)/60)/$AD$3</f>
        <v>0.64465454545454548</v>
      </c>
      <c r="U22" s="1047">
        <f>($G22+G23)*24/(($K22)/60)/$AE$3</f>
        <v>0.56881283422459894</v>
      </c>
      <c r="V22" s="1035">
        <f>(1008-((M22+M23)-[4]Oct!$J$25-[4]Oct!$I$26-[4]Oct!$J$26-[4]Oct!$Z$25-[4]Oct!$Z$26))/1008</f>
        <v>0.89781746031746035</v>
      </c>
      <c r="W22" s="1013" t="s">
        <v>734</v>
      </c>
      <c r="X22" s="1014"/>
      <c r="Y22" s="1014"/>
      <c r="Z22" s="1014"/>
      <c r="AA22" s="1014"/>
      <c r="AB22" s="1014"/>
      <c r="AC22" s="1015"/>
    </row>
    <row r="23" spans="2:29" s="19" customFormat="1" ht="45" customHeight="1" x14ac:dyDescent="0.2">
      <c r="B23" s="1050"/>
      <c r="C23" s="26" t="str">
        <f>[3]October_2017!$D27</f>
        <v>J Cool (Cream)</v>
      </c>
      <c r="D23" s="27">
        <v>1150</v>
      </c>
      <c r="E23" s="1053"/>
      <c r="F23" s="369">
        <f>SUM([3]October_2017!$J27)</f>
        <v>90.4</v>
      </c>
      <c r="G23" s="30">
        <f>SUM([3]October_2017!$F27)</f>
        <v>1120</v>
      </c>
      <c r="H23" s="369">
        <f>SUM([3]October_2017!$K27)</f>
        <v>88.48</v>
      </c>
      <c r="I23" s="370">
        <f>SUM([3]October_2017!$N27)</f>
        <v>2</v>
      </c>
      <c r="J23" s="992"/>
      <c r="K23" s="992"/>
      <c r="L23" s="1018"/>
      <c r="M23" s="32">
        <f>SUM([3]October_2017!$M27)</f>
        <v>198</v>
      </c>
      <c r="N23" s="350">
        <f>[4]Oct!$I26</f>
        <v>168</v>
      </c>
      <c r="O23" s="32"/>
      <c r="P23" s="349">
        <f>SUM([3]October_2017!$P27)</f>
        <v>2.123893805309736</v>
      </c>
      <c r="Q23" s="32"/>
      <c r="R23" s="1040"/>
      <c r="S23" s="1040"/>
      <c r="T23" s="1040"/>
      <c r="U23" s="1048"/>
      <c r="V23" s="1036"/>
      <c r="W23" s="1013" t="s">
        <v>733</v>
      </c>
      <c r="X23" s="1014"/>
      <c r="Y23" s="1014"/>
      <c r="Z23" s="1014"/>
      <c r="AA23" s="1014"/>
      <c r="AB23" s="1014"/>
      <c r="AC23" s="1015"/>
    </row>
    <row r="24" spans="2:29" s="19" customFormat="1" ht="19.5" customHeight="1" x14ac:dyDescent="0.2">
      <c r="B24" s="1037">
        <f>[3]October_2017!$B28</f>
        <v>43029</v>
      </c>
      <c r="C24" s="26" t="str">
        <f>[3]October_2017!$D28</f>
        <v>J Cool (KOLA)</v>
      </c>
      <c r="D24" s="27">
        <v>1150</v>
      </c>
      <c r="E24" s="1051">
        <v>0.35416666666666669</v>
      </c>
      <c r="F24" s="369">
        <f>SUM([3]October_2017!$J28)</f>
        <v>93.563999999999993</v>
      </c>
      <c r="G24" s="30">
        <f>SUM([3]October_2017!$F28)</f>
        <v>1176</v>
      </c>
      <c r="H24" s="369">
        <f>SUM([3]October_2017!$K28)</f>
        <v>92.903999999999996</v>
      </c>
      <c r="I24" s="370">
        <f>SUM([3]October_2017!$N28)</f>
        <v>1.5</v>
      </c>
      <c r="J24" s="991">
        <f>SUM([3]October_2017!$Q28)</f>
        <v>348.67741935483866</v>
      </c>
      <c r="K24" s="991">
        <f>SUM([3]October_2017!$E28)</f>
        <v>620</v>
      </c>
      <c r="L24" s="1017">
        <v>0.81597222222222221</v>
      </c>
      <c r="M24" s="32">
        <f>SUM([3]October_2017!$M28)</f>
        <v>130</v>
      </c>
      <c r="N24" s="350" t="e">
        <f>[4]Oct!$I27</f>
        <v>#REF!</v>
      </c>
      <c r="O24" s="32"/>
      <c r="P24" s="349">
        <f>SUM([3]October_2017!$P28)</f>
        <v>0.70539951263306044</v>
      </c>
      <c r="Q24" s="32"/>
      <c r="R24" s="1039">
        <f>($G24+$G25+$G$26)/(($K24/60)*AD$3*(1/24))</f>
        <v>0.55788387096774195</v>
      </c>
      <c r="S24" s="1039">
        <f>($G24+$G25+$G$26)/(($K24/60)*AE$3*(1/24))</f>
        <v>0.49225047438330166</v>
      </c>
      <c r="T24" s="1039">
        <f>($G24+$G25+$G$26)*24/(($K24)/60)/$AD$3</f>
        <v>0.55788387096774195</v>
      </c>
      <c r="U24" s="1047">
        <f>($G24+$G25+G26)*24/(($K24)/60)/$AE$3</f>
        <v>0.49225047438330172</v>
      </c>
      <c r="V24" s="1035">
        <f>(738-((M24+M25+M26)-[4]Oct!$I$28-[4]Oct!$I$29-[4]Oct!$Z$27))/738</f>
        <v>0.84281842818428188</v>
      </c>
      <c r="W24" s="1056" t="s">
        <v>732</v>
      </c>
      <c r="X24" s="1057"/>
      <c r="Y24" s="1057"/>
      <c r="Z24" s="1057"/>
      <c r="AA24" s="1057"/>
      <c r="AB24" s="1057"/>
      <c r="AC24" s="1058"/>
    </row>
    <row r="25" spans="2:29" s="19" customFormat="1" ht="19.5" customHeight="1" x14ac:dyDescent="0.2">
      <c r="B25" s="1050"/>
      <c r="C25" s="26" t="str">
        <f>[3]October_2017!$D29</f>
        <v>J Cool (GRAPE)</v>
      </c>
      <c r="D25" s="27">
        <v>1150</v>
      </c>
      <c r="E25" s="1052"/>
      <c r="F25" s="369">
        <f>SUM([3]October_2017!$J29)</f>
        <v>93.563999999999993</v>
      </c>
      <c r="G25" s="30">
        <f>SUM([3]October_2017!$F29)</f>
        <v>1169</v>
      </c>
      <c r="H25" s="369">
        <f>SUM([3]October_2017!$K29)</f>
        <v>92.350999999999999</v>
      </c>
      <c r="I25" s="370">
        <f>SUM([3]October_2017!$N29)</f>
        <v>1.5</v>
      </c>
      <c r="J25" s="1042"/>
      <c r="K25" s="1042"/>
      <c r="L25" s="1055"/>
      <c r="M25" s="32">
        <f>SUM([3]October_2017!$M29)</f>
        <v>25</v>
      </c>
      <c r="N25" s="350">
        <f>[4]Oct!$I28</f>
        <v>25</v>
      </c>
      <c r="O25" s="32"/>
      <c r="P25" s="349">
        <f>SUM([3]October_2017!$P29)</f>
        <v>1.2964388012483368</v>
      </c>
      <c r="Q25" s="32"/>
      <c r="R25" s="1041"/>
      <c r="S25" s="1041"/>
      <c r="T25" s="1041"/>
      <c r="U25" s="1049"/>
      <c r="V25" s="1054"/>
      <c r="W25" s="1059"/>
      <c r="X25" s="1060"/>
      <c r="Y25" s="1060"/>
      <c r="Z25" s="1060"/>
      <c r="AA25" s="1060"/>
      <c r="AB25" s="1060"/>
      <c r="AC25" s="1061"/>
    </row>
    <row r="26" spans="2:29" s="19" customFormat="1" ht="19.5" customHeight="1" x14ac:dyDescent="0.2">
      <c r="B26" s="1038"/>
      <c r="C26" s="26" t="str">
        <f>[3]October_2017!$D30</f>
        <v>J Cool (J. COLA)</v>
      </c>
      <c r="D26" s="27">
        <v>1290</v>
      </c>
      <c r="E26" s="1053"/>
      <c r="F26" s="369">
        <f>SUM([3]October_2017!$J30)</f>
        <v>101.41020408163266</v>
      </c>
      <c r="G26" s="30">
        <f>SUM([3]October_2017!$F30)</f>
        <v>1258</v>
      </c>
      <c r="H26" s="369">
        <f>SUM([3]October_2017!$K30)</f>
        <v>99.382000000000005</v>
      </c>
      <c r="I26" s="370">
        <f>SUM([3]October_2017!$N30)</f>
        <v>0</v>
      </c>
      <c r="J26" s="992"/>
      <c r="K26" s="992"/>
      <c r="L26" s="1018"/>
      <c r="M26" s="32">
        <f>SUM([3]October_2017!$M30)</f>
        <v>83</v>
      </c>
      <c r="N26" s="350">
        <f>[4]Oct!$I29</f>
        <v>83</v>
      </c>
      <c r="O26" s="32"/>
      <c r="P26" s="349">
        <f>SUM([3]October_2017!$P30)</f>
        <v>1.9999999999999982</v>
      </c>
      <c r="Q26" s="32"/>
      <c r="R26" s="1040"/>
      <c r="S26" s="1040"/>
      <c r="T26" s="1040"/>
      <c r="U26" s="1048"/>
      <c r="V26" s="1036"/>
      <c r="W26" s="1059" t="s">
        <v>731</v>
      </c>
      <c r="X26" s="1060"/>
      <c r="Y26" s="1060"/>
      <c r="Z26" s="1060"/>
      <c r="AA26" s="1060"/>
      <c r="AB26" s="1060"/>
      <c r="AC26" s="1061"/>
    </row>
    <row r="27" spans="2:29" s="19" customFormat="1" ht="20.25" x14ac:dyDescent="0.2">
      <c r="B27" s="168">
        <v>43031</v>
      </c>
      <c r="C27" s="26" t="str">
        <f>[3]October_2017!$D31</f>
        <v>STAG</v>
      </c>
      <c r="D27" s="27">
        <v>5600</v>
      </c>
      <c r="E27" s="28">
        <v>0.34375</v>
      </c>
      <c r="F27" s="369">
        <f>SUM([3]October_2017!$J31)</f>
        <v>383.79999999999995</v>
      </c>
      <c r="G27" s="399">
        <f>SUM([3]October_2017!$F31)</f>
        <v>5800</v>
      </c>
      <c r="H27" s="369">
        <f>SUM([3]October_2017!$K31)</f>
        <v>382.8</v>
      </c>
      <c r="I27" s="370">
        <f>SUM([3]October_2017!$N31)</f>
        <v>30</v>
      </c>
      <c r="J27" s="32">
        <f>SUM([3]October_2017!$Q31)</f>
        <v>447.30077120822619</v>
      </c>
      <c r="K27" s="32">
        <f>SUM([3]October_2017!$E31)</f>
        <v>778</v>
      </c>
      <c r="L27" s="169">
        <v>0.91319444444444453</v>
      </c>
      <c r="M27" s="32">
        <f>SUM([3]October_2017!$M31)</f>
        <v>254</v>
      </c>
      <c r="N27" s="350" t="e">
        <f>[4]Oct!$I30</f>
        <v>#REF!</v>
      </c>
      <c r="O27" s="32"/>
      <c r="P27" s="349">
        <f>SUM([3]October_2017!$P31)</f>
        <v>0.26055237102656159</v>
      </c>
      <c r="Q27" s="32"/>
      <c r="R27" s="46">
        <f>($G27)/(($K27/60)*AD$3*(1/24))</f>
        <v>0.71568123393316196</v>
      </c>
      <c r="S27" s="46">
        <f>($G27)/(($K27/60)*AE$3*(1/24))</f>
        <v>0.63148344170573112</v>
      </c>
      <c r="T27" s="46">
        <f>($G27)*24/(($K27)/60)/$AD$3</f>
        <v>0.71568123393316196</v>
      </c>
      <c r="U27" s="227">
        <f>($G27)*24/(($K27)/60)/$AE$3</f>
        <v>0.63148344170573123</v>
      </c>
      <c r="V27" s="383">
        <f>(892-((M27)))/892</f>
        <v>0.7152466367713004</v>
      </c>
      <c r="W27" s="1059" t="s">
        <v>735</v>
      </c>
      <c r="X27" s="1060"/>
      <c r="Y27" s="1060"/>
      <c r="Z27" s="1060"/>
      <c r="AA27" s="1060"/>
      <c r="AB27" s="1060"/>
      <c r="AC27" s="1061"/>
    </row>
    <row r="28" spans="2:29" s="19" customFormat="1" ht="96.75" customHeight="1" x14ac:dyDescent="0.2">
      <c r="B28" s="1037">
        <v>43032</v>
      </c>
      <c r="C28" s="26" t="str">
        <f>[3]October_2017!$D32</f>
        <v>CARIB</v>
      </c>
      <c r="D28" s="27">
        <v>4200</v>
      </c>
      <c r="E28" s="1051">
        <v>0.33263888888888887</v>
      </c>
      <c r="F28" s="369">
        <f>SUM([3]October_2017!$J32)</f>
        <v>248</v>
      </c>
      <c r="G28" s="30">
        <f>SUM([3]October_2017!$F32)</f>
        <v>3414</v>
      </c>
      <c r="H28" s="369">
        <f>SUM([3]October_2017!$K32)</f>
        <v>244.32400000000001</v>
      </c>
      <c r="I28" s="370">
        <f>SUM([3]October_2017!$N32)</f>
        <v>27</v>
      </c>
      <c r="J28" s="991">
        <f>SUM([3]October_2017!$Q32)</f>
        <v>367.24832214765104</v>
      </c>
      <c r="K28" s="991">
        <f>SUM([3]October_2017!$E32)</f>
        <v>745</v>
      </c>
      <c r="L28" s="1017">
        <v>0.88194444444444453</v>
      </c>
      <c r="M28" s="32">
        <f>SUM([3]October_2017!$M32)</f>
        <v>202</v>
      </c>
      <c r="N28" s="350" t="e">
        <f>[4]Oct!$I31</f>
        <v>#REF!</v>
      </c>
      <c r="O28" s="32"/>
      <c r="P28" s="349">
        <f>SUM([3]October_2017!$P32)</f>
        <v>1.4822580645161241</v>
      </c>
      <c r="Q28" s="32"/>
      <c r="R28" s="1039">
        <f>($G28+G29)/(($K28/60)*AD$3*(1/24))</f>
        <v>0.58759731543624161</v>
      </c>
      <c r="S28" s="1039">
        <f>($G28+G29)/(($K28/60)*AE$3*(1/24))</f>
        <v>0.51846821950256627</v>
      </c>
      <c r="T28" s="1039">
        <f>($G28+G29)*24/(($K28)/60)/$AD$3</f>
        <v>0.58759731543624161</v>
      </c>
      <c r="U28" s="1047">
        <f>($G28+G29)*24/(($K28)/60)/$AE$3</f>
        <v>0.51846821950256616</v>
      </c>
      <c r="V28" s="1035">
        <f>(841-((M28+M29)-[4]Oct!$Z$31-[4]Oct!$Z$32-[4]Oct!$J$32-[4]Oct!$I$32))/841</f>
        <v>0.73246135552913194</v>
      </c>
      <c r="W28" s="1059" t="s">
        <v>737</v>
      </c>
      <c r="X28" s="1060"/>
      <c r="Y28" s="1060"/>
      <c r="Z28" s="1060"/>
      <c r="AA28" s="1060"/>
      <c r="AB28" s="1060"/>
      <c r="AC28" s="1061"/>
    </row>
    <row r="29" spans="2:29" s="19" customFormat="1" ht="48.75" customHeight="1" x14ac:dyDescent="0.2">
      <c r="B29" s="1038"/>
      <c r="C29" s="26" t="str">
        <f>[3]October_2017!$D33</f>
        <v>SHANDY LIME</v>
      </c>
      <c r="D29" s="27">
        <v>1050</v>
      </c>
      <c r="E29" s="1053"/>
      <c r="F29" s="369">
        <f>SUM([3]October_2017!$J33)</f>
        <v>78.3</v>
      </c>
      <c r="G29" s="30">
        <f>SUM([3]October_2017!$F33)</f>
        <v>1146</v>
      </c>
      <c r="H29" s="369">
        <f>SUM([3]October_2017!$K33)</f>
        <v>75.63600000000001</v>
      </c>
      <c r="I29" s="370">
        <f>SUM([3]October_2017!$N33)</f>
        <v>15</v>
      </c>
      <c r="J29" s="992"/>
      <c r="K29" s="992"/>
      <c r="L29" s="1018"/>
      <c r="M29" s="32">
        <f>SUM([3]October_2017!$M33)</f>
        <v>119</v>
      </c>
      <c r="N29" s="350">
        <f>[4]Oct!$I32</f>
        <v>43</v>
      </c>
      <c r="O29" s="32"/>
      <c r="P29" s="349">
        <f>SUM([3]October_2017!$P33)</f>
        <v>3.4022988505746961</v>
      </c>
      <c r="Q29" s="32"/>
      <c r="R29" s="1040"/>
      <c r="S29" s="1040"/>
      <c r="T29" s="1040"/>
      <c r="U29" s="1048"/>
      <c r="V29" s="1036"/>
      <c r="W29" s="1059" t="s">
        <v>736</v>
      </c>
      <c r="X29" s="1060"/>
      <c r="Y29" s="1060"/>
      <c r="Z29" s="1060"/>
      <c r="AA29" s="1060"/>
      <c r="AB29" s="1060"/>
      <c r="AC29" s="1061"/>
    </row>
    <row r="30" spans="2:29" s="19" customFormat="1" ht="63.75" customHeight="1" x14ac:dyDescent="0.2">
      <c r="B30" s="1037">
        <v>43034</v>
      </c>
      <c r="C30" s="26" t="str">
        <f>[3]October_2017!$D34</f>
        <v>STAG</v>
      </c>
      <c r="D30" s="27">
        <v>4200</v>
      </c>
      <c r="E30" s="1051">
        <v>0.32777777777777778</v>
      </c>
      <c r="F30" s="369">
        <f>SUM([3]October_2017!$J34)</f>
        <v>273.3</v>
      </c>
      <c r="G30" s="399">
        <v>4054</v>
      </c>
      <c r="H30" s="369">
        <f>SUM([3]October_2017!$K34)</f>
        <v>272.38</v>
      </c>
      <c r="I30" s="370">
        <f>SUM([3]October_2017!$N34)</f>
        <v>26</v>
      </c>
      <c r="J30" s="991">
        <f>SUM([3]October_2017!$Q34)</f>
        <v>486.89248895434463</v>
      </c>
      <c r="K30" s="991">
        <f>SUM([3]October_2017!$E34)</f>
        <v>679</v>
      </c>
      <c r="L30" s="1017">
        <v>0.84027777777777779</v>
      </c>
      <c r="M30" s="32">
        <f>SUM([3]October_2017!$M34)</f>
        <v>110</v>
      </c>
      <c r="N30" s="350" t="e">
        <f>[4]Oct!$I33</f>
        <v>#REF!</v>
      </c>
      <c r="O30" s="32"/>
      <c r="P30" s="349">
        <f>SUM([3]October_2017!$P34)</f>
        <v>0.33662641785584191</v>
      </c>
      <c r="Q30" s="32"/>
      <c r="R30" s="1039">
        <f>($G30+G31)/(($K30/60)*AD$3*(1/24))</f>
        <v>0.77888659793814441</v>
      </c>
      <c r="S30" s="1039">
        <f>($G30+G31)/(($K30/60)*AE$3*(1/24))</f>
        <v>0.68725288053365674</v>
      </c>
      <c r="T30" s="1039">
        <f>($G30+G31)*24/(($K30)/60)/$AD$3</f>
        <v>0.77888659793814441</v>
      </c>
      <c r="U30" s="1047">
        <f>($G30+G31)*24/(($K30)/60)/$AE$3</f>
        <v>0.68725288053365685</v>
      </c>
      <c r="V30" s="1035">
        <f>(788-((M30+M31)-[4]Oct!$J$33-[4]Oct!$J$34-[4]Oct!$I$34))/788</f>
        <v>0.800761421319797</v>
      </c>
      <c r="W30" s="1059" t="s">
        <v>738</v>
      </c>
      <c r="X30" s="1060"/>
      <c r="Y30" s="1060"/>
      <c r="Z30" s="1060"/>
      <c r="AA30" s="1060"/>
      <c r="AB30" s="1060"/>
      <c r="AC30" s="1061"/>
    </row>
    <row r="31" spans="2:29" s="19" customFormat="1" ht="39" customHeight="1" x14ac:dyDescent="0.2">
      <c r="B31" s="1038"/>
      <c r="C31" s="26" t="str">
        <f>[3]October_2017!$D35</f>
        <v>SHANDY GINGER</v>
      </c>
      <c r="D31" s="27">
        <v>1850</v>
      </c>
      <c r="E31" s="1053"/>
      <c r="F31" s="369">
        <f>SUM([3]October_2017!$J35)</f>
        <v>97.7</v>
      </c>
      <c r="G31" s="30">
        <f>SUM([3]October_2017!$F35)</f>
        <v>1455</v>
      </c>
      <c r="H31" s="369">
        <f>SUM([3]October_2017!$K35)</f>
        <v>96.03</v>
      </c>
      <c r="I31" s="370">
        <f>SUM([3]October_2017!$N35)</f>
        <v>8</v>
      </c>
      <c r="J31" s="992"/>
      <c r="K31" s="992"/>
      <c r="L31" s="1018"/>
      <c r="M31" s="32">
        <f>SUM([3]October_2017!$M35)</f>
        <v>105</v>
      </c>
      <c r="N31" s="350">
        <f>[4]Oct!$I34</f>
        <v>51</v>
      </c>
      <c r="O31" s="32"/>
      <c r="P31" s="349">
        <f>SUM([3]October_2017!$P35)</f>
        <v>1.7093142272262045</v>
      </c>
      <c r="Q31" s="32"/>
      <c r="R31" s="1040"/>
      <c r="S31" s="1040"/>
      <c r="T31" s="1040"/>
      <c r="U31" s="1048"/>
      <c r="V31" s="1036"/>
      <c r="W31" s="1059" t="s">
        <v>739</v>
      </c>
      <c r="X31" s="1060"/>
      <c r="Y31" s="1060"/>
      <c r="Z31" s="1060"/>
      <c r="AA31" s="1060"/>
      <c r="AB31" s="1060"/>
      <c r="AC31" s="1061"/>
    </row>
    <row r="32" spans="2:29" s="19" customFormat="1" ht="71.25" customHeight="1" x14ac:dyDescent="0.2">
      <c r="B32" s="168">
        <v>43035</v>
      </c>
      <c r="C32" s="26" t="str">
        <f>[3]October_2017!$D36</f>
        <v>STARMALT</v>
      </c>
      <c r="D32" s="27">
        <v>4200</v>
      </c>
      <c r="E32" s="28">
        <v>0.33333333333333331</v>
      </c>
      <c r="F32" s="369">
        <f>SUM([3]October_2017!$J36)</f>
        <v>290.7</v>
      </c>
      <c r="G32" s="30">
        <f>SUM([3]October_2017!$F36)</f>
        <v>4362</v>
      </c>
      <c r="H32" s="369">
        <f>SUM([3]October_2017!$K36)</f>
        <v>287.892</v>
      </c>
      <c r="I32" s="370">
        <f>SUM([3]October_2017!$N36)</f>
        <v>15</v>
      </c>
      <c r="J32" s="32">
        <f>SUM([3]October_2017!$Q36)</f>
        <v>531.95121951219517</v>
      </c>
      <c r="K32" s="32">
        <f>SUM([3]October_2017!$E36)</f>
        <v>492</v>
      </c>
      <c r="L32" s="169">
        <v>0.74305555555555547</v>
      </c>
      <c r="M32" s="32">
        <f>SUM([3]October_2017!$M36)</f>
        <v>117</v>
      </c>
      <c r="N32" s="350" t="e">
        <f>[4]Oct!$I35</f>
        <v>#REF!</v>
      </c>
      <c r="O32" s="32"/>
      <c r="P32" s="349">
        <f>SUM([3]October_2017!$P36)</f>
        <v>0.96594427244581804</v>
      </c>
      <c r="Q32" s="32"/>
      <c r="R32" s="46">
        <f>($G32)/(($K32/60)*AD$3*(1/24))</f>
        <v>0.8511219512195124</v>
      </c>
      <c r="S32" s="46">
        <f>($G32)/(($K32/60)*AE$3*(1/24))</f>
        <v>0.7509899569583931</v>
      </c>
      <c r="T32" s="46">
        <f>($G32)*24/(($K32)/60)/$AD$3</f>
        <v>0.85112195121951228</v>
      </c>
      <c r="U32" s="227">
        <f>($G32)*24/(($K32)/60)/$AE$3</f>
        <v>0.75098995695839321</v>
      </c>
      <c r="V32" s="383">
        <f>(639-((M32)-[4]Oct!$Z$35-[4]Oct!$AA$35))/639</f>
        <v>0.85446009389671362</v>
      </c>
      <c r="W32" s="1059" t="s">
        <v>740</v>
      </c>
      <c r="X32" s="1060"/>
      <c r="Y32" s="1060"/>
      <c r="Z32" s="1060"/>
      <c r="AA32" s="1060"/>
      <c r="AB32" s="1060"/>
      <c r="AC32" s="1061"/>
    </row>
    <row r="33" spans="2:29" s="19" customFormat="1" ht="80.25" customHeight="1" x14ac:dyDescent="0.2">
      <c r="B33" s="168">
        <v>43038</v>
      </c>
      <c r="C33" s="26" t="str">
        <f>[3]October_2017!$D37</f>
        <v>CARIB (FLINT)</v>
      </c>
      <c r="D33" s="27">
        <v>1800</v>
      </c>
      <c r="E33" s="28">
        <v>0.36319444444444443</v>
      </c>
      <c r="F33" s="369">
        <f>SUM([3]October_2017!$J37)</f>
        <v>99.1</v>
      </c>
      <c r="G33" s="30">
        <f>SUM([3]October_2017!$F37)</f>
        <v>1441</v>
      </c>
      <c r="H33" s="369">
        <f>SUM([3]October_2017!$K37)</f>
        <v>95.106000000000009</v>
      </c>
      <c r="I33" s="370">
        <f>SUM([3]October_2017!$N37)</f>
        <v>77</v>
      </c>
      <c r="J33" s="32">
        <f>SUM([3]October_2017!$Q37)</f>
        <v>149.84402079722702</v>
      </c>
      <c r="K33" s="32">
        <f>SUM([3]October_2017!$E37)</f>
        <v>577</v>
      </c>
      <c r="L33" s="169">
        <v>0.80625000000000002</v>
      </c>
      <c r="M33" s="32">
        <f>SUM([3]October_2017!$M37)</f>
        <v>546</v>
      </c>
      <c r="N33" s="350" t="e">
        <f>[4]Oct!$I36</f>
        <v>#REF!</v>
      </c>
      <c r="O33" s="32"/>
      <c r="P33" s="349">
        <f>SUM([3]October_2017!$P37)</f>
        <v>4.0302724520686031</v>
      </c>
      <c r="Q33" s="32"/>
      <c r="R33" s="46">
        <f>($G33)/(($K33/60)*AD$3*(1/24))</f>
        <v>0.23975043327556328</v>
      </c>
      <c r="S33" s="46">
        <f>($G33)/(($K33/60)*AE$3*(1/24))</f>
        <v>0.21154449994902641</v>
      </c>
      <c r="T33" s="46">
        <f>($G33)*24/(($K33)/60)/$AD$3</f>
        <v>0.23975043327556325</v>
      </c>
      <c r="U33" s="227">
        <f>($G33)*24/(($K33)/60)/$AE$3</f>
        <v>0.21154449994902641</v>
      </c>
      <c r="V33" s="383">
        <f>(739-((M33)-[4]Oct!$Z$36))/739</f>
        <v>0.37753721244925575</v>
      </c>
      <c r="W33" s="1059" t="s">
        <v>741</v>
      </c>
      <c r="X33" s="1060"/>
      <c r="Y33" s="1060"/>
      <c r="Z33" s="1060"/>
      <c r="AA33" s="1060"/>
      <c r="AB33" s="1060"/>
      <c r="AC33" s="1061"/>
    </row>
    <row r="34" spans="2:29" s="19" customFormat="1" ht="63.75" customHeight="1" x14ac:dyDescent="0.2">
      <c r="B34" s="1037">
        <v>43039</v>
      </c>
      <c r="C34" s="26" t="str">
        <f>[3]October_2017!$D38</f>
        <v>CARIB (FLINT)</v>
      </c>
      <c r="D34" s="27">
        <v>2100</v>
      </c>
      <c r="E34" s="1051">
        <v>0.33958333333333335</v>
      </c>
      <c r="F34" s="989">
        <f>SUM([3]October_2017!$J38)</f>
        <v>342.9</v>
      </c>
      <c r="G34" s="30">
        <f>SUM([3]October_2017!$F38)</f>
        <v>2467</v>
      </c>
      <c r="H34" s="989">
        <f>SUM([3]October_2017!$K38)</f>
        <v>341.88</v>
      </c>
      <c r="I34" s="1004">
        <f>SUM([3]October_2017!$N38)</f>
        <v>66</v>
      </c>
      <c r="J34" s="991">
        <f>SUM([3]October_2017!$Q38)</f>
        <v>414.4</v>
      </c>
      <c r="K34" s="991">
        <f>SUM([3]October_2017!$E38)</f>
        <v>750</v>
      </c>
      <c r="L34" s="1017">
        <v>0.88958333333333339</v>
      </c>
      <c r="M34" s="991">
        <f>SUM([3]October_2017!$M38)</f>
        <v>287</v>
      </c>
      <c r="N34" s="350" t="e">
        <f>[4]Oct!$I37</f>
        <v>#REF!</v>
      </c>
      <c r="O34" s="32"/>
      <c r="P34" s="1045">
        <f>SUM([3]October_2017!$P38)</f>
        <v>0.29746281714785122</v>
      </c>
      <c r="Q34" s="32"/>
      <c r="R34" s="1039">
        <f>($G34+G35)/(($K34/60)*AD$3*(1/24))</f>
        <v>0.66303999999999996</v>
      </c>
      <c r="S34" s="1039">
        <f>($G34+G35)/(($K34/60)*AE$3*(1/24))</f>
        <v>0.5850352941176471</v>
      </c>
      <c r="T34" s="1039">
        <f>($G34+G35)*24/(($K34)/60)/$AD$3</f>
        <v>0.66304000000000007</v>
      </c>
      <c r="U34" s="1047">
        <f>($G34+G35)*24/(($K34)/60)/$AE$3</f>
        <v>0.5850352941176471</v>
      </c>
      <c r="V34" s="1035">
        <f>(846-((M34+M35)-[4]Oct!$J$37-[4]Oct!$Z$37))/846</f>
        <v>0.73167848699763594</v>
      </c>
      <c r="W34" s="1056" t="s">
        <v>742</v>
      </c>
      <c r="X34" s="1057"/>
      <c r="Y34" s="1057"/>
      <c r="Z34" s="1057"/>
      <c r="AA34" s="1057"/>
      <c r="AB34" s="1057"/>
      <c r="AC34" s="1058"/>
    </row>
    <row r="35" spans="2:29" s="19" customFormat="1" ht="41.25" customHeight="1" x14ac:dyDescent="0.2">
      <c r="B35" s="1038"/>
      <c r="C35" s="26" t="str">
        <f>[3]October_2017!$D39</f>
        <v>CARIB (AMBER)</v>
      </c>
      <c r="D35" s="27">
        <v>2400</v>
      </c>
      <c r="E35" s="1053"/>
      <c r="F35" s="990"/>
      <c r="G35" s="30">
        <f>SUM([3]October_2017!$F39)</f>
        <v>2713</v>
      </c>
      <c r="H35" s="990"/>
      <c r="I35" s="1005"/>
      <c r="J35" s="992"/>
      <c r="K35" s="992"/>
      <c r="L35" s="1018"/>
      <c r="M35" s="992"/>
      <c r="N35" s="350" t="e">
        <f>[4]Oct!$I38</f>
        <v>#REF!</v>
      </c>
      <c r="O35" s="32"/>
      <c r="P35" s="1046"/>
      <c r="Q35" s="32"/>
      <c r="R35" s="1040"/>
      <c r="S35" s="1040"/>
      <c r="T35" s="1040"/>
      <c r="U35" s="1048"/>
      <c r="V35" s="1036"/>
      <c r="W35" s="1059"/>
      <c r="X35" s="1060"/>
      <c r="Y35" s="1060"/>
      <c r="Z35" s="1060"/>
      <c r="AA35" s="1060"/>
      <c r="AB35" s="1060"/>
      <c r="AC35" s="1061"/>
    </row>
    <row r="36" spans="2:29" s="19" customFormat="1" ht="19.5" customHeight="1" thickBot="1" x14ac:dyDescent="0.25">
      <c r="B36" s="168">
        <f>[3]October_2017!$B41</f>
        <v>0</v>
      </c>
      <c r="C36" s="26"/>
      <c r="D36" s="27"/>
      <c r="E36" s="28"/>
      <c r="F36" s="369"/>
      <c r="G36" s="30"/>
      <c r="H36" s="369"/>
      <c r="I36" s="370"/>
      <c r="J36" s="32"/>
      <c r="K36" s="32"/>
      <c r="L36" s="169"/>
      <c r="M36" s="32"/>
      <c r="N36" s="376"/>
      <c r="O36" s="32"/>
      <c r="P36" s="349"/>
      <c r="Q36" s="32"/>
      <c r="R36" s="46"/>
      <c r="S36" s="46"/>
      <c r="T36" s="46"/>
      <c r="U36" s="227"/>
      <c r="V36" s="383"/>
      <c r="W36" s="1059"/>
      <c r="X36" s="1060"/>
      <c r="Y36" s="1060"/>
      <c r="Z36" s="1060"/>
      <c r="AA36" s="1060"/>
      <c r="AB36" s="1060"/>
      <c r="AC36" s="1061"/>
    </row>
    <row r="37" spans="2:29" s="19" customFormat="1" ht="20.25" hidden="1" x14ac:dyDescent="0.2">
      <c r="B37" s="168">
        <f>[3]October_2017!$B42</f>
        <v>0</v>
      </c>
      <c r="C37" s="26"/>
      <c r="D37" s="27"/>
      <c r="E37" s="28"/>
      <c r="F37" s="29"/>
      <c r="G37" s="30"/>
      <c r="H37" s="29"/>
      <c r="I37" s="31"/>
      <c r="J37" s="32"/>
      <c r="K37" s="32"/>
      <c r="L37" s="169"/>
      <c r="M37" s="32"/>
      <c r="N37" s="236"/>
      <c r="O37" s="32"/>
      <c r="P37" s="33"/>
      <c r="Q37" s="32"/>
      <c r="R37" s="129"/>
      <c r="S37" s="129"/>
      <c r="T37" s="129"/>
      <c r="U37" s="227"/>
      <c r="V37" s="233"/>
      <c r="W37" s="1059"/>
      <c r="X37" s="1060"/>
      <c r="Y37" s="1060"/>
      <c r="Z37" s="1060"/>
      <c r="AA37" s="1060"/>
      <c r="AB37" s="1060"/>
      <c r="AC37" s="1061"/>
    </row>
    <row r="38" spans="2:29" s="19" customFormat="1" ht="20.25" hidden="1" x14ac:dyDescent="0.2">
      <c r="B38" s="168">
        <f>[3]October_2017!$B43</f>
        <v>0</v>
      </c>
      <c r="C38" s="26"/>
      <c r="D38" s="27"/>
      <c r="E38" s="28"/>
      <c r="F38" s="29"/>
      <c r="G38" s="30"/>
      <c r="H38" s="29"/>
      <c r="I38" s="31"/>
      <c r="J38" s="32"/>
      <c r="K38" s="32"/>
      <c r="L38" s="169"/>
      <c r="M38" s="32"/>
      <c r="N38" s="236"/>
      <c r="O38" s="32"/>
      <c r="P38" s="33"/>
      <c r="Q38" s="32"/>
      <c r="R38" s="129"/>
      <c r="S38" s="129"/>
      <c r="T38" s="129"/>
      <c r="U38" s="227"/>
      <c r="V38" s="233"/>
      <c r="W38" s="1059"/>
      <c r="X38" s="1060"/>
      <c r="Y38" s="1060"/>
      <c r="Z38" s="1060"/>
      <c r="AA38" s="1060"/>
      <c r="AB38" s="1060"/>
      <c r="AC38" s="1061"/>
    </row>
    <row r="39" spans="2:29" s="19" customFormat="1" ht="21" hidden="1" thickBot="1" x14ac:dyDescent="0.25">
      <c r="B39" s="168">
        <f>[3]October_2017!$B44</f>
        <v>0</v>
      </c>
      <c r="C39" s="26"/>
      <c r="D39" s="27"/>
      <c r="E39" s="28"/>
      <c r="F39" s="29"/>
      <c r="G39" s="30"/>
      <c r="H39" s="29"/>
      <c r="I39" s="31"/>
      <c r="J39" s="32"/>
      <c r="K39" s="32"/>
      <c r="L39" s="169"/>
      <c r="M39" s="32"/>
      <c r="N39" s="236"/>
      <c r="O39" s="32"/>
      <c r="P39" s="33"/>
      <c r="Q39" s="32"/>
      <c r="R39" s="129"/>
      <c r="S39" s="129"/>
      <c r="T39" s="129"/>
      <c r="U39" s="227"/>
      <c r="V39" s="233"/>
      <c r="W39" s="1059"/>
      <c r="X39" s="1060"/>
      <c r="Y39" s="1060"/>
      <c r="Z39" s="1060"/>
      <c r="AA39" s="1060"/>
      <c r="AB39" s="1060"/>
      <c r="AC39" s="1061"/>
    </row>
    <row r="40" spans="2:29" s="19" customFormat="1" ht="20.25" hidden="1" x14ac:dyDescent="0.2">
      <c r="B40" s="168">
        <f>[3]October_2017!$B45</f>
        <v>0</v>
      </c>
      <c r="C40" s="26"/>
      <c r="D40" s="27"/>
      <c r="E40" s="28"/>
      <c r="F40" s="29"/>
      <c r="G40" s="30"/>
      <c r="H40" s="29"/>
      <c r="I40" s="31"/>
      <c r="J40" s="32"/>
      <c r="K40" s="32"/>
      <c r="L40" s="169"/>
      <c r="M40" s="32"/>
      <c r="N40" s="236"/>
      <c r="O40" s="32"/>
      <c r="P40" s="33"/>
      <c r="Q40" s="32"/>
      <c r="R40" s="129"/>
      <c r="S40" s="129"/>
      <c r="T40" s="129"/>
      <c r="U40" s="227"/>
      <c r="V40" s="233"/>
      <c r="W40" s="1059"/>
      <c r="X40" s="1060"/>
      <c r="Y40" s="1060"/>
      <c r="Z40" s="1060"/>
      <c r="AA40" s="1060"/>
      <c r="AB40" s="1060"/>
      <c r="AC40" s="1061"/>
    </row>
    <row r="41" spans="2:29" s="19" customFormat="1" ht="20.25" hidden="1" x14ac:dyDescent="0.2">
      <c r="B41" s="168">
        <f>[3]October_2017!$B46</f>
        <v>0</v>
      </c>
      <c r="C41" s="26"/>
      <c r="D41" s="27"/>
      <c r="E41" s="28"/>
      <c r="F41" s="29"/>
      <c r="G41" s="30"/>
      <c r="H41" s="29"/>
      <c r="I41" s="31"/>
      <c r="J41" s="32"/>
      <c r="K41" s="32"/>
      <c r="L41" s="169"/>
      <c r="M41" s="32"/>
      <c r="N41" s="236"/>
      <c r="O41" s="32"/>
      <c r="P41" s="33"/>
      <c r="Q41" s="32"/>
      <c r="R41" s="129"/>
      <c r="S41" s="129"/>
      <c r="T41" s="129"/>
      <c r="U41" s="227"/>
      <c r="V41" s="233"/>
      <c r="W41" s="1059"/>
      <c r="X41" s="1060"/>
      <c r="Y41" s="1060"/>
      <c r="Z41" s="1060"/>
      <c r="AA41" s="1060"/>
      <c r="AB41" s="1060"/>
      <c r="AC41" s="1061"/>
    </row>
    <row r="42" spans="2:29" s="19" customFormat="1" ht="20.25" hidden="1" x14ac:dyDescent="0.2">
      <c r="B42" s="168">
        <f>[3]October_2017!$B47</f>
        <v>0</v>
      </c>
      <c r="C42" s="26"/>
      <c r="D42" s="27"/>
      <c r="E42" s="28"/>
      <c r="F42" s="29"/>
      <c r="G42" s="30"/>
      <c r="H42" s="29"/>
      <c r="I42" s="31"/>
      <c r="J42" s="32"/>
      <c r="K42" s="32"/>
      <c r="L42" s="169"/>
      <c r="M42" s="32"/>
      <c r="N42" s="236"/>
      <c r="O42" s="32"/>
      <c r="P42" s="33"/>
      <c r="Q42" s="32"/>
      <c r="R42" s="129"/>
      <c r="S42" s="129"/>
      <c r="T42" s="129"/>
      <c r="U42" s="227"/>
      <c r="V42" s="233"/>
      <c r="W42" s="1059"/>
      <c r="X42" s="1060"/>
      <c r="Y42" s="1060"/>
      <c r="Z42" s="1060"/>
      <c r="AA42" s="1060"/>
      <c r="AB42" s="1060"/>
      <c r="AC42" s="1061"/>
    </row>
    <row r="43" spans="2:29" s="19" customFormat="1" ht="20.25" hidden="1" x14ac:dyDescent="0.2">
      <c r="B43" s="168">
        <f>[3]October_2017!$B48</f>
        <v>0</v>
      </c>
      <c r="C43" s="26"/>
      <c r="D43" s="27"/>
      <c r="E43" s="28"/>
      <c r="F43" s="29"/>
      <c r="G43" s="30"/>
      <c r="H43" s="29"/>
      <c r="I43" s="31"/>
      <c r="J43" s="32"/>
      <c r="K43" s="32"/>
      <c r="L43" s="169"/>
      <c r="M43" s="32"/>
      <c r="N43" s="236"/>
      <c r="O43" s="32"/>
      <c r="P43" s="33"/>
      <c r="Q43" s="32"/>
      <c r="R43" s="129"/>
      <c r="S43" s="129"/>
      <c r="T43" s="129"/>
      <c r="U43" s="227"/>
      <c r="V43" s="233"/>
      <c r="W43" s="1059"/>
      <c r="X43" s="1060"/>
      <c r="Y43" s="1060"/>
      <c r="Z43" s="1060"/>
      <c r="AA43" s="1060"/>
      <c r="AB43" s="1060"/>
      <c r="AC43" s="1061"/>
    </row>
    <row r="44" spans="2:29" s="19" customFormat="1" ht="20.25" hidden="1" x14ac:dyDescent="0.2">
      <c r="B44" s="168">
        <f>[3]October_2017!$B49</f>
        <v>0</v>
      </c>
      <c r="C44" s="26"/>
      <c r="D44" s="27"/>
      <c r="E44" s="28"/>
      <c r="F44" s="29"/>
      <c r="G44" s="30"/>
      <c r="H44" s="29"/>
      <c r="I44" s="31"/>
      <c r="J44" s="32"/>
      <c r="K44" s="32"/>
      <c r="L44" s="169"/>
      <c r="M44" s="32"/>
      <c r="N44" s="236"/>
      <c r="O44" s="32"/>
      <c r="P44" s="33"/>
      <c r="Q44" s="32"/>
      <c r="R44" s="129"/>
      <c r="S44" s="129"/>
      <c r="T44" s="129"/>
      <c r="U44" s="227"/>
      <c r="V44" s="233"/>
      <c r="W44" s="1059"/>
      <c r="X44" s="1060"/>
      <c r="Y44" s="1060"/>
      <c r="Z44" s="1060"/>
      <c r="AA44" s="1060"/>
      <c r="AB44" s="1060"/>
      <c r="AC44" s="1061"/>
    </row>
    <row r="45" spans="2:29" s="19" customFormat="1" ht="20.25" hidden="1" x14ac:dyDescent="0.2">
      <c r="B45" s="168">
        <f>[3]October_2017!$B50</f>
        <v>0</v>
      </c>
      <c r="C45" s="26"/>
      <c r="D45" s="27"/>
      <c r="E45" s="28"/>
      <c r="F45" s="29"/>
      <c r="G45" s="30"/>
      <c r="H45" s="29"/>
      <c r="I45" s="31"/>
      <c r="J45" s="32"/>
      <c r="K45" s="32"/>
      <c r="L45" s="169"/>
      <c r="M45" s="32"/>
      <c r="N45" s="236"/>
      <c r="O45" s="32"/>
      <c r="P45" s="33"/>
      <c r="Q45" s="32"/>
      <c r="R45" s="129"/>
      <c r="S45" s="129"/>
      <c r="T45" s="129"/>
      <c r="U45" s="227"/>
      <c r="V45" s="233"/>
      <c r="W45" s="1059"/>
      <c r="X45" s="1060"/>
      <c r="Y45" s="1060"/>
      <c r="Z45" s="1060"/>
      <c r="AA45" s="1060"/>
      <c r="AB45" s="1060"/>
      <c r="AC45" s="1061"/>
    </row>
    <row r="46" spans="2:29" s="19" customFormat="1" ht="20.25" hidden="1" x14ac:dyDescent="0.2">
      <c r="B46" s="168">
        <f>[3]October_2017!$B51</f>
        <v>0</v>
      </c>
      <c r="C46" s="26"/>
      <c r="D46" s="27"/>
      <c r="E46" s="28"/>
      <c r="F46" s="29"/>
      <c r="G46" s="30"/>
      <c r="H46" s="29"/>
      <c r="I46" s="31"/>
      <c r="J46" s="32"/>
      <c r="K46" s="32"/>
      <c r="L46" s="169"/>
      <c r="M46" s="32"/>
      <c r="N46" s="236"/>
      <c r="O46" s="32"/>
      <c r="P46" s="33"/>
      <c r="Q46" s="32"/>
      <c r="R46" s="129"/>
      <c r="S46" s="129"/>
      <c r="T46" s="129"/>
      <c r="U46" s="227"/>
      <c r="V46" s="233"/>
      <c r="W46" s="1059"/>
      <c r="X46" s="1060"/>
      <c r="Y46" s="1060"/>
      <c r="Z46" s="1060"/>
      <c r="AA46" s="1060"/>
      <c r="AB46" s="1060"/>
      <c r="AC46" s="1061"/>
    </row>
    <row r="47" spans="2:29" s="19" customFormat="1" ht="20.25" hidden="1" x14ac:dyDescent="0.2">
      <c r="B47" s="168">
        <f>[3]October_2017!$B52</f>
        <v>0</v>
      </c>
      <c r="C47" s="26"/>
      <c r="D47" s="27"/>
      <c r="E47" s="28"/>
      <c r="F47" s="29"/>
      <c r="G47" s="30"/>
      <c r="H47" s="29"/>
      <c r="I47" s="31"/>
      <c r="J47" s="32"/>
      <c r="K47" s="32"/>
      <c r="L47" s="169"/>
      <c r="M47" s="32"/>
      <c r="N47" s="236"/>
      <c r="O47" s="32"/>
      <c r="P47" s="33"/>
      <c r="Q47" s="32"/>
      <c r="R47" s="129"/>
      <c r="S47" s="129"/>
      <c r="T47" s="129"/>
      <c r="U47" s="227"/>
      <c r="V47" s="233"/>
      <c r="W47" s="1059"/>
      <c r="X47" s="1060"/>
      <c r="Y47" s="1060"/>
      <c r="Z47" s="1060"/>
      <c r="AA47" s="1060"/>
      <c r="AB47" s="1060"/>
      <c r="AC47" s="1061"/>
    </row>
    <row r="48" spans="2:29" s="19" customFormat="1" ht="20.25" hidden="1" x14ac:dyDescent="0.2">
      <c r="B48" s="168">
        <f>[3]October_2017!$B53</f>
        <v>0</v>
      </c>
      <c r="C48" s="26"/>
      <c r="D48" s="27"/>
      <c r="E48" s="28"/>
      <c r="F48" s="29"/>
      <c r="G48" s="30"/>
      <c r="H48" s="29"/>
      <c r="I48" s="31"/>
      <c r="J48" s="32"/>
      <c r="K48" s="32"/>
      <c r="L48" s="169"/>
      <c r="M48" s="32"/>
      <c r="N48" s="236"/>
      <c r="O48" s="32"/>
      <c r="P48" s="33"/>
      <c r="Q48" s="32"/>
      <c r="R48" s="129"/>
      <c r="S48" s="129"/>
      <c r="T48" s="129"/>
      <c r="U48" s="227"/>
      <c r="V48" s="233"/>
      <c r="W48" s="1059"/>
      <c r="X48" s="1060"/>
      <c r="Y48" s="1060"/>
      <c r="Z48" s="1060"/>
      <c r="AA48" s="1060"/>
      <c r="AB48" s="1060"/>
      <c r="AC48" s="1061"/>
    </row>
    <row r="49" spans="1:29" s="19" customFormat="1" ht="20.25" hidden="1" x14ac:dyDescent="0.2">
      <c r="B49" s="168">
        <f>[3]October_2017!$B54</f>
        <v>0</v>
      </c>
      <c r="C49" s="26"/>
      <c r="D49" s="27"/>
      <c r="E49" s="28"/>
      <c r="F49" s="29"/>
      <c r="G49" s="30"/>
      <c r="H49" s="29"/>
      <c r="I49" s="31"/>
      <c r="J49" s="32"/>
      <c r="K49" s="32"/>
      <c r="L49" s="169"/>
      <c r="M49" s="32"/>
      <c r="N49" s="236"/>
      <c r="O49" s="32"/>
      <c r="P49" s="33"/>
      <c r="Q49" s="32"/>
      <c r="R49" s="129"/>
      <c r="S49" s="129"/>
      <c r="T49" s="129"/>
      <c r="U49" s="227"/>
      <c r="V49" s="233"/>
      <c r="W49" s="1059"/>
      <c r="X49" s="1060"/>
      <c r="Y49" s="1060"/>
      <c r="Z49" s="1060"/>
      <c r="AA49" s="1060"/>
      <c r="AB49" s="1060"/>
      <c r="AC49" s="1061"/>
    </row>
    <row r="50" spans="1:29" s="19" customFormat="1" ht="20.25" hidden="1" x14ac:dyDescent="0.2">
      <c r="B50" s="168">
        <f>[3]October_2017!$B55</f>
        <v>0</v>
      </c>
      <c r="C50" s="26"/>
      <c r="D50" s="27"/>
      <c r="E50" s="28"/>
      <c r="F50" s="29"/>
      <c r="G50" s="30"/>
      <c r="H50" s="29"/>
      <c r="I50" s="31"/>
      <c r="J50" s="32"/>
      <c r="K50" s="32"/>
      <c r="L50" s="169"/>
      <c r="M50" s="32"/>
      <c r="N50" s="236"/>
      <c r="O50" s="32"/>
      <c r="P50" s="33"/>
      <c r="Q50" s="32"/>
      <c r="R50" s="129"/>
      <c r="S50" s="129"/>
      <c r="T50" s="129"/>
      <c r="U50" s="227"/>
      <c r="V50" s="233"/>
      <c r="W50" s="1059"/>
      <c r="X50" s="1060"/>
      <c r="Y50" s="1060"/>
      <c r="Z50" s="1060"/>
      <c r="AA50" s="1060"/>
      <c r="AB50" s="1060"/>
      <c r="AC50" s="1061"/>
    </row>
    <row r="51" spans="1:29" s="19" customFormat="1" ht="20.25" hidden="1" x14ac:dyDescent="0.2">
      <c r="B51" s="168">
        <f>[3]October_2017!$B56</f>
        <v>0</v>
      </c>
      <c r="C51" s="26"/>
      <c r="D51" s="27"/>
      <c r="E51" s="28"/>
      <c r="F51" s="29"/>
      <c r="G51" s="30"/>
      <c r="H51" s="29"/>
      <c r="I51" s="31"/>
      <c r="J51" s="32"/>
      <c r="K51" s="32"/>
      <c r="L51" s="169"/>
      <c r="M51" s="32"/>
      <c r="N51" s="236"/>
      <c r="O51" s="32"/>
      <c r="P51" s="33"/>
      <c r="Q51" s="32"/>
      <c r="R51" s="129"/>
      <c r="S51" s="129"/>
      <c r="T51" s="129"/>
      <c r="U51" s="227"/>
      <c r="V51" s="233"/>
      <c r="W51" s="1059"/>
      <c r="X51" s="1060"/>
      <c r="Y51" s="1060"/>
      <c r="Z51" s="1060"/>
      <c r="AA51" s="1060"/>
      <c r="AB51" s="1060"/>
      <c r="AC51" s="1061"/>
    </row>
    <row r="52" spans="1:29" s="19" customFormat="1" ht="20.25" hidden="1" x14ac:dyDescent="0.2">
      <c r="B52" s="168">
        <f>[3]October_2017!$B57</f>
        <v>0</v>
      </c>
      <c r="C52" s="26"/>
      <c r="D52" s="27"/>
      <c r="E52" s="28"/>
      <c r="F52" s="29"/>
      <c r="G52" s="30"/>
      <c r="H52" s="29"/>
      <c r="I52" s="31"/>
      <c r="J52" s="32"/>
      <c r="K52" s="32"/>
      <c r="L52" s="169"/>
      <c r="M52" s="32"/>
      <c r="N52" s="236"/>
      <c r="O52" s="32"/>
      <c r="P52" s="33"/>
      <c r="Q52" s="32"/>
      <c r="R52" s="129"/>
      <c r="S52" s="129"/>
      <c r="T52" s="129"/>
      <c r="U52" s="227"/>
      <c r="V52" s="233"/>
      <c r="W52" s="1059"/>
      <c r="X52" s="1060"/>
      <c r="Y52" s="1060"/>
      <c r="Z52" s="1060"/>
      <c r="AA52" s="1060"/>
      <c r="AB52" s="1060"/>
      <c r="AC52" s="1061"/>
    </row>
    <row r="53" spans="1:29" s="19" customFormat="1" ht="20.25" hidden="1" x14ac:dyDescent="0.2">
      <c r="B53" s="168">
        <f>[3]October_2017!$B58</f>
        <v>0</v>
      </c>
      <c r="C53" s="26"/>
      <c r="D53" s="27"/>
      <c r="E53" s="28"/>
      <c r="F53" s="29"/>
      <c r="G53" s="30"/>
      <c r="H53" s="29"/>
      <c r="I53" s="31"/>
      <c r="J53" s="32"/>
      <c r="K53" s="32"/>
      <c r="L53" s="169"/>
      <c r="M53" s="32"/>
      <c r="N53" s="236"/>
      <c r="O53" s="32"/>
      <c r="P53" s="33"/>
      <c r="Q53" s="32"/>
      <c r="R53" s="129"/>
      <c r="S53" s="129"/>
      <c r="T53" s="129"/>
      <c r="U53" s="227"/>
      <c r="V53" s="233"/>
      <c r="W53" s="1059"/>
      <c r="X53" s="1060"/>
      <c r="Y53" s="1060"/>
      <c r="Z53" s="1060"/>
      <c r="AA53" s="1060"/>
      <c r="AB53" s="1060"/>
      <c r="AC53" s="1061"/>
    </row>
    <row r="54" spans="1:29" s="19" customFormat="1" ht="20.25" hidden="1" x14ac:dyDescent="0.2">
      <c r="B54" s="168">
        <f>[3]October_2017!$B59</f>
        <v>0</v>
      </c>
      <c r="C54" s="26"/>
      <c r="D54" s="27"/>
      <c r="E54" s="28"/>
      <c r="F54" s="29"/>
      <c r="G54" s="30"/>
      <c r="H54" s="29"/>
      <c r="I54" s="31"/>
      <c r="J54" s="32"/>
      <c r="K54" s="32"/>
      <c r="L54" s="169"/>
      <c r="M54" s="32"/>
      <c r="N54" s="236"/>
      <c r="O54" s="32"/>
      <c r="P54" s="33"/>
      <c r="Q54" s="32"/>
      <c r="R54" s="129"/>
      <c r="S54" s="129"/>
      <c r="T54" s="129"/>
      <c r="U54" s="227"/>
      <c r="V54" s="233"/>
      <c r="W54" s="1059"/>
      <c r="X54" s="1060"/>
      <c r="Y54" s="1060"/>
      <c r="Z54" s="1060"/>
      <c r="AA54" s="1060"/>
      <c r="AB54" s="1060"/>
      <c r="AC54" s="1061"/>
    </row>
    <row r="55" spans="1:29" s="19" customFormat="1" ht="20.25" hidden="1" x14ac:dyDescent="0.2">
      <c r="B55" s="168">
        <f>[3]October_2017!$B60</f>
        <v>0</v>
      </c>
      <c r="C55" s="26"/>
      <c r="D55" s="27"/>
      <c r="E55" s="28"/>
      <c r="F55" s="29"/>
      <c r="G55" s="30"/>
      <c r="H55" s="29"/>
      <c r="I55" s="31"/>
      <c r="J55" s="32"/>
      <c r="K55" s="32"/>
      <c r="L55" s="169"/>
      <c r="M55" s="32"/>
      <c r="N55" s="236"/>
      <c r="O55" s="32"/>
      <c r="P55" s="33"/>
      <c r="Q55" s="32"/>
      <c r="R55" s="129"/>
      <c r="S55" s="129"/>
      <c r="T55" s="129"/>
      <c r="U55" s="227"/>
      <c r="V55" s="233"/>
      <c r="W55" s="1059"/>
      <c r="X55" s="1060"/>
      <c r="Y55" s="1060"/>
      <c r="Z55" s="1060"/>
      <c r="AA55" s="1060"/>
      <c r="AB55" s="1060"/>
      <c r="AC55" s="1061"/>
    </row>
    <row r="56" spans="1:29" s="19" customFormat="1" ht="21" hidden="1" thickBot="1" x14ac:dyDescent="0.25">
      <c r="B56" s="168">
        <f>[3]October_2017!$B61</f>
        <v>0</v>
      </c>
      <c r="C56" s="26"/>
      <c r="D56" s="27"/>
      <c r="E56" s="28"/>
      <c r="F56" s="29"/>
      <c r="G56" s="30"/>
      <c r="H56" s="29"/>
      <c r="I56" s="31"/>
      <c r="J56" s="32"/>
      <c r="K56" s="32"/>
      <c r="L56" s="169"/>
      <c r="M56" s="32"/>
      <c r="N56" s="236"/>
      <c r="O56" s="32"/>
      <c r="P56" s="33"/>
      <c r="Q56" s="32"/>
      <c r="R56" s="129"/>
      <c r="S56" s="129"/>
      <c r="T56" s="129"/>
      <c r="U56" s="227"/>
      <c r="V56" s="233"/>
      <c r="W56" s="1059"/>
      <c r="X56" s="1060"/>
      <c r="Y56" s="1060"/>
      <c r="Z56" s="1060"/>
      <c r="AA56" s="1060"/>
      <c r="AB56" s="1060"/>
      <c r="AC56" s="1061"/>
    </row>
    <row r="57" spans="1:29" s="19" customFormat="1" ht="42" customHeight="1" thickBot="1" x14ac:dyDescent="0.25">
      <c r="B57" s="240" t="s">
        <v>3</v>
      </c>
      <c r="C57" s="241"/>
      <c r="D57" s="242">
        <f>SUM(D4:D55)</f>
        <v>91245</v>
      </c>
      <c r="E57" s="243">
        <f>AVERAGE(E4:E55)</f>
        <v>0.37034722222222222</v>
      </c>
      <c r="F57" s="244">
        <f>SUM(F4:F56)</f>
        <v>6182.4962040816336</v>
      </c>
      <c r="G57" s="242">
        <f>SUM(G4:G55)</f>
        <v>90178.75</v>
      </c>
      <c r="H57" s="244">
        <f>SUM(H4:H56)</f>
        <v>6131.8377</v>
      </c>
      <c r="I57" s="245">
        <f>SUM(I4:I55)</f>
        <v>576.5</v>
      </c>
      <c r="J57" s="245">
        <f>G57/(K57/60)</f>
        <v>402.70355760643048</v>
      </c>
      <c r="K57" s="242">
        <f>SUM(K4:K55)</f>
        <v>13436</v>
      </c>
      <c r="L57" s="246">
        <f>AVERAGE(L4:L56)</f>
        <v>0.84770833333333329</v>
      </c>
      <c r="M57" s="242">
        <f>SUM(M4:M55)</f>
        <v>5650</v>
      </c>
      <c r="N57" s="242">
        <f>[4]Oct!$I$55</f>
        <v>9.8666666666666671</v>
      </c>
      <c r="O57" s="245">
        <f>SUM(O4:O56)</f>
        <v>420</v>
      </c>
      <c r="P57" s="292">
        <f>(F57-H57)/F57</f>
        <v>8.193859310126091E-3</v>
      </c>
      <c r="Q57" s="249">
        <f>SUM(Q4:Q55)</f>
        <v>0</v>
      </c>
      <c r="R57" s="292">
        <f>((R4*($G$4))+(R5*($G$5+$G$6))+(R7*($G$7))+(R8*($G$8+$G$9))+(R10*($G$10+$G$11))+(R12*($G$12))+(R13*($G$13))+(R14*($G$14))+(R15*($G$15+$G$16))+(R17*($G$17))+(R18*($G$18+$G$19))+(R20*($G$20+$G$21))+(R22*($G$22+$G$23))+(R24*($G$24+$G$25+$G$26))+(R27*($G$27))+(R28*($G$28+$G$29))+(R30*($G$30+$G$31))+(R32*($G$32))+(R33*($G$33))+(R34*($G$34+$G$35)))/($G$57)</f>
        <v>0.6839705004750799</v>
      </c>
      <c r="S57" s="292">
        <f>((S4*($G$4))+(S5*($G$5+$G$6))+(S7*($G$7))+(S8*($G$8+$G$9))+(S10*($G$10+$G$11))+(S12*($G$12))+(S13*($G$13))+(S14*($G$14))+(S15*($G$15+$G$16))+(S17*($G$17))+(S18*($G$18+$G$19))+(S20*($G$20+$G$21))+(S22*($G$22+$G$23))+(S24*($G$24+$G$25+$G$26))+(S27*($G$27))+(S28*($G$28+$G$29))+(S30*($G$30+$G$31))+(S32*($G$32))+(S33*($G$33))+(S34*($G$34+$G$35)))/($G$57)</f>
        <v>0.60350338277212934</v>
      </c>
      <c r="T57" s="251">
        <f>(G57)*24/((K57)/60)/$AD$3</f>
        <v>0.64432569217028879</v>
      </c>
      <c r="U57" s="251">
        <f>(G57)*24/((K57)/60)/$AE$3</f>
        <v>0.56852266956201958</v>
      </c>
      <c r="V57" s="252">
        <f>(15505-(M57-[4]Oct!$H$54-[4]Oct!$I$54-[4]Oct!$J$54-[4]Oct!$Z$54-[4]Oct!$AA$54-500-88))/15505</f>
        <v>0.75079006772009027</v>
      </c>
      <c r="W57" s="1013"/>
      <c r="X57" s="1014"/>
      <c r="Y57" s="1014"/>
      <c r="Z57" s="1014"/>
      <c r="AA57" s="1014"/>
      <c r="AB57" s="1014"/>
      <c r="AC57" s="1015"/>
    </row>
    <row r="58" spans="1:29" s="271" customFormat="1" ht="49.5" hidden="1" customHeight="1" thickTop="1" x14ac:dyDescent="0.3">
      <c r="A58" s="274"/>
      <c r="B58" s="260" t="s">
        <v>474</v>
      </c>
      <c r="C58" s="260"/>
      <c r="D58" s="261"/>
      <c r="E58" s="262"/>
      <c r="F58" s="263"/>
      <c r="G58" s="261"/>
      <c r="H58" s="263"/>
      <c r="I58" s="273"/>
      <c r="J58" s="273">
        <v>524</v>
      </c>
      <c r="K58" s="261"/>
      <c r="L58" s="265"/>
      <c r="M58" s="261"/>
      <c r="N58" s="266"/>
      <c r="O58" s="264"/>
      <c r="P58" s="267">
        <v>1.0999999999999999E-2</v>
      </c>
      <c r="Q58" s="268"/>
      <c r="R58" s="268"/>
      <c r="S58" s="268">
        <v>0.6</v>
      </c>
      <c r="T58" s="268"/>
      <c r="U58" s="268">
        <v>0.74</v>
      </c>
      <c r="V58" s="269">
        <v>0.95</v>
      </c>
      <c r="W58" s="270"/>
      <c r="X58" s="270"/>
      <c r="Y58" s="270"/>
      <c r="Z58" s="270"/>
      <c r="AA58" s="270"/>
      <c r="AB58" s="270"/>
      <c r="AC58" s="270"/>
    </row>
    <row r="59" spans="1:29" ht="24.75" customHeight="1" thickTop="1" x14ac:dyDescent="0.25">
      <c r="B59" s="11"/>
      <c r="C59" s="150" t="s">
        <v>35</v>
      </c>
      <c r="D59" s="210">
        <v>99170</v>
      </c>
      <c r="E59" s="1081" t="s">
        <v>710</v>
      </c>
      <c r="F59" s="1081"/>
      <c r="G59" s="210">
        <f>D59-G57</f>
        <v>8991.25</v>
      </c>
      <c r="H59" s="150" t="s">
        <v>327</v>
      </c>
      <c r="I59" s="272">
        <f>G57/D59</f>
        <v>0.90933498033679538</v>
      </c>
      <c r="J59" s="152">
        <v>0</v>
      </c>
      <c r="K59" s="12"/>
      <c r="L59" s="12"/>
      <c r="M59" s="12"/>
      <c r="N59" s="12"/>
      <c r="O59" s="13"/>
      <c r="P59" s="14"/>
      <c r="Q59" s="12"/>
      <c r="R59" s="15"/>
      <c r="S59" s="16"/>
      <c r="T59" s="15"/>
      <c r="U59" s="15"/>
      <c r="V59" s="15"/>
      <c r="W59" s="17" t="s">
        <v>48</v>
      </c>
    </row>
    <row r="60" spans="1:29" ht="20.25" customHeight="1" x14ac:dyDescent="0.25">
      <c r="B60" s="11"/>
      <c r="C60" s="150" t="s">
        <v>37</v>
      </c>
      <c r="D60" s="210">
        <f>Sep_17!D61+October_17!D59</f>
        <v>839750</v>
      </c>
      <c r="E60" s="1081" t="s">
        <v>36</v>
      </c>
      <c r="F60" s="1081"/>
      <c r="G60" s="210">
        <f>Sep_17!G61+October_17!G57</f>
        <v>854289.75</v>
      </c>
      <c r="H60" s="150" t="s">
        <v>326</v>
      </c>
      <c r="I60" s="212">
        <v>0</v>
      </c>
      <c r="J60" s="152"/>
      <c r="K60" s="12">
        <v>0</v>
      </c>
      <c r="L60" s="12"/>
      <c r="M60" s="12"/>
      <c r="N60" s="12"/>
      <c r="O60" s="13"/>
      <c r="P60" s="14"/>
      <c r="Q60" s="12"/>
      <c r="R60" s="15"/>
      <c r="S60" s="16"/>
      <c r="T60" s="15"/>
      <c r="U60" s="15"/>
      <c r="V60" s="15"/>
      <c r="W60" s="17"/>
    </row>
    <row r="61" spans="1:29" ht="6.75" customHeight="1" thickBot="1" x14ac:dyDescent="0.3">
      <c r="C61" s="23"/>
      <c r="D61" s="42"/>
      <c r="E61" s="1082"/>
      <c r="F61" s="1082"/>
      <c r="G61" s="42"/>
      <c r="H61" s="44"/>
      <c r="I61" s="44"/>
      <c r="J61" s="149"/>
      <c r="O61"/>
      <c r="R61" s="10"/>
      <c r="W61" s="17"/>
    </row>
    <row r="62" spans="1:29" ht="57" customHeight="1" thickTop="1" thickBot="1" x14ac:dyDescent="0.25">
      <c r="B62" s="7"/>
      <c r="C62" s="206" t="s">
        <v>19</v>
      </c>
      <c r="D62" s="207" t="s">
        <v>14</v>
      </c>
      <c r="E62" s="207" t="s">
        <v>23</v>
      </c>
      <c r="F62" s="207" t="s">
        <v>24</v>
      </c>
      <c r="G62" s="208" t="s">
        <v>15</v>
      </c>
      <c r="H62" s="207" t="s">
        <v>17</v>
      </c>
      <c r="I62" s="207" t="s">
        <v>16</v>
      </c>
      <c r="J62" s="209" t="s">
        <v>600</v>
      </c>
      <c r="K62" s="305" t="s">
        <v>599</v>
      </c>
      <c r="O62"/>
      <c r="P62" s="141" t="s">
        <v>325</v>
      </c>
      <c r="Q62" s="90" t="s">
        <v>320</v>
      </c>
      <c r="R62" s="90" t="s">
        <v>466</v>
      </c>
      <c r="S62" s="90" t="s">
        <v>467</v>
      </c>
      <c r="T62" s="90" t="s">
        <v>323</v>
      </c>
      <c r="U62" s="143" t="s">
        <v>324</v>
      </c>
      <c r="V62" s="300" t="s">
        <v>576</v>
      </c>
      <c r="X62" s="165" t="s">
        <v>375</v>
      </c>
      <c r="Y62" s="166" t="s">
        <v>376</v>
      </c>
      <c r="Z62" s="166" t="s">
        <v>377</v>
      </c>
      <c r="AA62" s="167" t="s">
        <v>378</v>
      </c>
    </row>
    <row r="63" spans="1:29" ht="21" thickBot="1" x14ac:dyDescent="0.35">
      <c r="B63" s="8"/>
      <c r="C63" s="201">
        <v>1</v>
      </c>
      <c r="D63" s="202" t="s">
        <v>20</v>
      </c>
      <c r="E63" s="182">
        <f>SUM(G4,G5:G6,G10:G11,G15:G16,G17,G18,G20,G27,G28,G30,G33)</f>
        <v>47118.75</v>
      </c>
      <c r="F63" s="183">
        <f>SUM(K4,K5:K6,K10,K15,K17,K18,K20,K27,K28,K30,K33)</f>
        <v>7917</v>
      </c>
      <c r="G63" s="184">
        <f>SUM(F4,F5:F6,F10,F15:F16,F17,F18,F20,F27,F28,F30,F33)</f>
        <v>3215.3000000000006</v>
      </c>
      <c r="H63" s="184">
        <f>SUM(H4,H5:H6,H10,H15:H16,H17,H18,H20,H27,H28,H30,H33)</f>
        <v>3194.6435000000006</v>
      </c>
      <c r="I63" s="97">
        <f t="shared" ref="I63:I68" si="1">(G63-H63)/G63</f>
        <v>6.4244393991229583E-3</v>
      </c>
      <c r="J63" s="191">
        <f>(E63+G19+G21+G29+G31)*24/(F63/60)/17000</f>
        <v>0.5831379979047322</v>
      </c>
      <c r="K63" s="307">
        <f>AVERAGE(January_17!J65,February_17!J65,March_17!J66,April_17!J66,May_17!J66,'June_17 '!J66,July_17!J64,'Aug_17 '!J64,Sep_17!J64,October_17!J63)</f>
        <v>0.6540154727992773</v>
      </c>
      <c r="O63"/>
      <c r="P63" s="253">
        <f>T80</f>
        <v>8.4917764016883279E-3</v>
      </c>
      <c r="Q63" s="254"/>
      <c r="R63" s="255">
        <f>((January_17!Q$60*January_17!$G$60)+(February_17!R$60*February_17!$G$60)+(March_17!R$60*March_17!$G$60)+(April_17!R$60*April_17!$G$60)+(May_17!S$60*May_17!$G$60)+('June_17 '!S$60*'June_17 '!G$60)+(July_17!$S$58*July_17!$G$58)+('Aug_17 '!$S$58*'Aug_17 '!$G$58)+(Sep_17!$R$58*Sep_17!$G$58)+(R$57*$G$57))/($G$60)</f>
        <v>0.72373192640422546</v>
      </c>
      <c r="S63" s="255">
        <f>((January_17!$R$60*January_17!$G$60)+(February_17!$S$60*February_17!$G$60)+(March_17!$S$60*March_17!$G$60)+(April_17!$S$60*April_17!$G$60)+(May_17!T60*May_17!$G$60)+('June_17 '!$T$60*'June_17 '!$G$60)+(July_17!$T$58*July_17!$G$58)+('Aug_17 '!$T$58*'Aug_17 '!$G$58)+(Sep_17!$S$58*Sep_17!$G$58)+($S$57*$G$57))/($G$60)</f>
        <v>0.63929139740477314</v>
      </c>
      <c r="T63" s="254">
        <f>T79</f>
        <v>0.69161008930604406</v>
      </c>
      <c r="U63" s="257">
        <f>U79</f>
        <v>0.6102441964465094</v>
      </c>
      <c r="V63" s="301">
        <f>AVERAGE(January_17!U60,February_17!W60,March_17!W60,April_17!W60,May_17!X60,'June_17 '!X60,July_17!W58,'Aug_17 '!W58,Sep_17!V58,October_17!V57)</f>
        <v>0.8175814150967714</v>
      </c>
      <c r="X63" s="176" t="s">
        <v>370</v>
      </c>
      <c r="Y63" s="178"/>
      <c r="Z63" s="178">
        <f>[5]October_2017!F85</f>
        <v>4.4608593257733434E-2</v>
      </c>
      <c r="AA63" s="179">
        <f>[5]YearToDate!F5</f>
        <v>5.7508070397275124E-2</v>
      </c>
    </row>
    <row r="64" spans="1:29" s="1" customFormat="1" ht="18.75" thickTop="1" x14ac:dyDescent="0.25">
      <c r="B64" s="8"/>
      <c r="C64" s="203">
        <v>2</v>
      </c>
      <c r="D64" s="204" t="s">
        <v>21</v>
      </c>
      <c r="E64" s="182">
        <f>SUM(G12,G19,G21,G22)</f>
        <v>13661</v>
      </c>
      <c r="F64" s="183">
        <f>SUM(K12,K18,K20,K22)</f>
        <v>3178</v>
      </c>
      <c r="G64" s="184">
        <f>SUM(F12,F19,F21,F22)</f>
        <v>906.4</v>
      </c>
      <c r="H64" s="184">
        <f>SUM(H12,F19,F21,F22)</f>
        <v>905.428</v>
      </c>
      <c r="I64" s="97">
        <f t="shared" si="1"/>
        <v>1.0723742277140116E-3</v>
      </c>
      <c r="J64" s="186">
        <f>(E64+G18+G20+G23)*24/(F64/60)/17000</f>
        <v>0.58683744863584197</v>
      </c>
      <c r="K64" s="307">
        <f>AVERAGE(January_17!J66,February_17!J66,March_17!J67,April_17!J67,May_17!J67,'June_17 '!J67,July_17!J65,'Aug_17 '!J65,Sep_17!J65,October_17!J64)</f>
        <v>0.61061489377335509</v>
      </c>
      <c r="L64"/>
      <c r="M64"/>
      <c r="N64" s="392"/>
      <c r="O64" s="2"/>
      <c r="S64"/>
      <c r="T64"/>
      <c r="U64"/>
      <c r="W64"/>
      <c r="X64" s="213" t="s">
        <v>371</v>
      </c>
      <c r="Y64" s="180"/>
      <c r="Z64" s="215">
        <f>[5]October_2017!F86</f>
        <v>0.10389107033272274</v>
      </c>
      <c r="AA64" s="214">
        <f>[5]YearToDate!F6</f>
        <v>7.4495145412179109E-2</v>
      </c>
      <c r="AB64"/>
    </row>
    <row r="65" spans="2:28" s="1" customFormat="1" ht="18" x14ac:dyDescent="0.25">
      <c r="B65" s="8"/>
      <c r="C65" s="201">
        <v>3</v>
      </c>
      <c r="D65" s="204" t="s">
        <v>124</v>
      </c>
      <c r="E65" s="182"/>
      <c r="F65" s="183"/>
      <c r="G65" s="184"/>
      <c r="H65" s="184"/>
      <c r="I65" s="396" t="e">
        <f t="shared" si="1"/>
        <v>#DIV/0!</v>
      </c>
      <c r="J65" s="397"/>
      <c r="K65" s="307">
        <f>AVERAGE(January_17!J67,February_17!J67,March_17!J68,April_17!J68,May_17!J68,'June_17 '!J68,July_17!J66,'Aug_17 '!J66,Sep_17!J66,October_17!J65)</f>
        <v>0.54287138584247263</v>
      </c>
      <c r="L65"/>
      <c r="M65"/>
      <c r="N65" s="392"/>
      <c r="O65" s="2"/>
      <c r="S65"/>
      <c r="T65"/>
      <c r="U65"/>
      <c r="W65"/>
      <c r="X65" s="177" t="s">
        <v>372</v>
      </c>
      <c r="Y65" s="217"/>
      <c r="Z65" s="180">
        <f>[5]October_2017!F87</f>
        <v>3.5987432241552077E-2</v>
      </c>
      <c r="AA65" s="181">
        <f>[5]YearToDate!F7</f>
        <v>5.2359214885581859E-2</v>
      </c>
      <c r="AB65"/>
    </row>
    <row r="66" spans="2:28" s="1" customFormat="1" ht="18" x14ac:dyDescent="0.25">
      <c r="B66" s="8"/>
      <c r="C66" s="203">
        <v>4</v>
      </c>
      <c r="D66" s="204" t="s">
        <v>18</v>
      </c>
      <c r="E66" s="182">
        <f>SUM(G7,G13,G14,G32)</f>
        <v>13730</v>
      </c>
      <c r="F66" s="183">
        <f>SUM(K7,K13,K14,K32)</f>
        <v>2296</v>
      </c>
      <c r="G66" s="182">
        <f>SUM(F7,F13,F14,F32)</f>
        <v>952.09999999999991</v>
      </c>
      <c r="H66" s="182">
        <f>SUM(H7,H13,H14,H32)</f>
        <v>940.01520000000005</v>
      </c>
      <c r="I66" s="97">
        <f t="shared" si="1"/>
        <v>1.2692784371389413E-2</v>
      </c>
      <c r="J66" s="186">
        <f>(E66)*24/(F66/60)/17000</f>
        <v>0.50653822504611601</v>
      </c>
      <c r="K66" s="307">
        <f>AVERAGE(January_17!J68,February_17!J68,March_17!J69,April_17!J69,May_17!J69,'June_17 '!J69,July_17!J67,'Aug_17 '!J67,Sep_17!J67,October_17!J66)</f>
        <v>0.61949793491602312</v>
      </c>
      <c r="L66"/>
      <c r="M66"/>
      <c r="N66" s="392"/>
      <c r="O66" s="2"/>
      <c r="P66" s="159"/>
      <c r="Q66" s="159"/>
      <c r="R66" s="159"/>
      <c r="S66" s="160"/>
      <c r="T66" s="160"/>
      <c r="U66" s="161"/>
      <c r="V66" s="234"/>
      <c r="W66"/>
      <c r="X66" s="213" t="s">
        <v>373</v>
      </c>
      <c r="Y66" s="384"/>
      <c r="Z66" s="289">
        <f>[5]October_2017!F88</f>
        <v>6.1223243191357538E-2</v>
      </c>
      <c r="AA66" s="214">
        <f>[5]YearToDate!F8</f>
        <v>5.4903170815414681E-2</v>
      </c>
    </row>
    <row r="67" spans="2:28" s="1" customFormat="1" ht="18" x14ac:dyDescent="0.25">
      <c r="B67" s="8"/>
      <c r="C67" s="201">
        <v>5</v>
      </c>
      <c r="D67" s="205" t="s">
        <v>26</v>
      </c>
      <c r="E67" s="192">
        <f>SUM(G8:G9,G29,G31)</f>
        <v>5766</v>
      </c>
      <c r="F67" s="193">
        <f>SUM(K8,K28,K30)</f>
        <v>1854</v>
      </c>
      <c r="G67" s="194">
        <f>SUM(F8:F9,F29,F31)</f>
        <v>386.858</v>
      </c>
      <c r="H67" s="194">
        <f>SUM(H8:H9,H29,H31)</f>
        <v>380.55600000000004</v>
      </c>
      <c r="I67" s="97">
        <f t="shared" si="1"/>
        <v>1.6290215014294559E-2</v>
      </c>
      <c r="J67" s="186">
        <f>(E67+G28+G30)*24/(F67/60)/17000</f>
        <v>0.60463735008566533</v>
      </c>
      <c r="K67" s="307">
        <f>AVERAGE(January_17!J69,February_17!J69,March_17!J70,April_17!J70,May_17!J70,'June_17 '!J70,July_17!J68,'Aug_17 '!J68,Sep_17!J68,October_17!J67)</f>
        <v>0.61932506024603018</v>
      </c>
      <c r="L67"/>
      <c r="M67"/>
      <c r="N67" s="392"/>
      <c r="O67" s="2"/>
      <c r="P67" s="159"/>
      <c r="R67" s="8"/>
      <c r="S67"/>
      <c r="T67"/>
      <c r="U67" s="6"/>
      <c r="V67" s="10"/>
      <c r="W67"/>
      <c r="X67" s="177" t="s">
        <v>374</v>
      </c>
      <c r="Y67" s="217"/>
      <c r="Z67" s="180">
        <f>[5]October_2017!F89</f>
        <v>7.29862163122557E-2</v>
      </c>
      <c r="AA67" s="181">
        <f>[5]YearToDate!F9</f>
        <v>7.6171674114030377E-2</v>
      </c>
    </row>
    <row r="68" spans="2:28" s="1" customFormat="1" ht="18.75" thickBot="1" x14ac:dyDescent="0.3">
      <c r="B68" s="8"/>
      <c r="C68" s="203">
        <v>6</v>
      </c>
      <c r="D68" s="205" t="s">
        <v>25</v>
      </c>
      <c r="E68" s="192">
        <f>SUM(G23:G26)</f>
        <v>4723</v>
      </c>
      <c r="F68" s="193">
        <f>SUM(K22:K26)</f>
        <v>1445</v>
      </c>
      <c r="G68" s="194">
        <f>SUM(F23:F26)</f>
        <v>378.93820408163265</v>
      </c>
      <c r="H68" s="194">
        <f>SUM(H23:H26)</f>
        <v>373.11700000000002</v>
      </c>
      <c r="I68" s="97">
        <f t="shared" si="1"/>
        <v>1.5361882277719873E-2</v>
      </c>
      <c r="J68" s="397">
        <f>(E68+G22)*24/(F68/60)/17000</f>
        <v>0.53596254834113577</v>
      </c>
      <c r="K68" s="310">
        <f>AVERAGE(January_17!J70,February_17!J70,March_17!J71,April_17!J71,May_17!J71,'June_17 '!J71,July_17!J69,'Aug_17 '!J69,Sep_17!J69,October_17!J68)</f>
        <v>0.51533610442835898</v>
      </c>
      <c r="L68"/>
      <c r="M68"/>
      <c r="N68" s="392"/>
      <c r="O68" s="2"/>
      <c r="P68" s="159"/>
      <c r="S68"/>
      <c r="T68"/>
      <c r="U68"/>
      <c r="W68"/>
      <c r="X68" s="218" t="s">
        <v>25</v>
      </c>
      <c r="Y68" s="219"/>
      <c r="Z68" s="289">
        <f>[5]October_2017!F90</f>
        <v>0.11574698216416407</v>
      </c>
      <c r="AA68" s="220">
        <f>[5]YearToDate!F10</f>
        <v>4.5790074270967041E-2</v>
      </c>
    </row>
    <row r="69" spans="2:28" s="1" customFormat="1" ht="19.5" thickTop="1" thickBot="1" x14ac:dyDescent="0.3">
      <c r="C69" s="112"/>
      <c r="D69" s="195" t="s">
        <v>22</v>
      </c>
      <c r="E69" s="196">
        <f>SUM(E63:E68)</f>
        <v>84998.75</v>
      </c>
      <c r="F69" s="197">
        <f>K57</f>
        <v>13436</v>
      </c>
      <c r="G69" s="198">
        <f>SUM(G63:G68)</f>
        <v>5839.5962040816339</v>
      </c>
      <c r="H69" s="198">
        <f>SUM(H63:H68)</f>
        <v>5793.7597000000005</v>
      </c>
      <c r="I69" s="199">
        <f>((G69)-(H69))/(G69)</f>
        <v>7.8492591747346494E-3</v>
      </c>
      <c r="J69" s="200">
        <f>E69*24/((F69)/60)/17000</f>
        <v>0.53586589145929286</v>
      </c>
      <c r="K69" s="308">
        <f>U63</f>
        <v>0.6102441964465094</v>
      </c>
      <c r="L69"/>
      <c r="M69"/>
      <c r="N69" s="392"/>
      <c r="O69" s="139"/>
      <c r="P69" s="159"/>
      <c r="S69"/>
      <c r="T69"/>
      <c r="U69"/>
      <c r="W69"/>
      <c r="X69" s="221" t="s">
        <v>379</v>
      </c>
      <c r="Y69" s="222" t="e">
        <f>AVERAGE(Y63:Y68)</f>
        <v>#DIV/0!</v>
      </c>
      <c r="Z69" s="222">
        <f>[5]October_2017!$F$92</f>
        <v>5.3775623304538341E-2</v>
      </c>
      <c r="AA69" s="223">
        <f>[5]YearToDate!$F$12</f>
        <v>5.7449685942507892E-2</v>
      </c>
    </row>
    <row r="70" spans="2:28" s="1" customFormat="1" ht="18.75" thickTop="1" x14ac:dyDescent="0.25">
      <c r="C70" s="311"/>
      <c r="D70" s="153"/>
      <c r="E70" s="312"/>
      <c r="F70" s="313"/>
      <c r="G70" s="314"/>
      <c r="H70" s="314"/>
      <c r="I70" s="315"/>
      <c r="J70" s="315"/>
      <c r="K70" s="315"/>
      <c r="L70"/>
      <c r="M70"/>
      <c r="N70" s="392"/>
      <c r="O70" s="139"/>
      <c r="P70" s="159"/>
      <c r="S70"/>
      <c r="T70"/>
      <c r="U70"/>
      <c r="W70"/>
      <c r="X70" s="316"/>
      <c r="Y70" s="317"/>
      <c r="Z70" s="317"/>
      <c r="AA70" s="317"/>
    </row>
    <row r="71" spans="2:28" s="1" customFormat="1" ht="18" x14ac:dyDescent="0.25">
      <c r="C71" s="311"/>
      <c r="D71" s="153"/>
      <c r="E71" s="312"/>
      <c r="F71" s="313"/>
      <c r="G71" s="314"/>
      <c r="H71" s="314"/>
      <c r="I71" s="315"/>
      <c r="J71" s="315"/>
      <c r="K71" s="315"/>
      <c r="L71"/>
      <c r="M71"/>
      <c r="N71" s="392"/>
      <c r="O71" s="139"/>
      <c r="P71" s="159"/>
      <c r="S71"/>
      <c r="T71"/>
      <c r="U71"/>
      <c r="W71"/>
      <c r="X71" s="316"/>
      <c r="Y71" s="317"/>
      <c r="Z71" s="317"/>
      <c r="AA71" s="317"/>
    </row>
    <row r="72" spans="2:28" s="1" customFormat="1" ht="27" customHeight="1" thickBot="1" x14ac:dyDescent="0.4">
      <c r="C72" s="311"/>
      <c r="D72" s="1125" t="s">
        <v>618</v>
      </c>
      <c r="E72" s="1125"/>
      <c r="F72" s="1125"/>
      <c r="G72" s="1125"/>
      <c r="H72" s="1125"/>
      <c r="I72" s="1125"/>
      <c r="J72" s="1125"/>
      <c r="K72" s="1125"/>
      <c r="L72" s="1125"/>
      <c r="M72" s="1125"/>
      <c r="N72" s="1125"/>
      <c r="O72" s="1125"/>
      <c r="P72" s="1125"/>
      <c r="S72"/>
      <c r="T72"/>
      <c r="U72"/>
      <c r="W72"/>
      <c r="X72" s="316"/>
      <c r="Y72" s="317"/>
      <c r="Z72" s="317"/>
      <c r="AA72" s="317"/>
    </row>
    <row r="73" spans="2:28" s="1" customFormat="1" ht="24" thickBot="1" x14ac:dyDescent="0.4">
      <c r="C73" s="322"/>
      <c r="D73" s="332" t="s">
        <v>605</v>
      </c>
      <c r="E73" s="333" t="s">
        <v>606</v>
      </c>
      <c r="F73" s="334" t="s">
        <v>607</v>
      </c>
      <c r="G73" s="333" t="s">
        <v>608</v>
      </c>
      <c r="H73" s="334" t="s">
        <v>609</v>
      </c>
      <c r="I73" s="333" t="s">
        <v>610</v>
      </c>
      <c r="J73" s="334" t="s">
        <v>611</v>
      </c>
      <c r="K73" s="333" t="s">
        <v>612</v>
      </c>
      <c r="L73" s="333" t="s">
        <v>613</v>
      </c>
      <c r="M73" s="333" t="s">
        <v>614</v>
      </c>
      <c r="N73" s="334" t="s">
        <v>615</v>
      </c>
      <c r="O73" s="335" t="s">
        <v>616</v>
      </c>
      <c r="P73" s="329" t="s">
        <v>617</v>
      </c>
      <c r="S73"/>
      <c r="T73"/>
      <c r="U73"/>
      <c r="W73"/>
    </row>
    <row r="74" spans="2:28" s="1" customFormat="1" ht="23.25" x14ac:dyDescent="0.35">
      <c r="C74" s="330">
        <v>2016</v>
      </c>
      <c r="D74" s="324">
        <f>[6]Jan!$I$57</f>
        <v>7</v>
      </c>
      <c r="E74" s="325">
        <f>[6]Feb!$I$57</f>
        <v>9</v>
      </c>
      <c r="F74" s="326">
        <f>[6]Mar!$I$57</f>
        <v>8</v>
      </c>
      <c r="G74" s="325">
        <f>[6]Apr!$I$57</f>
        <v>12</v>
      </c>
      <c r="H74" s="326">
        <f>[6]May!$I$57</f>
        <v>11</v>
      </c>
      <c r="I74" s="325">
        <f>[6]Jun!$I$57</f>
        <v>10</v>
      </c>
      <c r="J74" s="326">
        <f>[6]Jul!$I$57</f>
        <v>12</v>
      </c>
      <c r="K74" s="325">
        <f>[6]Aug!$I$57</f>
        <v>9</v>
      </c>
      <c r="L74" s="325">
        <f>[6]Sep!$I$57</f>
        <v>13</v>
      </c>
      <c r="M74" s="325">
        <f>[6]Oct!$I$57</f>
        <v>5</v>
      </c>
      <c r="N74" s="326"/>
      <c r="O74" s="327"/>
      <c r="P74" s="328">
        <f>SUM(D74:O74)</f>
        <v>96</v>
      </c>
      <c r="S74"/>
      <c r="T74"/>
      <c r="U74"/>
      <c r="W74"/>
    </row>
    <row r="75" spans="2:28" s="1" customFormat="1" ht="24" thickBot="1" x14ac:dyDescent="0.4">
      <c r="C75" s="331">
        <v>2017</v>
      </c>
      <c r="D75" s="321">
        <f>[4]Jan!$I$57</f>
        <v>13</v>
      </c>
      <c r="E75" s="318">
        <f>[4]Feb!$I$57</f>
        <v>8</v>
      </c>
      <c r="F75" s="318">
        <f>[4]Mar!$I$57</f>
        <v>12</v>
      </c>
      <c r="G75" s="318">
        <f>[4]Apr!$I$57</f>
        <v>5</v>
      </c>
      <c r="H75" s="318">
        <f>[4]May!$I$57</f>
        <v>11</v>
      </c>
      <c r="I75" s="318">
        <f>[4]Jun!$I$57</f>
        <v>13</v>
      </c>
      <c r="J75" s="318">
        <f>[4]Jul!$I$57</f>
        <v>9</v>
      </c>
      <c r="K75" s="318">
        <f>[4]Aug!$I$57</f>
        <v>15</v>
      </c>
      <c r="L75" s="318">
        <f>[4]Sep!$I$57</f>
        <v>8</v>
      </c>
      <c r="M75" s="318">
        <f>[4]Oct!$I$57</f>
        <v>12</v>
      </c>
      <c r="N75" s="318"/>
      <c r="O75" s="398"/>
      <c r="P75" s="323">
        <f>SUM(D75:O75)</f>
        <v>106</v>
      </c>
      <c r="S75"/>
      <c r="T75"/>
      <c r="U75"/>
      <c r="W75" s="9"/>
    </row>
    <row r="76" spans="2:28" s="1" customFormat="1" ht="20.25" customHeight="1" x14ac:dyDescent="0.3">
      <c r="C76" s="371" t="s">
        <v>619</v>
      </c>
      <c r="D76" s="372">
        <f>+(D75-D74)/D74</f>
        <v>0.8571428571428571</v>
      </c>
      <c r="E76" s="372">
        <f t="shared" ref="E76:M76" si="2">+(E75-E74)/E74</f>
        <v>-0.1111111111111111</v>
      </c>
      <c r="F76" s="372">
        <f t="shared" si="2"/>
        <v>0.5</v>
      </c>
      <c r="G76" s="372">
        <f t="shared" si="2"/>
        <v>-0.58333333333333337</v>
      </c>
      <c r="H76" s="372">
        <f t="shared" si="2"/>
        <v>0</v>
      </c>
      <c r="I76" s="372">
        <f t="shared" si="2"/>
        <v>0.3</v>
      </c>
      <c r="J76" s="372">
        <f t="shared" si="2"/>
        <v>-0.25</v>
      </c>
      <c r="K76" s="372">
        <f t="shared" si="2"/>
        <v>0.66666666666666663</v>
      </c>
      <c r="L76" s="372">
        <f t="shared" si="2"/>
        <v>-0.38461538461538464</v>
      </c>
      <c r="M76" s="372">
        <f t="shared" si="2"/>
        <v>1.4</v>
      </c>
      <c r="N76" s="393"/>
      <c r="O76" s="372"/>
      <c r="P76" s="373">
        <f>+(P75-P74)/P74</f>
        <v>0.10416666666666667</v>
      </c>
      <c r="W76" s="9"/>
    </row>
    <row r="77" spans="2:28" s="1" customFormat="1" x14ac:dyDescent="0.2">
      <c r="J77"/>
      <c r="K77"/>
      <c r="L77"/>
      <c r="M77"/>
      <c r="N77" s="392"/>
      <c r="O77" s="2"/>
      <c r="W77" s="9"/>
    </row>
    <row r="78" spans="2:28" s="1" customFormat="1" ht="12.75" customHeight="1" x14ac:dyDescent="0.2">
      <c r="J78"/>
      <c r="K78"/>
      <c r="L78"/>
      <c r="M78"/>
      <c r="N78" s="392"/>
      <c r="O78" s="2"/>
      <c r="S78"/>
      <c r="T78"/>
      <c r="U78"/>
      <c r="W78" s="9"/>
    </row>
    <row r="79" spans="2:28" s="1" customFormat="1" ht="21" hidden="1" customHeight="1" thickBot="1" x14ac:dyDescent="0.25">
      <c r="J79"/>
      <c r="K79"/>
      <c r="L79"/>
      <c r="M79"/>
      <c r="N79" s="392"/>
      <c r="O79" s="2"/>
      <c r="P79" s="3">
        <f>G60</f>
        <v>854289.75</v>
      </c>
      <c r="R79" s="3">
        <f>SUM(January_17!K60,February_17!K60,March_17!K60:K60,April_17!K60,May_17!K60,'June_17 '!K60,July_17!K58,'Aug_17 '!K58,Sep_17!K58,October_17!K57)-249</f>
        <v>118581</v>
      </c>
      <c r="S79"/>
      <c r="T79" s="63">
        <f>(P79)*24/(R79/60)/15000</f>
        <v>0.69161008930604406</v>
      </c>
      <c r="U79" s="128">
        <f>(P79)*24/(R79/60)/17000</f>
        <v>0.6102441964465094</v>
      </c>
      <c r="V79" s="230"/>
      <c r="W79" s="9"/>
    </row>
    <row r="80" spans="2:28" s="1" customFormat="1" ht="21" hidden="1" customHeight="1" thickTop="1" thickBot="1" x14ac:dyDescent="0.35">
      <c r="J80"/>
      <c r="K80"/>
      <c r="L80"/>
      <c r="M80"/>
      <c r="N80" s="392"/>
      <c r="O80" s="2"/>
      <c r="P80" s="140">
        <f>SUM(January_17!F60,February_17!F60,March_17!F60,April_17!F60,May_17!F60,'June_17 '!F60,July_17!F58,'Aug_17 '!F58,Sep_17!F58,October_17!F57)</f>
        <v>58386.046754013609</v>
      </c>
      <c r="R80" s="140">
        <f>SUM(January_17!H60,February_17!H60,March_17!H60,April_17!H60,May_17!H60,'June_17 '!H60,July_17!H58,'Aug_17 '!H58,Sep_17!H58,October_17!H57)</f>
        <v>57890.245500000005</v>
      </c>
      <c r="S80"/>
      <c r="T80" s="87">
        <f>(P80-R80)/P80</f>
        <v>8.4917764016883279E-3</v>
      </c>
      <c r="U80"/>
      <c r="W80" s="9"/>
    </row>
    <row r="81" spans="3:23" s="1" customFormat="1" x14ac:dyDescent="0.2">
      <c r="J81"/>
      <c r="K81"/>
      <c r="L81"/>
      <c r="M81"/>
      <c r="N81" s="392"/>
      <c r="O81" s="2"/>
      <c r="S81"/>
      <c r="T81"/>
      <c r="U81"/>
      <c r="W81" s="9"/>
    </row>
    <row r="82" spans="3:23" s="1" customFormat="1" ht="20.25" customHeight="1" x14ac:dyDescent="0.2">
      <c r="C82" s="1109" t="s">
        <v>620</v>
      </c>
      <c r="D82" s="1109"/>
      <c r="E82" s="1109"/>
      <c r="F82" s="1109"/>
      <c r="G82" s="1109"/>
      <c r="H82" s="1109"/>
      <c r="I82" s="1109"/>
      <c r="J82" s="1109"/>
      <c r="K82" s="1109"/>
      <c r="L82" s="1109"/>
      <c r="M82" s="1109"/>
      <c r="N82" s="1109"/>
      <c r="O82" s="1109"/>
      <c r="P82" s="1109"/>
      <c r="Q82"/>
      <c r="S82"/>
      <c r="T82"/>
      <c r="U82"/>
      <c r="W82" s="9"/>
    </row>
    <row r="83" spans="3:23" s="1" customFormat="1" ht="21.75" customHeight="1" thickBot="1" x14ac:dyDescent="0.3">
      <c r="C83" s="1109"/>
      <c r="D83" s="1109"/>
      <c r="E83" s="1109"/>
      <c r="F83" s="1109"/>
      <c r="G83" s="1109"/>
      <c r="H83" s="1109"/>
      <c r="I83" s="1109"/>
      <c r="J83" s="1109"/>
      <c r="K83" s="1109"/>
      <c r="L83" s="1109"/>
      <c r="M83" s="1109"/>
      <c r="N83" s="1109"/>
      <c r="O83" s="1109"/>
      <c r="P83" s="1109"/>
      <c r="Q83" s="336"/>
      <c r="S83"/>
      <c r="T83"/>
      <c r="U83"/>
      <c r="W83" s="9"/>
    </row>
    <row r="84" spans="3:23" s="1" customFormat="1" ht="21" thickBot="1" x14ac:dyDescent="0.35">
      <c r="C84" s="351"/>
      <c r="D84" s="352" t="s">
        <v>605</v>
      </c>
      <c r="E84" s="353" t="s">
        <v>606</v>
      </c>
      <c r="F84" s="353" t="s">
        <v>607</v>
      </c>
      <c r="G84" s="353" t="s">
        <v>608</v>
      </c>
      <c r="H84" s="353" t="s">
        <v>609</v>
      </c>
      <c r="I84" s="353" t="s">
        <v>610</v>
      </c>
      <c r="J84" s="353" t="s">
        <v>611</v>
      </c>
      <c r="K84" s="353" t="s">
        <v>612</v>
      </c>
      <c r="L84" s="353" t="s">
        <v>613</v>
      </c>
      <c r="M84" s="353" t="s">
        <v>614</v>
      </c>
      <c r="N84" s="394" t="s">
        <v>615</v>
      </c>
      <c r="O84" s="354" t="s">
        <v>616</v>
      </c>
      <c r="P84" s="355" t="s">
        <v>379</v>
      </c>
      <c r="Q84" s="336"/>
      <c r="S84"/>
      <c r="T84"/>
      <c r="U84"/>
      <c r="W84" s="9"/>
    </row>
    <row r="85" spans="3:23" s="1" customFormat="1" ht="21" thickBot="1" x14ac:dyDescent="0.35">
      <c r="C85" s="356">
        <v>2016</v>
      </c>
      <c r="D85" s="357">
        <v>257</v>
      </c>
      <c r="E85" s="358">
        <v>234</v>
      </c>
      <c r="F85" s="358">
        <v>300</v>
      </c>
      <c r="G85" s="358">
        <v>547</v>
      </c>
      <c r="H85" s="358">
        <v>196</v>
      </c>
      <c r="I85" s="358">
        <v>373</v>
      </c>
      <c r="J85" s="359">
        <f>[6]Jul!$I$54</f>
        <v>480</v>
      </c>
      <c r="K85" s="359">
        <f>[6]Aug!$I$54</f>
        <v>300</v>
      </c>
      <c r="L85" s="359">
        <f>[6]Sep!$I$54</f>
        <v>370</v>
      </c>
      <c r="M85" s="359">
        <f>[6]Oct!$I$54</f>
        <v>74</v>
      </c>
      <c r="N85" s="395"/>
      <c r="O85" s="360"/>
      <c r="P85" s="361">
        <f>SUM(D85:K85)</f>
        <v>2687</v>
      </c>
      <c r="Q85" s="336"/>
      <c r="S85"/>
      <c r="T85"/>
      <c r="U85"/>
      <c r="W85" s="9"/>
    </row>
    <row r="86" spans="3:23" s="1" customFormat="1" ht="21" thickBot="1" x14ac:dyDescent="0.35">
      <c r="C86" s="362">
        <v>2017</v>
      </c>
      <c r="D86" s="363">
        <f>436</f>
        <v>436</v>
      </c>
      <c r="E86" s="364">
        <v>148</v>
      </c>
      <c r="F86" s="364">
        <f>316</f>
        <v>316</v>
      </c>
      <c r="G86" s="364">
        <v>314</v>
      </c>
      <c r="H86" s="364">
        <v>259</v>
      </c>
      <c r="I86" s="365">
        <f>[4]Jun!$I$54</f>
        <v>558</v>
      </c>
      <c r="J86" s="365">
        <f>[4]Jul!$I$54</f>
        <v>220</v>
      </c>
      <c r="K86" s="365">
        <f>[4]Aug!$I$54</f>
        <v>441</v>
      </c>
      <c r="L86" s="365">
        <f>[4]Sep!$I$54</f>
        <v>191</v>
      </c>
      <c r="M86" s="365">
        <f>[4]Oct!$I$54</f>
        <v>592</v>
      </c>
      <c r="N86" s="319"/>
      <c r="O86" s="366"/>
      <c r="P86" s="367">
        <f>SUM(D86:O86)</f>
        <v>3475</v>
      </c>
      <c r="Q86" s="336"/>
      <c r="S86"/>
      <c r="T86"/>
      <c r="U86"/>
      <c r="W86" s="9"/>
    </row>
    <row r="87" spans="3:23" s="1" customFormat="1" ht="20.25" x14ac:dyDescent="0.3">
      <c r="C87" s="371" t="s">
        <v>619</v>
      </c>
      <c r="D87" s="372">
        <f t="shared" ref="D87:M87" si="3">+(D86-D85)/D85</f>
        <v>0.69649805447470814</v>
      </c>
      <c r="E87" s="372">
        <f t="shared" si="3"/>
        <v>-0.36752136752136755</v>
      </c>
      <c r="F87" s="372">
        <f t="shared" si="3"/>
        <v>5.3333333333333337E-2</v>
      </c>
      <c r="G87" s="372">
        <f t="shared" si="3"/>
        <v>-0.42595978062157219</v>
      </c>
      <c r="H87" s="372">
        <f t="shared" si="3"/>
        <v>0.32142857142857145</v>
      </c>
      <c r="I87" s="372">
        <f t="shared" si="3"/>
        <v>0.49597855227882037</v>
      </c>
      <c r="J87" s="372">
        <f t="shared" si="3"/>
        <v>-0.54166666666666663</v>
      </c>
      <c r="K87" s="372">
        <f t="shared" si="3"/>
        <v>0.47</v>
      </c>
      <c r="L87" s="372">
        <f t="shared" si="3"/>
        <v>-0.48378378378378378</v>
      </c>
      <c r="M87" s="372">
        <f t="shared" si="3"/>
        <v>7</v>
      </c>
      <c r="N87" s="393"/>
      <c r="O87" s="372"/>
      <c r="P87" s="373">
        <f>+(P86-P85)/P85</f>
        <v>0.29326386304428731</v>
      </c>
      <c r="Q87" s="337" t="s">
        <v>621</v>
      </c>
      <c r="S87"/>
      <c r="T87"/>
      <c r="U87"/>
      <c r="W87" s="9"/>
    </row>
    <row r="88" spans="3:23" s="1" customFormat="1" x14ac:dyDescent="0.2">
      <c r="J88"/>
      <c r="K88"/>
      <c r="L88"/>
      <c r="M88"/>
      <c r="N88" s="392"/>
      <c r="O88" s="2"/>
      <c r="S88"/>
      <c r="T88"/>
      <c r="U88"/>
      <c r="W88"/>
    </row>
    <row r="89" spans="3:23" s="1" customFormat="1" ht="13.5" thickBot="1" x14ac:dyDescent="0.25">
      <c r="J89"/>
      <c r="K89"/>
      <c r="L89"/>
      <c r="M89"/>
      <c r="N89" s="392"/>
      <c r="O89" s="2"/>
      <c r="S89"/>
      <c r="T89"/>
      <c r="U89"/>
      <c r="W89"/>
    </row>
    <row r="90" spans="3:23" s="1" customFormat="1" ht="36" customHeight="1" thickBot="1" x14ac:dyDescent="0.3">
      <c r="C90" s="382" t="str">
        <f>[4]Aug!C57</f>
        <v>Change-Overs</v>
      </c>
      <c r="D90" s="377" t="str">
        <f>[4]Aug!D57</f>
        <v>Actual Starts</v>
      </c>
      <c r="E90" s="378" t="str">
        <f>[4]Jul!$E$57</f>
        <v>1 Start</v>
      </c>
      <c r="J90"/>
      <c r="K90"/>
      <c r="L90"/>
      <c r="M90"/>
      <c r="N90" s="392"/>
      <c r="O90" s="2"/>
      <c r="S90"/>
      <c r="T90"/>
      <c r="U90"/>
      <c r="W90"/>
    </row>
    <row r="91" spans="3:23" s="1" customFormat="1" ht="18.75" thickBot="1" x14ac:dyDescent="0.3">
      <c r="C91" s="379">
        <f>[4]Oct!$I$57</f>
        <v>12</v>
      </c>
      <c r="D91" s="390">
        <f>[4]Oct!$D$58</f>
        <v>30</v>
      </c>
      <c r="E91" s="391">
        <f>[4]Oct!$E$58</f>
        <v>20</v>
      </c>
      <c r="J91"/>
      <c r="K91"/>
      <c r="L91"/>
      <c r="M91"/>
      <c r="N91" s="392"/>
      <c r="O91" s="2"/>
      <c r="S91"/>
      <c r="T91"/>
      <c r="U91"/>
      <c r="W91"/>
    </row>
    <row r="92" spans="3:23" s="1" customFormat="1" x14ac:dyDescent="0.2">
      <c r="C92" s="1114" t="s">
        <v>658</v>
      </c>
      <c r="D92" s="1116">
        <f>[4]Oct!$D$60</f>
        <v>1.5</v>
      </c>
      <c r="E92" s="1118">
        <f>[4]Oct!$E$60</f>
        <v>14.8</v>
      </c>
      <c r="J92"/>
      <c r="K92"/>
      <c r="L92"/>
      <c r="M92"/>
      <c r="N92" s="392"/>
      <c r="O92" s="2"/>
      <c r="S92"/>
      <c r="T92"/>
      <c r="U92"/>
      <c r="W92"/>
    </row>
    <row r="93" spans="3:23" s="1" customFormat="1" ht="13.5" thickBot="1" x14ac:dyDescent="0.25">
      <c r="C93" s="1115"/>
      <c r="D93" s="1117"/>
      <c r="E93" s="1119"/>
      <c r="J93"/>
      <c r="K93"/>
      <c r="L93"/>
      <c r="M93"/>
      <c r="N93" s="392"/>
      <c r="O93" s="2"/>
      <c r="S93"/>
      <c r="T93"/>
      <c r="U93"/>
      <c r="W93"/>
    </row>
    <row r="94" spans="3:23" s="1" customFormat="1" x14ac:dyDescent="0.2">
      <c r="J94"/>
      <c r="K94"/>
      <c r="L94"/>
      <c r="M94"/>
      <c r="N94" s="392"/>
      <c r="O94" s="2"/>
      <c r="S94"/>
      <c r="T94"/>
      <c r="U94"/>
      <c r="W94"/>
    </row>
    <row r="95" spans="3:23" s="1" customFormat="1" x14ac:dyDescent="0.2">
      <c r="J95"/>
      <c r="K95"/>
      <c r="L95"/>
      <c r="M95"/>
      <c r="N95" s="392"/>
      <c r="O95" s="2"/>
      <c r="S95"/>
      <c r="T95"/>
      <c r="U95"/>
      <c r="W95"/>
    </row>
    <row r="96" spans="3:23" s="1" customFormat="1" x14ac:dyDescent="0.2">
      <c r="J96"/>
      <c r="K96"/>
      <c r="L96"/>
      <c r="M96"/>
      <c r="N96" s="392"/>
      <c r="O96" s="2"/>
      <c r="S96"/>
      <c r="T96"/>
      <c r="U96"/>
      <c r="W96"/>
    </row>
    <row r="97" spans="10:23" s="1" customFormat="1" x14ac:dyDescent="0.2">
      <c r="J97"/>
      <c r="K97"/>
      <c r="L97"/>
      <c r="M97"/>
      <c r="N97" s="392"/>
      <c r="O97" s="2"/>
      <c r="S97"/>
      <c r="T97"/>
      <c r="U97"/>
      <c r="W97"/>
    </row>
    <row r="98" spans="10:23" s="1" customFormat="1" x14ac:dyDescent="0.2">
      <c r="J98"/>
      <c r="K98"/>
      <c r="L98"/>
      <c r="M98"/>
      <c r="N98" s="392"/>
      <c r="O98" s="2"/>
      <c r="S98"/>
      <c r="T98"/>
      <c r="U98"/>
      <c r="W98"/>
    </row>
    <row r="99" spans="10:23" s="1" customFormat="1" x14ac:dyDescent="0.2">
      <c r="J99"/>
      <c r="K99"/>
      <c r="L99"/>
      <c r="M99"/>
      <c r="N99" s="392"/>
      <c r="O99" s="2"/>
      <c r="S99"/>
      <c r="T99"/>
      <c r="U99"/>
      <c r="W99"/>
    </row>
    <row r="100" spans="10:23" s="1" customFormat="1" x14ac:dyDescent="0.2">
      <c r="J100"/>
      <c r="K100"/>
      <c r="L100"/>
      <c r="M100"/>
      <c r="N100" s="392"/>
      <c r="O100" s="2"/>
      <c r="S100"/>
      <c r="T100"/>
      <c r="U100"/>
      <c r="W100"/>
    </row>
    <row r="101" spans="10:23" s="1" customFormat="1" x14ac:dyDescent="0.2">
      <c r="J101"/>
      <c r="K101"/>
      <c r="L101"/>
      <c r="M101"/>
      <c r="N101" s="392"/>
      <c r="O101" s="2"/>
      <c r="S101"/>
      <c r="T101"/>
      <c r="U101"/>
      <c r="W101"/>
    </row>
    <row r="102" spans="10:23" s="1" customFormat="1" x14ac:dyDescent="0.2">
      <c r="J102"/>
      <c r="K102"/>
      <c r="L102"/>
      <c r="M102"/>
      <c r="N102" s="392"/>
      <c r="O102" s="2"/>
      <c r="S102"/>
      <c r="T102"/>
      <c r="U102"/>
      <c r="W102"/>
    </row>
    <row r="103" spans="10:23" s="1" customFormat="1" x14ac:dyDescent="0.2">
      <c r="J103"/>
      <c r="K103"/>
      <c r="L103"/>
      <c r="M103"/>
      <c r="N103" s="392"/>
      <c r="O103" s="2"/>
      <c r="S103"/>
      <c r="T103"/>
      <c r="U103"/>
      <c r="W103"/>
    </row>
    <row r="104" spans="10:23" s="1" customFormat="1" x14ac:dyDescent="0.2">
      <c r="J104"/>
      <c r="K104"/>
      <c r="L104"/>
      <c r="M104"/>
      <c r="N104" s="392"/>
      <c r="O104" s="2"/>
      <c r="S104"/>
      <c r="T104"/>
      <c r="U104"/>
      <c r="W104"/>
    </row>
    <row r="105" spans="10:23" s="1" customFormat="1" x14ac:dyDescent="0.2">
      <c r="J105"/>
      <c r="K105"/>
      <c r="L105"/>
      <c r="M105"/>
      <c r="N105" s="392"/>
      <c r="O105" s="2"/>
      <c r="S105"/>
      <c r="T105"/>
      <c r="U105"/>
      <c r="W105"/>
    </row>
    <row r="106" spans="10:23" s="1" customFormat="1" x14ac:dyDescent="0.2">
      <c r="J106"/>
      <c r="K106"/>
      <c r="L106"/>
      <c r="M106"/>
      <c r="N106" s="392"/>
      <c r="O106" s="2"/>
      <c r="S106"/>
      <c r="T106"/>
      <c r="U106"/>
      <c r="W106"/>
    </row>
    <row r="107" spans="10:23" s="1" customFormat="1" x14ac:dyDescent="0.2">
      <c r="J107"/>
      <c r="K107"/>
      <c r="L107"/>
      <c r="M107"/>
      <c r="N107" s="392"/>
      <c r="O107" s="2"/>
      <c r="S107"/>
      <c r="T107"/>
      <c r="U107"/>
      <c r="W107"/>
    </row>
    <row r="108" spans="10:23" s="1" customFormat="1" x14ac:dyDescent="0.2">
      <c r="J108"/>
      <c r="K108"/>
      <c r="L108"/>
      <c r="M108"/>
      <c r="N108" s="392"/>
      <c r="O108" s="2"/>
      <c r="S108"/>
      <c r="T108"/>
      <c r="U108"/>
      <c r="W108"/>
    </row>
    <row r="109" spans="10:23" s="1" customFormat="1" x14ac:dyDescent="0.2">
      <c r="J109"/>
      <c r="K109"/>
      <c r="L109"/>
      <c r="M109"/>
      <c r="N109" s="392"/>
      <c r="O109" s="2"/>
      <c r="S109"/>
      <c r="T109"/>
      <c r="U109"/>
      <c r="W109"/>
    </row>
    <row r="110" spans="10:23" s="1" customFormat="1" x14ac:dyDescent="0.2">
      <c r="J110"/>
      <c r="K110"/>
      <c r="L110"/>
      <c r="M110"/>
      <c r="N110" s="392"/>
      <c r="O110" s="2"/>
      <c r="S110"/>
      <c r="T110"/>
      <c r="U110"/>
      <c r="W110"/>
    </row>
    <row r="111" spans="10:23" s="1" customFormat="1" x14ac:dyDescent="0.2">
      <c r="J111"/>
      <c r="K111"/>
      <c r="L111"/>
      <c r="M111"/>
      <c r="N111" s="392"/>
      <c r="O111" s="2"/>
      <c r="S111"/>
      <c r="T111"/>
      <c r="U111"/>
      <c r="W111"/>
    </row>
    <row r="112" spans="10:23" s="1" customFormat="1" x14ac:dyDescent="0.2">
      <c r="J112"/>
      <c r="K112"/>
      <c r="L112"/>
      <c r="M112"/>
      <c r="N112" s="392"/>
      <c r="O112" s="2"/>
      <c r="S112"/>
      <c r="T112"/>
      <c r="U112"/>
      <c r="W112"/>
    </row>
    <row r="113" spans="10:23" s="1" customFormat="1" x14ac:dyDescent="0.2">
      <c r="J113"/>
      <c r="K113"/>
      <c r="L113"/>
      <c r="M113"/>
      <c r="N113" s="392"/>
      <c r="O113" s="2"/>
      <c r="S113"/>
      <c r="T113"/>
      <c r="U113"/>
      <c r="W113"/>
    </row>
    <row r="114" spans="10:23" s="1" customFormat="1" x14ac:dyDescent="0.2">
      <c r="J114"/>
      <c r="K114"/>
      <c r="L114"/>
      <c r="M114"/>
      <c r="N114" s="392"/>
      <c r="O114" s="2"/>
      <c r="S114"/>
      <c r="T114"/>
      <c r="U114"/>
      <c r="W114"/>
    </row>
    <row r="115" spans="10:23" s="1" customFormat="1" x14ac:dyDescent="0.2">
      <c r="J115"/>
      <c r="K115"/>
      <c r="L115"/>
      <c r="M115"/>
      <c r="N115" s="392"/>
      <c r="O115" s="2"/>
      <c r="S115"/>
      <c r="T115"/>
      <c r="U115"/>
      <c r="W115"/>
    </row>
    <row r="116" spans="10:23" s="1" customFormat="1" x14ac:dyDescent="0.2">
      <c r="J116"/>
      <c r="K116"/>
      <c r="L116"/>
      <c r="M116"/>
      <c r="N116" s="392"/>
      <c r="O116" s="2"/>
      <c r="S116"/>
      <c r="T116"/>
      <c r="U116"/>
      <c r="W116"/>
    </row>
    <row r="117" spans="10:23" s="1" customFormat="1" x14ac:dyDescent="0.2">
      <c r="J117"/>
      <c r="K117"/>
      <c r="L117"/>
      <c r="M117"/>
      <c r="N117" s="392"/>
      <c r="O117" s="2"/>
      <c r="S117"/>
      <c r="T117"/>
      <c r="U117"/>
      <c r="W117"/>
    </row>
    <row r="118" spans="10:23" s="1" customFormat="1" x14ac:dyDescent="0.2">
      <c r="J118"/>
      <c r="K118"/>
      <c r="L118"/>
      <c r="M118"/>
      <c r="N118" s="392"/>
      <c r="O118" s="2"/>
      <c r="S118"/>
      <c r="T118"/>
      <c r="U118"/>
      <c r="W118"/>
    </row>
    <row r="119" spans="10:23" s="1" customFormat="1" x14ac:dyDescent="0.2">
      <c r="J119"/>
      <c r="K119"/>
      <c r="L119"/>
      <c r="M119"/>
      <c r="N119" s="392"/>
      <c r="O119" s="2"/>
      <c r="S119"/>
      <c r="T119"/>
      <c r="U119"/>
      <c r="W119"/>
    </row>
    <row r="120" spans="10:23" s="1" customFormat="1" x14ac:dyDescent="0.2">
      <c r="J120"/>
      <c r="K120"/>
      <c r="L120"/>
      <c r="M120"/>
      <c r="N120" s="392"/>
      <c r="O120" s="2"/>
      <c r="S120"/>
      <c r="T120"/>
      <c r="U120"/>
      <c r="W120"/>
    </row>
    <row r="121" spans="10:23" s="1" customFormat="1" x14ac:dyDescent="0.2">
      <c r="J121"/>
      <c r="K121"/>
      <c r="L121"/>
      <c r="M121"/>
      <c r="N121" s="392"/>
      <c r="O121" s="2"/>
      <c r="S121"/>
      <c r="T121"/>
      <c r="U121"/>
      <c r="W121"/>
    </row>
    <row r="122" spans="10:23" s="1" customFormat="1" x14ac:dyDescent="0.2">
      <c r="J122"/>
      <c r="K122"/>
      <c r="L122"/>
      <c r="M122"/>
      <c r="N122" s="392"/>
      <c r="O122" s="2"/>
      <c r="S122"/>
      <c r="T122"/>
      <c r="U122"/>
      <c r="W122"/>
    </row>
    <row r="123" spans="10:23" s="1" customFormat="1" x14ac:dyDescent="0.2">
      <c r="J123"/>
      <c r="K123"/>
      <c r="L123"/>
      <c r="M123"/>
      <c r="N123" s="392"/>
      <c r="O123" s="2"/>
      <c r="S123"/>
      <c r="T123"/>
      <c r="U123"/>
      <c r="W123"/>
    </row>
    <row r="124" spans="10:23" s="1" customFormat="1" x14ac:dyDescent="0.2">
      <c r="J124"/>
      <c r="K124"/>
      <c r="L124"/>
      <c r="M124"/>
      <c r="N124" s="392"/>
      <c r="O124" s="2"/>
      <c r="S124"/>
      <c r="T124"/>
      <c r="U124"/>
      <c r="W124"/>
    </row>
    <row r="125" spans="10:23" s="1" customFormat="1" x14ac:dyDescent="0.2">
      <c r="J125"/>
      <c r="K125"/>
      <c r="L125"/>
      <c r="M125"/>
      <c r="N125" s="392"/>
      <c r="O125" s="2"/>
      <c r="S125"/>
      <c r="T125"/>
      <c r="U125"/>
      <c r="W125"/>
    </row>
    <row r="126" spans="10:23" s="1" customFormat="1" x14ac:dyDescent="0.2">
      <c r="J126"/>
      <c r="K126"/>
      <c r="L126"/>
      <c r="M126"/>
      <c r="N126" s="392"/>
      <c r="O126" s="2"/>
      <c r="S126"/>
      <c r="T126"/>
      <c r="U126"/>
      <c r="W126"/>
    </row>
    <row r="127" spans="10:23" s="1" customFormat="1" x14ac:dyDescent="0.2">
      <c r="J127"/>
      <c r="K127"/>
      <c r="L127"/>
      <c r="M127"/>
      <c r="N127" s="392"/>
      <c r="O127" s="2"/>
      <c r="S127"/>
      <c r="T127"/>
      <c r="U127"/>
      <c r="W127"/>
    </row>
    <row r="128" spans="10:23" s="1" customFormat="1" x14ac:dyDescent="0.2">
      <c r="J128"/>
      <c r="K128"/>
      <c r="L128"/>
      <c r="M128"/>
      <c r="N128" s="392"/>
      <c r="O128" s="2"/>
      <c r="S128"/>
      <c r="T128"/>
      <c r="U128"/>
      <c r="W128"/>
    </row>
    <row r="129" spans="10:23" s="1" customFormat="1" x14ac:dyDescent="0.2">
      <c r="J129"/>
      <c r="K129"/>
      <c r="L129"/>
      <c r="M129"/>
      <c r="N129" s="392"/>
      <c r="O129" s="2"/>
      <c r="S129"/>
      <c r="T129"/>
      <c r="U129"/>
      <c r="W129"/>
    </row>
    <row r="130" spans="10:23" s="1" customFormat="1" x14ac:dyDescent="0.2">
      <c r="J130"/>
      <c r="K130"/>
      <c r="L130"/>
      <c r="M130"/>
      <c r="N130" s="392"/>
      <c r="O130" s="2"/>
      <c r="S130"/>
      <c r="T130"/>
      <c r="U130"/>
      <c r="W130"/>
    </row>
    <row r="131" spans="10:23" s="1" customFormat="1" x14ac:dyDescent="0.2">
      <c r="J131"/>
      <c r="K131"/>
      <c r="L131"/>
      <c r="M131"/>
      <c r="N131" s="392"/>
      <c r="O131" s="2"/>
      <c r="S131"/>
      <c r="T131"/>
      <c r="U131"/>
      <c r="W131"/>
    </row>
    <row r="132" spans="10:23" s="1" customFormat="1" x14ac:dyDescent="0.2">
      <c r="J132"/>
      <c r="K132"/>
      <c r="L132"/>
      <c r="M132"/>
      <c r="N132" s="392"/>
      <c r="O132" s="2"/>
      <c r="S132"/>
      <c r="T132"/>
      <c r="U132"/>
      <c r="W132"/>
    </row>
    <row r="133" spans="10:23" s="1" customFormat="1" x14ac:dyDescent="0.2">
      <c r="J133"/>
      <c r="K133"/>
      <c r="L133"/>
      <c r="M133"/>
      <c r="N133" s="392"/>
      <c r="O133" s="2"/>
      <c r="S133"/>
      <c r="T133"/>
      <c r="U133"/>
      <c r="W133"/>
    </row>
    <row r="134" spans="10:23" s="1" customFormat="1" x14ac:dyDescent="0.2">
      <c r="J134"/>
      <c r="K134"/>
      <c r="L134"/>
      <c r="M134"/>
      <c r="N134" s="392"/>
      <c r="O134" s="2"/>
      <c r="S134"/>
      <c r="T134"/>
      <c r="U134"/>
      <c r="W134"/>
    </row>
    <row r="135" spans="10:23" s="1" customFormat="1" x14ac:dyDescent="0.2">
      <c r="J135"/>
      <c r="K135"/>
      <c r="L135"/>
      <c r="M135"/>
      <c r="N135" s="392"/>
      <c r="O135" s="2"/>
      <c r="S135"/>
      <c r="T135"/>
      <c r="U135"/>
      <c r="W135"/>
    </row>
    <row r="136" spans="10:23" s="1" customFormat="1" x14ac:dyDescent="0.2">
      <c r="J136"/>
      <c r="K136"/>
      <c r="L136"/>
      <c r="M136"/>
      <c r="N136" s="392"/>
      <c r="O136" s="2"/>
      <c r="S136"/>
      <c r="T136"/>
      <c r="U136"/>
      <c r="W136"/>
    </row>
    <row r="137" spans="10:23" s="1" customFormat="1" x14ac:dyDescent="0.2">
      <c r="J137"/>
      <c r="K137"/>
      <c r="L137"/>
      <c r="M137"/>
      <c r="N137" s="392"/>
      <c r="O137" s="2"/>
      <c r="S137"/>
      <c r="T137"/>
      <c r="U137"/>
      <c r="W137"/>
    </row>
    <row r="138" spans="10:23" s="1" customFormat="1" x14ac:dyDescent="0.2">
      <c r="J138"/>
      <c r="K138"/>
      <c r="L138"/>
      <c r="M138"/>
      <c r="N138" s="392"/>
      <c r="O138" s="2"/>
      <c r="S138"/>
      <c r="T138"/>
      <c r="U138"/>
      <c r="W138"/>
    </row>
    <row r="139" spans="10:23" s="1" customFormat="1" x14ac:dyDescent="0.2">
      <c r="J139"/>
      <c r="K139"/>
      <c r="L139"/>
      <c r="M139"/>
      <c r="N139" s="392"/>
      <c r="O139" s="2"/>
      <c r="S139"/>
      <c r="T139"/>
      <c r="U139"/>
      <c r="W139"/>
    </row>
    <row r="140" spans="10:23" s="1" customFormat="1" x14ac:dyDescent="0.2">
      <c r="J140"/>
      <c r="K140"/>
      <c r="L140"/>
      <c r="M140"/>
      <c r="N140" s="392"/>
      <c r="O140" s="2"/>
      <c r="S140"/>
      <c r="T140"/>
      <c r="U140"/>
      <c r="W140"/>
    </row>
    <row r="141" spans="10:23" s="1" customFormat="1" x14ac:dyDescent="0.2">
      <c r="J141"/>
      <c r="K141"/>
      <c r="L141"/>
      <c r="M141"/>
      <c r="N141" s="392"/>
      <c r="O141" s="2"/>
      <c r="S141"/>
      <c r="T141"/>
      <c r="U141"/>
      <c r="W141"/>
    </row>
    <row r="142" spans="10:23" s="1" customFormat="1" x14ac:dyDescent="0.2">
      <c r="J142"/>
      <c r="K142"/>
      <c r="L142"/>
      <c r="M142"/>
      <c r="N142" s="392"/>
      <c r="O142" s="2"/>
      <c r="S142"/>
      <c r="T142"/>
      <c r="U142"/>
      <c r="W142"/>
    </row>
    <row r="143" spans="10:23" s="1" customFormat="1" x14ac:dyDescent="0.2">
      <c r="J143"/>
      <c r="K143"/>
      <c r="L143"/>
      <c r="M143"/>
      <c r="N143" s="392"/>
      <c r="O143" s="2"/>
      <c r="S143"/>
      <c r="T143"/>
      <c r="U143"/>
      <c r="W143"/>
    </row>
    <row r="144" spans="10:23" s="1" customFormat="1" x14ac:dyDescent="0.2">
      <c r="J144"/>
      <c r="K144"/>
      <c r="L144"/>
      <c r="M144"/>
      <c r="N144" s="392"/>
      <c r="O144" s="2"/>
      <c r="S144"/>
      <c r="T144"/>
      <c r="U144"/>
      <c r="W144"/>
    </row>
    <row r="145" spans="10:23" s="1" customFormat="1" x14ac:dyDescent="0.2">
      <c r="J145"/>
      <c r="K145"/>
      <c r="L145"/>
      <c r="M145"/>
      <c r="N145" s="392"/>
      <c r="O145" s="2"/>
      <c r="S145"/>
      <c r="T145"/>
      <c r="U145"/>
      <c r="W145"/>
    </row>
    <row r="146" spans="10:23" s="1" customFormat="1" x14ac:dyDescent="0.2">
      <c r="J146"/>
      <c r="K146"/>
      <c r="L146"/>
      <c r="M146"/>
      <c r="N146" s="392"/>
      <c r="O146" s="2"/>
      <c r="S146"/>
      <c r="T146"/>
      <c r="U146"/>
      <c r="W146"/>
    </row>
    <row r="147" spans="10:23" s="1" customFormat="1" x14ac:dyDescent="0.2">
      <c r="J147"/>
      <c r="K147"/>
      <c r="L147"/>
      <c r="M147"/>
      <c r="N147" s="392"/>
      <c r="O147" s="2"/>
      <c r="S147"/>
      <c r="T147"/>
      <c r="U147"/>
      <c r="W147"/>
    </row>
    <row r="148" spans="10:23" s="1" customFormat="1" x14ac:dyDescent="0.2">
      <c r="J148"/>
      <c r="K148"/>
      <c r="L148"/>
      <c r="M148"/>
      <c r="N148" s="392"/>
      <c r="O148" s="2"/>
      <c r="S148"/>
      <c r="T148"/>
      <c r="U148"/>
      <c r="W148"/>
    </row>
    <row r="149" spans="10:23" s="1" customFormat="1" x14ac:dyDescent="0.2">
      <c r="J149"/>
      <c r="K149"/>
      <c r="L149"/>
      <c r="M149"/>
      <c r="N149" s="392"/>
      <c r="O149" s="2"/>
      <c r="S149"/>
      <c r="T149"/>
      <c r="U149"/>
      <c r="W149"/>
    </row>
    <row r="150" spans="10:23" s="1" customFormat="1" x14ac:dyDescent="0.2">
      <c r="J150"/>
      <c r="K150"/>
      <c r="L150"/>
      <c r="M150"/>
      <c r="N150" s="392"/>
      <c r="O150" s="2"/>
      <c r="S150"/>
      <c r="T150"/>
      <c r="U150"/>
      <c r="W150"/>
    </row>
    <row r="151" spans="10:23" s="1" customFormat="1" x14ac:dyDescent="0.2">
      <c r="J151"/>
      <c r="K151"/>
      <c r="L151"/>
      <c r="M151"/>
      <c r="N151" s="392"/>
      <c r="O151" s="2"/>
      <c r="S151"/>
      <c r="T151"/>
      <c r="U151"/>
      <c r="W151"/>
    </row>
    <row r="152" spans="10:23" s="1" customFormat="1" x14ac:dyDescent="0.2">
      <c r="J152"/>
      <c r="K152"/>
      <c r="L152"/>
      <c r="M152"/>
      <c r="N152" s="392"/>
      <c r="O152" s="2"/>
      <c r="S152"/>
      <c r="T152"/>
      <c r="U152"/>
      <c r="W152"/>
    </row>
    <row r="153" spans="10:23" s="1" customFormat="1" x14ac:dyDescent="0.2">
      <c r="J153"/>
      <c r="K153"/>
      <c r="L153"/>
      <c r="M153"/>
      <c r="N153" s="392"/>
      <c r="O153" s="2"/>
      <c r="S153"/>
      <c r="T153"/>
      <c r="U153"/>
      <c r="W153"/>
    </row>
    <row r="154" spans="10:23" s="1" customFormat="1" x14ac:dyDescent="0.2">
      <c r="J154"/>
      <c r="K154"/>
      <c r="L154"/>
      <c r="M154"/>
      <c r="N154" s="392"/>
      <c r="O154" s="2"/>
      <c r="S154"/>
      <c r="T154"/>
      <c r="U154"/>
      <c r="W154"/>
    </row>
    <row r="155" spans="10:23" s="1" customFormat="1" x14ac:dyDescent="0.2">
      <c r="J155"/>
      <c r="K155"/>
      <c r="L155"/>
      <c r="M155"/>
      <c r="N155" s="392"/>
      <c r="O155" s="2"/>
      <c r="S155"/>
      <c r="T155"/>
      <c r="U155"/>
      <c r="W155"/>
    </row>
    <row r="156" spans="10:23" s="1" customFormat="1" x14ac:dyDescent="0.2">
      <c r="J156"/>
      <c r="K156"/>
      <c r="L156"/>
      <c r="M156"/>
      <c r="N156" s="392"/>
      <c r="O156" s="2"/>
      <c r="S156"/>
      <c r="T156"/>
      <c r="U156"/>
      <c r="W156"/>
    </row>
    <row r="157" spans="10:23" s="1" customFormat="1" x14ac:dyDescent="0.2">
      <c r="J157"/>
      <c r="K157"/>
      <c r="L157"/>
      <c r="M157"/>
      <c r="N157" s="392"/>
      <c r="O157" s="2"/>
      <c r="S157"/>
      <c r="T157"/>
      <c r="U157"/>
      <c r="W157"/>
    </row>
    <row r="158" spans="10:23" s="1" customFormat="1" x14ac:dyDescent="0.2">
      <c r="J158"/>
      <c r="K158"/>
      <c r="L158"/>
      <c r="M158"/>
      <c r="N158" s="392"/>
      <c r="O158" s="2"/>
      <c r="S158"/>
      <c r="T158"/>
      <c r="U158"/>
      <c r="W158"/>
    </row>
    <row r="159" spans="10:23" s="1" customFormat="1" x14ac:dyDescent="0.2">
      <c r="J159"/>
      <c r="K159"/>
      <c r="L159"/>
      <c r="M159"/>
      <c r="N159" s="392"/>
      <c r="O159" s="2"/>
      <c r="S159"/>
      <c r="T159"/>
      <c r="U159"/>
      <c r="W159"/>
    </row>
    <row r="160" spans="10:23" s="1" customFormat="1" x14ac:dyDescent="0.2">
      <c r="J160"/>
      <c r="K160"/>
      <c r="L160"/>
      <c r="M160"/>
      <c r="N160" s="392"/>
      <c r="O160" s="2"/>
      <c r="S160"/>
      <c r="T160"/>
      <c r="U160"/>
      <c r="W160"/>
    </row>
    <row r="161" spans="10:23" s="1" customFormat="1" x14ac:dyDescent="0.2">
      <c r="J161"/>
      <c r="K161"/>
      <c r="L161"/>
      <c r="M161"/>
      <c r="N161" s="392"/>
      <c r="O161" s="2"/>
      <c r="S161"/>
      <c r="T161"/>
      <c r="U161"/>
      <c r="W161"/>
    </row>
    <row r="162" spans="10:23" s="1" customFormat="1" x14ac:dyDescent="0.2">
      <c r="J162"/>
      <c r="K162"/>
      <c r="L162"/>
      <c r="M162"/>
      <c r="N162" s="392"/>
      <c r="O162" s="2"/>
      <c r="S162"/>
      <c r="T162"/>
      <c r="U162"/>
      <c r="W162"/>
    </row>
    <row r="163" spans="10:23" s="1" customFormat="1" x14ac:dyDescent="0.2">
      <c r="J163"/>
      <c r="K163"/>
      <c r="L163"/>
      <c r="M163"/>
      <c r="N163" s="392"/>
      <c r="O163" s="2"/>
      <c r="S163"/>
      <c r="T163"/>
      <c r="U163"/>
      <c r="W163"/>
    </row>
    <row r="164" spans="10:23" s="1" customFormat="1" x14ac:dyDescent="0.2">
      <c r="J164"/>
      <c r="K164"/>
      <c r="L164"/>
      <c r="M164"/>
      <c r="N164" s="392"/>
      <c r="O164" s="2"/>
      <c r="S164"/>
      <c r="T164"/>
      <c r="U164"/>
      <c r="W164"/>
    </row>
    <row r="165" spans="10:23" s="1" customFormat="1" x14ac:dyDescent="0.2">
      <c r="J165"/>
      <c r="K165"/>
      <c r="L165"/>
      <c r="M165"/>
      <c r="N165" s="392"/>
      <c r="O165" s="2"/>
      <c r="S165"/>
      <c r="T165"/>
      <c r="U165"/>
      <c r="W165"/>
    </row>
    <row r="166" spans="10:23" s="1" customFormat="1" x14ac:dyDescent="0.2">
      <c r="J166"/>
      <c r="K166"/>
      <c r="L166"/>
      <c r="M166"/>
      <c r="N166" s="392"/>
      <c r="O166" s="2"/>
      <c r="S166"/>
      <c r="T166"/>
      <c r="U166"/>
      <c r="W166"/>
    </row>
    <row r="167" spans="10:23" s="1" customFormat="1" x14ac:dyDescent="0.2">
      <c r="J167"/>
      <c r="K167"/>
      <c r="L167"/>
      <c r="M167"/>
      <c r="N167" s="392"/>
      <c r="O167" s="2"/>
      <c r="S167"/>
      <c r="T167"/>
      <c r="U167"/>
      <c r="W167"/>
    </row>
    <row r="168" spans="10:23" s="1" customFormat="1" x14ac:dyDescent="0.2">
      <c r="J168"/>
      <c r="K168"/>
      <c r="L168"/>
      <c r="M168"/>
      <c r="N168" s="392"/>
      <c r="O168" s="2"/>
      <c r="S168"/>
      <c r="T168"/>
      <c r="U168"/>
      <c r="W168"/>
    </row>
    <row r="169" spans="10:23" s="1" customFormat="1" x14ac:dyDescent="0.2">
      <c r="J169"/>
      <c r="K169"/>
      <c r="L169"/>
      <c r="M169"/>
      <c r="N169" s="392"/>
      <c r="O169" s="2"/>
      <c r="S169"/>
      <c r="T169"/>
      <c r="U169"/>
      <c r="W169"/>
    </row>
    <row r="170" spans="10:23" s="1" customFormat="1" x14ac:dyDescent="0.2">
      <c r="J170"/>
      <c r="K170"/>
      <c r="L170"/>
      <c r="M170"/>
      <c r="N170" s="392"/>
      <c r="O170" s="2"/>
      <c r="S170"/>
      <c r="T170"/>
      <c r="U170"/>
      <c r="W170"/>
    </row>
    <row r="171" spans="10:23" s="1" customFormat="1" x14ac:dyDescent="0.2">
      <c r="J171"/>
      <c r="K171"/>
      <c r="L171"/>
      <c r="M171"/>
      <c r="N171" s="392"/>
      <c r="O171" s="2"/>
      <c r="S171"/>
      <c r="T171"/>
      <c r="U171"/>
      <c r="W171"/>
    </row>
    <row r="172" spans="10:23" s="1" customFormat="1" x14ac:dyDescent="0.2">
      <c r="J172"/>
      <c r="K172"/>
      <c r="L172"/>
      <c r="M172"/>
      <c r="N172" s="392"/>
      <c r="O172" s="2"/>
      <c r="S172"/>
      <c r="T172"/>
      <c r="U172"/>
      <c r="W172"/>
    </row>
    <row r="173" spans="10:23" s="1" customFormat="1" x14ac:dyDescent="0.2">
      <c r="J173"/>
      <c r="K173"/>
      <c r="L173"/>
      <c r="M173"/>
      <c r="N173" s="392"/>
      <c r="O173" s="2"/>
      <c r="S173"/>
      <c r="T173"/>
      <c r="U173"/>
      <c r="W173"/>
    </row>
    <row r="174" spans="10:23" s="1" customFormat="1" x14ac:dyDescent="0.2">
      <c r="J174"/>
      <c r="K174"/>
      <c r="L174"/>
      <c r="M174"/>
      <c r="N174" s="392"/>
      <c r="O174" s="2"/>
      <c r="S174"/>
      <c r="T174"/>
      <c r="U174"/>
      <c r="W174"/>
    </row>
    <row r="175" spans="10:23" s="1" customFormat="1" x14ac:dyDescent="0.2">
      <c r="J175"/>
      <c r="K175"/>
      <c r="L175"/>
      <c r="M175"/>
      <c r="N175" s="392"/>
      <c r="O175" s="2"/>
      <c r="S175"/>
      <c r="T175"/>
      <c r="U175"/>
      <c r="W175"/>
    </row>
    <row r="176" spans="10:23" s="1" customFormat="1" x14ac:dyDescent="0.2">
      <c r="J176"/>
      <c r="K176"/>
      <c r="L176"/>
      <c r="M176"/>
      <c r="N176" s="392"/>
      <c r="O176" s="2"/>
      <c r="S176"/>
      <c r="T176"/>
      <c r="U176"/>
      <c r="W176"/>
    </row>
    <row r="177" spans="10:23" s="1" customFormat="1" x14ac:dyDescent="0.2">
      <c r="J177"/>
      <c r="K177"/>
      <c r="L177"/>
      <c r="M177"/>
      <c r="N177" s="392"/>
      <c r="O177" s="2"/>
      <c r="S177"/>
      <c r="T177"/>
      <c r="U177"/>
      <c r="W177"/>
    </row>
    <row r="178" spans="10:23" s="1" customFormat="1" x14ac:dyDescent="0.2">
      <c r="J178"/>
      <c r="K178"/>
      <c r="L178"/>
      <c r="M178"/>
      <c r="N178" s="392"/>
      <c r="O178" s="2"/>
      <c r="S178"/>
      <c r="T178"/>
      <c r="U178"/>
      <c r="W178"/>
    </row>
    <row r="179" spans="10:23" s="1" customFormat="1" x14ac:dyDescent="0.2">
      <c r="J179"/>
      <c r="K179"/>
      <c r="L179"/>
      <c r="M179"/>
      <c r="N179" s="392"/>
      <c r="O179" s="2"/>
      <c r="S179"/>
      <c r="T179"/>
      <c r="U179"/>
      <c r="W179"/>
    </row>
    <row r="180" spans="10:23" s="1" customFormat="1" x14ac:dyDescent="0.2">
      <c r="J180"/>
      <c r="K180"/>
      <c r="L180"/>
      <c r="M180"/>
      <c r="N180" s="392"/>
      <c r="O180" s="2"/>
      <c r="S180"/>
      <c r="T180"/>
      <c r="U180"/>
      <c r="W180"/>
    </row>
    <row r="181" spans="10:23" s="1" customFormat="1" x14ac:dyDescent="0.2">
      <c r="J181"/>
      <c r="K181"/>
      <c r="L181"/>
      <c r="M181"/>
      <c r="N181" s="392"/>
      <c r="O181" s="2"/>
      <c r="S181"/>
      <c r="T181"/>
      <c r="U181"/>
      <c r="W181"/>
    </row>
    <row r="182" spans="10:23" s="1" customFormat="1" x14ac:dyDescent="0.2">
      <c r="J182"/>
      <c r="K182"/>
      <c r="L182"/>
      <c r="M182"/>
      <c r="N182" s="392"/>
      <c r="O182" s="2"/>
      <c r="S182"/>
      <c r="T182"/>
      <c r="U182"/>
      <c r="W182"/>
    </row>
    <row r="183" spans="10:23" s="1" customFormat="1" x14ac:dyDescent="0.2">
      <c r="J183"/>
      <c r="K183"/>
      <c r="L183"/>
      <c r="M183"/>
      <c r="N183" s="392"/>
      <c r="O183" s="2"/>
      <c r="S183"/>
      <c r="T183"/>
      <c r="U183"/>
      <c r="W183"/>
    </row>
    <row r="184" spans="10:23" s="1" customFormat="1" x14ac:dyDescent="0.2">
      <c r="J184"/>
      <c r="K184"/>
      <c r="L184"/>
      <c r="M184"/>
      <c r="N184" s="392"/>
      <c r="O184" s="2"/>
      <c r="S184"/>
      <c r="T184"/>
      <c r="U184"/>
      <c r="W184"/>
    </row>
    <row r="185" spans="10:23" s="1" customFormat="1" x14ac:dyDescent="0.2">
      <c r="J185"/>
      <c r="K185"/>
      <c r="L185"/>
      <c r="M185"/>
      <c r="N185" s="392"/>
      <c r="O185" s="2"/>
      <c r="S185"/>
      <c r="T185"/>
      <c r="U185"/>
      <c r="W185"/>
    </row>
    <row r="186" spans="10:23" s="1" customFormat="1" x14ac:dyDescent="0.2">
      <c r="J186"/>
      <c r="K186"/>
      <c r="L186"/>
      <c r="M186"/>
      <c r="N186" s="392"/>
      <c r="O186" s="2"/>
      <c r="S186"/>
      <c r="T186"/>
      <c r="U186"/>
      <c r="W186"/>
    </row>
    <row r="187" spans="10:23" s="1" customFormat="1" x14ac:dyDescent="0.2">
      <c r="J187"/>
      <c r="K187"/>
      <c r="L187"/>
      <c r="M187"/>
      <c r="N187" s="392"/>
      <c r="O187" s="2"/>
      <c r="S187"/>
      <c r="T187"/>
      <c r="U187"/>
      <c r="W187"/>
    </row>
    <row r="188" spans="10:23" s="1" customFormat="1" x14ac:dyDescent="0.2">
      <c r="J188"/>
      <c r="K188"/>
      <c r="L188"/>
      <c r="M188"/>
      <c r="N188" s="392"/>
      <c r="O188" s="2"/>
      <c r="S188"/>
      <c r="T188"/>
      <c r="U188"/>
      <c r="W188"/>
    </row>
    <row r="189" spans="10:23" s="1" customFormat="1" x14ac:dyDescent="0.2">
      <c r="J189"/>
      <c r="K189"/>
      <c r="L189"/>
      <c r="M189"/>
      <c r="N189" s="392"/>
      <c r="O189" s="2"/>
      <c r="S189"/>
      <c r="T189"/>
      <c r="U189"/>
      <c r="W189"/>
    </row>
    <row r="190" spans="10:23" s="1" customFormat="1" x14ac:dyDescent="0.2">
      <c r="J190"/>
      <c r="K190"/>
      <c r="L190"/>
      <c r="M190"/>
      <c r="N190" s="392"/>
      <c r="O190" s="2"/>
      <c r="S190"/>
      <c r="T190"/>
      <c r="U190"/>
      <c r="W190"/>
    </row>
    <row r="191" spans="10:23" s="1" customFormat="1" x14ac:dyDescent="0.2">
      <c r="J191"/>
      <c r="K191"/>
      <c r="L191"/>
      <c r="M191"/>
      <c r="N191" s="392"/>
      <c r="O191" s="2"/>
      <c r="S191"/>
      <c r="T191"/>
      <c r="U191"/>
      <c r="W191"/>
    </row>
    <row r="192" spans="10:23" s="1" customFormat="1" x14ac:dyDescent="0.2">
      <c r="J192"/>
      <c r="K192"/>
      <c r="L192"/>
      <c r="M192"/>
      <c r="N192" s="392"/>
      <c r="O192" s="2"/>
      <c r="S192"/>
      <c r="T192"/>
      <c r="U192"/>
      <c r="W192"/>
    </row>
    <row r="193" spans="10:23" s="1" customFormat="1" x14ac:dyDescent="0.2">
      <c r="J193"/>
      <c r="K193"/>
      <c r="L193"/>
      <c r="M193"/>
      <c r="N193" s="392"/>
      <c r="O193" s="2"/>
      <c r="S193"/>
      <c r="T193"/>
      <c r="U193"/>
      <c r="W193"/>
    </row>
    <row r="194" spans="10:23" s="1" customFormat="1" x14ac:dyDescent="0.2">
      <c r="J194"/>
      <c r="K194"/>
      <c r="L194"/>
      <c r="M194"/>
      <c r="N194" s="392"/>
      <c r="O194" s="2"/>
      <c r="S194"/>
      <c r="T194"/>
      <c r="U194"/>
      <c r="W194"/>
    </row>
    <row r="195" spans="10:23" s="1" customFormat="1" x14ac:dyDescent="0.2">
      <c r="J195"/>
      <c r="K195"/>
      <c r="L195"/>
      <c r="M195"/>
      <c r="N195" s="392"/>
      <c r="O195" s="2"/>
      <c r="S195"/>
      <c r="T195"/>
      <c r="U195"/>
      <c r="W195"/>
    </row>
    <row r="196" spans="10:23" s="1" customFormat="1" x14ac:dyDescent="0.2">
      <c r="J196"/>
      <c r="K196"/>
      <c r="L196"/>
      <c r="M196"/>
      <c r="N196" s="392"/>
      <c r="O196" s="2"/>
      <c r="S196"/>
      <c r="T196"/>
      <c r="U196"/>
      <c r="W196"/>
    </row>
    <row r="197" spans="10:23" s="1" customFormat="1" x14ac:dyDescent="0.2">
      <c r="J197"/>
      <c r="K197"/>
      <c r="L197"/>
      <c r="M197"/>
      <c r="N197" s="392"/>
      <c r="O197" s="2"/>
      <c r="S197"/>
      <c r="T197"/>
      <c r="U197"/>
      <c r="W197"/>
    </row>
    <row r="198" spans="10:23" s="1" customFormat="1" x14ac:dyDescent="0.2">
      <c r="J198"/>
      <c r="K198"/>
      <c r="L198"/>
      <c r="M198"/>
      <c r="N198" s="392"/>
      <c r="O198" s="2"/>
      <c r="S198"/>
      <c r="T198"/>
      <c r="U198"/>
      <c r="W198"/>
    </row>
    <row r="199" spans="10:23" s="1" customFormat="1" x14ac:dyDescent="0.2">
      <c r="J199"/>
      <c r="K199"/>
      <c r="L199"/>
      <c r="M199"/>
      <c r="N199" s="392"/>
      <c r="O199" s="2"/>
      <c r="S199"/>
      <c r="T199"/>
      <c r="U199"/>
      <c r="W199"/>
    </row>
    <row r="200" spans="10:23" s="1" customFormat="1" x14ac:dyDescent="0.2">
      <c r="J200"/>
      <c r="K200"/>
      <c r="L200"/>
      <c r="M200"/>
      <c r="N200" s="392"/>
      <c r="O200" s="2"/>
      <c r="S200"/>
      <c r="T200"/>
      <c r="U200"/>
      <c r="W200"/>
    </row>
    <row r="201" spans="10:23" s="1" customFormat="1" x14ac:dyDescent="0.2">
      <c r="J201"/>
      <c r="K201"/>
      <c r="L201"/>
      <c r="M201"/>
      <c r="N201" s="392"/>
      <c r="O201" s="2"/>
      <c r="S201"/>
      <c r="T201"/>
      <c r="U201"/>
      <c r="W201"/>
    </row>
    <row r="202" spans="10:23" s="1" customFormat="1" x14ac:dyDescent="0.2">
      <c r="J202"/>
      <c r="K202"/>
      <c r="L202"/>
      <c r="M202"/>
      <c r="N202" s="392"/>
      <c r="O202" s="2"/>
      <c r="S202"/>
      <c r="T202"/>
      <c r="U202"/>
      <c r="W202"/>
    </row>
    <row r="203" spans="10:23" s="1" customFormat="1" x14ac:dyDescent="0.2">
      <c r="J203"/>
      <c r="K203"/>
      <c r="L203"/>
      <c r="M203"/>
      <c r="N203" s="392"/>
      <c r="O203" s="2"/>
      <c r="S203"/>
      <c r="T203"/>
      <c r="U203"/>
      <c r="W203"/>
    </row>
    <row r="204" spans="10:23" s="1" customFormat="1" x14ac:dyDescent="0.2">
      <c r="J204"/>
      <c r="K204"/>
      <c r="L204"/>
      <c r="M204"/>
      <c r="N204" s="392"/>
      <c r="O204" s="2"/>
      <c r="S204"/>
      <c r="T204"/>
      <c r="U204"/>
      <c r="W204"/>
    </row>
    <row r="205" spans="10:23" s="1" customFormat="1" x14ac:dyDescent="0.2">
      <c r="J205"/>
      <c r="K205"/>
      <c r="L205"/>
      <c r="M205"/>
      <c r="N205" s="392"/>
      <c r="O205" s="2"/>
      <c r="S205"/>
      <c r="T205"/>
      <c r="U205"/>
      <c r="W205"/>
    </row>
    <row r="206" spans="10:23" s="1" customFormat="1" x14ac:dyDescent="0.2">
      <c r="J206"/>
      <c r="K206"/>
      <c r="L206"/>
      <c r="M206"/>
      <c r="N206" s="392"/>
      <c r="O206" s="2"/>
      <c r="S206"/>
      <c r="T206"/>
      <c r="U206"/>
      <c r="W206"/>
    </row>
    <row r="207" spans="10:23" s="1" customFormat="1" x14ac:dyDescent="0.2">
      <c r="J207"/>
      <c r="K207"/>
      <c r="L207"/>
      <c r="M207"/>
      <c r="N207" s="392"/>
      <c r="O207" s="2"/>
      <c r="S207"/>
      <c r="T207"/>
      <c r="U207"/>
      <c r="W207"/>
    </row>
    <row r="208" spans="10:23" s="1" customFormat="1" x14ac:dyDescent="0.2">
      <c r="J208"/>
      <c r="K208"/>
      <c r="L208"/>
      <c r="M208"/>
      <c r="N208" s="392"/>
      <c r="O208" s="2"/>
      <c r="S208"/>
      <c r="T208"/>
      <c r="U208"/>
      <c r="W208"/>
    </row>
    <row r="209" spans="10:23" s="1" customFormat="1" x14ac:dyDescent="0.2">
      <c r="J209"/>
      <c r="K209"/>
      <c r="L209"/>
      <c r="M209"/>
      <c r="N209" s="392"/>
      <c r="O209" s="2"/>
      <c r="S209"/>
      <c r="T209"/>
      <c r="U209"/>
      <c r="W209"/>
    </row>
    <row r="210" spans="10:23" s="1" customFormat="1" x14ac:dyDescent="0.2">
      <c r="J210"/>
      <c r="K210"/>
      <c r="L210"/>
      <c r="M210"/>
      <c r="N210" s="392"/>
      <c r="O210" s="2"/>
      <c r="S210"/>
      <c r="T210"/>
      <c r="U210"/>
      <c r="W210"/>
    </row>
    <row r="211" spans="10:23" s="1" customFormat="1" x14ac:dyDescent="0.2">
      <c r="J211"/>
      <c r="K211"/>
      <c r="L211"/>
      <c r="M211"/>
      <c r="N211" s="392"/>
      <c r="O211" s="2"/>
      <c r="S211"/>
      <c r="T211"/>
      <c r="U211"/>
      <c r="W211"/>
    </row>
    <row r="212" spans="10:23" s="1" customFormat="1" x14ac:dyDescent="0.2">
      <c r="J212"/>
      <c r="K212"/>
      <c r="L212"/>
      <c r="M212"/>
      <c r="N212" s="392"/>
      <c r="O212" s="2"/>
      <c r="S212"/>
      <c r="T212"/>
      <c r="U212"/>
      <c r="W212"/>
    </row>
    <row r="213" spans="10:23" s="1" customFormat="1" x14ac:dyDescent="0.2">
      <c r="J213"/>
      <c r="K213"/>
      <c r="L213"/>
      <c r="M213"/>
      <c r="N213" s="392"/>
      <c r="O213" s="2"/>
      <c r="S213"/>
      <c r="T213"/>
      <c r="U213"/>
      <c r="W213"/>
    </row>
    <row r="214" spans="10:23" s="1" customFormat="1" x14ac:dyDescent="0.2">
      <c r="J214"/>
      <c r="K214"/>
      <c r="L214"/>
      <c r="M214"/>
      <c r="N214" s="392"/>
      <c r="O214" s="2"/>
      <c r="S214"/>
      <c r="T214"/>
      <c r="U214"/>
      <c r="W214"/>
    </row>
    <row r="215" spans="10:23" s="1" customFormat="1" x14ac:dyDescent="0.2">
      <c r="J215"/>
      <c r="K215"/>
      <c r="L215"/>
      <c r="M215"/>
      <c r="N215" s="392"/>
      <c r="O215" s="2"/>
      <c r="S215"/>
      <c r="T215"/>
      <c r="U215"/>
      <c r="W215"/>
    </row>
    <row r="216" spans="10:23" s="1" customFormat="1" x14ac:dyDescent="0.2">
      <c r="J216"/>
      <c r="K216"/>
      <c r="L216"/>
      <c r="M216"/>
      <c r="N216" s="392"/>
      <c r="O216" s="2"/>
      <c r="S216"/>
      <c r="T216"/>
      <c r="U216"/>
      <c r="W216"/>
    </row>
    <row r="217" spans="10:23" s="1" customFormat="1" x14ac:dyDescent="0.2">
      <c r="J217"/>
      <c r="K217"/>
      <c r="L217"/>
      <c r="M217"/>
      <c r="N217" s="392"/>
      <c r="O217" s="2"/>
      <c r="S217"/>
      <c r="T217"/>
      <c r="U217"/>
      <c r="W217"/>
    </row>
    <row r="218" spans="10:23" s="1" customFormat="1" x14ac:dyDescent="0.2">
      <c r="J218"/>
      <c r="K218"/>
      <c r="L218"/>
      <c r="M218"/>
      <c r="N218" s="392"/>
      <c r="O218" s="2"/>
      <c r="S218"/>
      <c r="T218"/>
      <c r="U218"/>
      <c r="W218"/>
    </row>
    <row r="219" spans="10:23" s="1" customFormat="1" x14ac:dyDescent="0.2">
      <c r="J219"/>
      <c r="K219"/>
      <c r="L219"/>
      <c r="M219"/>
      <c r="N219" s="392"/>
      <c r="O219" s="2"/>
      <c r="S219"/>
      <c r="T219"/>
      <c r="U219"/>
      <c r="W219"/>
    </row>
    <row r="220" spans="10:23" s="1" customFormat="1" x14ac:dyDescent="0.2">
      <c r="J220"/>
      <c r="K220"/>
      <c r="L220"/>
      <c r="M220"/>
      <c r="N220" s="392"/>
      <c r="O220" s="2"/>
      <c r="S220"/>
      <c r="T220"/>
      <c r="U220"/>
      <c r="W220"/>
    </row>
    <row r="221" spans="10:23" s="1" customFormat="1" x14ac:dyDescent="0.2">
      <c r="J221"/>
      <c r="K221"/>
      <c r="L221"/>
      <c r="M221"/>
      <c r="N221" s="392"/>
      <c r="O221" s="2"/>
      <c r="S221"/>
      <c r="T221"/>
      <c r="U221"/>
      <c r="W221"/>
    </row>
    <row r="222" spans="10:23" s="1" customFormat="1" x14ac:dyDescent="0.2">
      <c r="J222"/>
      <c r="K222"/>
      <c r="L222"/>
      <c r="M222"/>
      <c r="N222" s="392"/>
      <c r="O222" s="2"/>
      <c r="S222"/>
      <c r="T222"/>
      <c r="U222"/>
      <c r="W222"/>
    </row>
    <row r="223" spans="10:23" s="1" customFormat="1" x14ac:dyDescent="0.2">
      <c r="J223"/>
      <c r="K223"/>
      <c r="L223"/>
      <c r="M223"/>
      <c r="N223" s="392"/>
      <c r="O223" s="2"/>
      <c r="S223"/>
      <c r="T223"/>
      <c r="U223"/>
      <c r="W223"/>
    </row>
    <row r="224" spans="10:23" s="1" customFormat="1" x14ac:dyDescent="0.2">
      <c r="J224"/>
      <c r="K224"/>
      <c r="L224"/>
      <c r="M224"/>
      <c r="N224" s="392"/>
      <c r="O224" s="2"/>
      <c r="S224"/>
      <c r="T224"/>
      <c r="U224"/>
      <c r="W224"/>
    </row>
    <row r="225" spans="10:23" s="1" customFormat="1" x14ac:dyDescent="0.2">
      <c r="J225"/>
      <c r="K225"/>
      <c r="L225"/>
      <c r="M225"/>
      <c r="N225" s="392"/>
      <c r="O225" s="2"/>
      <c r="S225"/>
      <c r="T225"/>
      <c r="U225"/>
      <c r="W225"/>
    </row>
    <row r="226" spans="10:23" s="1" customFormat="1" x14ac:dyDescent="0.2">
      <c r="J226"/>
      <c r="K226"/>
      <c r="L226"/>
      <c r="M226"/>
      <c r="N226" s="392"/>
      <c r="O226" s="2"/>
      <c r="S226"/>
      <c r="T226"/>
      <c r="U226"/>
      <c r="W226"/>
    </row>
    <row r="227" spans="10:23" s="1" customFormat="1" x14ac:dyDescent="0.2">
      <c r="J227"/>
      <c r="K227"/>
      <c r="L227"/>
      <c r="M227"/>
      <c r="N227" s="392"/>
      <c r="O227" s="2"/>
      <c r="S227"/>
      <c r="T227"/>
      <c r="U227"/>
      <c r="W227"/>
    </row>
    <row r="228" spans="10:23" s="1" customFormat="1" x14ac:dyDescent="0.2">
      <c r="J228"/>
      <c r="K228"/>
      <c r="L228"/>
      <c r="M228"/>
      <c r="N228" s="392"/>
      <c r="O228" s="2"/>
      <c r="S228"/>
      <c r="T228"/>
      <c r="U228"/>
      <c r="W228"/>
    </row>
    <row r="229" spans="10:23" s="1" customFormat="1" x14ac:dyDescent="0.2">
      <c r="J229"/>
      <c r="K229"/>
      <c r="L229"/>
      <c r="M229"/>
      <c r="N229" s="392"/>
      <c r="O229" s="2"/>
      <c r="S229"/>
      <c r="T229"/>
      <c r="U229"/>
      <c r="W229"/>
    </row>
    <row r="230" spans="10:23" s="1" customFormat="1" x14ac:dyDescent="0.2">
      <c r="J230"/>
      <c r="K230"/>
      <c r="L230"/>
      <c r="M230"/>
      <c r="N230" s="392"/>
      <c r="O230" s="2"/>
      <c r="S230"/>
      <c r="T230"/>
      <c r="U230"/>
      <c r="W230"/>
    </row>
    <row r="231" spans="10:23" s="1" customFormat="1" x14ac:dyDescent="0.2">
      <c r="J231"/>
      <c r="K231"/>
      <c r="L231"/>
      <c r="M231"/>
      <c r="N231" s="392"/>
      <c r="O231" s="2"/>
      <c r="S231"/>
      <c r="T231"/>
      <c r="U231"/>
      <c r="W231"/>
    </row>
    <row r="232" spans="10:23" s="1" customFormat="1" x14ac:dyDescent="0.2">
      <c r="J232"/>
      <c r="K232"/>
      <c r="L232"/>
      <c r="M232"/>
      <c r="N232" s="392"/>
      <c r="O232" s="2"/>
      <c r="S232"/>
      <c r="T232"/>
      <c r="U232"/>
      <c r="W232"/>
    </row>
    <row r="233" spans="10:23" s="1" customFormat="1" x14ac:dyDescent="0.2">
      <c r="J233"/>
      <c r="K233"/>
      <c r="L233"/>
      <c r="M233"/>
      <c r="N233" s="392"/>
      <c r="O233" s="2"/>
      <c r="S233"/>
      <c r="T233"/>
      <c r="U233"/>
      <c r="W233"/>
    </row>
    <row r="234" spans="10:23" s="1" customFormat="1" x14ac:dyDescent="0.2">
      <c r="J234"/>
      <c r="K234"/>
      <c r="L234"/>
      <c r="M234"/>
      <c r="N234" s="392"/>
      <c r="O234" s="2"/>
      <c r="S234"/>
      <c r="T234"/>
      <c r="U234"/>
      <c r="W234"/>
    </row>
    <row r="235" spans="10:23" s="1" customFormat="1" x14ac:dyDescent="0.2">
      <c r="J235"/>
      <c r="K235"/>
      <c r="L235"/>
      <c r="M235"/>
      <c r="N235" s="392"/>
      <c r="O235" s="2"/>
      <c r="S235"/>
      <c r="T235"/>
      <c r="U235"/>
      <c r="W235"/>
    </row>
    <row r="236" spans="10:23" s="1" customFormat="1" x14ac:dyDescent="0.2">
      <c r="J236"/>
      <c r="K236"/>
      <c r="L236"/>
      <c r="M236"/>
      <c r="N236" s="392"/>
      <c r="O236" s="2"/>
      <c r="S236"/>
      <c r="T236"/>
      <c r="U236"/>
      <c r="W236"/>
    </row>
    <row r="237" spans="10:23" s="1" customFormat="1" x14ac:dyDescent="0.2">
      <c r="J237"/>
      <c r="K237"/>
      <c r="L237"/>
      <c r="M237"/>
      <c r="N237" s="392"/>
      <c r="O237" s="2"/>
      <c r="S237"/>
      <c r="T237"/>
      <c r="U237"/>
      <c r="W237"/>
    </row>
    <row r="238" spans="10:23" s="1" customFormat="1" x14ac:dyDescent="0.2">
      <c r="J238"/>
      <c r="K238"/>
      <c r="L238"/>
      <c r="M238"/>
      <c r="N238" s="392"/>
      <c r="O238" s="2"/>
      <c r="S238"/>
      <c r="T238"/>
      <c r="U238"/>
      <c r="W238"/>
    </row>
    <row r="239" spans="10:23" s="1" customFormat="1" x14ac:dyDescent="0.2">
      <c r="J239"/>
      <c r="K239"/>
      <c r="L239"/>
      <c r="M239"/>
      <c r="N239" s="392"/>
      <c r="O239" s="2"/>
      <c r="S239"/>
      <c r="T239"/>
      <c r="U239"/>
      <c r="W239"/>
    </row>
    <row r="240" spans="10:23" s="1" customFormat="1" x14ac:dyDescent="0.2">
      <c r="J240"/>
      <c r="K240"/>
      <c r="L240"/>
      <c r="M240"/>
      <c r="N240" s="392"/>
      <c r="O240" s="2"/>
      <c r="S240"/>
      <c r="T240"/>
      <c r="U240"/>
      <c r="W240"/>
    </row>
    <row r="241" spans="10:23" s="1" customFormat="1" x14ac:dyDescent="0.2">
      <c r="J241"/>
      <c r="K241"/>
      <c r="L241"/>
      <c r="M241"/>
      <c r="N241" s="392"/>
      <c r="O241" s="2"/>
      <c r="S241"/>
      <c r="T241"/>
      <c r="U241"/>
      <c r="W241"/>
    </row>
    <row r="242" spans="10:23" s="1" customFormat="1" x14ac:dyDescent="0.2">
      <c r="J242"/>
      <c r="K242"/>
      <c r="L242"/>
      <c r="M242"/>
      <c r="N242" s="392"/>
      <c r="O242" s="2"/>
      <c r="S242"/>
      <c r="T242"/>
      <c r="U242"/>
      <c r="W242"/>
    </row>
    <row r="243" spans="10:23" s="1" customFormat="1" x14ac:dyDescent="0.2">
      <c r="J243"/>
      <c r="K243"/>
      <c r="L243"/>
      <c r="M243"/>
      <c r="N243" s="392"/>
      <c r="O243" s="2"/>
      <c r="S243"/>
      <c r="T243"/>
      <c r="U243"/>
      <c r="W243"/>
    </row>
    <row r="244" spans="10:23" s="1" customFormat="1" x14ac:dyDescent="0.2">
      <c r="J244"/>
      <c r="K244"/>
      <c r="L244"/>
      <c r="M244"/>
      <c r="N244" s="392"/>
      <c r="O244" s="2"/>
      <c r="S244"/>
      <c r="T244"/>
      <c r="U244"/>
      <c r="W244"/>
    </row>
    <row r="245" spans="10:23" s="1" customFormat="1" x14ac:dyDescent="0.2">
      <c r="J245"/>
      <c r="K245"/>
      <c r="L245"/>
      <c r="M245"/>
      <c r="N245" s="392"/>
      <c r="O245" s="2"/>
      <c r="S245"/>
      <c r="T245"/>
      <c r="U245"/>
      <c r="W245"/>
    </row>
    <row r="246" spans="10:23" s="1" customFormat="1" x14ac:dyDescent="0.2">
      <c r="J246"/>
      <c r="K246"/>
      <c r="L246"/>
      <c r="M246"/>
      <c r="N246" s="392"/>
      <c r="O246" s="2"/>
      <c r="S246"/>
      <c r="T246"/>
      <c r="U246"/>
      <c r="W246"/>
    </row>
    <row r="247" spans="10:23" s="1" customFormat="1" x14ac:dyDescent="0.2">
      <c r="J247"/>
      <c r="K247"/>
      <c r="L247"/>
      <c r="M247"/>
      <c r="N247" s="392"/>
      <c r="O247" s="2"/>
      <c r="S247"/>
      <c r="T247"/>
      <c r="U247"/>
      <c r="W247"/>
    </row>
    <row r="248" spans="10:23" s="1" customFormat="1" x14ac:dyDescent="0.2">
      <c r="J248"/>
      <c r="K248"/>
      <c r="L248"/>
      <c r="M248"/>
      <c r="N248" s="392"/>
      <c r="O248" s="2"/>
      <c r="S248"/>
      <c r="T248"/>
      <c r="U248"/>
      <c r="W248"/>
    </row>
    <row r="249" spans="10:23" s="1" customFormat="1" x14ac:dyDescent="0.2">
      <c r="J249"/>
      <c r="K249"/>
      <c r="L249"/>
      <c r="M249"/>
      <c r="N249" s="392"/>
      <c r="O249" s="2"/>
      <c r="S249"/>
      <c r="T249"/>
      <c r="U249"/>
      <c r="W249"/>
    </row>
    <row r="250" spans="10:23" s="1" customFormat="1" x14ac:dyDescent="0.2">
      <c r="J250"/>
      <c r="K250"/>
      <c r="L250"/>
      <c r="M250"/>
      <c r="N250" s="392"/>
      <c r="O250" s="2"/>
      <c r="S250"/>
      <c r="T250"/>
      <c r="U250"/>
      <c r="W250"/>
    </row>
    <row r="251" spans="10:23" s="1" customFormat="1" x14ac:dyDescent="0.2">
      <c r="J251"/>
      <c r="K251"/>
      <c r="L251"/>
      <c r="M251"/>
      <c r="N251" s="392"/>
      <c r="O251" s="2"/>
      <c r="S251"/>
      <c r="T251"/>
      <c r="U251"/>
      <c r="W251"/>
    </row>
    <row r="252" spans="10:23" s="1" customFormat="1" x14ac:dyDescent="0.2">
      <c r="J252"/>
      <c r="K252"/>
      <c r="L252"/>
      <c r="M252"/>
      <c r="N252" s="392"/>
      <c r="O252" s="2"/>
      <c r="S252"/>
      <c r="T252"/>
      <c r="U252"/>
      <c r="W252"/>
    </row>
    <row r="253" spans="10:23" s="1" customFormat="1" x14ac:dyDescent="0.2">
      <c r="J253"/>
      <c r="K253"/>
      <c r="L253"/>
      <c r="M253"/>
      <c r="N253" s="392"/>
      <c r="O253" s="2"/>
      <c r="S253"/>
      <c r="T253"/>
      <c r="U253"/>
      <c r="W253"/>
    </row>
    <row r="254" spans="10:23" s="1" customFormat="1" x14ac:dyDescent="0.2">
      <c r="J254"/>
      <c r="K254"/>
      <c r="L254"/>
      <c r="M254"/>
      <c r="N254" s="392"/>
      <c r="O254" s="2"/>
      <c r="S254"/>
      <c r="T254"/>
      <c r="U254"/>
      <c r="W254"/>
    </row>
    <row r="255" spans="10:23" s="1" customFormat="1" x14ac:dyDescent="0.2">
      <c r="J255"/>
      <c r="K255"/>
      <c r="L255"/>
      <c r="M255"/>
      <c r="N255" s="392"/>
      <c r="O255" s="2"/>
      <c r="S255"/>
      <c r="T255"/>
      <c r="U255"/>
      <c r="W255"/>
    </row>
    <row r="256" spans="10:23" s="1" customFormat="1" x14ac:dyDescent="0.2">
      <c r="J256"/>
      <c r="K256"/>
      <c r="L256"/>
      <c r="M256"/>
      <c r="N256" s="392"/>
      <c r="O256" s="2"/>
      <c r="S256"/>
      <c r="T256"/>
      <c r="U256"/>
      <c r="W256"/>
    </row>
    <row r="257" spans="10:23" s="1" customFormat="1" x14ac:dyDescent="0.2">
      <c r="J257"/>
      <c r="K257"/>
      <c r="L257"/>
      <c r="M257"/>
      <c r="N257" s="392"/>
      <c r="O257" s="2"/>
      <c r="S257"/>
      <c r="T257"/>
      <c r="U257"/>
      <c r="W257"/>
    </row>
    <row r="258" spans="10:23" s="1" customFormat="1" x14ac:dyDescent="0.2">
      <c r="J258"/>
      <c r="K258"/>
      <c r="L258"/>
      <c r="M258"/>
      <c r="N258" s="392"/>
      <c r="O258" s="2"/>
      <c r="S258"/>
      <c r="T258"/>
      <c r="U258"/>
      <c r="W258"/>
    </row>
    <row r="259" spans="10:23" s="1" customFormat="1" x14ac:dyDescent="0.2">
      <c r="J259"/>
      <c r="K259"/>
      <c r="L259"/>
      <c r="M259"/>
      <c r="N259" s="392"/>
      <c r="O259" s="2"/>
      <c r="S259"/>
      <c r="T259"/>
      <c r="U259"/>
      <c r="W259"/>
    </row>
    <row r="260" spans="10:23" s="1" customFormat="1" x14ac:dyDescent="0.2">
      <c r="J260"/>
      <c r="K260"/>
      <c r="L260"/>
      <c r="M260"/>
      <c r="N260" s="392"/>
      <c r="O260" s="2"/>
      <c r="S260"/>
      <c r="T260"/>
      <c r="U260"/>
      <c r="W260"/>
    </row>
    <row r="261" spans="10:23" s="1" customFormat="1" x14ac:dyDescent="0.2">
      <c r="J261"/>
      <c r="K261"/>
      <c r="L261"/>
      <c r="M261"/>
      <c r="N261" s="392"/>
      <c r="O261" s="2"/>
      <c r="S261"/>
      <c r="T261"/>
      <c r="U261"/>
      <c r="W261"/>
    </row>
    <row r="262" spans="10:23" s="1" customFormat="1" x14ac:dyDescent="0.2">
      <c r="J262"/>
      <c r="K262"/>
      <c r="L262"/>
      <c r="M262"/>
      <c r="N262" s="392"/>
      <c r="O262" s="2"/>
      <c r="S262"/>
      <c r="T262"/>
      <c r="U262"/>
      <c r="W262"/>
    </row>
    <row r="263" spans="10:23" s="1" customFormat="1" x14ac:dyDescent="0.2">
      <c r="J263"/>
      <c r="K263"/>
      <c r="L263"/>
      <c r="M263"/>
      <c r="N263" s="392"/>
      <c r="O263" s="2"/>
      <c r="S263"/>
      <c r="T263"/>
      <c r="U263"/>
      <c r="W263"/>
    </row>
    <row r="264" spans="10:23" s="1" customFormat="1" x14ac:dyDescent="0.2">
      <c r="J264"/>
      <c r="K264"/>
      <c r="L264"/>
      <c r="M264"/>
      <c r="N264" s="392"/>
      <c r="O264" s="2"/>
      <c r="S264"/>
      <c r="T264"/>
      <c r="U264"/>
      <c r="W264"/>
    </row>
    <row r="265" spans="10:23" s="1" customFormat="1" x14ac:dyDescent="0.2">
      <c r="J265"/>
      <c r="K265"/>
      <c r="L265"/>
      <c r="M265"/>
      <c r="N265" s="392"/>
      <c r="O265" s="2"/>
      <c r="S265"/>
      <c r="T265"/>
      <c r="U265"/>
      <c r="W265"/>
    </row>
    <row r="266" spans="10:23" s="1" customFormat="1" x14ac:dyDescent="0.2">
      <c r="J266"/>
      <c r="K266"/>
      <c r="L266"/>
      <c r="M266"/>
      <c r="N266" s="392"/>
      <c r="O266" s="2"/>
      <c r="S266"/>
      <c r="T266"/>
      <c r="U266"/>
      <c r="W266"/>
    </row>
    <row r="267" spans="10:23" s="1" customFormat="1" x14ac:dyDescent="0.2">
      <c r="J267"/>
      <c r="K267"/>
      <c r="L267"/>
      <c r="M267"/>
      <c r="N267" s="392"/>
      <c r="O267" s="2"/>
      <c r="S267"/>
      <c r="T267"/>
      <c r="U267"/>
      <c r="W267"/>
    </row>
    <row r="268" spans="10:23" s="1" customFormat="1" x14ac:dyDescent="0.2">
      <c r="J268"/>
      <c r="K268"/>
      <c r="L268"/>
      <c r="M268"/>
      <c r="N268" s="392"/>
      <c r="O268" s="2"/>
      <c r="S268"/>
      <c r="T268"/>
      <c r="U268"/>
      <c r="W268"/>
    </row>
    <row r="269" spans="10:23" s="1" customFormat="1" x14ac:dyDescent="0.2">
      <c r="J269"/>
      <c r="K269"/>
      <c r="L269"/>
      <c r="M269"/>
      <c r="N269" s="392"/>
      <c r="O269" s="2"/>
      <c r="S269"/>
      <c r="T269"/>
      <c r="U269"/>
      <c r="W269"/>
    </row>
    <row r="270" spans="10:23" s="1" customFormat="1" x14ac:dyDescent="0.2">
      <c r="J270"/>
      <c r="K270"/>
      <c r="L270"/>
      <c r="M270"/>
      <c r="N270" s="392"/>
      <c r="O270" s="2"/>
      <c r="S270"/>
      <c r="T270"/>
      <c r="U270"/>
      <c r="W270"/>
    </row>
    <row r="271" spans="10:23" s="1" customFormat="1" x14ac:dyDescent="0.2">
      <c r="J271"/>
      <c r="K271"/>
      <c r="L271"/>
      <c r="M271"/>
      <c r="N271" s="392"/>
      <c r="O271" s="2"/>
      <c r="S271"/>
      <c r="T271"/>
      <c r="U271"/>
      <c r="W271"/>
    </row>
    <row r="272" spans="10:23" s="1" customFormat="1" x14ac:dyDescent="0.2">
      <c r="J272"/>
      <c r="K272"/>
      <c r="L272"/>
      <c r="M272"/>
      <c r="N272" s="392"/>
      <c r="O272" s="2"/>
      <c r="S272"/>
      <c r="T272"/>
      <c r="U272"/>
      <c r="W272"/>
    </row>
    <row r="273" spans="10:23" s="1" customFormat="1" x14ac:dyDescent="0.2">
      <c r="J273"/>
      <c r="K273"/>
      <c r="L273"/>
      <c r="M273"/>
      <c r="N273" s="392"/>
      <c r="O273" s="2"/>
      <c r="S273"/>
      <c r="T273"/>
      <c r="U273"/>
      <c r="W273"/>
    </row>
    <row r="274" spans="10:23" s="1" customFormat="1" x14ac:dyDescent="0.2">
      <c r="J274"/>
      <c r="K274"/>
      <c r="L274"/>
      <c r="M274"/>
      <c r="N274" s="392"/>
      <c r="O274" s="2"/>
      <c r="S274"/>
      <c r="T274"/>
      <c r="U274"/>
      <c r="W274"/>
    </row>
    <row r="275" spans="10:23" s="1" customFormat="1" x14ac:dyDescent="0.2">
      <c r="J275"/>
      <c r="K275"/>
      <c r="L275"/>
      <c r="M275"/>
      <c r="N275" s="392"/>
      <c r="O275" s="2"/>
      <c r="S275"/>
      <c r="T275"/>
      <c r="U275"/>
      <c r="W275"/>
    </row>
    <row r="276" spans="10:23" s="1" customFormat="1" x14ac:dyDescent="0.2">
      <c r="J276"/>
      <c r="K276"/>
      <c r="L276"/>
      <c r="M276"/>
      <c r="N276" s="392"/>
      <c r="O276" s="2"/>
      <c r="S276"/>
      <c r="T276"/>
      <c r="U276"/>
      <c r="W276"/>
    </row>
    <row r="277" spans="10:23" s="1" customFormat="1" x14ac:dyDescent="0.2">
      <c r="J277"/>
      <c r="K277"/>
      <c r="L277"/>
      <c r="M277"/>
      <c r="N277" s="392"/>
      <c r="O277" s="2"/>
      <c r="S277"/>
      <c r="T277"/>
      <c r="U277"/>
      <c r="W277"/>
    </row>
    <row r="278" spans="10:23" s="1" customFormat="1" x14ac:dyDescent="0.2">
      <c r="J278"/>
      <c r="K278"/>
      <c r="L278"/>
      <c r="M278"/>
      <c r="N278" s="392"/>
      <c r="O278" s="2"/>
      <c r="S278"/>
      <c r="T278"/>
      <c r="U278"/>
      <c r="W278"/>
    </row>
    <row r="279" spans="10:23" s="1" customFormat="1" x14ac:dyDescent="0.2">
      <c r="J279"/>
      <c r="K279"/>
      <c r="L279"/>
      <c r="M279"/>
      <c r="N279" s="392"/>
      <c r="O279" s="2"/>
      <c r="S279"/>
      <c r="T279"/>
      <c r="U279"/>
      <c r="W279"/>
    </row>
    <row r="280" spans="10:23" s="1" customFormat="1" x14ac:dyDescent="0.2">
      <c r="J280"/>
      <c r="K280"/>
      <c r="L280"/>
      <c r="M280"/>
      <c r="N280" s="392"/>
      <c r="O280" s="2"/>
      <c r="S280"/>
      <c r="T280"/>
      <c r="U280"/>
      <c r="W280"/>
    </row>
    <row r="281" spans="10:23" s="1" customFormat="1" x14ac:dyDescent="0.2">
      <c r="J281"/>
      <c r="K281"/>
      <c r="L281"/>
      <c r="M281"/>
      <c r="N281" s="392"/>
      <c r="O281" s="2"/>
      <c r="S281"/>
      <c r="T281"/>
      <c r="U281"/>
      <c r="W281"/>
    </row>
    <row r="282" spans="10:23" s="1" customFormat="1" x14ac:dyDescent="0.2">
      <c r="J282"/>
      <c r="K282"/>
      <c r="L282"/>
      <c r="M282"/>
      <c r="N282" s="392"/>
      <c r="O282" s="2"/>
      <c r="S282"/>
      <c r="T282"/>
      <c r="U282"/>
      <c r="W282"/>
    </row>
    <row r="283" spans="10:23" s="1" customFormat="1" x14ac:dyDescent="0.2">
      <c r="J283"/>
      <c r="K283"/>
      <c r="L283"/>
      <c r="M283"/>
      <c r="N283" s="392"/>
      <c r="O283" s="2"/>
      <c r="S283"/>
      <c r="T283"/>
      <c r="U283"/>
      <c r="W283"/>
    </row>
    <row r="284" spans="10:23" s="1" customFormat="1" x14ac:dyDescent="0.2">
      <c r="J284"/>
      <c r="K284"/>
      <c r="L284"/>
      <c r="M284"/>
      <c r="N284" s="392"/>
      <c r="O284" s="2"/>
      <c r="S284"/>
      <c r="T284"/>
      <c r="U284"/>
      <c r="W284"/>
    </row>
    <row r="285" spans="10:23" s="1" customFormat="1" x14ac:dyDescent="0.2">
      <c r="J285"/>
      <c r="K285"/>
      <c r="L285"/>
      <c r="M285"/>
      <c r="N285" s="392"/>
      <c r="O285" s="2"/>
      <c r="S285"/>
      <c r="T285"/>
      <c r="U285"/>
      <c r="W285"/>
    </row>
    <row r="286" spans="10:23" s="1" customFormat="1" x14ac:dyDescent="0.2">
      <c r="J286"/>
      <c r="K286"/>
      <c r="L286"/>
      <c r="M286"/>
      <c r="N286" s="392"/>
      <c r="O286" s="2"/>
      <c r="S286"/>
      <c r="T286"/>
      <c r="U286"/>
      <c r="W286"/>
    </row>
    <row r="287" spans="10:23" s="1" customFormat="1" x14ac:dyDescent="0.2">
      <c r="J287"/>
      <c r="K287"/>
      <c r="L287"/>
      <c r="M287"/>
      <c r="N287" s="392"/>
      <c r="O287" s="2"/>
      <c r="S287"/>
      <c r="T287"/>
      <c r="U287"/>
      <c r="W287"/>
    </row>
    <row r="288" spans="10:23" s="1" customFormat="1" x14ac:dyDescent="0.2">
      <c r="J288"/>
      <c r="K288"/>
      <c r="L288"/>
      <c r="M288"/>
      <c r="N288" s="392"/>
      <c r="O288" s="2"/>
      <c r="S288"/>
      <c r="T288"/>
      <c r="U288"/>
      <c r="W288"/>
    </row>
    <row r="289" spans="10:23" s="1" customFormat="1" x14ac:dyDescent="0.2">
      <c r="J289"/>
      <c r="K289"/>
      <c r="L289"/>
      <c r="M289"/>
      <c r="N289" s="392"/>
      <c r="O289" s="2"/>
      <c r="S289"/>
      <c r="T289"/>
      <c r="U289"/>
      <c r="W289"/>
    </row>
    <row r="290" spans="10:23" s="1" customFormat="1" x14ac:dyDescent="0.2">
      <c r="J290"/>
      <c r="K290"/>
      <c r="L290"/>
      <c r="M290"/>
      <c r="N290" s="392"/>
      <c r="O290" s="2"/>
      <c r="S290"/>
      <c r="T290"/>
      <c r="U290"/>
      <c r="W290"/>
    </row>
    <row r="291" spans="10:23" s="1" customFormat="1" x14ac:dyDescent="0.2">
      <c r="J291"/>
      <c r="K291"/>
      <c r="L291"/>
      <c r="M291"/>
      <c r="N291" s="392"/>
      <c r="O291" s="2"/>
      <c r="S291"/>
      <c r="T291"/>
      <c r="U291"/>
      <c r="W291"/>
    </row>
    <row r="292" spans="10:23" s="1" customFormat="1" x14ac:dyDescent="0.2">
      <c r="J292"/>
      <c r="K292"/>
      <c r="L292"/>
      <c r="M292"/>
      <c r="N292" s="392"/>
      <c r="O292" s="2"/>
      <c r="S292"/>
      <c r="T292"/>
      <c r="U292"/>
      <c r="W292"/>
    </row>
    <row r="293" spans="10:23" s="1" customFormat="1" x14ac:dyDescent="0.2">
      <c r="J293"/>
      <c r="K293"/>
      <c r="L293"/>
      <c r="M293"/>
      <c r="N293" s="392"/>
      <c r="O293" s="2"/>
      <c r="S293"/>
      <c r="T293"/>
      <c r="U293"/>
      <c r="W293"/>
    </row>
    <row r="294" spans="10:23" s="1" customFormat="1" x14ac:dyDescent="0.2">
      <c r="J294"/>
      <c r="K294"/>
      <c r="L294"/>
      <c r="M294"/>
      <c r="N294" s="392"/>
      <c r="O294" s="2"/>
      <c r="S294"/>
      <c r="T294"/>
      <c r="U294"/>
      <c r="W294"/>
    </row>
    <row r="295" spans="10:23" s="1" customFormat="1" x14ac:dyDescent="0.2">
      <c r="J295"/>
      <c r="K295"/>
      <c r="L295"/>
      <c r="M295"/>
      <c r="N295" s="392"/>
      <c r="O295" s="2"/>
      <c r="S295"/>
      <c r="T295"/>
      <c r="U295"/>
      <c r="W295"/>
    </row>
    <row r="296" spans="10:23" s="1" customFormat="1" x14ac:dyDescent="0.2">
      <c r="J296"/>
      <c r="K296"/>
      <c r="L296"/>
      <c r="M296"/>
      <c r="N296" s="392"/>
      <c r="O296" s="2"/>
      <c r="S296"/>
      <c r="T296"/>
      <c r="U296"/>
      <c r="W296"/>
    </row>
    <row r="297" spans="10:23" s="1" customFormat="1" x14ac:dyDescent="0.2">
      <c r="J297"/>
      <c r="K297"/>
      <c r="L297"/>
      <c r="M297"/>
      <c r="N297" s="392"/>
      <c r="O297" s="2"/>
      <c r="S297"/>
      <c r="T297"/>
      <c r="U297"/>
      <c r="W297"/>
    </row>
    <row r="298" spans="10:23" s="1" customFormat="1" x14ac:dyDescent="0.2">
      <c r="J298"/>
      <c r="K298"/>
      <c r="L298"/>
      <c r="M298"/>
      <c r="N298" s="392"/>
      <c r="O298" s="2"/>
      <c r="S298"/>
      <c r="T298"/>
      <c r="U298"/>
      <c r="W298"/>
    </row>
    <row r="299" spans="10:23" s="1" customFormat="1" x14ac:dyDescent="0.2">
      <c r="J299"/>
      <c r="K299"/>
      <c r="L299"/>
      <c r="M299"/>
      <c r="N299" s="392"/>
      <c r="O299" s="2"/>
      <c r="S299"/>
      <c r="T299"/>
      <c r="U299"/>
      <c r="W299"/>
    </row>
    <row r="300" spans="10:23" s="1" customFormat="1" x14ac:dyDescent="0.2">
      <c r="J300"/>
      <c r="K300"/>
      <c r="L300"/>
      <c r="M300"/>
      <c r="N300" s="392"/>
      <c r="O300" s="2"/>
      <c r="S300"/>
      <c r="T300"/>
      <c r="U300"/>
      <c r="W300"/>
    </row>
    <row r="301" spans="10:23" s="1" customFormat="1" x14ac:dyDescent="0.2">
      <c r="J301"/>
      <c r="K301"/>
      <c r="L301"/>
      <c r="M301"/>
      <c r="N301" s="392"/>
      <c r="O301" s="2"/>
      <c r="S301"/>
      <c r="T301"/>
      <c r="U301"/>
      <c r="W301"/>
    </row>
    <row r="302" spans="10:23" s="1" customFormat="1" x14ac:dyDescent="0.2">
      <c r="J302"/>
      <c r="K302"/>
      <c r="L302"/>
      <c r="M302"/>
      <c r="N302" s="392"/>
      <c r="O302" s="2"/>
      <c r="S302"/>
      <c r="T302"/>
      <c r="U302"/>
      <c r="W302"/>
    </row>
    <row r="303" spans="10:23" s="1" customFormat="1" x14ac:dyDescent="0.2">
      <c r="J303"/>
      <c r="K303"/>
      <c r="L303"/>
      <c r="M303"/>
      <c r="N303" s="392"/>
      <c r="O303" s="2"/>
      <c r="S303"/>
      <c r="T303"/>
      <c r="U303"/>
      <c r="W303"/>
    </row>
    <row r="304" spans="10:23" s="1" customFormat="1" x14ac:dyDescent="0.2">
      <c r="J304"/>
      <c r="K304"/>
      <c r="L304"/>
      <c r="M304"/>
      <c r="N304" s="392"/>
      <c r="O304" s="2"/>
      <c r="S304"/>
      <c r="T304"/>
      <c r="U304"/>
      <c r="W304"/>
    </row>
    <row r="305" spans="10:23" s="1" customFormat="1" x14ac:dyDescent="0.2">
      <c r="J305"/>
      <c r="K305"/>
      <c r="L305"/>
      <c r="M305"/>
      <c r="N305" s="392"/>
      <c r="O305" s="2"/>
      <c r="S305"/>
      <c r="T305"/>
      <c r="U305"/>
      <c r="W305"/>
    </row>
    <row r="306" spans="10:23" s="1" customFormat="1" x14ac:dyDescent="0.2">
      <c r="J306"/>
      <c r="K306"/>
      <c r="L306"/>
      <c r="M306"/>
      <c r="N306" s="392"/>
      <c r="O306" s="2"/>
      <c r="S306"/>
      <c r="T306"/>
      <c r="U306"/>
      <c r="W306"/>
    </row>
    <row r="307" spans="10:23" s="1" customFormat="1" x14ac:dyDescent="0.2">
      <c r="J307"/>
      <c r="K307"/>
      <c r="L307"/>
      <c r="M307"/>
      <c r="N307" s="392"/>
      <c r="O307" s="2"/>
      <c r="S307"/>
      <c r="T307"/>
      <c r="U307"/>
      <c r="W307"/>
    </row>
    <row r="308" spans="10:23" s="1" customFormat="1" x14ac:dyDescent="0.2">
      <c r="J308"/>
      <c r="K308"/>
      <c r="L308"/>
      <c r="M308"/>
      <c r="N308" s="392"/>
      <c r="O308" s="2"/>
      <c r="S308"/>
      <c r="T308"/>
      <c r="U308"/>
      <c r="W308"/>
    </row>
    <row r="309" spans="10:23" s="1" customFormat="1" x14ac:dyDescent="0.2">
      <c r="J309"/>
      <c r="K309"/>
      <c r="L309"/>
      <c r="M309"/>
      <c r="N309" s="392"/>
      <c r="O309" s="2"/>
      <c r="S309"/>
      <c r="T309"/>
      <c r="U309"/>
      <c r="W309"/>
    </row>
    <row r="310" spans="10:23" s="1" customFormat="1" x14ac:dyDescent="0.2">
      <c r="J310"/>
      <c r="K310"/>
      <c r="L310"/>
      <c r="M310"/>
      <c r="N310" s="392"/>
      <c r="O310" s="2"/>
      <c r="S310"/>
      <c r="T310"/>
      <c r="U310"/>
      <c r="W310"/>
    </row>
    <row r="311" spans="10:23" s="1" customFormat="1" x14ac:dyDescent="0.2">
      <c r="J311"/>
      <c r="K311"/>
      <c r="L311"/>
      <c r="M311"/>
      <c r="N311" s="392"/>
      <c r="O311" s="2"/>
      <c r="S311"/>
      <c r="T311"/>
      <c r="U311"/>
      <c r="W311"/>
    </row>
    <row r="312" spans="10:23" s="1" customFormat="1" x14ac:dyDescent="0.2">
      <c r="J312"/>
      <c r="K312"/>
      <c r="L312"/>
      <c r="M312"/>
      <c r="N312" s="392"/>
      <c r="O312" s="2"/>
      <c r="S312"/>
      <c r="T312"/>
      <c r="U312"/>
      <c r="W312"/>
    </row>
    <row r="313" spans="10:23" s="1" customFormat="1" x14ac:dyDescent="0.2">
      <c r="J313"/>
      <c r="K313"/>
      <c r="L313"/>
      <c r="M313"/>
      <c r="N313" s="392"/>
      <c r="O313" s="2"/>
      <c r="S313"/>
      <c r="T313"/>
      <c r="U313"/>
      <c r="W313"/>
    </row>
    <row r="314" spans="10:23" s="1" customFormat="1" x14ac:dyDescent="0.2">
      <c r="J314"/>
      <c r="K314"/>
      <c r="L314"/>
      <c r="M314"/>
      <c r="N314" s="392"/>
      <c r="O314" s="2"/>
      <c r="S314"/>
      <c r="T314"/>
      <c r="U314"/>
      <c r="W314"/>
    </row>
    <row r="315" spans="10:23" s="1" customFormat="1" x14ac:dyDescent="0.2">
      <c r="J315"/>
      <c r="K315"/>
      <c r="L315"/>
      <c r="M315"/>
      <c r="N315" s="392"/>
      <c r="O315" s="2"/>
      <c r="S315"/>
      <c r="T315"/>
      <c r="U315"/>
      <c r="W315"/>
    </row>
    <row r="316" spans="10:23" s="1" customFormat="1" x14ac:dyDescent="0.2">
      <c r="J316"/>
      <c r="K316"/>
      <c r="L316"/>
      <c r="M316"/>
      <c r="N316" s="392"/>
      <c r="O316" s="2"/>
      <c r="S316"/>
      <c r="T316"/>
      <c r="U316"/>
      <c r="W316"/>
    </row>
    <row r="317" spans="10:23" s="1" customFormat="1" x14ac:dyDescent="0.2">
      <c r="J317"/>
      <c r="K317"/>
      <c r="L317"/>
      <c r="M317"/>
      <c r="N317" s="392"/>
      <c r="O317" s="2"/>
      <c r="S317"/>
      <c r="T317"/>
      <c r="U317"/>
      <c r="W317"/>
    </row>
    <row r="318" spans="10:23" s="1" customFormat="1" x14ac:dyDescent="0.2">
      <c r="J318"/>
      <c r="K318"/>
      <c r="L318"/>
      <c r="M318"/>
      <c r="N318" s="392"/>
      <c r="O318" s="2"/>
      <c r="S318"/>
      <c r="T318"/>
      <c r="U318"/>
      <c r="W318"/>
    </row>
    <row r="319" spans="10:23" s="1" customFormat="1" x14ac:dyDescent="0.2">
      <c r="J319"/>
      <c r="K319"/>
      <c r="L319"/>
      <c r="M319"/>
      <c r="N319" s="392"/>
      <c r="O319" s="2"/>
      <c r="S319"/>
      <c r="T319"/>
      <c r="U319"/>
      <c r="W319"/>
    </row>
    <row r="320" spans="10:23" s="1" customFormat="1" x14ac:dyDescent="0.2">
      <c r="J320"/>
      <c r="K320"/>
      <c r="L320"/>
      <c r="M320"/>
      <c r="N320" s="392"/>
      <c r="O320" s="2"/>
      <c r="S320"/>
      <c r="T320"/>
      <c r="U320"/>
      <c r="W320"/>
    </row>
    <row r="321" spans="10:23" s="1" customFormat="1" x14ac:dyDescent="0.2">
      <c r="J321"/>
      <c r="K321"/>
      <c r="L321"/>
      <c r="M321"/>
      <c r="N321" s="392"/>
      <c r="O321" s="2"/>
      <c r="S321"/>
      <c r="T321"/>
      <c r="U321"/>
      <c r="W321"/>
    </row>
    <row r="322" spans="10:23" s="1" customFormat="1" x14ac:dyDescent="0.2">
      <c r="J322"/>
      <c r="K322"/>
      <c r="L322"/>
      <c r="M322"/>
      <c r="N322" s="392"/>
      <c r="O322" s="2"/>
      <c r="S322"/>
      <c r="T322"/>
      <c r="U322"/>
      <c r="W322"/>
    </row>
    <row r="323" spans="10:23" s="1" customFormat="1" x14ac:dyDescent="0.2">
      <c r="J323"/>
      <c r="K323"/>
      <c r="L323"/>
      <c r="M323"/>
      <c r="N323" s="392"/>
      <c r="O323" s="2"/>
      <c r="S323"/>
      <c r="T323"/>
      <c r="U323"/>
      <c r="W323"/>
    </row>
    <row r="324" spans="10:23" s="1" customFormat="1" x14ac:dyDescent="0.2">
      <c r="J324"/>
      <c r="K324"/>
      <c r="L324"/>
      <c r="M324"/>
      <c r="N324" s="392"/>
      <c r="O324" s="2"/>
      <c r="S324"/>
      <c r="T324"/>
      <c r="U324"/>
      <c r="W324"/>
    </row>
    <row r="325" spans="10:23" s="1" customFormat="1" x14ac:dyDescent="0.2">
      <c r="J325"/>
      <c r="K325"/>
      <c r="L325"/>
      <c r="M325"/>
      <c r="N325" s="392"/>
      <c r="O325" s="2"/>
      <c r="S325"/>
      <c r="T325"/>
      <c r="U325"/>
      <c r="W325"/>
    </row>
    <row r="326" spans="10:23" s="1" customFormat="1" x14ac:dyDescent="0.2">
      <c r="J326"/>
      <c r="K326"/>
      <c r="L326"/>
      <c r="M326"/>
      <c r="N326" s="392"/>
      <c r="O326" s="2"/>
      <c r="S326"/>
      <c r="T326"/>
      <c r="U326"/>
      <c r="W326"/>
    </row>
    <row r="327" spans="10:23" s="1" customFormat="1" x14ac:dyDescent="0.2">
      <c r="J327"/>
      <c r="K327"/>
      <c r="L327"/>
      <c r="M327"/>
      <c r="N327" s="392"/>
      <c r="O327" s="2"/>
      <c r="S327"/>
      <c r="T327"/>
      <c r="U327"/>
      <c r="W327"/>
    </row>
    <row r="328" spans="10:23" s="1" customFormat="1" x14ac:dyDescent="0.2">
      <c r="J328"/>
      <c r="K328"/>
      <c r="L328"/>
      <c r="M328"/>
      <c r="N328" s="392"/>
      <c r="O328" s="2"/>
      <c r="S328"/>
      <c r="T328"/>
      <c r="U328"/>
      <c r="W328"/>
    </row>
    <row r="329" spans="10:23" s="1" customFormat="1" x14ac:dyDescent="0.2">
      <c r="J329"/>
      <c r="K329"/>
      <c r="L329"/>
      <c r="M329"/>
      <c r="N329" s="392"/>
      <c r="O329" s="2"/>
      <c r="S329"/>
      <c r="T329"/>
      <c r="U329"/>
      <c r="W329"/>
    </row>
    <row r="330" spans="10:23" s="1" customFormat="1" x14ac:dyDescent="0.2">
      <c r="J330"/>
      <c r="K330"/>
      <c r="L330"/>
      <c r="M330"/>
      <c r="N330" s="392"/>
      <c r="O330" s="2"/>
      <c r="S330"/>
      <c r="T330"/>
      <c r="U330"/>
      <c r="W330"/>
    </row>
    <row r="331" spans="10:23" s="1" customFormat="1" x14ac:dyDescent="0.2">
      <c r="J331"/>
      <c r="K331"/>
      <c r="L331"/>
      <c r="M331"/>
      <c r="N331" s="392"/>
      <c r="O331" s="2"/>
      <c r="S331"/>
      <c r="T331"/>
      <c r="U331"/>
      <c r="W331"/>
    </row>
    <row r="332" spans="10:23" s="1" customFormat="1" x14ac:dyDescent="0.2">
      <c r="J332"/>
      <c r="K332"/>
      <c r="L332"/>
      <c r="M332"/>
      <c r="N332" s="392"/>
      <c r="O332" s="2"/>
      <c r="S332"/>
      <c r="T332"/>
      <c r="U332"/>
      <c r="W332"/>
    </row>
    <row r="333" spans="10:23" s="1" customFormat="1" x14ac:dyDescent="0.2">
      <c r="J333"/>
      <c r="K333"/>
      <c r="L333"/>
      <c r="M333"/>
      <c r="N333" s="392"/>
      <c r="O333" s="2"/>
      <c r="S333"/>
      <c r="T333"/>
      <c r="U333"/>
      <c r="W333"/>
    </row>
    <row r="334" spans="10:23" s="1" customFormat="1" x14ac:dyDescent="0.2">
      <c r="J334"/>
      <c r="K334"/>
      <c r="L334"/>
      <c r="M334"/>
      <c r="N334" s="392"/>
      <c r="O334" s="2"/>
      <c r="S334"/>
      <c r="T334"/>
      <c r="U334"/>
      <c r="W334"/>
    </row>
    <row r="335" spans="10:23" s="1" customFormat="1" x14ac:dyDescent="0.2">
      <c r="J335"/>
      <c r="K335"/>
      <c r="L335"/>
      <c r="M335"/>
      <c r="N335" s="392"/>
      <c r="O335" s="2"/>
      <c r="S335"/>
      <c r="T335"/>
      <c r="U335"/>
      <c r="W335"/>
    </row>
    <row r="336" spans="10:23" s="1" customFormat="1" x14ac:dyDescent="0.2">
      <c r="J336"/>
      <c r="K336"/>
      <c r="L336"/>
      <c r="M336"/>
      <c r="N336" s="392"/>
      <c r="O336" s="2"/>
      <c r="S336"/>
      <c r="T336"/>
      <c r="U336"/>
      <c r="W336"/>
    </row>
    <row r="337" spans="10:23" s="1" customFormat="1" x14ac:dyDescent="0.2">
      <c r="J337"/>
      <c r="K337"/>
      <c r="L337"/>
      <c r="M337"/>
      <c r="N337" s="392"/>
      <c r="O337" s="2"/>
      <c r="S337"/>
      <c r="T337"/>
      <c r="U337"/>
      <c r="W337"/>
    </row>
    <row r="338" spans="10:23" s="1" customFormat="1" x14ac:dyDescent="0.2">
      <c r="J338"/>
      <c r="K338"/>
      <c r="L338"/>
      <c r="M338"/>
      <c r="N338" s="392"/>
      <c r="O338" s="2"/>
      <c r="S338"/>
      <c r="T338"/>
      <c r="U338"/>
      <c r="W338"/>
    </row>
    <row r="339" spans="10:23" s="1" customFormat="1" x14ac:dyDescent="0.2">
      <c r="J339"/>
      <c r="K339"/>
      <c r="L339"/>
      <c r="M339"/>
      <c r="N339" s="392"/>
      <c r="O339" s="2"/>
      <c r="S339"/>
      <c r="T339"/>
      <c r="U339"/>
      <c r="W339"/>
    </row>
    <row r="340" spans="10:23" s="1" customFormat="1" x14ac:dyDescent="0.2">
      <c r="J340"/>
      <c r="K340"/>
      <c r="L340"/>
      <c r="M340"/>
      <c r="N340" s="392"/>
      <c r="O340" s="2"/>
      <c r="S340"/>
      <c r="T340"/>
      <c r="U340"/>
      <c r="W340"/>
    </row>
    <row r="341" spans="10:23" s="1" customFormat="1" x14ac:dyDescent="0.2">
      <c r="J341"/>
      <c r="K341"/>
      <c r="L341"/>
      <c r="M341"/>
      <c r="N341" s="392"/>
      <c r="O341" s="2"/>
      <c r="S341"/>
      <c r="T341"/>
      <c r="U341"/>
      <c r="W341"/>
    </row>
    <row r="342" spans="10:23" s="1" customFormat="1" x14ac:dyDescent="0.2">
      <c r="J342"/>
      <c r="K342"/>
      <c r="L342"/>
      <c r="M342"/>
      <c r="N342" s="392"/>
      <c r="O342" s="2"/>
      <c r="S342"/>
      <c r="T342"/>
      <c r="U342"/>
      <c r="W342"/>
    </row>
    <row r="343" spans="10:23" s="1" customFormat="1" x14ac:dyDescent="0.2">
      <c r="J343"/>
      <c r="K343"/>
      <c r="L343"/>
      <c r="M343"/>
      <c r="N343" s="392"/>
      <c r="O343" s="2"/>
      <c r="S343"/>
      <c r="T343"/>
      <c r="U343"/>
      <c r="W343"/>
    </row>
    <row r="344" spans="10:23" s="1" customFormat="1" x14ac:dyDescent="0.2">
      <c r="J344"/>
      <c r="K344"/>
      <c r="L344"/>
      <c r="M344"/>
      <c r="N344" s="392"/>
      <c r="O344" s="2"/>
      <c r="S344"/>
      <c r="T344"/>
      <c r="U344"/>
      <c r="W344"/>
    </row>
    <row r="345" spans="10:23" s="1" customFormat="1" x14ac:dyDescent="0.2">
      <c r="J345"/>
      <c r="K345"/>
      <c r="L345"/>
      <c r="M345"/>
      <c r="N345" s="392"/>
      <c r="O345" s="2"/>
      <c r="S345"/>
      <c r="T345"/>
      <c r="U345"/>
      <c r="W345"/>
    </row>
    <row r="346" spans="10:23" s="1" customFormat="1" x14ac:dyDescent="0.2">
      <c r="J346"/>
      <c r="K346"/>
      <c r="L346"/>
      <c r="M346"/>
      <c r="N346" s="392"/>
      <c r="O346" s="2"/>
      <c r="S346"/>
      <c r="T346"/>
      <c r="U346"/>
      <c r="W346"/>
    </row>
    <row r="347" spans="10:23" s="1" customFormat="1" x14ac:dyDescent="0.2">
      <c r="J347"/>
      <c r="K347"/>
      <c r="L347"/>
      <c r="M347"/>
      <c r="N347" s="392"/>
      <c r="O347" s="2"/>
      <c r="S347"/>
      <c r="T347"/>
      <c r="U347"/>
      <c r="W347"/>
    </row>
    <row r="348" spans="10:23" s="1" customFormat="1" x14ac:dyDescent="0.2">
      <c r="J348"/>
      <c r="K348"/>
      <c r="L348"/>
      <c r="M348"/>
      <c r="N348" s="392"/>
      <c r="O348" s="2"/>
      <c r="S348"/>
      <c r="T348"/>
      <c r="U348"/>
      <c r="W348"/>
    </row>
    <row r="349" spans="10:23" s="1" customFormat="1" x14ac:dyDescent="0.2">
      <c r="J349"/>
      <c r="K349"/>
      <c r="L349"/>
      <c r="M349"/>
      <c r="N349" s="392"/>
      <c r="O349" s="2"/>
      <c r="S349"/>
      <c r="T349"/>
      <c r="U349"/>
      <c r="W349"/>
    </row>
    <row r="350" spans="10:23" s="1" customFormat="1" x14ac:dyDescent="0.2">
      <c r="J350"/>
      <c r="K350"/>
      <c r="L350"/>
      <c r="M350"/>
      <c r="N350" s="392"/>
      <c r="O350" s="2"/>
      <c r="S350"/>
      <c r="T350"/>
      <c r="U350"/>
      <c r="W350"/>
    </row>
    <row r="351" spans="10:23" s="1" customFormat="1" x14ac:dyDescent="0.2">
      <c r="J351"/>
      <c r="K351"/>
      <c r="L351"/>
      <c r="M351"/>
      <c r="N351" s="392"/>
      <c r="O351" s="2"/>
      <c r="S351"/>
      <c r="T351"/>
      <c r="U351"/>
      <c r="W351"/>
    </row>
    <row r="352" spans="10:23" s="1" customFormat="1" x14ac:dyDescent="0.2">
      <c r="J352"/>
      <c r="K352"/>
      <c r="L352"/>
      <c r="M352"/>
      <c r="N352" s="392"/>
      <c r="O352" s="2"/>
      <c r="S352"/>
      <c r="T352"/>
      <c r="U352"/>
      <c r="W352"/>
    </row>
    <row r="353" spans="10:23" s="1" customFormat="1" x14ac:dyDescent="0.2">
      <c r="J353"/>
      <c r="K353"/>
      <c r="L353"/>
      <c r="M353"/>
      <c r="N353" s="392"/>
      <c r="O353" s="2"/>
      <c r="S353"/>
      <c r="T353"/>
      <c r="U353"/>
      <c r="W353"/>
    </row>
    <row r="354" spans="10:23" s="1" customFormat="1" x14ac:dyDescent="0.2">
      <c r="J354"/>
      <c r="K354"/>
      <c r="L354"/>
      <c r="M354"/>
      <c r="N354" s="392"/>
      <c r="O354" s="2"/>
      <c r="S354"/>
      <c r="T354"/>
      <c r="U354"/>
      <c r="W354"/>
    </row>
    <row r="355" spans="10:23" s="1" customFormat="1" x14ac:dyDescent="0.2">
      <c r="J355"/>
      <c r="K355"/>
      <c r="L355"/>
      <c r="M355"/>
      <c r="N355" s="392"/>
      <c r="O355" s="2"/>
      <c r="S355"/>
      <c r="T355"/>
      <c r="U355"/>
      <c r="W355"/>
    </row>
    <row r="356" spans="10:23" s="1" customFormat="1" x14ac:dyDescent="0.2">
      <c r="J356"/>
      <c r="K356"/>
      <c r="L356"/>
      <c r="M356"/>
      <c r="N356" s="392"/>
      <c r="O356" s="2"/>
      <c r="S356"/>
      <c r="T356"/>
      <c r="U356"/>
      <c r="W356"/>
    </row>
    <row r="357" spans="10:23" s="1" customFormat="1" x14ac:dyDescent="0.2">
      <c r="J357"/>
      <c r="K357"/>
      <c r="L357"/>
      <c r="M357"/>
      <c r="N357" s="392"/>
      <c r="O357" s="2"/>
      <c r="S357"/>
      <c r="T357"/>
      <c r="U357"/>
      <c r="W357"/>
    </row>
    <row r="358" spans="10:23" s="1" customFormat="1" x14ac:dyDescent="0.2">
      <c r="J358"/>
      <c r="K358"/>
      <c r="L358"/>
      <c r="M358"/>
      <c r="N358" s="392"/>
      <c r="O358" s="2"/>
      <c r="S358"/>
      <c r="T358"/>
      <c r="U358"/>
      <c r="W358"/>
    </row>
    <row r="359" spans="10:23" s="1" customFormat="1" x14ac:dyDescent="0.2">
      <c r="J359"/>
      <c r="K359"/>
      <c r="L359"/>
      <c r="M359"/>
      <c r="N359" s="392"/>
      <c r="O359" s="2"/>
      <c r="S359"/>
      <c r="T359"/>
      <c r="U359"/>
      <c r="W359"/>
    </row>
    <row r="360" spans="10:23" s="1" customFormat="1" x14ac:dyDescent="0.2">
      <c r="J360"/>
      <c r="K360"/>
      <c r="L360"/>
      <c r="M360"/>
      <c r="N360" s="392"/>
      <c r="O360" s="2"/>
      <c r="S360"/>
      <c r="T360"/>
      <c r="U360"/>
      <c r="W360"/>
    </row>
    <row r="361" spans="10:23" s="1" customFormat="1" x14ac:dyDescent="0.2">
      <c r="J361"/>
      <c r="K361"/>
      <c r="L361"/>
      <c r="M361"/>
      <c r="N361" s="392"/>
      <c r="O361" s="2"/>
      <c r="S361"/>
      <c r="T361"/>
      <c r="U361"/>
      <c r="W361"/>
    </row>
    <row r="362" spans="10:23" s="1" customFormat="1" x14ac:dyDescent="0.2">
      <c r="J362"/>
      <c r="K362"/>
      <c r="L362"/>
      <c r="M362"/>
      <c r="N362" s="392"/>
      <c r="O362" s="2"/>
      <c r="S362"/>
      <c r="T362"/>
      <c r="U362"/>
      <c r="W362"/>
    </row>
    <row r="363" spans="10:23" s="1" customFormat="1" x14ac:dyDescent="0.2">
      <c r="J363"/>
      <c r="K363"/>
      <c r="L363"/>
      <c r="M363"/>
      <c r="N363" s="392"/>
      <c r="O363" s="2"/>
      <c r="S363"/>
      <c r="T363"/>
      <c r="U363"/>
      <c r="W363"/>
    </row>
    <row r="364" spans="10:23" s="1" customFormat="1" x14ac:dyDescent="0.2">
      <c r="J364"/>
      <c r="K364"/>
      <c r="L364"/>
      <c r="M364"/>
      <c r="N364" s="392"/>
      <c r="O364" s="2"/>
      <c r="S364"/>
      <c r="T364"/>
      <c r="U364"/>
      <c r="W364"/>
    </row>
    <row r="365" spans="10:23" s="1" customFormat="1" x14ac:dyDescent="0.2">
      <c r="J365"/>
      <c r="K365"/>
      <c r="L365"/>
      <c r="M365"/>
      <c r="N365" s="392"/>
      <c r="O365" s="2"/>
      <c r="S365"/>
      <c r="T365"/>
      <c r="U365"/>
      <c r="W365"/>
    </row>
    <row r="366" spans="10:23" s="1" customFormat="1" x14ac:dyDescent="0.2">
      <c r="J366"/>
      <c r="K366"/>
      <c r="L366"/>
      <c r="M366"/>
      <c r="N366" s="392"/>
      <c r="O366" s="2"/>
      <c r="S366"/>
      <c r="T366"/>
      <c r="U366"/>
      <c r="W366"/>
    </row>
    <row r="367" spans="10:23" s="1" customFormat="1" x14ac:dyDescent="0.2">
      <c r="J367"/>
      <c r="K367"/>
      <c r="L367"/>
      <c r="M367"/>
      <c r="N367" s="392"/>
      <c r="O367" s="2"/>
      <c r="S367"/>
      <c r="T367"/>
      <c r="U367"/>
      <c r="W367"/>
    </row>
    <row r="368" spans="10:23" s="1" customFormat="1" x14ac:dyDescent="0.2">
      <c r="J368"/>
      <c r="K368"/>
      <c r="L368"/>
      <c r="M368"/>
      <c r="N368" s="392"/>
      <c r="O368" s="2"/>
      <c r="S368"/>
      <c r="T368"/>
      <c r="U368"/>
      <c r="W368"/>
    </row>
    <row r="369" spans="10:23" s="1" customFormat="1" x14ac:dyDescent="0.2">
      <c r="J369"/>
      <c r="K369"/>
      <c r="L369"/>
      <c r="M369"/>
      <c r="N369" s="392"/>
      <c r="O369" s="2"/>
      <c r="S369"/>
      <c r="T369"/>
      <c r="U369"/>
      <c r="W369"/>
    </row>
    <row r="370" spans="10:23" s="1" customFormat="1" x14ac:dyDescent="0.2">
      <c r="J370"/>
      <c r="K370"/>
      <c r="L370"/>
      <c r="M370"/>
      <c r="N370" s="392"/>
      <c r="O370" s="2"/>
      <c r="S370"/>
      <c r="T370"/>
      <c r="U370"/>
      <c r="W370"/>
    </row>
    <row r="371" spans="10:23" s="1" customFormat="1" x14ac:dyDescent="0.2">
      <c r="J371"/>
      <c r="K371"/>
      <c r="L371"/>
      <c r="M371"/>
      <c r="N371" s="392"/>
      <c r="O371" s="2"/>
      <c r="S371"/>
      <c r="T371"/>
      <c r="U371"/>
      <c r="W371"/>
    </row>
    <row r="372" spans="10:23" s="1" customFormat="1" x14ac:dyDescent="0.2">
      <c r="J372"/>
      <c r="K372"/>
      <c r="L372"/>
      <c r="M372"/>
      <c r="N372" s="392"/>
      <c r="O372" s="2"/>
      <c r="S372"/>
      <c r="T372"/>
      <c r="U372"/>
      <c r="W372"/>
    </row>
    <row r="373" spans="10:23" s="1" customFormat="1" x14ac:dyDescent="0.2">
      <c r="J373"/>
      <c r="K373"/>
      <c r="L373"/>
      <c r="M373"/>
      <c r="N373" s="392"/>
      <c r="O373" s="2"/>
      <c r="S373"/>
      <c r="T373"/>
      <c r="U373"/>
      <c r="W373"/>
    </row>
    <row r="374" spans="10:23" s="1" customFormat="1" x14ac:dyDescent="0.2">
      <c r="J374"/>
      <c r="K374"/>
      <c r="L374"/>
      <c r="M374"/>
      <c r="N374" s="392"/>
      <c r="O374" s="2"/>
      <c r="S374"/>
      <c r="T374"/>
      <c r="U374"/>
      <c r="W374"/>
    </row>
    <row r="375" spans="10:23" s="1" customFormat="1" x14ac:dyDescent="0.2">
      <c r="J375"/>
      <c r="K375"/>
      <c r="L375"/>
      <c r="M375"/>
      <c r="N375" s="392"/>
      <c r="O375" s="2"/>
      <c r="S375"/>
      <c r="T375"/>
      <c r="U375"/>
      <c r="W375"/>
    </row>
    <row r="376" spans="10:23" s="1" customFormat="1" x14ac:dyDescent="0.2">
      <c r="J376"/>
      <c r="K376"/>
      <c r="L376"/>
      <c r="M376"/>
      <c r="N376" s="392"/>
      <c r="O376" s="2"/>
      <c r="S376"/>
      <c r="T376"/>
      <c r="U376"/>
      <c r="W376"/>
    </row>
    <row r="377" spans="10:23" s="1" customFormat="1" x14ac:dyDescent="0.2">
      <c r="J377"/>
      <c r="K377"/>
      <c r="L377"/>
      <c r="M377"/>
      <c r="N377" s="392"/>
      <c r="O377" s="2"/>
      <c r="S377"/>
      <c r="T377"/>
      <c r="U377"/>
      <c r="W377"/>
    </row>
    <row r="378" spans="10:23" s="1" customFormat="1" x14ac:dyDescent="0.2">
      <c r="J378"/>
      <c r="K378"/>
      <c r="L378"/>
      <c r="M378"/>
      <c r="N378" s="392"/>
      <c r="O378" s="2"/>
      <c r="S378"/>
      <c r="T378"/>
      <c r="U378"/>
      <c r="W378"/>
    </row>
    <row r="379" spans="10:23" s="1" customFormat="1" x14ac:dyDescent="0.2">
      <c r="J379"/>
      <c r="K379"/>
      <c r="L379"/>
      <c r="M379"/>
      <c r="N379" s="392"/>
      <c r="O379" s="2"/>
      <c r="S379"/>
      <c r="T379"/>
      <c r="U379"/>
      <c r="W379"/>
    </row>
    <row r="380" spans="10:23" s="1" customFormat="1" x14ac:dyDescent="0.2">
      <c r="J380"/>
      <c r="K380"/>
      <c r="L380"/>
      <c r="M380"/>
      <c r="N380" s="392"/>
      <c r="O380" s="2"/>
      <c r="S380"/>
      <c r="T380"/>
      <c r="U380"/>
      <c r="W380"/>
    </row>
    <row r="381" spans="10:23" s="1" customFormat="1" x14ac:dyDescent="0.2">
      <c r="J381"/>
      <c r="K381"/>
      <c r="L381"/>
      <c r="M381"/>
      <c r="N381" s="392"/>
      <c r="O381" s="2"/>
      <c r="S381"/>
      <c r="T381"/>
      <c r="U381"/>
      <c r="W381"/>
    </row>
    <row r="382" spans="10:23" s="1" customFormat="1" x14ac:dyDescent="0.2">
      <c r="J382"/>
      <c r="K382"/>
      <c r="L382"/>
      <c r="M382"/>
      <c r="N382" s="392"/>
      <c r="O382" s="2"/>
      <c r="S382"/>
      <c r="T382"/>
      <c r="U382"/>
      <c r="W382"/>
    </row>
    <row r="383" spans="10:23" s="1" customFormat="1" x14ac:dyDescent="0.2">
      <c r="J383"/>
      <c r="K383"/>
      <c r="L383"/>
      <c r="M383"/>
      <c r="N383" s="392"/>
      <c r="O383" s="2"/>
      <c r="S383"/>
      <c r="T383"/>
      <c r="U383"/>
      <c r="W383"/>
    </row>
    <row r="384" spans="10:23" s="1" customFormat="1" x14ac:dyDescent="0.2">
      <c r="J384"/>
      <c r="K384"/>
      <c r="L384"/>
      <c r="M384"/>
      <c r="N384" s="392"/>
      <c r="O384" s="2"/>
      <c r="S384"/>
      <c r="T384"/>
      <c r="U384"/>
      <c r="W384"/>
    </row>
    <row r="385" spans="10:23" s="1" customFormat="1" x14ac:dyDescent="0.2">
      <c r="J385"/>
      <c r="K385"/>
      <c r="L385"/>
      <c r="M385"/>
      <c r="N385" s="392"/>
      <c r="O385" s="2"/>
      <c r="S385"/>
      <c r="T385"/>
      <c r="U385"/>
      <c r="W385"/>
    </row>
    <row r="386" spans="10:23" s="1" customFormat="1" x14ac:dyDescent="0.2">
      <c r="J386"/>
      <c r="K386"/>
      <c r="L386"/>
      <c r="M386"/>
      <c r="N386" s="392"/>
      <c r="O386" s="2"/>
      <c r="S386"/>
      <c r="T386"/>
      <c r="U386"/>
      <c r="W386"/>
    </row>
    <row r="387" spans="10:23" s="1" customFormat="1" x14ac:dyDescent="0.2">
      <c r="J387"/>
      <c r="K387"/>
      <c r="L387"/>
      <c r="M387"/>
      <c r="N387" s="392"/>
      <c r="O387" s="2"/>
      <c r="S387"/>
      <c r="T387"/>
      <c r="U387"/>
      <c r="W387"/>
    </row>
    <row r="388" spans="10:23" s="1" customFormat="1" x14ac:dyDescent="0.2">
      <c r="J388"/>
      <c r="K388"/>
      <c r="L388"/>
      <c r="M388"/>
      <c r="N388" s="392"/>
      <c r="O388" s="2"/>
      <c r="S388"/>
      <c r="T388"/>
      <c r="U388"/>
      <c r="W388"/>
    </row>
    <row r="389" spans="10:23" s="1" customFormat="1" x14ac:dyDescent="0.2">
      <c r="J389"/>
      <c r="K389"/>
      <c r="L389"/>
      <c r="M389"/>
      <c r="N389" s="392"/>
      <c r="O389" s="2"/>
      <c r="S389"/>
      <c r="T389"/>
      <c r="U389"/>
      <c r="W389"/>
    </row>
    <row r="390" spans="10:23" s="1" customFormat="1" x14ac:dyDescent="0.2">
      <c r="J390"/>
      <c r="K390"/>
      <c r="L390"/>
      <c r="M390"/>
      <c r="N390" s="392"/>
      <c r="O390" s="2"/>
      <c r="S390"/>
      <c r="T390"/>
      <c r="U390"/>
      <c r="W390"/>
    </row>
    <row r="391" spans="10:23" s="1" customFormat="1" x14ac:dyDescent="0.2">
      <c r="J391"/>
      <c r="K391"/>
      <c r="L391"/>
      <c r="M391"/>
      <c r="N391" s="392"/>
      <c r="O391" s="2"/>
      <c r="S391"/>
      <c r="T391"/>
      <c r="U391"/>
      <c r="W391"/>
    </row>
    <row r="392" spans="10:23" s="1" customFormat="1" x14ac:dyDescent="0.2">
      <c r="J392"/>
      <c r="K392"/>
      <c r="L392"/>
      <c r="M392"/>
      <c r="N392" s="392"/>
      <c r="O392" s="2"/>
      <c r="S392"/>
      <c r="T392"/>
      <c r="U392"/>
      <c r="W392"/>
    </row>
    <row r="393" spans="10:23" s="1" customFormat="1" x14ac:dyDescent="0.2">
      <c r="J393"/>
      <c r="K393"/>
      <c r="L393"/>
      <c r="M393"/>
      <c r="N393" s="392"/>
      <c r="O393" s="2"/>
      <c r="S393"/>
      <c r="T393"/>
      <c r="U393"/>
      <c r="W393"/>
    </row>
    <row r="394" spans="10:23" s="1" customFormat="1" x14ac:dyDescent="0.2">
      <c r="J394"/>
      <c r="K394"/>
      <c r="L394"/>
      <c r="M394"/>
      <c r="N394" s="392"/>
      <c r="O394" s="2"/>
      <c r="S394"/>
      <c r="T394"/>
      <c r="U394"/>
      <c r="W394"/>
    </row>
    <row r="395" spans="10:23" s="1" customFormat="1" x14ac:dyDescent="0.2">
      <c r="J395"/>
      <c r="K395"/>
      <c r="L395"/>
      <c r="M395"/>
      <c r="N395" s="392"/>
      <c r="O395" s="2"/>
      <c r="S395"/>
      <c r="T395"/>
      <c r="U395"/>
      <c r="W395"/>
    </row>
    <row r="396" spans="10:23" s="1" customFormat="1" x14ac:dyDescent="0.2">
      <c r="J396"/>
      <c r="K396"/>
      <c r="L396"/>
      <c r="M396"/>
      <c r="N396" s="392"/>
      <c r="O396" s="2"/>
      <c r="S396"/>
      <c r="T396"/>
      <c r="U396"/>
      <c r="W396"/>
    </row>
    <row r="397" spans="10:23" s="1" customFormat="1" x14ac:dyDescent="0.2">
      <c r="J397"/>
      <c r="K397"/>
      <c r="L397"/>
      <c r="M397"/>
      <c r="N397" s="392"/>
      <c r="O397" s="2"/>
      <c r="S397"/>
      <c r="T397"/>
      <c r="U397"/>
      <c r="W397"/>
    </row>
    <row r="398" spans="10:23" s="1" customFormat="1" x14ac:dyDescent="0.2">
      <c r="J398"/>
      <c r="K398"/>
      <c r="L398"/>
      <c r="M398"/>
      <c r="N398" s="392"/>
      <c r="O398" s="2"/>
      <c r="S398"/>
      <c r="T398"/>
      <c r="U398"/>
      <c r="W398"/>
    </row>
    <row r="399" spans="10:23" s="1" customFormat="1" x14ac:dyDescent="0.2">
      <c r="J399"/>
      <c r="K399"/>
      <c r="L399"/>
      <c r="M399"/>
      <c r="N399" s="392"/>
      <c r="O399" s="2"/>
      <c r="S399"/>
      <c r="T399"/>
      <c r="U399"/>
      <c r="W399"/>
    </row>
    <row r="400" spans="10:23" s="1" customFormat="1" x14ac:dyDescent="0.2">
      <c r="J400"/>
      <c r="K400"/>
      <c r="L400"/>
      <c r="M400"/>
      <c r="N400" s="392"/>
      <c r="O400" s="2"/>
      <c r="S400"/>
      <c r="T400"/>
      <c r="U400"/>
      <c r="W400"/>
    </row>
    <row r="401" spans="10:23" s="1" customFormat="1" x14ac:dyDescent="0.2">
      <c r="J401"/>
      <c r="K401"/>
      <c r="L401"/>
      <c r="M401"/>
      <c r="N401" s="392"/>
      <c r="O401" s="2"/>
      <c r="S401"/>
      <c r="T401"/>
      <c r="U401"/>
      <c r="W401"/>
    </row>
    <row r="402" spans="10:23" s="1" customFormat="1" x14ac:dyDescent="0.2">
      <c r="J402"/>
      <c r="K402"/>
      <c r="L402"/>
      <c r="M402"/>
      <c r="N402" s="392"/>
      <c r="O402" s="2"/>
      <c r="S402"/>
      <c r="T402"/>
      <c r="U402"/>
      <c r="W402"/>
    </row>
    <row r="403" spans="10:23" s="1" customFormat="1" x14ac:dyDescent="0.2">
      <c r="J403"/>
      <c r="K403"/>
      <c r="L403"/>
      <c r="M403"/>
      <c r="N403" s="392"/>
      <c r="O403" s="2"/>
      <c r="S403"/>
      <c r="T403"/>
      <c r="U403"/>
      <c r="W403"/>
    </row>
    <row r="404" spans="10:23" s="1" customFormat="1" x14ac:dyDescent="0.2">
      <c r="J404"/>
      <c r="K404"/>
      <c r="L404"/>
      <c r="M404"/>
      <c r="N404" s="392"/>
      <c r="O404" s="2"/>
      <c r="S404"/>
      <c r="T404"/>
      <c r="U404"/>
      <c r="W404"/>
    </row>
    <row r="405" spans="10:23" s="1" customFormat="1" x14ac:dyDescent="0.2">
      <c r="J405"/>
      <c r="K405"/>
      <c r="L405"/>
      <c r="M405"/>
      <c r="N405" s="392"/>
      <c r="O405" s="2"/>
      <c r="S405"/>
      <c r="T405"/>
      <c r="U405"/>
      <c r="W405"/>
    </row>
    <row r="406" spans="10:23" s="1" customFormat="1" x14ac:dyDescent="0.2">
      <c r="J406"/>
      <c r="K406"/>
      <c r="L406"/>
      <c r="M406"/>
      <c r="N406" s="392"/>
      <c r="O406" s="2"/>
      <c r="S406"/>
      <c r="T406"/>
      <c r="U406"/>
      <c r="W406"/>
    </row>
    <row r="407" spans="10:23" s="1" customFormat="1" x14ac:dyDescent="0.2">
      <c r="J407"/>
      <c r="K407"/>
      <c r="L407"/>
      <c r="M407"/>
      <c r="N407" s="392"/>
      <c r="O407" s="2"/>
      <c r="S407"/>
      <c r="T407"/>
      <c r="U407"/>
      <c r="W407"/>
    </row>
    <row r="408" spans="10:23" s="1" customFormat="1" x14ac:dyDescent="0.2">
      <c r="J408"/>
      <c r="K408"/>
      <c r="L408"/>
      <c r="M408"/>
      <c r="N408" s="392"/>
      <c r="O408" s="2"/>
      <c r="S408"/>
      <c r="T408"/>
      <c r="U408"/>
      <c r="W408"/>
    </row>
    <row r="409" spans="10:23" s="1" customFormat="1" x14ac:dyDescent="0.2">
      <c r="J409"/>
      <c r="K409"/>
      <c r="L409"/>
      <c r="M409"/>
      <c r="N409" s="392"/>
      <c r="O409" s="2"/>
      <c r="S409"/>
      <c r="T409"/>
      <c r="U409"/>
      <c r="W409"/>
    </row>
    <row r="410" spans="10:23" s="1" customFormat="1" x14ac:dyDescent="0.2">
      <c r="J410"/>
      <c r="K410"/>
      <c r="L410"/>
      <c r="M410"/>
      <c r="N410" s="392"/>
      <c r="O410" s="2"/>
      <c r="S410"/>
      <c r="T410"/>
      <c r="U410"/>
      <c r="W410"/>
    </row>
    <row r="411" spans="10:23" s="1" customFormat="1" x14ac:dyDescent="0.2">
      <c r="J411"/>
      <c r="K411"/>
      <c r="L411"/>
      <c r="M411"/>
      <c r="N411" s="392"/>
      <c r="O411" s="2"/>
      <c r="S411"/>
      <c r="T411"/>
      <c r="U411"/>
      <c r="W411"/>
    </row>
    <row r="412" spans="10:23" s="1" customFormat="1" x14ac:dyDescent="0.2">
      <c r="J412"/>
      <c r="K412"/>
      <c r="L412"/>
      <c r="M412"/>
      <c r="N412" s="392"/>
      <c r="O412" s="2"/>
      <c r="S412"/>
      <c r="T412"/>
      <c r="U412"/>
      <c r="W412"/>
    </row>
    <row r="413" spans="10:23" s="1" customFormat="1" x14ac:dyDescent="0.2">
      <c r="J413"/>
      <c r="K413"/>
      <c r="L413"/>
      <c r="M413"/>
      <c r="N413" s="392"/>
      <c r="O413" s="2"/>
      <c r="S413"/>
      <c r="T413"/>
      <c r="U413"/>
      <c r="W413"/>
    </row>
    <row r="414" spans="10:23" s="1" customFormat="1" x14ac:dyDescent="0.2">
      <c r="J414"/>
      <c r="K414"/>
      <c r="L414"/>
      <c r="M414"/>
      <c r="N414" s="392"/>
      <c r="O414" s="2"/>
      <c r="S414"/>
      <c r="T414"/>
      <c r="U414"/>
      <c r="W414"/>
    </row>
    <row r="415" spans="10:23" s="1" customFormat="1" x14ac:dyDescent="0.2">
      <c r="J415"/>
      <c r="K415"/>
      <c r="L415"/>
      <c r="M415"/>
      <c r="N415" s="392"/>
      <c r="O415" s="2"/>
      <c r="S415"/>
      <c r="T415"/>
      <c r="U415"/>
      <c r="W415"/>
    </row>
    <row r="416" spans="10:23" s="1" customFormat="1" x14ac:dyDescent="0.2">
      <c r="J416"/>
      <c r="K416"/>
      <c r="L416"/>
      <c r="M416"/>
      <c r="N416" s="392"/>
      <c r="O416" s="2"/>
      <c r="S416"/>
      <c r="T416"/>
      <c r="U416"/>
      <c r="W416"/>
    </row>
    <row r="417" spans="10:23" s="1" customFormat="1" x14ac:dyDescent="0.2">
      <c r="J417"/>
      <c r="K417"/>
      <c r="L417"/>
      <c r="M417"/>
      <c r="N417" s="392"/>
      <c r="O417" s="2"/>
      <c r="S417"/>
      <c r="T417"/>
      <c r="U417"/>
      <c r="W417"/>
    </row>
    <row r="418" spans="10:23" s="1" customFormat="1" x14ac:dyDescent="0.2">
      <c r="J418"/>
      <c r="K418"/>
      <c r="L418"/>
      <c r="M418"/>
      <c r="N418" s="392"/>
      <c r="O418" s="2"/>
      <c r="S418"/>
      <c r="T418"/>
      <c r="U418"/>
      <c r="W418"/>
    </row>
    <row r="419" spans="10:23" s="1" customFormat="1" x14ac:dyDescent="0.2">
      <c r="J419"/>
      <c r="K419"/>
      <c r="L419"/>
      <c r="M419"/>
      <c r="N419" s="392"/>
      <c r="O419" s="2"/>
      <c r="S419"/>
      <c r="T419"/>
      <c r="U419"/>
      <c r="W419"/>
    </row>
    <row r="420" spans="10:23" s="1" customFormat="1" x14ac:dyDescent="0.2">
      <c r="J420"/>
      <c r="K420"/>
      <c r="L420"/>
      <c r="M420"/>
      <c r="N420" s="392"/>
      <c r="O420" s="2"/>
      <c r="S420"/>
      <c r="T420"/>
      <c r="U420"/>
      <c r="W420"/>
    </row>
    <row r="421" spans="10:23" s="1" customFormat="1" x14ac:dyDescent="0.2">
      <c r="J421"/>
      <c r="K421"/>
      <c r="L421"/>
      <c r="M421"/>
      <c r="N421" s="392"/>
      <c r="O421" s="2"/>
      <c r="S421"/>
      <c r="T421"/>
      <c r="U421"/>
      <c r="W421"/>
    </row>
    <row r="422" spans="10:23" s="1" customFormat="1" x14ac:dyDescent="0.2">
      <c r="J422"/>
      <c r="K422"/>
      <c r="L422"/>
      <c r="M422"/>
      <c r="N422" s="392"/>
      <c r="O422" s="2"/>
      <c r="S422"/>
      <c r="T422"/>
      <c r="U422"/>
      <c r="W422"/>
    </row>
    <row r="423" spans="10:23" s="1" customFormat="1" x14ac:dyDescent="0.2">
      <c r="J423"/>
      <c r="K423"/>
      <c r="L423"/>
      <c r="M423"/>
      <c r="N423" s="392"/>
      <c r="O423" s="2"/>
      <c r="S423"/>
      <c r="T423"/>
      <c r="U423"/>
      <c r="W423"/>
    </row>
    <row r="424" spans="10:23" s="1" customFormat="1" x14ac:dyDescent="0.2">
      <c r="J424"/>
      <c r="K424"/>
      <c r="L424"/>
      <c r="M424"/>
      <c r="N424" s="392"/>
      <c r="O424" s="2"/>
      <c r="S424"/>
      <c r="T424"/>
      <c r="U424"/>
      <c r="W424"/>
    </row>
    <row r="425" spans="10:23" s="1" customFormat="1" x14ac:dyDescent="0.2">
      <c r="J425"/>
      <c r="K425"/>
      <c r="L425"/>
      <c r="M425"/>
      <c r="N425" s="392"/>
      <c r="O425" s="2"/>
      <c r="S425"/>
      <c r="T425"/>
      <c r="U425"/>
      <c r="W425"/>
    </row>
    <row r="426" spans="10:23" s="1" customFormat="1" x14ac:dyDescent="0.2">
      <c r="J426"/>
      <c r="K426"/>
      <c r="L426"/>
      <c r="M426"/>
      <c r="N426" s="392"/>
      <c r="O426" s="2"/>
      <c r="S426"/>
      <c r="T426"/>
      <c r="U426"/>
      <c r="W426"/>
    </row>
    <row r="427" spans="10:23" s="1" customFormat="1" x14ac:dyDescent="0.2">
      <c r="J427"/>
      <c r="K427"/>
      <c r="L427"/>
      <c r="M427"/>
      <c r="N427" s="392"/>
      <c r="O427" s="2"/>
      <c r="S427"/>
      <c r="T427"/>
      <c r="U427"/>
      <c r="W427"/>
    </row>
    <row r="428" spans="10:23" s="1" customFormat="1" x14ac:dyDescent="0.2">
      <c r="J428"/>
      <c r="K428"/>
      <c r="L428"/>
      <c r="M428"/>
      <c r="N428" s="392"/>
      <c r="O428" s="2"/>
      <c r="S428"/>
      <c r="T428"/>
      <c r="U428"/>
      <c r="W428"/>
    </row>
    <row r="429" spans="10:23" s="1" customFormat="1" x14ac:dyDescent="0.2">
      <c r="J429"/>
      <c r="K429"/>
      <c r="L429"/>
      <c r="M429"/>
      <c r="N429" s="392"/>
      <c r="O429" s="2"/>
      <c r="S429"/>
      <c r="T429"/>
      <c r="U429"/>
      <c r="W429"/>
    </row>
    <row r="430" spans="10:23" s="1" customFormat="1" x14ac:dyDescent="0.2">
      <c r="J430"/>
      <c r="K430"/>
      <c r="L430"/>
      <c r="M430"/>
      <c r="N430" s="392"/>
      <c r="O430" s="2"/>
      <c r="S430"/>
      <c r="T430"/>
      <c r="U430"/>
      <c r="W430"/>
    </row>
    <row r="431" spans="10:23" s="1" customFormat="1" x14ac:dyDescent="0.2">
      <c r="J431"/>
      <c r="K431"/>
      <c r="L431"/>
      <c r="M431"/>
      <c r="N431" s="392"/>
      <c r="O431" s="2"/>
      <c r="S431"/>
      <c r="T431"/>
      <c r="U431"/>
      <c r="W431"/>
    </row>
    <row r="432" spans="10:23" s="1" customFormat="1" x14ac:dyDescent="0.2">
      <c r="J432"/>
      <c r="K432"/>
      <c r="L432"/>
      <c r="M432"/>
      <c r="N432" s="392"/>
      <c r="O432" s="2"/>
      <c r="S432"/>
      <c r="T432"/>
      <c r="U432"/>
      <c r="W432"/>
    </row>
    <row r="433" spans="10:23" s="1" customFormat="1" x14ac:dyDescent="0.2">
      <c r="J433"/>
      <c r="K433"/>
      <c r="L433"/>
      <c r="M433"/>
      <c r="N433" s="392"/>
      <c r="O433" s="2"/>
      <c r="S433"/>
      <c r="T433"/>
      <c r="U433"/>
      <c r="W433"/>
    </row>
    <row r="434" spans="10:23" s="1" customFormat="1" x14ac:dyDescent="0.2">
      <c r="J434"/>
      <c r="K434"/>
      <c r="L434"/>
      <c r="M434"/>
      <c r="N434" s="392"/>
      <c r="O434" s="2"/>
      <c r="S434"/>
      <c r="T434"/>
      <c r="U434"/>
      <c r="W434"/>
    </row>
    <row r="435" spans="10:23" s="1" customFormat="1" x14ac:dyDescent="0.2">
      <c r="J435"/>
      <c r="K435"/>
      <c r="L435"/>
      <c r="M435"/>
      <c r="N435" s="392"/>
      <c r="O435" s="2"/>
      <c r="S435"/>
      <c r="T435"/>
      <c r="U435"/>
      <c r="W435"/>
    </row>
    <row r="436" spans="10:23" s="1" customFormat="1" x14ac:dyDescent="0.2">
      <c r="J436"/>
      <c r="K436"/>
      <c r="L436"/>
      <c r="M436"/>
      <c r="N436" s="392"/>
      <c r="O436" s="2"/>
      <c r="S436"/>
      <c r="T436"/>
      <c r="U436"/>
      <c r="W436"/>
    </row>
    <row r="437" spans="10:23" s="1" customFormat="1" x14ac:dyDescent="0.2">
      <c r="J437"/>
      <c r="K437"/>
      <c r="L437"/>
      <c r="M437"/>
      <c r="N437" s="392"/>
      <c r="O437" s="2"/>
      <c r="S437"/>
      <c r="T437"/>
      <c r="U437"/>
      <c r="W437"/>
    </row>
    <row r="438" spans="10:23" s="1" customFormat="1" x14ac:dyDescent="0.2">
      <c r="J438"/>
      <c r="K438"/>
      <c r="L438"/>
      <c r="M438"/>
      <c r="N438" s="392"/>
      <c r="O438" s="2"/>
      <c r="S438"/>
      <c r="T438"/>
      <c r="U438"/>
      <c r="W438"/>
    </row>
    <row r="439" spans="10:23" s="1" customFormat="1" x14ac:dyDescent="0.2">
      <c r="J439"/>
      <c r="K439"/>
      <c r="L439"/>
      <c r="M439"/>
      <c r="N439" s="392"/>
      <c r="O439" s="2"/>
      <c r="S439"/>
      <c r="T439"/>
      <c r="U439"/>
      <c r="W439"/>
    </row>
    <row r="440" spans="10:23" s="1" customFormat="1" x14ac:dyDescent="0.2">
      <c r="J440"/>
      <c r="K440"/>
      <c r="L440"/>
      <c r="M440"/>
      <c r="N440" s="392"/>
      <c r="O440" s="2"/>
      <c r="S440"/>
      <c r="T440"/>
      <c r="U440"/>
      <c r="W440"/>
    </row>
    <row r="441" spans="10:23" s="1" customFormat="1" x14ac:dyDescent="0.2">
      <c r="J441"/>
      <c r="K441"/>
      <c r="L441"/>
      <c r="M441"/>
      <c r="N441" s="392"/>
      <c r="O441" s="2"/>
      <c r="S441"/>
      <c r="T441"/>
      <c r="U441"/>
      <c r="W441"/>
    </row>
    <row r="442" spans="10:23" s="1" customFormat="1" x14ac:dyDescent="0.2">
      <c r="J442"/>
      <c r="K442"/>
      <c r="L442"/>
      <c r="M442"/>
      <c r="N442" s="392"/>
      <c r="O442" s="2"/>
      <c r="S442"/>
      <c r="T442"/>
      <c r="U442"/>
      <c r="W442"/>
    </row>
    <row r="443" spans="10:23" s="1" customFormat="1" x14ac:dyDescent="0.2">
      <c r="J443"/>
      <c r="K443"/>
      <c r="L443"/>
      <c r="M443"/>
      <c r="N443" s="392"/>
      <c r="O443" s="2"/>
      <c r="S443"/>
      <c r="T443"/>
      <c r="U443"/>
      <c r="W443"/>
    </row>
    <row r="444" spans="10:23" s="1" customFormat="1" x14ac:dyDescent="0.2">
      <c r="J444"/>
      <c r="K444"/>
      <c r="L444"/>
      <c r="M444"/>
      <c r="N444" s="392"/>
      <c r="O444" s="2"/>
      <c r="S444"/>
      <c r="T444"/>
      <c r="U444"/>
      <c r="W444"/>
    </row>
    <row r="445" spans="10:23" s="1" customFormat="1" x14ac:dyDescent="0.2">
      <c r="J445"/>
      <c r="K445"/>
      <c r="L445"/>
      <c r="M445"/>
      <c r="N445" s="392"/>
      <c r="O445" s="2"/>
      <c r="S445"/>
      <c r="T445"/>
      <c r="U445"/>
      <c r="W445"/>
    </row>
    <row r="446" spans="10:23" s="1" customFormat="1" x14ac:dyDescent="0.2">
      <c r="J446"/>
      <c r="K446"/>
      <c r="L446"/>
      <c r="M446"/>
      <c r="N446" s="392"/>
      <c r="O446" s="2"/>
      <c r="S446"/>
      <c r="T446"/>
      <c r="U446"/>
      <c r="W446"/>
    </row>
    <row r="447" spans="10:23" s="1" customFormat="1" x14ac:dyDescent="0.2">
      <c r="J447"/>
      <c r="K447"/>
      <c r="L447"/>
      <c r="M447"/>
      <c r="N447" s="392"/>
      <c r="O447" s="2"/>
      <c r="S447"/>
      <c r="T447"/>
      <c r="U447"/>
      <c r="W447"/>
    </row>
    <row r="448" spans="10:23" s="1" customFormat="1" x14ac:dyDescent="0.2">
      <c r="J448"/>
      <c r="K448"/>
      <c r="L448"/>
      <c r="M448"/>
      <c r="N448" s="392"/>
      <c r="O448" s="2"/>
      <c r="S448"/>
      <c r="T448"/>
      <c r="U448"/>
      <c r="W448"/>
    </row>
    <row r="449" spans="10:23" s="1" customFormat="1" x14ac:dyDescent="0.2">
      <c r="J449"/>
      <c r="K449"/>
      <c r="L449"/>
      <c r="M449"/>
      <c r="N449" s="392"/>
      <c r="O449" s="2"/>
      <c r="S449"/>
      <c r="T449"/>
      <c r="U449"/>
      <c r="W449"/>
    </row>
    <row r="450" spans="10:23" s="1" customFormat="1" x14ac:dyDescent="0.2">
      <c r="J450"/>
      <c r="K450"/>
      <c r="L450"/>
      <c r="M450"/>
      <c r="N450" s="392"/>
      <c r="O450" s="2"/>
      <c r="S450"/>
      <c r="T450"/>
      <c r="U450"/>
      <c r="W450"/>
    </row>
    <row r="451" spans="10:23" s="1" customFormat="1" x14ac:dyDescent="0.2">
      <c r="J451"/>
      <c r="K451"/>
      <c r="L451"/>
      <c r="M451"/>
      <c r="N451" s="392"/>
      <c r="O451" s="2"/>
      <c r="S451"/>
      <c r="T451"/>
      <c r="U451"/>
      <c r="W451"/>
    </row>
    <row r="452" spans="10:23" s="1" customFormat="1" x14ac:dyDescent="0.2">
      <c r="J452"/>
      <c r="K452"/>
      <c r="L452"/>
      <c r="M452"/>
      <c r="N452" s="392"/>
      <c r="O452" s="2"/>
      <c r="S452"/>
      <c r="T452"/>
      <c r="U452"/>
      <c r="W452"/>
    </row>
    <row r="453" spans="10:23" s="1" customFormat="1" x14ac:dyDescent="0.2">
      <c r="J453"/>
      <c r="K453"/>
      <c r="L453"/>
      <c r="M453"/>
      <c r="N453" s="392"/>
      <c r="O453" s="2"/>
      <c r="S453"/>
      <c r="T453"/>
      <c r="U453"/>
      <c r="W453"/>
    </row>
    <row r="454" spans="10:23" s="1" customFormat="1" x14ac:dyDescent="0.2">
      <c r="J454"/>
      <c r="K454"/>
      <c r="L454"/>
      <c r="M454"/>
      <c r="N454" s="392"/>
      <c r="O454" s="2"/>
      <c r="S454"/>
      <c r="T454"/>
      <c r="U454"/>
      <c r="W454"/>
    </row>
    <row r="455" spans="10:23" s="1" customFormat="1" x14ac:dyDescent="0.2">
      <c r="J455"/>
      <c r="K455"/>
      <c r="L455"/>
      <c r="M455"/>
      <c r="N455" s="392"/>
      <c r="O455" s="2"/>
      <c r="S455"/>
      <c r="T455"/>
      <c r="U455"/>
      <c r="W455"/>
    </row>
    <row r="456" spans="10:23" s="1" customFormat="1" x14ac:dyDescent="0.2">
      <c r="J456"/>
      <c r="K456"/>
      <c r="L456"/>
      <c r="M456"/>
      <c r="N456" s="392"/>
      <c r="O456" s="2"/>
      <c r="S456"/>
      <c r="T456"/>
      <c r="U456"/>
      <c r="W456"/>
    </row>
    <row r="457" spans="10:23" s="1" customFormat="1" x14ac:dyDescent="0.2">
      <c r="J457"/>
      <c r="K457"/>
      <c r="L457"/>
      <c r="M457"/>
      <c r="N457" s="392"/>
      <c r="O457" s="2"/>
      <c r="S457"/>
      <c r="T457"/>
      <c r="U457"/>
      <c r="W457"/>
    </row>
    <row r="458" spans="10:23" s="1" customFormat="1" x14ac:dyDescent="0.2">
      <c r="J458"/>
      <c r="K458"/>
      <c r="L458"/>
      <c r="M458"/>
      <c r="N458" s="392"/>
      <c r="O458" s="2"/>
      <c r="S458"/>
      <c r="T458"/>
      <c r="U458"/>
      <c r="W458"/>
    </row>
    <row r="459" spans="10:23" s="1" customFormat="1" x14ac:dyDescent="0.2">
      <c r="J459"/>
      <c r="K459"/>
      <c r="L459"/>
      <c r="M459"/>
      <c r="N459" s="392"/>
      <c r="O459" s="2"/>
      <c r="S459"/>
      <c r="T459"/>
      <c r="U459"/>
      <c r="W459"/>
    </row>
    <row r="460" spans="10:23" s="1" customFormat="1" x14ac:dyDescent="0.2">
      <c r="J460"/>
      <c r="K460"/>
      <c r="L460"/>
      <c r="M460"/>
      <c r="N460" s="392"/>
      <c r="O460" s="2"/>
      <c r="S460"/>
      <c r="T460"/>
      <c r="U460"/>
      <c r="W460"/>
    </row>
    <row r="461" spans="10:23" s="1" customFormat="1" x14ac:dyDescent="0.2">
      <c r="J461"/>
      <c r="K461"/>
      <c r="L461"/>
      <c r="M461"/>
      <c r="N461" s="392"/>
      <c r="O461" s="2"/>
      <c r="S461"/>
      <c r="T461"/>
      <c r="U461"/>
      <c r="W461"/>
    </row>
    <row r="462" spans="10:23" s="1" customFormat="1" x14ac:dyDescent="0.2">
      <c r="J462"/>
      <c r="K462"/>
      <c r="L462"/>
      <c r="M462"/>
      <c r="N462" s="392"/>
      <c r="O462" s="2"/>
      <c r="S462"/>
      <c r="T462"/>
      <c r="U462"/>
      <c r="W462"/>
    </row>
    <row r="463" spans="10:23" s="1" customFormat="1" x14ac:dyDescent="0.2">
      <c r="J463"/>
      <c r="K463"/>
      <c r="L463"/>
      <c r="M463"/>
      <c r="N463" s="392"/>
      <c r="O463" s="2"/>
      <c r="S463"/>
      <c r="T463"/>
      <c r="U463"/>
      <c r="W463"/>
    </row>
    <row r="464" spans="10:23" s="1" customFormat="1" x14ac:dyDescent="0.2">
      <c r="J464"/>
      <c r="K464"/>
      <c r="L464"/>
      <c r="M464"/>
      <c r="N464" s="392"/>
      <c r="O464" s="2"/>
      <c r="S464"/>
      <c r="T464"/>
      <c r="U464"/>
      <c r="W464"/>
    </row>
    <row r="465" spans="10:23" s="1" customFormat="1" x14ac:dyDescent="0.2">
      <c r="J465"/>
      <c r="K465"/>
      <c r="L465"/>
      <c r="M465"/>
      <c r="N465" s="392"/>
      <c r="O465" s="2"/>
      <c r="S465"/>
      <c r="T465"/>
      <c r="U465"/>
      <c r="W465"/>
    </row>
    <row r="466" spans="10:23" s="1" customFormat="1" x14ac:dyDescent="0.2">
      <c r="J466"/>
      <c r="K466"/>
      <c r="L466"/>
      <c r="M466"/>
      <c r="N466" s="392"/>
      <c r="O466" s="2"/>
      <c r="S466"/>
      <c r="T466"/>
      <c r="U466"/>
      <c r="W466"/>
    </row>
    <row r="467" spans="10:23" s="1" customFormat="1" x14ac:dyDescent="0.2">
      <c r="J467"/>
      <c r="K467"/>
      <c r="L467"/>
      <c r="M467"/>
      <c r="N467" s="392"/>
      <c r="O467" s="2"/>
      <c r="S467"/>
      <c r="T467"/>
      <c r="U467"/>
      <c r="W467"/>
    </row>
    <row r="468" spans="10:23" s="1" customFormat="1" x14ac:dyDescent="0.2">
      <c r="J468"/>
      <c r="K468"/>
      <c r="L468"/>
      <c r="M468"/>
      <c r="N468" s="392"/>
      <c r="O468" s="2"/>
      <c r="S468"/>
      <c r="T468"/>
      <c r="U468"/>
      <c r="W468"/>
    </row>
    <row r="469" spans="10:23" s="1" customFormat="1" x14ac:dyDescent="0.2">
      <c r="J469"/>
      <c r="K469"/>
      <c r="L469"/>
      <c r="M469"/>
      <c r="N469" s="392"/>
      <c r="O469" s="2"/>
      <c r="S469"/>
      <c r="T469"/>
      <c r="U469"/>
      <c r="W469"/>
    </row>
    <row r="470" spans="10:23" s="1" customFormat="1" x14ac:dyDescent="0.2">
      <c r="J470"/>
      <c r="K470"/>
      <c r="L470"/>
      <c r="M470"/>
      <c r="N470" s="392"/>
      <c r="O470" s="2"/>
      <c r="S470"/>
      <c r="T470"/>
      <c r="U470"/>
      <c r="W470"/>
    </row>
    <row r="471" spans="10:23" s="1" customFormat="1" x14ac:dyDescent="0.2">
      <c r="J471"/>
      <c r="K471"/>
      <c r="L471"/>
      <c r="M471"/>
      <c r="N471" s="392"/>
      <c r="O471" s="2"/>
      <c r="S471"/>
      <c r="T471"/>
      <c r="U471"/>
      <c r="W471"/>
    </row>
    <row r="472" spans="10:23" s="1" customFormat="1" x14ac:dyDescent="0.2">
      <c r="J472"/>
      <c r="K472"/>
      <c r="L472"/>
      <c r="M472"/>
      <c r="N472" s="392"/>
      <c r="O472" s="2"/>
      <c r="S472"/>
      <c r="T472"/>
      <c r="U472"/>
      <c r="W472"/>
    </row>
    <row r="473" spans="10:23" s="1" customFormat="1" x14ac:dyDescent="0.2">
      <c r="J473"/>
      <c r="K473"/>
      <c r="L473"/>
      <c r="M473"/>
      <c r="N473" s="392"/>
      <c r="O473" s="2"/>
      <c r="S473"/>
      <c r="T473"/>
      <c r="U473"/>
      <c r="W473"/>
    </row>
    <row r="474" spans="10:23" s="1" customFormat="1" x14ac:dyDescent="0.2">
      <c r="J474"/>
      <c r="K474"/>
      <c r="L474"/>
      <c r="M474"/>
      <c r="N474" s="392"/>
      <c r="O474" s="2"/>
      <c r="S474"/>
      <c r="T474"/>
      <c r="U474"/>
      <c r="W474"/>
    </row>
    <row r="475" spans="10:23" s="1" customFormat="1" x14ac:dyDescent="0.2">
      <c r="J475"/>
      <c r="K475"/>
      <c r="L475"/>
      <c r="M475"/>
      <c r="N475" s="392"/>
      <c r="O475" s="2"/>
      <c r="S475"/>
      <c r="T475"/>
      <c r="U475"/>
      <c r="W475"/>
    </row>
    <row r="476" spans="10:23" s="1" customFormat="1" x14ac:dyDescent="0.2">
      <c r="J476"/>
      <c r="K476"/>
      <c r="L476"/>
      <c r="M476"/>
      <c r="N476" s="392"/>
      <c r="O476" s="2"/>
      <c r="S476"/>
      <c r="T476"/>
      <c r="U476"/>
      <c r="W476"/>
    </row>
    <row r="477" spans="10:23" s="1" customFormat="1" x14ac:dyDescent="0.2">
      <c r="J477"/>
      <c r="K477"/>
      <c r="L477"/>
      <c r="M477"/>
      <c r="N477" s="392"/>
      <c r="O477" s="2"/>
      <c r="S477"/>
      <c r="T477"/>
      <c r="U477"/>
      <c r="W477"/>
    </row>
    <row r="478" spans="10:23" s="1" customFormat="1" x14ac:dyDescent="0.2">
      <c r="J478"/>
      <c r="K478"/>
      <c r="L478"/>
      <c r="M478"/>
      <c r="N478" s="392"/>
      <c r="O478" s="2"/>
      <c r="S478"/>
      <c r="T478"/>
      <c r="U478"/>
      <c r="W478"/>
    </row>
    <row r="479" spans="10:23" s="1" customFormat="1" x14ac:dyDescent="0.2">
      <c r="J479"/>
      <c r="K479"/>
      <c r="L479"/>
      <c r="M479"/>
      <c r="N479" s="392"/>
      <c r="O479" s="2"/>
      <c r="S479"/>
      <c r="T479"/>
      <c r="U479"/>
      <c r="W479"/>
    </row>
    <row r="480" spans="10:23" s="1" customFormat="1" x14ac:dyDescent="0.2">
      <c r="J480"/>
      <c r="K480"/>
      <c r="L480"/>
      <c r="M480"/>
      <c r="N480" s="392"/>
      <c r="O480" s="2"/>
      <c r="S480"/>
      <c r="T480"/>
      <c r="U480"/>
      <c r="W480"/>
    </row>
    <row r="481" spans="10:23" s="1" customFormat="1" x14ac:dyDescent="0.2">
      <c r="J481"/>
      <c r="K481"/>
      <c r="L481"/>
      <c r="M481"/>
      <c r="N481" s="392"/>
      <c r="O481" s="2"/>
      <c r="S481"/>
      <c r="T481"/>
      <c r="U481"/>
      <c r="W481"/>
    </row>
    <row r="482" spans="10:23" s="1" customFormat="1" x14ac:dyDescent="0.2">
      <c r="J482"/>
      <c r="K482"/>
      <c r="L482"/>
      <c r="M482"/>
      <c r="N482" s="392"/>
      <c r="O482" s="2"/>
      <c r="S482"/>
      <c r="T482"/>
      <c r="U482"/>
      <c r="W482"/>
    </row>
    <row r="483" spans="10:23" s="1" customFormat="1" x14ac:dyDescent="0.2">
      <c r="J483"/>
      <c r="K483"/>
      <c r="L483"/>
      <c r="M483"/>
      <c r="N483" s="392"/>
      <c r="O483" s="2"/>
      <c r="S483"/>
      <c r="T483"/>
      <c r="U483"/>
      <c r="W483"/>
    </row>
    <row r="484" spans="10:23" s="1" customFormat="1" x14ac:dyDescent="0.2">
      <c r="J484"/>
      <c r="K484"/>
      <c r="L484"/>
      <c r="M484"/>
      <c r="N484" s="392"/>
      <c r="O484" s="2"/>
      <c r="S484"/>
      <c r="T484"/>
      <c r="U484"/>
      <c r="W484"/>
    </row>
    <row r="485" spans="10:23" s="1" customFormat="1" x14ac:dyDescent="0.2">
      <c r="J485"/>
      <c r="K485"/>
      <c r="L485"/>
      <c r="M485"/>
      <c r="N485" s="392"/>
      <c r="O485" s="2"/>
      <c r="S485"/>
      <c r="T485"/>
      <c r="U485"/>
      <c r="W485"/>
    </row>
    <row r="486" spans="10:23" s="1" customFormat="1" x14ac:dyDescent="0.2">
      <c r="J486"/>
      <c r="K486"/>
      <c r="L486"/>
      <c r="M486"/>
      <c r="N486" s="392"/>
      <c r="O486" s="2"/>
      <c r="S486"/>
      <c r="T486"/>
      <c r="U486"/>
      <c r="W486"/>
    </row>
    <row r="487" spans="10:23" s="1" customFormat="1" x14ac:dyDescent="0.2">
      <c r="J487"/>
      <c r="K487"/>
      <c r="L487"/>
      <c r="M487"/>
      <c r="N487" s="392"/>
      <c r="O487" s="2"/>
      <c r="S487"/>
      <c r="T487"/>
      <c r="U487"/>
      <c r="W487"/>
    </row>
    <row r="488" spans="10:23" s="1" customFormat="1" x14ac:dyDescent="0.2">
      <c r="J488"/>
      <c r="K488"/>
      <c r="L488"/>
      <c r="M488"/>
      <c r="N488" s="392"/>
      <c r="O488" s="2"/>
      <c r="S488"/>
      <c r="T488"/>
      <c r="U488"/>
      <c r="W488"/>
    </row>
    <row r="489" spans="10:23" s="1" customFormat="1" x14ac:dyDescent="0.2">
      <c r="J489"/>
      <c r="K489"/>
      <c r="L489"/>
      <c r="M489"/>
      <c r="N489" s="392"/>
      <c r="O489" s="2"/>
      <c r="S489"/>
      <c r="T489"/>
      <c r="U489"/>
      <c r="W489"/>
    </row>
    <row r="490" spans="10:23" s="1" customFormat="1" x14ac:dyDescent="0.2">
      <c r="J490"/>
      <c r="K490"/>
      <c r="L490"/>
      <c r="M490"/>
      <c r="N490" s="392"/>
      <c r="O490" s="2"/>
      <c r="S490"/>
      <c r="T490"/>
      <c r="U490"/>
      <c r="W490"/>
    </row>
    <row r="491" spans="10:23" s="1" customFormat="1" x14ac:dyDescent="0.2">
      <c r="J491"/>
      <c r="K491"/>
      <c r="L491"/>
      <c r="M491"/>
      <c r="N491" s="392"/>
      <c r="O491" s="2"/>
      <c r="S491"/>
      <c r="T491"/>
      <c r="U491"/>
      <c r="W491"/>
    </row>
    <row r="492" spans="10:23" s="1" customFormat="1" x14ac:dyDescent="0.2">
      <c r="J492"/>
      <c r="K492"/>
      <c r="L492"/>
      <c r="M492"/>
      <c r="N492" s="392"/>
      <c r="O492" s="2"/>
      <c r="S492"/>
      <c r="T492"/>
      <c r="U492"/>
      <c r="W492"/>
    </row>
    <row r="493" spans="10:23" s="1" customFormat="1" x14ac:dyDescent="0.2">
      <c r="J493"/>
      <c r="K493"/>
      <c r="L493"/>
      <c r="M493"/>
      <c r="N493" s="392"/>
      <c r="O493" s="2"/>
      <c r="S493"/>
      <c r="T493"/>
      <c r="U493"/>
      <c r="W493"/>
    </row>
    <row r="494" spans="10:23" s="1" customFormat="1" x14ac:dyDescent="0.2">
      <c r="J494"/>
      <c r="K494"/>
      <c r="L494"/>
      <c r="M494"/>
      <c r="N494" s="392"/>
      <c r="O494" s="2"/>
      <c r="S494"/>
      <c r="T494"/>
      <c r="U494"/>
      <c r="W494"/>
    </row>
    <row r="495" spans="10:23" s="1" customFormat="1" x14ac:dyDescent="0.2">
      <c r="J495"/>
      <c r="K495"/>
      <c r="L495"/>
      <c r="M495"/>
      <c r="N495" s="392"/>
      <c r="O495" s="2"/>
      <c r="S495"/>
      <c r="T495"/>
      <c r="U495"/>
      <c r="W495"/>
    </row>
    <row r="496" spans="10:23" s="1" customFormat="1" x14ac:dyDescent="0.2">
      <c r="J496"/>
      <c r="K496"/>
      <c r="L496"/>
      <c r="M496"/>
      <c r="N496" s="392"/>
      <c r="O496" s="2"/>
      <c r="S496"/>
      <c r="T496"/>
      <c r="U496"/>
      <c r="W496"/>
    </row>
    <row r="497" spans="10:23" s="1" customFormat="1" x14ac:dyDescent="0.2">
      <c r="J497"/>
      <c r="K497"/>
      <c r="L497"/>
      <c r="M497"/>
      <c r="N497" s="392"/>
      <c r="O497" s="2"/>
      <c r="S497"/>
      <c r="T497"/>
      <c r="U497"/>
      <c r="W497"/>
    </row>
    <row r="498" spans="10:23" s="1" customFormat="1" x14ac:dyDescent="0.2">
      <c r="J498"/>
      <c r="K498"/>
      <c r="L498"/>
      <c r="M498"/>
      <c r="N498" s="392"/>
      <c r="O498" s="2"/>
      <c r="S498"/>
      <c r="T498"/>
      <c r="U498"/>
      <c r="W498"/>
    </row>
    <row r="499" spans="10:23" s="1" customFormat="1" x14ac:dyDescent="0.2">
      <c r="J499"/>
      <c r="K499"/>
      <c r="L499"/>
      <c r="M499"/>
      <c r="N499" s="392"/>
      <c r="O499" s="2"/>
      <c r="S499"/>
      <c r="T499"/>
      <c r="U499"/>
      <c r="W499"/>
    </row>
    <row r="500" spans="10:23" s="1" customFormat="1" x14ac:dyDescent="0.2">
      <c r="J500"/>
      <c r="K500"/>
      <c r="L500"/>
      <c r="M500"/>
      <c r="N500" s="392"/>
      <c r="O500" s="2"/>
      <c r="S500"/>
      <c r="T500"/>
      <c r="U500"/>
      <c r="W500"/>
    </row>
    <row r="501" spans="10:23" s="1" customFormat="1" x14ac:dyDescent="0.2">
      <c r="J501"/>
      <c r="K501"/>
      <c r="L501"/>
      <c r="M501"/>
      <c r="N501" s="392"/>
      <c r="O501" s="2"/>
      <c r="S501"/>
      <c r="T501"/>
      <c r="U501"/>
      <c r="W501"/>
    </row>
    <row r="502" spans="10:23" s="1" customFormat="1" x14ac:dyDescent="0.2">
      <c r="J502"/>
      <c r="K502"/>
      <c r="L502"/>
      <c r="M502"/>
      <c r="N502" s="392"/>
      <c r="O502" s="2"/>
      <c r="S502"/>
      <c r="T502"/>
      <c r="U502"/>
      <c r="W502"/>
    </row>
    <row r="503" spans="10:23" s="1" customFormat="1" x14ac:dyDescent="0.2">
      <c r="J503"/>
      <c r="K503"/>
      <c r="L503"/>
      <c r="M503"/>
      <c r="N503" s="392"/>
      <c r="O503" s="2"/>
      <c r="S503"/>
      <c r="T503"/>
      <c r="U503"/>
      <c r="W503"/>
    </row>
    <row r="504" spans="10:23" s="1" customFormat="1" x14ac:dyDescent="0.2">
      <c r="J504"/>
      <c r="K504"/>
      <c r="L504"/>
      <c r="M504"/>
      <c r="N504" s="392"/>
      <c r="O504" s="2"/>
      <c r="S504"/>
      <c r="T504"/>
      <c r="U504"/>
      <c r="W504"/>
    </row>
    <row r="505" spans="10:23" s="1" customFormat="1" x14ac:dyDescent="0.2">
      <c r="J505"/>
      <c r="K505"/>
      <c r="L505"/>
      <c r="M505"/>
      <c r="N505" s="392"/>
      <c r="O505" s="2"/>
      <c r="S505"/>
      <c r="T505"/>
      <c r="U505"/>
      <c r="W505"/>
    </row>
    <row r="506" spans="10:23" s="1" customFormat="1" x14ac:dyDescent="0.2">
      <c r="J506"/>
      <c r="K506"/>
      <c r="L506"/>
      <c r="M506"/>
      <c r="N506" s="392"/>
      <c r="O506" s="2"/>
      <c r="S506"/>
      <c r="T506"/>
      <c r="U506"/>
      <c r="W506"/>
    </row>
    <row r="507" spans="10:23" s="1" customFormat="1" x14ac:dyDescent="0.2">
      <c r="J507"/>
      <c r="K507"/>
      <c r="L507"/>
      <c r="M507"/>
      <c r="N507" s="392"/>
      <c r="O507" s="2"/>
      <c r="S507"/>
      <c r="T507"/>
      <c r="U507"/>
      <c r="W507"/>
    </row>
    <row r="508" spans="10:23" s="1" customFormat="1" x14ac:dyDescent="0.2">
      <c r="J508"/>
      <c r="K508"/>
      <c r="L508"/>
      <c r="M508"/>
      <c r="N508" s="392"/>
      <c r="O508" s="2"/>
      <c r="S508"/>
      <c r="T508"/>
      <c r="U508"/>
      <c r="W508"/>
    </row>
    <row r="509" spans="10:23" s="1" customFormat="1" x14ac:dyDescent="0.2">
      <c r="J509"/>
      <c r="K509"/>
      <c r="L509"/>
      <c r="M509"/>
      <c r="N509" s="392"/>
      <c r="O509" s="2"/>
      <c r="S509"/>
      <c r="T509"/>
      <c r="U509"/>
      <c r="W509"/>
    </row>
    <row r="510" spans="10:23" s="1" customFormat="1" x14ac:dyDescent="0.2">
      <c r="J510"/>
      <c r="K510"/>
      <c r="L510"/>
      <c r="M510"/>
      <c r="N510" s="392"/>
      <c r="O510" s="2"/>
      <c r="S510"/>
      <c r="T510"/>
      <c r="U510"/>
      <c r="W510"/>
    </row>
    <row r="511" spans="10:23" s="1" customFormat="1" x14ac:dyDescent="0.2">
      <c r="J511"/>
      <c r="K511"/>
      <c r="L511"/>
      <c r="M511"/>
      <c r="N511" s="392"/>
      <c r="O511" s="2"/>
      <c r="S511"/>
      <c r="T511"/>
      <c r="U511"/>
      <c r="W511"/>
    </row>
    <row r="512" spans="10:23" s="1" customFormat="1" x14ac:dyDescent="0.2">
      <c r="J512"/>
      <c r="K512"/>
      <c r="L512"/>
      <c r="M512"/>
      <c r="N512" s="392"/>
      <c r="O512" s="2"/>
      <c r="S512"/>
      <c r="T512"/>
      <c r="U512"/>
      <c r="W512"/>
    </row>
    <row r="513" spans="10:23" s="1" customFormat="1" x14ac:dyDescent="0.2">
      <c r="J513"/>
      <c r="K513"/>
      <c r="L513"/>
      <c r="M513"/>
      <c r="N513" s="392"/>
      <c r="O513" s="2"/>
      <c r="S513"/>
      <c r="T513"/>
      <c r="U513"/>
      <c r="W513"/>
    </row>
    <row r="514" spans="10:23" s="1" customFormat="1" x14ac:dyDescent="0.2">
      <c r="J514"/>
      <c r="K514"/>
      <c r="L514"/>
      <c r="M514"/>
      <c r="N514" s="392"/>
      <c r="O514" s="2"/>
      <c r="S514"/>
      <c r="T514"/>
      <c r="U514"/>
      <c r="W514"/>
    </row>
    <row r="515" spans="10:23" s="1" customFormat="1" x14ac:dyDescent="0.2">
      <c r="J515"/>
      <c r="K515"/>
      <c r="L515"/>
      <c r="M515"/>
      <c r="N515" s="392"/>
      <c r="O515" s="2"/>
      <c r="S515"/>
      <c r="T515"/>
      <c r="U515"/>
      <c r="W515"/>
    </row>
    <row r="516" spans="10:23" s="1" customFormat="1" x14ac:dyDescent="0.2">
      <c r="J516"/>
      <c r="K516"/>
      <c r="L516"/>
      <c r="M516"/>
      <c r="N516" s="392"/>
      <c r="O516" s="2"/>
      <c r="S516"/>
      <c r="T516"/>
      <c r="U516"/>
      <c r="W516"/>
    </row>
    <row r="517" spans="10:23" s="1" customFormat="1" x14ac:dyDescent="0.2">
      <c r="J517"/>
      <c r="K517"/>
      <c r="L517"/>
      <c r="M517"/>
      <c r="N517" s="392"/>
      <c r="O517" s="2"/>
      <c r="S517"/>
      <c r="T517"/>
      <c r="U517"/>
      <c r="W517"/>
    </row>
    <row r="518" spans="10:23" s="1" customFormat="1" x14ac:dyDescent="0.2">
      <c r="J518"/>
      <c r="K518"/>
      <c r="L518"/>
      <c r="M518"/>
      <c r="N518" s="392"/>
      <c r="O518" s="2"/>
      <c r="S518"/>
      <c r="T518"/>
      <c r="U518"/>
      <c r="W518"/>
    </row>
    <row r="519" spans="10:23" s="1" customFormat="1" x14ac:dyDescent="0.2">
      <c r="J519"/>
      <c r="K519"/>
      <c r="L519"/>
      <c r="M519"/>
      <c r="N519" s="392"/>
      <c r="O519" s="2"/>
      <c r="S519"/>
      <c r="T519"/>
      <c r="U519"/>
      <c r="W519"/>
    </row>
    <row r="520" spans="10:23" s="1" customFormat="1" x14ac:dyDescent="0.2">
      <c r="J520"/>
      <c r="K520"/>
      <c r="L520"/>
      <c r="M520"/>
      <c r="N520" s="392"/>
      <c r="O520" s="2"/>
      <c r="S520"/>
      <c r="T520"/>
      <c r="U520"/>
      <c r="W520"/>
    </row>
    <row r="521" spans="10:23" s="1" customFormat="1" x14ac:dyDescent="0.2">
      <c r="J521"/>
      <c r="K521"/>
      <c r="L521"/>
      <c r="M521"/>
      <c r="N521" s="392"/>
      <c r="O521" s="2"/>
      <c r="S521"/>
      <c r="T521"/>
      <c r="U521"/>
      <c r="W521"/>
    </row>
    <row r="522" spans="10:23" s="1" customFormat="1" x14ac:dyDescent="0.2">
      <c r="J522"/>
      <c r="K522"/>
      <c r="L522"/>
      <c r="M522"/>
      <c r="N522" s="392"/>
      <c r="O522" s="2"/>
      <c r="S522"/>
      <c r="T522"/>
      <c r="U522"/>
      <c r="W522"/>
    </row>
    <row r="523" spans="10:23" s="1" customFormat="1" x14ac:dyDescent="0.2">
      <c r="J523"/>
      <c r="K523"/>
      <c r="L523"/>
      <c r="M523"/>
      <c r="N523" s="392"/>
      <c r="O523" s="2"/>
      <c r="S523"/>
      <c r="T523"/>
      <c r="U523"/>
      <c r="W523"/>
    </row>
    <row r="524" spans="10:23" s="1" customFormat="1" x14ac:dyDescent="0.2">
      <c r="J524"/>
      <c r="K524"/>
      <c r="L524"/>
      <c r="M524"/>
      <c r="N524" s="392"/>
      <c r="O524" s="2"/>
      <c r="S524"/>
      <c r="T524"/>
      <c r="U524"/>
      <c r="W524"/>
    </row>
    <row r="525" spans="10:23" s="1" customFormat="1" x14ac:dyDescent="0.2">
      <c r="J525"/>
      <c r="K525"/>
      <c r="L525"/>
      <c r="M525"/>
      <c r="N525" s="392"/>
      <c r="O525" s="2"/>
      <c r="S525"/>
      <c r="T525"/>
      <c r="U525"/>
      <c r="W525"/>
    </row>
    <row r="526" spans="10:23" s="1" customFormat="1" x14ac:dyDescent="0.2">
      <c r="J526"/>
      <c r="K526"/>
      <c r="L526"/>
      <c r="M526"/>
      <c r="N526" s="392"/>
      <c r="O526" s="2"/>
      <c r="S526"/>
      <c r="T526"/>
      <c r="U526"/>
      <c r="W526"/>
    </row>
    <row r="527" spans="10:23" s="1" customFormat="1" x14ac:dyDescent="0.2">
      <c r="J527"/>
      <c r="K527"/>
      <c r="L527"/>
      <c r="M527"/>
      <c r="N527" s="392"/>
      <c r="O527" s="2"/>
      <c r="S527"/>
      <c r="T527"/>
      <c r="U527"/>
      <c r="W527"/>
    </row>
    <row r="528" spans="10:23" s="1" customFormat="1" x14ac:dyDescent="0.2">
      <c r="J528"/>
      <c r="K528"/>
      <c r="L528"/>
      <c r="M528"/>
      <c r="N528" s="392"/>
      <c r="O528" s="2"/>
      <c r="S528"/>
      <c r="T528"/>
      <c r="U528"/>
      <c r="W528"/>
    </row>
    <row r="529" spans="10:23" s="1" customFormat="1" x14ac:dyDescent="0.2">
      <c r="J529"/>
      <c r="K529"/>
      <c r="L529"/>
      <c r="M529"/>
      <c r="N529" s="392"/>
      <c r="O529" s="2"/>
      <c r="S529"/>
      <c r="T529"/>
      <c r="U529"/>
      <c r="W529"/>
    </row>
    <row r="530" spans="10:23" s="1" customFormat="1" x14ac:dyDescent="0.2">
      <c r="J530"/>
      <c r="K530"/>
      <c r="L530"/>
      <c r="M530"/>
      <c r="N530" s="392"/>
      <c r="O530" s="2"/>
      <c r="S530"/>
      <c r="T530"/>
      <c r="U530"/>
      <c r="W530"/>
    </row>
    <row r="531" spans="10:23" s="1" customFormat="1" x14ac:dyDescent="0.2">
      <c r="J531"/>
      <c r="K531"/>
      <c r="L531"/>
      <c r="M531"/>
      <c r="N531" s="392"/>
      <c r="O531" s="2"/>
      <c r="S531"/>
      <c r="T531"/>
      <c r="U531"/>
      <c r="W531"/>
    </row>
    <row r="532" spans="10:23" s="1" customFormat="1" x14ac:dyDescent="0.2">
      <c r="J532"/>
      <c r="K532"/>
      <c r="L532"/>
      <c r="M532"/>
      <c r="N532" s="392"/>
      <c r="O532" s="2"/>
      <c r="S532"/>
      <c r="T532"/>
      <c r="U532"/>
      <c r="W532"/>
    </row>
    <row r="533" spans="10:23" s="1" customFormat="1" x14ac:dyDescent="0.2">
      <c r="J533"/>
      <c r="K533"/>
      <c r="L533"/>
      <c r="M533"/>
      <c r="N533" s="392"/>
      <c r="O533" s="2"/>
      <c r="S533"/>
      <c r="T533"/>
      <c r="U533"/>
      <c r="W533"/>
    </row>
    <row r="534" spans="10:23" s="1" customFormat="1" x14ac:dyDescent="0.2">
      <c r="J534"/>
      <c r="K534"/>
      <c r="L534"/>
      <c r="M534"/>
      <c r="N534" s="392"/>
      <c r="O534" s="2"/>
      <c r="S534"/>
      <c r="T534"/>
      <c r="U534"/>
      <c r="W534"/>
    </row>
    <row r="535" spans="10:23" s="1" customFormat="1" x14ac:dyDescent="0.2">
      <c r="J535"/>
      <c r="K535"/>
      <c r="L535"/>
      <c r="M535"/>
      <c r="N535" s="392"/>
      <c r="O535" s="2"/>
      <c r="S535"/>
      <c r="T535"/>
      <c r="U535"/>
      <c r="W535"/>
    </row>
    <row r="536" spans="10:23" s="1" customFormat="1" x14ac:dyDescent="0.2">
      <c r="J536"/>
      <c r="K536"/>
      <c r="L536"/>
      <c r="M536"/>
      <c r="N536" s="392"/>
      <c r="O536" s="2"/>
      <c r="S536"/>
      <c r="T536"/>
      <c r="U536"/>
      <c r="W536"/>
    </row>
    <row r="537" spans="10:23" s="1" customFormat="1" x14ac:dyDescent="0.2">
      <c r="J537"/>
      <c r="K537"/>
      <c r="L537"/>
      <c r="M537"/>
      <c r="N537" s="392"/>
      <c r="O537" s="2"/>
      <c r="S537"/>
      <c r="T537"/>
      <c r="U537"/>
      <c r="W537"/>
    </row>
    <row r="538" spans="10:23" s="1" customFormat="1" x14ac:dyDescent="0.2">
      <c r="J538"/>
      <c r="K538"/>
      <c r="L538"/>
      <c r="M538"/>
      <c r="N538" s="392"/>
      <c r="O538" s="2"/>
      <c r="S538"/>
      <c r="T538"/>
      <c r="U538"/>
      <c r="W538"/>
    </row>
    <row r="539" spans="10:23" s="1" customFormat="1" x14ac:dyDescent="0.2">
      <c r="J539"/>
      <c r="K539"/>
      <c r="L539"/>
      <c r="M539"/>
      <c r="N539" s="392"/>
      <c r="O539" s="2"/>
      <c r="S539"/>
      <c r="T539"/>
      <c r="U539"/>
      <c r="W539"/>
    </row>
    <row r="540" spans="10:23" s="1" customFormat="1" x14ac:dyDescent="0.2">
      <c r="J540"/>
      <c r="K540"/>
      <c r="L540"/>
      <c r="M540"/>
      <c r="N540" s="392"/>
      <c r="O540" s="2"/>
      <c r="S540"/>
      <c r="T540"/>
      <c r="U540"/>
      <c r="W540"/>
    </row>
    <row r="541" spans="10:23" s="1" customFormat="1" x14ac:dyDescent="0.2">
      <c r="J541"/>
      <c r="K541"/>
      <c r="L541"/>
      <c r="M541"/>
      <c r="N541" s="392"/>
      <c r="O541" s="2"/>
      <c r="S541"/>
      <c r="T541"/>
      <c r="U541"/>
      <c r="W541"/>
    </row>
    <row r="542" spans="10:23" s="1" customFormat="1" x14ac:dyDescent="0.2">
      <c r="J542"/>
      <c r="K542"/>
      <c r="L542"/>
      <c r="M542"/>
      <c r="N542" s="392"/>
      <c r="O542" s="2"/>
      <c r="S542"/>
      <c r="T542"/>
      <c r="U542"/>
      <c r="W542"/>
    </row>
    <row r="543" spans="10:23" s="1" customFormat="1" x14ac:dyDescent="0.2">
      <c r="J543"/>
      <c r="K543"/>
      <c r="L543"/>
      <c r="M543"/>
      <c r="N543" s="392"/>
      <c r="O543" s="2"/>
      <c r="S543"/>
      <c r="T543"/>
      <c r="U543"/>
      <c r="W543"/>
    </row>
    <row r="544" spans="10:23" s="1" customFormat="1" x14ac:dyDescent="0.2">
      <c r="J544"/>
      <c r="K544"/>
      <c r="L544"/>
      <c r="M544"/>
      <c r="N544" s="392"/>
      <c r="O544" s="2"/>
      <c r="S544"/>
      <c r="T544"/>
      <c r="U544"/>
      <c r="W544"/>
    </row>
    <row r="545" spans="10:23" s="1" customFormat="1" x14ac:dyDescent="0.2">
      <c r="J545"/>
      <c r="K545"/>
      <c r="L545"/>
      <c r="M545"/>
      <c r="N545" s="392"/>
      <c r="O545" s="2"/>
      <c r="S545"/>
      <c r="T545"/>
      <c r="U545"/>
      <c r="W545"/>
    </row>
    <row r="546" spans="10:23" s="1" customFormat="1" x14ac:dyDescent="0.2">
      <c r="J546"/>
      <c r="K546"/>
      <c r="L546"/>
      <c r="M546"/>
      <c r="N546" s="392"/>
      <c r="O546" s="2"/>
      <c r="S546"/>
      <c r="T546"/>
      <c r="U546"/>
      <c r="W546"/>
    </row>
    <row r="547" spans="10:23" s="1" customFormat="1" x14ac:dyDescent="0.2">
      <c r="J547"/>
      <c r="K547"/>
      <c r="L547"/>
      <c r="M547"/>
      <c r="N547" s="392"/>
      <c r="O547" s="2"/>
      <c r="S547"/>
      <c r="T547"/>
      <c r="U547"/>
      <c r="W547"/>
    </row>
    <row r="548" spans="10:23" s="1" customFormat="1" x14ac:dyDescent="0.2">
      <c r="J548"/>
      <c r="K548"/>
      <c r="L548"/>
      <c r="M548"/>
      <c r="N548" s="392"/>
      <c r="O548" s="2"/>
      <c r="S548"/>
      <c r="T548"/>
      <c r="U548"/>
      <c r="W548"/>
    </row>
    <row r="549" spans="10:23" s="1" customFormat="1" x14ac:dyDescent="0.2">
      <c r="J549"/>
      <c r="K549"/>
      <c r="L549"/>
      <c r="M549"/>
      <c r="N549" s="392"/>
      <c r="O549" s="2"/>
      <c r="S549"/>
      <c r="T549"/>
      <c r="U549"/>
      <c r="W549"/>
    </row>
    <row r="550" spans="10:23" s="1" customFormat="1" x14ac:dyDescent="0.2">
      <c r="J550"/>
      <c r="K550"/>
      <c r="L550"/>
      <c r="M550"/>
      <c r="N550" s="392"/>
      <c r="O550" s="2"/>
      <c r="S550"/>
      <c r="T550"/>
      <c r="U550"/>
      <c r="W550"/>
    </row>
    <row r="551" spans="10:23" s="1" customFormat="1" x14ac:dyDescent="0.2">
      <c r="J551"/>
      <c r="K551"/>
      <c r="L551"/>
      <c r="M551"/>
      <c r="N551" s="392"/>
      <c r="O551" s="2"/>
      <c r="S551"/>
      <c r="T551"/>
      <c r="U551"/>
      <c r="W551"/>
    </row>
    <row r="552" spans="10:23" s="1" customFormat="1" x14ac:dyDescent="0.2">
      <c r="J552"/>
      <c r="K552"/>
      <c r="L552"/>
      <c r="M552"/>
      <c r="N552" s="392"/>
      <c r="O552" s="2"/>
      <c r="S552"/>
      <c r="T552"/>
      <c r="U552"/>
      <c r="W552"/>
    </row>
    <row r="553" spans="10:23" s="1" customFormat="1" x14ac:dyDescent="0.2">
      <c r="J553"/>
      <c r="K553"/>
      <c r="L553"/>
      <c r="M553"/>
      <c r="N553" s="392"/>
      <c r="O553" s="2"/>
      <c r="S553"/>
      <c r="T553"/>
      <c r="U553"/>
      <c r="W553"/>
    </row>
    <row r="554" spans="10:23" s="1" customFormat="1" x14ac:dyDescent="0.2">
      <c r="J554"/>
      <c r="K554"/>
      <c r="L554"/>
      <c r="M554"/>
      <c r="N554" s="392"/>
      <c r="O554" s="2"/>
      <c r="S554"/>
      <c r="T554"/>
      <c r="U554"/>
      <c r="W554"/>
    </row>
    <row r="555" spans="10:23" s="1" customFormat="1" x14ac:dyDescent="0.2">
      <c r="J555"/>
      <c r="K555"/>
      <c r="L555"/>
      <c r="M555"/>
      <c r="N555" s="392"/>
      <c r="O555" s="2"/>
      <c r="S555"/>
      <c r="T555"/>
      <c r="U555"/>
      <c r="W555"/>
    </row>
    <row r="556" spans="10:23" s="1" customFormat="1" x14ac:dyDescent="0.2">
      <c r="J556"/>
      <c r="K556"/>
      <c r="L556"/>
      <c r="M556"/>
      <c r="N556" s="392"/>
      <c r="O556" s="2"/>
      <c r="S556"/>
      <c r="T556"/>
      <c r="U556"/>
      <c r="W556"/>
    </row>
    <row r="557" spans="10:23" s="1" customFormat="1" x14ac:dyDescent="0.2">
      <c r="J557"/>
      <c r="K557"/>
      <c r="L557"/>
      <c r="M557"/>
      <c r="N557" s="392"/>
      <c r="O557" s="2"/>
      <c r="S557"/>
      <c r="T557"/>
      <c r="U557"/>
      <c r="W557"/>
    </row>
    <row r="558" spans="10:23" s="1" customFormat="1" x14ac:dyDescent="0.2">
      <c r="J558"/>
      <c r="K558"/>
      <c r="L558"/>
      <c r="M558"/>
      <c r="N558" s="392"/>
      <c r="O558" s="2"/>
      <c r="S558"/>
      <c r="T558"/>
      <c r="U558"/>
      <c r="W558"/>
    </row>
    <row r="559" spans="10:23" s="1" customFormat="1" x14ac:dyDescent="0.2">
      <c r="J559"/>
      <c r="K559"/>
      <c r="L559"/>
      <c r="M559"/>
      <c r="N559" s="392"/>
      <c r="O559" s="2"/>
      <c r="S559"/>
      <c r="T559"/>
      <c r="U559"/>
      <c r="W559"/>
    </row>
    <row r="560" spans="10:23" s="1" customFormat="1" x14ac:dyDescent="0.2">
      <c r="J560"/>
      <c r="K560"/>
      <c r="L560"/>
      <c r="M560"/>
      <c r="N560" s="392"/>
      <c r="O560" s="2"/>
      <c r="S560"/>
      <c r="T560"/>
      <c r="U560"/>
      <c r="W560"/>
    </row>
    <row r="561" spans="10:23" s="1" customFormat="1" x14ac:dyDescent="0.2">
      <c r="J561"/>
      <c r="K561"/>
      <c r="L561"/>
      <c r="M561"/>
      <c r="N561" s="392"/>
      <c r="O561" s="2"/>
      <c r="S561"/>
      <c r="T561"/>
      <c r="U561"/>
      <c r="W561"/>
    </row>
    <row r="562" spans="10:23" s="1" customFormat="1" x14ac:dyDescent="0.2">
      <c r="J562"/>
      <c r="K562"/>
      <c r="L562"/>
      <c r="M562"/>
      <c r="N562" s="392"/>
      <c r="O562" s="2"/>
      <c r="S562"/>
      <c r="T562"/>
      <c r="U562"/>
      <c r="W562"/>
    </row>
    <row r="563" spans="10:23" s="1" customFormat="1" x14ac:dyDescent="0.2">
      <c r="J563"/>
      <c r="K563"/>
      <c r="L563"/>
      <c r="M563"/>
      <c r="N563" s="392"/>
      <c r="O563" s="2"/>
      <c r="S563"/>
      <c r="T563"/>
      <c r="U563"/>
      <c r="W563"/>
    </row>
    <row r="564" spans="10:23" s="1" customFormat="1" x14ac:dyDescent="0.2">
      <c r="J564"/>
      <c r="K564"/>
      <c r="L564"/>
      <c r="M564"/>
      <c r="N564" s="392"/>
      <c r="O564" s="2"/>
      <c r="S564"/>
      <c r="T564"/>
      <c r="U564"/>
      <c r="W564"/>
    </row>
    <row r="565" spans="10:23" s="1" customFormat="1" x14ac:dyDescent="0.2">
      <c r="J565"/>
      <c r="K565"/>
      <c r="L565"/>
      <c r="M565"/>
      <c r="N565" s="392"/>
      <c r="O565" s="2"/>
      <c r="S565"/>
      <c r="T565"/>
      <c r="U565"/>
      <c r="W565"/>
    </row>
    <row r="566" spans="10:23" s="1" customFormat="1" x14ac:dyDescent="0.2">
      <c r="J566"/>
      <c r="K566"/>
      <c r="L566"/>
      <c r="M566"/>
      <c r="N566" s="392"/>
      <c r="O566" s="2"/>
      <c r="S566"/>
      <c r="T566"/>
      <c r="U566"/>
      <c r="W566"/>
    </row>
    <row r="567" spans="10:23" s="1" customFormat="1" x14ac:dyDescent="0.2">
      <c r="J567"/>
      <c r="K567"/>
      <c r="L567"/>
      <c r="M567"/>
      <c r="N567" s="392"/>
      <c r="O567" s="2"/>
      <c r="S567"/>
      <c r="T567"/>
      <c r="U567"/>
      <c r="W567"/>
    </row>
    <row r="568" spans="10:23" s="1" customFormat="1" x14ac:dyDescent="0.2">
      <c r="J568"/>
      <c r="K568"/>
      <c r="L568"/>
      <c r="M568"/>
      <c r="N568" s="392"/>
      <c r="O568" s="2"/>
      <c r="S568"/>
      <c r="T568"/>
      <c r="U568"/>
      <c r="W568"/>
    </row>
    <row r="569" spans="10:23" s="1" customFormat="1" x14ac:dyDescent="0.2">
      <c r="J569"/>
      <c r="K569"/>
      <c r="L569"/>
      <c r="M569"/>
      <c r="N569" s="392"/>
      <c r="O569" s="2"/>
      <c r="S569"/>
      <c r="T569"/>
      <c r="U569"/>
      <c r="W569"/>
    </row>
    <row r="570" spans="10:23" s="1" customFormat="1" x14ac:dyDescent="0.2">
      <c r="J570"/>
      <c r="K570"/>
      <c r="L570"/>
      <c r="M570"/>
      <c r="N570" s="392"/>
      <c r="O570" s="2"/>
      <c r="S570"/>
      <c r="T570"/>
      <c r="U570"/>
      <c r="W570"/>
    </row>
    <row r="571" spans="10:23" s="1" customFormat="1" x14ac:dyDescent="0.2">
      <c r="J571"/>
      <c r="K571"/>
      <c r="L571"/>
      <c r="M571"/>
      <c r="N571" s="392"/>
      <c r="O571" s="2"/>
      <c r="S571"/>
      <c r="T571"/>
      <c r="U571"/>
      <c r="W571"/>
    </row>
    <row r="572" spans="10:23" s="1" customFormat="1" x14ac:dyDescent="0.2">
      <c r="J572"/>
      <c r="K572"/>
      <c r="L572"/>
      <c r="M572"/>
      <c r="N572" s="392"/>
      <c r="O572" s="2"/>
      <c r="S572"/>
      <c r="T572"/>
      <c r="U572"/>
      <c r="W572"/>
    </row>
    <row r="573" spans="10:23" s="1" customFormat="1" x14ac:dyDescent="0.2">
      <c r="J573"/>
      <c r="K573"/>
      <c r="L573"/>
      <c r="M573"/>
      <c r="N573" s="392"/>
      <c r="O573" s="2"/>
      <c r="S573"/>
      <c r="T573"/>
      <c r="U573"/>
      <c r="W573"/>
    </row>
    <row r="574" spans="10:23" s="1" customFormat="1" x14ac:dyDescent="0.2">
      <c r="J574"/>
      <c r="K574"/>
      <c r="L574"/>
      <c r="M574"/>
      <c r="N574" s="392"/>
      <c r="O574" s="2"/>
      <c r="S574"/>
      <c r="T574"/>
      <c r="U574"/>
      <c r="W574"/>
    </row>
    <row r="575" spans="10:23" s="1" customFormat="1" x14ac:dyDescent="0.2">
      <c r="J575"/>
      <c r="K575"/>
      <c r="L575"/>
      <c r="M575"/>
      <c r="N575" s="392"/>
      <c r="O575" s="2"/>
      <c r="S575"/>
      <c r="T575"/>
      <c r="U575"/>
      <c r="W575"/>
    </row>
    <row r="576" spans="10:23" s="1" customFormat="1" x14ac:dyDescent="0.2">
      <c r="J576"/>
      <c r="K576"/>
      <c r="L576"/>
      <c r="M576"/>
      <c r="N576" s="392"/>
      <c r="O576" s="2"/>
      <c r="S576"/>
      <c r="T576"/>
      <c r="U576"/>
      <c r="W576"/>
    </row>
    <row r="577" spans="10:23" s="1" customFormat="1" x14ac:dyDescent="0.2">
      <c r="J577"/>
      <c r="K577"/>
      <c r="L577"/>
      <c r="M577"/>
      <c r="N577" s="392"/>
      <c r="O577" s="2"/>
      <c r="S577"/>
      <c r="T577"/>
      <c r="U577"/>
      <c r="W577"/>
    </row>
    <row r="578" spans="10:23" s="1" customFormat="1" x14ac:dyDescent="0.2">
      <c r="J578"/>
      <c r="K578"/>
      <c r="L578"/>
      <c r="M578"/>
      <c r="N578" s="392"/>
      <c r="O578" s="2"/>
      <c r="S578"/>
      <c r="T578"/>
      <c r="U578"/>
      <c r="W578"/>
    </row>
    <row r="579" spans="10:23" s="1" customFormat="1" x14ac:dyDescent="0.2">
      <c r="J579"/>
      <c r="K579"/>
      <c r="L579"/>
      <c r="M579"/>
      <c r="N579" s="392"/>
      <c r="O579" s="2"/>
      <c r="S579"/>
      <c r="T579"/>
      <c r="U579"/>
      <c r="W579"/>
    </row>
    <row r="580" spans="10:23" s="1" customFormat="1" x14ac:dyDescent="0.2">
      <c r="J580"/>
      <c r="K580"/>
      <c r="L580"/>
      <c r="M580"/>
      <c r="N580" s="392"/>
      <c r="O580" s="2"/>
      <c r="S580"/>
      <c r="T580"/>
      <c r="U580"/>
      <c r="W580"/>
    </row>
    <row r="581" spans="10:23" s="1" customFormat="1" x14ac:dyDescent="0.2">
      <c r="J581"/>
      <c r="K581"/>
      <c r="L581"/>
      <c r="M581"/>
      <c r="N581" s="392"/>
      <c r="O581" s="2"/>
      <c r="S581"/>
      <c r="T581"/>
      <c r="U581"/>
      <c r="W581"/>
    </row>
    <row r="582" spans="10:23" s="1" customFormat="1" x14ac:dyDescent="0.2">
      <c r="J582"/>
      <c r="K582"/>
      <c r="L582"/>
      <c r="M582"/>
      <c r="N582" s="392"/>
      <c r="O582" s="2"/>
      <c r="S582"/>
      <c r="T582"/>
      <c r="U582"/>
      <c r="W582"/>
    </row>
    <row r="583" spans="10:23" s="1" customFormat="1" x14ac:dyDescent="0.2">
      <c r="J583"/>
      <c r="K583"/>
      <c r="L583"/>
      <c r="M583"/>
      <c r="N583" s="392"/>
      <c r="O583" s="2"/>
      <c r="S583"/>
      <c r="T583"/>
      <c r="U583"/>
      <c r="W583"/>
    </row>
    <row r="584" spans="10:23" s="1" customFormat="1" x14ac:dyDescent="0.2">
      <c r="J584"/>
      <c r="K584"/>
      <c r="L584"/>
      <c r="M584"/>
      <c r="N584" s="392"/>
      <c r="O584" s="2"/>
      <c r="S584"/>
      <c r="T584"/>
      <c r="U584"/>
      <c r="W584"/>
    </row>
    <row r="585" spans="10:23" s="1" customFormat="1" x14ac:dyDescent="0.2">
      <c r="J585"/>
      <c r="K585"/>
      <c r="L585"/>
      <c r="M585"/>
      <c r="N585" s="392"/>
      <c r="O585" s="2"/>
      <c r="S585"/>
      <c r="T585"/>
      <c r="U585"/>
      <c r="W585"/>
    </row>
    <row r="586" spans="10:23" s="1" customFormat="1" x14ac:dyDescent="0.2">
      <c r="J586"/>
      <c r="K586"/>
      <c r="L586"/>
      <c r="M586"/>
      <c r="N586" s="392"/>
      <c r="O586" s="2"/>
      <c r="S586"/>
      <c r="T586"/>
      <c r="U586"/>
      <c r="W586"/>
    </row>
    <row r="587" spans="10:23" s="1" customFormat="1" x14ac:dyDescent="0.2">
      <c r="J587"/>
      <c r="K587"/>
      <c r="L587"/>
      <c r="M587"/>
      <c r="N587" s="392"/>
      <c r="O587" s="2"/>
      <c r="S587"/>
      <c r="T587"/>
      <c r="U587"/>
      <c r="W587"/>
    </row>
    <row r="588" spans="10:23" s="1" customFormat="1" x14ac:dyDescent="0.2">
      <c r="J588"/>
      <c r="K588"/>
      <c r="L588"/>
      <c r="M588"/>
      <c r="N588" s="392"/>
      <c r="O588" s="2"/>
      <c r="S588"/>
      <c r="T588"/>
      <c r="U588"/>
      <c r="W588"/>
    </row>
    <row r="589" spans="10:23" s="1" customFormat="1" x14ac:dyDescent="0.2">
      <c r="J589"/>
      <c r="K589"/>
      <c r="L589"/>
      <c r="M589"/>
      <c r="N589" s="392"/>
      <c r="O589" s="2"/>
      <c r="S589"/>
      <c r="T589"/>
      <c r="U589"/>
      <c r="W589"/>
    </row>
    <row r="590" spans="10:23" s="1" customFormat="1" x14ac:dyDescent="0.2">
      <c r="J590"/>
      <c r="K590"/>
      <c r="L590"/>
      <c r="M590"/>
      <c r="N590" s="392"/>
      <c r="O590" s="2"/>
      <c r="S590"/>
      <c r="T590"/>
      <c r="U590"/>
      <c r="W590"/>
    </row>
    <row r="591" spans="10:23" s="1" customFormat="1" x14ac:dyDescent="0.2">
      <c r="J591"/>
      <c r="K591"/>
      <c r="L591"/>
      <c r="M591"/>
      <c r="N591" s="392"/>
      <c r="O591" s="2"/>
      <c r="S591"/>
      <c r="T591"/>
      <c r="U591"/>
      <c r="W591"/>
    </row>
    <row r="592" spans="10:23" s="1" customFormat="1" x14ac:dyDescent="0.2">
      <c r="J592"/>
      <c r="K592"/>
      <c r="L592"/>
      <c r="M592"/>
      <c r="N592" s="392"/>
      <c r="O592" s="2"/>
      <c r="S592"/>
      <c r="T592"/>
      <c r="U592"/>
      <c r="W592"/>
    </row>
    <row r="593" spans="10:23" s="1" customFormat="1" x14ac:dyDescent="0.2">
      <c r="J593"/>
      <c r="K593"/>
      <c r="L593"/>
      <c r="M593"/>
      <c r="N593" s="392"/>
      <c r="O593" s="2"/>
      <c r="S593"/>
      <c r="T593"/>
      <c r="U593"/>
      <c r="W593"/>
    </row>
    <row r="594" spans="10:23" s="1" customFormat="1" x14ac:dyDescent="0.2">
      <c r="J594"/>
      <c r="K594"/>
      <c r="L594"/>
      <c r="M594"/>
      <c r="N594" s="392"/>
      <c r="O594" s="2"/>
      <c r="S594"/>
      <c r="T594"/>
      <c r="U594"/>
      <c r="W594"/>
    </row>
    <row r="595" spans="10:23" s="1" customFormat="1" x14ac:dyDescent="0.2">
      <c r="J595"/>
      <c r="K595"/>
      <c r="L595"/>
      <c r="M595"/>
      <c r="N595" s="392"/>
      <c r="O595" s="2"/>
      <c r="S595"/>
      <c r="T595"/>
      <c r="U595"/>
      <c r="W595"/>
    </row>
    <row r="596" spans="10:23" s="1" customFormat="1" x14ac:dyDescent="0.2">
      <c r="J596"/>
      <c r="K596"/>
      <c r="L596"/>
      <c r="M596"/>
      <c r="N596" s="392"/>
      <c r="O596" s="2"/>
      <c r="S596"/>
      <c r="T596"/>
      <c r="U596"/>
      <c r="W596"/>
    </row>
    <row r="597" spans="10:23" s="1" customFormat="1" x14ac:dyDescent="0.2">
      <c r="J597"/>
      <c r="K597"/>
      <c r="L597"/>
      <c r="M597"/>
      <c r="N597" s="392"/>
      <c r="O597" s="2"/>
      <c r="S597"/>
      <c r="T597"/>
      <c r="U597"/>
      <c r="W597"/>
    </row>
    <row r="598" spans="10:23" s="1" customFormat="1" x14ac:dyDescent="0.2">
      <c r="J598"/>
      <c r="K598"/>
      <c r="L598"/>
      <c r="M598"/>
      <c r="N598" s="392"/>
      <c r="O598" s="2"/>
      <c r="S598"/>
      <c r="T598"/>
      <c r="U598"/>
      <c r="W598"/>
    </row>
    <row r="599" spans="10:23" s="1" customFormat="1" x14ac:dyDescent="0.2">
      <c r="J599"/>
      <c r="K599"/>
      <c r="L599"/>
      <c r="M599"/>
      <c r="N599" s="392"/>
      <c r="O599" s="2"/>
      <c r="S599"/>
      <c r="T599"/>
      <c r="U599"/>
      <c r="W599"/>
    </row>
    <row r="600" spans="10:23" s="1" customFormat="1" x14ac:dyDescent="0.2">
      <c r="J600"/>
      <c r="K600"/>
      <c r="L600"/>
      <c r="M600"/>
      <c r="N600" s="392"/>
      <c r="O600" s="2"/>
      <c r="S600"/>
      <c r="T600"/>
      <c r="U600"/>
      <c r="W600"/>
    </row>
    <row r="601" spans="10:23" s="1" customFormat="1" x14ac:dyDescent="0.2">
      <c r="J601"/>
      <c r="K601"/>
      <c r="L601"/>
      <c r="M601"/>
      <c r="N601" s="392"/>
      <c r="O601" s="2"/>
      <c r="S601"/>
      <c r="T601"/>
      <c r="U601"/>
      <c r="W601"/>
    </row>
    <row r="602" spans="10:23" s="1" customFormat="1" x14ac:dyDescent="0.2">
      <c r="J602"/>
      <c r="K602"/>
      <c r="L602"/>
      <c r="M602"/>
      <c r="N602" s="392"/>
      <c r="O602" s="2"/>
      <c r="S602"/>
      <c r="T602"/>
      <c r="U602"/>
      <c r="W602"/>
    </row>
    <row r="603" spans="10:23" s="1" customFormat="1" x14ac:dyDescent="0.2">
      <c r="J603"/>
      <c r="K603"/>
      <c r="L603"/>
      <c r="M603"/>
      <c r="N603" s="392"/>
      <c r="O603" s="2"/>
      <c r="S603"/>
      <c r="T603"/>
      <c r="U603"/>
      <c r="W603"/>
    </row>
    <row r="604" spans="10:23" s="1" customFormat="1" x14ac:dyDescent="0.2">
      <c r="J604"/>
      <c r="K604"/>
      <c r="L604"/>
      <c r="M604"/>
      <c r="N604" s="392"/>
      <c r="O604" s="2"/>
      <c r="S604"/>
      <c r="T604"/>
      <c r="U604"/>
      <c r="W604"/>
    </row>
    <row r="605" spans="10:23" s="1" customFormat="1" x14ac:dyDescent="0.2">
      <c r="J605"/>
      <c r="K605"/>
      <c r="L605"/>
      <c r="M605"/>
      <c r="N605" s="392"/>
      <c r="O605" s="2"/>
      <c r="S605"/>
      <c r="T605"/>
      <c r="U605"/>
      <c r="W605"/>
    </row>
    <row r="606" spans="10:23" s="1" customFormat="1" x14ac:dyDescent="0.2">
      <c r="J606"/>
      <c r="K606"/>
      <c r="L606"/>
      <c r="M606"/>
      <c r="N606" s="392"/>
      <c r="O606" s="2"/>
      <c r="S606"/>
      <c r="T606"/>
      <c r="U606"/>
      <c r="W606"/>
    </row>
    <row r="607" spans="10:23" s="1" customFormat="1" x14ac:dyDescent="0.2">
      <c r="J607"/>
      <c r="K607"/>
      <c r="L607"/>
      <c r="M607"/>
      <c r="N607" s="392"/>
      <c r="O607" s="2"/>
      <c r="S607"/>
      <c r="T607"/>
      <c r="U607"/>
      <c r="W607"/>
    </row>
    <row r="608" spans="10:23" s="1" customFormat="1" x14ac:dyDescent="0.2">
      <c r="J608"/>
      <c r="K608"/>
      <c r="L608"/>
      <c r="M608"/>
      <c r="N608" s="392"/>
      <c r="O608" s="2"/>
      <c r="S608"/>
      <c r="T608"/>
      <c r="U608"/>
      <c r="W608"/>
    </row>
    <row r="609" spans="10:23" s="1" customFormat="1" x14ac:dyDescent="0.2">
      <c r="J609"/>
      <c r="K609"/>
      <c r="L609"/>
      <c r="M609"/>
      <c r="N609" s="392"/>
      <c r="O609" s="2"/>
      <c r="S609"/>
      <c r="T609"/>
      <c r="U609"/>
      <c r="W609"/>
    </row>
    <row r="610" spans="10:23" s="1" customFormat="1" x14ac:dyDescent="0.2">
      <c r="J610"/>
      <c r="K610"/>
      <c r="L610"/>
      <c r="M610"/>
      <c r="N610" s="392"/>
      <c r="O610" s="2"/>
      <c r="S610"/>
      <c r="T610"/>
      <c r="U610"/>
      <c r="W610"/>
    </row>
    <row r="611" spans="10:23" s="1" customFormat="1" x14ac:dyDescent="0.2">
      <c r="J611"/>
      <c r="K611"/>
      <c r="L611"/>
      <c r="M611"/>
      <c r="N611" s="392"/>
      <c r="O611" s="2"/>
      <c r="S611"/>
      <c r="T611"/>
      <c r="U611"/>
      <c r="W611"/>
    </row>
    <row r="612" spans="10:23" s="1" customFormat="1" x14ac:dyDescent="0.2">
      <c r="J612"/>
      <c r="K612"/>
      <c r="L612"/>
      <c r="M612"/>
      <c r="N612" s="392"/>
      <c r="O612" s="2"/>
      <c r="S612"/>
      <c r="T612"/>
      <c r="U612"/>
      <c r="W612"/>
    </row>
    <row r="613" spans="10:23" s="1" customFormat="1" x14ac:dyDescent="0.2">
      <c r="J613"/>
      <c r="K613"/>
      <c r="L613"/>
      <c r="M613"/>
      <c r="N613" s="392"/>
      <c r="O613" s="2"/>
      <c r="S613"/>
      <c r="T613"/>
      <c r="U613"/>
      <c r="W613"/>
    </row>
    <row r="614" spans="10:23" s="1" customFormat="1" x14ac:dyDescent="0.2">
      <c r="J614"/>
      <c r="K614"/>
      <c r="L614"/>
      <c r="M614"/>
      <c r="N614" s="392"/>
      <c r="O614" s="2"/>
      <c r="S614"/>
      <c r="T614"/>
      <c r="U614"/>
      <c r="W614"/>
    </row>
    <row r="615" spans="10:23" s="1" customFormat="1" x14ac:dyDescent="0.2">
      <c r="J615"/>
      <c r="K615"/>
      <c r="L615"/>
      <c r="M615"/>
      <c r="N615" s="392"/>
      <c r="O615" s="2"/>
      <c r="S615"/>
      <c r="T615"/>
      <c r="U615"/>
      <c r="W615"/>
    </row>
    <row r="616" spans="10:23" s="1" customFormat="1" x14ac:dyDescent="0.2">
      <c r="J616"/>
      <c r="K616"/>
      <c r="L616"/>
      <c r="M616"/>
      <c r="N616" s="392"/>
      <c r="O616" s="2"/>
      <c r="S616"/>
      <c r="T616"/>
      <c r="U616"/>
      <c r="W616"/>
    </row>
    <row r="617" spans="10:23" s="1" customFormat="1" x14ac:dyDescent="0.2">
      <c r="J617"/>
      <c r="K617"/>
      <c r="L617"/>
      <c r="M617"/>
      <c r="N617" s="392"/>
      <c r="O617" s="2"/>
      <c r="S617"/>
      <c r="T617"/>
      <c r="U617"/>
      <c r="W617"/>
    </row>
    <row r="618" spans="10:23" s="1" customFormat="1" x14ac:dyDescent="0.2">
      <c r="J618"/>
      <c r="K618"/>
      <c r="L618"/>
      <c r="M618"/>
      <c r="N618" s="392"/>
      <c r="O618" s="2"/>
      <c r="S618"/>
      <c r="T618"/>
      <c r="U618"/>
      <c r="W618"/>
    </row>
    <row r="619" spans="10:23" s="1" customFormat="1" x14ac:dyDescent="0.2">
      <c r="J619"/>
      <c r="K619"/>
      <c r="L619"/>
      <c r="M619"/>
      <c r="N619" s="392"/>
      <c r="O619" s="2"/>
      <c r="S619"/>
      <c r="T619"/>
      <c r="U619"/>
      <c r="W619"/>
    </row>
    <row r="620" spans="10:23" s="1" customFormat="1" x14ac:dyDescent="0.2">
      <c r="J620"/>
      <c r="K620"/>
      <c r="L620"/>
      <c r="M620"/>
      <c r="N620" s="392"/>
      <c r="O620" s="2"/>
      <c r="S620"/>
      <c r="T620"/>
      <c r="U620"/>
      <c r="W620"/>
    </row>
    <row r="621" spans="10:23" s="1" customFormat="1" x14ac:dyDescent="0.2">
      <c r="J621"/>
      <c r="K621"/>
      <c r="L621"/>
      <c r="M621"/>
      <c r="N621" s="392"/>
      <c r="O621" s="2"/>
      <c r="S621"/>
      <c r="T621"/>
      <c r="U621"/>
      <c r="W621"/>
    </row>
    <row r="622" spans="10:23" s="1" customFormat="1" x14ac:dyDescent="0.2">
      <c r="J622"/>
      <c r="K622"/>
      <c r="L622"/>
      <c r="M622"/>
      <c r="N622" s="392"/>
      <c r="O622" s="2"/>
      <c r="S622"/>
      <c r="T622"/>
      <c r="U622"/>
      <c r="W622"/>
    </row>
    <row r="623" spans="10:23" s="1" customFormat="1" x14ac:dyDescent="0.2">
      <c r="J623"/>
      <c r="K623"/>
      <c r="L623"/>
      <c r="M623"/>
      <c r="N623" s="392"/>
      <c r="O623" s="2"/>
      <c r="S623"/>
      <c r="T623"/>
      <c r="U623"/>
      <c r="W623"/>
    </row>
    <row r="624" spans="10:23" s="1" customFormat="1" x14ac:dyDescent="0.2">
      <c r="J624"/>
      <c r="K624"/>
      <c r="L624"/>
      <c r="M624"/>
      <c r="N624" s="392"/>
      <c r="O624" s="2"/>
      <c r="S624"/>
      <c r="T624"/>
      <c r="U624"/>
      <c r="W624"/>
    </row>
    <row r="625" spans="10:23" s="1" customFormat="1" x14ac:dyDescent="0.2">
      <c r="J625"/>
      <c r="K625"/>
      <c r="L625"/>
      <c r="M625"/>
      <c r="N625" s="392"/>
      <c r="O625" s="2"/>
      <c r="S625"/>
      <c r="T625"/>
      <c r="U625"/>
      <c r="W625"/>
    </row>
    <row r="626" spans="10:23" s="1" customFormat="1" x14ac:dyDescent="0.2">
      <c r="J626"/>
      <c r="K626"/>
      <c r="L626"/>
      <c r="M626"/>
      <c r="N626" s="392"/>
      <c r="O626" s="2"/>
      <c r="S626"/>
      <c r="T626"/>
      <c r="U626"/>
      <c r="W626"/>
    </row>
    <row r="627" spans="10:23" s="1" customFormat="1" x14ac:dyDescent="0.2">
      <c r="J627"/>
      <c r="K627"/>
      <c r="L627"/>
      <c r="M627"/>
      <c r="N627" s="392"/>
      <c r="O627" s="2"/>
      <c r="S627"/>
      <c r="T627"/>
      <c r="U627"/>
      <c r="W627"/>
    </row>
    <row r="628" spans="10:23" s="1" customFormat="1" x14ac:dyDescent="0.2">
      <c r="J628"/>
      <c r="K628"/>
      <c r="L628"/>
      <c r="M628"/>
      <c r="N628" s="392"/>
      <c r="O628" s="2"/>
      <c r="S628"/>
      <c r="T628"/>
      <c r="U628"/>
      <c r="W628"/>
    </row>
    <row r="629" spans="10:23" s="1" customFormat="1" x14ac:dyDescent="0.2">
      <c r="J629"/>
      <c r="K629"/>
      <c r="L629"/>
      <c r="M629"/>
      <c r="N629" s="392"/>
      <c r="O629" s="2"/>
      <c r="S629"/>
      <c r="T629"/>
      <c r="U629"/>
      <c r="W629"/>
    </row>
    <row r="630" spans="10:23" s="1" customFormat="1" x14ac:dyDescent="0.2">
      <c r="J630"/>
      <c r="K630"/>
      <c r="L630"/>
      <c r="M630"/>
      <c r="N630" s="392"/>
      <c r="O630" s="2"/>
      <c r="S630"/>
      <c r="T630"/>
      <c r="U630"/>
      <c r="W630"/>
    </row>
    <row r="631" spans="10:23" s="1" customFormat="1" x14ac:dyDescent="0.2">
      <c r="J631"/>
      <c r="K631"/>
      <c r="L631"/>
      <c r="M631"/>
      <c r="N631" s="392"/>
      <c r="O631" s="2"/>
      <c r="S631"/>
      <c r="T631"/>
      <c r="U631"/>
      <c r="W631"/>
    </row>
    <row r="632" spans="10:23" s="1" customFormat="1" x14ac:dyDescent="0.2">
      <c r="J632"/>
      <c r="K632"/>
      <c r="L632"/>
      <c r="M632"/>
      <c r="N632" s="392"/>
      <c r="O632" s="2"/>
      <c r="S632"/>
      <c r="T632"/>
      <c r="U632"/>
      <c r="W632"/>
    </row>
    <row r="633" spans="10:23" s="1" customFormat="1" x14ac:dyDescent="0.2">
      <c r="J633"/>
      <c r="K633"/>
      <c r="L633"/>
      <c r="M633"/>
      <c r="N633" s="392"/>
      <c r="O633" s="2"/>
      <c r="S633"/>
      <c r="T633"/>
      <c r="U633"/>
      <c r="W633"/>
    </row>
    <row r="634" spans="10:23" s="1" customFormat="1" x14ac:dyDescent="0.2">
      <c r="J634"/>
      <c r="K634"/>
      <c r="L634"/>
      <c r="M634"/>
      <c r="N634" s="392"/>
      <c r="O634" s="2"/>
      <c r="S634"/>
      <c r="T634"/>
      <c r="U634"/>
      <c r="W634"/>
    </row>
    <row r="635" spans="10:23" s="1" customFormat="1" x14ac:dyDescent="0.2">
      <c r="J635"/>
      <c r="K635"/>
      <c r="L635"/>
      <c r="M635"/>
      <c r="N635" s="392"/>
      <c r="O635" s="2"/>
      <c r="S635"/>
      <c r="T635"/>
      <c r="U635"/>
      <c r="W635"/>
    </row>
    <row r="636" spans="10:23" s="1" customFormat="1" x14ac:dyDescent="0.2">
      <c r="J636"/>
      <c r="K636"/>
      <c r="L636"/>
      <c r="M636"/>
      <c r="N636" s="392"/>
      <c r="O636" s="2"/>
      <c r="S636"/>
      <c r="T636"/>
      <c r="U636"/>
      <c r="W636"/>
    </row>
    <row r="637" spans="10:23" s="1" customFormat="1" x14ac:dyDescent="0.2">
      <c r="J637"/>
      <c r="K637"/>
      <c r="L637"/>
      <c r="M637"/>
      <c r="N637" s="392"/>
      <c r="O637" s="2"/>
      <c r="S637"/>
      <c r="T637"/>
      <c r="U637"/>
      <c r="W637"/>
    </row>
    <row r="638" spans="10:23" s="1" customFormat="1" x14ac:dyDescent="0.2">
      <c r="J638"/>
      <c r="K638"/>
      <c r="L638"/>
      <c r="M638"/>
      <c r="N638" s="392"/>
      <c r="O638" s="2"/>
      <c r="S638"/>
      <c r="T638"/>
      <c r="U638"/>
      <c r="W638"/>
    </row>
    <row r="639" spans="10:23" s="1" customFormat="1" x14ac:dyDescent="0.2">
      <c r="J639"/>
      <c r="K639"/>
      <c r="L639"/>
      <c r="M639"/>
      <c r="N639" s="392"/>
      <c r="O639" s="2"/>
      <c r="S639"/>
      <c r="T639"/>
      <c r="U639"/>
      <c r="W639"/>
    </row>
    <row r="640" spans="10:23" s="1" customFormat="1" x14ac:dyDescent="0.2">
      <c r="J640"/>
      <c r="K640"/>
      <c r="L640"/>
      <c r="M640"/>
      <c r="N640" s="392"/>
      <c r="O640" s="2"/>
      <c r="S640"/>
      <c r="T640"/>
      <c r="U640"/>
      <c r="W640"/>
    </row>
    <row r="641" spans="10:23" s="1" customFormat="1" x14ac:dyDescent="0.2">
      <c r="J641"/>
      <c r="K641"/>
      <c r="L641"/>
      <c r="M641"/>
      <c r="N641" s="392"/>
      <c r="O641" s="2"/>
      <c r="S641"/>
      <c r="T641"/>
      <c r="U641"/>
      <c r="W641"/>
    </row>
    <row r="642" spans="10:23" s="1" customFormat="1" x14ac:dyDescent="0.2">
      <c r="J642"/>
      <c r="K642"/>
      <c r="L642"/>
      <c r="M642"/>
      <c r="N642" s="392"/>
      <c r="O642" s="2"/>
      <c r="S642"/>
      <c r="T642"/>
      <c r="U642"/>
      <c r="W642"/>
    </row>
    <row r="643" spans="10:23" s="1" customFormat="1" x14ac:dyDescent="0.2">
      <c r="J643"/>
      <c r="K643"/>
      <c r="L643"/>
      <c r="M643"/>
      <c r="N643" s="392"/>
      <c r="O643" s="2"/>
      <c r="S643"/>
      <c r="T643"/>
      <c r="U643"/>
      <c r="W643"/>
    </row>
    <row r="644" spans="10:23" s="1" customFormat="1" x14ac:dyDescent="0.2">
      <c r="J644"/>
      <c r="K644"/>
      <c r="L644"/>
      <c r="M644"/>
      <c r="N644" s="392"/>
      <c r="O644" s="2"/>
      <c r="S644"/>
      <c r="T644"/>
      <c r="U644"/>
      <c r="W644"/>
    </row>
    <row r="645" spans="10:23" s="1" customFormat="1" x14ac:dyDescent="0.2">
      <c r="J645"/>
      <c r="K645"/>
      <c r="L645"/>
      <c r="M645"/>
      <c r="N645" s="392"/>
      <c r="O645" s="2"/>
      <c r="S645"/>
      <c r="T645"/>
      <c r="U645"/>
      <c r="W645"/>
    </row>
    <row r="646" spans="10:23" s="1" customFormat="1" x14ac:dyDescent="0.2">
      <c r="J646"/>
      <c r="K646"/>
      <c r="L646"/>
      <c r="M646"/>
      <c r="N646" s="392"/>
      <c r="O646" s="2"/>
      <c r="S646"/>
      <c r="T646"/>
      <c r="U646"/>
      <c r="W646"/>
    </row>
    <row r="647" spans="10:23" s="1" customFormat="1" x14ac:dyDescent="0.2">
      <c r="J647"/>
      <c r="K647"/>
      <c r="L647"/>
      <c r="M647"/>
      <c r="N647" s="392"/>
      <c r="O647" s="2"/>
      <c r="S647"/>
      <c r="T647"/>
      <c r="U647"/>
      <c r="W647"/>
    </row>
    <row r="648" spans="10:23" s="1" customFormat="1" x14ac:dyDescent="0.2">
      <c r="J648"/>
      <c r="K648"/>
      <c r="L648"/>
      <c r="M648"/>
      <c r="N648" s="392"/>
      <c r="O648" s="2"/>
      <c r="S648"/>
      <c r="T648"/>
      <c r="U648"/>
      <c r="W648"/>
    </row>
    <row r="649" spans="10:23" s="1" customFormat="1" x14ac:dyDescent="0.2">
      <c r="J649"/>
      <c r="K649"/>
      <c r="L649"/>
      <c r="M649"/>
      <c r="N649" s="392"/>
      <c r="O649" s="2"/>
      <c r="S649"/>
      <c r="T649"/>
      <c r="U649"/>
      <c r="W649"/>
    </row>
    <row r="650" spans="10:23" s="1" customFormat="1" x14ac:dyDescent="0.2">
      <c r="J650"/>
      <c r="K650"/>
      <c r="L650"/>
      <c r="M650"/>
      <c r="N650" s="392"/>
      <c r="O650" s="2"/>
      <c r="S650"/>
      <c r="T650"/>
      <c r="U650"/>
      <c r="W650"/>
    </row>
    <row r="651" spans="10:23" s="1" customFormat="1" x14ac:dyDescent="0.2">
      <c r="J651"/>
      <c r="K651"/>
      <c r="L651"/>
      <c r="M651"/>
      <c r="N651" s="392"/>
      <c r="O651" s="2"/>
      <c r="S651"/>
      <c r="T651"/>
      <c r="U651"/>
      <c r="W651"/>
    </row>
    <row r="652" spans="10:23" s="1" customFormat="1" x14ac:dyDescent="0.2">
      <c r="J652"/>
      <c r="K652"/>
      <c r="L652"/>
      <c r="M652"/>
      <c r="N652" s="392"/>
      <c r="O652" s="2"/>
      <c r="S652"/>
      <c r="T652"/>
      <c r="U652"/>
      <c r="W652"/>
    </row>
    <row r="653" spans="10:23" s="1" customFormat="1" x14ac:dyDescent="0.2">
      <c r="J653"/>
      <c r="K653"/>
      <c r="L653"/>
      <c r="M653"/>
      <c r="N653" s="392"/>
      <c r="O653" s="2"/>
      <c r="S653"/>
      <c r="T653"/>
      <c r="U653"/>
      <c r="W653"/>
    </row>
    <row r="654" spans="10:23" s="1" customFormat="1" x14ac:dyDescent="0.2">
      <c r="J654"/>
      <c r="K654"/>
      <c r="L654"/>
      <c r="M654"/>
      <c r="N654" s="392"/>
      <c r="O654" s="2"/>
      <c r="S654"/>
      <c r="T654"/>
      <c r="U654"/>
      <c r="W654"/>
    </row>
    <row r="655" spans="10:23" s="1" customFormat="1" x14ac:dyDescent="0.2">
      <c r="J655"/>
      <c r="K655"/>
      <c r="L655"/>
      <c r="M655"/>
      <c r="N655" s="392"/>
      <c r="O655" s="2"/>
      <c r="S655"/>
      <c r="T655"/>
      <c r="U655"/>
      <c r="W655"/>
    </row>
    <row r="656" spans="10:23" s="1" customFormat="1" x14ac:dyDescent="0.2">
      <c r="J656"/>
      <c r="K656"/>
      <c r="L656"/>
      <c r="M656"/>
      <c r="N656" s="392"/>
      <c r="O656" s="2"/>
      <c r="S656"/>
      <c r="T656"/>
      <c r="U656"/>
      <c r="W656"/>
    </row>
    <row r="657" spans="10:23" s="1" customFormat="1" x14ac:dyDescent="0.2">
      <c r="J657"/>
      <c r="K657"/>
      <c r="L657"/>
      <c r="M657"/>
      <c r="N657" s="392"/>
      <c r="O657" s="2"/>
      <c r="S657"/>
      <c r="T657"/>
      <c r="U657"/>
      <c r="W657"/>
    </row>
    <row r="658" spans="10:23" s="1" customFormat="1" x14ac:dyDescent="0.2">
      <c r="J658"/>
      <c r="K658"/>
      <c r="L658"/>
      <c r="M658"/>
      <c r="N658" s="392"/>
      <c r="O658" s="2"/>
      <c r="S658"/>
      <c r="T658"/>
      <c r="U658"/>
      <c r="W658"/>
    </row>
    <row r="659" spans="10:23" s="1" customFormat="1" x14ac:dyDescent="0.2">
      <c r="J659"/>
      <c r="K659"/>
      <c r="L659"/>
      <c r="M659"/>
      <c r="N659" s="392"/>
      <c r="O659" s="2"/>
      <c r="S659"/>
      <c r="T659"/>
      <c r="U659"/>
      <c r="W659"/>
    </row>
    <row r="660" spans="10:23" s="1" customFormat="1" x14ac:dyDescent="0.2">
      <c r="J660"/>
      <c r="K660"/>
      <c r="L660"/>
      <c r="M660"/>
      <c r="N660" s="392"/>
      <c r="O660" s="2"/>
      <c r="S660"/>
      <c r="T660"/>
      <c r="U660"/>
      <c r="W660"/>
    </row>
    <row r="661" spans="10:23" s="1" customFormat="1" x14ac:dyDescent="0.2">
      <c r="J661"/>
      <c r="K661"/>
      <c r="L661"/>
      <c r="M661"/>
      <c r="N661" s="392"/>
      <c r="O661" s="2"/>
      <c r="S661"/>
      <c r="T661"/>
      <c r="U661"/>
      <c r="W661"/>
    </row>
    <row r="662" spans="10:23" s="1" customFormat="1" x14ac:dyDescent="0.2">
      <c r="J662"/>
      <c r="K662"/>
      <c r="L662"/>
      <c r="M662"/>
      <c r="N662" s="392"/>
      <c r="O662" s="2"/>
      <c r="S662"/>
      <c r="T662"/>
      <c r="U662"/>
      <c r="W662"/>
    </row>
    <row r="663" spans="10:23" s="1" customFormat="1" x14ac:dyDescent="0.2">
      <c r="J663"/>
      <c r="K663"/>
      <c r="L663"/>
      <c r="M663"/>
      <c r="N663" s="392"/>
      <c r="O663" s="2"/>
      <c r="S663"/>
      <c r="T663"/>
      <c r="U663"/>
      <c r="W663"/>
    </row>
    <row r="664" spans="10:23" s="1" customFormat="1" x14ac:dyDescent="0.2">
      <c r="J664"/>
      <c r="K664"/>
      <c r="L664"/>
      <c r="M664"/>
      <c r="N664" s="392"/>
      <c r="O664" s="2"/>
      <c r="S664"/>
      <c r="T664"/>
      <c r="U664"/>
      <c r="W664"/>
    </row>
    <row r="665" spans="10:23" s="1" customFormat="1" x14ac:dyDescent="0.2">
      <c r="J665"/>
      <c r="K665"/>
      <c r="L665"/>
      <c r="M665"/>
      <c r="N665" s="392"/>
      <c r="O665" s="2"/>
      <c r="S665"/>
      <c r="T665"/>
      <c r="U665"/>
      <c r="W665"/>
    </row>
    <row r="666" spans="10:23" s="1" customFormat="1" x14ac:dyDescent="0.2">
      <c r="J666"/>
      <c r="K666"/>
      <c r="L666"/>
      <c r="M666"/>
      <c r="N666" s="392"/>
      <c r="O666" s="2"/>
      <c r="S666"/>
      <c r="T666"/>
      <c r="U666"/>
      <c r="W666"/>
    </row>
    <row r="667" spans="10:23" s="1" customFormat="1" x14ac:dyDescent="0.2">
      <c r="J667"/>
      <c r="K667"/>
      <c r="L667"/>
      <c r="M667"/>
      <c r="N667" s="392"/>
      <c r="O667" s="2"/>
      <c r="S667"/>
      <c r="T667"/>
      <c r="U667"/>
      <c r="W667"/>
    </row>
    <row r="668" spans="10:23" s="1" customFormat="1" x14ac:dyDescent="0.2">
      <c r="J668"/>
      <c r="K668"/>
      <c r="L668"/>
      <c r="M668"/>
      <c r="N668" s="392"/>
      <c r="O668" s="2"/>
      <c r="S668"/>
      <c r="T668"/>
      <c r="U668"/>
      <c r="W668"/>
    </row>
    <row r="669" spans="10:23" s="1" customFormat="1" x14ac:dyDescent="0.2">
      <c r="J669"/>
      <c r="K669"/>
      <c r="L669"/>
      <c r="M669"/>
      <c r="N669" s="392"/>
      <c r="O669" s="2"/>
      <c r="S669"/>
      <c r="T669"/>
      <c r="U669"/>
      <c r="W669"/>
    </row>
    <row r="670" spans="10:23" s="1" customFormat="1" x14ac:dyDescent="0.2">
      <c r="J670"/>
      <c r="K670"/>
      <c r="L670"/>
      <c r="M670"/>
      <c r="N670" s="392"/>
      <c r="O670" s="2"/>
      <c r="S670"/>
      <c r="T670"/>
      <c r="U670"/>
      <c r="W670"/>
    </row>
    <row r="671" spans="10:23" s="1" customFormat="1" x14ac:dyDescent="0.2">
      <c r="J671"/>
      <c r="K671"/>
      <c r="L671"/>
      <c r="M671"/>
      <c r="N671" s="392"/>
      <c r="O671" s="2"/>
      <c r="S671"/>
      <c r="T671"/>
      <c r="U671"/>
      <c r="W671"/>
    </row>
    <row r="672" spans="10:23" s="1" customFormat="1" x14ac:dyDescent="0.2">
      <c r="J672"/>
      <c r="K672"/>
      <c r="L672"/>
      <c r="M672"/>
      <c r="N672" s="392"/>
      <c r="O672" s="2"/>
      <c r="S672"/>
      <c r="T672"/>
      <c r="U672"/>
      <c r="W672"/>
    </row>
    <row r="673" spans="10:23" s="1" customFormat="1" x14ac:dyDescent="0.2">
      <c r="J673"/>
      <c r="K673"/>
      <c r="L673"/>
      <c r="M673"/>
      <c r="N673" s="392"/>
      <c r="O673" s="2"/>
      <c r="S673"/>
      <c r="T673"/>
      <c r="U673"/>
      <c r="W673"/>
    </row>
    <row r="674" spans="10:23" s="1" customFormat="1" x14ac:dyDescent="0.2">
      <c r="J674"/>
      <c r="K674"/>
      <c r="L674"/>
      <c r="M674"/>
      <c r="N674" s="392"/>
      <c r="O674" s="2"/>
      <c r="S674"/>
      <c r="T674"/>
      <c r="U674"/>
      <c r="W674"/>
    </row>
    <row r="675" spans="10:23" s="1" customFormat="1" x14ac:dyDescent="0.2">
      <c r="J675"/>
      <c r="K675"/>
      <c r="L675"/>
      <c r="M675"/>
      <c r="N675" s="392"/>
      <c r="O675" s="2"/>
      <c r="S675"/>
      <c r="T675"/>
      <c r="U675"/>
      <c r="W675"/>
    </row>
    <row r="676" spans="10:23" s="1" customFormat="1" x14ac:dyDescent="0.2">
      <c r="J676"/>
      <c r="K676"/>
      <c r="L676"/>
      <c r="M676"/>
      <c r="N676" s="392"/>
      <c r="O676" s="2"/>
      <c r="S676"/>
      <c r="T676"/>
      <c r="U676"/>
      <c r="W676"/>
    </row>
    <row r="677" spans="10:23" s="1" customFormat="1" x14ac:dyDescent="0.2">
      <c r="J677"/>
      <c r="K677"/>
      <c r="L677"/>
      <c r="M677"/>
      <c r="N677" s="392"/>
      <c r="O677" s="2"/>
      <c r="S677"/>
      <c r="T677"/>
      <c r="U677"/>
      <c r="W677"/>
    </row>
    <row r="678" spans="10:23" s="1" customFormat="1" x14ac:dyDescent="0.2">
      <c r="J678"/>
      <c r="K678"/>
      <c r="L678"/>
      <c r="M678"/>
      <c r="N678" s="392"/>
      <c r="O678" s="2"/>
      <c r="S678"/>
      <c r="T678"/>
      <c r="U678"/>
      <c r="W678"/>
    </row>
    <row r="679" spans="10:23" s="1" customFormat="1" x14ac:dyDescent="0.2">
      <c r="J679"/>
      <c r="K679"/>
      <c r="L679"/>
      <c r="M679"/>
      <c r="N679" s="392"/>
      <c r="O679" s="2"/>
      <c r="S679"/>
      <c r="T679"/>
      <c r="U679"/>
      <c r="W679"/>
    </row>
    <row r="680" spans="10:23" s="1" customFormat="1" x14ac:dyDescent="0.2">
      <c r="J680"/>
      <c r="K680"/>
      <c r="L680"/>
      <c r="M680"/>
      <c r="N680" s="392"/>
      <c r="O680" s="2"/>
      <c r="S680"/>
      <c r="T680"/>
      <c r="U680"/>
      <c r="W680"/>
    </row>
    <row r="681" spans="10:23" s="1" customFormat="1" x14ac:dyDescent="0.2">
      <c r="J681"/>
      <c r="K681"/>
      <c r="L681"/>
      <c r="M681"/>
      <c r="N681" s="392"/>
      <c r="O681" s="2"/>
      <c r="S681"/>
      <c r="T681"/>
      <c r="U681"/>
      <c r="W681"/>
    </row>
    <row r="682" spans="10:23" s="1" customFormat="1" x14ac:dyDescent="0.2">
      <c r="J682"/>
      <c r="K682"/>
      <c r="L682"/>
      <c r="M682"/>
      <c r="N682" s="392"/>
      <c r="O682" s="2"/>
      <c r="S682"/>
      <c r="T682"/>
      <c r="U682"/>
      <c r="W682"/>
    </row>
    <row r="683" spans="10:23" s="1" customFormat="1" x14ac:dyDescent="0.2">
      <c r="J683"/>
      <c r="K683"/>
      <c r="L683"/>
      <c r="M683"/>
      <c r="N683" s="392"/>
      <c r="O683" s="2"/>
      <c r="S683"/>
      <c r="T683"/>
      <c r="U683"/>
      <c r="W683"/>
    </row>
    <row r="684" spans="10:23" s="1" customFormat="1" x14ac:dyDescent="0.2">
      <c r="J684"/>
      <c r="K684"/>
      <c r="L684"/>
      <c r="M684"/>
      <c r="N684" s="392"/>
      <c r="O684" s="2"/>
      <c r="S684"/>
      <c r="T684"/>
      <c r="U684"/>
      <c r="W684"/>
    </row>
    <row r="685" spans="10:23" s="1" customFormat="1" x14ac:dyDescent="0.2">
      <c r="J685"/>
      <c r="K685"/>
      <c r="L685"/>
      <c r="M685"/>
      <c r="N685" s="392"/>
      <c r="O685" s="2"/>
      <c r="S685"/>
      <c r="T685"/>
      <c r="U685"/>
      <c r="W685"/>
    </row>
    <row r="686" spans="10:23" s="1" customFormat="1" x14ac:dyDescent="0.2">
      <c r="J686"/>
      <c r="K686"/>
      <c r="L686"/>
      <c r="M686"/>
      <c r="N686" s="392"/>
      <c r="O686" s="2"/>
      <c r="S686"/>
      <c r="T686"/>
      <c r="U686"/>
      <c r="W686"/>
    </row>
    <row r="687" spans="10:23" s="1" customFormat="1" x14ac:dyDescent="0.2">
      <c r="J687"/>
      <c r="K687"/>
      <c r="L687"/>
      <c r="M687"/>
      <c r="N687" s="392"/>
      <c r="O687" s="2"/>
      <c r="S687"/>
      <c r="T687"/>
      <c r="U687"/>
      <c r="W687"/>
    </row>
    <row r="688" spans="10:23" s="1" customFormat="1" x14ac:dyDescent="0.2">
      <c r="J688"/>
      <c r="K688"/>
      <c r="L688"/>
      <c r="M688"/>
      <c r="N688" s="392"/>
      <c r="O688" s="2"/>
      <c r="S688"/>
      <c r="T688"/>
      <c r="U688"/>
      <c r="W688"/>
    </row>
    <row r="689" spans="10:23" s="1" customFormat="1" x14ac:dyDescent="0.2">
      <c r="J689"/>
      <c r="K689"/>
      <c r="L689"/>
      <c r="M689"/>
      <c r="N689" s="392"/>
      <c r="O689" s="2"/>
      <c r="S689"/>
      <c r="T689"/>
      <c r="U689"/>
      <c r="W689"/>
    </row>
    <row r="690" spans="10:23" s="1" customFormat="1" x14ac:dyDescent="0.2">
      <c r="J690"/>
      <c r="K690"/>
      <c r="L690"/>
      <c r="M690"/>
      <c r="N690" s="392"/>
      <c r="O690" s="2"/>
      <c r="S690"/>
      <c r="T690"/>
      <c r="U690"/>
      <c r="W690"/>
    </row>
    <row r="691" spans="10:23" s="1" customFormat="1" x14ac:dyDescent="0.2">
      <c r="J691"/>
      <c r="K691"/>
      <c r="L691"/>
      <c r="M691"/>
      <c r="N691" s="392"/>
      <c r="O691" s="2"/>
      <c r="S691"/>
      <c r="T691"/>
      <c r="U691"/>
      <c r="W691"/>
    </row>
    <row r="692" spans="10:23" s="1" customFormat="1" x14ac:dyDescent="0.2">
      <c r="J692"/>
      <c r="K692"/>
      <c r="L692"/>
      <c r="M692"/>
      <c r="N692" s="392"/>
      <c r="O692" s="2"/>
      <c r="S692"/>
      <c r="T692"/>
      <c r="U692"/>
      <c r="W692"/>
    </row>
    <row r="693" spans="10:23" s="1" customFormat="1" x14ac:dyDescent="0.2">
      <c r="J693"/>
      <c r="K693"/>
      <c r="L693"/>
      <c r="M693"/>
      <c r="N693" s="392"/>
      <c r="O693" s="2"/>
      <c r="S693"/>
      <c r="T693"/>
      <c r="U693"/>
      <c r="W693"/>
    </row>
    <row r="694" spans="10:23" s="1" customFormat="1" x14ac:dyDescent="0.2">
      <c r="J694"/>
      <c r="K694"/>
      <c r="L694"/>
      <c r="M694"/>
      <c r="N694" s="392"/>
      <c r="O694" s="2"/>
      <c r="S694"/>
      <c r="T694"/>
      <c r="U694"/>
      <c r="W694"/>
    </row>
    <row r="695" spans="10:23" s="1" customFormat="1" x14ac:dyDescent="0.2">
      <c r="J695"/>
      <c r="K695"/>
      <c r="L695"/>
      <c r="M695"/>
      <c r="N695" s="392"/>
      <c r="O695" s="2"/>
      <c r="S695"/>
      <c r="T695"/>
      <c r="U695"/>
      <c r="W695"/>
    </row>
    <row r="696" spans="10:23" s="1" customFormat="1" x14ac:dyDescent="0.2">
      <c r="J696"/>
      <c r="K696"/>
      <c r="L696"/>
      <c r="M696"/>
      <c r="N696" s="392"/>
      <c r="O696" s="2"/>
      <c r="S696"/>
      <c r="T696"/>
      <c r="U696"/>
      <c r="W696"/>
    </row>
    <row r="697" spans="10:23" s="1" customFormat="1" x14ac:dyDescent="0.2">
      <c r="J697"/>
      <c r="K697"/>
      <c r="L697"/>
      <c r="M697"/>
      <c r="N697" s="392"/>
      <c r="O697" s="2"/>
      <c r="S697"/>
      <c r="T697"/>
      <c r="U697"/>
      <c r="W697"/>
    </row>
    <row r="698" spans="10:23" s="1" customFormat="1" x14ac:dyDescent="0.2">
      <c r="J698"/>
      <c r="K698"/>
      <c r="L698"/>
      <c r="M698"/>
      <c r="N698" s="392"/>
      <c r="O698" s="2"/>
      <c r="S698"/>
      <c r="T698"/>
      <c r="U698"/>
      <c r="W698"/>
    </row>
    <row r="699" spans="10:23" s="1" customFormat="1" x14ac:dyDescent="0.2">
      <c r="J699"/>
      <c r="K699"/>
      <c r="L699"/>
      <c r="M699"/>
      <c r="N699" s="392"/>
      <c r="O699" s="2"/>
      <c r="S699"/>
      <c r="T699"/>
      <c r="U699"/>
      <c r="W699"/>
    </row>
    <row r="700" spans="10:23" s="1" customFormat="1" x14ac:dyDescent="0.2">
      <c r="J700"/>
      <c r="K700"/>
      <c r="L700"/>
      <c r="M700"/>
      <c r="N700" s="392"/>
      <c r="O700" s="2"/>
      <c r="S700"/>
      <c r="T700"/>
      <c r="U700"/>
      <c r="W700"/>
    </row>
    <row r="701" spans="10:23" s="1" customFormat="1" x14ac:dyDescent="0.2">
      <c r="J701"/>
      <c r="K701"/>
      <c r="L701"/>
      <c r="M701"/>
      <c r="N701" s="392"/>
      <c r="O701" s="2"/>
      <c r="S701"/>
      <c r="T701"/>
      <c r="U701"/>
      <c r="W701"/>
    </row>
    <row r="702" spans="10:23" s="1" customFormat="1" x14ac:dyDescent="0.2">
      <c r="J702"/>
      <c r="K702"/>
      <c r="L702"/>
      <c r="M702"/>
      <c r="N702" s="392"/>
      <c r="O702" s="2"/>
      <c r="S702"/>
      <c r="T702"/>
      <c r="U702"/>
      <c r="W702"/>
    </row>
    <row r="703" spans="10:23" s="1" customFormat="1" x14ac:dyDescent="0.2">
      <c r="J703"/>
      <c r="K703"/>
      <c r="L703"/>
      <c r="M703"/>
      <c r="N703" s="392"/>
      <c r="O703" s="2"/>
      <c r="S703"/>
      <c r="T703"/>
      <c r="U703"/>
      <c r="W703"/>
    </row>
    <row r="704" spans="10:23" s="1" customFormat="1" x14ac:dyDescent="0.2">
      <c r="J704"/>
      <c r="K704"/>
      <c r="L704"/>
      <c r="M704"/>
      <c r="N704" s="392"/>
      <c r="O704" s="2"/>
      <c r="S704"/>
      <c r="T704"/>
      <c r="U704"/>
      <c r="W704"/>
    </row>
    <row r="705" spans="10:23" s="1" customFormat="1" x14ac:dyDescent="0.2">
      <c r="J705"/>
      <c r="K705"/>
      <c r="L705"/>
      <c r="M705"/>
      <c r="N705" s="392"/>
      <c r="O705" s="2"/>
      <c r="S705"/>
      <c r="T705"/>
      <c r="U705"/>
      <c r="W705"/>
    </row>
    <row r="706" spans="10:23" s="1" customFormat="1" x14ac:dyDescent="0.2">
      <c r="J706"/>
      <c r="K706"/>
      <c r="L706"/>
      <c r="M706"/>
      <c r="N706" s="392"/>
      <c r="O706" s="2"/>
      <c r="S706"/>
      <c r="T706"/>
      <c r="U706"/>
      <c r="W706"/>
    </row>
    <row r="707" spans="10:23" s="1" customFormat="1" x14ac:dyDescent="0.2">
      <c r="J707"/>
      <c r="K707"/>
      <c r="L707"/>
      <c r="M707"/>
      <c r="N707" s="392"/>
      <c r="O707" s="2"/>
      <c r="S707"/>
      <c r="T707"/>
      <c r="U707"/>
      <c r="W707"/>
    </row>
    <row r="708" spans="10:23" s="1" customFormat="1" x14ac:dyDescent="0.2">
      <c r="J708"/>
      <c r="K708"/>
      <c r="L708"/>
      <c r="M708"/>
      <c r="N708" s="392"/>
      <c r="O708" s="2"/>
      <c r="S708"/>
      <c r="T708"/>
      <c r="U708"/>
      <c r="W708"/>
    </row>
    <row r="709" spans="10:23" s="1" customFormat="1" x14ac:dyDescent="0.2">
      <c r="J709"/>
      <c r="K709"/>
      <c r="L709"/>
      <c r="M709"/>
      <c r="N709" s="392"/>
      <c r="O709" s="2"/>
      <c r="S709"/>
      <c r="T709"/>
      <c r="U709"/>
      <c r="W709"/>
    </row>
    <row r="710" spans="10:23" s="1" customFormat="1" x14ac:dyDescent="0.2">
      <c r="J710"/>
      <c r="K710"/>
      <c r="L710"/>
      <c r="M710"/>
      <c r="N710" s="392"/>
      <c r="O710" s="2"/>
      <c r="S710"/>
      <c r="T710"/>
      <c r="U710"/>
      <c r="W710"/>
    </row>
    <row r="711" spans="10:23" s="1" customFormat="1" x14ac:dyDescent="0.2">
      <c r="J711"/>
      <c r="K711"/>
      <c r="L711"/>
      <c r="M711"/>
      <c r="N711" s="392"/>
      <c r="O711" s="2"/>
      <c r="S711"/>
      <c r="T711"/>
      <c r="U711"/>
      <c r="W711"/>
    </row>
    <row r="712" spans="10:23" s="1" customFormat="1" x14ac:dyDescent="0.2">
      <c r="J712"/>
      <c r="K712"/>
      <c r="L712"/>
      <c r="M712"/>
      <c r="N712" s="392"/>
      <c r="O712" s="2"/>
      <c r="S712"/>
      <c r="T712"/>
      <c r="U712"/>
      <c r="W712"/>
    </row>
    <row r="713" spans="10:23" s="1" customFormat="1" x14ac:dyDescent="0.2">
      <c r="J713"/>
      <c r="K713"/>
      <c r="L713"/>
      <c r="M713"/>
      <c r="N713" s="392"/>
      <c r="O713" s="2"/>
      <c r="S713"/>
      <c r="T713"/>
      <c r="U713"/>
      <c r="W713"/>
    </row>
    <row r="714" spans="10:23" s="1" customFormat="1" x14ac:dyDescent="0.2">
      <c r="J714"/>
      <c r="K714"/>
      <c r="L714"/>
      <c r="M714"/>
      <c r="N714" s="392"/>
      <c r="O714" s="2"/>
      <c r="S714"/>
      <c r="T714"/>
      <c r="U714"/>
      <c r="W714"/>
    </row>
    <row r="715" spans="10:23" s="1" customFormat="1" x14ac:dyDescent="0.2">
      <c r="J715"/>
      <c r="K715"/>
      <c r="L715"/>
      <c r="M715"/>
      <c r="N715" s="392"/>
      <c r="O715" s="2"/>
      <c r="S715"/>
      <c r="T715"/>
      <c r="U715"/>
      <c r="W715"/>
    </row>
    <row r="716" spans="10:23" s="1" customFormat="1" x14ac:dyDescent="0.2">
      <c r="J716"/>
      <c r="K716"/>
      <c r="L716"/>
      <c r="M716"/>
      <c r="N716" s="392"/>
      <c r="O716" s="2"/>
      <c r="S716"/>
      <c r="T716"/>
      <c r="U716"/>
      <c r="W716"/>
    </row>
    <row r="717" spans="10:23" s="1" customFormat="1" x14ac:dyDescent="0.2">
      <c r="J717"/>
      <c r="K717"/>
      <c r="L717"/>
      <c r="M717"/>
      <c r="N717" s="392"/>
      <c r="O717" s="2"/>
      <c r="S717"/>
      <c r="T717"/>
      <c r="U717"/>
      <c r="W717"/>
    </row>
    <row r="718" spans="10:23" s="1" customFormat="1" x14ac:dyDescent="0.2">
      <c r="J718"/>
      <c r="K718"/>
      <c r="L718"/>
      <c r="M718"/>
      <c r="N718" s="392"/>
      <c r="O718" s="2"/>
      <c r="S718"/>
      <c r="T718"/>
      <c r="U718"/>
      <c r="W718"/>
    </row>
    <row r="719" spans="10:23" s="1" customFormat="1" x14ac:dyDescent="0.2">
      <c r="J719"/>
      <c r="K719"/>
      <c r="L719"/>
      <c r="M719"/>
      <c r="N719" s="392"/>
      <c r="O719" s="2"/>
      <c r="S719"/>
      <c r="T719"/>
      <c r="U719"/>
      <c r="W719"/>
    </row>
    <row r="720" spans="10:23" s="1" customFormat="1" x14ac:dyDescent="0.2">
      <c r="J720"/>
      <c r="K720"/>
      <c r="L720"/>
      <c r="M720"/>
      <c r="N720" s="392"/>
      <c r="O720" s="2"/>
      <c r="S720"/>
      <c r="T720"/>
      <c r="U720"/>
      <c r="W720"/>
    </row>
    <row r="721" spans="10:23" s="1" customFormat="1" x14ac:dyDescent="0.2">
      <c r="J721"/>
      <c r="K721"/>
      <c r="L721"/>
      <c r="M721"/>
      <c r="N721" s="392"/>
      <c r="O721" s="2"/>
      <c r="S721"/>
      <c r="T721"/>
      <c r="U721"/>
      <c r="W721"/>
    </row>
    <row r="722" spans="10:23" s="1" customFormat="1" x14ac:dyDescent="0.2">
      <c r="J722"/>
      <c r="K722"/>
      <c r="L722"/>
      <c r="M722"/>
      <c r="N722" s="392"/>
      <c r="O722" s="2"/>
      <c r="S722"/>
      <c r="T722"/>
      <c r="U722"/>
      <c r="W722"/>
    </row>
    <row r="723" spans="10:23" s="1" customFormat="1" x14ac:dyDescent="0.2">
      <c r="J723"/>
      <c r="K723"/>
      <c r="L723"/>
      <c r="M723"/>
      <c r="N723" s="392"/>
      <c r="O723" s="2"/>
      <c r="S723"/>
      <c r="T723"/>
      <c r="U723"/>
      <c r="W723"/>
    </row>
    <row r="724" spans="10:23" s="1" customFormat="1" x14ac:dyDescent="0.2">
      <c r="J724"/>
      <c r="K724"/>
      <c r="L724"/>
      <c r="M724"/>
      <c r="N724" s="392"/>
      <c r="O724" s="2"/>
      <c r="S724"/>
      <c r="T724"/>
      <c r="U724"/>
      <c r="W724"/>
    </row>
    <row r="725" spans="10:23" s="1" customFormat="1" x14ac:dyDescent="0.2">
      <c r="J725"/>
      <c r="K725"/>
      <c r="L725"/>
      <c r="M725"/>
      <c r="N725" s="392"/>
      <c r="O725" s="2"/>
      <c r="S725"/>
      <c r="T725"/>
      <c r="U725"/>
      <c r="W725"/>
    </row>
    <row r="726" spans="10:23" s="1" customFormat="1" x14ac:dyDescent="0.2">
      <c r="J726"/>
      <c r="K726"/>
      <c r="L726"/>
      <c r="M726"/>
      <c r="N726" s="392"/>
      <c r="O726" s="2"/>
      <c r="S726"/>
      <c r="T726"/>
      <c r="U726"/>
      <c r="W726"/>
    </row>
    <row r="727" spans="10:23" s="1" customFormat="1" x14ac:dyDescent="0.2">
      <c r="J727"/>
      <c r="K727"/>
      <c r="L727"/>
      <c r="M727"/>
      <c r="N727" s="392"/>
      <c r="O727" s="2"/>
      <c r="S727"/>
      <c r="T727"/>
      <c r="U727"/>
      <c r="W727"/>
    </row>
    <row r="728" spans="10:23" s="1" customFormat="1" x14ac:dyDescent="0.2">
      <c r="J728"/>
      <c r="K728"/>
      <c r="L728"/>
      <c r="M728"/>
      <c r="N728" s="392"/>
      <c r="O728" s="2"/>
      <c r="S728"/>
      <c r="T728"/>
      <c r="U728"/>
      <c r="W728"/>
    </row>
    <row r="729" spans="10:23" s="1" customFormat="1" x14ac:dyDescent="0.2">
      <c r="J729"/>
      <c r="K729"/>
      <c r="L729"/>
      <c r="M729"/>
      <c r="N729" s="392"/>
      <c r="O729" s="2"/>
      <c r="S729"/>
      <c r="T729"/>
      <c r="U729"/>
      <c r="W729"/>
    </row>
    <row r="730" spans="10:23" s="1" customFormat="1" x14ac:dyDescent="0.2">
      <c r="J730"/>
      <c r="K730"/>
      <c r="L730"/>
      <c r="M730"/>
      <c r="N730" s="392"/>
      <c r="O730" s="2"/>
      <c r="S730"/>
      <c r="T730"/>
      <c r="U730"/>
      <c r="W730"/>
    </row>
    <row r="731" spans="10:23" s="1" customFormat="1" x14ac:dyDescent="0.2">
      <c r="J731"/>
      <c r="K731"/>
      <c r="L731"/>
      <c r="M731"/>
      <c r="N731" s="392"/>
      <c r="O731" s="2"/>
      <c r="S731"/>
      <c r="T731"/>
      <c r="U731"/>
      <c r="W731"/>
    </row>
    <row r="732" spans="10:23" s="1" customFormat="1" x14ac:dyDescent="0.2">
      <c r="J732"/>
      <c r="K732"/>
      <c r="L732"/>
      <c r="M732"/>
      <c r="N732" s="392"/>
      <c r="O732" s="2"/>
      <c r="S732"/>
      <c r="T732"/>
      <c r="U732"/>
      <c r="W732"/>
    </row>
    <row r="733" spans="10:23" s="1" customFormat="1" x14ac:dyDescent="0.2">
      <c r="J733"/>
      <c r="K733"/>
      <c r="L733"/>
      <c r="M733"/>
      <c r="N733" s="392"/>
      <c r="O733" s="2"/>
      <c r="S733"/>
      <c r="T733"/>
      <c r="U733"/>
      <c r="W733"/>
    </row>
    <row r="734" spans="10:23" s="1" customFormat="1" x14ac:dyDescent="0.2">
      <c r="J734"/>
      <c r="K734"/>
      <c r="L734"/>
      <c r="M734"/>
      <c r="N734" s="392"/>
      <c r="O734" s="2"/>
      <c r="S734"/>
      <c r="T734"/>
      <c r="U734"/>
      <c r="W734"/>
    </row>
    <row r="735" spans="10:23" s="1" customFormat="1" x14ac:dyDescent="0.2">
      <c r="J735"/>
      <c r="K735"/>
      <c r="L735"/>
      <c r="M735"/>
      <c r="N735" s="392"/>
      <c r="O735" s="2"/>
      <c r="S735"/>
      <c r="T735"/>
      <c r="U735"/>
      <c r="W735"/>
    </row>
    <row r="65464" spans="12:12" x14ac:dyDescent="0.2">
      <c r="L65464">
        <v>4</v>
      </c>
    </row>
  </sheetData>
  <mergeCells count="181">
    <mergeCell ref="U34:U35"/>
    <mergeCell ref="V34:V35"/>
    <mergeCell ref="T24:T26"/>
    <mergeCell ref="B34:B35"/>
    <mergeCell ref="E34:E35"/>
    <mergeCell ref="J34:J35"/>
    <mergeCell ref="L34:L35"/>
    <mergeCell ref="H34:H35"/>
    <mergeCell ref="F34:F35"/>
    <mergeCell ref="K34:K35"/>
    <mergeCell ref="I34:I35"/>
    <mergeCell ref="R34:R35"/>
    <mergeCell ref="S34:S35"/>
    <mergeCell ref="T34:T35"/>
    <mergeCell ref="P34:P35"/>
    <mergeCell ref="S28:S29"/>
    <mergeCell ref="T28:T29"/>
    <mergeCell ref="U28:U29"/>
    <mergeCell ref="V28:V29"/>
    <mergeCell ref="B28:B29"/>
    <mergeCell ref="E28:E29"/>
    <mergeCell ref="J28:J29"/>
    <mergeCell ref="K28:K29"/>
    <mergeCell ref="L28:L29"/>
    <mergeCell ref="U15:U16"/>
    <mergeCell ref="V15:V16"/>
    <mergeCell ref="R18:R19"/>
    <mergeCell ref="W17:AC17"/>
    <mergeCell ref="R20:R21"/>
    <mergeCell ref="S20:S21"/>
    <mergeCell ref="T20:T21"/>
    <mergeCell ref="U20:U21"/>
    <mergeCell ref="V20:V21"/>
    <mergeCell ref="W18:AC18"/>
    <mergeCell ref="W19:AC19"/>
    <mergeCell ref="T18:T19"/>
    <mergeCell ref="B2:W2"/>
    <mergeCell ref="W3:AC3"/>
    <mergeCell ref="W4:AC4"/>
    <mergeCell ref="J10:J11"/>
    <mergeCell ref="L5:L6"/>
    <mergeCell ref="W5:AC5"/>
    <mergeCell ref="W6:AC6"/>
    <mergeCell ref="W7:AC7"/>
    <mergeCell ref="B5:B6"/>
    <mergeCell ref="E5:E6"/>
    <mergeCell ref="R5:R6"/>
    <mergeCell ref="S5:S6"/>
    <mergeCell ref="T5:T6"/>
    <mergeCell ref="K10:K11"/>
    <mergeCell ref="L10:L11"/>
    <mergeCell ref="M10:M11"/>
    <mergeCell ref="P10:P11"/>
    <mergeCell ref="R10:R11"/>
    <mergeCell ref="S8:S9"/>
    <mergeCell ref="T8:T9"/>
    <mergeCell ref="I10:I11"/>
    <mergeCell ref="S10:S11"/>
    <mergeCell ref="T10:T11"/>
    <mergeCell ref="U10:U11"/>
    <mergeCell ref="J5:J6"/>
    <mergeCell ref="K5:K6"/>
    <mergeCell ref="W27:AC27"/>
    <mergeCell ref="R8:R9"/>
    <mergeCell ref="U5:U6"/>
    <mergeCell ref="W8:AC8"/>
    <mergeCell ref="W9:AC9"/>
    <mergeCell ref="V5:V6"/>
    <mergeCell ref="U8:U9"/>
    <mergeCell ref="V8:V9"/>
    <mergeCell ref="W12:AC12"/>
    <mergeCell ref="W13:AC13"/>
    <mergeCell ref="V10:V11"/>
    <mergeCell ref="W10:AC11"/>
    <mergeCell ref="J15:J16"/>
    <mergeCell ref="K15:K16"/>
    <mergeCell ref="L15:L16"/>
    <mergeCell ref="R15:R16"/>
    <mergeCell ref="S15:S16"/>
    <mergeCell ref="U18:U19"/>
    <mergeCell ref="V18:V19"/>
    <mergeCell ref="W15:AC15"/>
    <mergeCell ref="W16:AC16"/>
    <mergeCell ref="T15:T16"/>
    <mergeCell ref="C92:C93"/>
    <mergeCell ref="D92:D93"/>
    <mergeCell ref="E92:E93"/>
    <mergeCell ref="W57:AC57"/>
    <mergeCell ref="E59:F59"/>
    <mergeCell ref="E60:F60"/>
    <mergeCell ref="E61:F61"/>
    <mergeCell ref="C82:P83"/>
    <mergeCell ref="W51:AC51"/>
    <mergeCell ref="W52:AC52"/>
    <mergeCell ref="W53:AC53"/>
    <mergeCell ref="W54:AC54"/>
    <mergeCell ref="D72:P72"/>
    <mergeCell ref="W55:AC55"/>
    <mergeCell ref="W56:AC56"/>
    <mergeCell ref="B8:B9"/>
    <mergeCell ref="E8:E9"/>
    <mergeCell ref="J8:J9"/>
    <mergeCell ref="K8:K9"/>
    <mergeCell ref="L8:L9"/>
    <mergeCell ref="S18:S19"/>
    <mergeCell ref="B10:B11"/>
    <mergeCell ref="E10:E11"/>
    <mergeCell ref="F10:F11"/>
    <mergeCell ref="H10:H11"/>
    <mergeCell ref="B15:B16"/>
    <mergeCell ref="E15:E16"/>
    <mergeCell ref="W14:AC14"/>
    <mergeCell ref="W49:AC49"/>
    <mergeCell ref="W50:AC50"/>
    <mergeCell ref="W20:AC20"/>
    <mergeCell ref="W21:AC21"/>
    <mergeCell ref="W22:AC22"/>
    <mergeCell ref="W48:AC48"/>
    <mergeCell ref="W40:AC40"/>
    <mergeCell ref="W41:AC41"/>
    <mergeCell ref="W42:AC42"/>
    <mergeCell ref="W46:AC46"/>
    <mergeCell ref="W47:AC47"/>
    <mergeCell ref="W36:AC36"/>
    <mergeCell ref="W37:AC37"/>
    <mergeCell ref="W38:AC38"/>
    <mergeCell ref="W39:AC39"/>
    <mergeCell ref="W34:AC35"/>
    <mergeCell ref="W28:AC28"/>
    <mergeCell ref="W29:AC29"/>
    <mergeCell ref="W30:AC30"/>
    <mergeCell ref="W31:AC31"/>
    <mergeCell ref="W32:AC32"/>
    <mergeCell ref="W33:AC33"/>
    <mergeCell ref="W26:AC26"/>
    <mergeCell ref="W23:AC23"/>
    <mergeCell ref="W45:AC45"/>
    <mergeCell ref="E18:E19"/>
    <mergeCell ref="B18:B19"/>
    <mergeCell ref="L18:L19"/>
    <mergeCell ref="J18:J19"/>
    <mergeCell ref="K18:K19"/>
    <mergeCell ref="W43:AC43"/>
    <mergeCell ref="W44:AC44"/>
    <mergeCell ref="B24:B26"/>
    <mergeCell ref="J24:J26"/>
    <mergeCell ref="K24:K26"/>
    <mergeCell ref="L24:L26"/>
    <mergeCell ref="R24:R26"/>
    <mergeCell ref="S24:S26"/>
    <mergeCell ref="M34:M35"/>
    <mergeCell ref="U24:U26"/>
    <mergeCell ref="V24:V26"/>
    <mergeCell ref="E24:E26"/>
    <mergeCell ref="W24:AC25"/>
    <mergeCell ref="U22:U23"/>
    <mergeCell ref="V22:V23"/>
    <mergeCell ref="S22:S23"/>
    <mergeCell ref="T22:T23"/>
    <mergeCell ref="R22:R23"/>
    <mergeCell ref="E20:E21"/>
    <mergeCell ref="L20:L21"/>
    <mergeCell ref="B22:B23"/>
    <mergeCell ref="K22:K23"/>
    <mergeCell ref="L22:L23"/>
    <mergeCell ref="E22:E23"/>
    <mergeCell ref="J22:J23"/>
    <mergeCell ref="B20:B21"/>
    <mergeCell ref="J20:J21"/>
    <mergeCell ref="K20:K21"/>
    <mergeCell ref="R28:R29"/>
    <mergeCell ref="S30:S31"/>
    <mergeCell ref="T30:T31"/>
    <mergeCell ref="U30:U31"/>
    <mergeCell ref="V30:V31"/>
    <mergeCell ref="E30:E31"/>
    <mergeCell ref="B30:B31"/>
    <mergeCell ref="J30:J31"/>
    <mergeCell ref="K30:K31"/>
    <mergeCell ref="L30:L31"/>
    <mergeCell ref="R30:R31"/>
  </mergeCells>
  <conditionalFormatting sqref="B2 J77:J81 J84:J85 J88:J65536">
    <cfRule type="cellIs" dxfId="1516" priority="1060" stopIfTrue="1" operator="lessThan">
      <formula>438</formula>
    </cfRule>
  </conditionalFormatting>
  <conditionalFormatting sqref="I63:I71">
    <cfRule type="cellIs" dxfId="1515" priority="1042" stopIfTrue="1" operator="greaterThan">
      <formula>1.5%</formula>
    </cfRule>
    <cfRule type="cellIs" dxfId="1514" priority="1043" stopIfTrue="1" operator="lessThan">
      <formula>0%</formula>
    </cfRule>
  </conditionalFormatting>
  <conditionalFormatting sqref="J3">
    <cfRule type="cellIs" dxfId="1513" priority="1007" stopIfTrue="1" operator="lessThan">
      <formula>438</formula>
    </cfRule>
    <cfRule type="cellIs" dxfId="1512" priority="1005" stopIfTrue="1" operator="lessThan">
      <formula>456.25</formula>
    </cfRule>
  </conditionalFormatting>
  <conditionalFormatting sqref="J4:J5">
    <cfRule type="cellIs" dxfId="1511" priority="810" stopIfTrue="1" operator="lessThan">
      <formula>524</formula>
    </cfRule>
  </conditionalFormatting>
  <conditionalFormatting sqref="J7:J8">
    <cfRule type="cellIs" dxfId="1510" priority="439" stopIfTrue="1" operator="lessThan">
      <formula>524</formula>
    </cfRule>
  </conditionalFormatting>
  <conditionalFormatting sqref="J10">
    <cfRule type="cellIs" dxfId="1509" priority="386" stopIfTrue="1" operator="lessThan">
      <formula>524</formula>
    </cfRule>
  </conditionalFormatting>
  <conditionalFormatting sqref="J12:J15">
    <cfRule type="cellIs" dxfId="1508" priority="329" stopIfTrue="1" operator="lessThan">
      <formula>524</formula>
    </cfRule>
  </conditionalFormatting>
  <conditionalFormatting sqref="J17:J18 J20">
    <cfRule type="cellIs" dxfId="1507" priority="276" stopIfTrue="1" operator="lessThan">
      <formula>524</formula>
    </cfRule>
  </conditionalFormatting>
  <conditionalFormatting sqref="J22 J24">
    <cfRule type="cellIs" dxfId="1506" priority="218" stopIfTrue="1" operator="lessThan">
      <formula>524</formula>
    </cfRule>
  </conditionalFormatting>
  <conditionalFormatting sqref="J27:J28 J30">
    <cfRule type="cellIs" dxfId="1505" priority="66" stopIfTrue="1" operator="lessThan">
      <formula>524</formula>
    </cfRule>
  </conditionalFormatting>
  <conditionalFormatting sqref="J32:J34">
    <cfRule type="cellIs" dxfId="1504" priority="57" stopIfTrue="1" operator="lessThan">
      <formula>524</formula>
    </cfRule>
  </conditionalFormatting>
  <conditionalFormatting sqref="J36:J57">
    <cfRule type="cellIs" dxfId="1503" priority="864" stopIfTrue="1" operator="lessThan">
      <formula>524</formula>
    </cfRule>
  </conditionalFormatting>
  <conditionalFormatting sqref="J58">
    <cfRule type="cellIs" dxfId="1502" priority="1054" stopIfTrue="1" operator="lessThan">
      <formula>462</formula>
    </cfRule>
  </conditionalFormatting>
  <conditionalFormatting sqref="J63:K71">
    <cfRule type="cellIs" dxfId="1501" priority="1001" stopIfTrue="1" operator="lessThan">
      <formula>73%</formula>
    </cfRule>
  </conditionalFormatting>
  <conditionalFormatting sqref="K4:K5">
    <cfRule type="cellIs" dxfId="1500" priority="812" stopIfTrue="1" operator="lessThan">
      <formula>540</formula>
    </cfRule>
  </conditionalFormatting>
  <conditionalFormatting sqref="K7:K8">
    <cfRule type="cellIs" dxfId="1499" priority="441" stopIfTrue="1" operator="lessThan">
      <formula>540</formula>
    </cfRule>
  </conditionalFormatting>
  <conditionalFormatting sqref="K10">
    <cfRule type="cellIs" dxfId="1498" priority="388" stopIfTrue="1" operator="lessThan">
      <formula>540</formula>
    </cfRule>
  </conditionalFormatting>
  <conditionalFormatting sqref="K12:K15">
    <cfRule type="cellIs" dxfId="1497" priority="331" stopIfTrue="1" operator="lessThan">
      <formula>540</formula>
    </cfRule>
  </conditionalFormatting>
  <conditionalFormatting sqref="K17:K18 K20 K22">
    <cfRule type="cellIs" dxfId="1496" priority="278" stopIfTrue="1" operator="lessThan">
      <formula>540</formula>
    </cfRule>
  </conditionalFormatting>
  <conditionalFormatting sqref="K24">
    <cfRule type="cellIs" dxfId="1495" priority="119" stopIfTrue="1" operator="lessThan">
      <formula>540</formula>
    </cfRule>
  </conditionalFormatting>
  <conditionalFormatting sqref="K27:K28 K30">
    <cfRule type="cellIs" dxfId="1494" priority="68" stopIfTrue="1" operator="lessThan">
      <formula>540</formula>
    </cfRule>
  </conditionalFormatting>
  <conditionalFormatting sqref="K32:K34">
    <cfRule type="cellIs" dxfId="1493" priority="9" stopIfTrue="1" operator="lessThan">
      <formula>540</formula>
    </cfRule>
  </conditionalFormatting>
  <conditionalFormatting sqref="K36:K56">
    <cfRule type="cellIs" dxfId="1492" priority="866" stopIfTrue="1" operator="lessThan">
      <formula>540</formula>
    </cfRule>
  </conditionalFormatting>
  <conditionalFormatting sqref="P4:P10">
    <cfRule type="cellIs" dxfId="1491" priority="492" stopIfTrue="1" operator="greaterThan">
      <formula>1.1</formula>
    </cfRule>
  </conditionalFormatting>
  <conditionalFormatting sqref="P12:P34">
    <cfRule type="cellIs" dxfId="1490" priority="1052" stopIfTrue="1" operator="greaterThan">
      <formula>1.1</formula>
    </cfRule>
  </conditionalFormatting>
  <conditionalFormatting sqref="P36:P59">
    <cfRule type="cellIs" dxfId="1489" priority="917" stopIfTrue="1" operator="greaterThan">
      <formula>1.1</formula>
    </cfRule>
  </conditionalFormatting>
  <conditionalFormatting sqref="P59:P60">
    <cfRule type="cellIs" dxfId="1488" priority="1055" stopIfTrue="1" operator="greaterThan">
      <formula>1.5%</formula>
    </cfRule>
    <cfRule type="cellIs" dxfId="1487" priority="1056" stopIfTrue="1" operator="lessThan">
      <formula>0%</formula>
    </cfRule>
  </conditionalFormatting>
  <conditionalFormatting sqref="P63">
    <cfRule type="cellIs" dxfId="1486" priority="1044" stopIfTrue="1" operator="greaterThan">
      <formula>1.1</formula>
    </cfRule>
  </conditionalFormatting>
  <conditionalFormatting sqref="R4:S5">
    <cfRule type="cellIs" dxfId="1485" priority="860" stopIfTrue="1" operator="lessThan">
      <formula>0.67</formula>
    </cfRule>
  </conditionalFormatting>
  <conditionalFormatting sqref="R7:S8">
    <cfRule type="cellIs" dxfId="1484" priority="436" stopIfTrue="1" operator="lessThan">
      <formula>0.67</formula>
    </cfRule>
  </conditionalFormatting>
  <conditionalFormatting sqref="R10:S10">
    <cfRule type="cellIs" dxfId="1483" priority="383" stopIfTrue="1" operator="lessThan">
      <formula>0.67</formula>
    </cfRule>
  </conditionalFormatting>
  <conditionalFormatting sqref="R12:S15">
    <cfRule type="cellIs" dxfId="1482" priority="326" stopIfTrue="1" operator="lessThan">
      <formula>0.67</formula>
    </cfRule>
  </conditionalFormatting>
  <conditionalFormatting sqref="R17:S18 R20:S20">
    <cfRule type="cellIs" dxfId="1481" priority="270" stopIfTrue="1" operator="lessThan">
      <formula>0.67</formula>
    </cfRule>
  </conditionalFormatting>
  <conditionalFormatting sqref="R22:S22">
    <cfRule type="cellIs" dxfId="1480" priority="167" stopIfTrue="1" operator="lessThan">
      <formula>0.67</formula>
    </cfRule>
  </conditionalFormatting>
  <conditionalFormatting sqref="R24:S24">
    <cfRule type="cellIs" dxfId="1479" priority="116" stopIfTrue="1" operator="lessThan">
      <formula>0.67</formula>
    </cfRule>
  </conditionalFormatting>
  <conditionalFormatting sqref="R27:S28 R30:S30">
    <cfRule type="cellIs" dxfId="1478" priority="60" stopIfTrue="1" operator="lessThan">
      <formula>0.67</formula>
    </cfRule>
  </conditionalFormatting>
  <conditionalFormatting sqref="R32:S34">
    <cfRule type="cellIs" dxfId="1477" priority="2" stopIfTrue="1" operator="lessThan">
      <formula>0.67</formula>
    </cfRule>
  </conditionalFormatting>
  <conditionalFormatting sqref="R36:S56">
    <cfRule type="cellIs" dxfId="1476" priority="914" stopIfTrue="1" operator="lessThan">
      <formula>0.67</formula>
    </cfRule>
  </conditionalFormatting>
  <conditionalFormatting sqref="R57:S57">
    <cfRule type="cellIs" dxfId="1475" priority="1000" stopIfTrue="1" operator="greaterThan">
      <formula>1.1</formula>
    </cfRule>
  </conditionalFormatting>
  <conditionalFormatting sqref="R58:S58">
    <cfRule type="cellIs" dxfId="1474" priority="1012" stopIfTrue="1" operator="lessThan">
      <formula>0.6</formula>
    </cfRule>
  </conditionalFormatting>
  <conditionalFormatting sqref="R63:S63">
    <cfRule type="cellIs" dxfId="1473" priority="998" stopIfTrue="1" operator="lessThan">
      <formula>0.67</formula>
    </cfRule>
  </conditionalFormatting>
  <conditionalFormatting sqref="T59:T60">
    <cfRule type="cellIs" dxfId="1472" priority="1058" stopIfTrue="1" operator="lessThan">
      <formula>73%</formula>
    </cfRule>
  </conditionalFormatting>
  <conditionalFormatting sqref="T80">
    <cfRule type="cellIs" dxfId="1471" priority="1047" stopIfTrue="1" operator="greaterThan">
      <formula>1.1</formula>
    </cfRule>
  </conditionalFormatting>
  <conditionalFormatting sqref="T4:U5">
    <cfRule type="cellIs" dxfId="1470" priority="862" stopIfTrue="1" operator="lessThan">
      <formula>0.74</formula>
    </cfRule>
  </conditionalFormatting>
  <conditionalFormatting sqref="T7:U8">
    <cfRule type="cellIs" dxfId="1469" priority="438" stopIfTrue="1" operator="lessThan">
      <formula>0.74</formula>
    </cfRule>
  </conditionalFormatting>
  <conditionalFormatting sqref="T10:U10">
    <cfRule type="cellIs" dxfId="1468" priority="385" stopIfTrue="1" operator="lessThan">
      <formula>0.74</formula>
    </cfRule>
  </conditionalFormatting>
  <conditionalFormatting sqref="T12:U15">
    <cfRule type="cellIs" dxfId="1467" priority="328" stopIfTrue="1" operator="lessThan">
      <formula>0.74</formula>
    </cfRule>
  </conditionalFormatting>
  <conditionalFormatting sqref="T17:U18 T20:U20">
    <cfRule type="cellIs" dxfId="1466" priority="272" stopIfTrue="1" operator="lessThan">
      <formula>0.74</formula>
    </cfRule>
  </conditionalFormatting>
  <conditionalFormatting sqref="T22:U22">
    <cfRule type="cellIs" dxfId="1465" priority="168" stopIfTrue="1" operator="lessThan">
      <formula>0.74</formula>
    </cfRule>
  </conditionalFormatting>
  <conditionalFormatting sqref="T24:U24">
    <cfRule type="cellIs" dxfId="1464" priority="118" stopIfTrue="1" operator="lessThan">
      <formula>0.74</formula>
    </cfRule>
  </conditionalFormatting>
  <conditionalFormatting sqref="T27:U28 T30:U30">
    <cfRule type="cellIs" dxfId="1463" priority="61" stopIfTrue="1" operator="lessThan">
      <formula>0.74</formula>
    </cfRule>
  </conditionalFormatting>
  <conditionalFormatting sqref="T32:U34">
    <cfRule type="cellIs" dxfId="1462" priority="3" stopIfTrue="1" operator="lessThan">
      <formula>0.74</formula>
    </cfRule>
  </conditionalFormatting>
  <conditionalFormatting sqref="T36:U58">
    <cfRule type="cellIs" dxfId="1461" priority="916" stopIfTrue="1" operator="lessThan">
      <formula>0.74</formula>
    </cfRule>
  </conditionalFormatting>
  <conditionalFormatting sqref="T63:U63">
    <cfRule type="cellIs" dxfId="1460" priority="1045" stopIfTrue="1" operator="lessThan">
      <formula>0.74</formula>
    </cfRule>
  </conditionalFormatting>
  <conditionalFormatting sqref="T3:V3">
    <cfRule type="cellIs" dxfId="1459" priority="1051" stopIfTrue="1" operator="lessThan">
      <formula>0.65</formula>
    </cfRule>
  </conditionalFormatting>
  <conditionalFormatting sqref="T79:V79">
    <cfRule type="cellIs" dxfId="1458" priority="1048" stopIfTrue="1" operator="lessThan">
      <formula>0.74</formula>
    </cfRule>
  </conditionalFormatting>
  <conditionalFormatting sqref="U33">
    <cfRule type="cellIs" dxfId="1457" priority="4" stopIfTrue="1" operator="lessThan">
      <formula>0.74</formula>
    </cfRule>
  </conditionalFormatting>
  <conditionalFormatting sqref="U59:V60">
    <cfRule type="cellIs" dxfId="1456" priority="1059" stopIfTrue="1" operator="lessThan">
      <formula>75%</formula>
    </cfRule>
  </conditionalFormatting>
  <conditionalFormatting sqref="V4:V5">
    <cfRule type="cellIs" dxfId="1455" priority="861" stopIfTrue="1" operator="lessThan">
      <formula>0.95</formula>
    </cfRule>
  </conditionalFormatting>
  <conditionalFormatting sqref="V7:V8">
    <cfRule type="cellIs" dxfId="1454" priority="437" stopIfTrue="1" operator="lessThan">
      <formula>0.95</formula>
    </cfRule>
  </conditionalFormatting>
  <conditionalFormatting sqref="V10">
    <cfRule type="cellIs" dxfId="1453" priority="384" stopIfTrue="1" operator="lessThan">
      <formula>0.95</formula>
    </cfRule>
  </conditionalFormatting>
  <conditionalFormatting sqref="V12:V15">
    <cfRule type="cellIs" dxfId="1452" priority="327" stopIfTrue="1" operator="lessThan">
      <formula>0.95</formula>
    </cfRule>
  </conditionalFormatting>
  <conditionalFormatting sqref="V17:V18 V20">
    <cfRule type="cellIs" dxfId="1451" priority="271" stopIfTrue="1" operator="lessThan">
      <formula>0.95</formula>
    </cfRule>
  </conditionalFormatting>
  <conditionalFormatting sqref="V22">
    <cfRule type="cellIs" dxfId="1450" priority="62" stopIfTrue="1" operator="lessThan">
      <formula>0.95</formula>
    </cfRule>
  </conditionalFormatting>
  <conditionalFormatting sqref="V24">
    <cfRule type="cellIs" dxfId="1449" priority="117" stopIfTrue="1" operator="lessThan">
      <formula>0.95</formula>
    </cfRule>
  </conditionalFormatting>
  <conditionalFormatting sqref="V27:V28 V30">
    <cfRule type="cellIs" dxfId="1448" priority="59" stopIfTrue="1" operator="lessThan">
      <formula>0.95</formula>
    </cfRule>
  </conditionalFormatting>
  <conditionalFormatting sqref="V32:V34">
    <cfRule type="cellIs" dxfId="1447" priority="1" stopIfTrue="1" operator="lessThan">
      <formula>0.95</formula>
    </cfRule>
  </conditionalFormatting>
  <conditionalFormatting sqref="V36:V58">
    <cfRule type="cellIs" dxfId="1446" priority="915" stopIfTrue="1" operator="lessThan">
      <formula>0.95</formula>
    </cfRule>
  </conditionalFormatting>
  <conditionalFormatting sqref="V62">
    <cfRule type="cellIs" dxfId="1445" priority="1004" stopIfTrue="1" operator="lessThan">
      <formula>0.65</formula>
    </cfRule>
  </conditionalFormatting>
  <conditionalFormatting sqref="V63">
    <cfRule type="cellIs" dxfId="1444" priority="1003" stopIfTrue="1" operator="lessThan">
      <formula>0.95</formula>
    </cfRule>
  </conditionalFormatting>
  <printOptions horizontalCentered="1"/>
  <pageMargins left="0.10312499999999999" right="0.5" top="0.25" bottom="0.27" header="0.25" footer="0.27"/>
  <pageSetup paperSize="5" scale="37" fitToHeight="0" orientation="landscape"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DDF6E-732E-4616-A20A-6D320295E0CF}">
  <sheetPr codeName="Sheet18">
    <pageSetUpPr fitToPage="1"/>
  </sheetPr>
  <dimension ref="A2:AE65464"/>
  <sheetViews>
    <sheetView showZeros="0" showWhiteSpace="0" zoomScale="70" zoomScaleNormal="70" workbookViewId="0">
      <pane xSplit="3" ySplit="3" topLeftCell="S57" activePane="bottomRight" state="frozen"/>
      <selection activeCell="M66" sqref="M66"/>
      <selection pane="topRight" activeCell="M66" sqref="M66"/>
      <selection pane="bottomLeft" activeCell="M66" sqref="M66"/>
      <selection pane="bottomRight" activeCell="M66" sqref="M66"/>
    </sheetView>
  </sheetViews>
  <sheetFormatPr defaultColWidth="9.42578125" defaultRowHeight="12.75" x14ac:dyDescent="0.2"/>
  <cols>
    <col min="1" max="1" width="3.42578125" customWidth="1"/>
    <col min="2" max="2" width="21.42578125" style="1" customWidth="1"/>
    <col min="3" max="3" width="37.42578125" style="1" customWidth="1"/>
    <col min="4" max="4" width="15.5703125" style="1" customWidth="1"/>
    <col min="5" max="5" width="13.42578125" style="1" customWidth="1"/>
    <col min="6" max="6" width="12.42578125" style="1" customWidth="1"/>
    <col min="7" max="7" width="12.42578125" customWidth="1"/>
    <col min="8" max="8" width="13.42578125" customWidth="1"/>
    <col min="9" max="9" width="11.42578125" style="1" customWidth="1"/>
    <col min="10" max="10" width="14.42578125" customWidth="1"/>
    <col min="11" max="11" width="17.42578125" customWidth="1"/>
    <col min="12" max="12" width="12.42578125" customWidth="1"/>
    <col min="13" max="13" width="13.42578125" customWidth="1"/>
    <col min="14" max="14" width="10" style="392" customWidth="1"/>
    <col min="15" max="15" width="12" style="2" customWidth="1"/>
    <col min="16" max="16" width="14.42578125" style="1" customWidth="1"/>
    <col min="17" max="17" width="7.5703125" style="1" hidden="1" customWidth="1"/>
    <col min="18" max="18" width="16.42578125" style="1" hidden="1" customWidth="1"/>
    <col min="19" max="19" width="15.5703125" customWidth="1"/>
    <col min="20" max="20" width="13.42578125" hidden="1" customWidth="1"/>
    <col min="21" max="21" width="14.5703125" customWidth="1"/>
    <col min="22" max="22" width="20.5703125" style="1" customWidth="1"/>
    <col min="23" max="23" width="12" customWidth="1"/>
    <col min="24" max="24" width="17" customWidth="1"/>
    <col min="25" max="25" width="15.42578125" customWidth="1"/>
    <col min="26" max="26" width="15.5703125" customWidth="1"/>
    <col min="27" max="27" width="14" customWidth="1"/>
    <col min="28" max="28" width="25.5703125" customWidth="1"/>
    <col min="29" max="29" width="52.42578125" customWidth="1"/>
  </cols>
  <sheetData>
    <row r="2" spans="2:31" ht="24" thickBot="1" x14ac:dyDescent="0.4">
      <c r="B2" s="1022" t="s">
        <v>406</v>
      </c>
      <c r="C2" s="1022"/>
      <c r="D2" s="1022"/>
      <c r="E2" s="1022"/>
      <c r="F2" s="1022"/>
      <c r="G2" s="1022"/>
      <c r="H2" s="1022"/>
      <c r="I2" s="1022"/>
      <c r="J2" s="1022"/>
      <c r="K2" s="1022"/>
      <c r="L2" s="1022"/>
      <c r="M2" s="1022"/>
      <c r="N2" s="1022"/>
      <c r="O2" s="1022"/>
      <c r="P2" s="1022"/>
      <c r="Q2" s="1022"/>
      <c r="R2" s="1022"/>
      <c r="S2" s="1022"/>
      <c r="T2" s="1022"/>
      <c r="U2" s="1022"/>
      <c r="V2" s="1065"/>
      <c r="W2" s="1065"/>
    </row>
    <row r="3" spans="2:31" ht="83.25" customHeight="1" thickTop="1" thickBot="1" x14ac:dyDescent="0.25">
      <c r="B3" s="37" t="s">
        <v>0</v>
      </c>
      <c r="C3" s="38" t="s">
        <v>2</v>
      </c>
      <c r="D3" s="38" t="s">
        <v>12</v>
      </c>
      <c r="E3" s="38" t="s">
        <v>11</v>
      </c>
      <c r="F3" s="38" t="s">
        <v>15</v>
      </c>
      <c r="G3" s="38" t="s">
        <v>9</v>
      </c>
      <c r="H3" s="38" t="s">
        <v>17</v>
      </c>
      <c r="I3" s="38" t="s">
        <v>5</v>
      </c>
      <c r="J3" s="38" t="s">
        <v>494</v>
      </c>
      <c r="K3" s="38" t="s">
        <v>4</v>
      </c>
      <c r="L3" s="38" t="s">
        <v>161</v>
      </c>
      <c r="M3" s="38" t="s">
        <v>10</v>
      </c>
      <c r="N3" s="38" t="s">
        <v>622</v>
      </c>
      <c r="O3" s="294" t="s">
        <v>34</v>
      </c>
      <c r="P3" s="40" t="s">
        <v>55</v>
      </c>
      <c r="Q3" s="40" t="s">
        <v>8</v>
      </c>
      <c r="R3" s="41" t="s">
        <v>464</v>
      </c>
      <c r="S3" s="41" t="s">
        <v>473</v>
      </c>
      <c r="T3" s="41" t="s">
        <v>307</v>
      </c>
      <c r="U3" s="282" t="s">
        <v>308</v>
      </c>
      <c r="V3" s="283" t="s">
        <v>425</v>
      </c>
      <c r="W3" s="1066" t="s">
        <v>1</v>
      </c>
      <c r="X3" s="1067"/>
      <c r="Y3" s="1067"/>
      <c r="Z3" s="1067"/>
      <c r="AA3" s="1067"/>
      <c r="AB3" s="1067"/>
      <c r="AC3" s="1068"/>
      <c r="AD3">
        <v>15000</v>
      </c>
      <c r="AE3">
        <v>17000</v>
      </c>
    </row>
    <row r="4" spans="2:31" s="19" customFormat="1" ht="93.75" customHeight="1" thickTop="1" x14ac:dyDescent="0.2">
      <c r="B4" s="168">
        <v>43040</v>
      </c>
      <c r="C4" s="26" t="str">
        <f>[3]November_2017!$D8</f>
        <v>GUINNESS</v>
      </c>
      <c r="D4" s="27">
        <v>4200</v>
      </c>
      <c r="E4" s="28">
        <v>0.33749999999999997</v>
      </c>
      <c r="F4" s="369">
        <f>[3]November_2017!$J8</f>
        <v>303.8</v>
      </c>
      <c r="G4" s="30">
        <f>[3]November_2017!$F8</f>
        <v>4578</v>
      </c>
      <c r="H4" s="369">
        <f>[3]November_2017!$K8</f>
        <v>302.14800000000002</v>
      </c>
      <c r="I4" s="370">
        <f>[3]November_2017!$N8</f>
        <v>23</v>
      </c>
      <c r="J4" s="32">
        <f>[3]November_2017!$Q8</f>
        <v>352.15384615384613</v>
      </c>
      <c r="K4" s="32">
        <f>[3]November_2017!$E8</f>
        <v>780</v>
      </c>
      <c r="L4" s="169">
        <v>0.92361111111111116</v>
      </c>
      <c r="M4" s="32">
        <f>[3]November_2017!$M8</f>
        <v>374</v>
      </c>
      <c r="N4" s="376"/>
      <c r="O4" s="32">
        <f>[3]November_2017!$H7</f>
        <v>0</v>
      </c>
      <c r="P4" s="349">
        <f>[3]November_2017!$P8</f>
        <v>0.54377880184331362</v>
      </c>
      <c r="Q4" s="32"/>
      <c r="R4" s="46">
        <f>($G4)/(($K4/60)*AD$3*(1/24))</f>
        <v>0.56344615384615382</v>
      </c>
      <c r="S4" s="46">
        <f>($G4)/(($K4/60)*AE$3*(1/24))</f>
        <v>0.49715837104072402</v>
      </c>
      <c r="T4" s="46">
        <f>($G4)*24/(($K4)/60)/$AD$3</f>
        <v>0.56344615384615393</v>
      </c>
      <c r="U4" s="227">
        <f>($G4)*24/(($K4)/60)/$AE$3</f>
        <v>0.49715837104072402</v>
      </c>
      <c r="V4" s="383">
        <f>(909-((M4)-[4]Nov!$Z$8))/909</f>
        <v>0.60396039603960394</v>
      </c>
      <c r="W4" s="1059" t="s">
        <v>772</v>
      </c>
      <c r="X4" s="1060"/>
      <c r="Y4" s="1060"/>
      <c r="Z4" s="1060"/>
      <c r="AA4" s="1060"/>
      <c r="AB4" s="1060"/>
      <c r="AC4" s="1061"/>
    </row>
    <row r="5" spans="2:31" s="19" customFormat="1" ht="59.25" customHeight="1" x14ac:dyDescent="0.2">
      <c r="B5" s="1037">
        <v>43041</v>
      </c>
      <c r="C5" s="26" t="str">
        <f>[3]November_2017!$D9</f>
        <v xml:space="preserve">CARIB </v>
      </c>
      <c r="D5" s="27">
        <v>2800</v>
      </c>
      <c r="E5" s="1051">
        <v>0.32916666666666666</v>
      </c>
      <c r="F5" s="369">
        <f>[3]November_2017!$J9</f>
        <v>170.7</v>
      </c>
      <c r="G5" s="30">
        <f>[3]November_2017!$F9</f>
        <v>2548</v>
      </c>
      <c r="H5" s="369">
        <f>[3]November_2017!$K9</f>
        <v>168.16800000000001</v>
      </c>
      <c r="I5" s="370">
        <f>[3]November_2017!$N9</f>
        <v>14</v>
      </c>
      <c r="J5" s="991">
        <f>[3]November_2017!$Q9</f>
        <v>321.41007194244605</v>
      </c>
      <c r="K5" s="991">
        <f>[3]November_2017!$E9</f>
        <v>695</v>
      </c>
      <c r="L5" s="1017">
        <v>0.84722222222222221</v>
      </c>
      <c r="M5" s="32">
        <f>[3]November_2017!$M9</f>
        <v>118</v>
      </c>
      <c r="N5" s="376"/>
      <c r="O5" s="32">
        <f>[3]November_2017!$H8</f>
        <v>0</v>
      </c>
      <c r="P5" s="349">
        <f>[3]November_2017!$P9</f>
        <v>1.4833040421792516</v>
      </c>
      <c r="Q5" s="32"/>
      <c r="R5" s="1039">
        <f>($G5+G6)/(($K5/60)*AD$3*(1/24))</f>
        <v>0.51425611510791369</v>
      </c>
      <c r="S5" s="1039">
        <f>($G5+G6)/(($K5/60)*AE$3*(1/24))</f>
        <v>0.45375539568345324</v>
      </c>
      <c r="T5" s="1039">
        <f>($G5+G6)*24/(($K5)/60)/$AD$3</f>
        <v>0.51425611510791358</v>
      </c>
      <c r="U5" s="1047">
        <f>($G5+G6)*24/(($K5)/60)/$AE$3</f>
        <v>0.45375539568345319</v>
      </c>
      <c r="V5" s="1035">
        <f>(798-((M5+M6)-[4]Nov!$Z$10-[4]Nov!$Z$9-[4]Nov!$I$10-[4]Nov!$J$10))/798</f>
        <v>0.60526315789473684</v>
      </c>
      <c r="W5" s="1059" t="s">
        <v>771</v>
      </c>
      <c r="X5" s="1060"/>
      <c r="Y5" s="1060"/>
      <c r="Z5" s="1060"/>
      <c r="AA5" s="1060"/>
      <c r="AB5" s="1060"/>
      <c r="AC5" s="1061"/>
    </row>
    <row r="6" spans="2:31" s="19" customFormat="1" ht="75" customHeight="1" x14ac:dyDescent="0.2">
      <c r="B6" s="1038"/>
      <c r="C6" s="26" t="str">
        <f>[3]November_2017!$D10</f>
        <v>STAG</v>
      </c>
      <c r="D6" s="27">
        <v>2910</v>
      </c>
      <c r="E6" s="1053"/>
      <c r="F6" s="369">
        <f>[3]November_2017!$J10</f>
        <v>90.799999999999983</v>
      </c>
      <c r="G6" s="30">
        <f>[3]November_2017!$F10</f>
        <v>1175</v>
      </c>
      <c r="H6" s="369">
        <f>[3]November_2017!$K10</f>
        <v>85.149999999999991</v>
      </c>
      <c r="I6" s="370">
        <f>[3]November_2017!$N10</f>
        <v>62</v>
      </c>
      <c r="J6" s="992"/>
      <c r="K6" s="992"/>
      <c r="L6" s="1018"/>
      <c r="M6" s="32">
        <f>[3]November_2017!$M10</f>
        <v>237</v>
      </c>
      <c r="N6" s="376">
        <f>[4]Nov!$I10</f>
        <v>7</v>
      </c>
      <c r="O6" s="32">
        <f>[3]November_2017!$H9</f>
        <v>0</v>
      </c>
      <c r="P6" s="349">
        <f>[3]November_2017!$P10</f>
        <v>6.2224669603524143</v>
      </c>
      <c r="Q6" s="32"/>
      <c r="R6" s="1040"/>
      <c r="S6" s="1040"/>
      <c r="T6" s="1040"/>
      <c r="U6" s="1048"/>
      <c r="V6" s="1036"/>
      <c r="W6" s="1059" t="s">
        <v>770</v>
      </c>
      <c r="X6" s="1060"/>
      <c r="Y6" s="1060"/>
      <c r="Z6" s="1060"/>
      <c r="AA6" s="1060"/>
      <c r="AB6" s="1060"/>
      <c r="AC6" s="1061"/>
    </row>
    <row r="7" spans="2:31" s="19" customFormat="1" ht="96.75" customHeight="1" x14ac:dyDescent="0.2">
      <c r="B7" s="168">
        <v>43042</v>
      </c>
      <c r="C7" s="26" t="str">
        <f>[3]November_2017!$D11</f>
        <v>STAG</v>
      </c>
      <c r="D7" s="27">
        <v>5600</v>
      </c>
      <c r="E7" s="28">
        <v>0.32847222222222222</v>
      </c>
      <c r="F7" s="369">
        <f>[3]November_2017!$J11</f>
        <v>306.60000000000002</v>
      </c>
      <c r="G7" s="30">
        <f>[3]November_2017!$F11</f>
        <v>4627</v>
      </c>
      <c r="H7" s="369">
        <f>[3]November_2017!$K11</f>
        <v>305.38200000000001</v>
      </c>
      <c r="I7" s="370">
        <f>[3]November_2017!$N11</f>
        <v>23</v>
      </c>
      <c r="J7" s="32">
        <f>[3]November_2017!$Q11</f>
        <v>478.65517241379314</v>
      </c>
      <c r="K7" s="32">
        <f>[3]November_2017!$E11</f>
        <v>580</v>
      </c>
      <c r="L7" s="169">
        <v>0.77569444444444446</v>
      </c>
      <c r="M7" s="32">
        <f>[3]November_2017!$M11</f>
        <v>173</v>
      </c>
      <c r="N7" s="376" t="e">
        <f>[4]Nov!$I11</f>
        <v>#REF!</v>
      </c>
      <c r="O7" s="32">
        <f>[3]November_2017!$H10</f>
        <v>0</v>
      </c>
      <c r="P7" s="349">
        <f>[3]November_2017!$P11</f>
        <v>0.39726027397260844</v>
      </c>
      <c r="Q7" s="32"/>
      <c r="R7" s="46">
        <f>($G7)/(($K7/60)*AD$3*(1/24))</f>
        <v>0.76584827586206905</v>
      </c>
      <c r="S7" s="46">
        <f>($G7)/(($K7/60)*AE$3*(1/24))</f>
        <v>0.67574847870182575</v>
      </c>
      <c r="T7" s="46">
        <f>($G7)*24/(($K7)/60)/$AD$3</f>
        <v>0.76584827586206894</v>
      </c>
      <c r="U7" s="227">
        <f>($G7)*24/(($K7)/60)/$AE$3</f>
        <v>0.67574847870182553</v>
      </c>
      <c r="V7" s="383">
        <f>(692-((M7)-[4]Nov!$Z$11-[4]Nov!$J$11))/692</f>
        <v>0.76011560693641622</v>
      </c>
      <c r="W7" s="1059" t="s">
        <v>769</v>
      </c>
      <c r="X7" s="1060"/>
      <c r="Y7" s="1060"/>
      <c r="Z7" s="1060"/>
      <c r="AA7" s="1060"/>
      <c r="AB7" s="1060"/>
      <c r="AC7" s="1061"/>
    </row>
    <row r="8" spans="2:31" s="19" customFormat="1" ht="77.25" customHeight="1" x14ac:dyDescent="0.2">
      <c r="B8" s="368">
        <v>43047</v>
      </c>
      <c r="C8" s="26" t="str">
        <f>[3]November_2017!$D12</f>
        <v>VITAMALT</v>
      </c>
      <c r="D8" s="27">
        <v>4020</v>
      </c>
      <c r="E8" s="28">
        <v>0.3979166666666667</v>
      </c>
      <c r="F8" s="369">
        <f>[3]November_2017!$J12</f>
        <v>309.10000000000002</v>
      </c>
      <c r="G8" s="30">
        <f>[3]November_2017!$F12</f>
        <v>4096</v>
      </c>
      <c r="H8" s="369">
        <f>[3]November_2017!$K12</f>
        <v>304.74239999999998</v>
      </c>
      <c r="I8" s="370">
        <f>[3]November_2017!$N12</f>
        <v>45</v>
      </c>
      <c r="J8" s="32">
        <f>[3]November_2017!$Q12</f>
        <v>418.67120954003406</v>
      </c>
      <c r="K8" s="32">
        <f>[3]November_2017!$E12</f>
        <v>587</v>
      </c>
      <c r="L8" s="169">
        <v>0.84861111111111109</v>
      </c>
      <c r="M8" s="32">
        <f>[3]November_2017!$M12</f>
        <v>345</v>
      </c>
      <c r="N8" s="376" t="e">
        <f>[4]Nov!$I12</f>
        <v>#REF!</v>
      </c>
      <c r="O8" s="32">
        <f>[3]November_2017!$H11</f>
        <v>0</v>
      </c>
      <c r="P8" s="349">
        <f>[3]November_2017!$P12</f>
        <v>1.4097703008735192</v>
      </c>
      <c r="Q8" s="32"/>
      <c r="R8" s="46">
        <f>($G8)/(($K8/60)*AD$3*(1/24))</f>
        <v>0.66987393526405459</v>
      </c>
      <c r="S8" s="46">
        <f>($G8)/(($K8/60)*AE$3*(1/24))</f>
        <v>0.5910652369976952</v>
      </c>
      <c r="T8" s="46">
        <f>($G8)*24/(($K8)/60)/$AD$3</f>
        <v>0.66987393526405459</v>
      </c>
      <c r="U8" s="227">
        <f>($G8)*24/(($K8)/60)/$AE$3</f>
        <v>0.5910652369976952</v>
      </c>
      <c r="V8" s="383">
        <f>(780-((M8)-[4]Nov!$Z$12))/780</f>
        <v>0.56282051282051282</v>
      </c>
      <c r="W8" s="1059" t="s">
        <v>768</v>
      </c>
      <c r="X8" s="1060"/>
      <c r="Y8" s="1060"/>
      <c r="Z8" s="1060"/>
      <c r="AA8" s="1060"/>
      <c r="AB8" s="1060"/>
      <c r="AC8" s="1061"/>
    </row>
    <row r="9" spans="2:31" s="19" customFormat="1" ht="52.5" customHeight="1" x14ac:dyDescent="0.2">
      <c r="B9" s="1037">
        <v>43048</v>
      </c>
      <c r="C9" s="26" t="str">
        <f>[3]November_2017!$D13</f>
        <v>STAG</v>
      </c>
      <c r="D9" s="27">
        <v>1300</v>
      </c>
      <c r="E9" s="1051">
        <v>0.35833333333333334</v>
      </c>
      <c r="F9" s="369">
        <f>[3]November_2017!$J13</f>
        <v>93.6</v>
      </c>
      <c r="G9" s="30">
        <f>[3]November_2017!$F13</f>
        <v>1222</v>
      </c>
      <c r="H9" s="369">
        <f>[3]November_2017!$K13</f>
        <v>90.152000000000001</v>
      </c>
      <c r="I9" s="370">
        <f>[3]November_2017!$N13</f>
        <v>25.5</v>
      </c>
      <c r="J9" s="991">
        <f>[3]November_2017!$Q13</f>
        <v>471.56146179401992</v>
      </c>
      <c r="K9" s="991">
        <f>[3]November_2017!$E13</f>
        <v>903</v>
      </c>
      <c r="L9" s="1017">
        <v>1</v>
      </c>
      <c r="M9" s="32">
        <f>[3]November_2017!$M13</f>
        <v>102</v>
      </c>
      <c r="N9" s="376" t="e">
        <f>[4]Nov!$I13</f>
        <v>#REF!</v>
      </c>
      <c r="O9" s="32">
        <f>[3]November_2017!$H12</f>
        <v>0</v>
      </c>
      <c r="P9" s="349">
        <f>[3]November_2017!$P13</f>
        <v>3.6837606837606769</v>
      </c>
      <c r="Q9" s="32"/>
      <c r="R9" s="1039">
        <f>($G9+G10)/(($K9/60)*AD$3*(1/24))</f>
        <v>0.75449833887043194</v>
      </c>
      <c r="S9" s="1039">
        <f>($G9+G10)/(($K9/60)*AE$3*(1/24))</f>
        <v>0.66573382841508699</v>
      </c>
      <c r="T9" s="1039">
        <f>($G9+G10)*24/(($K9)/60)/$AD$3</f>
        <v>0.75449833887043183</v>
      </c>
      <c r="U9" s="1047">
        <f>($G9+G10)*24/(($K9)/60)/$AE$3</f>
        <v>0.66573382841508688</v>
      </c>
      <c r="V9" s="1035">
        <f>(1017-((M9+M10)))/1017</f>
        <v>0.71189773844641102</v>
      </c>
      <c r="W9" s="1059" t="s">
        <v>745</v>
      </c>
      <c r="X9" s="1060"/>
      <c r="Y9" s="1060"/>
      <c r="Z9" s="1060"/>
      <c r="AA9" s="1060"/>
      <c r="AB9" s="1060"/>
      <c r="AC9" s="1061"/>
    </row>
    <row r="10" spans="2:31" s="19" customFormat="1" ht="111" customHeight="1" x14ac:dyDescent="0.2">
      <c r="B10" s="1038"/>
      <c r="C10" s="26" t="str">
        <f>[3]November_2017!$D14</f>
        <v xml:space="preserve">CARIB </v>
      </c>
      <c r="D10" s="27">
        <v>4200</v>
      </c>
      <c r="E10" s="1053"/>
      <c r="F10" s="369">
        <f>[3]November_2017!$J14</f>
        <v>408.4</v>
      </c>
      <c r="G10" s="30">
        <f>[3]November_2017!$F14</f>
        <v>5875</v>
      </c>
      <c r="H10" s="369">
        <f>[3]November_2017!$K14</f>
        <v>406.75</v>
      </c>
      <c r="I10" s="370">
        <f>[3]November_2017!$N14</f>
        <v>10</v>
      </c>
      <c r="J10" s="992"/>
      <c r="K10" s="992"/>
      <c r="L10" s="1018"/>
      <c r="M10" s="32">
        <f>[3]November_2017!$M14</f>
        <v>191</v>
      </c>
      <c r="N10" s="376">
        <f>[4]Nov!$I14</f>
        <v>31</v>
      </c>
      <c r="O10" s="32">
        <f>[3]November_2017!$H13</f>
        <v>0</v>
      </c>
      <c r="P10" s="349">
        <f>[3]November_2017!$P14</f>
        <v>0.4040156709108661</v>
      </c>
      <c r="Q10" s="32"/>
      <c r="R10" s="1040"/>
      <c r="S10" s="1040"/>
      <c r="T10" s="1040"/>
      <c r="U10" s="1048"/>
      <c r="V10" s="1036"/>
      <c r="W10" s="1059" t="s">
        <v>744</v>
      </c>
      <c r="X10" s="1060"/>
      <c r="Y10" s="1060"/>
      <c r="Z10" s="1060"/>
      <c r="AA10" s="1060"/>
      <c r="AB10" s="1060"/>
      <c r="AC10" s="1061"/>
    </row>
    <row r="11" spans="2:31" s="19" customFormat="1" ht="38.25" customHeight="1" x14ac:dyDescent="0.2">
      <c r="B11" s="1037">
        <v>43049</v>
      </c>
      <c r="C11" s="26" t="str">
        <f>[3]November_2017!$D15</f>
        <v>CARIB (FLINT)</v>
      </c>
      <c r="D11" s="27">
        <v>1000</v>
      </c>
      <c r="E11" s="1051">
        <v>0.33333333333333331</v>
      </c>
      <c r="F11" s="989">
        <f>[3]November_2017!$J15</f>
        <v>156.5</v>
      </c>
      <c r="G11" s="30">
        <f>[3]November_2017!$F15</f>
        <v>951</v>
      </c>
      <c r="H11" s="989">
        <f>[3]November_2017!$K15</f>
        <v>155.958</v>
      </c>
      <c r="I11" s="1004">
        <f>[3]November_2017!$N15</f>
        <v>20.5</v>
      </c>
      <c r="J11" s="991">
        <f>[3]November_2017!$Q15</f>
        <v>482.75159235668787</v>
      </c>
      <c r="K11" s="991">
        <f>[3]November_2017!$E15</f>
        <v>785</v>
      </c>
      <c r="L11" s="1017">
        <v>0.91666666666666663</v>
      </c>
      <c r="M11" s="991">
        <f>[3]November_2017!$M15</f>
        <v>94</v>
      </c>
      <c r="N11" s="376">
        <f>[4]Nov!$I15</f>
        <v>17</v>
      </c>
      <c r="O11" s="32">
        <f>[3]November_2017!$H14</f>
        <v>0</v>
      </c>
      <c r="P11" s="1045">
        <f>[3]November_2017!$P15</f>
        <v>0.34632587859425024</v>
      </c>
      <c r="Q11" s="32"/>
      <c r="R11" s="1039">
        <f>($G11+G12+G13)/(($K11/60)*AD$3*(1/24))</f>
        <v>0.77240254777070072</v>
      </c>
      <c r="S11" s="1039">
        <f>($G11+G12+G13)/(($K11/60)*AE$3*(1/24))</f>
        <v>0.68153165979767705</v>
      </c>
      <c r="T11" s="1039">
        <f>($G11+G12+G13)*24/(($K11)/60)/$AD$3</f>
        <v>0.77240254777070061</v>
      </c>
      <c r="U11" s="1047">
        <f>($G11+G12+G13)*24/(($K11)/60)/$AE$3</f>
        <v>0.68153165979767705</v>
      </c>
      <c r="V11" s="1035">
        <f>(1016-((M11+M12+M13)-[4]Nov!$Z$16-[4]Nov!$Z$15-[4]Nov!$I$16-[4]Nov!$I$15-[4]Nov!$J$16))/1016</f>
        <v>0.80413385826771655</v>
      </c>
      <c r="W11" s="1056" t="s">
        <v>767</v>
      </c>
      <c r="X11" s="1057"/>
      <c r="Y11" s="1057"/>
      <c r="Z11" s="1057"/>
      <c r="AA11" s="1057"/>
      <c r="AB11" s="1057"/>
      <c r="AC11" s="1058"/>
    </row>
    <row r="12" spans="2:31" s="19" customFormat="1" ht="32.25" customHeight="1" x14ac:dyDescent="0.2">
      <c r="B12" s="1050"/>
      <c r="C12" s="26" t="str">
        <f>[3]November_2017!$D16</f>
        <v>CARIB (AMBER)</v>
      </c>
      <c r="D12" s="27">
        <v>1300</v>
      </c>
      <c r="E12" s="1052"/>
      <c r="F12" s="990"/>
      <c r="G12" s="30">
        <f>[3]November_2017!$F16</f>
        <v>1412</v>
      </c>
      <c r="H12" s="990"/>
      <c r="I12" s="1005"/>
      <c r="J12" s="1042"/>
      <c r="K12" s="1042"/>
      <c r="L12" s="1055"/>
      <c r="M12" s="992"/>
      <c r="N12" s="376">
        <f>[4]Nov!$I16</f>
        <v>18</v>
      </c>
      <c r="O12" s="32">
        <f>[3]November_2017!$H15</f>
        <v>0</v>
      </c>
      <c r="P12" s="1046"/>
      <c r="Q12" s="32"/>
      <c r="R12" s="1041"/>
      <c r="S12" s="1041"/>
      <c r="T12" s="1041"/>
      <c r="U12" s="1049"/>
      <c r="V12" s="1054"/>
      <c r="W12" s="1059"/>
      <c r="X12" s="1060"/>
      <c r="Y12" s="1060"/>
      <c r="Z12" s="1060"/>
      <c r="AA12" s="1060"/>
      <c r="AB12" s="1060"/>
      <c r="AC12" s="1061"/>
    </row>
    <row r="13" spans="2:31" s="19" customFormat="1" ht="42.75" customHeight="1" x14ac:dyDescent="0.2">
      <c r="B13" s="1038"/>
      <c r="C13" s="26" t="str">
        <f>[3]November_2017!$D17</f>
        <v>STAG</v>
      </c>
      <c r="D13" s="27">
        <v>3500</v>
      </c>
      <c r="E13" s="1053"/>
      <c r="F13" s="369">
        <f>[3]November_2017!$J17</f>
        <v>261.60000000000002</v>
      </c>
      <c r="G13" s="30">
        <f>[3]November_2017!$F17</f>
        <v>3953</v>
      </c>
      <c r="H13" s="369">
        <f>[3]November_2017!$K17</f>
        <v>260.89800000000002</v>
      </c>
      <c r="I13" s="370">
        <f>[3]November_2017!$N17</f>
        <v>6</v>
      </c>
      <c r="J13" s="992"/>
      <c r="K13" s="992"/>
      <c r="L13" s="1018"/>
      <c r="M13" s="32">
        <f>[3]November_2017!$M17</f>
        <v>151</v>
      </c>
      <c r="N13" s="376" t="e">
        <f>[4]Nov!$I17</f>
        <v>#REF!</v>
      </c>
      <c r="O13" s="32"/>
      <c r="P13" s="349">
        <f>[3]November_2017!$P17</f>
        <v>0.26834862385321029</v>
      </c>
      <c r="Q13" s="32"/>
      <c r="R13" s="1040"/>
      <c r="S13" s="1040"/>
      <c r="T13" s="1040"/>
      <c r="U13" s="1048"/>
      <c r="V13" s="1036"/>
      <c r="W13" s="1059" t="s">
        <v>746</v>
      </c>
      <c r="X13" s="1060"/>
      <c r="Y13" s="1060"/>
      <c r="Z13" s="1060"/>
      <c r="AA13" s="1060"/>
      <c r="AB13" s="1060"/>
      <c r="AC13" s="1061"/>
    </row>
    <row r="14" spans="2:31" s="19" customFormat="1" ht="59.25" customHeight="1" x14ac:dyDescent="0.2">
      <c r="B14" s="1037">
        <v>43052</v>
      </c>
      <c r="C14" s="26" t="str">
        <f>[3]November_2017!$D18</f>
        <v>STAG</v>
      </c>
      <c r="D14" s="27">
        <v>3500</v>
      </c>
      <c r="E14" s="1051">
        <v>0.34791666666666665</v>
      </c>
      <c r="F14" s="369">
        <f>[3]November_2017!$J18</f>
        <v>215.2</v>
      </c>
      <c r="G14" s="30">
        <f>[3]November_2017!$F18</f>
        <v>3254</v>
      </c>
      <c r="H14" s="369">
        <f>[3]November_2017!$K18</f>
        <v>214.76400000000001</v>
      </c>
      <c r="I14" s="370">
        <f>[3]November_2017!$N18</f>
        <v>11</v>
      </c>
      <c r="J14" s="991">
        <f>[3]November_2017!$Q18</f>
        <v>404.81687014428411</v>
      </c>
      <c r="K14" s="991">
        <f>[3]November_2017!$E18</f>
        <v>901</v>
      </c>
      <c r="L14" s="1017">
        <v>1.0243055555555556</v>
      </c>
      <c r="M14" s="32">
        <f>[3]November_2017!$M18</f>
        <v>258</v>
      </c>
      <c r="N14" s="376"/>
      <c r="O14" s="32"/>
      <c r="P14" s="349">
        <f>[3]November_2017!$P18</f>
        <v>0.20260223048326145</v>
      </c>
      <c r="Q14" s="32"/>
      <c r="R14" s="1039">
        <f>($G14+G15)/(($K14/60)*AD$3*(1/24))</f>
        <v>0.64770699223085459</v>
      </c>
      <c r="S14" s="1039">
        <f>($G14+G15)/(($K14/60)*AE$3*(1/24))</f>
        <v>0.57150616961545997</v>
      </c>
      <c r="T14" s="1039">
        <f>($G14+G15)*24/(($K14)/60)/$AD$3</f>
        <v>0.64770699223085459</v>
      </c>
      <c r="U14" s="1047">
        <f>($G14+G15)*24/(($K14)/60)/$AE$3</f>
        <v>0.57150616961545986</v>
      </c>
      <c r="V14" s="1035">
        <f>(1045-((M14+M15)-[4]Nov!$Z$18-[4]Nov!$Z$17-[4]Nov!$I$18-[4]Nov!$J$17))/1045</f>
        <v>0.64593301435406703</v>
      </c>
      <c r="W14" s="1013" t="s">
        <v>748</v>
      </c>
      <c r="X14" s="1014"/>
      <c r="Y14" s="1014"/>
      <c r="Z14" s="1014"/>
      <c r="AA14" s="1014"/>
      <c r="AB14" s="1014"/>
      <c r="AC14" s="1015"/>
    </row>
    <row r="15" spans="2:31" s="19" customFormat="1" ht="42" customHeight="1" x14ac:dyDescent="0.2">
      <c r="B15" s="1038"/>
      <c r="C15" s="26" t="str">
        <f>[3]November_2017!$D19</f>
        <v>CARIB (AMBER)</v>
      </c>
      <c r="D15" s="27">
        <v>3500</v>
      </c>
      <c r="E15" s="1053"/>
      <c r="F15" s="369">
        <f>[3]November_2017!$J19</f>
        <v>187.79999999999998</v>
      </c>
      <c r="G15" s="30">
        <f>[3]November_2017!$F19</f>
        <v>2825</v>
      </c>
      <c r="H15" s="369">
        <f>[3]November_2017!$K19</f>
        <v>186.45000000000002</v>
      </c>
      <c r="I15" s="370">
        <f>[3]November_2017!$N19</f>
        <v>9</v>
      </c>
      <c r="J15" s="992"/>
      <c r="K15" s="992"/>
      <c r="L15" s="1018"/>
      <c r="M15" s="32">
        <f>[3]November_2017!$M19</f>
        <v>132</v>
      </c>
      <c r="N15" s="376">
        <f>[4]Nov!$I18</f>
        <v>16</v>
      </c>
      <c r="O15" s="32"/>
      <c r="P15" s="349">
        <f>[3]November_2017!$P19</f>
        <v>0.71884984025557297</v>
      </c>
      <c r="Q15" s="32"/>
      <c r="R15" s="1040"/>
      <c r="S15" s="1040"/>
      <c r="T15" s="1040"/>
      <c r="U15" s="1048"/>
      <c r="V15" s="1036"/>
      <c r="W15" s="1013" t="s">
        <v>747</v>
      </c>
      <c r="X15" s="1014"/>
      <c r="Y15" s="1014"/>
      <c r="Z15" s="1014"/>
      <c r="AA15" s="1014"/>
      <c r="AB15" s="1014"/>
      <c r="AC15" s="1015"/>
    </row>
    <row r="16" spans="2:31" s="19" customFormat="1" ht="97.5" customHeight="1" x14ac:dyDescent="0.2">
      <c r="B16" s="1037">
        <v>43053</v>
      </c>
      <c r="C16" s="26" t="str">
        <f>[3]November_2017!$D20</f>
        <v>CARIB (AMBER)</v>
      </c>
      <c r="D16" s="27">
        <v>5325</v>
      </c>
      <c r="E16" s="1051">
        <v>0.34166666666666662</v>
      </c>
      <c r="F16" s="369">
        <f>[3]November_2017!$J20</f>
        <v>420.20000000000005</v>
      </c>
      <c r="G16" s="30">
        <f>[3]November_2017!$F20</f>
        <v>6055</v>
      </c>
      <c r="H16" s="369">
        <f>[3]November_2017!$K20</f>
        <v>418.63</v>
      </c>
      <c r="I16" s="370">
        <f>[3]November_2017!$N20</f>
        <v>18</v>
      </c>
      <c r="J16" s="991">
        <f>[3]November_2017!$Q20</f>
        <v>492.7355278093076</v>
      </c>
      <c r="K16" s="991">
        <f>[3]November_2017!$E20</f>
        <v>881</v>
      </c>
      <c r="L16" s="1017">
        <v>0.97430555555555554</v>
      </c>
      <c r="M16" s="32">
        <f>[3]November_2017!$M20</f>
        <v>171</v>
      </c>
      <c r="N16" s="376"/>
      <c r="O16" s="32"/>
      <c r="P16" s="349">
        <f>[3]November_2017!$P20</f>
        <v>0.37363160399810802</v>
      </c>
      <c r="Q16" s="32"/>
      <c r="R16" s="1039">
        <f>($G16+G17)/(($K16/60)*AD$3*(1/24))</f>
        <v>0.78837684449489231</v>
      </c>
      <c r="S16" s="1039">
        <f>($G16+G17)/(($K16/60)*AE$3*(1/24))</f>
        <v>0.6956266274954932</v>
      </c>
      <c r="T16" s="1039">
        <f>($G16+G17)*24/(($K16)/60)/$AD$3</f>
        <v>0.7883768444948922</v>
      </c>
      <c r="U16" s="1047">
        <f>($G16+G17)*24/(($K16)/60)/$AE$3</f>
        <v>0.69562662749549309</v>
      </c>
      <c r="V16" s="1035">
        <f>(981-((M16+M17)-[4]Nov!$Z$19-[4]Nov!$I$20-[4]Nov!$J$19-[4]Nov!$J$20))/981</f>
        <v>0.82772680937818555</v>
      </c>
      <c r="W16" s="1013" t="s">
        <v>766</v>
      </c>
      <c r="X16" s="1014"/>
      <c r="Y16" s="1014"/>
      <c r="Z16" s="1014"/>
      <c r="AA16" s="1014"/>
      <c r="AB16" s="1014"/>
      <c r="AC16" s="1015"/>
    </row>
    <row r="17" spans="2:29" s="19" customFormat="1" ht="38.25" customHeight="1" x14ac:dyDescent="0.2">
      <c r="B17" s="1038"/>
      <c r="C17" s="26" t="str">
        <f>[3]November_2017!$D21</f>
        <v>GINSENG ORIGINAL</v>
      </c>
      <c r="D17" s="27">
        <v>1125</v>
      </c>
      <c r="E17" s="1053"/>
      <c r="F17" s="369">
        <f>[3]November_2017!$J21</f>
        <v>78.7</v>
      </c>
      <c r="G17" s="30">
        <f>[3]November_2017!$F21</f>
        <v>1180</v>
      </c>
      <c r="H17" s="369">
        <f>[3]November_2017!$K21</f>
        <v>77.88000000000001</v>
      </c>
      <c r="I17" s="370">
        <f>[3]November_2017!$N21</f>
        <v>12</v>
      </c>
      <c r="J17" s="992"/>
      <c r="K17" s="992"/>
      <c r="L17" s="1018"/>
      <c r="M17" s="32">
        <f>[3]November_2017!$M21</f>
        <v>105</v>
      </c>
      <c r="N17" s="376">
        <f>[4]Nov!$I$20</f>
        <v>37</v>
      </c>
      <c r="O17" s="32"/>
      <c r="P17" s="349">
        <f>[3]November_2017!$P21</f>
        <v>1.0419313850063445</v>
      </c>
      <c r="Q17" s="32"/>
      <c r="R17" s="1040"/>
      <c r="S17" s="1040"/>
      <c r="T17" s="1040"/>
      <c r="U17" s="1048"/>
      <c r="V17" s="1036"/>
      <c r="W17" s="1013" t="s">
        <v>749</v>
      </c>
      <c r="X17" s="1014"/>
      <c r="Y17" s="1014"/>
      <c r="Z17" s="1014"/>
      <c r="AA17" s="1014"/>
      <c r="AB17" s="1014"/>
      <c r="AC17" s="1015"/>
    </row>
    <row r="18" spans="2:29" s="19" customFormat="1" ht="78" customHeight="1" x14ac:dyDescent="0.2">
      <c r="B18" s="1037">
        <v>43054</v>
      </c>
      <c r="C18" s="26" t="str">
        <f>[3]November_2017!$D22</f>
        <v>STAG</v>
      </c>
      <c r="D18" s="27">
        <v>5608</v>
      </c>
      <c r="E18" s="1051">
        <v>0.36249999999999999</v>
      </c>
      <c r="F18" s="369">
        <f>[3]November_2017!$J22</f>
        <v>296.60000000000002</v>
      </c>
      <c r="G18" s="30">
        <f>[3]November_2017!$F22</f>
        <v>4355</v>
      </c>
      <c r="H18" s="369">
        <f>[3]November_2017!$K22</f>
        <v>295.03000000000003</v>
      </c>
      <c r="I18" s="370">
        <f>[3]November_2017!$N22</f>
        <v>21</v>
      </c>
      <c r="J18" s="991">
        <f>[3]November_2017!$Q22</f>
        <v>394.38515081206498</v>
      </c>
      <c r="K18" s="991">
        <f>[3]November_2017!$E22</f>
        <v>862</v>
      </c>
      <c r="L18" s="1017">
        <v>0.96666666666666667</v>
      </c>
      <c r="M18" s="32">
        <f>[3]November_2017!$M22</f>
        <v>284</v>
      </c>
      <c r="N18" s="376"/>
      <c r="O18" s="32"/>
      <c r="P18" s="349">
        <f>[3]November_2017!$P22</f>
        <v>0.52933243425488641</v>
      </c>
      <c r="Q18" s="32"/>
      <c r="R18" s="1039">
        <f>($G18+G19)/(($K18/60)*AD$3*(1/24))</f>
        <v>0.631016241299304</v>
      </c>
      <c r="S18" s="1039">
        <f>($G18+G19)/(($K18/60)*AE$3*(1/24))</f>
        <v>0.55677903644056237</v>
      </c>
      <c r="T18" s="1039">
        <f>($G18+G19)*24/(($K18)/60)/$AD$3</f>
        <v>0.63101624129930389</v>
      </c>
      <c r="U18" s="1047">
        <f>($G18+G19)*24/(($K18)/60)/$AE$3</f>
        <v>0.55677903644056226</v>
      </c>
      <c r="V18" s="1035">
        <f>(971-((M18+M19)-[4]Nov!$Z$22-[4]Nov!$I$22-[4]Nov!$J$21))/971</f>
        <v>0.67868177136972196</v>
      </c>
      <c r="W18" s="1013" t="s">
        <v>750</v>
      </c>
      <c r="X18" s="1014"/>
      <c r="Y18" s="1014"/>
      <c r="Z18" s="1014"/>
      <c r="AA18" s="1014"/>
      <c r="AB18" s="1014"/>
      <c r="AC18" s="1015"/>
    </row>
    <row r="19" spans="2:29" s="19" customFormat="1" ht="42" customHeight="1" x14ac:dyDescent="0.2">
      <c r="B19" s="1038"/>
      <c r="C19" s="26" t="str">
        <f>[3]November_2017!$D23</f>
        <v>SHANDY SORREL</v>
      </c>
      <c r="D19" s="27">
        <v>1400</v>
      </c>
      <c r="E19" s="1053"/>
      <c r="F19" s="369">
        <f>[3]November_2017!$J23</f>
        <v>88</v>
      </c>
      <c r="G19" s="30">
        <f>[3]November_2017!$F23</f>
        <v>1311</v>
      </c>
      <c r="H19" s="369">
        <f>[3]November_2017!$K23</f>
        <v>86.52600000000001</v>
      </c>
      <c r="I19" s="370">
        <f>[3]November_2017!$N23</f>
        <v>11</v>
      </c>
      <c r="J19" s="992"/>
      <c r="K19" s="992"/>
      <c r="L19" s="1018"/>
      <c r="M19" s="32">
        <f>[3]November_2017!$M23</f>
        <v>90</v>
      </c>
      <c r="N19" s="376">
        <f>[4]Nov!$I22</f>
        <v>47</v>
      </c>
      <c r="O19" s="32"/>
      <c r="P19" s="349">
        <f>[3]November_2017!$P23</f>
        <v>1.6749999999999881</v>
      </c>
      <c r="Q19" s="32"/>
      <c r="R19" s="1040"/>
      <c r="S19" s="1040"/>
      <c r="T19" s="1040"/>
      <c r="U19" s="1048"/>
      <c r="V19" s="1036"/>
      <c r="W19" s="1013" t="s">
        <v>773</v>
      </c>
      <c r="X19" s="1014"/>
      <c r="Y19" s="1014"/>
      <c r="Z19" s="1014"/>
      <c r="AA19" s="1014"/>
      <c r="AB19" s="1014"/>
      <c r="AC19" s="1015"/>
    </row>
    <row r="20" spans="2:29" s="19" customFormat="1" ht="36" customHeight="1" x14ac:dyDescent="0.2">
      <c r="B20" s="1037">
        <v>43055</v>
      </c>
      <c r="C20" s="26" t="str">
        <f>[3]November_2017!$D24</f>
        <v>TING</v>
      </c>
      <c r="D20" s="27">
        <v>3600</v>
      </c>
      <c r="E20" s="1051">
        <v>0.35625000000000001</v>
      </c>
      <c r="F20" s="369">
        <f>[3]November_2017!$J24</f>
        <v>245.91599999999997</v>
      </c>
      <c r="G20" s="30">
        <f>[3]November_2017!$F24</f>
        <v>3649</v>
      </c>
      <c r="H20" s="369">
        <f>[3]November_2017!$K24</f>
        <v>240.834</v>
      </c>
      <c r="I20" s="370">
        <f>[3]November_2017!$N24</f>
        <v>7</v>
      </c>
      <c r="J20" s="991">
        <f>[3]November_2017!$Q24</f>
        <v>384.45121951219517</v>
      </c>
      <c r="K20" s="991">
        <f>[3]November_2017!$E24</f>
        <v>984</v>
      </c>
      <c r="L20" s="1017">
        <v>1.0652777777777778</v>
      </c>
      <c r="M20" s="32">
        <f>[3]November_2017!$M24</f>
        <v>158</v>
      </c>
      <c r="N20" s="376" t="e">
        <f>[4]Nov!$I23</f>
        <v>#REF!</v>
      </c>
      <c r="O20" s="32"/>
      <c r="P20" s="349">
        <f>[3]November_2017!$P24</f>
        <v>2.0665593129361106</v>
      </c>
      <c r="Q20" s="32"/>
      <c r="R20" s="1039">
        <f>($G20+G21+G22+G23)/(($K20/60)*AD$3*(1/24))</f>
        <v>0.6151219512195123</v>
      </c>
      <c r="S20" s="1039">
        <f>($G20+G21+G22+G23)/(($K20/60)*AE$3*(1/24))</f>
        <v>0.54275466284074614</v>
      </c>
      <c r="T20" s="1039">
        <f>($G20+G21+G22+G23)*24/(($K20)/60)/$AD$3</f>
        <v>0.6151219512195123</v>
      </c>
      <c r="U20" s="1047">
        <f>($G20+G21+G22+G23)*24/(($K20)/60)/$AE$3</f>
        <v>0.54275466284074614</v>
      </c>
      <c r="V20" s="1035">
        <f>(1110-((M20+M21+M22+M23)-14-[4]Nov!$Z$24-[4]Nov!$Z$23-[4]Nov!$I$24-[4]Nov!$J$24-[4]Nov!$I$25-[4]Nov!$I$26))/1110</f>
        <v>0.80630630630630629</v>
      </c>
      <c r="W20" s="1013" t="s">
        <v>753</v>
      </c>
      <c r="X20" s="1014"/>
      <c r="Y20" s="1014"/>
      <c r="Z20" s="1014"/>
      <c r="AA20" s="1014"/>
      <c r="AB20" s="1014"/>
      <c r="AC20" s="1015"/>
    </row>
    <row r="21" spans="2:29" s="19" customFormat="1" ht="45" customHeight="1" x14ac:dyDescent="0.2">
      <c r="B21" s="1050"/>
      <c r="C21" s="26" t="str">
        <f>[3]November_2017!$D25</f>
        <v>J COOL (SODA WATER)</v>
      </c>
      <c r="D21" s="27">
        <v>300</v>
      </c>
      <c r="E21" s="1052"/>
      <c r="F21" s="369">
        <f>[3]November_2017!$J25</f>
        <v>23.937000000000001</v>
      </c>
      <c r="G21" s="30">
        <f>[3]November_2017!$F25</f>
        <v>303</v>
      </c>
      <c r="H21" s="369">
        <f>[3]November_2017!$K25</f>
        <v>23.937000000000001</v>
      </c>
      <c r="I21" s="370">
        <f>[3]November_2017!$N25</f>
        <v>0</v>
      </c>
      <c r="J21" s="1042"/>
      <c r="K21" s="1042"/>
      <c r="L21" s="1055"/>
      <c r="M21" s="32">
        <f>[3]November_2017!$M25</f>
        <v>254</v>
      </c>
      <c r="N21" s="376">
        <f>[4]Nov!$I24</f>
        <v>107</v>
      </c>
      <c r="O21" s="32"/>
      <c r="P21" s="349"/>
      <c r="Q21" s="32"/>
      <c r="R21" s="1041"/>
      <c r="S21" s="1041"/>
      <c r="T21" s="1041"/>
      <c r="U21" s="1049"/>
      <c r="V21" s="1054"/>
      <c r="W21" s="1013" t="s">
        <v>752</v>
      </c>
      <c r="X21" s="1014"/>
      <c r="Y21" s="1014"/>
      <c r="Z21" s="1014"/>
      <c r="AA21" s="1014"/>
      <c r="AB21" s="1014"/>
      <c r="AC21" s="1015"/>
    </row>
    <row r="22" spans="2:29" s="19" customFormat="1" ht="40.5" customHeight="1" x14ac:dyDescent="0.2">
      <c r="B22" s="1050"/>
      <c r="C22" s="26" t="str">
        <f>[3]November_2017!$D26</f>
        <v>J COOL (KOLA)</v>
      </c>
      <c r="D22" s="27">
        <v>1150</v>
      </c>
      <c r="E22" s="1052"/>
      <c r="F22" s="369">
        <f>[3]November_2017!$J26</f>
        <v>94.920000000000016</v>
      </c>
      <c r="G22" s="30">
        <f>[3]November_2017!$F26</f>
        <v>1157</v>
      </c>
      <c r="H22" s="369">
        <f>[3]November_2017!$K26</f>
        <v>91.403000000000006</v>
      </c>
      <c r="I22" s="370">
        <f>[3]November_2017!$N26</f>
        <v>0</v>
      </c>
      <c r="J22" s="1042"/>
      <c r="K22" s="1042"/>
      <c r="L22" s="1055"/>
      <c r="M22" s="32">
        <f>[3]November_2017!$M26</f>
        <v>10</v>
      </c>
      <c r="N22" s="376">
        <f>[4]Nov!$I25</f>
        <v>10</v>
      </c>
      <c r="O22" s="32"/>
      <c r="P22" s="349">
        <f>[3]November_2017!$P26</f>
        <v>3.7052254530130737</v>
      </c>
      <c r="Q22" s="32"/>
      <c r="R22" s="1041"/>
      <c r="S22" s="1041"/>
      <c r="T22" s="1041"/>
      <c r="U22" s="1049"/>
      <c r="V22" s="1054"/>
      <c r="W22" s="1013" t="s">
        <v>754</v>
      </c>
      <c r="X22" s="1014"/>
      <c r="Y22" s="1014"/>
      <c r="Z22" s="1014"/>
      <c r="AA22" s="1014"/>
      <c r="AB22" s="1014"/>
      <c r="AC22" s="1015"/>
    </row>
    <row r="23" spans="2:29" s="19" customFormat="1" ht="20.25" x14ac:dyDescent="0.2">
      <c r="B23" s="1050"/>
      <c r="C23" s="26" t="str">
        <f>[3]November_2017!$D27</f>
        <v>J COOL (GINGER)</v>
      </c>
      <c r="D23" s="27">
        <v>1150</v>
      </c>
      <c r="E23" s="1052"/>
      <c r="F23" s="369">
        <f>[3]November_2017!$J27</f>
        <v>94.920000000000016</v>
      </c>
      <c r="G23" s="30">
        <f>[3]November_2017!$F27</f>
        <v>1196</v>
      </c>
      <c r="H23" s="369">
        <f>[3]November_2017!$K27</f>
        <v>94.483999999999995</v>
      </c>
      <c r="I23" s="370">
        <f>[3]November_2017!$N27</f>
        <v>0</v>
      </c>
      <c r="J23" s="1042"/>
      <c r="K23" s="1042"/>
      <c r="L23" s="1055"/>
      <c r="M23" s="32">
        <f>[3]November_2017!$M27</f>
        <v>17</v>
      </c>
      <c r="N23" s="376">
        <f>[4]Nov!$I26</f>
        <v>17</v>
      </c>
      <c r="O23" s="32"/>
      <c r="P23" s="349">
        <f>[3]November_2017!$P27</f>
        <v>0.45933417614835775</v>
      </c>
      <c r="Q23" s="32"/>
      <c r="R23" s="1041"/>
      <c r="S23" s="1041"/>
      <c r="T23" s="1040"/>
      <c r="U23" s="1048"/>
      <c r="V23" s="1054"/>
      <c r="W23" s="1013" t="s">
        <v>751</v>
      </c>
      <c r="X23" s="1014"/>
      <c r="Y23" s="1014"/>
      <c r="Z23" s="1014"/>
      <c r="AA23" s="1014"/>
      <c r="AB23" s="1014"/>
      <c r="AC23" s="1015"/>
    </row>
    <row r="24" spans="2:29" s="19" customFormat="1" ht="19.5" customHeight="1" x14ac:dyDescent="0.2">
      <c r="B24" s="1037">
        <v>43056</v>
      </c>
      <c r="C24" s="26" t="str">
        <f>[3]November_2017!$D28</f>
        <v>STAG</v>
      </c>
      <c r="D24" s="27">
        <v>840</v>
      </c>
      <c r="E24" s="1051">
        <v>0.35902777777777778</v>
      </c>
      <c r="F24" s="369">
        <f>[3]November_2017!$J28</f>
        <v>60.5</v>
      </c>
      <c r="G24" s="30">
        <f>[3]November_2017!$F28</f>
        <v>896</v>
      </c>
      <c r="H24" s="369">
        <f>[3]November_2017!$K28</f>
        <v>59.136000000000003</v>
      </c>
      <c r="I24" s="370">
        <f>[3]November_2017!$N28</f>
        <v>4</v>
      </c>
      <c r="J24" s="991">
        <f>[3]November_2017!$Q28</f>
        <v>292.8391959798995</v>
      </c>
      <c r="K24" s="991">
        <f>[3]November_2017!$E28</f>
        <v>796</v>
      </c>
      <c r="L24" s="1017">
        <v>0.9277777777777777</v>
      </c>
      <c r="M24" s="32">
        <f>[3]November_2017!$M28</f>
        <v>400</v>
      </c>
      <c r="N24" s="376" t="e">
        <f>[4]Nov!$I27</f>
        <v>#REF!</v>
      </c>
      <c r="O24" s="32"/>
      <c r="P24" s="349">
        <f>[3]November_2017!$P28</f>
        <v>2.25454545454545</v>
      </c>
      <c r="Q24" s="32"/>
      <c r="R24" s="1039">
        <f>($G24+G25)/(($K24/60)*AD$3*(1/24))</f>
        <v>0.46854271356783922</v>
      </c>
      <c r="S24" s="1039">
        <f>($G24+G25)/(($K24/60)*AE$3*(1/24))</f>
        <v>0.4134200413833875</v>
      </c>
      <c r="T24" s="1039">
        <f>($G24+G25)*24/(($K24)/60)/$AD$3</f>
        <v>0.46854271356783916</v>
      </c>
      <c r="U24" s="1047">
        <f>($G24+G25)*24/(($K24)/60)/$AE$3</f>
        <v>0.41342004138338745</v>
      </c>
      <c r="V24" s="1035">
        <f>(913-((M24+M25)-[4]Nov!$Z$28-[4]Nov!$Z$27-[4]Nov!$I$28))/913</f>
        <v>0.48740416210295728</v>
      </c>
      <c r="W24" s="1013" t="s">
        <v>755</v>
      </c>
      <c r="X24" s="1014"/>
      <c r="Y24" s="1014"/>
      <c r="Z24" s="1014"/>
      <c r="AA24" s="1014"/>
      <c r="AB24" s="1014"/>
      <c r="AC24" s="1015"/>
    </row>
    <row r="25" spans="2:29" s="19" customFormat="1" ht="52.5" customHeight="1" x14ac:dyDescent="0.2">
      <c r="B25" s="1038"/>
      <c r="C25" s="26" t="str">
        <f>[3]November_2017!$D29</f>
        <v>CARIB (AMBER)</v>
      </c>
      <c r="D25" s="27">
        <v>5600</v>
      </c>
      <c r="E25" s="1053"/>
      <c r="F25" s="369">
        <f>[3]November_2017!$J29</f>
        <v>204.2</v>
      </c>
      <c r="G25" s="30">
        <f>[3]November_2017!$F29</f>
        <v>2989</v>
      </c>
      <c r="H25" s="369">
        <f>[3]November_2017!$K29</f>
        <v>197.274</v>
      </c>
      <c r="I25" s="370">
        <f>[3]November_2017!$N29</f>
        <v>96</v>
      </c>
      <c r="J25" s="992"/>
      <c r="K25" s="992"/>
      <c r="L25" s="1018"/>
      <c r="M25" s="32">
        <f>[3]November_2017!$M29</f>
        <v>104</v>
      </c>
      <c r="N25" s="376">
        <f>[4]Nov!$I28</f>
        <v>19</v>
      </c>
      <c r="O25" s="32"/>
      <c r="P25" s="349">
        <f>[3]November_2017!$P29</f>
        <v>3.3917727717923549</v>
      </c>
      <c r="Q25" s="32"/>
      <c r="R25" s="1040"/>
      <c r="S25" s="1040"/>
      <c r="T25" s="1040"/>
      <c r="U25" s="1048"/>
      <c r="V25" s="1036"/>
      <c r="W25" s="1013" t="s">
        <v>756</v>
      </c>
      <c r="X25" s="1014"/>
      <c r="Y25" s="1014"/>
      <c r="Z25" s="1014"/>
      <c r="AA25" s="1014"/>
      <c r="AB25" s="1014"/>
      <c r="AC25" s="1015"/>
    </row>
    <row r="26" spans="2:29" s="19" customFormat="1" ht="117" customHeight="1" x14ac:dyDescent="0.2">
      <c r="B26" s="168">
        <v>43059</v>
      </c>
      <c r="C26" s="26" t="str">
        <f>[3]November_2017!$D30</f>
        <v>CARIB (AMBER)</v>
      </c>
      <c r="D26" s="27">
        <v>3800</v>
      </c>
      <c r="E26" s="28">
        <v>0.61805555555555558</v>
      </c>
      <c r="F26" s="369">
        <f>[3]November_2017!$J30</f>
        <v>227</v>
      </c>
      <c r="G26" s="30">
        <f>[3]November_2017!$F30</f>
        <v>3430</v>
      </c>
      <c r="H26" s="369">
        <f>[3]November_2017!$K30</f>
        <v>226.38000000000002</v>
      </c>
      <c r="I26" s="370">
        <f>[3]November_2017!$N30</f>
        <v>9.75</v>
      </c>
      <c r="J26" s="32">
        <f>[3]November_2017!$Q30</f>
        <v>227.65486725663717</v>
      </c>
      <c r="K26" s="32">
        <f>[3]November_2017!$E30</f>
        <v>904</v>
      </c>
      <c r="L26" s="169">
        <v>0.98958333333333337</v>
      </c>
      <c r="M26" s="32">
        <f>[3]November_2017!$M30</f>
        <v>602</v>
      </c>
      <c r="N26" s="376" t="e">
        <f>[4]Nov!$I29</f>
        <v>#REF!</v>
      </c>
      <c r="O26" s="32"/>
      <c r="P26" s="349">
        <f>[3]November_2017!$P30</f>
        <v>0.27312775330395422</v>
      </c>
      <c r="Q26" s="32"/>
      <c r="R26" s="46">
        <f>($G26)/(($K26/60)*AD$3*(1/24))</f>
        <v>0.36424778761061949</v>
      </c>
      <c r="S26" s="46">
        <f>($G26)/(($K26/60)*AE$3*(1/24))</f>
        <v>0.32139510671525245</v>
      </c>
      <c r="T26" s="46">
        <f>($G26)*24/(($K26)/60)/$AD$3</f>
        <v>0.36424778761061949</v>
      </c>
      <c r="U26" s="227">
        <f>($G26)*24/(($K26)/60)/$AE$3</f>
        <v>0.32139510671525245</v>
      </c>
      <c r="V26" s="383">
        <f>(944-((M26)-[4]Nov!$Z$29))/944</f>
        <v>0.40572033898305082</v>
      </c>
      <c r="W26" s="1013" t="s">
        <v>765</v>
      </c>
      <c r="X26" s="1014"/>
      <c r="Y26" s="1014"/>
      <c r="Z26" s="1014"/>
      <c r="AA26" s="1014"/>
      <c r="AB26" s="1014"/>
      <c r="AC26" s="1015"/>
    </row>
    <row r="27" spans="2:29" s="19" customFormat="1" ht="52.5" customHeight="1" x14ac:dyDescent="0.2">
      <c r="B27" s="1037">
        <v>43060</v>
      </c>
      <c r="C27" s="26" t="str">
        <f>[3]November_2017!$D31</f>
        <v>CARIB (AMBER)</v>
      </c>
      <c r="D27" s="27">
        <v>5990</v>
      </c>
      <c r="E27" s="1051">
        <v>0.35000000000000003</v>
      </c>
      <c r="F27" s="369">
        <f>[3]November_2017!$J31</f>
        <v>51.3</v>
      </c>
      <c r="G27" s="30">
        <f>[3]November_2017!$F31</f>
        <v>450</v>
      </c>
      <c r="H27" s="369">
        <f>[3]November_2017!$K31</f>
        <v>48.7</v>
      </c>
      <c r="I27" s="370">
        <f>[3]November_2017!$N31</f>
        <v>4</v>
      </c>
      <c r="J27" s="991">
        <f>[3]November_2017!$Q31</f>
        <v>482.20028208744714</v>
      </c>
      <c r="K27" s="991">
        <f>[3]November_2017!$E31</f>
        <v>709</v>
      </c>
      <c r="L27" s="1017">
        <v>0.85625000000000007</v>
      </c>
      <c r="M27" s="32">
        <f>[3]November_2017!$M31</f>
        <v>80</v>
      </c>
      <c r="N27" s="376" t="e">
        <f>[4]Nov!$I30</f>
        <v>#REF!</v>
      </c>
      <c r="O27" s="32"/>
      <c r="P27" s="349">
        <f>[3]November_2017!$P31</f>
        <v>5.0682261208576893</v>
      </c>
      <c r="Q27" s="32"/>
      <c r="R27" s="1039">
        <f>($G27+G28)/(($K27/60)*AD$3*(1/24))</f>
        <v>0.77152045133991543</v>
      </c>
      <c r="S27" s="1039">
        <f>($G27+G28)/(($K27/60)*AE$3*(1/24))</f>
        <v>0.68075333941757243</v>
      </c>
      <c r="T27" s="1039">
        <f>($G27+G28)*24/(($K27)/60)/$AD$3</f>
        <v>0.77152045133991531</v>
      </c>
      <c r="U27" s="1047">
        <f>($G27+G28)*24/(($K27)/60)/$AE$3</f>
        <v>0.68075333941757232</v>
      </c>
      <c r="V27" s="1035">
        <f>(812-((M27+M28)-[4]Nov!$Z$31-[4]Nov!$I$31-[4]Nov!$J$31))/812</f>
        <v>0.73891625615763545</v>
      </c>
      <c r="W27" s="1013" t="s">
        <v>757</v>
      </c>
      <c r="X27" s="1014"/>
      <c r="Y27" s="1014"/>
      <c r="Z27" s="1014"/>
      <c r="AA27" s="1014"/>
      <c r="AB27" s="1014"/>
      <c r="AC27" s="1015"/>
    </row>
    <row r="28" spans="2:29" s="19" customFormat="1" ht="126" customHeight="1" x14ac:dyDescent="0.2">
      <c r="B28" s="1038"/>
      <c r="C28" s="26" t="str">
        <f>[3]November_2017!$D32</f>
        <v>STAG</v>
      </c>
      <c r="D28" s="27">
        <v>5600</v>
      </c>
      <c r="E28" s="1053"/>
      <c r="F28" s="369">
        <f>[3]November_2017!$J32</f>
        <v>352.5</v>
      </c>
      <c r="G28" s="30">
        <f>[3]November_2017!$F32</f>
        <v>5248</v>
      </c>
      <c r="H28" s="369">
        <f>[3]November_2017!$K32</f>
        <v>351.87799999999999</v>
      </c>
      <c r="I28" s="370">
        <f>[3]November_2017!$N32</f>
        <v>12</v>
      </c>
      <c r="J28" s="992"/>
      <c r="K28" s="992"/>
      <c r="L28" s="1018"/>
      <c r="M28" s="32">
        <f>[3]November_2017!$M32</f>
        <v>165</v>
      </c>
      <c r="N28" s="376">
        <f>[4]Nov!$I31</f>
        <v>22</v>
      </c>
      <c r="O28" s="32"/>
      <c r="P28" s="349">
        <f>[3]November_2017!$P32</f>
        <v>0.17645390070922384</v>
      </c>
      <c r="Q28" s="32"/>
      <c r="R28" s="1040"/>
      <c r="S28" s="1040"/>
      <c r="T28" s="1040"/>
      <c r="U28" s="1048"/>
      <c r="V28" s="1036"/>
      <c r="W28" s="1013" t="s">
        <v>764</v>
      </c>
      <c r="X28" s="1014"/>
      <c r="Y28" s="1014"/>
      <c r="Z28" s="1014"/>
      <c r="AA28" s="1014"/>
      <c r="AB28" s="1014"/>
      <c r="AC28" s="1015"/>
    </row>
    <row r="29" spans="2:29" s="19" customFormat="1" ht="137.25" customHeight="1" x14ac:dyDescent="0.2">
      <c r="B29" s="168">
        <v>43061</v>
      </c>
      <c r="C29" s="26" t="str">
        <f>[3]November_2017!$D33</f>
        <v>GUINNESS</v>
      </c>
      <c r="D29" s="27">
        <v>7000</v>
      </c>
      <c r="E29" s="28">
        <v>0.36458333333333331</v>
      </c>
      <c r="F29" s="369">
        <f>[3]November_2017!$J33</f>
        <v>314.7</v>
      </c>
      <c r="G29" s="30">
        <f>[3]November_2017!$F33</f>
        <v>4758</v>
      </c>
      <c r="H29" s="369">
        <f>[3]November_2017!$K33</f>
        <v>314.02800000000002</v>
      </c>
      <c r="I29" s="370">
        <f>[3]November_2017!$N33</f>
        <v>15</v>
      </c>
      <c r="J29" s="32">
        <f>[3]November_2017!$Q33</f>
        <v>314.40528634361232</v>
      </c>
      <c r="K29" s="32">
        <f>[3]November_2017!$E33</f>
        <v>908</v>
      </c>
      <c r="L29" s="169">
        <v>0.98958333333333337</v>
      </c>
      <c r="M29" s="32">
        <f>[3]November_2017!$M33</f>
        <v>492</v>
      </c>
      <c r="N29" s="376" t="e">
        <f>[4]Nov!$I32</f>
        <v>#REF!</v>
      </c>
      <c r="O29" s="32"/>
      <c r="P29" s="349">
        <f>[3]November_2017!$P33</f>
        <v>0.21353670162058105</v>
      </c>
      <c r="Q29" s="32"/>
      <c r="R29" s="46">
        <f>($G29)/(($K29/60)*AD$3*(1/24))</f>
        <v>0.50304845814977983</v>
      </c>
      <c r="S29" s="46">
        <f>($G29)/(($K29/60)*AE$3*(1/24))</f>
        <v>0.44386628660274685</v>
      </c>
      <c r="T29" s="46">
        <f>($G29)*24/(($K29)/60)/$AD$3</f>
        <v>0.50304845814977972</v>
      </c>
      <c r="U29" s="227">
        <f>($G29)*24/(($K29)/60)/$AE$3</f>
        <v>0.44386628660274685</v>
      </c>
      <c r="V29" s="383">
        <f>(992-((M29)-[4]Nov!$Z$32))/992</f>
        <v>0.53729838709677424</v>
      </c>
      <c r="W29" s="1013" t="s">
        <v>763</v>
      </c>
      <c r="X29" s="1014"/>
      <c r="Y29" s="1014"/>
      <c r="Z29" s="1014"/>
      <c r="AA29" s="1014"/>
      <c r="AB29" s="1014"/>
      <c r="AC29" s="1015"/>
    </row>
    <row r="30" spans="2:29" s="19" customFormat="1" ht="138" customHeight="1" x14ac:dyDescent="0.2">
      <c r="B30" s="1037">
        <v>43062</v>
      </c>
      <c r="C30" s="26" t="str">
        <f>[3]November_2017!$D34</f>
        <v>GUINNESS</v>
      </c>
      <c r="D30" s="27">
        <v>2242</v>
      </c>
      <c r="E30" s="1051">
        <v>0.33333333333333331</v>
      </c>
      <c r="F30" s="369">
        <f>[3]November_2017!$J34</f>
        <v>161.9</v>
      </c>
      <c r="G30" s="30">
        <f>[3]November_2017!$F34</f>
        <v>2446</v>
      </c>
      <c r="H30" s="369">
        <f>[3]November_2017!$K34</f>
        <v>161.43600000000001</v>
      </c>
      <c r="I30" s="370">
        <f>[3]November_2017!$N34</f>
        <v>11</v>
      </c>
      <c r="J30" s="991">
        <f>[3]November_2017!$Q34</f>
        <v>363.86004514672686</v>
      </c>
      <c r="K30" s="991">
        <f>[3]November_2017!$E34</f>
        <v>886</v>
      </c>
      <c r="L30" s="1017">
        <v>0.98749999999999993</v>
      </c>
      <c r="M30" s="32">
        <f>[3]November_2017!$M34</f>
        <v>191</v>
      </c>
      <c r="N30" s="376" t="e">
        <f>[4]Nov!$I33</f>
        <v>#REF!</v>
      </c>
      <c r="O30" s="32"/>
      <c r="P30" s="349">
        <f>[3]November_2017!$P34</f>
        <v>0.28659666460778171</v>
      </c>
      <c r="Q30" s="32"/>
      <c r="R30" s="1039">
        <f>($G30+G31)/(($K30/60)*AD$3*(1/24))</f>
        <v>0.58217607223476298</v>
      </c>
      <c r="S30" s="1039">
        <f>($G30+G31)/(($K30/60)*AE$3*(1/24))</f>
        <v>0.51368476961890852</v>
      </c>
      <c r="T30" s="1039">
        <f>($G30+G31)*24/(($K30)/60)/$AD$3</f>
        <v>0.58217607223476298</v>
      </c>
      <c r="U30" s="1047">
        <f>($G30+G31)*24/(($K30)/60)/$AE$3</f>
        <v>0.51368476961890852</v>
      </c>
      <c r="V30" s="1035">
        <f>(1002-((M30+M31)-[4]Nov!$Z$34-[4]Nov!$Z$33-[4]Nov!$J$34-[4]Nov!$I$34-[4]Nov!$H$33-23))/1002</f>
        <v>0.77644710578842313</v>
      </c>
      <c r="W30" s="1013" t="s">
        <v>759</v>
      </c>
      <c r="X30" s="1014"/>
      <c r="Y30" s="1014"/>
      <c r="Z30" s="1014"/>
      <c r="AA30" s="1014"/>
      <c r="AB30" s="1014"/>
      <c r="AC30" s="1015"/>
    </row>
    <row r="31" spans="2:29" s="19" customFormat="1" ht="58.5" customHeight="1" x14ac:dyDescent="0.2">
      <c r="B31" s="1038"/>
      <c r="C31" s="26" t="str">
        <f>[3]November_2017!$D35</f>
        <v>CARIB (FLINT)</v>
      </c>
      <c r="D31" s="1098">
        <v>5100</v>
      </c>
      <c r="E31" s="1053"/>
      <c r="F31" s="369">
        <f>[3]November_2017!$J35</f>
        <v>194.39999999999998</v>
      </c>
      <c r="G31" s="30">
        <f>[3]November_2017!$F35</f>
        <v>2927</v>
      </c>
      <c r="H31" s="369">
        <f>[3]November_2017!$K35</f>
        <v>193.18200000000002</v>
      </c>
      <c r="I31" s="370">
        <f>[3]November_2017!$N35</f>
        <v>37</v>
      </c>
      <c r="J31" s="992"/>
      <c r="K31" s="992"/>
      <c r="L31" s="1018"/>
      <c r="M31" s="32">
        <f>[3]November_2017!$M35</f>
        <v>202</v>
      </c>
      <c r="N31" s="376">
        <f>[4]Nov!$I34</f>
        <v>77</v>
      </c>
      <c r="O31" s="32"/>
      <c r="P31" s="349">
        <f>[3]November_2017!$P35</f>
        <v>0.62654320987652312</v>
      </c>
      <c r="Q31" s="32"/>
      <c r="R31" s="1040"/>
      <c r="S31" s="1040"/>
      <c r="T31" s="1040"/>
      <c r="U31" s="1048"/>
      <c r="V31" s="1036"/>
      <c r="W31" s="1013" t="s">
        <v>758</v>
      </c>
      <c r="X31" s="1014"/>
      <c r="Y31" s="1014"/>
      <c r="Z31" s="1014"/>
      <c r="AA31" s="1014"/>
      <c r="AB31" s="1014"/>
      <c r="AC31" s="1015"/>
    </row>
    <row r="32" spans="2:29" s="19" customFormat="1" ht="88.5" customHeight="1" x14ac:dyDescent="0.2">
      <c r="B32" s="1037">
        <v>43063</v>
      </c>
      <c r="C32" s="26" t="str">
        <f>[3]November_2017!$D36</f>
        <v>CARIB (FLINT)</v>
      </c>
      <c r="D32" s="1099"/>
      <c r="E32" s="1051">
        <v>0.33333333333333331</v>
      </c>
      <c r="F32" s="989">
        <f>[3]November_2017!$J36</f>
        <v>382.9</v>
      </c>
      <c r="G32" s="30">
        <f>[3]November_2017!$F36</f>
        <v>2053</v>
      </c>
      <c r="H32" s="989">
        <f>[3]November_2017!$K36</f>
        <v>381.52800000000002</v>
      </c>
      <c r="I32" s="1004">
        <f>[3]November_2017!$N36</f>
        <v>43</v>
      </c>
      <c r="J32" s="991">
        <f>[3]November_2017!$Q36</f>
        <v>462.19780219780222</v>
      </c>
      <c r="K32" s="991">
        <f>[3]November_2017!$E36</f>
        <v>728</v>
      </c>
      <c r="L32" s="1017">
        <v>0.86597222222222225</v>
      </c>
      <c r="M32" s="991">
        <f>[3]November_2017!$M36</f>
        <v>224</v>
      </c>
      <c r="N32" s="1120">
        <f>[4]Nov!$I35</f>
        <v>17</v>
      </c>
      <c r="O32" s="32"/>
      <c r="P32" s="1045">
        <f>[3]November_2017!$P36</f>
        <v>0.35831809872028136</v>
      </c>
      <c r="Q32" s="32"/>
      <c r="R32" s="1039">
        <f>($G32+G33)/(($K32/60)*AD$3*(1/24))</f>
        <v>0.73951648351648358</v>
      </c>
      <c r="S32" s="1039">
        <f>($G32+G33)/(($K32/60)*AE$3*(1/24))</f>
        <v>0.65251454427925026</v>
      </c>
      <c r="T32" s="1039">
        <f>($G32+G33)*24/(($K32)/60)/$AD$3</f>
        <v>0.73951648351648347</v>
      </c>
      <c r="U32" s="1047">
        <f>($G32+G33)*24/(($K32)/60)/$AE$3</f>
        <v>0.65251454427925015</v>
      </c>
      <c r="V32" s="1035">
        <f>(824-((M32+M33)-[4]Nov!$Z$35-[4]Nov!$J$35-[4]Nov!$I$35))/824</f>
        <v>0.83252427184466016</v>
      </c>
      <c r="W32" s="1056" t="s">
        <v>762</v>
      </c>
      <c r="X32" s="1057"/>
      <c r="Y32" s="1057"/>
      <c r="Z32" s="1057"/>
      <c r="AA32" s="1057"/>
      <c r="AB32" s="1057"/>
      <c r="AC32" s="1058"/>
    </row>
    <row r="33" spans="2:29" s="19" customFormat="1" ht="20.25" x14ac:dyDescent="0.2">
      <c r="B33" s="1038"/>
      <c r="C33" s="26" t="str">
        <f>[3]November_2017!$D37</f>
        <v>CARIB (AMBER)</v>
      </c>
      <c r="D33" s="27">
        <v>3294</v>
      </c>
      <c r="E33" s="1053"/>
      <c r="F33" s="990"/>
      <c r="G33" s="30">
        <f>[3]November_2017!$F37</f>
        <v>3555</v>
      </c>
      <c r="H33" s="990"/>
      <c r="I33" s="1005"/>
      <c r="J33" s="992"/>
      <c r="K33" s="992"/>
      <c r="L33" s="1018"/>
      <c r="M33" s="992"/>
      <c r="N33" s="1121"/>
      <c r="O33" s="32"/>
      <c r="P33" s="1046"/>
      <c r="Q33" s="32"/>
      <c r="R33" s="1040"/>
      <c r="S33" s="1040"/>
      <c r="T33" s="1040"/>
      <c r="U33" s="1048"/>
      <c r="V33" s="1036"/>
      <c r="W33" s="1059"/>
      <c r="X33" s="1060"/>
      <c r="Y33" s="1060"/>
      <c r="Z33" s="1060"/>
      <c r="AA33" s="1060"/>
      <c r="AB33" s="1060"/>
      <c r="AC33" s="1061"/>
    </row>
    <row r="34" spans="2:29" s="19" customFormat="1" ht="144" customHeight="1" x14ac:dyDescent="0.2">
      <c r="B34" s="168">
        <v>43066</v>
      </c>
      <c r="C34" s="26" t="str">
        <f>[3]November_2017!$D38</f>
        <v>MACKESON</v>
      </c>
      <c r="D34" s="1098">
        <v>8400</v>
      </c>
      <c r="E34" s="28">
        <v>0.36874999999999997</v>
      </c>
      <c r="F34" s="369">
        <f>[3]November_2017!$J38</f>
        <v>431.19999999999993</v>
      </c>
      <c r="G34" s="30">
        <f>[3]November_2017!$F38</f>
        <v>6511</v>
      </c>
      <c r="H34" s="369">
        <f>[3]November_2017!$K38</f>
        <v>429.726</v>
      </c>
      <c r="I34" s="370">
        <f>[3]November_2017!$N38</f>
        <v>15</v>
      </c>
      <c r="J34" s="32">
        <f>[3]November_2017!$Q38</f>
        <v>436.00446428571428</v>
      </c>
      <c r="K34" s="32">
        <f>[3]November_2017!$E38</f>
        <v>896</v>
      </c>
      <c r="L34" s="169">
        <v>0.97638888888888886</v>
      </c>
      <c r="M34" s="32">
        <f>[3]November_2017!$M38</f>
        <v>342</v>
      </c>
      <c r="N34" s="376">
        <f>[4]Nov!$I36</f>
        <v>11</v>
      </c>
      <c r="O34" s="32"/>
      <c r="P34" s="349">
        <f>[3]November_2017!$P38</f>
        <v>0.341836734693862</v>
      </c>
      <c r="Q34" s="32"/>
      <c r="R34" s="46">
        <f>($G34)/(($K34/60)*AD$3*(1/24))</f>
        <v>0.69760714285714298</v>
      </c>
      <c r="S34" s="46">
        <f>($G34)/(($K34/60)*AE$3*(1/24))</f>
        <v>0.6155357142857143</v>
      </c>
      <c r="T34" s="46">
        <f>($G34)*24/(($K34)/60)/$AD$3</f>
        <v>0.69760714285714287</v>
      </c>
      <c r="U34" s="227">
        <f>($G34)*24/(($K34)/60)/$AE$3</f>
        <v>0.6155357142857143</v>
      </c>
      <c r="V34" s="383">
        <f>(968-((M34)-[4]Nov!$Z$36-[4]Nov!$I$36))/968</f>
        <v>0.67665289256198347</v>
      </c>
      <c r="W34" s="1013" t="s">
        <v>760</v>
      </c>
      <c r="X34" s="1014"/>
      <c r="Y34" s="1014"/>
      <c r="Z34" s="1014"/>
      <c r="AA34" s="1014"/>
      <c r="AB34" s="1014"/>
      <c r="AC34" s="1015"/>
    </row>
    <row r="35" spans="2:29" s="19" customFormat="1" ht="87.75" customHeight="1" x14ac:dyDescent="0.2">
      <c r="B35" s="1037">
        <v>43067</v>
      </c>
      <c r="C35" s="26" t="str">
        <f>[3]November_2017!$D39</f>
        <v>MACKESON</v>
      </c>
      <c r="D35" s="1099"/>
      <c r="E35" s="1051">
        <v>0.33124999999999999</v>
      </c>
      <c r="F35" s="369">
        <f>[3]November_2017!$J39</f>
        <v>144.47</v>
      </c>
      <c r="G35" s="30">
        <f>[3]November_2017!$F39</f>
        <v>2173</v>
      </c>
      <c r="H35" s="369">
        <f>[3]November_2017!$K39</f>
        <v>143.41800000000001</v>
      </c>
      <c r="I35" s="370">
        <f>[3]November_2017!$N39</f>
        <v>15</v>
      </c>
      <c r="J35" s="991">
        <f>[3]November_2017!$Q39</f>
        <v>421.27232142857144</v>
      </c>
      <c r="K35" s="991">
        <f>[3]November_2017!$E39</f>
        <v>896</v>
      </c>
      <c r="L35" s="1017">
        <v>0.98819444444444438</v>
      </c>
      <c r="M35" s="32">
        <f>[3]November_2017!$M39</f>
        <v>125</v>
      </c>
      <c r="N35" s="376" t="e">
        <f>[4]Nov!$I37</f>
        <v>#REF!</v>
      </c>
      <c r="O35" s="32"/>
      <c r="P35" s="349">
        <f>[3]November_2017!$P39</f>
        <v>0.72817886066310833</v>
      </c>
      <c r="Q35" s="32"/>
      <c r="R35" s="1039">
        <f>($G35+G36)/(($K35/60)*AD$3*(1/24))</f>
        <v>0.6740357142857144</v>
      </c>
      <c r="S35" s="1039">
        <f>($G35+G36)/(($K35/60)*AE$3*(1/24))</f>
        <v>0.59473739495798317</v>
      </c>
      <c r="T35" s="1039">
        <f>($G35+G36)*24/(($K35)/60)/$AD$3</f>
        <v>0.67403571428571429</v>
      </c>
      <c r="U35" s="1047">
        <f>($G35+G36)*24/(($K35)/60)/$AE$3</f>
        <v>0.59473739495798317</v>
      </c>
      <c r="V35" s="1035">
        <f>(997-((M35+M36)-[4]Nov!$Z$38-[4]Nov!$Z$37-[4]Nov!$J$38-[4]Nov!$I$38))/997</f>
        <v>0.73520561685055164</v>
      </c>
      <c r="W35" s="1013" t="s">
        <v>761</v>
      </c>
      <c r="X35" s="1014"/>
      <c r="Y35" s="1014"/>
      <c r="Z35" s="1014"/>
      <c r="AA35" s="1014"/>
      <c r="AB35" s="1014"/>
      <c r="AC35" s="1015"/>
    </row>
    <row r="36" spans="2:29" s="19" customFormat="1" ht="99.75" customHeight="1" x14ac:dyDescent="0.2">
      <c r="B36" s="1038"/>
      <c r="C36" s="26" t="str">
        <f>[3]November_2017!$D40</f>
        <v>STARMALT</v>
      </c>
      <c r="D36" s="1098">
        <v>4900</v>
      </c>
      <c r="E36" s="1053"/>
      <c r="F36" s="369">
        <f>[3]November_2017!$J40</f>
        <v>273</v>
      </c>
      <c r="G36" s="30">
        <f>[3]November_2017!$F40</f>
        <v>4118</v>
      </c>
      <c r="H36" s="369">
        <f>[3]November_2017!$K40</f>
        <v>271.78800000000001</v>
      </c>
      <c r="I36" s="370">
        <f>[3]November_2017!$N40</f>
        <v>10</v>
      </c>
      <c r="J36" s="992"/>
      <c r="K36" s="992"/>
      <c r="L36" s="1018"/>
      <c r="M36" s="32">
        <f>[3]November_2017!$M40</f>
        <v>239</v>
      </c>
      <c r="N36" s="376">
        <f>[4]Nov!$I38</f>
        <v>30</v>
      </c>
      <c r="O36" s="32"/>
      <c r="P36" s="349">
        <f>[3]November_2017!$P40</f>
        <v>0.44395604395603999</v>
      </c>
      <c r="Q36" s="32"/>
      <c r="R36" s="1040"/>
      <c r="S36" s="1040"/>
      <c r="T36" s="1040"/>
      <c r="U36" s="1048"/>
      <c r="V36" s="1036"/>
      <c r="W36" s="1013" t="s">
        <v>774</v>
      </c>
      <c r="X36" s="1014"/>
      <c r="Y36" s="1014"/>
      <c r="Z36" s="1014"/>
      <c r="AA36" s="1014"/>
      <c r="AB36" s="1014"/>
      <c r="AC36" s="1015"/>
    </row>
    <row r="37" spans="2:29" s="19" customFormat="1" ht="51" customHeight="1" x14ac:dyDescent="0.2">
      <c r="B37" s="1037">
        <v>43068</v>
      </c>
      <c r="C37" s="26" t="str">
        <f>[3]November_2017!$D41</f>
        <v>STARMALT</v>
      </c>
      <c r="D37" s="1099"/>
      <c r="E37" s="1051">
        <v>0.3347222222222222</v>
      </c>
      <c r="F37" s="369">
        <f>[3]November_2017!$J41</f>
        <v>134.5</v>
      </c>
      <c r="G37" s="30">
        <f>[3]November_2017!$F41</f>
        <v>2006</v>
      </c>
      <c r="H37" s="369">
        <f>[3]November_2017!$K41</f>
        <v>132.39600000000002</v>
      </c>
      <c r="I37" s="370">
        <f>[3]November_2017!$N41</f>
        <v>14</v>
      </c>
      <c r="J37" s="991">
        <f>[3]November_2017!$Q41</f>
        <v>437.72582359192347</v>
      </c>
      <c r="K37" s="991">
        <f>[3]November_2017!$E41</f>
        <v>941</v>
      </c>
      <c r="L37" s="1017">
        <v>1.0090277777777776</v>
      </c>
      <c r="M37" s="32">
        <f>[3]November_2017!$M41</f>
        <v>56</v>
      </c>
      <c r="N37" s="376" t="e">
        <f>[4]Nov!$I39</f>
        <v>#REF!</v>
      </c>
      <c r="O37" s="32"/>
      <c r="P37" s="349">
        <f>[3]November_2017!$P41</f>
        <v>1.5643122676579815</v>
      </c>
      <c r="Q37" s="32"/>
      <c r="R37" s="1039">
        <f>($G37+G38)/(($K37/60)*AD$3*(1/24))</f>
        <v>0.70036131774707766</v>
      </c>
      <c r="S37" s="1039">
        <f>($G37+G38)/(($K37/60)*AE$3*(1/24))</f>
        <v>0.61796586860036262</v>
      </c>
      <c r="T37" s="1039">
        <f>($G37+G38)*24/(($K37)/60)/$AD$3</f>
        <v>0.70036131774707755</v>
      </c>
      <c r="U37" s="1047">
        <f>($G37+G38)*24/(($K37)/60)/$AE$3</f>
        <v>0.61796586860036251</v>
      </c>
      <c r="V37" s="1035">
        <f>(1025-((M37+M38)-[4]Nov!$Z$40-[4]Nov!$I$40))/1025</f>
        <v>0.73756097560975609</v>
      </c>
      <c r="W37" s="1059" t="s">
        <v>775</v>
      </c>
      <c r="X37" s="1060"/>
      <c r="Y37" s="1060"/>
      <c r="Z37" s="1060"/>
      <c r="AA37" s="1060"/>
      <c r="AB37" s="1060"/>
      <c r="AC37" s="1061"/>
    </row>
    <row r="38" spans="2:29" s="19" customFormat="1" ht="108" customHeight="1" x14ac:dyDescent="0.2">
      <c r="B38" s="1038"/>
      <c r="C38" s="26" t="str">
        <f>[3]November_2017!$D42</f>
        <v>STAG</v>
      </c>
      <c r="D38" s="27">
        <v>4900</v>
      </c>
      <c r="E38" s="1053"/>
      <c r="F38" s="369">
        <f>[3]November_2017!$J42</f>
        <v>337.20000000000005</v>
      </c>
      <c r="G38" s="30">
        <f>[3]November_2017!$F42</f>
        <v>4859</v>
      </c>
      <c r="H38" s="369">
        <f>[3]November_2017!$K42</f>
        <v>328.29400000000004</v>
      </c>
      <c r="I38" s="370">
        <f>[3]November_2017!$N42</f>
        <v>29</v>
      </c>
      <c r="J38" s="992"/>
      <c r="K38" s="992"/>
      <c r="L38" s="1018"/>
      <c r="M38" s="32">
        <f>[3]November_2017!$M42</f>
        <v>292</v>
      </c>
      <c r="N38" s="376">
        <f>[4]Nov!$I40</f>
        <v>59</v>
      </c>
      <c r="O38" s="32"/>
      <c r="P38" s="349">
        <f>[3]November_2017!$P42</f>
        <v>2.6411625148279967</v>
      </c>
      <c r="Q38" s="32"/>
      <c r="R38" s="1040"/>
      <c r="S38" s="1040"/>
      <c r="T38" s="1040"/>
      <c r="U38" s="1048"/>
      <c r="V38" s="1036"/>
      <c r="W38" s="1059" t="s">
        <v>776</v>
      </c>
      <c r="X38" s="1060"/>
      <c r="Y38" s="1060"/>
      <c r="Z38" s="1060"/>
      <c r="AA38" s="1060"/>
      <c r="AB38" s="1060"/>
      <c r="AC38" s="1061"/>
    </row>
    <row r="39" spans="2:29" s="19" customFormat="1" ht="117" customHeight="1" thickBot="1" x14ac:dyDescent="0.25">
      <c r="B39" s="286">
        <v>43069</v>
      </c>
      <c r="C39" s="26" t="str">
        <f>[3]November_2017!$D43</f>
        <v>STAG</v>
      </c>
      <c r="D39" s="27">
        <v>5600</v>
      </c>
      <c r="E39" s="28">
        <v>0.34722222222222227</v>
      </c>
      <c r="F39" s="369">
        <f>[3]November_2017!$J43</f>
        <v>386</v>
      </c>
      <c r="G39" s="30">
        <f>[3]November_2017!$F43</f>
        <v>5843</v>
      </c>
      <c r="H39" s="369">
        <f>[3]November_2017!$K43</f>
        <v>385.63800000000003</v>
      </c>
      <c r="I39" s="370">
        <f>[3]November_2017!$N43</f>
        <v>41</v>
      </c>
      <c r="J39" s="32">
        <f>[3]November_2017!$Q43</f>
        <v>407.65116279069764</v>
      </c>
      <c r="K39" s="285">
        <f>[3]November_2017!$E43</f>
        <v>860</v>
      </c>
      <c r="L39" s="389">
        <v>0.99305555555555547</v>
      </c>
      <c r="M39" s="32">
        <f>[3]November_2017!$M43</f>
        <v>349</v>
      </c>
      <c r="N39" s="376">
        <f>[4]Nov!$I41</f>
        <v>1</v>
      </c>
      <c r="O39" s="32"/>
      <c r="P39" s="349">
        <f>[3]November_2017!$P43</f>
        <v>9.3782383419680398E-2</v>
      </c>
      <c r="Q39" s="32"/>
      <c r="R39" s="46">
        <f>($G39)/(($K39/60)*AD$3*(1/24))</f>
        <v>0.65224186046511634</v>
      </c>
      <c r="S39" s="46">
        <f>($G39)/(($K39/60)*AE$3*(1/24))</f>
        <v>0.57550752393980853</v>
      </c>
      <c r="T39" s="46">
        <f>($G39)*24/(($K39)/60)/$AD$3</f>
        <v>0.65224186046511623</v>
      </c>
      <c r="U39" s="227">
        <f>($G39)*24/(($K39)/60)/$AE$3</f>
        <v>0.57550752393980853</v>
      </c>
      <c r="V39" s="383">
        <f>(1005-((M39)-[4]Nov!$Z$41-[4]Nov!$AA$41-[4]Nov!$I$41-[4]Nov!$J$41))/1005</f>
        <v>0.6855721393034826</v>
      </c>
      <c r="W39" s="1059" t="s">
        <v>777</v>
      </c>
      <c r="X39" s="1060"/>
      <c r="Y39" s="1060"/>
      <c r="Z39" s="1060"/>
      <c r="AA39" s="1060"/>
      <c r="AB39" s="1060"/>
      <c r="AC39" s="1061"/>
    </row>
    <row r="40" spans="2:29" s="19" customFormat="1" ht="21" hidden="1" thickBot="1" x14ac:dyDescent="0.25">
      <c r="B40" s="291"/>
      <c r="C40" s="26"/>
      <c r="D40" s="27"/>
      <c r="E40" s="1051"/>
      <c r="F40" s="369"/>
      <c r="G40" s="30"/>
      <c r="H40" s="369"/>
      <c r="I40" s="370">
        <f>[3]November_2017!$N44</f>
        <v>0</v>
      </c>
      <c r="J40" s="402"/>
      <c r="K40" s="402"/>
      <c r="L40" s="290"/>
      <c r="M40" s="32"/>
      <c r="N40" s="376"/>
      <c r="O40" s="32"/>
      <c r="P40" s="349"/>
      <c r="Q40" s="32"/>
      <c r="R40" s="46"/>
      <c r="S40" s="46"/>
      <c r="T40" s="46"/>
      <c r="U40" s="227"/>
      <c r="V40" s="383"/>
      <c r="W40" s="1059"/>
      <c r="X40" s="1060"/>
      <c r="Y40" s="1060"/>
      <c r="Z40" s="1060"/>
      <c r="AA40" s="1060"/>
      <c r="AB40" s="1060"/>
      <c r="AC40" s="1061"/>
    </row>
    <row r="41" spans="2:29" s="19" customFormat="1" ht="20.25" hidden="1" x14ac:dyDescent="0.2">
      <c r="B41" s="168"/>
      <c r="C41" s="26">
        <f>[3]November_2017!$D45</f>
        <v>0</v>
      </c>
      <c r="D41" s="27"/>
      <c r="E41" s="1053"/>
      <c r="F41" s="29"/>
      <c r="G41" s="30"/>
      <c r="H41" s="29"/>
      <c r="I41" s="31"/>
      <c r="J41" s="32"/>
      <c r="K41" s="32"/>
      <c r="L41" s="169"/>
      <c r="M41" s="32"/>
      <c r="N41" s="236"/>
      <c r="O41" s="32"/>
      <c r="P41" s="33"/>
      <c r="Q41" s="32"/>
      <c r="R41" s="129"/>
      <c r="S41" s="129"/>
      <c r="T41" s="129"/>
      <c r="U41" s="227"/>
      <c r="V41" s="233"/>
      <c r="W41" s="1059"/>
      <c r="X41" s="1060"/>
      <c r="Y41" s="1060"/>
      <c r="Z41" s="1060"/>
      <c r="AA41" s="1060"/>
      <c r="AB41" s="1060"/>
      <c r="AC41" s="1061"/>
    </row>
    <row r="42" spans="2:29" s="19" customFormat="1" ht="20.25" hidden="1" x14ac:dyDescent="0.2">
      <c r="B42" s="168"/>
      <c r="C42" s="26">
        <f>[3]November_2017!$D46</f>
        <v>0</v>
      </c>
      <c r="D42" s="27"/>
      <c r="E42" s="28"/>
      <c r="F42" s="29"/>
      <c r="G42" s="30"/>
      <c r="H42" s="29"/>
      <c r="I42" s="31"/>
      <c r="J42" s="32"/>
      <c r="K42" s="32"/>
      <c r="L42" s="169"/>
      <c r="M42" s="32"/>
      <c r="N42" s="236"/>
      <c r="O42" s="32"/>
      <c r="P42" s="33"/>
      <c r="Q42" s="32"/>
      <c r="R42" s="129"/>
      <c r="S42" s="129"/>
      <c r="T42" s="129"/>
      <c r="U42" s="227"/>
      <c r="V42" s="233"/>
      <c r="W42" s="1059"/>
      <c r="X42" s="1060"/>
      <c r="Y42" s="1060"/>
      <c r="Z42" s="1060"/>
      <c r="AA42" s="1060"/>
      <c r="AB42" s="1060"/>
      <c r="AC42" s="1061"/>
    </row>
    <row r="43" spans="2:29" s="19" customFormat="1" ht="20.25" hidden="1" x14ac:dyDescent="0.2">
      <c r="B43" s="168">
        <f>[3]October_2017!$B48</f>
        <v>0</v>
      </c>
      <c r="C43" s="26"/>
      <c r="D43" s="27"/>
      <c r="E43" s="28"/>
      <c r="F43" s="29"/>
      <c r="G43" s="30"/>
      <c r="H43" s="29"/>
      <c r="I43" s="31"/>
      <c r="J43" s="32"/>
      <c r="K43" s="32"/>
      <c r="L43" s="169"/>
      <c r="M43" s="32"/>
      <c r="N43" s="236"/>
      <c r="O43" s="32"/>
      <c r="P43" s="33"/>
      <c r="Q43" s="32"/>
      <c r="R43" s="129"/>
      <c r="S43" s="129"/>
      <c r="T43" s="129"/>
      <c r="U43" s="227"/>
      <c r="V43" s="233"/>
      <c r="W43" s="1059"/>
      <c r="X43" s="1060"/>
      <c r="Y43" s="1060"/>
      <c r="Z43" s="1060"/>
      <c r="AA43" s="1060"/>
      <c r="AB43" s="1060"/>
      <c r="AC43" s="1061"/>
    </row>
    <row r="44" spans="2:29" s="19" customFormat="1" ht="20.25" hidden="1" x14ac:dyDescent="0.2">
      <c r="B44" s="168">
        <f>[3]October_2017!$B49</f>
        <v>0</v>
      </c>
      <c r="C44" s="26"/>
      <c r="D44" s="27"/>
      <c r="E44" s="28"/>
      <c r="F44" s="29"/>
      <c r="G44" s="30"/>
      <c r="H44" s="29"/>
      <c r="I44" s="31"/>
      <c r="J44" s="32"/>
      <c r="K44" s="32"/>
      <c r="L44" s="169"/>
      <c r="M44" s="32"/>
      <c r="N44" s="236"/>
      <c r="O44" s="32"/>
      <c r="P44" s="33"/>
      <c r="Q44" s="32"/>
      <c r="R44" s="129"/>
      <c r="S44" s="129"/>
      <c r="T44" s="129"/>
      <c r="U44" s="227"/>
      <c r="V44" s="233"/>
      <c r="W44" s="1059"/>
      <c r="X44" s="1060"/>
      <c r="Y44" s="1060"/>
      <c r="Z44" s="1060"/>
      <c r="AA44" s="1060"/>
      <c r="AB44" s="1060"/>
      <c r="AC44" s="1061"/>
    </row>
    <row r="45" spans="2:29" s="19" customFormat="1" ht="21" hidden="1" thickBot="1" x14ac:dyDescent="0.25">
      <c r="B45" s="168">
        <f>[3]October_2017!$B50</f>
        <v>0</v>
      </c>
      <c r="C45" s="26"/>
      <c r="D45" s="27"/>
      <c r="E45" s="28"/>
      <c r="F45" s="29"/>
      <c r="G45" s="30"/>
      <c r="H45" s="29"/>
      <c r="I45" s="31"/>
      <c r="J45" s="32"/>
      <c r="K45" s="32"/>
      <c r="L45" s="169"/>
      <c r="M45" s="32"/>
      <c r="N45" s="236"/>
      <c r="O45" s="32"/>
      <c r="P45" s="33"/>
      <c r="Q45" s="32"/>
      <c r="R45" s="129"/>
      <c r="S45" s="129"/>
      <c r="T45" s="129"/>
      <c r="U45" s="227"/>
      <c r="V45" s="233"/>
      <c r="W45" s="1059"/>
      <c r="X45" s="1060"/>
      <c r="Y45" s="1060"/>
      <c r="Z45" s="1060"/>
      <c r="AA45" s="1060"/>
      <c r="AB45" s="1060"/>
      <c r="AC45" s="1061"/>
    </row>
    <row r="46" spans="2:29" s="19" customFormat="1" ht="20.25" hidden="1" x14ac:dyDescent="0.2">
      <c r="B46" s="168">
        <f>[3]October_2017!$B51</f>
        <v>0</v>
      </c>
      <c r="C46" s="26"/>
      <c r="D46" s="27"/>
      <c r="E46" s="28"/>
      <c r="F46" s="29"/>
      <c r="G46" s="30"/>
      <c r="H46" s="29"/>
      <c r="I46" s="31"/>
      <c r="J46" s="32"/>
      <c r="K46" s="32"/>
      <c r="L46" s="169"/>
      <c r="M46" s="32"/>
      <c r="N46" s="236"/>
      <c r="O46" s="32"/>
      <c r="P46" s="33"/>
      <c r="Q46" s="32"/>
      <c r="R46" s="129"/>
      <c r="S46" s="129"/>
      <c r="T46" s="129"/>
      <c r="U46" s="227"/>
      <c r="V46" s="233"/>
      <c r="W46" s="1059"/>
      <c r="X46" s="1060"/>
      <c r="Y46" s="1060"/>
      <c r="Z46" s="1060"/>
      <c r="AA46" s="1060"/>
      <c r="AB46" s="1060"/>
      <c r="AC46" s="1061"/>
    </row>
    <row r="47" spans="2:29" s="19" customFormat="1" ht="20.25" hidden="1" x14ac:dyDescent="0.2">
      <c r="B47" s="168">
        <f>[3]October_2017!$B52</f>
        <v>0</v>
      </c>
      <c r="C47" s="26"/>
      <c r="D47" s="27"/>
      <c r="E47" s="28"/>
      <c r="F47" s="29"/>
      <c r="G47" s="30"/>
      <c r="H47" s="29"/>
      <c r="I47" s="31"/>
      <c r="J47" s="32"/>
      <c r="K47" s="32"/>
      <c r="L47" s="169"/>
      <c r="M47" s="32"/>
      <c r="N47" s="236"/>
      <c r="O47" s="32"/>
      <c r="P47" s="33"/>
      <c r="Q47" s="32"/>
      <c r="R47" s="129"/>
      <c r="S47" s="129"/>
      <c r="T47" s="129"/>
      <c r="U47" s="227"/>
      <c r="V47" s="233"/>
      <c r="W47" s="1059"/>
      <c r="X47" s="1060"/>
      <c r="Y47" s="1060"/>
      <c r="Z47" s="1060"/>
      <c r="AA47" s="1060"/>
      <c r="AB47" s="1060"/>
      <c r="AC47" s="1061"/>
    </row>
    <row r="48" spans="2:29" s="19" customFormat="1" ht="20.25" hidden="1" x14ac:dyDescent="0.2">
      <c r="B48" s="168">
        <f>[3]October_2017!$B53</f>
        <v>0</v>
      </c>
      <c r="C48" s="26"/>
      <c r="D48" s="27"/>
      <c r="E48" s="28"/>
      <c r="F48" s="29"/>
      <c r="G48" s="30"/>
      <c r="H48" s="29"/>
      <c r="I48" s="31"/>
      <c r="J48" s="32"/>
      <c r="K48" s="32"/>
      <c r="L48" s="169"/>
      <c r="M48" s="32"/>
      <c r="N48" s="236"/>
      <c r="O48" s="32"/>
      <c r="P48" s="33"/>
      <c r="Q48" s="32"/>
      <c r="R48" s="129"/>
      <c r="S48" s="129"/>
      <c r="T48" s="129"/>
      <c r="U48" s="227"/>
      <c r="V48" s="233"/>
      <c r="W48" s="1059"/>
      <c r="X48" s="1060"/>
      <c r="Y48" s="1060"/>
      <c r="Z48" s="1060"/>
      <c r="AA48" s="1060"/>
      <c r="AB48" s="1060"/>
      <c r="AC48" s="1061"/>
    </row>
    <row r="49" spans="1:29" s="19" customFormat="1" ht="20.25" hidden="1" x14ac:dyDescent="0.2">
      <c r="B49" s="168">
        <f>[3]October_2017!$B54</f>
        <v>0</v>
      </c>
      <c r="C49" s="26"/>
      <c r="D49" s="27"/>
      <c r="E49" s="28"/>
      <c r="F49" s="29"/>
      <c r="G49" s="30"/>
      <c r="H49" s="29"/>
      <c r="I49" s="31"/>
      <c r="J49" s="32"/>
      <c r="K49" s="32"/>
      <c r="L49" s="169"/>
      <c r="M49" s="32"/>
      <c r="N49" s="236"/>
      <c r="O49" s="32"/>
      <c r="P49" s="33"/>
      <c r="Q49" s="32"/>
      <c r="R49" s="129"/>
      <c r="S49" s="129"/>
      <c r="T49" s="129"/>
      <c r="U49" s="227"/>
      <c r="V49" s="233"/>
      <c r="W49" s="1059"/>
      <c r="X49" s="1060"/>
      <c r="Y49" s="1060"/>
      <c r="Z49" s="1060"/>
      <c r="AA49" s="1060"/>
      <c r="AB49" s="1060"/>
      <c r="AC49" s="1061"/>
    </row>
    <row r="50" spans="1:29" s="19" customFormat="1" ht="20.25" hidden="1" x14ac:dyDescent="0.2">
      <c r="B50" s="168">
        <f>[3]October_2017!$B55</f>
        <v>0</v>
      </c>
      <c r="C50" s="26"/>
      <c r="D50" s="27"/>
      <c r="E50" s="28"/>
      <c r="F50" s="29"/>
      <c r="G50" s="30"/>
      <c r="H50" s="29"/>
      <c r="I50" s="31"/>
      <c r="J50" s="32"/>
      <c r="K50" s="32"/>
      <c r="L50" s="169"/>
      <c r="M50" s="32"/>
      <c r="N50" s="236"/>
      <c r="O50" s="32"/>
      <c r="P50" s="33"/>
      <c r="Q50" s="32"/>
      <c r="R50" s="129"/>
      <c r="S50" s="129"/>
      <c r="T50" s="129"/>
      <c r="U50" s="227"/>
      <c r="V50" s="233"/>
      <c r="W50" s="1059"/>
      <c r="X50" s="1060"/>
      <c r="Y50" s="1060"/>
      <c r="Z50" s="1060"/>
      <c r="AA50" s="1060"/>
      <c r="AB50" s="1060"/>
      <c r="AC50" s="1061"/>
    </row>
    <row r="51" spans="1:29" s="19" customFormat="1" ht="20.25" hidden="1" x14ac:dyDescent="0.2">
      <c r="B51" s="168">
        <f>[3]October_2017!$B56</f>
        <v>0</v>
      </c>
      <c r="C51" s="26"/>
      <c r="D51" s="27"/>
      <c r="E51" s="28"/>
      <c r="F51" s="29"/>
      <c r="G51" s="30"/>
      <c r="H51" s="29"/>
      <c r="I51" s="31"/>
      <c r="J51" s="32"/>
      <c r="K51" s="32"/>
      <c r="L51" s="169"/>
      <c r="M51" s="32"/>
      <c r="N51" s="236"/>
      <c r="O51" s="32"/>
      <c r="P51" s="33"/>
      <c r="Q51" s="32"/>
      <c r="R51" s="129"/>
      <c r="S51" s="129"/>
      <c r="T51" s="129"/>
      <c r="U51" s="227"/>
      <c r="V51" s="233"/>
      <c r="W51" s="1059"/>
      <c r="X51" s="1060"/>
      <c r="Y51" s="1060"/>
      <c r="Z51" s="1060"/>
      <c r="AA51" s="1060"/>
      <c r="AB51" s="1060"/>
      <c r="AC51" s="1061"/>
    </row>
    <row r="52" spans="1:29" s="19" customFormat="1" ht="20.25" hidden="1" x14ac:dyDescent="0.2">
      <c r="B52" s="168">
        <f>[3]October_2017!$B57</f>
        <v>0</v>
      </c>
      <c r="C52" s="26"/>
      <c r="D52" s="27"/>
      <c r="E52" s="28"/>
      <c r="F52" s="29"/>
      <c r="G52" s="30"/>
      <c r="H52" s="29"/>
      <c r="I52" s="31"/>
      <c r="J52" s="32"/>
      <c r="K52" s="32"/>
      <c r="L52" s="169"/>
      <c r="M52" s="32"/>
      <c r="N52" s="236"/>
      <c r="O52" s="32"/>
      <c r="P52" s="33"/>
      <c r="Q52" s="32"/>
      <c r="R52" s="129"/>
      <c r="S52" s="129"/>
      <c r="T52" s="129"/>
      <c r="U52" s="227"/>
      <c r="V52" s="233"/>
      <c r="W52" s="1059"/>
      <c r="X52" s="1060"/>
      <c r="Y52" s="1060"/>
      <c r="Z52" s="1060"/>
      <c r="AA52" s="1060"/>
      <c r="AB52" s="1060"/>
      <c r="AC52" s="1061"/>
    </row>
    <row r="53" spans="1:29" s="19" customFormat="1" ht="20.25" hidden="1" x14ac:dyDescent="0.2">
      <c r="B53" s="168">
        <f>[3]October_2017!$B58</f>
        <v>0</v>
      </c>
      <c r="C53" s="26"/>
      <c r="D53" s="27"/>
      <c r="E53" s="28"/>
      <c r="F53" s="29"/>
      <c r="G53" s="30"/>
      <c r="H53" s="29"/>
      <c r="I53" s="31"/>
      <c r="J53" s="32"/>
      <c r="K53" s="32"/>
      <c r="L53" s="169"/>
      <c r="M53" s="32"/>
      <c r="N53" s="236"/>
      <c r="O53" s="32"/>
      <c r="P53" s="33"/>
      <c r="Q53" s="32"/>
      <c r="R53" s="129"/>
      <c r="S53" s="129"/>
      <c r="T53" s="129"/>
      <c r="U53" s="227"/>
      <c r="V53" s="233"/>
      <c r="W53" s="1059"/>
      <c r="X53" s="1060"/>
      <c r="Y53" s="1060"/>
      <c r="Z53" s="1060"/>
      <c r="AA53" s="1060"/>
      <c r="AB53" s="1060"/>
      <c r="AC53" s="1061"/>
    </row>
    <row r="54" spans="1:29" s="19" customFormat="1" ht="20.25" hidden="1" x14ac:dyDescent="0.2">
      <c r="B54" s="168">
        <f>[3]October_2017!$B59</f>
        <v>0</v>
      </c>
      <c r="C54" s="26"/>
      <c r="D54" s="27"/>
      <c r="E54" s="28"/>
      <c r="F54" s="29"/>
      <c r="G54" s="30"/>
      <c r="H54" s="29"/>
      <c r="I54" s="31"/>
      <c r="J54" s="32"/>
      <c r="K54" s="32"/>
      <c r="L54" s="169"/>
      <c r="M54" s="32"/>
      <c r="N54" s="236"/>
      <c r="O54" s="32"/>
      <c r="P54" s="33"/>
      <c r="Q54" s="32"/>
      <c r="R54" s="129"/>
      <c r="S54" s="129"/>
      <c r="T54" s="129"/>
      <c r="U54" s="227"/>
      <c r="V54" s="233"/>
      <c r="W54" s="1059"/>
      <c r="X54" s="1060"/>
      <c r="Y54" s="1060"/>
      <c r="Z54" s="1060"/>
      <c r="AA54" s="1060"/>
      <c r="AB54" s="1060"/>
      <c r="AC54" s="1061"/>
    </row>
    <row r="55" spans="1:29" s="19" customFormat="1" ht="20.25" hidden="1" x14ac:dyDescent="0.2">
      <c r="B55" s="168">
        <f>[3]October_2017!$B60</f>
        <v>0</v>
      </c>
      <c r="C55" s="26"/>
      <c r="D55" s="27"/>
      <c r="E55" s="28"/>
      <c r="F55" s="29"/>
      <c r="G55" s="30"/>
      <c r="H55" s="29"/>
      <c r="I55" s="31"/>
      <c r="J55" s="32"/>
      <c r="K55" s="32"/>
      <c r="L55" s="169"/>
      <c r="M55" s="32"/>
      <c r="N55" s="236"/>
      <c r="O55" s="32"/>
      <c r="P55" s="33"/>
      <c r="Q55" s="32"/>
      <c r="R55" s="129"/>
      <c r="S55" s="129"/>
      <c r="T55" s="129"/>
      <c r="U55" s="227"/>
      <c r="V55" s="233"/>
      <c r="W55" s="1059"/>
      <c r="X55" s="1060"/>
      <c r="Y55" s="1060"/>
      <c r="Z55" s="1060"/>
      <c r="AA55" s="1060"/>
      <c r="AB55" s="1060"/>
      <c r="AC55" s="1061"/>
    </row>
    <row r="56" spans="1:29" s="19" customFormat="1" ht="21" hidden="1" thickBot="1" x14ac:dyDescent="0.25">
      <c r="B56" s="168">
        <f>[3]October_2017!$B61</f>
        <v>0</v>
      </c>
      <c r="C56" s="26"/>
      <c r="D56" s="27"/>
      <c r="E56" s="28"/>
      <c r="F56" s="29"/>
      <c r="G56" s="30"/>
      <c r="H56" s="29"/>
      <c r="I56" s="31"/>
      <c r="J56" s="32"/>
      <c r="K56" s="32"/>
      <c r="L56" s="169"/>
      <c r="M56" s="32"/>
      <c r="N56" s="236"/>
      <c r="O56" s="32"/>
      <c r="P56" s="33"/>
      <c r="Q56" s="32"/>
      <c r="R56" s="129"/>
      <c r="S56" s="129"/>
      <c r="T56" s="129"/>
      <c r="U56" s="227"/>
      <c r="V56" s="233"/>
      <c r="W56" s="1126"/>
      <c r="X56" s="1127"/>
      <c r="Y56" s="1127"/>
      <c r="Z56" s="1127"/>
      <c r="AA56" s="1127"/>
      <c r="AB56" s="1127"/>
      <c r="AC56" s="1128"/>
    </row>
    <row r="57" spans="1:29" s="19" customFormat="1" ht="42" customHeight="1" thickBot="1" x14ac:dyDescent="0.25">
      <c r="B57" s="240" t="s">
        <v>3</v>
      </c>
      <c r="C57" s="241"/>
      <c r="D57" s="242">
        <f>SUM(D4:D55)</f>
        <v>120754</v>
      </c>
      <c r="E57" s="243">
        <f>AVERAGE(E4:E55)</f>
        <v>0.36166666666666664</v>
      </c>
      <c r="F57" s="244">
        <f>SUM(F4:F56)</f>
        <v>7503.0629999999992</v>
      </c>
      <c r="G57" s="242">
        <f>SUM(G4:G55)</f>
        <v>109984</v>
      </c>
      <c r="H57" s="244">
        <f>SUM(H4:H56)</f>
        <v>7434.0883999999987</v>
      </c>
      <c r="I57" s="245">
        <f>SUM(I4:I55)</f>
        <v>673.75</v>
      </c>
      <c r="J57" s="245">
        <f>G57/(K57/60)</f>
        <v>400.37859483072447</v>
      </c>
      <c r="K57" s="242">
        <f>SUM(K4:K55)</f>
        <v>16482</v>
      </c>
      <c r="L57" s="246">
        <f>AVERAGE(L4:L56)</f>
        <v>0.94628472222222249</v>
      </c>
      <c r="M57" s="242">
        <f>SUM(M4:M55)</f>
        <v>7127</v>
      </c>
      <c r="N57" s="242">
        <f>[4]Oct!$I$55</f>
        <v>9.8666666666666671</v>
      </c>
      <c r="O57" s="245">
        <f>SUM(O4:O56)</f>
        <v>0</v>
      </c>
      <c r="P57" s="292">
        <f>(F57-H57)/F57</f>
        <v>9.192858969730159E-3</v>
      </c>
      <c r="Q57" s="249">
        <f>SUM(Q4:Q55)</f>
        <v>0</v>
      </c>
      <c r="R57" s="292">
        <f>((R4*($G$4))+(R5*($G$5+$G$6))+(R7*($G$7))+(R8*($G$8))+(R9*($G$9+$G$10))+(R11*($G$11+$G$12+$G$13))+(R14*($G$14+$G$15))+(R16*($G$16+$G$17))+(R18*($G$18+$G$19))+(R20*(G20+$G$21+$G$22+$G$23))+(R24*($G$24+$G$25))+(R26*($G$26))+(R27*($G$27+$G$28))+(R29*($G$29))+(R30*($G$30+$G$31))+(R32*($G$32+$G$33))+(R34*($G$34))+(R35*($G$35+$G$36))+(R37*($G$37+$G$38))+(R39*($G$39+$G$40)))/($G$57)</f>
        <v>0.66051079586009087</v>
      </c>
      <c r="S57" s="292">
        <f>((S4*($G$4))+(S5*($G$5+$G$6))+(S7*($G$7))+(S8*($G$8))+(S9*($G$9+$G$10))+(S11*($G$11+$G$12+$G$13))+(S14*($G$14+$G$15))+(S16*($G$16+$G$17))+(S18*($G$18+$G$19))+(S20*(G20+$G$21+$G$22+$G$23))+(S24*($G$24+$G$25))+(S26*($G$26))+(S27*($G$27+$G$28))+(S29*($G$29))+(S30*($G$30+$G$31))+(S32*($G$32+$G$33))+(S34*($G$34))+(S35*($G$35+$G$36))+(S37*($G$37+$G$38))+(S39*($G$39+$G$40)))/($G$57)</f>
        <v>0.58280364340596269</v>
      </c>
      <c r="T57" s="251">
        <f>(G57)*24/((K57)/60)/$AD$3</f>
        <v>0.64060575172915912</v>
      </c>
      <c r="U57" s="251">
        <f>(G57)*24/((K57)/60)/$AE$3</f>
        <v>0.56524036917278742</v>
      </c>
      <c r="V57" s="252">
        <f>(18401-(M57-[4]Oct!$H$54-[4]Oct!$I$54-[4]Oct!$J$54-[4]Oct!$Z$54-[4]Oct!$AA$54-14-23-10))/18401</f>
        <v>0.6803434595945872</v>
      </c>
      <c r="W57" s="1129"/>
      <c r="X57" s="1011"/>
      <c r="Y57" s="1011"/>
      <c r="Z57" s="1011"/>
      <c r="AA57" s="1011"/>
      <c r="AB57" s="1011"/>
      <c r="AC57" s="1012"/>
    </row>
    <row r="58" spans="1:29" s="271" customFormat="1" ht="49.5" hidden="1" customHeight="1" thickTop="1" x14ac:dyDescent="0.3">
      <c r="A58" s="274"/>
      <c r="B58" s="260" t="s">
        <v>474</v>
      </c>
      <c r="C58" s="260"/>
      <c r="D58" s="261"/>
      <c r="E58" s="262"/>
      <c r="F58" s="263"/>
      <c r="G58" s="261"/>
      <c r="H58" s="263"/>
      <c r="I58" s="273"/>
      <c r="J58" s="273">
        <v>524</v>
      </c>
      <c r="K58" s="261"/>
      <c r="L58" s="265"/>
      <c r="M58" s="261"/>
      <c r="N58" s="266"/>
      <c r="O58" s="264"/>
      <c r="P58" s="267">
        <v>1.0999999999999999E-2</v>
      </c>
      <c r="Q58" s="268"/>
      <c r="R58" s="268"/>
      <c r="S58" s="268">
        <v>0.6</v>
      </c>
      <c r="T58" s="268"/>
      <c r="U58" s="268">
        <v>0.74</v>
      </c>
      <c r="V58" s="269">
        <v>0.95</v>
      </c>
      <c r="W58" s="270"/>
      <c r="X58" s="270"/>
      <c r="Y58" s="270"/>
      <c r="Z58" s="270"/>
      <c r="AA58" s="270"/>
      <c r="AB58" s="270"/>
      <c r="AC58" s="270"/>
    </row>
    <row r="59" spans="1:29" ht="24.75" customHeight="1" thickTop="1" x14ac:dyDescent="0.25">
      <c r="B59" s="11"/>
      <c r="C59" s="150" t="s">
        <v>35</v>
      </c>
      <c r="D59" s="210">
        <v>111030</v>
      </c>
      <c r="E59" s="1081" t="s">
        <v>743</v>
      </c>
      <c r="F59" s="1081"/>
      <c r="G59" s="210">
        <f>D59-G57</f>
        <v>1046</v>
      </c>
      <c r="H59" s="150" t="s">
        <v>327</v>
      </c>
      <c r="I59" s="272">
        <f>G57/D59</f>
        <v>0.99057912275961457</v>
      </c>
      <c r="J59" s="152">
        <v>0</v>
      </c>
      <c r="K59" s="12"/>
      <c r="L59" s="12"/>
      <c r="M59" s="12"/>
      <c r="N59" s="12"/>
      <c r="O59" s="13"/>
      <c r="P59" s="14"/>
      <c r="Q59" s="12"/>
      <c r="R59" s="15"/>
      <c r="S59" s="16"/>
      <c r="T59" s="15"/>
      <c r="U59" s="15"/>
      <c r="V59" s="15"/>
      <c r="W59" s="17" t="s">
        <v>48</v>
      </c>
    </row>
    <row r="60" spans="1:29" ht="20.25" customHeight="1" x14ac:dyDescent="0.25">
      <c r="B60" s="11"/>
      <c r="C60" s="150" t="s">
        <v>37</v>
      </c>
      <c r="D60" s="210">
        <f>October_17!D60+November_17!D59</f>
        <v>950780</v>
      </c>
      <c r="E60" s="1081" t="s">
        <v>36</v>
      </c>
      <c r="F60" s="1081"/>
      <c r="G60" s="210">
        <f>October_17!G60+November_17!G57</f>
        <v>964273.75</v>
      </c>
      <c r="H60" s="150" t="s">
        <v>326</v>
      </c>
      <c r="I60" s="212">
        <v>19</v>
      </c>
      <c r="J60" s="152"/>
      <c r="K60" s="12">
        <v>0</v>
      </c>
      <c r="L60" s="12"/>
      <c r="M60" s="12"/>
      <c r="N60" s="12"/>
      <c r="O60" s="13"/>
      <c r="P60" s="14"/>
      <c r="Q60" s="12"/>
      <c r="R60" s="15"/>
      <c r="S60" s="16"/>
      <c r="T60" s="15"/>
      <c r="U60" s="15"/>
      <c r="V60" s="15"/>
      <c r="W60" s="17"/>
    </row>
    <row r="61" spans="1:29" ht="6.75" customHeight="1" thickBot="1" x14ac:dyDescent="0.3">
      <c r="C61" s="23"/>
      <c r="D61" s="42"/>
      <c r="E61" s="1082"/>
      <c r="F61" s="1082"/>
      <c r="G61" s="42"/>
      <c r="H61" s="44"/>
      <c r="I61" s="44"/>
      <c r="J61" s="149"/>
      <c r="O61"/>
      <c r="R61" s="10"/>
      <c r="W61" s="17"/>
    </row>
    <row r="62" spans="1:29" ht="57" customHeight="1" thickTop="1" thickBot="1" x14ac:dyDescent="0.25">
      <c r="B62" s="7"/>
      <c r="C62" s="206" t="s">
        <v>19</v>
      </c>
      <c r="D62" s="207" t="s">
        <v>14</v>
      </c>
      <c r="E62" s="207" t="s">
        <v>23</v>
      </c>
      <c r="F62" s="207" t="s">
        <v>24</v>
      </c>
      <c r="G62" s="208" t="s">
        <v>15</v>
      </c>
      <c r="H62" s="207" t="s">
        <v>17</v>
      </c>
      <c r="I62" s="207" t="s">
        <v>16</v>
      </c>
      <c r="J62" s="209" t="s">
        <v>600</v>
      </c>
      <c r="K62" s="305" t="s">
        <v>599</v>
      </c>
      <c r="O62"/>
      <c r="P62" s="141" t="s">
        <v>325</v>
      </c>
      <c r="Q62" s="90" t="s">
        <v>320</v>
      </c>
      <c r="R62" s="90" t="s">
        <v>466</v>
      </c>
      <c r="S62" s="90" t="s">
        <v>467</v>
      </c>
      <c r="T62" s="90" t="s">
        <v>323</v>
      </c>
      <c r="U62" s="143" t="s">
        <v>324</v>
      </c>
      <c r="V62" s="300" t="s">
        <v>576</v>
      </c>
      <c r="X62" s="165" t="s">
        <v>375</v>
      </c>
      <c r="Y62" s="166" t="s">
        <v>376</v>
      </c>
      <c r="Z62" s="166" t="s">
        <v>377</v>
      </c>
      <c r="AA62" s="167" t="s">
        <v>378</v>
      </c>
    </row>
    <row r="63" spans="1:29" ht="21" thickBot="1" x14ac:dyDescent="0.35">
      <c r="B63" s="8"/>
      <c r="C63" s="201">
        <v>1</v>
      </c>
      <c r="D63" s="202" t="s">
        <v>20</v>
      </c>
      <c r="E63" s="182">
        <f>SUM(G5,G6,G7,G9,G10,G11,G12,G13,G14,G15,G16,G18,G24,G25,G26,G27,G28,G31,G32,G33,G38,G39)</f>
        <v>70502</v>
      </c>
      <c r="F63" s="183">
        <f>SUM(K5,K7,K8,K9,K11,K14,K16,K18,K24,K26,K27,K31,K32,K37,K39)</f>
        <v>11132</v>
      </c>
      <c r="G63" s="184">
        <f>SUM(F5,F6,F7,F9,F10,F11,F13,F14,F15,F16,F18,F24,F25,F26,F27,F28,F31,F32,F38,F39)</f>
        <v>4804</v>
      </c>
      <c r="H63" s="184">
        <f>SUM(H5,H6,H7,H9,H10,H11,H12,H13,H14,H15,H16,H18,H24,H25,H26,H27,H28,H31,H32,H38,H39)</f>
        <v>4759.3420000000006</v>
      </c>
      <c r="I63" s="97">
        <f t="shared" ref="I63:I68" si="0">(G63-H63)/G63</f>
        <v>9.2960033305577536E-3</v>
      </c>
      <c r="J63" s="304">
        <f>(E63+G17+G19+G30+H37)*24/(F63/60)/17000</f>
        <v>0.57503968548540496</v>
      </c>
      <c r="K63" s="307">
        <f>AVERAGE(January_17!J65,February_17!J65,March_17!J66,April_17!J66,May_17!J66,'June_17 '!J66,July_17!J64,'Aug_17 '!J64,Sep_17!J64,October_17!J63,November_17!J63)</f>
        <v>0.64683585577074343</v>
      </c>
      <c r="O63"/>
      <c r="P63" s="253">
        <f>T80</f>
        <v>8.5716115473726279E-3</v>
      </c>
      <c r="Q63" s="254"/>
      <c r="R63" s="255">
        <f>((January_17!Q60*January_17!$G$60)+(February_17!R60*February_17!$G$60)+(March_17!R60*March_17!$G$60)+(April_17!R60*April_17!$G$60)+(May_17!S60*May_17!$G$60)+('June_17 '!S60*'June_17 '!$G$60)+(July_17!S58*July_17!$G$58)+('Aug_17 '!S58*'Aug_17 '!$G$58)+(Sep_17!R58*Sep_17!$G$58)+(October_17!R57*October_17!$G$57)+(November_17!R57*November_17!$G$57))/($G$60)</f>
        <v>0.7165209940089734</v>
      </c>
      <c r="S63" s="255">
        <f>((January_17!R60*January_17!$G$60)+(February_17!S60*February_17!$G$60)+(March_17!S60*March_17!$G$60)+(April_17!S60*April_17!$G$60)+(May_17!T60*May_17!$G$60)+('June_17 '!T60*'June_17 '!$G$60)+(July_17!T58*July_17!$G$58)+('Aug_17 '!T58*'Aug_17 '!$G$58)+(Sep_17!S58*Sep_17!$G$58)+(October_17!S57*October_17!$G$57)+(November_17!S57*November_17!$G$57))/($G$60)</f>
        <v>0.6328484665090548</v>
      </c>
      <c r="T63" s="254">
        <f>T79</f>
        <v>0.68538593100997303</v>
      </c>
      <c r="U63" s="257">
        <f>U79</f>
        <v>0.60475229206762326</v>
      </c>
      <c r="V63" s="301">
        <f>AVERAGE(January_17!U60,February_17!W60,March_17!W60,April_17!W60,May_17!X60,'June_17 '!X60,July_17!W58,'Aug_17 '!W58,Sep_17!V58,October_17!V57,November_17!V57)</f>
        <v>0.80510523732384554</v>
      </c>
      <c r="X63" s="176" t="s">
        <v>370</v>
      </c>
      <c r="Y63" s="178"/>
      <c r="Z63" s="178">
        <f>[5]November_2017!F85</f>
        <v>6.6576605426301588E-2</v>
      </c>
      <c r="AA63" s="179">
        <f>[5]YearToDate!F5</f>
        <v>5.7508070397275124E-2</v>
      </c>
    </row>
    <row r="64" spans="1:29" s="1" customFormat="1" ht="18.75" thickTop="1" x14ac:dyDescent="0.25">
      <c r="B64" s="8"/>
      <c r="C64" s="203">
        <v>2</v>
      </c>
      <c r="D64" s="204" t="s">
        <v>21</v>
      </c>
      <c r="E64" s="182">
        <f>SUM(G4,G29,G30,G34,G35)</f>
        <v>20466</v>
      </c>
      <c r="F64" s="183">
        <f>SUM(K4,K29,K30,K34,K35)</f>
        <v>4366</v>
      </c>
      <c r="G64" s="184">
        <f>SUM(F4,F29,F30,F34,F35)</f>
        <v>1356.07</v>
      </c>
      <c r="H64" s="184">
        <f>SUM(H4,H29,H30,H34,H35)</f>
        <v>1350.7560000000003</v>
      </c>
      <c r="I64" s="97">
        <f t="shared" si="0"/>
        <v>3.9186767644735325E-3</v>
      </c>
      <c r="J64" s="304">
        <f>(E64+G18+G31+G36)*24/(F64/60)/17000</f>
        <v>0.61824041389345485</v>
      </c>
      <c r="K64" s="307">
        <f>AVERAGE(January_17!J66,February_17!J66,March_17!J67,April_17!J67,May_17!J67,'June_17 '!J67,July_17!J65,'Aug_17 '!J65,Sep_17!J65,October_17!J64,November_17!J64)</f>
        <v>0.61130812287518232</v>
      </c>
      <c r="L64"/>
      <c r="M64"/>
      <c r="N64" s="392"/>
      <c r="O64" s="2"/>
      <c r="S64"/>
      <c r="T64"/>
      <c r="U64"/>
      <c r="W64"/>
      <c r="X64" s="213" t="s">
        <v>371</v>
      </c>
      <c r="Y64" s="180"/>
      <c r="Z64" s="215">
        <f>[5]November_2017!F86</f>
        <v>8.5689833051960235E-2</v>
      </c>
      <c r="AA64" s="214">
        <f>[5]YearToDate!F6</f>
        <v>7.4495145412179109E-2</v>
      </c>
      <c r="AB64"/>
    </row>
    <row r="65" spans="2:28" s="1" customFormat="1" ht="18" x14ac:dyDescent="0.25">
      <c r="B65" s="8"/>
      <c r="C65" s="201">
        <v>3</v>
      </c>
      <c r="D65" s="204" t="s">
        <v>124</v>
      </c>
      <c r="E65" s="182"/>
      <c r="F65" s="183"/>
      <c r="G65" s="184"/>
      <c r="H65" s="184"/>
      <c r="I65" s="396" t="e">
        <f t="shared" si="0"/>
        <v>#DIV/0!</v>
      </c>
      <c r="J65" s="397" t="e">
        <f>(E65+G19)*24/(F65/60)/17000</f>
        <v>#DIV/0!</v>
      </c>
      <c r="K65" s="310" t="e">
        <f>AVERAGE(January_17!J67,February_17!J67,March_17!J68,April_17!J68,May_17!J68,'June_17 '!J68,July_17!J66,'Aug_17 '!J66,Sep_17!J66,October_17!J65,November_17!J65)</f>
        <v>#DIV/0!</v>
      </c>
      <c r="L65"/>
      <c r="M65"/>
      <c r="N65" s="392"/>
      <c r="O65" s="2"/>
      <c r="S65"/>
      <c r="T65"/>
      <c r="U65"/>
      <c r="W65"/>
      <c r="X65" s="177" t="s">
        <v>372</v>
      </c>
      <c r="Y65" s="217">
        <f>[5]November_2017!$F$39</f>
        <v>5.6403300553860065E-2</v>
      </c>
      <c r="Z65" s="180">
        <f>[5]November_2017!F87</f>
        <v>4.2285559305425838E-2</v>
      </c>
      <c r="AA65" s="181">
        <f>[5]YearToDate!F7</f>
        <v>5.2359214885581859E-2</v>
      </c>
      <c r="AB65"/>
    </row>
    <row r="66" spans="2:28" s="1" customFormat="1" ht="18" x14ac:dyDescent="0.25">
      <c r="B66" s="8"/>
      <c r="C66" s="203">
        <v>4</v>
      </c>
      <c r="D66" s="204" t="s">
        <v>18</v>
      </c>
      <c r="E66" s="400">
        <f>SUM(G8,G36,G37)</f>
        <v>10220</v>
      </c>
      <c r="F66" s="401">
        <f>SUM(K8,K35)</f>
        <v>1483</v>
      </c>
      <c r="G66" s="400">
        <f>SUM(F8,F36,F37)</f>
        <v>716.6</v>
      </c>
      <c r="H66" s="400">
        <f>SUM(H8,H36,H37)</f>
        <v>708.92640000000006</v>
      </c>
      <c r="I66" s="295">
        <f t="shared" si="0"/>
        <v>1.0708344962322027E-2</v>
      </c>
      <c r="J66" s="304">
        <f>(E66+G20+G38)*24/(F66/60)/17000</f>
        <v>1.0697044940700489</v>
      </c>
      <c r="K66" s="307">
        <f>AVERAGE(January_17!J68,February_17!J68,March_17!J69,April_17!J69,May_17!J69,'June_17 '!J69,July_17!J67,'Aug_17 '!J67,Sep_17!J67,October_17!J66,November_17!J66)</f>
        <v>0.66042580393002548</v>
      </c>
      <c r="L66"/>
      <c r="M66"/>
      <c r="N66" s="392"/>
      <c r="O66" s="2"/>
      <c r="P66" s="159"/>
      <c r="Q66" s="159"/>
      <c r="R66" s="159"/>
      <c r="S66" s="160"/>
      <c r="T66" s="160"/>
      <c r="U66" s="161"/>
      <c r="V66" s="234"/>
      <c r="W66"/>
      <c r="X66" s="213" t="s">
        <v>373</v>
      </c>
      <c r="Y66" s="384"/>
      <c r="Z66" s="215">
        <f>[5]November_2017!F88</f>
        <v>8.8879482295294354E-2</v>
      </c>
      <c r="AA66" s="214">
        <f>[5]YearToDate!F8</f>
        <v>5.4903170815414681E-2</v>
      </c>
    </row>
    <row r="67" spans="2:28" s="1" customFormat="1" ht="18" x14ac:dyDescent="0.25">
      <c r="B67" s="8"/>
      <c r="C67" s="201">
        <v>5</v>
      </c>
      <c r="D67" s="205" t="s">
        <v>26</v>
      </c>
      <c r="E67" s="192">
        <f>SUM(G17,G19,G20)</f>
        <v>6140</v>
      </c>
      <c r="F67" s="193">
        <f>SUM(K16,K18,K20)</f>
        <v>2727</v>
      </c>
      <c r="G67" s="194">
        <f>SUM(F17,F19,F20)</f>
        <v>412.61599999999999</v>
      </c>
      <c r="H67" s="194">
        <f>SUM(H17,H19,H20)</f>
        <v>405.24</v>
      </c>
      <c r="I67" s="295">
        <f t="shared" si="0"/>
        <v>1.787618512127493E-2</v>
      </c>
      <c r="J67" s="304">
        <f>(E67+G16+G18+G21+G22+G23)*24/(F67/60)/17000</f>
        <v>0.59657542224810711</v>
      </c>
      <c r="K67" s="307">
        <f>AVERAGE(January_17!J69,February_17!J69,March_17!J70,April_17!J70,May_17!J70,'June_17 '!J70,July_17!J68,'Aug_17 '!J68,Sep_17!J68,October_17!J67,November_17!J67)</f>
        <v>0.61679732269070542</v>
      </c>
      <c r="L67"/>
      <c r="M67"/>
      <c r="N67" s="392"/>
      <c r="O67" s="2"/>
      <c r="P67" s="159"/>
      <c r="R67" s="8"/>
      <c r="S67"/>
      <c r="T67"/>
      <c r="U67" s="6"/>
      <c r="V67" s="10"/>
      <c r="W67"/>
      <c r="X67" s="177" t="s">
        <v>374</v>
      </c>
      <c r="Y67" s="217"/>
      <c r="Z67" s="180">
        <f>[5]November_2017!F89</f>
        <v>7.407578047252221E-2</v>
      </c>
      <c r="AA67" s="181">
        <f>[5]YearToDate!F9</f>
        <v>7.6171674114030377E-2</v>
      </c>
    </row>
    <row r="68" spans="2:28" s="1" customFormat="1" ht="18.75" thickBot="1" x14ac:dyDescent="0.3">
      <c r="B68" s="8"/>
      <c r="C68" s="203">
        <v>6</v>
      </c>
      <c r="D68" s="205" t="s">
        <v>25</v>
      </c>
      <c r="E68" s="192">
        <f>SUM(G21:G23)</f>
        <v>2656</v>
      </c>
      <c r="F68" s="193">
        <f>SUM(K20)</f>
        <v>984</v>
      </c>
      <c r="G68" s="194">
        <f>SUM(F21:F23)</f>
        <v>213.77700000000004</v>
      </c>
      <c r="H68" s="194">
        <f>SUM(H21:H23)</f>
        <v>209.82400000000001</v>
      </c>
      <c r="I68" s="295">
        <f t="shared" si="0"/>
        <v>1.8491231516954726E-2</v>
      </c>
      <c r="J68" s="304">
        <f>(E68+G20)*24/(F68/60)/17000</f>
        <v>0.54275466284074614</v>
      </c>
      <c r="K68" s="307">
        <f>AVERAGE(January_17!J70,February_17!J70,March_17!J71,April_17!J71,May_17!J71,'June_17 '!J71,July_17!J69,'Aug_17 '!J69,Sep_17!J69,October_17!J68,November_17!J68)</f>
        <v>0.51838261091862425</v>
      </c>
      <c r="L68"/>
      <c r="M68"/>
      <c r="N68" s="392"/>
      <c r="O68" s="2"/>
      <c r="P68" s="159"/>
      <c r="S68"/>
      <c r="T68"/>
      <c r="U68"/>
      <c r="W68"/>
      <c r="X68" s="218" t="s">
        <v>25</v>
      </c>
      <c r="Y68" s="219"/>
      <c r="Z68" s="180">
        <f>[5]November_2017!F90</f>
        <v>2.5659238213619817E-2</v>
      </c>
      <c r="AA68" s="220">
        <f>[5]YearToDate!F10</f>
        <v>4.5790074270967041E-2</v>
      </c>
    </row>
    <row r="69" spans="2:28" s="1" customFormat="1" ht="19.5" thickTop="1" thickBot="1" x14ac:dyDescent="0.3">
      <c r="C69" s="112"/>
      <c r="D69" s="195" t="s">
        <v>22</v>
      </c>
      <c r="E69" s="196">
        <f>SUM(E63:E68)</f>
        <v>109984</v>
      </c>
      <c r="F69" s="197">
        <f>K57</f>
        <v>16482</v>
      </c>
      <c r="G69" s="198">
        <f>SUM(G63:G68)</f>
        <v>7503.0630000000001</v>
      </c>
      <c r="H69" s="198">
        <f>SUM(H63:H68)</f>
        <v>7434.0884000000005</v>
      </c>
      <c r="I69" s="199">
        <f>((G69)-(H69))/(G69)</f>
        <v>9.1928589697300358E-3</v>
      </c>
      <c r="J69" s="200">
        <f>E69*24/((F69)/60)/17000</f>
        <v>0.56524036917278742</v>
      </c>
      <c r="K69" s="308">
        <f>U63</f>
        <v>0.60475229206762326</v>
      </c>
      <c r="L69"/>
      <c r="M69"/>
      <c r="N69" s="392"/>
      <c r="O69" s="139"/>
      <c r="P69" s="159"/>
      <c r="S69"/>
      <c r="T69"/>
      <c r="U69"/>
      <c r="W69"/>
      <c r="X69" s="221" t="s">
        <v>379</v>
      </c>
      <c r="Y69" s="222">
        <f>AVERAGE(Y63:Y68)</f>
        <v>5.6403300553860065E-2</v>
      </c>
      <c r="Z69" s="222">
        <f>[5]November_2017!$F$92</f>
        <v>6.1868405944121768E-2</v>
      </c>
      <c r="AA69" s="223">
        <f>[5]YearToDate!$F$12</f>
        <v>5.7449685942507892E-2</v>
      </c>
    </row>
    <row r="70" spans="2:28" s="1" customFormat="1" ht="18.75" thickTop="1" x14ac:dyDescent="0.25">
      <c r="C70" s="311"/>
      <c r="D70" s="153"/>
      <c r="E70" s="312"/>
      <c r="F70" s="313"/>
      <c r="G70" s="314"/>
      <c r="H70" s="314"/>
      <c r="I70" s="315"/>
      <c r="J70" s="315"/>
      <c r="K70" s="315"/>
      <c r="L70"/>
      <c r="M70"/>
      <c r="N70" s="392"/>
      <c r="O70" s="139"/>
      <c r="P70" s="159"/>
      <c r="S70"/>
      <c r="T70"/>
      <c r="U70"/>
      <c r="W70"/>
      <c r="X70" s="316"/>
      <c r="Y70" s="317"/>
      <c r="Z70" s="317"/>
      <c r="AA70" s="317"/>
    </row>
    <row r="71" spans="2:28" s="1" customFormat="1" ht="18" x14ac:dyDescent="0.25">
      <c r="C71" s="311"/>
      <c r="D71" s="153"/>
      <c r="E71" s="312"/>
      <c r="F71" s="313"/>
      <c r="G71" s="314"/>
      <c r="H71" s="314"/>
      <c r="I71" s="315"/>
      <c r="J71" s="315"/>
      <c r="K71" s="315"/>
      <c r="L71"/>
      <c r="M71"/>
      <c r="N71" s="392"/>
      <c r="O71" s="139"/>
      <c r="P71" s="159"/>
      <c r="S71"/>
      <c r="T71"/>
      <c r="U71"/>
      <c r="W71"/>
      <c r="X71" s="316"/>
      <c r="Y71" s="317"/>
      <c r="Z71" s="317"/>
      <c r="AA71" s="317"/>
    </row>
    <row r="72" spans="2:28" s="1" customFormat="1" ht="27" customHeight="1" thickBot="1" x14ac:dyDescent="0.4">
      <c r="C72" s="311"/>
      <c r="D72" s="1125" t="s">
        <v>618</v>
      </c>
      <c r="E72" s="1125"/>
      <c r="F72" s="1125"/>
      <c r="G72" s="1125"/>
      <c r="H72" s="1125"/>
      <c r="I72" s="1125"/>
      <c r="J72" s="1125"/>
      <c r="K72" s="1125"/>
      <c r="L72" s="1125"/>
      <c r="M72" s="1125"/>
      <c r="N72" s="1125"/>
      <c r="O72" s="1125"/>
      <c r="P72" s="1125"/>
      <c r="S72"/>
      <c r="T72"/>
      <c r="U72"/>
      <c r="W72"/>
      <c r="X72" s="316"/>
      <c r="Y72" s="317"/>
      <c r="Z72" s="317"/>
      <c r="AA72" s="317"/>
    </row>
    <row r="73" spans="2:28" s="1" customFormat="1" ht="24" thickBot="1" x14ac:dyDescent="0.4">
      <c r="C73" s="322"/>
      <c r="D73" s="332" t="s">
        <v>605</v>
      </c>
      <c r="E73" s="333" t="s">
        <v>606</v>
      </c>
      <c r="F73" s="334" t="s">
        <v>607</v>
      </c>
      <c r="G73" s="333" t="s">
        <v>608</v>
      </c>
      <c r="H73" s="334" t="s">
        <v>609</v>
      </c>
      <c r="I73" s="333" t="s">
        <v>610</v>
      </c>
      <c r="J73" s="334" t="s">
        <v>611</v>
      </c>
      <c r="K73" s="333" t="s">
        <v>612</v>
      </c>
      <c r="L73" s="333" t="s">
        <v>613</v>
      </c>
      <c r="M73" s="333" t="s">
        <v>614</v>
      </c>
      <c r="N73" s="334" t="s">
        <v>615</v>
      </c>
      <c r="O73" s="335" t="s">
        <v>616</v>
      </c>
      <c r="P73" s="329" t="s">
        <v>617</v>
      </c>
      <c r="S73"/>
      <c r="T73"/>
      <c r="U73"/>
      <c r="W73"/>
    </row>
    <row r="74" spans="2:28" s="1" customFormat="1" ht="23.25" x14ac:dyDescent="0.35">
      <c r="C74" s="330">
        <v>2016</v>
      </c>
      <c r="D74" s="324">
        <f>[6]Jan!$I$57</f>
        <v>7</v>
      </c>
      <c r="E74" s="325">
        <f>[6]Feb!$I$57</f>
        <v>9</v>
      </c>
      <c r="F74" s="326">
        <f>[6]Mar!$I$57</f>
        <v>8</v>
      </c>
      <c r="G74" s="325">
        <f>[6]Apr!$I$57</f>
        <v>12</v>
      </c>
      <c r="H74" s="326">
        <f>[6]May!$I$57</f>
        <v>11</v>
      </c>
      <c r="I74" s="325">
        <f>[6]Jun!$I$57</f>
        <v>10</v>
      </c>
      <c r="J74" s="326">
        <f>[6]Jul!$I$57</f>
        <v>12</v>
      </c>
      <c r="K74" s="325">
        <f>[6]Aug!$I$57</f>
        <v>9</v>
      </c>
      <c r="L74" s="325">
        <f>[6]Sep!$I$57</f>
        <v>13</v>
      </c>
      <c r="M74" s="325">
        <f>[6]Oct!$I$57</f>
        <v>5</v>
      </c>
      <c r="N74" s="326">
        <f>[6]Nov!$I$57</f>
        <v>9</v>
      </c>
      <c r="O74" s="327"/>
      <c r="P74" s="328">
        <f>SUM(D74:O74)</f>
        <v>105</v>
      </c>
      <c r="S74"/>
      <c r="T74"/>
      <c r="U74"/>
      <c r="W74"/>
    </row>
    <row r="75" spans="2:28" s="1" customFormat="1" ht="24" thickBot="1" x14ac:dyDescent="0.4">
      <c r="C75" s="331">
        <v>2017</v>
      </c>
      <c r="D75" s="321">
        <f>[4]Jan!$I$57</f>
        <v>13</v>
      </c>
      <c r="E75" s="318">
        <f>[4]Feb!$I$57</f>
        <v>8</v>
      </c>
      <c r="F75" s="318">
        <f>[4]Mar!$I$57</f>
        <v>12</v>
      </c>
      <c r="G75" s="318">
        <f>[4]Apr!$I$57</f>
        <v>5</v>
      </c>
      <c r="H75" s="318">
        <f>[4]May!$I$57</f>
        <v>11</v>
      </c>
      <c r="I75" s="318">
        <f>[4]Jun!$I$57</f>
        <v>13</v>
      </c>
      <c r="J75" s="318">
        <f>[4]Jul!$I$57</f>
        <v>9</v>
      </c>
      <c r="K75" s="318">
        <f>[4]Aug!$I$57</f>
        <v>15</v>
      </c>
      <c r="L75" s="318">
        <f>[4]Sep!$I$57</f>
        <v>8</v>
      </c>
      <c r="M75" s="318">
        <f>[4]Oct!$I$57</f>
        <v>12</v>
      </c>
      <c r="N75" s="318">
        <f>[4]Nov!$I$57</f>
        <v>18</v>
      </c>
      <c r="O75" s="398"/>
      <c r="P75" s="323">
        <f>SUM(D75:O75)</f>
        <v>124</v>
      </c>
      <c r="S75"/>
      <c r="T75"/>
      <c r="U75"/>
      <c r="W75" s="9"/>
    </row>
    <row r="76" spans="2:28" s="1" customFormat="1" ht="20.25" customHeight="1" x14ac:dyDescent="0.3">
      <c r="C76" s="371" t="s">
        <v>619</v>
      </c>
      <c r="D76" s="372">
        <f>+(D75-D74)/D74</f>
        <v>0.8571428571428571</v>
      </c>
      <c r="E76" s="372">
        <f t="shared" ref="E76:M76" si="1">+(E75-E74)/E74</f>
        <v>-0.1111111111111111</v>
      </c>
      <c r="F76" s="372">
        <f t="shared" si="1"/>
        <v>0.5</v>
      </c>
      <c r="G76" s="372">
        <f t="shared" si="1"/>
        <v>-0.58333333333333337</v>
      </c>
      <c r="H76" s="372">
        <f t="shared" si="1"/>
        <v>0</v>
      </c>
      <c r="I76" s="372">
        <f t="shared" si="1"/>
        <v>0.3</v>
      </c>
      <c r="J76" s="372">
        <f t="shared" si="1"/>
        <v>-0.25</v>
      </c>
      <c r="K76" s="372">
        <f t="shared" si="1"/>
        <v>0.66666666666666663</v>
      </c>
      <c r="L76" s="372">
        <f t="shared" si="1"/>
        <v>-0.38461538461538464</v>
      </c>
      <c r="M76" s="372">
        <f t="shared" si="1"/>
        <v>1.4</v>
      </c>
      <c r="N76" s="393"/>
      <c r="O76" s="372"/>
      <c r="P76" s="373">
        <f>+(P75-P74)/P74</f>
        <v>0.18095238095238095</v>
      </c>
      <c r="W76" s="9"/>
    </row>
    <row r="77" spans="2:28" s="1" customFormat="1" x14ac:dyDescent="0.2">
      <c r="J77"/>
      <c r="K77"/>
      <c r="L77"/>
      <c r="M77"/>
      <c r="N77" s="392"/>
      <c r="O77" s="2"/>
      <c r="W77" s="9"/>
    </row>
    <row r="78" spans="2:28" s="1" customFormat="1" ht="12.75" customHeight="1" x14ac:dyDescent="0.2">
      <c r="J78"/>
      <c r="K78"/>
      <c r="L78"/>
      <c r="M78"/>
      <c r="N78" s="392"/>
      <c r="O78" s="2"/>
      <c r="S78"/>
      <c r="T78"/>
      <c r="U78"/>
      <c r="W78" s="9"/>
    </row>
    <row r="79" spans="2:28" s="1" customFormat="1" ht="21" hidden="1" customHeight="1" thickBot="1" x14ac:dyDescent="0.25">
      <c r="J79"/>
      <c r="K79"/>
      <c r="L79"/>
      <c r="M79"/>
      <c r="N79" s="392"/>
      <c r="O79" s="2"/>
      <c r="P79" s="3">
        <f>G60</f>
        <v>964273.75</v>
      </c>
      <c r="R79" s="3">
        <f>SUM(January_17!K60,February_17!K60,March_17!K60:K60,April_17!K60,May_17!K60,'June_17 '!K60,July_17!K58,'Aug_17 '!K58,Sep_17!K58,October_17!K57,November_17!K57)-249</f>
        <v>135063</v>
      </c>
      <c r="S79"/>
      <c r="T79" s="63">
        <f>(P79)*24/(R79/60)/15000</f>
        <v>0.68538593100997303</v>
      </c>
      <c r="U79" s="128">
        <f>(P79)*24/(R79/60)/17000</f>
        <v>0.60475229206762326</v>
      </c>
      <c r="V79" s="230"/>
      <c r="W79" s="9"/>
    </row>
    <row r="80" spans="2:28" s="1" customFormat="1" ht="21" hidden="1" customHeight="1" thickTop="1" thickBot="1" x14ac:dyDescent="0.35">
      <c r="J80"/>
      <c r="K80"/>
      <c r="L80"/>
      <c r="M80"/>
      <c r="N80" s="392"/>
      <c r="O80" s="2"/>
      <c r="P80" s="140">
        <f>SUM(January_17!F60,February_17!F60,March_17!F60,April_17!F60,May_17!F60,'June_17 '!F60,July_17!F58,'Aug_17 '!F58,Sep_17!F58,October_17!F57,November_17!F57)</f>
        <v>65889.109754013611</v>
      </c>
      <c r="R80" s="140">
        <f>SUM(January_17!H60,February_17!H60,March_17!H60,April_17!H60,May_17!H60,'June_17 '!H60,July_17!H58,'Aug_17 '!H58,Sep_17!H58,October_17!H57,November_17!H57)</f>
        <v>65324.333900000005</v>
      </c>
      <c r="S80"/>
      <c r="T80" s="87">
        <f>(P80-R80)/P80</f>
        <v>8.5716115473726279E-3</v>
      </c>
      <c r="U80"/>
      <c r="W80" s="9"/>
    </row>
    <row r="81" spans="3:23" s="1" customFormat="1" x14ac:dyDescent="0.2">
      <c r="J81"/>
      <c r="K81"/>
      <c r="L81"/>
      <c r="M81"/>
      <c r="N81" s="392"/>
      <c r="O81" s="2"/>
      <c r="S81"/>
      <c r="T81"/>
      <c r="U81"/>
      <c r="W81" s="9"/>
    </row>
    <row r="82" spans="3:23" s="1" customFormat="1" ht="20.25" customHeight="1" x14ac:dyDescent="0.2">
      <c r="C82" s="1109" t="s">
        <v>620</v>
      </c>
      <c r="D82" s="1109"/>
      <c r="E82" s="1109"/>
      <c r="F82" s="1109"/>
      <c r="G82" s="1109"/>
      <c r="H82" s="1109"/>
      <c r="I82" s="1109"/>
      <c r="J82" s="1109"/>
      <c r="K82" s="1109"/>
      <c r="L82" s="1109"/>
      <c r="M82" s="1109"/>
      <c r="N82" s="1109"/>
      <c r="O82" s="1109"/>
      <c r="P82" s="1109"/>
      <c r="Q82"/>
      <c r="S82"/>
      <c r="T82"/>
      <c r="U82"/>
      <c r="W82" s="9"/>
    </row>
    <row r="83" spans="3:23" s="1" customFormat="1" ht="21.75" customHeight="1" thickBot="1" x14ac:dyDescent="0.3">
      <c r="C83" s="1109"/>
      <c r="D83" s="1109"/>
      <c r="E83" s="1109"/>
      <c r="F83" s="1109"/>
      <c r="G83" s="1109"/>
      <c r="H83" s="1109"/>
      <c r="I83" s="1109"/>
      <c r="J83" s="1109"/>
      <c r="K83" s="1109"/>
      <c r="L83" s="1109"/>
      <c r="M83" s="1109"/>
      <c r="N83" s="1109"/>
      <c r="O83" s="1109"/>
      <c r="P83" s="1109"/>
      <c r="Q83" s="336"/>
      <c r="S83"/>
      <c r="T83"/>
      <c r="U83"/>
      <c r="W83" s="9"/>
    </row>
    <row r="84" spans="3:23" s="1" customFormat="1" ht="21" thickBot="1" x14ac:dyDescent="0.35">
      <c r="C84" s="351"/>
      <c r="D84" s="352" t="s">
        <v>605</v>
      </c>
      <c r="E84" s="353" t="s">
        <v>606</v>
      </c>
      <c r="F84" s="353" t="s">
        <v>607</v>
      </c>
      <c r="G84" s="353" t="s">
        <v>608</v>
      </c>
      <c r="H84" s="353" t="s">
        <v>609</v>
      </c>
      <c r="I84" s="353" t="s">
        <v>610</v>
      </c>
      <c r="J84" s="353" t="s">
        <v>611</v>
      </c>
      <c r="K84" s="353" t="s">
        <v>612</v>
      </c>
      <c r="L84" s="353" t="s">
        <v>613</v>
      </c>
      <c r="M84" s="353" t="s">
        <v>614</v>
      </c>
      <c r="N84" s="394" t="s">
        <v>615</v>
      </c>
      <c r="O84" s="354" t="s">
        <v>616</v>
      </c>
      <c r="P84" s="355" t="s">
        <v>379</v>
      </c>
      <c r="Q84" s="336"/>
      <c r="S84"/>
      <c r="T84"/>
      <c r="U84"/>
      <c r="W84" s="9"/>
    </row>
    <row r="85" spans="3:23" s="1" customFormat="1" ht="21" thickBot="1" x14ac:dyDescent="0.35">
      <c r="C85" s="356">
        <v>2016</v>
      </c>
      <c r="D85" s="357">
        <v>257</v>
      </c>
      <c r="E85" s="358">
        <v>234</v>
      </c>
      <c r="F85" s="358">
        <v>300</v>
      </c>
      <c r="G85" s="358">
        <v>547</v>
      </c>
      <c r="H85" s="358">
        <v>196</v>
      </c>
      <c r="I85" s="358">
        <v>373</v>
      </c>
      <c r="J85" s="359">
        <f>[6]Jul!$I$54</f>
        <v>480</v>
      </c>
      <c r="K85" s="359">
        <f>[6]Aug!$I$54</f>
        <v>300</v>
      </c>
      <c r="L85" s="359">
        <f>[6]Sep!$I$54</f>
        <v>370</v>
      </c>
      <c r="M85" s="359">
        <f>[6]Oct!$I$54</f>
        <v>74</v>
      </c>
      <c r="N85" s="359">
        <f>[6]Nov!$I54</f>
        <v>263</v>
      </c>
      <c r="O85" s="360"/>
      <c r="P85" s="361">
        <f>SUM(D85:K85)</f>
        <v>2687</v>
      </c>
      <c r="Q85" s="336"/>
      <c r="S85"/>
      <c r="T85"/>
      <c r="U85"/>
      <c r="W85" s="9"/>
    </row>
    <row r="86" spans="3:23" s="1" customFormat="1" ht="21" thickBot="1" x14ac:dyDescent="0.35">
      <c r="C86" s="362">
        <v>2017</v>
      </c>
      <c r="D86" s="363">
        <f>436</f>
        <v>436</v>
      </c>
      <c r="E86" s="364">
        <v>148</v>
      </c>
      <c r="F86" s="364">
        <f>316</f>
        <v>316</v>
      </c>
      <c r="G86" s="364">
        <v>314</v>
      </c>
      <c r="H86" s="364">
        <v>259</v>
      </c>
      <c r="I86" s="365">
        <f>[4]Jun!$I$54</f>
        <v>558</v>
      </c>
      <c r="J86" s="365">
        <f>[4]Jul!$I$54</f>
        <v>220</v>
      </c>
      <c r="K86" s="365">
        <f>[4]Aug!$I$54</f>
        <v>441</v>
      </c>
      <c r="L86" s="365">
        <f>[4]Sep!$I$54</f>
        <v>191</v>
      </c>
      <c r="M86" s="365">
        <f>[4]Oct!$I$54</f>
        <v>592</v>
      </c>
      <c r="N86" s="365">
        <f>[4]Nov!$I$54</f>
        <v>543</v>
      </c>
      <c r="O86" s="366"/>
      <c r="P86" s="367">
        <f>SUM(D86:O86)</f>
        <v>4018</v>
      </c>
      <c r="Q86" s="336"/>
      <c r="S86"/>
      <c r="T86"/>
      <c r="U86"/>
      <c r="W86" s="9"/>
    </row>
    <row r="87" spans="3:23" s="1" customFormat="1" ht="20.25" x14ac:dyDescent="0.3">
      <c r="C87" s="371" t="s">
        <v>619</v>
      </c>
      <c r="D87" s="372">
        <f t="shared" ref="D87:M87" si="2">+(D86-D85)/D85</f>
        <v>0.69649805447470814</v>
      </c>
      <c r="E87" s="372">
        <f t="shared" si="2"/>
        <v>-0.36752136752136755</v>
      </c>
      <c r="F87" s="372">
        <f t="shared" si="2"/>
        <v>5.3333333333333337E-2</v>
      </c>
      <c r="G87" s="372">
        <f t="shared" si="2"/>
        <v>-0.42595978062157219</v>
      </c>
      <c r="H87" s="372">
        <f t="shared" si="2"/>
        <v>0.32142857142857145</v>
      </c>
      <c r="I87" s="372">
        <f t="shared" si="2"/>
        <v>0.49597855227882037</v>
      </c>
      <c r="J87" s="372">
        <f t="shared" si="2"/>
        <v>-0.54166666666666663</v>
      </c>
      <c r="K87" s="372">
        <f t="shared" si="2"/>
        <v>0.47</v>
      </c>
      <c r="L87" s="372">
        <f t="shared" si="2"/>
        <v>-0.48378378378378378</v>
      </c>
      <c r="M87" s="372">
        <f t="shared" si="2"/>
        <v>7</v>
      </c>
      <c r="N87" s="393"/>
      <c r="O87" s="372"/>
      <c r="P87" s="373">
        <f>+(P86-P85)/P85</f>
        <v>0.49534797171566802</v>
      </c>
      <c r="Q87" s="337" t="s">
        <v>621</v>
      </c>
      <c r="S87"/>
      <c r="T87"/>
      <c r="U87"/>
      <c r="W87" s="9"/>
    </row>
    <row r="88" spans="3:23" s="1" customFormat="1" x14ac:dyDescent="0.2">
      <c r="J88"/>
      <c r="K88"/>
      <c r="L88"/>
      <c r="M88"/>
      <c r="N88" s="392"/>
      <c r="O88" s="2"/>
      <c r="S88"/>
      <c r="T88"/>
      <c r="U88"/>
      <c r="W88"/>
    </row>
    <row r="89" spans="3:23" s="1" customFormat="1" ht="13.5" thickBot="1" x14ac:dyDescent="0.25">
      <c r="J89"/>
      <c r="K89"/>
      <c r="L89"/>
      <c r="M89"/>
      <c r="N89" s="392"/>
      <c r="O89" s="2"/>
      <c r="S89"/>
      <c r="T89"/>
      <c r="U89"/>
      <c r="W89"/>
    </row>
    <row r="90" spans="3:23" s="1" customFormat="1" ht="36" customHeight="1" thickBot="1" x14ac:dyDescent="0.3">
      <c r="C90" s="382" t="str">
        <f>[4]Aug!C57</f>
        <v>Change-Overs</v>
      </c>
      <c r="D90" s="377" t="str">
        <f>[4]Aug!D57</f>
        <v>Actual Starts</v>
      </c>
      <c r="E90" s="378" t="str">
        <f>[4]Jul!$E$57</f>
        <v>1 Start</v>
      </c>
      <c r="J90"/>
      <c r="K90"/>
      <c r="L90"/>
      <c r="M90"/>
      <c r="N90" s="392"/>
      <c r="O90" s="2"/>
      <c r="S90"/>
      <c r="T90"/>
      <c r="U90"/>
      <c r="W90"/>
    </row>
    <row r="91" spans="3:23" s="1" customFormat="1" ht="18.75" thickBot="1" x14ac:dyDescent="0.3">
      <c r="C91" s="379">
        <f>[4]Nov!$I$57</f>
        <v>18</v>
      </c>
      <c r="D91" s="390">
        <f>[4]Nov!$D$58</f>
        <v>34</v>
      </c>
      <c r="E91" s="391">
        <f>[4]Nov!$E$58</f>
        <v>20</v>
      </c>
      <c r="J91"/>
      <c r="K91"/>
      <c r="L91"/>
      <c r="M91"/>
      <c r="N91" s="392"/>
      <c r="O91" s="2"/>
      <c r="S91"/>
      <c r="T91"/>
      <c r="U91"/>
      <c r="W91"/>
    </row>
    <row r="92" spans="3:23" s="1" customFormat="1" x14ac:dyDescent="0.2">
      <c r="C92" s="1114" t="s">
        <v>658</v>
      </c>
      <c r="D92" s="1116">
        <f>[4]Nov!$D$60</f>
        <v>1.7</v>
      </c>
      <c r="E92" s="1118">
        <f>[4]Nov!$E$60</f>
        <v>15.385000000000002</v>
      </c>
      <c r="J92"/>
      <c r="K92"/>
      <c r="L92"/>
      <c r="M92"/>
      <c r="N92" s="392"/>
      <c r="O92" s="2"/>
      <c r="S92"/>
      <c r="T92"/>
      <c r="U92"/>
      <c r="W92"/>
    </row>
    <row r="93" spans="3:23" s="1" customFormat="1" ht="13.5" thickBot="1" x14ac:dyDescent="0.25">
      <c r="C93" s="1115"/>
      <c r="D93" s="1117"/>
      <c r="E93" s="1119"/>
      <c r="J93"/>
      <c r="K93"/>
      <c r="L93"/>
      <c r="M93"/>
      <c r="N93" s="392"/>
      <c r="O93" s="2"/>
      <c r="S93"/>
      <c r="T93"/>
      <c r="U93"/>
      <c r="W93"/>
    </row>
    <row r="94" spans="3:23" s="1" customFormat="1" x14ac:dyDescent="0.2">
      <c r="J94"/>
      <c r="K94"/>
      <c r="L94"/>
      <c r="M94"/>
      <c r="N94" s="392"/>
      <c r="O94" s="2"/>
      <c r="S94"/>
      <c r="T94"/>
      <c r="U94"/>
      <c r="W94"/>
    </row>
    <row r="95" spans="3:23" s="1" customFormat="1" x14ac:dyDescent="0.2">
      <c r="J95"/>
      <c r="K95"/>
      <c r="L95"/>
      <c r="M95"/>
      <c r="N95" s="392"/>
      <c r="O95" s="2"/>
      <c r="S95"/>
      <c r="T95"/>
      <c r="U95"/>
      <c r="W95"/>
    </row>
    <row r="96" spans="3:23" s="1" customFormat="1" x14ac:dyDescent="0.2">
      <c r="J96"/>
      <c r="K96"/>
      <c r="L96"/>
      <c r="M96"/>
      <c r="N96" s="392"/>
      <c r="O96" s="2"/>
      <c r="S96"/>
      <c r="T96"/>
      <c r="U96"/>
      <c r="W96"/>
    </row>
    <row r="97" spans="10:23" s="1" customFormat="1" x14ac:dyDescent="0.2">
      <c r="J97"/>
      <c r="K97"/>
      <c r="L97"/>
      <c r="M97"/>
      <c r="N97" s="392"/>
      <c r="O97" s="2"/>
      <c r="S97"/>
      <c r="T97"/>
      <c r="U97"/>
      <c r="W97"/>
    </row>
    <row r="98" spans="10:23" s="1" customFormat="1" x14ac:dyDescent="0.2">
      <c r="J98"/>
      <c r="K98"/>
      <c r="L98"/>
      <c r="M98"/>
      <c r="N98" s="392"/>
      <c r="O98" s="2"/>
      <c r="S98"/>
      <c r="T98"/>
      <c r="U98"/>
      <c r="W98"/>
    </row>
    <row r="99" spans="10:23" s="1" customFormat="1" x14ac:dyDescent="0.2">
      <c r="J99"/>
      <c r="K99"/>
      <c r="L99"/>
      <c r="M99"/>
      <c r="N99" s="392"/>
      <c r="O99" s="2"/>
      <c r="S99"/>
      <c r="T99"/>
      <c r="U99"/>
      <c r="W99"/>
    </row>
    <row r="100" spans="10:23" s="1" customFormat="1" x14ac:dyDescent="0.2">
      <c r="J100"/>
      <c r="K100"/>
      <c r="L100"/>
      <c r="M100"/>
      <c r="N100" s="392"/>
      <c r="O100" s="2"/>
      <c r="S100"/>
      <c r="T100"/>
      <c r="U100"/>
      <c r="W100"/>
    </row>
    <row r="101" spans="10:23" s="1" customFormat="1" x14ac:dyDescent="0.2">
      <c r="J101"/>
      <c r="K101"/>
      <c r="L101"/>
      <c r="M101"/>
      <c r="N101" s="392"/>
      <c r="O101" s="2"/>
      <c r="S101"/>
      <c r="T101"/>
      <c r="U101"/>
      <c r="W101"/>
    </row>
    <row r="102" spans="10:23" s="1" customFormat="1" x14ac:dyDescent="0.2">
      <c r="J102"/>
      <c r="K102"/>
      <c r="L102"/>
      <c r="M102"/>
      <c r="N102" s="392"/>
      <c r="O102" s="2"/>
      <c r="S102"/>
      <c r="T102"/>
      <c r="U102"/>
      <c r="W102"/>
    </row>
    <row r="103" spans="10:23" s="1" customFormat="1" x14ac:dyDescent="0.2">
      <c r="J103"/>
      <c r="K103"/>
      <c r="L103"/>
      <c r="M103"/>
      <c r="N103" s="392"/>
      <c r="O103" s="2"/>
      <c r="S103"/>
      <c r="T103"/>
      <c r="U103"/>
      <c r="W103"/>
    </row>
    <row r="104" spans="10:23" s="1" customFormat="1" x14ac:dyDescent="0.2">
      <c r="J104"/>
      <c r="K104"/>
      <c r="L104"/>
      <c r="M104"/>
      <c r="N104" s="392"/>
      <c r="O104" s="2"/>
      <c r="S104"/>
      <c r="T104"/>
      <c r="U104"/>
      <c r="W104"/>
    </row>
    <row r="105" spans="10:23" s="1" customFormat="1" x14ac:dyDescent="0.2">
      <c r="J105"/>
      <c r="K105"/>
      <c r="L105"/>
      <c r="M105"/>
      <c r="N105" s="392"/>
      <c r="O105" s="2"/>
      <c r="S105"/>
      <c r="T105"/>
      <c r="U105"/>
      <c r="W105"/>
    </row>
    <row r="106" spans="10:23" s="1" customFormat="1" x14ac:dyDescent="0.2">
      <c r="J106"/>
      <c r="K106"/>
      <c r="L106"/>
      <c r="M106"/>
      <c r="N106" s="392"/>
      <c r="O106" s="2"/>
      <c r="S106"/>
      <c r="T106"/>
      <c r="U106"/>
      <c r="W106"/>
    </row>
    <row r="107" spans="10:23" s="1" customFormat="1" x14ac:dyDescent="0.2">
      <c r="J107"/>
      <c r="K107"/>
      <c r="L107"/>
      <c r="M107"/>
      <c r="N107" s="392"/>
      <c r="O107" s="2"/>
      <c r="S107"/>
      <c r="T107"/>
      <c r="U107"/>
      <c r="W107"/>
    </row>
    <row r="108" spans="10:23" s="1" customFormat="1" x14ac:dyDescent="0.2">
      <c r="J108"/>
      <c r="K108"/>
      <c r="L108"/>
      <c r="M108"/>
      <c r="N108" s="392"/>
      <c r="O108" s="2"/>
      <c r="S108"/>
      <c r="T108"/>
      <c r="U108"/>
      <c r="W108"/>
    </row>
    <row r="109" spans="10:23" s="1" customFormat="1" x14ac:dyDescent="0.2">
      <c r="J109"/>
      <c r="K109"/>
      <c r="L109"/>
      <c r="M109"/>
      <c r="N109" s="392"/>
      <c r="O109" s="2"/>
      <c r="S109"/>
      <c r="T109"/>
      <c r="U109"/>
      <c r="W109"/>
    </row>
    <row r="110" spans="10:23" s="1" customFormat="1" x14ac:dyDescent="0.2">
      <c r="J110"/>
      <c r="K110"/>
      <c r="L110"/>
      <c r="M110"/>
      <c r="N110" s="392"/>
      <c r="O110" s="2"/>
      <c r="S110"/>
      <c r="T110"/>
      <c r="U110"/>
      <c r="W110"/>
    </row>
    <row r="111" spans="10:23" s="1" customFormat="1" x14ac:dyDescent="0.2">
      <c r="J111"/>
      <c r="K111"/>
      <c r="L111"/>
      <c r="M111"/>
      <c r="N111" s="392"/>
      <c r="O111" s="2"/>
      <c r="S111"/>
      <c r="T111"/>
      <c r="U111"/>
      <c r="W111"/>
    </row>
    <row r="112" spans="10:23" s="1" customFormat="1" x14ac:dyDescent="0.2">
      <c r="J112"/>
      <c r="K112"/>
      <c r="L112"/>
      <c r="M112"/>
      <c r="N112" s="392"/>
      <c r="O112" s="2"/>
      <c r="S112"/>
      <c r="T112"/>
      <c r="U112"/>
      <c r="W112"/>
    </row>
    <row r="113" spans="10:23" s="1" customFormat="1" x14ac:dyDescent="0.2">
      <c r="J113"/>
      <c r="K113"/>
      <c r="L113"/>
      <c r="M113"/>
      <c r="N113" s="392"/>
      <c r="O113" s="2"/>
      <c r="S113"/>
      <c r="T113"/>
      <c r="U113"/>
      <c r="W113"/>
    </row>
    <row r="114" spans="10:23" s="1" customFormat="1" x14ac:dyDescent="0.2">
      <c r="J114"/>
      <c r="K114"/>
      <c r="L114"/>
      <c r="M114"/>
      <c r="N114" s="392"/>
      <c r="O114" s="2"/>
      <c r="S114"/>
      <c r="T114"/>
      <c r="U114"/>
      <c r="W114"/>
    </row>
    <row r="115" spans="10:23" s="1" customFormat="1" x14ac:dyDescent="0.2">
      <c r="J115"/>
      <c r="K115"/>
      <c r="L115"/>
      <c r="M115"/>
      <c r="N115" s="392"/>
      <c r="O115" s="2"/>
      <c r="S115"/>
      <c r="T115"/>
      <c r="U115"/>
      <c r="W115"/>
    </row>
    <row r="116" spans="10:23" s="1" customFormat="1" x14ac:dyDescent="0.2">
      <c r="J116"/>
      <c r="K116"/>
      <c r="L116"/>
      <c r="M116"/>
      <c r="N116" s="392"/>
      <c r="O116" s="2"/>
      <c r="S116"/>
      <c r="T116"/>
      <c r="U116"/>
      <c r="W116"/>
    </row>
    <row r="117" spans="10:23" s="1" customFormat="1" x14ac:dyDescent="0.2">
      <c r="J117"/>
      <c r="K117"/>
      <c r="L117"/>
      <c r="M117"/>
      <c r="N117" s="392"/>
      <c r="O117" s="2"/>
      <c r="S117"/>
      <c r="T117"/>
      <c r="U117"/>
      <c r="W117"/>
    </row>
    <row r="118" spans="10:23" s="1" customFormat="1" x14ac:dyDescent="0.2">
      <c r="J118"/>
      <c r="K118"/>
      <c r="L118"/>
      <c r="M118"/>
      <c r="N118" s="392"/>
      <c r="O118" s="2"/>
      <c r="S118"/>
      <c r="T118"/>
      <c r="U118"/>
      <c r="W118"/>
    </row>
    <row r="119" spans="10:23" s="1" customFormat="1" x14ac:dyDescent="0.2">
      <c r="J119"/>
      <c r="K119"/>
      <c r="L119"/>
      <c r="M119"/>
      <c r="N119" s="392"/>
      <c r="O119" s="2"/>
      <c r="S119"/>
      <c r="T119"/>
      <c r="U119"/>
      <c r="W119"/>
    </row>
    <row r="120" spans="10:23" s="1" customFormat="1" x14ac:dyDescent="0.2">
      <c r="J120"/>
      <c r="K120"/>
      <c r="L120"/>
      <c r="M120"/>
      <c r="N120" s="392"/>
      <c r="O120" s="2"/>
      <c r="S120"/>
      <c r="T120"/>
      <c r="U120"/>
      <c r="W120"/>
    </row>
    <row r="121" spans="10:23" s="1" customFormat="1" x14ac:dyDescent="0.2">
      <c r="J121"/>
      <c r="K121"/>
      <c r="L121"/>
      <c r="M121"/>
      <c r="N121" s="392"/>
      <c r="O121" s="2"/>
      <c r="S121"/>
      <c r="T121"/>
      <c r="U121"/>
      <c r="W121"/>
    </row>
    <row r="122" spans="10:23" s="1" customFormat="1" x14ac:dyDescent="0.2">
      <c r="J122"/>
      <c r="K122"/>
      <c r="L122"/>
      <c r="M122"/>
      <c r="N122" s="392"/>
      <c r="O122" s="2"/>
      <c r="S122"/>
      <c r="T122"/>
      <c r="U122"/>
      <c r="W122"/>
    </row>
    <row r="123" spans="10:23" s="1" customFormat="1" x14ac:dyDescent="0.2">
      <c r="J123"/>
      <c r="K123"/>
      <c r="L123"/>
      <c r="M123"/>
      <c r="N123" s="392"/>
      <c r="O123" s="2"/>
      <c r="S123"/>
      <c r="T123"/>
      <c r="U123"/>
      <c r="W123"/>
    </row>
    <row r="124" spans="10:23" s="1" customFormat="1" x14ac:dyDescent="0.2">
      <c r="J124"/>
      <c r="K124"/>
      <c r="L124"/>
      <c r="M124"/>
      <c r="N124" s="392"/>
      <c r="O124" s="2"/>
      <c r="S124"/>
      <c r="T124"/>
      <c r="U124"/>
      <c r="W124"/>
    </row>
    <row r="125" spans="10:23" s="1" customFormat="1" x14ac:dyDescent="0.2">
      <c r="J125"/>
      <c r="K125"/>
      <c r="L125"/>
      <c r="M125"/>
      <c r="N125" s="392"/>
      <c r="O125" s="2"/>
      <c r="S125"/>
      <c r="T125"/>
      <c r="U125"/>
      <c r="W125"/>
    </row>
    <row r="126" spans="10:23" s="1" customFormat="1" x14ac:dyDescent="0.2">
      <c r="J126"/>
      <c r="K126"/>
      <c r="L126"/>
      <c r="M126"/>
      <c r="N126" s="392"/>
      <c r="O126" s="2"/>
      <c r="S126"/>
      <c r="T126"/>
      <c r="U126"/>
      <c r="W126"/>
    </row>
    <row r="127" spans="10:23" s="1" customFormat="1" x14ac:dyDescent="0.2">
      <c r="J127"/>
      <c r="K127"/>
      <c r="L127"/>
      <c r="M127"/>
      <c r="N127" s="392"/>
      <c r="O127" s="2"/>
      <c r="S127"/>
      <c r="T127"/>
      <c r="U127"/>
      <c r="W127"/>
    </row>
    <row r="128" spans="10:23" s="1" customFormat="1" x14ac:dyDescent="0.2">
      <c r="J128"/>
      <c r="K128"/>
      <c r="L128"/>
      <c r="M128"/>
      <c r="N128" s="392"/>
      <c r="O128" s="2"/>
      <c r="S128"/>
      <c r="T128"/>
      <c r="U128"/>
      <c r="W128"/>
    </row>
    <row r="129" spans="10:23" s="1" customFormat="1" x14ac:dyDescent="0.2">
      <c r="J129"/>
      <c r="K129"/>
      <c r="L129"/>
      <c r="M129"/>
      <c r="N129" s="392"/>
      <c r="O129" s="2"/>
      <c r="S129"/>
      <c r="T129"/>
      <c r="U129"/>
      <c r="W129"/>
    </row>
    <row r="130" spans="10:23" s="1" customFormat="1" x14ac:dyDescent="0.2">
      <c r="J130"/>
      <c r="K130"/>
      <c r="L130"/>
      <c r="M130"/>
      <c r="N130" s="392"/>
      <c r="O130" s="2"/>
      <c r="S130"/>
      <c r="T130"/>
      <c r="U130"/>
      <c r="W130"/>
    </row>
    <row r="131" spans="10:23" s="1" customFormat="1" x14ac:dyDescent="0.2">
      <c r="J131"/>
      <c r="K131"/>
      <c r="L131"/>
      <c r="M131"/>
      <c r="N131" s="392"/>
      <c r="O131" s="2"/>
      <c r="S131"/>
      <c r="T131"/>
      <c r="U131"/>
      <c r="W131"/>
    </row>
    <row r="132" spans="10:23" s="1" customFormat="1" x14ac:dyDescent="0.2">
      <c r="J132"/>
      <c r="K132"/>
      <c r="L132"/>
      <c r="M132"/>
      <c r="N132" s="392"/>
      <c r="O132" s="2"/>
      <c r="S132"/>
      <c r="T132"/>
      <c r="U132"/>
      <c r="W132"/>
    </row>
    <row r="133" spans="10:23" s="1" customFormat="1" x14ac:dyDescent="0.2">
      <c r="J133"/>
      <c r="K133"/>
      <c r="L133"/>
      <c r="M133"/>
      <c r="N133" s="392"/>
      <c r="O133" s="2"/>
      <c r="S133"/>
      <c r="T133"/>
      <c r="U133"/>
      <c r="W133"/>
    </row>
    <row r="134" spans="10:23" s="1" customFormat="1" x14ac:dyDescent="0.2">
      <c r="J134"/>
      <c r="K134"/>
      <c r="L134"/>
      <c r="M134"/>
      <c r="N134" s="392"/>
      <c r="O134" s="2"/>
      <c r="S134"/>
      <c r="T134"/>
      <c r="U134"/>
      <c r="W134"/>
    </row>
    <row r="135" spans="10:23" s="1" customFormat="1" x14ac:dyDescent="0.2">
      <c r="J135"/>
      <c r="K135"/>
      <c r="L135"/>
      <c r="M135"/>
      <c r="N135" s="392"/>
      <c r="O135" s="2"/>
      <c r="S135"/>
      <c r="T135"/>
      <c r="U135"/>
      <c r="W135"/>
    </row>
    <row r="136" spans="10:23" s="1" customFormat="1" x14ac:dyDescent="0.2">
      <c r="J136"/>
      <c r="K136"/>
      <c r="L136"/>
      <c r="M136"/>
      <c r="N136" s="392"/>
      <c r="O136" s="2"/>
      <c r="S136"/>
      <c r="T136"/>
      <c r="U136"/>
      <c r="W136"/>
    </row>
    <row r="137" spans="10:23" s="1" customFormat="1" x14ac:dyDescent="0.2">
      <c r="J137"/>
      <c r="K137"/>
      <c r="L137"/>
      <c r="M137"/>
      <c r="N137" s="392"/>
      <c r="O137" s="2"/>
      <c r="S137"/>
      <c r="T137"/>
      <c r="U137"/>
      <c r="W137"/>
    </row>
    <row r="138" spans="10:23" s="1" customFormat="1" x14ac:dyDescent="0.2">
      <c r="J138"/>
      <c r="K138"/>
      <c r="L138"/>
      <c r="M138"/>
      <c r="N138" s="392"/>
      <c r="O138" s="2"/>
      <c r="S138"/>
      <c r="T138"/>
      <c r="U138"/>
      <c r="W138"/>
    </row>
    <row r="139" spans="10:23" s="1" customFormat="1" x14ac:dyDescent="0.2">
      <c r="J139"/>
      <c r="K139"/>
      <c r="L139"/>
      <c r="M139"/>
      <c r="N139" s="392"/>
      <c r="O139" s="2"/>
      <c r="S139"/>
      <c r="T139"/>
      <c r="U139"/>
      <c r="W139"/>
    </row>
    <row r="140" spans="10:23" s="1" customFormat="1" x14ac:dyDescent="0.2">
      <c r="J140"/>
      <c r="K140"/>
      <c r="L140"/>
      <c r="M140"/>
      <c r="N140" s="392"/>
      <c r="O140" s="2"/>
      <c r="S140"/>
      <c r="T140"/>
      <c r="U140"/>
      <c r="W140"/>
    </row>
    <row r="141" spans="10:23" s="1" customFormat="1" x14ac:dyDescent="0.2">
      <c r="J141"/>
      <c r="K141"/>
      <c r="L141"/>
      <c r="M141"/>
      <c r="N141" s="392"/>
      <c r="O141" s="2"/>
      <c r="S141"/>
      <c r="T141"/>
      <c r="U141"/>
      <c r="W141"/>
    </row>
    <row r="142" spans="10:23" s="1" customFormat="1" x14ac:dyDescent="0.2">
      <c r="J142"/>
      <c r="K142"/>
      <c r="L142"/>
      <c r="M142"/>
      <c r="N142" s="392"/>
      <c r="O142" s="2"/>
      <c r="S142"/>
      <c r="T142"/>
      <c r="U142"/>
      <c r="W142"/>
    </row>
    <row r="143" spans="10:23" s="1" customFormat="1" x14ac:dyDescent="0.2">
      <c r="J143"/>
      <c r="K143"/>
      <c r="L143"/>
      <c r="M143"/>
      <c r="N143" s="392"/>
      <c r="O143" s="2"/>
      <c r="S143"/>
      <c r="T143"/>
      <c r="U143"/>
      <c r="W143"/>
    </row>
    <row r="144" spans="10:23" s="1" customFormat="1" x14ac:dyDescent="0.2">
      <c r="J144"/>
      <c r="K144"/>
      <c r="L144"/>
      <c r="M144"/>
      <c r="N144" s="392"/>
      <c r="O144" s="2"/>
      <c r="S144"/>
      <c r="T144"/>
      <c r="U144"/>
      <c r="W144"/>
    </row>
    <row r="145" spans="10:23" s="1" customFormat="1" x14ac:dyDescent="0.2">
      <c r="J145"/>
      <c r="K145"/>
      <c r="L145"/>
      <c r="M145"/>
      <c r="N145" s="392"/>
      <c r="O145" s="2"/>
      <c r="S145"/>
      <c r="T145"/>
      <c r="U145"/>
      <c r="W145"/>
    </row>
    <row r="146" spans="10:23" s="1" customFormat="1" x14ac:dyDescent="0.2">
      <c r="J146"/>
      <c r="K146"/>
      <c r="L146"/>
      <c r="M146"/>
      <c r="N146" s="392"/>
      <c r="O146" s="2"/>
      <c r="S146"/>
      <c r="T146"/>
      <c r="U146"/>
      <c r="W146"/>
    </row>
    <row r="147" spans="10:23" s="1" customFormat="1" x14ac:dyDescent="0.2">
      <c r="J147"/>
      <c r="K147"/>
      <c r="L147"/>
      <c r="M147"/>
      <c r="N147" s="392"/>
      <c r="O147" s="2"/>
      <c r="S147"/>
      <c r="T147"/>
      <c r="U147"/>
      <c r="W147"/>
    </row>
    <row r="148" spans="10:23" s="1" customFormat="1" x14ac:dyDescent="0.2">
      <c r="J148"/>
      <c r="K148"/>
      <c r="L148"/>
      <c r="M148"/>
      <c r="N148" s="392"/>
      <c r="O148" s="2"/>
      <c r="S148"/>
      <c r="T148"/>
      <c r="U148"/>
      <c r="W148"/>
    </row>
    <row r="149" spans="10:23" s="1" customFormat="1" x14ac:dyDescent="0.2">
      <c r="J149"/>
      <c r="K149"/>
      <c r="L149"/>
      <c r="M149"/>
      <c r="N149" s="392"/>
      <c r="O149" s="2"/>
      <c r="S149"/>
      <c r="T149"/>
      <c r="U149"/>
      <c r="W149"/>
    </row>
    <row r="150" spans="10:23" s="1" customFormat="1" x14ac:dyDescent="0.2">
      <c r="J150"/>
      <c r="K150"/>
      <c r="L150"/>
      <c r="M150"/>
      <c r="N150" s="392"/>
      <c r="O150" s="2"/>
      <c r="S150"/>
      <c r="T150"/>
      <c r="U150"/>
      <c r="W150"/>
    </row>
    <row r="151" spans="10:23" s="1" customFormat="1" x14ac:dyDescent="0.2">
      <c r="J151"/>
      <c r="K151"/>
      <c r="L151"/>
      <c r="M151"/>
      <c r="N151" s="392"/>
      <c r="O151" s="2"/>
      <c r="S151"/>
      <c r="T151"/>
      <c r="U151"/>
      <c r="W151"/>
    </row>
    <row r="152" spans="10:23" s="1" customFormat="1" x14ac:dyDescent="0.2">
      <c r="J152"/>
      <c r="K152"/>
      <c r="L152"/>
      <c r="M152"/>
      <c r="N152" s="392"/>
      <c r="O152" s="2"/>
      <c r="S152"/>
      <c r="T152"/>
      <c r="U152"/>
      <c r="W152"/>
    </row>
    <row r="153" spans="10:23" s="1" customFormat="1" x14ac:dyDescent="0.2">
      <c r="J153"/>
      <c r="K153"/>
      <c r="L153"/>
      <c r="M153"/>
      <c r="N153" s="392"/>
      <c r="O153" s="2"/>
      <c r="S153"/>
      <c r="T153"/>
      <c r="U153"/>
      <c r="W153"/>
    </row>
    <row r="154" spans="10:23" s="1" customFormat="1" x14ac:dyDescent="0.2">
      <c r="J154"/>
      <c r="K154"/>
      <c r="L154"/>
      <c r="M154"/>
      <c r="N154" s="392"/>
      <c r="O154" s="2"/>
      <c r="S154"/>
      <c r="T154"/>
      <c r="U154"/>
      <c r="W154"/>
    </row>
    <row r="155" spans="10:23" s="1" customFormat="1" x14ac:dyDescent="0.2">
      <c r="J155"/>
      <c r="K155"/>
      <c r="L155"/>
      <c r="M155"/>
      <c r="N155" s="392"/>
      <c r="O155" s="2"/>
      <c r="S155"/>
      <c r="T155"/>
      <c r="U155"/>
      <c r="W155"/>
    </row>
    <row r="156" spans="10:23" s="1" customFormat="1" x14ac:dyDescent="0.2">
      <c r="J156"/>
      <c r="K156"/>
      <c r="L156"/>
      <c r="M156"/>
      <c r="N156" s="392"/>
      <c r="O156" s="2"/>
      <c r="S156"/>
      <c r="T156"/>
      <c r="U156"/>
      <c r="W156"/>
    </row>
    <row r="157" spans="10:23" s="1" customFormat="1" x14ac:dyDescent="0.2">
      <c r="J157"/>
      <c r="K157"/>
      <c r="L157"/>
      <c r="M157"/>
      <c r="N157" s="392"/>
      <c r="O157" s="2"/>
      <c r="S157"/>
      <c r="T157"/>
      <c r="U157"/>
      <c r="W157"/>
    </row>
    <row r="158" spans="10:23" s="1" customFormat="1" x14ac:dyDescent="0.2">
      <c r="J158"/>
      <c r="K158"/>
      <c r="L158"/>
      <c r="M158"/>
      <c r="N158" s="392"/>
      <c r="O158" s="2"/>
      <c r="S158"/>
      <c r="T158"/>
      <c r="U158"/>
      <c r="W158"/>
    </row>
    <row r="159" spans="10:23" s="1" customFormat="1" x14ac:dyDescent="0.2">
      <c r="J159"/>
      <c r="K159"/>
      <c r="L159"/>
      <c r="M159"/>
      <c r="N159" s="392"/>
      <c r="O159" s="2"/>
      <c r="S159"/>
      <c r="T159"/>
      <c r="U159"/>
      <c r="W159"/>
    </row>
    <row r="160" spans="10:23" s="1" customFormat="1" x14ac:dyDescent="0.2">
      <c r="J160"/>
      <c r="K160"/>
      <c r="L160"/>
      <c r="M160"/>
      <c r="N160" s="392"/>
      <c r="O160" s="2"/>
      <c r="S160"/>
      <c r="T160"/>
      <c r="U160"/>
      <c r="W160"/>
    </row>
    <row r="161" spans="10:23" s="1" customFormat="1" x14ac:dyDescent="0.2">
      <c r="J161"/>
      <c r="K161"/>
      <c r="L161"/>
      <c r="M161"/>
      <c r="N161" s="392"/>
      <c r="O161" s="2"/>
      <c r="S161"/>
      <c r="T161"/>
      <c r="U161"/>
      <c r="W161"/>
    </row>
    <row r="162" spans="10:23" s="1" customFormat="1" x14ac:dyDescent="0.2">
      <c r="J162"/>
      <c r="K162"/>
      <c r="L162"/>
      <c r="M162"/>
      <c r="N162" s="392"/>
      <c r="O162" s="2"/>
      <c r="S162"/>
      <c r="T162"/>
      <c r="U162"/>
      <c r="W162"/>
    </row>
    <row r="163" spans="10:23" s="1" customFormat="1" x14ac:dyDescent="0.2">
      <c r="J163"/>
      <c r="K163"/>
      <c r="L163"/>
      <c r="M163"/>
      <c r="N163" s="392"/>
      <c r="O163" s="2"/>
      <c r="S163"/>
      <c r="T163"/>
      <c r="U163"/>
      <c r="W163"/>
    </row>
    <row r="164" spans="10:23" s="1" customFormat="1" x14ac:dyDescent="0.2">
      <c r="J164"/>
      <c r="K164"/>
      <c r="L164"/>
      <c r="M164"/>
      <c r="N164" s="392"/>
      <c r="O164" s="2"/>
      <c r="S164"/>
      <c r="T164"/>
      <c r="U164"/>
      <c r="W164"/>
    </row>
    <row r="165" spans="10:23" s="1" customFormat="1" x14ac:dyDescent="0.2">
      <c r="J165"/>
      <c r="K165"/>
      <c r="L165"/>
      <c r="M165"/>
      <c r="N165" s="392"/>
      <c r="O165" s="2"/>
      <c r="S165"/>
      <c r="T165"/>
      <c r="U165"/>
      <c r="W165"/>
    </row>
    <row r="166" spans="10:23" s="1" customFormat="1" x14ac:dyDescent="0.2">
      <c r="J166"/>
      <c r="K166"/>
      <c r="L166"/>
      <c r="M166"/>
      <c r="N166" s="392"/>
      <c r="O166" s="2"/>
      <c r="S166"/>
      <c r="T166"/>
      <c r="U166"/>
      <c r="W166"/>
    </row>
    <row r="167" spans="10:23" s="1" customFormat="1" x14ac:dyDescent="0.2">
      <c r="J167"/>
      <c r="K167"/>
      <c r="L167"/>
      <c r="M167"/>
      <c r="N167" s="392"/>
      <c r="O167" s="2"/>
      <c r="S167"/>
      <c r="T167"/>
      <c r="U167"/>
      <c r="W167"/>
    </row>
    <row r="168" spans="10:23" s="1" customFormat="1" x14ac:dyDescent="0.2">
      <c r="J168"/>
      <c r="K168"/>
      <c r="L168"/>
      <c r="M168"/>
      <c r="N168" s="392"/>
      <c r="O168" s="2"/>
      <c r="S168"/>
      <c r="T168"/>
      <c r="U168"/>
      <c r="W168"/>
    </row>
    <row r="169" spans="10:23" s="1" customFormat="1" x14ac:dyDescent="0.2">
      <c r="J169"/>
      <c r="K169"/>
      <c r="L169"/>
      <c r="M169"/>
      <c r="N169" s="392"/>
      <c r="O169" s="2"/>
      <c r="S169"/>
      <c r="T169"/>
      <c r="U169"/>
      <c r="W169"/>
    </row>
    <row r="170" spans="10:23" s="1" customFormat="1" x14ac:dyDescent="0.2">
      <c r="J170"/>
      <c r="K170"/>
      <c r="L170"/>
      <c r="M170"/>
      <c r="N170" s="392"/>
      <c r="O170" s="2"/>
      <c r="S170"/>
      <c r="T170"/>
      <c r="U170"/>
      <c r="W170"/>
    </row>
    <row r="171" spans="10:23" s="1" customFormat="1" x14ac:dyDescent="0.2">
      <c r="J171"/>
      <c r="K171"/>
      <c r="L171"/>
      <c r="M171"/>
      <c r="N171" s="392"/>
      <c r="O171" s="2"/>
      <c r="S171"/>
      <c r="T171"/>
      <c r="U171"/>
      <c r="W171"/>
    </row>
    <row r="172" spans="10:23" s="1" customFormat="1" x14ac:dyDescent="0.2">
      <c r="J172"/>
      <c r="K172"/>
      <c r="L172"/>
      <c r="M172"/>
      <c r="N172" s="392"/>
      <c r="O172" s="2"/>
      <c r="S172"/>
      <c r="T172"/>
      <c r="U172"/>
      <c r="W172"/>
    </row>
    <row r="173" spans="10:23" s="1" customFormat="1" x14ac:dyDescent="0.2">
      <c r="J173"/>
      <c r="K173"/>
      <c r="L173"/>
      <c r="M173"/>
      <c r="N173" s="392"/>
      <c r="O173" s="2"/>
      <c r="S173"/>
      <c r="T173"/>
      <c r="U173"/>
      <c r="W173"/>
    </row>
    <row r="174" spans="10:23" s="1" customFormat="1" x14ac:dyDescent="0.2">
      <c r="J174"/>
      <c r="K174"/>
      <c r="L174"/>
      <c r="M174"/>
      <c r="N174" s="392"/>
      <c r="O174" s="2"/>
      <c r="S174"/>
      <c r="T174"/>
      <c r="U174"/>
      <c r="W174"/>
    </row>
    <row r="175" spans="10:23" s="1" customFormat="1" x14ac:dyDescent="0.2">
      <c r="J175"/>
      <c r="K175"/>
      <c r="L175"/>
      <c r="M175"/>
      <c r="N175" s="392"/>
      <c r="O175" s="2"/>
      <c r="S175"/>
      <c r="T175"/>
      <c r="U175"/>
      <c r="W175"/>
    </row>
    <row r="176" spans="10:23" s="1" customFormat="1" x14ac:dyDescent="0.2">
      <c r="J176"/>
      <c r="K176"/>
      <c r="L176"/>
      <c r="M176"/>
      <c r="N176" s="392"/>
      <c r="O176" s="2"/>
      <c r="S176"/>
      <c r="T176"/>
      <c r="U176"/>
      <c r="W176"/>
    </row>
    <row r="177" spans="10:23" s="1" customFormat="1" x14ac:dyDescent="0.2">
      <c r="J177"/>
      <c r="K177"/>
      <c r="L177"/>
      <c r="M177"/>
      <c r="N177" s="392"/>
      <c r="O177" s="2"/>
      <c r="S177"/>
      <c r="T177"/>
      <c r="U177"/>
      <c r="W177"/>
    </row>
    <row r="178" spans="10:23" s="1" customFormat="1" x14ac:dyDescent="0.2">
      <c r="J178"/>
      <c r="K178"/>
      <c r="L178"/>
      <c r="M178"/>
      <c r="N178" s="392"/>
      <c r="O178" s="2"/>
      <c r="S178"/>
      <c r="T178"/>
      <c r="U178"/>
      <c r="W178"/>
    </row>
    <row r="179" spans="10:23" s="1" customFormat="1" x14ac:dyDescent="0.2">
      <c r="J179"/>
      <c r="K179"/>
      <c r="L179"/>
      <c r="M179"/>
      <c r="N179" s="392"/>
      <c r="O179" s="2"/>
      <c r="S179"/>
      <c r="T179"/>
      <c r="U179"/>
      <c r="W179"/>
    </row>
    <row r="180" spans="10:23" s="1" customFormat="1" x14ac:dyDescent="0.2">
      <c r="J180"/>
      <c r="K180"/>
      <c r="L180"/>
      <c r="M180"/>
      <c r="N180" s="392"/>
      <c r="O180" s="2"/>
      <c r="S180"/>
      <c r="T180"/>
      <c r="U180"/>
      <c r="W180"/>
    </row>
    <row r="181" spans="10:23" s="1" customFormat="1" x14ac:dyDescent="0.2">
      <c r="J181"/>
      <c r="K181"/>
      <c r="L181"/>
      <c r="M181"/>
      <c r="N181" s="392"/>
      <c r="O181" s="2"/>
      <c r="S181"/>
      <c r="T181"/>
      <c r="U181"/>
      <c r="W181"/>
    </row>
    <row r="182" spans="10:23" s="1" customFormat="1" x14ac:dyDescent="0.2">
      <c r="J182"/>
      <c r="K182"/>
      <c r="L182"/>
      <c r="M182"/>
      <c r="N182" s="392"/>
      <c r="O182" s="2"/>
      <c r="S182"/>
      <c r="T182"/>
      <c r="U182"/>
      <c r="W182"/>
    </row>
    <row r="183" spans="10:23" s="1" customFormat="1" x14ac:dyDescent="0.2">
      <c r="J183"/>
      <c r="K183"/>
      <c r="L183"/>
      <c r="M183"/>
      <c r="N183" s="392"/>
      <c r="O183" s="2"/>
      <c r="S183"/>
      <c r="T183"/>
      <c r="U183"/>
      <c r="W183"/>
    </row>
    <row r="184" spans="10:23" s="1" customFormat="1" x14ac:dyDescent="0.2">
      <c r="J184"/>
      <c r="K184"/>
      <c r="L184"/>
      <c r="M184"/>
      <c r="N184" s="392"/>
      <c r="O184" s="2"/>
      <c r="S184"/>
      <c r="T184"/>
      <c r="U184"/>
      <c r="W184"/>
    </row>
    <row r="185" spans="10:23" s="1" customFormat="1" x14ac:dyDescent="0.2">
      <c r="J185"/>
      <c r="K185"/>
      <c r="L185"/>
      <c r="M185"/>
      <c r="N185" s="392"/>
      <c r="O185" s="2"/>
      <c r="S185"/>
      <c r="T185"/>
      <c r="U185"/>
      <c r="W185"/>
    </row>
    <row r="186" spans="10:23" s="1" customFormat="1" x14ac:dyDescent="0.2">
      <c r="J186"/>
      <c r="K186"/>
      <c r="L186"/>
      <c r="M186"/>
      <c r="N186" s="392"/>
      <c r="O186" s="2"/>
      <c r="S186"/>
      <c r="T186"/>
      <c r="U186"/>
      <c r="W186"/>
    </row>
    <row r="187" spans="10:23" s="1" customFormat="1" x14ac:dyDescent="0.2">
      <c r="J187"/>
      <c r="K187"/>
      <c r="L187"/>
      <c r="M187"/>
      <c r="N187" s="392"/>
      <c r="O187" s="2"/>
      <c r="S187"/>
      <c r="T187"/>
      <c r="U187"/>
      <c r="W187"/>
    </row>
    <row r="188" spans="10:23" s="1" customFormat="1" x14ac:dyDescent="0.2">
      <c r="J188"/>
      <c r="K188"/>
      <c r="L188"/>
      <c r="M188"/>
      <c r="N188" s="392"/>
      <c r="O188" s="2"/>
      <c r="S188"/>
      <c r="T188"/>
      <c r="U188"/>
      <c r="W188"/>
    </row>
    <row r="189" spans="10:23" s="1" customFormat="1" x14ac:dyDescent="0.2">
      <c r="J189"/>
      <c r="K189"/>
      <c r="L189"/>
      <c r="M189"/>
      <c r="N189" s="392"/>
      <c r="O189" s="2"/>
      <c r="S189"/>
      <c r="T189"/>
      <c r="U189"/>
      <c r="W189"/>
    </row>
    <row r="190" spans="10:23" s="1" customFormat="1" x14ac:dyDescent="0.2">
      <c r="J190"/>
      <c r="K190"/>
      <c r="L190"/>
      <c r="M190"/>
      <c r="N190" s="392"/>
      <c r="O190" s="2"/>
      <c r="S190"/>
      <c r="T190"/>
      <c r="U190"/>
      <c r="W190"/>
    </row>
    <row r="191" spans="10:23" s="1" customFormat="1" x14ac:dyDescent="0.2">
      <c r="J191"/>
      <c r="K191"/>
      <c r="L191"/>
      <c r="M191"/>
      <c r="N191" s="392"/>
      <c r="O191" s="2"/>
      <c r="S191"/>
      <c r="T191"/>
      <c r="U191"/>
      <c r="W191"/>
    </row>
    <row r="192" spans="10:23" s="1" customFormat="1" x14ac:dyDescent="0.2">
      <c r="J192"/>
      <c r="K192"/>
      <c r="L192"/>
      <c r="M192"/>
      <c r="N192" s="392"/>
      <c r="O192" s="2"/>
      <c r="S192"/>
      <c r="T192"/>
      <c r="U192"/>
      <c r="W192"/>
    </row>
    <row r="193" spans="10:23" s="1" customFormat="1" x14ac:dyDescent="0.2">
      <c r="J193"/>
      <c r="K193"/>
      <c r="L193"/>
      <c r="M193"/>
      <c r="N193" s="392"/>
      <c r="O193" s="2"/>
      <c r="S193"/>
      <c r="T193"/>
      <c r="U193"/>
      <c r="W193"/>
    </row>
    <row r="194" spans="10:23" s="1" customFormat="1" x14ac:dyDescent="0.2">
      <c r="J194"/>
      <c r="K194"/>
      <c r="L194"/>
      <c r="M194"/>
      <c r="N194" s="392"/>
      <c r="O194" s="2"/>
      <c r="S194"/>
      <c r="T194"/>
      <c r="U194"/>
      <c r="W194"/>
    </row>
    <row r="195" spans="10:23" s="1" customFormat="1" x14ac:dyDescent="0.2">
      <c r="J195"/>
      <c r="K195"/>
      <c r="L195"/>
      <c r="M195"/>
      <c r="N195" s="392"/>
      <c r="O195" s="2"/>
      <c r="S195"/>
      <c r="T195"/>
      <c r="U195"/>
      <c r="W195"/>
    </row>
    <row r="196" spans="10:23" s="1" customFormat="1" x14ac:dyDescent="0.2">
      <c r="J196"/>
      <c r="K196"/>
      <c r="L196"/>
      <c r="M196"/>
      <c r="N196" s="392"/>
      <c r="O196" s="2"/>
      <c r="S196"/>
      <c r="T196"/>
      <c r="U196"/>
      <c r="W196"/>
    </row>
    <row r="197" spans="10:23" s="1" customFormat="1" x14ac:dyDescent="0.2">
      <c r="J197"/>
      <c r="K197"/>
      <c r="L197"/>
      <c r="M197"/>
      <c r="N197" s="392"/>
      <c r="O197" s="2"/>
      <c r="S197"/>
      <c r="T197"/>
      <c r="U197"/>
      <c r="W197"/>
    </row>
    <row r="198" spans="10:23" s="1" customFormat="1" x14ac:dyDescent="0.2">
      <c r="J198"/>
      <c r="K198"/>
      <c r="L198"/>
      <c r="M198"/>
      <c r="N198" s="392"/>
      <c r="O198" s="2"/>
      <c r="S198"/>
      <c r="T198"/>
      <c r="U198"/>
      <c r="W198"/>
    </row>
    <row r="199" spans="10:23" s="1" customFormat="1" x14ac:dyDescent="0.2">
      <c r="J199"/>
      <c r="K199"/>
      <c r="L199"/>
      <c r="M199"/>
      <c r="N199" s="392"/>
      <c r="O199" s="2"/>
      <c r="S199"/>
      <c r="T199"/>
      <c r="U199"/>
      <c r="W199"/>
    </row>
    <row r="200" spans="10:23" s="1" customFormat="1" x14ac:dyDescent="0.2">
      <c r="J200"/>
      <c r="K200"/>
      <c r="L200"/>
      <c r="M200"/>
      <c r="N200" s="392"/>
      <c r="O200" s="2"/>
      <c r="S200"/>
      <c r="T200"/>
      <c r="U200"/>
      <c r="W200"/>
    </row>
    <row r="201" spans="10:23" s="1" customFormat="1" x14ac:dyDescent="0.2">
      <c r="J201"/>
      <c r="K201"/>
      <c r="L201"/>
      <c r="M201"/>
      <c r="N201" s="392"/>
      <c r="O201" s="2"/>
      <c r="S201"/>
      <c r="T201"/>
      <c r="U201"/>
      <c r="W201"/>
    </row>
    <row r="202" spans="10:23" s="1" customFormat="1" x14ac:dyDescent="0.2">
      <c r="J202"/>
      <c r="K202"/>
      <c r="L202"/>
      <c r="M202"/>
      <c r="N202" s="392"/>
      <c r="O202" s="2"/>
      <c r="S202"/>
      <c r="T202"/>
      <c r="U202"/>
      <c r="W202"/>
    </row>
    <row r="203" spans="10:23" s="1" customFormat="1" x14ac:dyDescent="0.2">
      <c r="J203"/>
      <c r="K203"/>
      <c r="L203"/>
      <c r="M203"/>
      <c r="N203" s="392"/>
      <c r="O203" s="2"/>
      <c r="S203"/>
      <c r="T203"/>
      <c r="U203"/>
      <c r="W203"/>
    </row>
    <row r="204" spans="10:23" s="1" customFormat="1" x14ac:dyDescent="0.2">
      <c r="J204"/>
      <c r="K204"/>
      <c r="L204"/>
      <c r="M204"/>
      <c r="N204" s="392"/>
      <c r="O204" s="2"/>
      <c r="S204"/>
      <c r="T204"/>
      <c r="U204"/>
      <c r="W204"/>
    </row>
    <row r="205" spans="10:23" s="1" customFormat="1" x14ac:dyDescent="0.2">
      <c r="J205"/>
      <c r="K205"/>
      <c r="L205"/>
      <c r="M205"/>
      <c r="N205" s="392"/>
      <c r="O205" s="2"/>
      <c r="S205"/>
      <c r="T205"/>
      <c r="U205"/>
      <c r="W205"/>
    </row>
    <row r="206" spans="10:23" s="1" customFormat="1" x14ac:dyDescent="0.2">
      <c r="J206"/>
      <c r="K206"/>
      <c r="L206"/>
      <c r="M206"/>
      <c r="N206" s="392"/>
      <c r="O206" s="2"/>
      <c r="S206"/>
      <c r="T206"/>
      <c r="U206"/>
      <c r="W206"/>
    </row>
    <row r="207" spans="10:23" s="1" customFormat="1" x14ac:dyDescent="0.2">
      <c r="J207"/>
      <c r="K207"/>
      <c r="L207"/>
      <c r="M207"/>
      <c r="N207" s="392"/>
      <c r="O207" s="2"/>
      <c r="S207"/>
      <c r="T207"/>
      <c r="U207"/>
      <c r="W207"/>
    </row>
    <row r="208" spans="10:23" s="1" customFormat="1" x14ac:dyDescent="0.2">
      <c r="J208"/>
      <c r="K208"/>
      <c r="L208"/>
      <c r="M208"/>
      <c r="N208" s="392"/>
      <c r="O208" s="2"/>
      <c r="S208"/>
      <c r="T208"/>
      <c r="U208"/>
      <c r="W208"/>
    </row>
    <row r="209" spans="10:23" s="1" customFormat="1" x14ac:dyDescent="0.2">
      <c r="J209"/>
      <c r="K209"/>
      <c r="L209"/>
      <c r="M209"/>
      <c r="N209" s="392"/>
      <c r="O209" s="2"/>
      <c r="S209"/>
      <c r="T209"/>
      <c r="U209"/>
      <c r="W209"/>
    </row>
    <row r="210" spans="10:23" s="1" customFormat="1" x14ac:dyDescent="0.2">
      <c r="J210"/>
      <c r="K210"/>
      <c r="L210"/>
      <c r="M210"/>
      <c r="N210" s="392"/>
      <c r="O210" s="2"/>
      <c r="S210"/>
      <c r="T210"/>
      <c r="U210"/>
      <c r="W210"/>
    </row>
    <row r="211" spans="10:23" s="1" customFormat="1" x14ac:dyDescent="0.2">
      <c r="J211"/>
      <c r="K211"/>
      <c r="L211"/>
      <c r="M211"/>
      <c r="N211" s="392"/>
      <c r="O211" s="2"/>
      <c r="S211"/>
      <c r="T211"/>
      <c r="U211"/>
      <c r="W211"/>
    </row>
    <row r="212" spans="10:23" s="1" customFormat="1" x14ac:dyDescent="0.2">
      <c r="J212"/>
      <c r="K212"/>
      <c r="L212"/>
      <c r="M212"/>
      <c r="N212" s="392"/>
      <c r="O212" s="2"/>
      <c r="S212"/>
      <c r="T212"/>
      <c r="U212"/>
      <c r="W212"/>
    </row>
    <row r="213" spans="10:23" s="1" customFormat="1" x14ac:dyDescent="0.2">
      <c r="J213"/>
      <c r="K213"/>
      <c r="L213"/>
      <c r="M213"/>
      <c r="N213" s="392"/>
      <c r="O213" s="2"/>
      <c r="S213"/>
      <c r="T213"/>
      <c r="U213"/>
      <c r="W213"/>
    </row>
    <row r="214" spans="10:23" s="1" customFormat="1" x14ac:dyDescent="0.2">
      <c r="J214"/>
      <c r="K214"/>
      <c r="L214"/>
      <c r="M214"/>
      <c r="N214" s="392"/>
      <c r="O214" s="2"/>
      <c r="S214"/>
      <c r="T214"/>
      <c r="U214"/>
      <c r="W214"/>
    </row>
    <row r="215" spans="10:23" s="1" customFormat="1" x14ac:dyDescent="0.2">
      <c r="J215"/>
      <c r="K215"/>
      <c r="L215"/>
      <c r="M215"/>
      <c r="N215" s="392"/>
      <c r="O215" s="2"/>
      <c r="S215"/>
      <c r="T215"/>
      <c r="U215"/>
      <c r="W215"/>
    </row>
    <row r="216" spans="10:23" s="1" customFormat="1" x14ac:dyDescent="0.2">
      <c r="J216"/>
      <c r="K216"/>
      <c r="L216"/>
      <c r="M216"/>
      <c r="N216" s="392"/>
      <c r="O216" s="2"/>
      <c r="S216"/>
      <c r="T216"/>
      <c r="U216"/>
      <c r="W216"/>
    </row>
    <row r="217" spans="10:23" s="1" customFormat="1" x14ac:dyDescent="0.2">
      <c r="J217"/>
      <c r="K217"/>
      <c r="L217"/>
      <c r="M217"/>
      <c r="N217" s="392"/>
      <c r="O217" s="2"/>
      <c r="S217"/>
      <c r="T217"/>
      <c r="U217"/>
      <c r="W217"/>
    </row>
    <row r="218" spans="10:23" s="1" customFormat="1" x14ac:dyDescent="0.2">
      <c r="J218"/>
      <c r="K218"/>
      <c r="L218"/>
      <c r="M218"/>
      <c r="N218" s="392"/>
      <c r="O218" s="2"/>
      <c r="S218"/>
      <c r="T218"/>
      <c r="U218"/>
      <c r="W218"/>
    </row>
    <row r="219" spans="10:23" s="1" customFormat="1" x14ac:dyDescent="0.2">
      <c r="J219"/>
      <c r="K219"/>
      <c r="L219"/>
      <c r="M219"/>
      <c r="N219" s="392"/>
      <c r="O219" s="2"/>
      <c r="S219"/>
      <c r="T219"/>
      <c r="U219"/>
      <c r="W219"/>
    </row>
    <row r="220" spans="10:23" s="1" customFormat="1" x14ac:dyDescent="0.2">
      <c r="J220"/>
      <c r="K220"/>
      <c r="L220"/>
      <c r="M220"/>
      <c r="N220" s="392"/>
      <c r="O220" s="2"/>
      <c r="S220"/>
      <c r="T220"/>
      <c r="U220"/>
      <c r="W220"/>
    </row>
    <row r="221" spans="10:23" s="1" customFormat="1" x14ac:dyDescent="0.2">
      <c r="J221"/>
      <c r="K221"/>
      <c r="L221"/>
      <c r="M221"/>
      <c r="N221" s="392"/>
      <c r="O221" s="2"/>
      <c r="S221"/>
      <c r="T221"/>
      <c r="U221"/>
      <c r="W221"/>
    </row>
    <row r="222" spans="10:23" s="1" customFormat="1" x14ac:dyDescent="0.2">
      <c r="J222"/>
      <c r="K222"/>
      <c r="L222"/>
      <c r="M222"/>
      <c r="N222" s="392"/>
      <c r="O222" s="2"/>
      <c r="S222"/>
      <c r="T222"/>
      <c r="U222"/>
      <c r="W222"/>
    </row>
    <row r="223" spans="10:23" s="1" customFormat="1" x14ac:dyDescent="0.2">
      <c r="J223"/>
      <c r="K223"/>
      <c r="L223"/>
      <c r="M223"/>
      <c r="N223" s="392"/>
      <c r="O223" s="2"/>
      <c r="S223"/>
      <c r="T223"/>
      <c r="U223"/>
      <c r="W223"/>
    </row>
    <row r="224" spans="10:23" s="1" customFormat="1" x14ac:dyDescent="0.2">
      <c r="J224"/>
      <c r="K224"/>
      <c r="L224"/>
      <c r="M224"/>
      <c r="N224" s="392"/>
      <c r="O224" s="2"/>
      <c r="S224"/>
      <c r="T224"/>
      <c r="U224"/>
      <c r="W224"/>
    </row>
    <row r="225" spans="10:23" s="1" customFormat="1" x14ac:dyDescent="0.2">
      <c r="J225"/>
      <c r="K225"/>
      <c r="L225"/>
      <c r="M225"/>
      <c r="N225" s="392"/>
      <c r="O225" s="2"/>
      <c r="S225"/>
      <c r="T225"/>
      <c r="U225"/>
      <c r="W225"/>
    </row>
    <row r="226" spans="10:23" s="1" customFormat="1" x14ac:dyDescent="0.2">
      <c r="J226"/>
      <c r="K226"/>
      <c r="L226"/>
      <c r="M226"/>
      <c r="N226" s="392"/>
      <c r="O226" s="2"/>
      <c r="S226"/>
      <c r="T226"/>
      <c r="U226"/>
      <c r="W226"/>
    </row>
    <row r="227" spans="10:23" s="1" customFormat="1" x14ac:dyDescent="0.2">
      <c r="J227"/>
      <c r="K227"/>
      <c r="L227"/>
      <c r="M227"/>
      <c r="N227" s="392"/>
      <c r="O227" s="2"/>
      <c r="S227"/>
      <c r="T227"/>
      <c r="U227"/>
      <c r="W227"/>
    </row>
    <row r="228" spans="10:23" s="1" customFormat="1" x14ac:dyDescent="0.2">
      <c r="J228"/>
      <c r="K228"/>
      <c r="L228"/>
      <c r="M228"/>
      <c r="N228" s="392"/>
      <c r="O228" s="2"/>
      <c r="S228"/>
      <c r="T228"/>
      <c r="U228"/>
      <c r="W228"/>
    </row>
    <row r="229" spans="10:23" s="1" customFormat="1" x14ac:dyDescent="0.2">
      <c r="J229"/>
      <c r="K229"/>
      <c r="L229"/>
      <c r="M229"/>
      <c r="N229" s="392"/>
      <c r="O229" s="2"/>
      <c r="S229"/>
      <c r="T229"/>
      <c r="U229"/>
      <c r="W229"/>
    </row>
    <row r="230" spans="10:23" s="1" customFormat="1" x14ac:dyDescent="0.2">
      <c r="J230"/>
      <c r="K230"/>
      <c r="L230"/>
      <c r="M230"/>
      <c r="N230" s="392"/>
      <c r="O230" s="2"/>
      <c r="S230"/>
      <c r="T230"/>
      <c r="U230"/>
      <c r="W230"/>
    </row>
    <row r="231" spans="10:23" s="1" customFormat="1" x14ac:dyDescent="0.2">
      <c r="J231"/>
      <c r="K231"/>
      <c r="L231"/>
      <c r="M231"/>
      <c r="N231" s="392"/>
      <c r="O231" s="2"/>
      <c r="S231"/>
      <c r="T231"/>
      <c r="U231"/>
      <c r="W231"/>
    </row>
    <row r="232" spans="10:23" s="1" customFormat="1" x14ac:dyDescent="0.2">
      <c r="J232"/>
      <c r="K232"/>
      <c r="L232"/>
      <c r="M232"/>
      <c r="N232" s="392"/>
      <c r="O232" s="2"/>
      <c r="S232"/>
      <c r="T232"/>
      <c r="U232"/>
      <c r="W232"/>
    </row>
    <row r="233" spans="10:23" s="1" customFormat="1" x14ac:dyDescent="0.2">
      <c r="J233"/>
      <c r="K233"/>
      <c r="L233"/>
      <c r="M233"/>
      <c r="N233" s="392"/>
      <c r="O233" s="2"/>
      <c r="S233"/>
      <c r="T233"/>
      <c r="U233"/>
      <c r="W233"/>
    </row>
    <row r="234" spans="10:23" s="1" customFormat="1" x14ac:dyDescent="0.2">
      <c r="J234"/>
      <c r="K234"/>
      <c r="L234"/>
      <c r="M234"/>
      <c r="N234" s="392"/>
      <c r="O234" s="2"/>
      <c r="S234"/>
      <c r="T234"/>
      <c r="U234"/>
      <c r="W234"/>
    </row>
    <row r="235" spans="10:23" s="1" customFormat="1" x14ac:dyDescent="0.2">
      <c r="J235"/>
      <c r="K235"/>
      <c r="L235"/>
      <c r="M235"/>
      <c r="N235" s="392"/>
      <c r="O235" s="2"/>
      <c r="S235"/>
      <c r="T235"/>
      <c r="U235"/>
      <c r="W235"/>
    </row>
    <row r="236" spans="10:23" s="1" customFormat="1" x14ac:dyDescent="0.2">
      <c r="J236"/>
      <c r="K236"/>
      <c r="L236"/>
      <c r="M236"/>
      <c r="N236" s="392"/>
      <c r="O236" s="2"/>
      <c r="S236"/>
      <c r="T236"/>
      <c r="U236"/>
      <c r="W236"/>
    </row>
    <row r="237" spans="10:23" s="1" customFormat="1" x14ac:dyDescent="0.2">
      <c r="J237"/>
      <c r="K237"/>
      <c r="L237"/>
      <c r="M237"/>
      <c r="N237" s="392"/>
      <c r="O237" s="2"/>
      <c r="S237"/>
      <c r="T237"/>
      <c r="U237"/>
      <c r="W237"/>
    </row>
    <row r="238" spans="10:23" s="1" customFormat="1" x14ac:dyDescent="0.2">
      <c r="J238"/>
      <c r="K238"/>
      <c r="L238"/>
      <c r="M238"/>
      <c r="N238" s="392"/>
      <c r="O238" s="2"/>
      <c r="S238"/>
      <c r="T238"/>
      <c r="U238"/>
      <c r="W238"/>
    </row>
    <row r="239" spans="10:23" s="1" customFormat="1" x14ac:dyDescent="0.2">
      <c r="J239"/>
      <c r="K239"/>
      <c r="L239"/>
      <c r="M239"/>
      <c r="N239" s="392"/>
      <c r="O239" s="2"/>
      <c r="S239"/>
      <c r="T239"/>
      <c r="U239"/>
      <c r="W239"/>
    </row>
    <row r="240" spans="10:23" s="1" customFormat="1" x14ac:dyDescent="0.2">
      <c r="J240"/>
      <c r="K240"/>
      <c r="L240"/>
      <c r="M240"/>
      <c r="N240" s="392"/>
      <c r="O240" s="2"/>
      <c r="S240"/>
      <c r="T240"/>
      <c r="U240"/>
      <c r="W240"/>
    </row>
    <row r="241" spans="10:23" s="1" customFormat="1" x14ac:dyDescent="0.2">
      <c r="J241"/>
      <c r="K241"/>
      <c r="L241"/>
      <c r="M241"/>
      <c r="N241" s="392"/>
      <c r="O241" s="2"/>
      <c r="S241"/>
      <c r="T241"/>
      <c r="U241"/>
      <c r="W241"/>
    </row>
    <row r="242" spans="10:23" s="1" customFormat="1" x14ac:dyDescent="0.2">
      <c r="J242"/>
      <c r="K242"/>
      <c r="L242"/>
      <c r="M242"/>
      <c r="N242" s="392"/>
      <c r="O242" s="2"/>
      <c r="S242"/>
      <c r="T242"/>
      <c r="U242"/>
      <c r="W242"/>
    </row>
    <row r="243" spans="10:23" s="1" customFormat="1" x14ac:dyDescent="0.2">
      <c r="J243"/>
      <c r="K243"/>
      <c r="L243"/>
      <c r="M243"/>
      <c r="N243" s="392"/>
      <c r="O243" s="2"/>
      <c r="S243"/>
      <c r="T243"/>
      <c r="U243"/>
      <c r="W243"/>
    </row>
    <row r="244" spans="10:23" s="1" customFormat="1" x14ac:dyDescent="0.2">
      <c r="J244"/>
      <c r="K244"/>
      <c r="L244"/>
      <c r="M244"/>
      <c r="N244" s="392"/>
      <c r="O244" s="2"/>
      <c r="S244"/>
      <c r="T244"/>
      <c r="U244"/>
      <c r="W244"/>
    </row>
    <row r="245" spans="10:23" s="1" customFormat="1" x14ac:dyDescent="0.2">
      <c r="J245"/>
      <c r="K245"/>
      <c r="L245"/>
      <c r="M245"/>
      <c r="N245" s="392"/>
      <c r="O245" s="2"/>
      <c r="S245"/>
      <c r="T245"/>
      <c r="U245"/>
      <c r="W245"/>
    </row>
    <row r="246" spans="10:23" s="1" customFormat="1" x14ac:dyDescent="0.2">
      <c r="J246"/>
      <c r="K246"/>
      <c r="L246"/>
      <c r="M246"/>
      <c r="N246" s="392"/>
      <c r="O246" s="2"/>
      <c r="S246"/>
      <c r="T246"/>
      <c r="U246"/>
      <c r="W246"/>
    </row>
    <row r="247" spans="10:23" s="1" customFormat="1" x14ac:dyDescent="0.2">
      <c r="J247"/>
      <c r="K247"/>
      <c r="L247"/>
      <c r="M247"/>
      <c r="N247" s="392"/>
      <c r="O247" s="2"/>
      <c r="S247"/>
      <c r="T247"/>
      <c r="U247"/>
      <c r="W247"/>
    </row>
    <row r="248" spans="10:23" s="1" customFormat="1" x14ac:dyDescent="0.2">
      <c r="J248"/>
      <c r="K248"/>
      <c r="L248"/>
      <c r="M248"/>
      <c r="N248" s="392"/>
      <c r="O248" s="2"/>
      <c r="S248"/>
      <c r="T248"/>
      <c r="U248"/>
      <c r="W248"/>
    </row>
    <row r="249" spans="10:23" s="1" customFormat="1" x14ac:dyDescent="0.2">
      <c r="J249"/>
      <c r="K249"/>
      <c r="L249"/>
      <c r="M249"/>
      <c r="N249" s="392"/>
      <c r="O249" s="2"/>
      <c r="S249"/>
      <c r="T249"/>
      <c r="U249"/>
      <c r="W249"/>
    </row>
    <row r="250" spans="10:23" s="1" customFormat="1" x14ac:dyDescent="0.2">
      <c r="J250"/>
      <c r="K250"/>
      <c r="L250"/>
      <c r="M250"/>
      <c r="N250" s="392"/>
      <c r="O250" s="2"/>
      <c r="S250"/>
      <c r="T250"/>
      <c r="U250"/>
      <c r="W250"/>
    </row>
    <row r="251" spans="10:23" s="1" customFormat="1" x14ac:dyDescent="0.2">
      <c r="J251"/>
      <c r="K251"/>
      <c r="L251"/>
      <c r="M251"/>
      <c r="N251" s="392"/>
      <c r="O251" s="2"/>
      <c r="S251"/>
      <c r="T251"/>
      <c r="U251"/>
      <c r="W251"/>
    </row>
    <row r="252" spans="10:23" s="1" customFormat="1" x14ac:dyDescent="0.2">
      <c r="J252"/>
      <c r="K252"/>
      <c r="L252"/>
      <c r="M252"/>
      <c r="N252" s="392"/>
      <c r="O252" s="2"/>
      <c r="S252"/>
      <c r="T252"/>
      <c r="U252"/>
      <c r="W252"/>
    </row>
    <row r="253" spans="10:23" s="1" customFormat="1" x14ac:dyDescent="0.2">
      <c r="J253"/>
      <c r="K253"/>
      <c r="L253"/>
      <c r="M253"/>
      <c r="N253" s="392"/>
      <c r="O253" s="2"/>
      <c r="S253"/>
      <c r="T253"/>
      <c r="U253"/>
      <c r="W253"/>
    </row>
    <row r="254" spans="10:23" s="1" customFormat="1" x14ac:dyDescent="0.2">
      <c r="J254"/>
      <c r="K254"/>
      <c r="L254"/>
      <c r="M254"/>
      <c r="N254" s="392"/>
      <c r="O254" s="2"/>
      <c r="S254"/>
      <c r="T254"/>
      <c r="U254"/>
      <c r="W254"/>
    </row>
    <row r="255" spans="10:23" s="1" customFormat="1" x14ac:dyDescent="0.2">
      <c r="J255"/>
      <c r="K255"/>
      <c r="L255"/>
      <c r="M255"/>
      <c r="N255" s="392"/>
      <c r="O255" s="2"/>
      <c r="S255"/>
      <c r="T255"/>
      <c r="U255"/>
      <c r="W255"/>
    </row>
    <row r="256" spans="10:23" s="1" customFormat="1" x14ac:dyDescent="0.2">
      <c r="J256"/>
      <c r="K256"/>
      <c r="L256"/>
      <c r="M256"/>
      <c r="N256" s="392"/>
      <c r="O256" s="2"/>
      <c r="S256"/>
      <c r="T256"/>
      <c r="U256"/>
      <c r="W256"/>
    </row>
    <row r="257" spans="10:23" s="1" customFormat="1" x14ac:dyDescent="0.2">
      <c r="J257"/>
      <c r="K257"/>
      <c r="L257"/>
      <c r="M257"/>
      <c r="N257" s="392"/>
      <c r="O257" s="2"/>
      <c r="S257"/>
      <c r="T257"/>
      <c r="U257"/>
      <c r="W257"/>
    </row>
    <row r="258" spans="10:23" s="1" customFormat="1" x14ac:dyDescent="0.2">
      <c r="J258"/>
      <c r="K258"/>
      <c r="L258"/>
      <c r="M258"/>
      <c r="N258" s="392"/>
      <c r="O258" s="2"/>
      <c r="S258"/>
      <c r="T258"/>
      <c r="U258"/>
      <c r="W258"/>
    </row>
    <row r="259" spans="10:23" s="1" customFormat="1" x14ac:dyDescent="0.2">
      <c r="J259"/>
      <c r="K259"/>
      <c r="L259"/>
      <c r="M259"/>
      <c r="N259" s="392"/>
      <c r="O259" s="2"/>
      <c r="S259"/>
      <c r="T259"/>
      <c r="U259"/>
      <c r="W259"/>
    </row>
    <row r="260" spans="10:23" s="1" customFormat="1" x14ac:dyDescent="0.2">
      <c r="J260"/>
      <c r="K260"/>
      <c r="L260"/>
      <c r="M260"/>
      <c r="N260" s="392"/>
      <c r="O260" s="2"/>
      <c r="S260"/>
      <c r="T260"/>
      <c r="U260"/>
      <c r="W260"/>
    </row>
    <row r="261" spans="10:23" s="1" customFormat="1" x14ac:dyDescent="0.2">
      <c r="J261"/>
      <c r="K261"/>
      <c r="L261"/>
      <c r="M261"/>
      <c r="N261" s="392"/>
      <c r="O261" s="2"/>
      <c r="S261"/>
      <c r="T261"/>
      <c r="U261"/>
      <c r="W261"/>
    </row>
    <row r="262" spans="10:23" s="1" customFormat="1" x14ac:dyDescent="0.2">
      <c r="J262"/>
      <c r="K262"/>
      <c r="L262"/>
      <c r="M262"/>
      <c r="N262" s="392"/>
      <c r="O262" s="2"/>
      <c r="S262"/>
      <c r="T262"/>
      <c r="U262"/>
      <c r="W262"/>
    </row>
    <row r="263" spans="10:23" s="1" customFormat="1" x14ac:dyDescent="0.2">
      <c r="J263"/>
      <c r="K263"/>
      <c r="L263"/>
      <c r="M263"/>
      <c r="N263" s="392"/>
      <c r="O263" s="2"/>
      <c r="S263"/>
      <c r="T263"/>
      <c r="U263"/>
      <c r="W263"/>
    </row>
    <row r="264" spans="10:23" s="1" customFormat="1" x14ac:dyDescent="0.2">
      <c r="J264"/>
      <c r="K264"/>
      <c r="L264"/>
      <c r="M264"/>
      <c r="N264" s="392"/>
      <c r="O264" s="2"/>
      <c r="S264"/>
      <c r="T264"/>
      <c r="U264"/>
      <c r="W264"/>
    </row>
    <row r="265" spans="10:23" s="1" customFormat="1" x14ac:dyDescent="0.2">
      <c r="J265"/>
      <c r="K265"/>
      <c r="L265"/>
      <c r="M265"/>
      <c r="N265" s="392"/>
      <c r="O265" s="2"/>
      <c r="S265"/>
      <c r="T265"/>
      <c r="U265"/>
      <c r="W265"/>
    </row>
    <row r="266" spans="10:23" s="1" customFormat="1" x14ac:dyDescent="0.2">
      <c r="J266"/>
      <c r="K266"/>
      <c r="L266"/>
      <c r="M266"/>
      <c r="N266" s="392"/>
      <c r="O266" s="2"/>
      <c r="S266"/>
      <c r="T266"/>
      <c r="U266"/>
      <c r="W266"/>
    </row>
    <row r="267" spans="10:23" s="1" customFormat="1" x14ac:dyDescent="0.2">
      <c r="J267"/>
      <c r="K267"/>
      <c r="L267"/>
      <c r="M267"/>
      <c r="N267" s="392"/>
      <c r="O267" s="2"/>
      <c r="S267"/>
      <c r="T267"/>
      <c r="U267"/>
      <c r="W267"/>
    </row>
    <row r="268" spans="10:23" s="1" customFormat="1" x14ac:dyDescent="0.2">
      <c r="J268"/>
      <c r="K268"/>
      <c r="L268"/>
      <c r="M268"/>
      <c r="N268" s="392"/>
      <c r="O268" s="2"/>
      <c r="S268"/>
      <c r="T268"/>
      <c r="U268"/>
      <c r="W268"/>
    </row>
    <row r="269" spans="10:23" s="1" customFormat="1" x14ac:dyDescent="0.2">
      <c r="J269"/>
      <c r="K269"/>
      <c r="L269"/>
      <c r="M269"/>
      <c r="N269" s="392"/>
      <c r="O269" s="2"/>
      <c r="S269"/>
      <c r="T269"/>
      <c r="U269"/>
      <c r="W269"/>
    </row>
    <row r="270" spans="10:23" s="1" customFormat="1" x14ac:dyDescent="0.2">
      <c r="J270"/>
      <c r="K270"/>
      <c r="L270"/>
      <c r="M270"/>
      <c r="N270" s="392"/>
      <c r="O270" s="2"/>
      <c r="S270"/>
      <c r="T270"/>
      <c r="U270"/>
      <c r="W270"/>
    </row>
    <row r="271" spans="10:23" s="1" customFormat="1" x14ac:dyDescent="0.2">
      <c r="J271"/>
      <c r="K271"/>
      <c r="L271"/>
      <c r="M271"/>
      <c r="N271" s="392"/>
      <c r="O271" s="2"/>
      <c r="S271"/>
      <c r="T271"/>
      <c r="U271"/>
      <c r="W271"/>
    </row>
    <row r="272" spans="10:23" s="1" customFormat="1" x14ac:dyDescent="0.2">
      <c r="J272"/>
      <c r="K272"/>
      <c r="L272"/>
      <c r="M272"/>
      <c r="N272" s="392"/>
      <c r="O272" s="2"/>
      <c r="S272"/>
      <c r="T272"/>
      <c r="U272"/>
      <c r="W272"/>
    </row>
    <row r="273" spans="10:23" s="1" customFormat="1" x14ac:dyDescent="0.2">
      <c r="J273"/>
      <c r="K273"/>
      <c r="L273"/>
      <c r="M273"/>
      <c r="N273" s="392"/>
      <c r="O273" s="2"/>
      <c r="S273"/>
      <c r="T273"/>
      <c r="U273"/>
      <c r="W273"/>
    </row>
    <row r="274" spans="10:23" s="1" customFormat="1" x14ac:dyDescent="0.2">
      <c r="J274"/>
      <c r="K274"/>
      <c r="L274"/>
      <c r="M274"/>
      <c r="N274" s="392"/>
      <c r="O274" s="2"/>
      <c r="S274"/>
      <c r="T274"/>
      <c r="U274"/>
      <c r="W274"/>
    </row>
    <row r="275" spans="10:23" s="1" customFormat="1" x14ac:dyDescent="0.2">
      <c r="J275"/>
      <c r="K275"/>
      <c r="L275"/>
      <c r="M275"/>
      <c r="N275" s="392"/>
      <c r="O275" s="2"/>
      <c r="S275"/>
      <c r="T275"/>
      <c r="U275"/>
      <c r="W275"/>
    </row>
    <row r="276" spans="10:23" s="1" customFormat="1" x14ac:dyDescent="0.2">
      <c r="J276"/>
      <c r="K276"/>
      <c r="L276"/>
      <c r="M276"/>
      <c r="N276" s="392"/>
      <c r="O276" s="2"/>
      <c r="S276"/>
      <c r="T276"/>
      <c r="U276"/>
      <c r="W276"/>
    </row>
    <row r="277" spans="10:23" s="1" customFormat="1" x14ac:dyDescent="0.2">
      <c r="J277"/>
      <c r="K277"/>
      <c r="L277"/>
      <c r="M277"/>
      <c r="N277" s="392"/>
      <c r="O277" s="2"/>
      <c r="S277"/>
      <c r="T277"/>
      <c r="U277"/>
      <c r="W277"/>
    </row>
    <row r="278" spans="10:23" s="1" customFormat="1" x14ac:dyDescent="0.2">
      <c r="J278"/>
      <c r="K278"/>
      <c r="L278"/>
      <c r="M278"/>
      <c r="N278" s="392"/>
      <c r="O278" s="2"/>
      <c r="S278"/>
      <c r="T278"/>
      <c r="U278"/>
      <c r="W278"/>
    </row>
    <row r="279" spans="10:23" s="1" customFormat="1" x14ac:dyDescent="0.2">
      <c r="J279"/>
      <c r="K279"/>
      <c r="L279"/>
      <c r="M279"/>
      <c r="N279" s="392"/>
      <c r="O279" s="2"/>
      <c r="S279"/>
      <c r="T279"/>
      <c r="U279"/>
      <c r="W279"/>
    </row>
    <row r="280" spans="10:23" s="1" customFormat="1" x14ac:dyDescent="0.2">
      <c r="J280"/>
      <c r="K280"/>
      <c r="L280"/>
      <c r="M280"/>
      <c r="N280" s="392"/>
      <c r="O280" s="2"/>
      <c r="S280"/>
      <c r="T280"/>
      <c r="U280"/>
      <c r="W280"/>
    </row>
    <row r="281" spans="10:23" s="1" customFormat="1" x14ac:dyDescent="0.2">
      <c r="J281"/>
      <c r="K281"/>
      <c r="L281"/>
      <c r="M281"/>
      <c r="N281" s="392"/>
      <c r="O281" s="2"/>
      <c r="S281"/>
      <c r="T281"/>
      <c r="U281"/>
      <c r="W281"/>
    </row>
    <row r="282" spans="10:23" s="1" customFormat="1" x14ac:dyDescent="0.2">
      <c r="J282"/>
      <c r="K282"/>
      <c r="L282"/>
      <c r="M282"/>
      <c r="N282" s="392"/>
      <c r="O282" s="2"/>
      <c r="S282"/>
      <c r="T282"/>
      <c r="U282"/>
      <c r="W282"/>
    </row>
    <row r="283" spans="10:23" s="1" customFormat="1" x14ac:dyDescent="0.2">
      <c r="J283"/>
      <c r="K283"/>
      <c r="L283"/>
      <c r="M283"/>
      <c r="N283" s="392"/>
      <c r="O283" s="2"/>
      <c r="S283"/>
      <c r="T283"/>
      <c r="U283"/>
      <c r="W283"/>
    </row>
    <row r="284" spans="10:23" s="1" customFormat="1" x14ac:dyDescent="0.2">
      <c r="J284"/>
      <c r="K284"/>
      <c r="L284"/>
      <c r="M284"/>
      <c r="N284" s="392"/>
      <c r="O284" s="2"/>
      <c r="S284"/>
      <c r="T284"/>
      <c r="U284"/>
      <c r="W284"/>
    </row>
    <row r="285" spans="10:23" s="1" customFormat="1" x14ac:dyDescent="0.2">
      <c r="J285"/>
      <c r="K285"/>
      <c r="L285"/>
      <c r="M285"/>
      <c r="N285" s="392"/>
      <c r="O285" s="2"/>
      <c r="S285"/>
      <c r="T285"/>
      <c r="U285"/>
      <c r="W285"/>
    </row>
    <row r="286" spans="10:23" s="1" customFormat="1" x14ac:dyDescent="0.2">
      <c r="J286"/>
      <c r="K286"/>
      <c r="L286"/>
      <c r="M286"/>
      <c r="N286" s="392"/>
      <c r="O286" s="2"/>
      <c r="S286"/>
      <c r="T286"/>
      <c r="U286"/>
      <c r="W286"/>
    </row>
    <row r="287" spans="10:23" s="1" customFormat="1" x14ac:dyDescent="0.2">
      <c r="J287"/>
      <c r="K287"/>
      <c r="L287"/>
      <c r="M287"/>
      <c r="N287" s="392"/>
      <c r="O287" s="2"/>
      <c r="S287"/>
      <c r="T287"/>
      <c r="U287"/>
      <c r="W287"/>
    </row>
    <row r="288" spans="10:23" s="1" customFormat="1" x14ac:dyDescent="0.2">
      <c r="J288"/>
      <c r="K288"/>
      <c r="L288"/>
      <c r="M288"/>
      <c r="N288" s="392"/>
      <c r="O288" s="2"/>
      <c r="S288"/>
      <c r="T288"/>
      <c r="U288"/>
      <c r="W288"/>
    </row>
    <row r="289" spans="10:23" s="1" customFormat="1" x14ac:dyDescent="0.2">
      <c r="J289"/>
      <c r="K289"/>
      <c r="L289"/>
      <c r="M289"/>
      <c r="N289" s="392"/>
      <c r="O289" s="2"/>
      <c r="S289"/>
      <c r="T289"/>
      <c r="U289"/>
      <c r="W289"/>
    </row>
    <row r="290" spans="10:23" s="1" customFormat="1" x14ac:dyDescent="0.2">
      <c r="J290"/>
      <c r="K290"/>
      <c r="L290"/>
      <c r="M290"/>
      <c r="N290" s="392"/>
      <c r="O290" s="2"/>
      <c r="S290"/>
      <c r="T290"/>
      <c r="U290"/>
      <c r="W290"/>
    </row>
    <row r="291" spans="10:23" s="1" customFormat="1" x14ac:dyDescent="0.2">
      <c r="J291"/>
      <c r="K291"/>
      <c r="L291"/>
      <c r="M291"/>
      <c r="N291" s="392"/>
      <c r="O291" s="2"/>
      <c r="S291"/>
      <c r="T291"/>
      <c r="U291"/>
      <c r="W291"/>
    </row>
    <row r="292" spans="10:23" s="1" customFormat="1" x14ac:dyDescent="0.2">
      <c r="J292"/>
      <c r="K292"/>
      <c r="L292"/>
      <c r="M292"/>
      <c r="N292" s="392"/>
      <c r="O292" s="2"/>
      <c r="S292"/>
      <c r="T292"/>
      <c r="U292"/>
      <c r="W292"/>
    </row>
    <row r="293" spans="10:23" s="1" customFormat="1" x14ac:dyDescent="0.2">
      <c r="J293"/>
      <c r="K293"/>
      <c r="L293"/>
      <c r="M293"/>
      <c r="N293" s="392"/>
      <c r="O293" s="2"/>
      <c r="S293"/>
      <c r="T293"/>
      <c r="U293"/>
      <c r="W293"/>
    </row>
    <row r="294" spans="10:23" s="1" customFormat="1" x14ac:dyDescent="0.2">
      <c r="J294"/>
      <c r="K294"/>
      <c r="L294"/>
      <c r="M294"/>
      <c r="N294" s="392"/>
      <c r="O294" s="2"/>
      <c r="S294"/>
      <c r="T294"/>
      <c r="U294"/>
      <c r="W294"/>
    </row>
    <row r="295" spans="10:23" s="1" customFormat="1" x14ac:dyDescent="0.2">
      <c r="J295"/>
      <c r="K295"/>
      <c r="L295"/>
      <c r="M295"/>
      <c r="N295" s="392"/>
      <c r="O295" s="2"/>
      <c r="S295"/>
      <c r="T295"/>
      <c r="U295"/>
      <c r="W295"/>
    </row>
    <row r="296" spans="10:23" s="1" customFormat="1" x14ac:dyDescent="0.2">
      <c r="J296"/>
      <c r="K296"/>
      <c r="L296"/>
      <c r="M296"/>
      <c r="N296" s="392"/>
      <c r="O296" s="2"/>
      <c r="S296"/>
      <c r="T296"/>
      <c r="U296"/>
      <c r="W296"/>
    </row>
    <row r="297" spans="10:23" s="1" customFormat="1" x14ac:dyDescent="0.2">
      <c r="J297"/>
      <c r="K297"/>
      <c r="L297"/>
      <c r="M297"/>
      <c r="N297" s="392"/>
      <c r="O297" s="2"/>
      <c r="S297"/>
      <c r="T297"/>
      <c r="U297"/>
      <c r="W297"/>
    </row>
    <row r="298" spans="10:23" s="1" customFormat="1" x14ac:dyDescent="0.2">
      <c r="J298"/>
      <c r="K298"/>
      <c r="L298"/>
      <c r="M298"/>
      <c r="N298" s="392"/>
      <c r="O298" s="2"/>
      <c r="S298"/>
      <c r="T298"/>
      <c r="U298"/>
      <c r="W298"/>
    </row>
    <row r="299" spans="10:23" s="1" customFormat="1" x14ac:dyDescent="0.2">
      <c r="J299"/>
      <c r="K299"/>
      <c r="L299"/>
      <c r="M299"/>
      <c r="N299" s="392"/>
      <c r="O299" s="2"/>
      <c r="S299"/>
      <c r="T299"/>
      <c r="U299"/>
      <c r="W299"/>
    </row>
    <row r="300" spans="10:23" s="1" customFormat="1" x14ac:dyDescent="0.2">
      <c r="J300"/>
      <c r="K300"/>
      <c r="L300"/>
      <c r="M300"/>
      <c r="N300" s="392"/>
      <c r="O300" s="2"/>
      <c r="S300"/>
      <c r="T300"/>
      <c r="U300"/>
      <c r="W300"/>
    </row>
    <row r="301" spans="10:23" s="1" customFormat="1" x14ac:dyDescent="0.2">
      <c r="J301"/>
      <c r="K301"/>
      <c r="L301"/>
      <c r="M301"/>
      <c r="N301" s="392"/>
      <c r="O301" s="2"/>
      <c r="S301"/>
      <c r="T301"/>
      <c r="U301"/>
      <c r="W301"/>
    </row>
    <row r="302" spans="10:23" s="1" customFormat="1" x14ac:dyDescent="0.2">
      <c r="J302"/>
      <c r="K302"/>
      <c r="L302"/>
      <c r="M302"/>
      <c r="N302" s="392"/>
      <c r="O302" s="2"/>
      <c r="S302"/>
      <c r="T302"/>
      <c r="U302"/>
      <c r="W302"/>
    </row>
    <row r="303" spans="10:23" s="1" customFormat="1" x14ac:dyDescent="0.2">
      <c r="J303"/>
      <c r="K303"/>
      <c r="L303"/>
      <c r="M303"/>
      <c r="N303" s="392"/>
      <c r="O303" s="2"/>
      <c r="S303"/>
      <c r="T303"/>
      <c r="U303"/>
      <c r="W303"/>
    </row>
    <row r="304" spans="10:23" s="1" customFormat="1" x14ac:dyDescent="0.2">
      <c r="J304"/>
      <c r="K304"/>
      <c r="L304"/>
      <c r="M304"/>
      <c r="N304" s="392"/>
      <c r="O304" s="2"/>
      <c r="S304"/>
      <c r="T304"/>
      <c r="U304"/>
      <c r="W304"/>
    </row>
    <row r="305" spans="10:23" s="1" customFormat="1" x14ac:dyDescent="0.2">
      <c r="J305"/>
      <c r="K305"/>
      <c r="L305"/>
      <c r="M305"/>
      <c r="N305" s="392"/>
      <c r="O305" s="2"/>
      <c r="S305"/>
      <c r="T305"/>
      <c r="U305"/>
      <c r="W305"/>
    </row>
    <row r="306" spans="10:23" s="1" customFormat="1" x14ac:dyDescent="0.2">
      <c r="J306"/>
      <c r="K306"/>
      <c r="L306"/>
      <c r="M306"/>
      <c r="N306" s="392"/>
      <c r="O306" s="2"/>
      <c r="S306"/>
      <c r="T306"/>
      <c r="U306"/>
      <c r="W306"/>
    </row>
    <row r="307" spans="10:23" s="1" customFormat="1" x14ac:dyDescent="0.2">
      <c r="J307"/>
      <c r="K307"/>
      <c r="L307"/>
      <c r="M307"/>
      <c r="N307" s="392"/>
      <c r="O307" s="2"/>
      <c r="S307"/>
      <c r="T307"/>
      <c r="U307"/>
      <c r="W307"/>
    </row>
    <row r="308" spans="10:23" s="1" customFormat="1" x14ac:dyDescent="0.2">
      <c r="J308"/>
      <c r="K308"/>
      <c r="L308"/>
      <c r="M308"/>
      <c r="N308" s="392"/>
      <c r="O308" s="2"/>
      <c r="S308"/>
      <c r="T308"/>
      <c r="U308"/>
      <c r="W308"/>
    </row>
    <row r="309" spans="10:23" s="1" customFormat="1" x14ac:dyDescent="0.2">
      <c r="J309"/>
      <c r="K309"/>
      <c r="L309"/>
      <c r="M309"/>
      <c r="N309" s="392"/>
      <c r="O309" s="2"/>
      <c r="S309"/>
      <c r="T309"/>
      <c r="U309"/>
      <c r="W309"/>
    </row>
    <row r="310" spans="10:23" s="1" customFormat="1" x14ac:dyDescent="0.2">
      <c r="J310"/>
      <c r="K310"/>
      <c r="L310"/>
      <c r="M310"/>
      <c r="N310" s="392"/>
      <c r="O310" s="2"/>
      <c r="S310"/>
      <c r="T310"/>
      <c r="U310"/>
      <c r="W310"/>
    </row>
    <row r="311" spans="10:23" s="1" customFormat="1" x14ac:dyDescent="0.2">
      <c r="J311"/>
      <c r="K311"/>
      <c r="L311"/>
      <c r="M311"/>
      <c r="N311" s="392"/>
      <c r="O311" s="2"/>
      <c r="S311"/>
      <c r="T311"/>
      <c r="U311"/>
      <c r="W311"/>
    </row>
    <row r="312" spans="10:23" s="1" customFormat="1" x14ac:dyDescent="0.2">
      <c r="J312"/>
      <c r="K312"/>
      <c r="L312"/>
      <c r="M312"/>
      <c r="N312" s="392"/>
      <c r="O312" s="2"/>
      <c r="S312"/>
      <c r="T312"/>
      <c r="U312"/>
      <c r="W312"/>
    </row>
    <row r="313" spans="10:23" s="1" customFormat="1" x14ac:dyDescent="0.2">
      <c r="J313"/>
      <c r="K313"/>
      <c r="L313"/>
      <c r="M313"/>
      <c r="N313" s="392"/>
      <c r="O313" s="2"/>
      <c r="S313"/>
      <c r="T313"/>
      <c r="U313"/>
      <c r="W313"/>
    </row>
    <row r="314" spans="10:23" s="1" customFormat="1" x14ac:dyDescent="0.2">
      <c r="J314"/>
      <c r="K314"/>
      <c r="L314"/>
      <c r="M314"/>
      <c r="N314" s="392"/>
      <c r="O314" s="2"/>
      <c r="S314"/>
      <c r="T314"/>
      <c r="U314"/>
      <c r="W314"/>
    </row>
    <row r="315" spans="10:23" s="1" customFormat="1" x14ac:dyDescent="0.2">
      <c r="J315"/>
      <c r="K315"/>
      <c r="L315"/>
      <c r="M315"/>
      <c r="N315" s="392"/>
      <c r="O315" s="2"/>
      <c r="S315"/>
      <c r="T315"/>
      <c r="U315"/>
      <c r="W315"/>
    </row>
    <row r="316" spans="10:23" s="1" customFormat="1" x14ac:dyDescent="0.2">
      <c r="J316"/>
      <c r="K316"/>
      <c r="L316"/>
      <c r="M316"/>
      <c r="N316" s="392"/>
      <c r="O316" s="2"/>
      <c r="S316"/>
      <c r="T316"/>
      <c r="U316"/>
      <c r="W316"/>
    </row>
    <row r="317" spans="10:23" s="1" customFormat="1" x14ac:dyDescent="0.2">
      <c r="J317"/>
      <c r="K317"/>
      <c r="L317"/>
      <c r="M317"/>
      <c r="N317" s="392"/>
      <c r="O317" s="2"/>
      <c r="S317"/>
      <c r="T317"/>
      <c r="U317"/>
      <c r="W317"/>
    </row>
    <row r="318" spans="10:23" s="1" customFormat="1" x14ac:dyDescent="0.2">
      <c r="J318"/>
      <c r="K318"/>
      <c r="L318"/>
      <c r="M318"/>
      <c r="N318" s="392"/>
      <c r="O318" s="2"/>
      <c r="S318"/>
      <c r="T318"/>
      <c r="U318"/>
      <c r="W318"/>
    </row>
    <row r="319" spans="10:23" s="1" customFormat="1" x14ac:dyDescent="0.2">
      <c r="J319"/>
      <c r="K319"/>
      <c r="L319"/>
      <c r="M319"/>
      <c r="N319" s="392"/>
      <c r="O319" s="2"/>
      <c r="S319"/>
      <c r="T319"/>
      <c r="U319"/>
      <c r="W319"/>
    </row>
    <row r="320" spans="10:23" s="1" customFormat="1" x14ac:dyDescent="0.2">
      <c r="J320"/>
      <c r="K320"/>
      <c r="L320"/>
      <c r="M320"/>
      <c r="N320" s="392"/>
      <c r="O320" s="2"/>
      <c r="S320"/>
      <c r="T320"/>
      <c r="U320"/>
      <c r="W320"/>
    </row>
    <row r="321" spans="10:23" s="1" customFormat="1" x14ac:dyDescent="0.2">
      <c r="J321"/>
      <c r="K321"/>
      <c r="L321"/>
      <c r="M321"/>
      <c r="N321" s="392"/>
      <c r="O321" s="2"/>
      <c r="S321"/>
      <c r="T321"/>
      <c r="U321"/>
      <c r="W321"/>
    </row>
    <row r="322" spans="10:23" s="1" customFormat="1" x14ac:dyDescent="0.2">
      <c r="J322"/>
      <c r="K322"/>
      <c r="L322"/>
      <c r="M322"/>
      <c r="N322" s="392"/>
      <c r="O322" s="2"/>
      <c r="S322"/>
      <c r="T322"/>
      <c r="U322"/>
      <c r="W322"/>
    </row>
    <row r="323" spans="10:23" s="1" customFormat="1" x14ac:dyDescent="0.2">
      <c r="J323"/>
      <c r="K323"/>
      <c r="L323"/>
      <c r="M323"/>
      <c r="N323" s="392"/>
      <c r="O323" s="2"/>
      <c r="S323"/>
      <c r="T323"/>
      <c r="U323"/>
      <c r="W323"/>
    </row>
    <row r="324" spans="10:23" s="1" customFormat="1" x14ac:dyDescent="0.2">
      <c r="J324"/>
      <c r="K324"/>
      <c r="L324"/>
      <c r="M324"/>
      <c r="N324" s="392"/>
      <c r="O324" s="2"/>
      <c r="S324"/>
      <c r="T324"/>
      <c r="U324"/>
      <c r="W324"/>
    </row>
    <row r="325" spans="10:23" s="1" customFormat="1" x14ac:dyDescent="0.2">
      <c r="J325"/>
      <c r="K325"/>
      <c r="L325"/>
      <c r="M325"/>
      <c r="N325" s="392"/>
      <c r="O325" s="2"/>
      <c r="S325"/>
      <c r="T325"/>
      <c r="U325"/>
      <c r="W325"/>
    </row>
    <row r="326" spans="10:23" s="1" customFormat="1" x14ac:dyDescent="0.2">
      <c r="J326"/>
      <c r="K326"/>
      <c r="L326"/>
      <c r="M326"/>
      <c r="N326" s="392"/>
      <c r="O326" s="2"/>
      <c r="S326"/>
      <c r="T326"/>
      <c r="U326"/>
      <c r="W326"/>
    </row>
    <row r="327" spans="10:23" s="1" customFormat="1" x14ac:dyDescent="0.2">
      <c r="J327"/>
      <c r="K327"/>
      <c r="L327"/>
      <c r="M327"/>
      <c r="N327" s="392"/>
      <c r="O327" s="2"/>
      <c r="S327"/>
      <c r="T327"/>
      <c r="U327"/>
      <c r="W327"/>
    </row>
    <row r="328" spans="10:23" s="1" customFormat="1" x14ac:dyDescent="0.2">
      <c r="J328"/>
      <c r="K328"/>
      <c r="L328"/>
      <c r="M328"/>
      <c r="N328" s="392"/>
      <c r="O328" s="2"/>
      <c r="S328"/>
      <c r="T328"/>
      <c r="U328"/>
      <c r="W328"/>
    </row>
    <row r="329" spans="10:23" s="1" customFormat="1" x14ac:dyDescent="0.2">
      <c r="J329"/>
      <c r="K329"/>
      <c r="L329"/>
      <c r="M329"/>
      <c r="N329" s="392"/>
      <c r="O329" s="2"/>
      <c r="S329"/>
      <c r="T329"/>
      <c r="U329"/>
      <c r="W329"/>
    </row>
    <row r="330" spans="10:23" s="1" customFormat="1" x14ac:dyDescent="0.2">
      <c r="J330"/>
      <c r="K330"/>
      <c r="L330"/>
      <c r="M330"/>
      <c r="N330" s="392"/>
      <c r="O330" s="2"/>
      <c r="S330"/>
      <c r="T330"/>
      <c r="U330"/>
      <c r="W330"/>
    </row>
    <row r="331" spans="10:23" s="1" customFormat="1" x14ac:dyDescent="0.2">
      <c r="J331"/>
      <c r="K331"/>
      <c r="L331"/>
      <c r="M331"/>
      <c r="N331" s="392"/>
      <c r="O331" s="2"/>
      <c r="S331"/>
      <c r="T331"/>
      <c r="U331"/>
      <c r="W331"/>
    </row>
    <row r="332" spans="10:23" s="1" customFormat="1" x14ac:dyDescent="0.2">
      <c r="J332"/>
      <c r="K332"/>
      <c r="L332"/>
      <c r="M332"/>
      <c r="N332" s="392"/>
      <c r="O332" s="2"/>
      <c r="S332"/>
      <c r="T332"/>
      <c r="U332"/>
      <c r="W332"/>
    </row>
    <row r="333" spans="10:23" s="1" customFormat="1" x14ac:dyDescent="0.2">
      <c r="J333"/>
      <c r="K333"/>
      <c r="L333"/>
      <c r="M333"/>
      <c r="N333" s="392"/>
      <c r="O333" s="2"/>
      <c r="S333"/>
      <c r="T333"/>
      <c r="U333"/>
      <c r="W333"/>
    </row>
    <row r="334" spans="10:23" s="1" customFormat="1" x14ac:dyDescent="0.2">
      <c r="J334"/>
      <c r="K334"/>
      <c r="L334"/>
      <c r="M334"/>
      <c r="N334" s="392"/>
      <c r="O334" s="2"/>
      <c r="S334"/>
      <c r="T334"/>
      <c r="U334"/>
      <c r="W334"/>
    </row>
    <row r="335" spans="10:23" s="1" customFormat="1" x14ac:dyDescent="0.2">
      <c r="J335"/>
      <c r="K335"/>
      <c r="L335"/>
      <c r="M335"/>
      <c r="N335" s="392"/>
      <c r="O335" s="2"/>
      <c r="S335"/>
      <c r="T335"/>
      <c r="U335"/>
      <c r="W335"/>
    </row>
    <row r="336" spans="10:23" s="1" customFormat="1" x14ac:dyDescent="0.2">
      <c r="J336"/>
      <c r="K336"/>
      <c r="L336"/>
      <c r="M336"/>
      <c r="N336" s="392"/>
      <c r="O336" s="2"/>
      <c r="S336"/>
      <c r="T336"/>
      <c r="U336"/>
      <c r="W336"/>
    </row>
    <row r="337" spans="10:23" s="1" customFormat="1" x14ac:dyDescent="0.2">
      <c r="J337"/>
      <c r="K337"/>
      <c r="L337"/>
      <c r="M337"/>
      <c r="N337" s="392"/>
      <c r="O337" s="2"/>
      <c r="S337"/>
      <c r="T337"/>
      <c r="U337"/>
      <c r="W337"/>
    </row>
    <row r="338" spans="10:23" s="1" customFormat="1" x14ac:dyDescent="0.2">
      <c r="J338"/>
      <c r="K338"/>
      <c r="L338"/>
      <c r="M338"/>
      <c r="N338" s="392"/>
      <c r="O338" s="2"/>
      <c r="S338"/>
      <c r="T338"/>
      <c r="U338"/>
      <c r="W338"/>
    </row>
    <row r="339" spans="10:23" s="1" customFormat="1" x14ac:dyDescent="0.2">
      <c r="J339"/>
      <c r="K339"/>
      <c r="L339"/>
      <c r="M339"/>
      <c r="N339" s="392"/>
      <c r="O339" s="2"/>
      <c r="S339"/>
      <c r="T339"/>
      <c r="U339"/>
      <c r="W339"/>
    </row>
    <row r="340" spans="10:23" s="1" customFormat="1" x14ac:dyDescent="0.2">
      <c r="J340"/>
      <c r="K340"/>
      <c r="L340"/>
      <c r="M340"/>
      <c r="N340" s="392"/>
      <c r="O340" s="2"/>
      <c r="S340"/>
      <c r="T340"/>
      <c r="U340"/>
      <c r="W340"/>
    </row>
    <row r="341" spans="10:23" s="1" customFormat="1" x14ac:dyDescent="0.2">
      <c r="J341"/>
      <c r="K341"/>
      <c r="L341"/>
      <c r="M341"/>
      <c r="N341" s="392"/>
      <c r="O341" s="2"/>
      <c r="S341"/>
      <c r="T341"/>
      <c r="U341"/>
      <c r="W341"/>
    </row>
    <row r="342" spans="10:23" s="1" customFormat="1" x14ac:dyDescent="0.2">
      <c r="J342"/>
      <c r="K342"/>
      <c r="L342"/>
      <c r="M342"/>
      <c r="N342" s="392"/>
      <c r="O342" s="2"/>
      <c r="S342"/>
      <c r="T342"/>
      <c r="U342"/>
      <c r="W342"/>
    </row>
    <row r="343" spans="10:23" s="1" customFormat="1" x14ac:dyDescent="0.2">
      <c r="J343"/>
      <c r="K343"/>
      <c r="L343"/>
      <c r="M343"/>
      <c r="N343" s="392"/>
      <c r="O343" s="2"/>
      <c r="S343"/>
      <c r="T343"/>
      <c r="U343"/>
      <c r="W343"/>
    </row>
    <row r="344" spans="10:23" s="1" customFormat="1" x14ac:dyDescent="0.2">
      <c r="J344"/>
      <c r="K344"/>
      <c r="L344"/>
      <c r="M344"/>
      <c r="N344" s="392"/>
      <c r="O344" s="2"/>
      <c r="S344"/>
      <c r="T344"/>
      <c r="U344"/>
      <c r="W344"/>
    </row>
    <row r="345" spans="10:23" s="1" customFormat="1" x14ac:dyDescent="0.2">
      <c r="J345"/>
      <c r="K345"/>
      <c r="L345"/>
      <c r="M345"/>
      <c r="N345" s="392"/>
      <c r="O345" s="2"/>
      <c r="S345"/>
      <c r="T345"/>
      <c r="U345"/>
      <c r="W345"/>
    </row>
    <row r="346" spans="10:23" s="1" customFormat="1" x14ac:dyDescent="0.2">
      <c r="J346"/>
      <c r="K346"/>
      <c r="L346"/>
      <c r="M346"/>
      <c r="N346" s="392"/>
      <c r="O346" s="2"/>
      <c r="S346"/>
      <c r="T346"/>
      <c r="U346"/>
      <c r="W346"/>
    </row>
    <row r="347" spans="10:23" s="1" customFormat="1" x14ac:dyDescent="0.2">
      <c r="J347"/>
      <c r="K347"/>
      <c r="L347"/>
      <c r="M347"/>
      <c r="N347" s="392"/>
      <c r="O347" s="2"/>
      <c r="S347"/>
      <c r="T347"/>
      <c r="U347"/>
      <c r="W347"/>
    </row>
    <row r="348" spans="10:23" s="1" customFormat="1" x14ac:dyDescent="0.2">
      <c r="J348"/>
      <c r="K348"/>
      <c r="L348"/>
      <c r="M348"/>
      <c r="N348" s="392"/>
      <c r="O348" s="2"/>
      <c r="S348"/>
      <c r="T348"/>
      <c r="U348"/>
      <c r="W348"/>
    </row>
    <row r="349" spans="10:23" s="1" customFormat="1" x14ac:dyDescent="0.2">
      <c r="J349"/>
      <c r="K349"/>
      <c r="L349"/>
      <c r="M349"/>
      <c r="N349" s="392"/>
      <c r="O349" s="2"/>
      <c r="S349"/>
      <c r="T349"/>
      <c r="U349"/>
      <c r="W349"/>
    </row>
    <row r="350" spans="10:23" s="1" customFormat="1" x14ac:dyDescent="0.2">
      <c r="J350"/>
      <c r="K350"/>
      <c r="L350"/>
      <c r="M350"/>
      <c r="N350" s="392"/>
      <c r="O350" s="2"/>
      <c r="S350"/>
      <c r="T350"/>
      <c r="U350"/>
      <c r="W350"/>
    </row>
    <row r="351" spans="10:23" s="1" customFormat="1" x14ac:dyDescent="0.2">
      <c r="J351"/>
      <c r="K351"/>
      <c r="L351"/>
      <c r="M351"/>
      <c r="N351" s="392"/>
      <c r="O351" s="2"/>
      <c r="S351"/>
      <c r="T351"/>
      <c r="U351"/>
      <c r="W351"/>
    </row>
    <row r="352" spans="10:23" s="1" customFormat="1" x14ac:dyDescent="0.2">
      <c r="J352"/>
      <c r="K352"/>
      <c r="L352"/>
      <c r="M352"/>
      <c r="N352" s="392"/>
      <c r="O352" s="2"/>
      <c r="S352"/>
      <c r="T352"/>
      <c r="U352"/>
      <c r="W352"/>
    </row>
    <row r="353" spans="10:23" s="1" customFormat="1" x14ac:dyDescent="0.2">
      <c r="J353"/>
      <c r="K353"/>
      <c r="L353"/>
      <c r="M353"/>
      <c r="N353" s="392"/>
      <c r="O353" s="2"/>
      <c r="S353"/>
      <c r="T353"/>
      <c r="U353"/>
      <c r="W353"/>
    </row>
    <row r="354" spans="10:23" s="1" customFormat="1" x14ac:dyDescent="0.2">
      <c r="J354"/>
      <c r="K354"/>
      <c r="L354"/>
      <c r="M354"/>
      <c r="N354" s="392"/>
      <c r="O354" s="2"/>
      <c r="S354"/>
      <c r="T354"/>
      <c r="U354"/>
      <c r="W354"/>
    </row>
    <row r="355" spans="10:23" s="1" customFormat="1" x14ac:dyDescent="0.2">
      <c r="J355"/>
      <c r="K355"/>
      <c r="L355"/>
      <c r="M355"/>
      <c r="N355" s="392"/>
      <c r="O355" s="2"/>
      <c r="S355"/>
      <c r="T355"/>
      <c r="U355"/>
      <c r="W355"/>
    </row>
    <row r="356" spans="10:23" s="1" customFormat="1" x14ac:dyDescent="0.2">
      <c r="J356"/>
      <c r="K356"/>
      <c r="L356"/>
      <c r="M356"/>
      <c r="N356" s="392"/>
      <c r="O356" s="2"/>
      <c r="S356"/>
      <c r="T356"/>
      <c r="U356"/>
      <c r="W356"/>
    </row>
    <row r="357" spans="10:23" s="1" customFormat="1" x14ac:dyDescent="0.2">
      <c r="J357"/>
      <c r="K357"/>
      <c r="L357"/>
      <c r="M357"/>
      <c r="N357" s="392"/>
      <c r="O357" s="2"/>
      <c r="S357"/>
      <c r="T357"/>
      <c r="U357"/>
      <c r="W357"/>
    </row>
    <row r="358" spans="10:23" s="1" customFormat="1" x14ac:dyDescent="0.2">
      <c r="J358"/>
      <c r="K358"/>
      <c r="L358"/>
      <c r="M358"/>
      <c r="N358" s="392"/>
      <c r="O358" s="2"/>
      <c r="S358"/>
      <c r="T358"/>
      <c r="U358"/>
      <c r="W358"/>
    </row>
    <row r="359" spans="10:23" s="1" customFormat="1" x14ac:dyDescent="0.2">
      <c r="J359"/>
      <c r="K359"/>
      <c r="L359"/>
      <c r="M359"/>
      <c r="N359" s="392"/>
      <c r="O359" s="2"/>
      <c r="S359"/>
      <c r="T359"/>
      <c r="U359"/>
      <c r="W359"/>
    </row>
    <row r="360" spans="10:23" s="1" customFormat="1" x14ac:dyDescent="0.2">
      <c r="J360"/>
      <c r="K360"/>
      <c r="L360"/>
      <c r="M360"/>
      <c r="N360" s="392"/>
      <c r="O360" s="2"/>
      <c r="S360"/>
      <c r="T360"/>
      <c r="U360"/>
      <c r="W360"/>
    </row>
    <row r="361" spans="10:23" s="1" customFormat="1" x14ac:dyDescent="0.2">
      <c r="J361"/>
      <c r="K361"/>
      <c r="L361"/>
      <c r="M361"/>
      <c r="N361" s="392"/>
      <c r="O361" s="2"/>
      <c r="S361"/>
      <c r="T361"/>
      <c r="U361"/>
      <c r="W361"/>
    </row>
    <row r="362" spans="10:23" s="1" customFormat="1" x14ac:dyDescent="0.2">
      <c r="J362"/>
      <c r="K362"/>
      <c r="L362"/>
      <c r="M362"/>
      <c r="N362" s="392"/>
      <c r="O362" s="2"/>
      <c r="S362"/>
      <c r="T362"/>
      <c r="U362"/>
      <c r="W362"/>
    </row>
    <row r="363" spans="10:23" s="1" customFormat="1" x14ac:dyDescent="0.2">
      <c r="J363"/>
      <c r="K363"/>
      <c r="L363"/>
      <c r="M363"/>
      <c r="N363" s="392"/>
      <c r="O363" s="2"/>
      <c r="S363"/>
      <c r="T363"/>
      <c r="U363"/>
      <c r="W363"/>
    </row>
    <row r="364" spans="10:23" s="1" customFormat="1" x14ac:dyDescent="0.2">
      <c r="J364"/>
      <c r="K364"/>
      <c r="L364"/>
      <c r="M364"/>
      <c r="N364" s="392"/>
      <c r="O364" s="2"/>
      <c r="S364"/>
      <c r="T364"/>
      <c r="U364"/>
      <c r="W364"/>
    </row>
    <row r="365" spans="10:23" s="1" customFormat="1" x14ac:dyDescent="0.2">
      <c r="J365"/>
      <c r="K365"/>
      <c r="L365"/>
      <c r="M365"/>
      <c r="N365" s="392"/>
      <c r="O365" s="2"/>
      <c r="S365"/>
      <c r="T365"/>
      <c r="U365"/>
      <c r="W365"/>
    </row>
    <row r="366" spans="10:23" s="1" customFormat="1" x14ac:dyDescent="0.2">
      <c r="J366"/>
      <c r="K366"/>
      <c r="L366"/>
      <c r="M366"/>
      <c r="N366" s="392"/>
      <c r="O366" s="2"/>
      <c r="S366"/>
      <c r="T366"/>
      <c r="U366"/>
      <c r="W366"/>
    </row>
    <row r="367" spans="10:23" s="1" customFormat="1" x14ac:dyDescent="0.2">
      <c r="J367"/>
      <c r="K367"/>
      <c r="L367"/>
      <c r="M367"/>
      <c r="N367" s="392"/>
      <c r="O367" s="2"/>
      <c r="S367"/>
      <c r="T367"/>
      <c r="U367"/>
      <c r="W367"/>
    </row>
    <row r="368" spans="10:23" s="1" customFormat="1" x14ac:dyDescent="0.2">
      <c r="J368"/>
      <c r="K368"/>
      <c r="L368"/>
      <c r="M368"/>
      <c r="N368" s="392"/>
      <c r="O368" s="2"/>
      <c r="S368"/>
      <c r="T368"/>
      <c r="U368"/>
      <c r="W368"/>
    </row>
    <row r="369" spans="10:23" s="1" customFormat="1" x14ac:dyDescent="0.2">
      <c r="J369"/>
      <c r="K369"/>
      <c r="L369"/>
      <c r="M369"/>
      <c r="N369" s="392"/>
      <c r="O369" s="2"/>
      <c r="S369"/>
      <c r="T369"/>
      <c r="U369"/>
      <c r="W369"/>
    </row>
    <row r="370" spans="10:23" s="1" customFormat="1" x14ac:dyDescent="0.2">
      <c r="J370"/>
      <c r="K370"/>
      <c r="L370"/>
      <c r="M370"/>
      <c r="N370" s="392"/>
      <c r="O370" s="2"/>
      <c r="S370"/>
      <c r="T370"/>
      <c r="U370"/>
      <c r="W370"/>
    </row>
    <row r="371" spans="10:23" s="1" customFormat="1" x14ac:dyDescent="0.2">
      <c r="J371"/>
      <c r="K371"/>
      <c r="L371"/>
      <c r="M371"/>
      <c r="N371" s="392"/>
      <c r="O371" s="2"/>
      <c r="S371"/>
      <c r="T371"/>
      <c r="U371"/>
      <c r="W371"/>
    </row>
    <row r="372" spans="10:23" s="1" customFormat="1" x14ac:dyDescent="0.2">
      <c r="J372"/>
      <c r="K372"/>
      <c r="L372"/>
      <c r="M372"/>
      <c r="N372" s="392"/>
      <c r="O372" s="2"/>
      <c r="S372"/>
      <c r="T372"/>
      <c r="U372"/>
      <c r="W372"/>
    </row>
    <row r="373" spans="10:23" s="1" customFormat="1" x14ac:dyDescent="0.2">
      <c r="J373"/>
      <c r="K373"/>
      <c r="L373"/>
      <c r="M373"/>
      <c r="N373" s="392"/>
      <c r="O373" s="2"/>
      <c r="S373"/>
      <c r="T373"/>
      <c r="U373"/>
      <c r="W373"/>
    </row>
    <row r="374" spans="10:23" s="1" customFormat="1" x14ac:dyDescent="0.2">
      <c r="J374"/>
      <c r="K374"/>
      <c r="L374"/>
      <c r="M374"/>
      <c r="N374" s="392"/>
      <c r="O374" s="2"/>
      <c r="S374"/>
      <c r="T374"/>
      <c r="U374"/>
      <c r="W374"/>
    </row>
    <row r="375" spans="10:23" s="1" customFormat="1" x14ac:dyDescent="0.2">
      <c r="J375"/>
      <c r="K375"/>
      <c r="L375"/>
      <c r="M375"/>
      <c r="N375" s="392"/>
      <c r="O375" s="2"/>
      <c r="S375"/>
      <c r="T375"/>
      <c r="U375"/>
      <c r="W375"/>
    </row>
    <row r="376" spans="10:23" s="1" customFormat="1" x14ac:dyDescent="0.2">
      <c r="J376"/>
      <c r="K376"/>
      <c r="L376"/>
      <c r="M376"/>
      <c r="N376" s="392"/>
      <c r="O376" s="2"/>
      <c r="S376"/>
      <c r="T376"/>
      <c r="U376"/>
      <c r="W376"/>
    </row>
    <row r="377" spans="10:23" s="1" customFormat="1" x14ac:dyDescent="0.2">
      <c r="J377"/>
      <c r="K377"/>
      <c r="L377"/>
      <c r="M377"/>
      <c r="N377" s="392"/>
      <c r="O377" s="2"/>
      <c r="S377"/>
      <c r="T377"/>
      <c r="U377"/>
      <c r="W377"/>
    </row>
    <row r="378" spans="10:23" s="1" customFormat="1" x14ac:dyDescent="0.2">
      <c r="J378"/>
      <c r="K378"/>
      <c r="L378"/>
      <c r="M378"/>
      <c r="N378" s="392"/>
      <c r="O378" s="2"/>
      <c r="S378"/>
      <c r="T378"/>
      <c r="U378"/>
      <c r="W378"/>
    </row>
    <row r="379" spans="10:23" s="1" customFormat="1" x14ac:dyDescent="0.2">
      <c r="J379"/>
      <c r="K379"/>
      <c r="L379"/>
      <c r="M379"/>
      <c r="N379" s="392"/>
      <c r="O379" s="2"/>
      <c r="S379"/>
      <c r="T379"/>
      <c r="U379"/>
      <c r="W379"/>
    </row>
    <row r="380" spans="10:23" s="1" customFormat="1" x14ac:dyDescent="0.2">
      <c r="J380"/>
      <c r="K380"/>
      <c r="L380"/>
      <c r="M380"/>
      <c r="N380" s="392"/>
      <c r="O380" s="2"/>
      <c r="S380"/>
      <c r="T380"/>
      <c r="U380"/>
      <c r="W380"/>
    </row>
    <row r="381" spans="10:23" s="1" customFormat="1" x14ac:dyDescent="0.2">
      <c r="J381"/>
      <c r="K381"/>
      <c r="L381"/>
      <c r="M381"/>
      <c r="N381" s="392"/>
      <c r="O381" s="2"/>
      <c r="S381"/>
      <c r="T381"/>
      <c r="U381"/>
      <c r="W381"/>
    </row>
    <row r="382" spans="10:23" s="1" customFormat="1" x14ac:dyDescent="0.2">
      <c r="J382"/>
      <c r="K382"/>
      <c r="L382"/>
      <c r="M382"/>
      <c r="N382" s="392"/>
      <c r="O382" s="2"/>
      <c r="S382"/>
      <c r="T382"/>
      <c r="U382"/>
      <c r="W382"/>
    </row>
    <row r="383" spans="10:23" s="1" customFormat="1" x14ac:dyDescent="0.2">
      <c r="J383"/>
      <c r="K383"/>
      <c r="L383"/>
      <c r="M383"/>
      <c r="N383" s="392"/>
      <c r="O383" s="2"/>
      <c r="S383"/>
      <c r="T383"/>
      <c r="U383"/>
      <c r="W383"/>
    </row>
    <row r="384" spans="10:23" s="1" customFormat="1" x14ac:dyDescent="0.2">
      <c r="J384"/>
      <c r="K384"/>
      <c r="L384"/>
      <c r="M384"/>
      <c r="N384" s="392"/>
      <c r="O384" s="2"/>
      <c r="S384"/>
      <c r="T384"/>
      <c r="U384"/>
      <c r="W384"/>
    </row>
    <row r="385" spans="10:23" s="1" customFormat="1" x14ac:dyDescent="0.2">
      <c r="J385"/>
      <c r="K385"/>
      <c r="L385"/>
      <c r="M385"/>
      <c r="N385" s="392"/>
      <c r="O385" s="2"/>
      <c r="S385"/>
      <c r="T385"/>
      <c r="U385"/>
      <c r="W385"/>
    </row>
    <row r="386" spans="10:23" s="1" customFormat="1" x14ac:dyDescent="0.2">
      <c r="J386"/>
      <c r="K386"/>
      <c r="L386"/>
      <c r="M386"/>
      <c r="N386" s="392"/>
      <c r="O386" s="2"/>
      <c r="S386"/>
      <c r="T386"/>
      <c r="U386"/>
      <c r="W386"/>
    </row>
    <row r="387" spans="10:23" s="1" customFormat="1" x14ac:dyDescent="0.2">
      <c r="J387"/>
      <c r="K387"/>
      <c r="L387"/>
      <c r="M387"/>
      <c r="N387" s="392"/>
      <c r="O387" s="2"/>
      <c r="S387"/>
      <c r="T387"/>
      <c r="U387"/>
      <c r="W387"/>
    </row>
    <row r="388" spans="10:23" s="1" customFormat="1" x14ac:dyDescent="0.2">
      <c r="J388"/>
      <c r="K388"/>
      <c r="L388"/>
      <c r="M388"/>
      <c r="N388" s="392"/>
      <c r="O388" s="2"/>
      <c r="S388"/>
      <c r="T388"/>
      <c r="U388"/>
      <c r="W388"/>
    </row>
    <row r="389" spans="10:23" s="1" customFormat="1" x14ac:dyDescent="0.2">
      <c r="J389"/>
      <c r="K389"/>
      <c r="L389"/>
      <c r="M389"/>
      <c r="N389" s="392"/>
      <c r="O389" s="2"/>
      <c r="S389"/>
      <c r="T389"/>
      <c r="U389"/>
      <c r="W389"/>
    </row>
    <row r="390" spans="10:23" s="1" customFormat="1" x14ac:dyDescent="0.2">
      <c r="J390"/>
      <c r="K390"/>
      <c r="L390"/>
      <c r="M390"/>
      <c r="N390" s="392"/>
      <c r="O390" s="2"/>
      <c r="S390"/>
      <c r="T390"/>
      <c r="U390"/>
      <c r="W390"/>
    </row>
    <row r="391" spans="10:23" s="1" customFormat="1" x14ac:dyDescent="0.2">
      <c r="J391"/>
      <c r="K391"/>
      <c r="L391"/>
      <c r="M391"/>
      <c r="N391" s="392"/>
      <c r="O391" s="2"/>
      <c r="S391"/>
      <c r="T391"/>
      <c r="U391"/>
      <c r="W391"/>
    </row>
    <row r="392" spans="10:23" s="1" customFormat="1" x14ac:dyDescent="0.2">
      <c r="J392"/>
      <c r="K392"/>
      <c r="L392"/>
      <c r="M392"/>
      <c r="N392" s="392"/>
      <c r="O392" s="2"/>
      <c r="S392"/>
      <c r="T392"/>
      <c r="U392"/>
      <c r="W392"/>
    </row>
    <row r="393" spans="10:23" s="1" customFormat="1" x14ac:dyDescent="0.2">
      <c r="J393"/>
      <c r="K393"/>
      <c r="L393"/>
      <c r="M393"/>
      <c r="N393" s="392"/>
      <c r="O393" s="2"/>
      <c r="S393"/>
      <c r="T393"/>
      <c r="U393"/>
      <c r="W393"/>
    </row>
    <row r="394" spans="10:23" s="1" customFormat="1" x14ac:dyDescent="0.2">
      <c r="J394"/>
      <c r="K394"/>
      <c r="L394"/>
      <c r="M394"/>
      <c r="N394" s="392"/>
      <c r="O394" s="2"/>
      <c r="S394"/>
      <c r="T394"/>
      <c r="U394"/>
      <c r="W394"/>
    </row>
    <row r="395" spans="10:23" s="1" customFormat="1" x14ac:dyDescent="0.2">
      <c r="J395"/>
      <c r="K395"/>
      <c r="L395"/>
      <c r="M395"/>
      <c r="N395" s="392"/>
      <c r="O395" s="2"/>
      <c r="S395"/>
      <c r="T395"/>
      <c r="U395"/>
      <c r="W395"/>
    </row>
    <row r="396" spans="10:23" s="1" customFormat="1" x14ac:dyDescent="0.2">
      <c r="J396"/>
      <c r="K396"/>
      <c r="L396"/>
      <c r="M396"/>
      <c r="N396" s="392"/>
      <c r="O396" s="2"/>
      <c r="S396"/>
      <c r="T396"/>
      <c r="U396"/>
      <c r="W396"/>
    </row>
    <row r="397" spans="10:23" s="1" customFormat="1" x14ac:dyDescent="0.2">
      <c r="J397"/>
      <c r="K397"/>
      <c r="L397"/>
      <c r="M397"/>
      <c r="N397" s="392"/>
      <c r="O397" s="2"/>
      <c r="S397"/>
      <c r="T397"/>
      <c r="U397"/>
      <c r="W397"/>
    </row>
    <row r="398" spans="10:23" s="1" customFormat="1" x14ac:dyDescent="0.2">
      <c r="J398"/>
      <c r="K398"/>
      <c r="L398"/>
      <c r="M398"/>
      <c r="N398" s="392"/>
      <c r="O398" s="2"/>
      <c r="S398"/>
      <c r="T398"/>
      <c r="U398"/>
      <c r="W398"/>
    </row>
    <row r="399" spans="10:23" s="1" customFormat="1" x14ac:dyDescent="0.2">
      <c r="J399"/>
      <c r="K399"/>
      <c r="L399"/>
      <c r="M399"/>
      <c r="N399" s="392"/>
      <c r="O399" s="2"/>
      <c r="S399"/>
      <c r="T399"/>
      <c r="U399"/>
      <c r="W399"/>
    </row>
    <row r="400" spans="10:23" s="1" customFormat="1" x14ac:dyDescent="0.2">
      <c r="J400"/>
      <c r="K400"/>
      <c r="L400"/>
      <c r="M400"/>
      <c r="N400" s="392"/>
      <c r="O400" s="2"/>
      <c r="S400"/>
      <c r="T400"/>
      <c r="U400"/>
      <c r="W400"/>
    </row>
    <row r="401" spans="10:23" s="1" customFormat="1" x14ac:dyDescent="0.2">
      <c r="J401"/>
      <c r="K401"/>
      <c r="L401"/>
      <c r="M401"/>
      <c r="N401" s="392"/>
      <c r="O401" s="2"/>
      <c r="S401"/>
      <c r="T401"/>
      <c r="U401"/>
      <c r="W401"/>
    </row>
    <row r="402" spans="10:23" s="1" customFormat="1" x14ac:dyDescent="0.2">
      <c r="J402"/>
      <c r="K402"/>
      <c r="L402"/>
      <c r="M402"/>
      <c r="N402" s="392"/>
      <c r="O402" s="2"/>
      <c r="S402"/>
      <c r="T402"/>
      <c r="U402"/>
      <c r="W402"/>
    </row>
    <row r="403" spans="10:23" s="1" customFormat="1" x14ac:dyDescent="0.2">
      <c r="J403"/>
      <c r="K403"/>
      <c r="L403"/>
      <c r="M403"/>
      <c r="N403" s="392"/>
      <c r="O403" s="2"/>
      <c r="S403"/>
      <c r="T403"/>
      <c r="U403"/>
      <c r="W403"/>
    </row>
    <row r="404" spans="10:23" s="1" customFormat="1" x14ac:dyDescent="0.2">
      <c r="J404"/>
      <c r="K404"/>
      <c r="L404"/>
      <c r="M404"/>
      <c r="N404" s="392"/>
      <c r="O404" s="2"/>
      <c r="S404"/>
      <c r="T404"/>
      <c r="U404"/>
      <c r="W404"/>
    </row>
    <row r="405" spans="10:23" s="1" customFormat="1" x14ac:dyDescent="0.2">
      <c r="J405"/>
      <c r="K405"/>
      <c r="L405"/>
      <c r="M405"/>
      <c r="N405" s="392"/>
      <c r="O405" s="2"/>
      <c r="S405"/>
      <c r="T405"/>
      <c r="U405"/>
      <c r="W405"/>
    </row>
    <row r="406" spans="10:23" s="1" customFormat="1" x14ac:dyDescent="0.2">
      <c r="J406"/>
      <c r="K406"/>
      <c r="L406"/>
      <c r="M406"/>
      <c r="N406" s="392"/>
      <c r="O406" s="2"/>
      <c r="S406"/>
      <c r="T406"/>
      <c r="U406"/>
      <c r="W406"/>
    </row>
    <row r="407" spans="10:23" s="1" customFormat="1" x14ac:dyDescent="0.2">
      <c r="J407"/>
      <c r="K407"/>
      <c r="L407"/>
      <c r="M407"/>
      <c r="N407" s="392"/>
      <c r="O407" s="2"/>
      <c r="S407"/>
      <c r="T407"/>
      <c r="U407"/>
      <c r="W407"/>
    </row>
    <row r="408" spans="10:23" s="1" customFormat="1" x14ac:dyDescent="0.2">
      <c r="J408"/>
      <c r="K408"/>
      <c r="L408"/>
      <c r="M408"/>
      <c r="N408" s="392"/>
      <c r="O408" s="2"/>
      <c r="S408"/>
      <c r="T408"/>
      <c r="U408"/>
      <c r="W408"/>
    </row>
    <row r="409" spans="10:23" s="1" customFormat="1" x14ac:dyDescent="0.2">
      <c r="J409"/>
      <c r="K409"/>
      <c r="L409"/>
      <c r="M409"/>
      <c r="N409" s="392"/>
      <c r="O409" s="2"/>
      <c r="S409"/>
      <c r="T409"/>
      <c r="U409"/>
      <c r="W409"/>
    </row>
    <row r="410" spans="10:23" s="1" customFormat="1" x14ac:dyDescent="0.2">
      <c r="J410"/>
      <c r="K410"/>
      <c r="L410"/>
      <c r="M410"/>
      <c r="N410" s="392"/>
      <c r="O410" s="2"/>
      <c r="S410"/>
      <c r="T410"/>
      <c r="U410"/>
      <c r="W410"/>
    </row>
    <row r="411" spans="10:23" s="1" customFormat="1" x14ac:dyDescent="0.2">
      <c r="J411"/>
      <c r="K411"/>
      <c r="L411"/>
      <c r="M411"/>
      <c r="N411" s="392"/>
      <c r="O411" s="2"/>
      <c r="S411"/>
      <c r="T411"/>
      <c r="U411"/>
      <c r="W411"/>
    </row>
    <row r="412" spans="10:23" s="1" customFormat="1" x14ac:dyDescent="0.2">
      <c r="J412"/>
      <c r="K412"/>
      <c r="L412"/>
      <c r="M412"/>
      <c r="N412" s="392"/>
      <c r="O412" s="2"/>
      <c r="S412"/>
      <c r="T412"/>
      <c r="U412"/>
      <c r="W412"/>
    </row>
    <row r="413" spans="10:23" s="1" customFormat="1" x14ac:dyDescent="0.2">
      <c r="J413"/>
      <c r="K413"/>
      <c r="L413"/>
      <c r="M413"/>
      <c r="N413" s="392"/>
      <c r="O413" s="2"/>
      <c r="S413"/>
      <c r="T413"/>
      <c r="U413"/>
      <c r="W413"/>
    </row>
    <row r="414" spans="10:23" s="1" customFormat="1" x14ac:dyDescent="0.2">
      <c r="J414"/>
      <c r="K414"/>
      <c r="L414"/>
      <c r="M414"/>
      <c r="N414" s="392"/>
      <c r="O414" s="2"/>
      <c r="S414"/>
      <c r="T414"/>
      <c r="U414"/>
      <c r="W414"/>
    </row>
    <row r="415" spans="10:23" s="1" customFormat="1" x14ac:dyDescent="0.2">
      <c r="J415"/>
      <c r="K415"/>
      <c r="L415"/>
      <c r="M415"/>
      <c r="N415" s="392"/>
      <c r="O415" s="2"/>
      <c r="S415"/>
      <c r="T415"/>
      <c r="U415"/>
      <c r="W415"/>
    </row>
    <row r="416" spans="10:23" s="1" customFormat="1" x14ac:dyDescent="0.2">
      <c r="J416"/>
      <c r="K416"/>
      <c r="L416"/>
      <c r="M416"/>
      <c r="N416" s="392"/>
      <c r="O416" s="2"/>
      <c r="S416"/>
      <c r="T416"/>
      <c r="U416"/>
      <c r="W416"/>
    </row>
    <row r="417" spans="10:23" s="1" customFormat="1" x14ac:dyDescent="0.2">
      <c r="J417"/>
      <c r="K417"/>
      <c r="L417"/>
      <c r="M417"/>
      <c r="N417" s="392"/>
      <c r="O417" s="2"/>
      <c r="S417"/>
      <c r="T417"/>
      <c r="U417"/>
      <c r="W417"/>
    </row>
    <row r="418" spans="10:23" s="1" customFormat="1" x14ac:dyDescent="0.2">
      <c r="J418"/>
      <c r="K418"/>
      <c r="L418"/>
      <c r="M418"/>
      <c r="N418" s="392"/>
      <c r="O418" s="2"/>
      <c r="S418"/>
      <c r="T418"/>
      <c r="U418"/>
      <c r="W418"/>
    </row>
    <row r="419" spans="10:23" s="1" customFormat="1" x14ac:dyDescent="0.2">
      <c r="J419"/>
      <c r="K419"/>
      <c r="L419"/>
      <c r="M419"/>
      <c r="N419" s="392"/>
      <c r="O419" s="2"/>
      <c r="S419"/>
      <c r="T419"/>
      <c r="U419"/>
      <c r="W419"/>
    </row>
    <row r="420" spans="10:23" s="1" customFormat="1" x14ac:dyDescent="0.2">
      <c r="J420"/>
      <c r="K420"/>
      <c r="L420"/>
      <c r="M420"/>
      <c r="N420" s="392"/>
      <c r="O420" s="2"/>
      <c r="S420"/>
      <c r="T420"/>
      <c r="U420"/>
      <c r="W420"/>
    </row>
    <row r="421" spans="10:23" s="1" customFormat="1" x14ac:dyDescent="0.2">
      <c r="J421"/>
      <c r="K421"/>
      <c r="L421"/>
      <c r="M421"/>
      <c r="N421" s="392"/>
      <c r="O421" s="2"/>
      <c r="S421"/>
      <c r="T421"/>
      <c r="U421"/>
      <c r="W421"/>
    </row>
    <row r="422" spans="10:23" s="1" customFormat="1" x14ac:dyDescent="0.2">
      <c r="J422"/>
      <c r="K422"/>
      <c r="L422"/>
      <c r="M422"/>
      <c r="N422" s="392"/>
      <c r="O422" s="2"/>
      <c r="S422"/>
      <c r="T422"/>
      <c r="U422"/>
      <c r="W422"/>
    </row>
    <row r="423" spans="10:23" s="1" customFormat="1" x14ac:dyDescent="0.2">
      <c r="J423"/>
      <c r="K423"/>
      <c r="L423"/>
      <c r="M423"/>
      <c r="N423" s="392"/>
      <c r="O423" s="2"/>
      <c r="S423"/>
      <c r="T423"/>
      <c r="U423"/>
      <c r="W423"/>
    </row>
    <row r="424" spans="10:23" s="1" customFormat="1" x14ac:dyDescent="0.2">
      <c r="J424"/>
      <c r="K424"/>
      <c r="L424"/>
      <c r="M424"/>
      <c r="N424" s="392"/>
      <c r="O424" s="2"/>
      <c r="S424"/>
      <c r="T424"/>
      <c r="U424"/>
      <c r="W424"/>
    </row>
    <row r="425" spans="10:23" s="1" customFormat="1" x14ac:dyDescent="0.2">
      <c r="J425"/>
      <c r="K425"/>
      <c r="L425"/>
      <c r="M425"/>
      <c r="N425" s="392"/>
      <c r="O425" s="2"/>
      <c r="S425"/>
      <c r="T425"/>
      <c r="U425"/>
      <c r="W425"/>
    </row>
    <row r="426" spans="10:23" s="1" customFormat="1" x14ac:dyDescent="0.2">
      <c r="J426"/>
      <c r="K426"/>
      <c r="L426"/>
      <c r="M426"/>
      <c r="N426" s="392"/>
      <c r="O426" s="2"/>
      <c r="S426"/>
      <c r="T426"/>
      <c r="U426"/>
      <c r="W426"/>
    </row>
    <row r="427" spans="10:23" s="1" customFormat="1" x14ac:dyDescent="0.2">
      <c r="J427"/>
      <c r="K427"/>
      <c r="L427"/>
      <c r="M427"/>
      <c r="N427" s="392"/>
      <c r="O427" s="2"/>
      <c r="S427"/>
      <c r="T427"/>
      <c r="U427"/>
      <c r="W427"/>
    </row>
    <row r="428" spans="10:23" s="1" customFormat="1" x14ac:dyDescent="0.2">
      <c r="J428"/>
      <c r="K428"/>
      <c r="L428"/>
      <c r="M428"/>
      <c r="N428" s="392"/>
      <c r="O428" s="2"/>
      <c r="S428"/>
      <c r="T428"/>
      <c r="U428"/>
      <c r="W428"/>
    </row>
    <row r="429" spans="10:23" s="1" customFormat="1" x14ac:dyDescent="0.2">
      <c r="J429"/>
      <c r="K429"/>
      <c r="L429"/>
      <c r="M429"/>
      <c r="N429" s="392"/>
      <c r="O429" s="2"/>
      <c r="S429"/>
      <c r="T429"/>
      <c r="U429"/>
      <c r="W429"/>
    </row>
    <row r="430" spans="10:23" s="1" customFormat="1" x14ac:dyDescent="0.2">
      <c r="J430"/>
      <c r="K430"/>
      <c r="L430"/>
      <c r="M430"/>
      <c r="N430" s="392"/>
      <c r="O430" s="2"/>
      <c r="S430"/>
      <c r="T430"/>
      <c r="U430"/>
      <c r="W430"/>
    </row>
    <row r="431" spans="10:23" s="1" customFormat="1" x14ac:dyDescent="0.2">
      <c r="J431"/>
      <c r="K431"/>
      <c r="L431"/>
      <c r="M431"/>
      <c r="N431" s="392"/>
      <c r="O431" s="2"/>
      <c r="S431"/>
      <c r="T431"/>
      <c r="U431"/>
      <c r="W431"/>
    </row>
    <row r="432" spans="10:23" s="1" customFormat="1" x14ac:dyDescent="0.2">
      <c r="J432"/>
      <c r="K432"/>
      <c r="L432"/>
      <c r="M432"/>
      <c r="N432" s="392"/>
      <c r="O432" s="2"/>
      <c r="S432"/>
      <c r="T432"/>
      <c r="U432"/>
      <c r="W432"/>
    </row>
    <row r="433" spans="10:23" s="1" customFormat="1" x14ac:dyDescent="0.2">
      <c r="J433"/>
      <c r="K433"/>
      <c r="L433"/>
      <c r="M433"/>
      <c r="N433" s="392"/>
      <c r="O433" s="2"/>
      <c r="S433"/>
      <c r="T433"/>
      <c r="U433"/>
      <c r="W433"/>
    </row>
    <row r="434" spans="10:23" s="1" customFormat="1" x14ac:dyDescent="0.2">
      <c r="J434"/>
      <c r="K434"/>
      <c r="L434"/>
      <c r="M434"/>
      <c r="N434" s="392"/>
      <c r="O434" s="2"/>
      <c r="S434"/>
      <c r="T434"/>
      <c r="U434"/>
      <c r="W434"/>
    </row>
    <row r="435" spans="10:23" s="1" customFormat="1" x14ac:dyDescent="0.2">
      <c r="J435"/>
      <c r="K435"/>
      <c r="L435"/>
      <c r="M435"/>
      <c r="N435" s="392"/>
      <c r="O435" s="2"/>
      <c r="S435"/>
      <c r="T435"/>
      <c r="U435"/>
      <c r="W435"/>
    </row>
    <row r="436" spans="10:23" s="1" customFormat="1" x14ac:dyDescent="0.2">
      <c r="J436"/>
      <c r="K436"/>
      <c r="L436"/>
      <c r="M436"/>
      <c r="N436" s="392"/>
      <c r="O436" s="2"/>
      <c r="S436"/>
      <c r="T436"/>
      <c r="U436"/>
      <c r="W436"/>
    </row>
    <row r="437" spans="10:23" s="1" customFormat="1" x14ac:dyDescent="0.2">
      <c r="J437"/>
      <c r="K437"/>
      <c r="L437"/>
      <c r="M437"/>
      <c r="N437" s="392"/>
      <c r="O437" s="2"/>
      <c r="S437"/>
      <c r="T437"/>
      <c r="U437"/>
      <c r="W437"/>
    </row>
    <row r="438" spans="10:23" s="1" customFormat="1" x14ac:dyDescent="0.2">
      <c r="J438"/>
      <c r="K438"/>
      <c r="L438"/>
      <c r="M438"/>
      <c r="N438" s="392"/>
      <c r="O438" s="2"/>
      <c r="S438"/>
      <c r="T438"/>
      <c r="U438"/>
      <c r="W438"/>
    </row>
    <row r="439" spans="10:23" s="1" customFormat="1" x14ac:dyDescent="0.2">
      <c r="J439"/>
      <c r="K439"/>
      <c r="L439"/>
      <c r="M439"/>
      <c r="N439" s="392"/>
      <c r="O439" s="2"/>
      <c r="S439"/>
      <c r="T439"/>
      <c r="U439"/>
      <c r="W439"/>
    </row>
    <row r="440" spans="10:23" s="1" customFormat="1" x14ac:dyDescent="0.2">
      <c r="J440"/>
      <c r="K440"/>
      <c r="L440"/>
      <c r="M440"/>
      <c r="N440" s="392"/>
      <c r="O440" s="2"/>
      <c r="S440"/>
      <c r="T440"/>
      <c r="U440"/>
      <c r="W440"/>
    </row>
    <row r="441" spans="10:23" s="1" customFormat="1" x14ac:dyDescent="0.2">
      <c r="J441"/>
      <c r="K441"/>
      <c r="L441"/>
      <c r="M441"/>
      <c r="N441" s="392"/>
      <c r="O441" s="2"/>
      <c r="S441"/>
      <c r="T441"/>
      <c r="U441"/>
      <c r="W441"/>
    </row>
    <row r="442" spans="10:23" s="1" customFormat="1" x14ac:dyDescent="0.2">
      <c r="J442"/>
      <c r="K442"/>
      <c r="L442"/>
      <c r="M442"/>
      <c r="N442" s="392"/>
      <c r="O442" s="2"/>
      <c r="S442"/>
      <c r="T442"/>
      <c r="U442"/>
      <c r="W442"/>
    </row>
    <row r="443" spans="10:23" s="1" customFormat="1" x14ac:dyDescent="0.2">
      <c r="J443"/>
      <c r="K443"/>
      <c r="L443"/>
      <c r="M443"/>
      <c r="N443" s="392"/>
      <c r="O443" s="2"/>
      <c r="S443"/>
      <c r="T443"/>
      <c r="U443"/>
      <c r="W443"/>
    </row>
    <row r="444" spans="10:23" s="1" customFormat="1" x14ac:dyDescent="0.2">
      <c r="J444"/>
      <c r="K444"/>
      <c r="L444"/>
      <c r="M444"/>
      <c r="N444" s="392"/>
      <c r="O444" s="2"/>
      <c r="S444"/>
      <c r="T444"/>
      <c r="U444"/>
      <c r="W444"/>
    </row>
    <row r="445" spans="10:23" s="1" customFormat="1" x14ac:dyDescent="0.2">
      <c r="J445"/>
      <c r="K445"/>
      <c r="L445"/>
      <c r="M445"/>
      <c r="N445" s="392"/>
      <c r="O445" s="2"/>
      <c r="S445"/>
      <c r="T445"/>
      <c r="U445"/>
      <c r="W445"/>
    </row>
    <row r="446" spans="10:23" s="1" customFormat="1" x14ac:dyDescent="0.2">
      <c r="J446"/>
      <c r="K446"/>
      <c r="L446"/>
      <c r="M446"/>
      <c r="N446" s="392"/>
      <c r="O446" s="2"/>
      <c r="S446"/>
      <c r="T446"/>
      <c r="U446"/>
      <c r="W446"/>
    </row>
    <row r="447" spans="10:23" s="1" customFormat="1" x14ac:dyDescent="0.2">
      <c r="J447"/>
      <c r="K447"/>
      <c r="L447"/>
      <c r="M447"/>
      <c r="N447" s="392"/>
      <c r="O447" s="2"/>
      <c r="S447"/>
      <c r="T447"/>
      <c r="U447"/>
      <c r="W447"/>
    </row>
    <row r="448" spans="10:23" s="1" customFormat="1" x14ac:dyDescent="0.2">
      <c r="J448"/>
      <c r="K448"/>
      <c r="L448"/>
      <c r="M448"/>
      <c r="N448" s="392"/>
      <c r="O448" s="2"/>
      <c r="S448"/>
      <c r="T448"/>
      <c r="U448"/>
      <c r="W448"/>
    </row>
    <row r="449" spans="10:23" s="1" customFormat="1" x14ac:dyDescent="0.2">
      <c r="J449"/>
      <c r="K449"/>
      <c r="L449"/>
      <c r="M449"/>
      <c r="N449" s="392"/>
      <c r="O449" s="2"/>
      <c r="S449"/>
      <c r="T449"/>
      <c r="U449"/>
      <c r="W449"/>
    </row>
    <row r="450" spans="10:23" s="1" customFormat="1" x14ac:dyDescent="0.2">
      <c r="J450"/>
      <c r="K450"/>
      <c r="L450"/>
      <c r="M450"/>
      <c r="N450" s="392"/>
      <c r="O450" s="2"/>
      <c r="S450"/>
      <c r="T450"/>
      <c r="U450"/>
      <c r="W450"/>
    </row>
    <row r="451" spans="10:23" s="1" customFormat="1" x14ac:dyDescent="0.2">
      <c r="J451"/>
      <c r="K451"/>
      <c r="L451"/>
      <c r="M451"/>
      <c r="N451" s="392"/>
      <c r="O451" s="2"/>
      <c r="S451"/>
      <c r="T451"/>
      <c r="U451"/>
      <c r="W451"/>
    </row>
    <row r="452" spans="10:23" s="1" customFormat="1" x14ac:dyDescent="0.2">
      <c r="J452"/>
      <c r="K452"/>
      <c r="L452"/>
      <c r="M452"/>
      <c r="N452" s="392"/>
      <c r="O452" s="2"/>
      <c r="S452"/>
      <c r="T452"/>
      <c r="U452"/>
      <c r="W452"/>
    </row>
    <row r="453" spans="10:23" s="1" customFormat="1" x14ac:dyDescent="0.2">
      <c r="J453"/>
      <c r="K453"/>
      <c r="L453"/>
      <c r="M453"/>
      <c r="N453" s="392"/>
      <c r="O453" s="2"/>
      <c r="S453"/>
      <c r="T453"/>
      <c r="U453"/>
      <c r="W453"/>
    </row>
    <row r="454" spans="10:23" s="1" customFormat="1" x14ac:dyDescent="0.2">
      <c r="J454"/>
      <c r="K454"/>
      <c r="L454"/>
      <c r="M454"/>
      <c r="N454" s="392"/>
      <c r="O454" s="2"/>
      <c r="S454"/>
      <c r="T454"/>
      <c r="U454"/>
      <c r="W454"/>
    </row>
    <row r="455" spans="10:23" s="1" customFormat="1" x14ac:dyDescent="0.2">
      <c r="J455"/>
      <c r="K455"/>
      <c r="L455"/>
      <c r="M455"/>
      <c r="N455" s="392"/>
      <c r="O455" s="2"/>
      <c r="S455"/>
      <c r="T455"/>
      <c r="U455"/>
      <c r="W455"/>
    </row>
    <row r="456" spans="10:23" s="1" customFormat="1" x14ac:dyDescent="0.2">
      <c r="J456"/>
      <c r="K456"/>
      <c r="L456"/>
      <c r="M456"/>
      <c r="N456" s="392"/>
      <c r="O456" s="2"/>
      <c r="S456"/>
      <c r="T456"/>
      <c r="U456"/>
      <c r="W456"/>
    </row>
    <row r="457" spans="10:23" s="1" customFormat="1" x14ac:dyDescent="0.2">
      <c r="J457"/>
      <c r="K457"/>
      <c r="L457"/>
      <c r="M457"/>
      <c r="N457" s="392"/>
      <c r="O457" s="2"/>
      <c r="S457"/>
      <c r="T457"/>
      <c r="U457"/>
      <c r="W457"/>
    </row>
    <row r="458" spans="10:23" s="1" customFormat="1" x14ac:dyDescent="0.2">
      <c r="J458"/>
      <c r="K458"/>
      <c r="L458"/>
      <c r="M458"/>
      <c r="N458" s="392"/>
      <c r="O458" s="2"/>
      <c r="S458"/>
      <c r="T458"/>
      <c r="U458"/>
      <c r="W458"/>
    </row>
    <row r="459" spans="10:23" s="1" customFormat="1" x14ac:dyDescent="0.2">
      <c r="J459"/>
      <c r="K459"/>
      <c r="L459"/>
      <c r="M459"/>
      <c r="N459" s="392"/>
      <c r="O459" s="2"/>
      <c r="S459"/>
      <c r="T459"/>
      <c r="U459"/>
      <c r="W459"/>
    </row>
    <row r="460" spans="10:23" s="1" customFormat="1" x14ac:dyDescent="0.2">
      <c r="J460"/>
      <c r="K460"/>
      <c r="L460"/>
      <c r="M460"/>
      <c r="N460" s="392"/>
      <c r="O460" s="2"/>
      <c r="S460"/>
      <c r="T460"/>
      <c r="U460"/>
      <c r="W460"/>
    </row>
    <row r="461" spans="10:23" s="1" customFormat="1" x14ac:dyDescent="0.2">
      <c r="J461"/>
      <c r="K461"/>
      <c r="L461"/>
      <c r="M461"/>
      <c r="N461" s="392"/>
      <c r="O461" s="2"/>
      <c r="S461"/>
      <c r="T461"/>
      <c r="U461"/>
      <c r="W461"/>
    </row>
    <row r="462" spans="10:23" s="1" customFormat="1" x14ac:dyDescent="0.2">
      <c r="J462"/>
      <c r="K462"/>
      <c r="L462"/>
      <c r="M462"/>
      <c r="N462" s="392"/>
      <c r="O462" s="2"/>
      <c r="S462"/>
      <c r="T462"/>
      <c r="U462"/>
      <c r="W462"/>
    </row>
    <row r="463" spans="10:23" s="1" customFormat="1" x14ac:dyDescent="0.2">
      <c r="J463"/>
      <c r="K463"/>
      <c r="L463"/>
      <c r="M463"/>
      <c r="N463" s="392"/>
      <c r="O463" s="2"/>
      <c r="S463"/>
      <c r="T463"/>
      <c r="U463"/>
      <c r="W463"/>
    </row>
    <row r="464" spans="10:23" s="1" customFormat="1" x14ac:dyDescent="0.2">
      <c r="J464"/>
      <c r="K464"/>
      <c r="L464"/>
      <c r="M464"/>
      <c r="N464" s="392"/>
      <c r="O464" s="2"/>
      <c r="S464"/>
      <c r="T464"/>
      <c r="U464"/>
      <c r="W464"/>
    </row>
    <row r="465" spans="10:23" s="1" customFormat="1" x14ac:dyDescent="0.2">
      <c r="J465"/>
      <c r="K465"/>
      <c r="L465"/>
      <c r="M465"/>
      <c r="N465" s="392"/>
      <c r="O465" s="2"/>
      <c r="S465"/>
      <c r="T465"/>
      <c r="U465"/>
      <c r="W465"/>
    </row>
    <row r="466" spans="10:23" s="1" customFormat="1" x14ac:dyDescent="0.2">
      <c r="J466"/>
      <c r="K466"/>
      <c r="L466"/>
      <c r="M466"/>
      <c r="N466" s="392"/>
      <c r="O466" s="2"/>
      <c r="S466"/>
      <c r="T466"/>
      <c r="U466"/>
      <c r="W466"/>
    </row>
    <row r="467" spans="10:23" s="1" customFormat="1" x14ac:dyDescent="0.2">
      <c r="J467"/>
      <c r="K467"/>
      <c r="L467"/>
      <c r="M467"/>
      <c r="N467" s="392"/>
      <c r="O467" s="2"/>
      <c r="S467"/>
      <c r="T467"/>
      <c r="U467"/>
      <c r="W467"/>
    </row>
    <row r="468" spans="10:23" s="1" customFormat="1" x14ac:dyDescent="0.2">
      <c r="J468"/>
      <c r="K468"/>
      <c r="L468"/>
      <c r="M468"/>
      <c r="N468" s="392"/>
      <c r="O468" s="2"/>
      <c r="S468"/>
      <c r="T468"/>
      <c r="U468"/>
      <c r="W468"/>
    </row>
    <row r="469" spans="10:23" s="1" customFormat="1" x14ac:dyDescent="0.2">
      <c r="J469"/>
      <c r="K469"/>
      <c r="L469"/>
      <c r="M469"/>
      <c r="N469" s="392"/>
      <c r="O469" s="2"/>
      <c r="S469"/>
      <c r="T469"/>
      <c r="U469"/>
      <c r="W469"/>
    </row>
    <row r="470" spans="10:23" s="1" customFormat="1" x14ac:dyDescent="0.2">
      <c r="J470"/>
      <c r="K470"/>
      <c r="L470"/>
      <c r="M470"/>
      <c r="N470" s="392"/>
      <c r="O470" s="2"/>
      <c r="S470"/>
      <c r="T470"/>
      <c r="U470"/>
      <c r="W470"/>
    </row>
    <row r="471" spans="10:23" s="1" customFormat="1" x14ac:dyDescent="0.2">
      <c r="J471"/>
      <c r="K471"/>
      <c r="L471"/>
      <c r="M471"/>
      <c r="N471" s="392"/>
      <c r="O471" s="2"/>
      <c r="S471"/>
      <c r="T471"/>
      <c r="U471"/>
      <c r="W471"/>
    </row>
    <row r="472" spans="10:23" s="1" customFormat="1" x14ac:dyDescent="0.2">
      <c r="J472"/>
      <c r="K472"/>
      <c r="L472"/>
      <c r="M472"/>
      <c r="N472" s="392"/>
      <c r="O472" s="2"/>
      <c r="S472"/>
      <c r="T472"/>
      <c r="U472"/>
      <c r="W472"/>
    </row>
    <row r="473" spans="10:23" s="1" customFormat="1" x14ac:dyDescent="0.2">
      <c r="J473"/>
      <c r="K473"/>
      <c r="L473"/>
      <c r="M473"/>
      <c r="N473" s="392"/>
      <c r="O473" s="2"/>
      <c r="S473"/>
      <c r="T473"/>
      <c r="U473"/>
      <c r="W473"/>
    </row>
    <row r="474" spans="10:23" s="1" customFormat="1" x14ac:dyDescent="0.2">
      <c r="J474"/>
      <c r="K474"/>
      <c r="L474"/>
      <c r="M474"/>
      <c r="N474" s="392"/>
      <c r="O474" s="2"/>
      <c r="S474"/>
      <c r="T474"/>
      <c r="U474"/>
      <c r="W474"/>
    </row>
    <row r="475" spans="10:23" s="1" customFormat="1" x14ac:dyDescent="0.2">
      <c r="J475"/>
      <c r="K475"/>
      <c r="L475"/>
      <c r="M475"/>
      <c r="N475" s="392"/>
      <c r="O475" s="2"/>
      <c r="S475"/>
      <c r="T475"/>
      <c r="U475"/>
      <c r="W475"/>
    </row>
    <row r="476" spans="10:23" s="1" customFormat="1" x14ac:dyDescent="0.2">
      <c r="J476"/>
      <c r="K476"/>
      <c r="L476"/>
      <c r="M476"/>
      <c r="N476" s="392"/>
      <c r="O476" s="2"/>
      <c r="S476"/>
      <c r="T476"/>
      <c r="U476"/>
      <c r="W476"/>
    </row>
    <row r="477" spans="10:23" s="1" customFormat="1" x14ac:dyDescent="0.2">
      <c r="J477"/>
      <c r="K477"/>
      <c r="L477"/>
      <c r="M477"/>
      <c r="N477" s="392"/>
      <c r="O477" s="2"/>
      <c r="S477"/>
      <c r="T477"/>
      <c r="U477"/>
      <c r="W477"/>
    </row>
    <row r="478" spans="10:23" s="1" customFormat="1" x14ac:dyDescent="0.2">
      <c r="J478"/>
      <c r="K478"/>
      <c r="L478"/>
      <c r="M478"/>
      <c r="N478" s="392"/>
      <c r="O478" s="2"/>
      <c r="S478"/>
      <c r="T478"/>
      <c r="U478"/>
      <c r="W478"/>
    </row>
    <row r="479" spans="10:23" s="1" customFormat="1" x14ac:dyDescent="0.2">
      <c r="J479"/>
      <c r="K479"/>
      <c r="L479"/>
      <c r="M479"/>
      <c r="N479" s="392"/>
      <c r="O479" s="2"/>
      <c r="S479"/>
      <c r="T479"/>
      <c r="U479"/>
      <c r="W479"/>
    </row>
    <row r="480" spans="10:23" s="1" customFormat="1" x14ac:dyDescent="0.2">
      <c r="J480"/>
      <c r="K480"/>
      <c r="L480"/>
      <c r="M480"/>
      <c r="N480" s="392"/>
      <c r="O480" s="2"/>
      <c r="S480"/>
      <c r="T480"/>
      <c r="U480"/>
      <c r="W480"/>
    </row>
    <row r="481" spans="10:23" s="1" customFormat="1" x14ac:dyDescent="0.2">
      <c r="J481"/>
      <c r="K481"/>
      <c r="L481"/>
      <c r="M481"/>
      <c r="N481" s="392"/>
      <c r="O481" s="2"/>
      <c r="S481"/>
      <c r="T481"/>
      <c r="U481"/>
      <c r="W481"/>
    </row>
    <row r="482" spans="10:23" s="1" customFormat="1" x14ac:dyDescent="0.2">
      <c r="J482"/>
      <c r="K482"/>
      <c r="L482"/>
      <c r="M482"/>
      <c r="N482" s="392"/>
      <c r="O482" s="2"/>
      <c r="S482"/>
      <c r="T482"/>
      <c r="U482"/>
      <c r="W482"/>
    </row>
    <row r="483" spans="10:23" s="1" customFormat="1" x14ac:dyDescent="0.2">
      <c r="J483"/>
      <c r="K483"/>
      <c r="L483"/>
      <c r="M483"/>
      <c r="N483" s="392"/>
      <c r="O483" s="2"/>
      <c r="S483"/>
      <c r="T483"/>
      <c r="U483"/>
      <c r="W483"/>
    </row>
    <row r="484" spans="10:23" s="1" customFormat="1" x14ac:dyDescent="0.2">
      <c r="J484"/>
      <c r="K484"/>
      <c r="L484"/>
      <c r="M484"/>
      <c r="N484" s="392"/>
      <c r="O484" s="2"/>
      <c r="S484"/>
      <c r="T484"/>
      <c r="U484"/>
      <c r="W484"/>
    </row>
    <row r="485" spans="10:23" s="1" customFormat="1" x14ac:dyDescent="0.2">
      <c r="J485"/>
      <c r="K485"/>
      <c r="L485"/>
      <c r="M485"/>
      <c r="N485" s="392"/>
      <c r="O485" s="2"/>
      <c r="S485"/>
      <c r="T485"/>
      <c r="U485"/>
      <c r="W485"/>
    </row>
    <row r="486" spans="10:23" s="1" customFormat="1" x14ac:dyDescent="0.2">
      <c r="J486"/>
      <c r="K486"/>
      <c r="L486"/>
      <c r="M486"/>
      <c r="N486" s="392"/>
      <c r="O486" s="2"/>
      <c r="S486"/>
      <c r="T486"/>
      <c r="U486"/>
      <c r="W486"/>
    </row>
    <row r="487" spans="10:23" s="1" customFormat="1" x14ac:dyDescent="0.2">
      <c r="J487"/>
      <c r="K487"/>
      <c r="L487"/>
      <c r="M487"/>
      <c r="N487" s="392"/>
      <c r="O487" s="2"/>
      <c r="S487"/>
      <c r="T487"/>
      <c r="U487"/>
      <c r="W487"/>
    </row>
    <row r="488" spans="10:23" s="1" customFormat="1" x14ac:dyDescent="0.2">
      <c r="J488"/>
      <c r="K488"/>
      <c r="L488"/>
      <c r="M488"/>
      <c r="N488" s="392"/>
      <c r="O488" s="2"/>
      <c r="S488"/>
      <c r="T488"/>
      <c r="U488"/>
      <c r="W488"/>
    </row>
    <row r="489" spans="10:23" s="1" customFormat="1" x14ac:dyDescent="0.2">
      <c r="J489"/>
      <c r="K489"/>
      <c r="L489"/>
      <c r="M489"/>
      <c r="N489" s="392"/>
      <c r="O489" s="2"/>
      <c r="S489"/>
      <c r="T489"/>
      <c r="U489"/>
      <c r="W489"/>
    </row>
    <row r="490" spans="10:23" s="1" customFormat="1" x14ac:dyDescent="0.2">
      <c r="J490"/>
      <c r="K490"/>
      <c r="L490"/>
      <c r="M490"/>
      <c r="N490" s="392"/>
      <c r="O490" s="2"/>
      <c r="S490"/>
      <c r="T490"/>
      <c r="U490"/>
      <c r="W490"/>
    </row>
    <row r="491" spans="10:23" s="1" customFormat="1" x14ac:dyDescent="0.2">
      <c r="J491"/>
      <c r="K491"/>
      <c r="L491"/>
      <c r="M491"/>
      <c r="N491" s="392"/>
      <c r="O491" s="2"/>
      <c r="S491"/>
      <c r="T491"/>
      <c r="U491"/>
      <c r="W491"/>
    </row>
    <row r="492" spans="10:23" s="1" customFormat="1" x14ac:dyDescent="0.2">
      <c r="J492"/>
      <c r="K492"/>
      <c r="L492"/>
      <c r="M492"/>
      <c r="N492" s="392"/>
      <c r="O492" s="2"/>
      <c r="S492"/>
      <c r="T492"/>
      <c r="U492"/>
      <c r="W492"/>
    </row>
    <row r="493" spans="10:23" s="1" customFormat="1" x14ac:dyDescent="0.2">
      <c r="J493"/>
      <c r="K493"/>
      <c r="L493"/>
      <c r="M493"/>
      <c r="N493" s="392"/>
      <c r="O493" s="2"/>
      <c r="S493"/>
      <c r="T493"/>
      <c r="U493"/>
      <c r="W493"/>
    </row>
    <row r="494" spans="10:23" s="1" customFormat="1" x14ac:dyDescent="0.2">
      <c r="J494"/>
      <c r="K494"/>
      <c r="L494"/>
      <c r="M494"/>
      <c r="N494" s="392"/>
      <c r="O494" s="2"/>
      <c r="S494"/>
      <c r="T494"/>
      <c r="U494"/>
      <c r="W494"/>
    </row>
    <row r="495" spans="10:23" s="1" customFormat="1" x14ac:dyDescent="0.2">
      <c r="J495"/>
      <c r="K495"/>
      <c r="L495"/>
      <c r="M495"/>
      <c r="N495" s="392"/>
      <c r="O495" s="2"/>
      <c r="S495"/>
      <c r="T495"/>
      <c r="U495"/>
      <c r="W495"/>
    </row>
    <row r="496" spans="10:23" s="1" customFormat="1" x14ac:dyDescent="0.2">
      <c r="J496"/>
      <c r="K496"/>
      <c r="L496"/>
      <c r="M496"/>
      <c r="N496" s="392"/>
      <c r="O496" s="2"/>
      <c r="S496"/>
      <c r="T496"/>
      <c r="U496"/>
      <c r="W496"/>
    </row>
    <row r="497" spans="10:23" s="1" customFormat="1" x14ac:dyDescent="0.2">
      <c r="J497"/>
      <c r="K497"/>
      <c r="L497"/>
      <c r="M497"/>
      <c r="N497" s="392"/>
      <c r="O497" s="2"/>
      <c r="S497"/>
      <c r="T497"/>
      <c r="U497"/>
      <c r="W497"/>
    </row>
    <row r="498" spans="10:23" s="1" customFormat="1" x14ac:dyDescent="0.2">
      <c r="J498"/>
      <c r="K498"/>
      <c r="L498"/>
      <c r="M498"/>
      <c r="N498" s="392"/>
      <c r="O498" s="2"/>
      <c r="S498"/>
      <c r="T498"/>
      <c r="U498"/>
      <c r="W498"/>
    </row>
    <row r="499" spans="10:23" s="1" customFormat="1" x14ac:dyDescent="0.2">
      <c r="J499"/>
      <c r="K499"/>
      <c r="L499"/>
      <c r="M499"/>
      <c r="N499" s="392"/>
      <c r="O499" s="2"/>
      <c r="S499"/>
      <c r="T499"/>
      <c r="U499"/>
      <c r="W499"/>
    </row>
    <row r="500" spans="10:23" s="1" customFormat="1" x14ac:dyDescent="0.2">
      <c r="J500"/>
      <c r="K500"/>
      <c r="L500"/>
      <c r="M500"/>
      <c r="N500" s="392"/>
      <c r="O500" s="2"/>
      <c r="S500"/>
      <c r="T500"/>
      <c r="U500"/>
      <c r="W500"/>
    </row>
    <row r="501" spans="10:23" s="1" customFormat="1" x14ac:dyDescent="0.2">
      <c r="J501"/>
      <c r="K501"/>
      <c r="L501"/>
      <c r="M501"/>
      <c r="N501" s="392"/>
      <c r="O501" s="2"/>
      <c r="S501"/>
      <c r="T501"/>
      <c r="U501"/>
      <c r="W501"/>
    </row>
    <row r="502" spans="10:23" s="1" customFormat="1" x14ac:dyDescent="0.2">
      <c r="J502"/>
      <c r="K502"/>
      <c r="L502"/>
      <c r="M502"/>
      <c r="N502" s="392"/>
      <c r="O502" s="2"/>
      <c r="S502"/>
      <c r="T502"/>
      <c r="U502"/>
      <c r="W502"/>
    </row>
    <row r="503" spans="10:23" s="1" customFormat="1" x14ac:dyDescent="0.2">
      <c r="J503"/>
      <c r="K503"/>
      <c r="L503"/>
      <c r="M503"/>
      <c r="N503" s="392"/>
      <c r="O503" s="2"/>
      <c r="S503"/>
      <c r="T503"/>
      <c r="U503"/>
      <c r="W503"/>
    </row>
    <row r="504" spans="10:23" s="1" customFormat="1" x14ac:dyDescent="0.2">
      <c r="J504"/>
      <c r="K504"/>
      <c r="L504"/>
      <c r="M504"/>
      <c r="N504" s="392"/>
      <c r="O504" s="2"/>
      <c r="S504"/>
      <c r="T504"/>
      <c r="U504"/>
      <c r="W504"/>
    </row>
    <row r="505" spans="10:23" s="1" customFormat="1" x14ac:dyDescent="0.2">
      <c r="J505"/>
      <c r="K505"/>
      <c r="L505"/>
      <c r="M505"/>
      <c r="N505" s="392"/>
      <c r="O505" s="2"/>
      <c r="S505"/>
      <c r="T505"/>
      <c r="U505"/>
      <c r="W505"/>
    </row>
    <row r="506" spans="10:23" s="1" customFormat="1" x14ac:dyDescent="0.2">
      <c r="J506"/>
      <c r="K506"/>
      <c r="L506"/>
      <c r="M506"/>
      <c r="N506" s="392"/>
      <c r="O506" s="2"/>
      <c r="S506"/>
      <c r="T506"/>
      <c r="U506"/>
      <c r="W506"/>
    </row>
    <row r="507" spans="10:23" s="1" customFormat="1" x14ac:dyDescent="0.2">
      <c r="J507"/>
      <c r="K507"/>
      <c r="L507"/>
      <c r="M507"/>
      <c r="N507" s="392"/>
      <c r="O507" s="2"/>
      <c r="S507"/>
      <c r="T507"/>
      <c r="U507"/>
      <c r="W507"/>
    </row>
    <row r="508" spans="10:23" s="1" customFormat="1" x14ac:dyDescent="0.2">
      <c r="J508"/>
      <c r="K508"/>
      <c r="L508"/>
      <c r="M508"/>
      <c r="N508" s="392"/>
      <c r="O508" s="2"/>
      <c r="S508"/>
      <c r="T508"/>
      <c r="U508"/>
      <c r="W508"/>
    </row>
    <row r="509" spans="10:23" s="1" customFormat="1" x14ac:dyDescent="0.2">
      <c r="J509"/>
      <c r="K509"/>
      <c r="L509"/>
      <c r="M509"/>
      <c r="N509" s="392"/>
      <c r="O509" s="2"/>
      <c r="S509"/>
      <c r="T509"/>
      <c r="U509"/>
      <c r="W509"/>
    </row>
    <row r="510" spans="10:23" s="1" customFormat="1" x14ac:dyDescent="0.2">
      <c r="J510"/>
      <c r="K510"/>
      <c r="L510"/>
      <c r="M510"/>
      <c r="N510" s="392"/>
      <c r="O510" s="2"/>
      <c r="S510"/>
      <c r="T510"/>
      <c r="U510"/>
      <c r="W510"/>
    </row>
    <row r="511" spans="10:23" s="1" customFormat="1" x14ac:dyDescent="0.2">
      <c r="J511"/>
      <c r="K511"/>
      <c r="L511"/>
      <c r="M511"/>
      <c r="N511" s="392"/>
      <c r="O511" s="2"/>
      <c r="S511"/>
      <c r="T511"/>
      <c r="U511"/>
      <c r="W511"/>
    </row>
    <row r="512" spans="10:23" s="1" customFormat="1" x14ac:dyDescent="0.2">
      <c r="J512"/>
      <c r="K512"/>
      <c r="L512"/>
      <c r="M512"/>
      <c r="N512" s="392"/>
      <c r="O512" s="2"/>
      <c r="S512"/>
      <c r="T512"/>
      <c r="U512"/>
      <c r="W512"/>
    </row>
    <row r="513" spans="10:23" s="1" customFormat="1" x14ac:dyDescent="0.2">
      <c r="J513"/>
      <c r="K513"/>
      <c r="L513"/>
      <c r="M513"/>
      <c r="N513" s="392"/>
      <c r="O513" s="2"/>
      <c r="S513"/>
      <c r="T513"/>
      <c r="U513"/>
      <c r="W513"/>
    </row>
    <row r="514" spans="10:23" s="1" customFormat="1" x14ac:dyDescent="0.2">
      <c r="J514"/>
      <c r="K514"/>
      <c r="L514"/>
      <c r="M514"/>
      <c r="N514" s="392"/>
      <c r="O514" s="2"/>
      <c r="S514"/>
      <c r="T514"/>
      <c r="U514"/>
      <c r="W514"/>
    </row>
    <row r="515" spans="10:23" s="1" customFormat="1" x14ac:dyDescent="0.2">
      <c r="J515"/>
      <c r="K515"/>
      <c r="L515"/>
      <c r="M515"/>
      <c r="N515" s="392"/>
      <c r="O515" s="2"/>
      <c r="S515"/>
      <c r="T515"/>
      <c r="U515"/>
      <c r="W515"/>
    </row>
    <row r="516" spans="10:23" s="1" customFormat="1" x14ac:dyDescent="0.2">
      <c r="J516"/>
      <c r="K516"/>
      <c r="L516"/>
      <c r="M516"/>
      <c r="N516" s="392"/>
      <c r="O516" s="2"/>
      <c r="S516"/>
      <c r="T516"/>
      <c r="U516"/>
      <c r="W516"/>
    </row>
    <row r="517" spans="10:23" s="1" customFormat="1" x14ac:dyDescent="0.2">
      <c r="J517"/>
      <c r="K517"/>
      <c r="L517"/>
      <c r="M517"/>
      <c r="N517" s="392"/>
      <c r="O517" s="2"/>
      <c r="S517"/>
      <c r="T517"/>
      <c r="U517"/>
      <c r="W517"/>
    </row>
    <row r="518" spans="10:23" s="1" customFormat="1" x14ac:dyDescent="0.2">
      <c r="J518"/>
      <c r="K518"/>
      <c r="L518"/>
      <c r="M518"/>
      <c r="N518" s="392"/>
      <c r="O518" s="2"/>
      <c r="S518"/>
      <c r="T518"/>
      <c r="U518"/>
      <c r="W518"/>
    </row>
    <row r="519" spans="10:23" s="1" customFormat="1" x14ac:dyDescent="0.2">
      <c r="J519"/>
      <c r="K519"/>
      <c r="L519"/>
      <c r="M519"/>
      <c r="N519" s="392"/>
      <c r="O519" s="2"/>
      <c r="S519"/>
      <c r="T519"/>
      <c r="U519"/>
      <c r="W519"/>
    </row>
    <row r="520" spans="10:23" s="1" customFormat="1" x14ac:dyDescent="0.2">
      <c r="J520"/>
      <c r="K520"/>
      <c r="L520"/>
      <c r="M520"/>
      <c r="N520" s="392"/>
      <c r="O520" s="2"/>
      <c r="S520"/>
      <c r="T520"/>
      <c r="U520"/>
      <c r="W520"/>
    </row>
    <row r="521" spans="10:23" s="1" customFormat="1" x14ac:dyDescent="0.2">
      <c r="J521"/>
      <c r="K521"/>
      <c r="L521"/>
      <c r="M521"/>
      <c r="N521" s="392"/>
      <c r="O521" s="2"/>
      <c r="S521"/>
      <c r="T521"/>
      <c r="U521"/>
      <c r="W521"/>
    </row>
    <row r="522" spans="10:23" s="1" customFormat="1" x14ac:dyDescent="0.2">
      <c r="J522"/>
      <c r="K522"/>
      <c r="L522"/>
      <c r="M522"/>
      <c r="N522" s="392"/>
      <c r="O522" s="2"/>
      <c r="S522"/>
      <c r="T522"/>
      <c r="U522"/>
      <c r="W522"/>
    </row>
    <row r="523" spans="10:23" s="1" customFormat="1" x14ac:dyDescent="0.2">
      <c r="J523"/>
      <c r="K523"/>
      <c r="L523"/>
      <c r="M523"/>
      <c r="N523" s="392"/>
      <c r="O523" s="2"/>
      <c r="S523"/>
      <c r="T523"/>
      <c r="U523"/>
      <c r="W523"/>
    </row>
    <row r="524" spans="10:23" s="1" customFormat="1" x14ac:dyDescent="0.2">
      <c r="J524"/>
      <c r="K524"/>
      <c r="L524"/>
      <c r="M524"/>
      <c r="N524" s="392"/>
      <c r="O524" s="2"/>
      <c r="S524"/>
      <c r="T524"/>
      <c r="U524"/>
      <c r="W524"/>
    </row>
    <row r="525" spans="10:23" s="1" customFormat="1" x14ac:dyDescent="0.2">
      <c r="J525"/>
      <c r="K525"/>
      <c r="L525"/>
      <c r="M525"/>
      <c r="N525" s="392"/>
      <c r="O525" s="2"/>
      <c r="S525"/>
      <c r="T525"/>
      <c r="U525"/>
      <c r="W525"/>
    </row>
    <row r="526" spans="10:23" s="1" customFormat="1" x14ac:dyDescent="0.2">
      <c r="J526"/>
      <c r="K526"/>
      <c r="L526"/>
      <c r="M526"/>
      <c r="N526" s="392"/>
      <c r="O526" s="2"/>
      <c r="S526"/>
      <c r="T526"/>
      <c r="U526"/>
      <c r="W526"/>
    </row>
    <row r="527" spans="10:23" s="1" customFormat="1" x14ac:dyDescent="0.2">
      <c r="J527"/>
      <c r="K527"/>
      <c r="L527"/>
      <c r="M527"/>
      <c r="N527" s="392"/>
      <c r="O527" s="2"/>
      <c r="S527"/>
      <c r="T527"/>
      <c r="U527"/>
      <c r="W527"/>
    </row>
    <row r="528" spans="10:23" s="1" customFormat="1" x14ac:dyDescent="0.2">
      <c r="J528"/>
      <c r="K528"/>
      <c r="L528"/>
      <c r="M528"/>
      <c r="N528" s="392"/>
      <c r="O528" s="2"/>
      <c r="S528"/>
      <c r="T528"/>
      <c r="U528"/>
      <c r="W528"/>
    </row>
    <row r="529" spans="10:23" s="1" customFormat="1" x14ac:dyDescent="0.2">
      <c r="J529"/>
      <c r="K529"/>
      <c r="L529"/>
      <c r="M529"/>
      <c r="N529" s="392"/>
      <c r="O529" s="2"/>
      <c r="S529"/>
      <c r="T529"/>
      <c r="U529"/>
      <c r="W529"/>
    </row>
    <row r="530" spans="10:23" s="1" customFormat="1" x14ac:dyDescent="0.2">
      <c r="J530"/>
      <c r="K530"/>
      <c r="L530"/>
      <c r="M530"/>
      <c r="N530" s="392"/>
      <c r="O530" s="2"/>
      <c r="S530"/>
      <c r="T530"/>
      <c r="U530"/>
      <c r="W530"/>
    </row>
    <row r="531" spans="10:23" s="1" customFormat="1" x14ac:dyDescent="0.2">
      <c r="J531"/>
      <c r="K531"/>
      <c r="L531"/>
      <c r="M531"/>
      <c r="N531" s="392"/>
      <c r="O531" s="2"/>
      <c r="S531"/>
      <c r="T531"/>
      <c r="U531"/>
      <c r="W531"/>
    </row>
    <row r="532" spans="10:23" s="1" customFormat="1" x14ac:dyDescent="0.2">
      <c r="J532"/>
      <c r="K532"/>
      <c r="L532"/>
      <c r="M532"/>
      <c r="N532" s="392"/>
      <c r="O532" s="2"/>
      <c r="S532"/>
      <c r="T532"/>
      <c r="U532"/>
      <c r="W532"/>
    </row>
    <row r="533" spans="10:23" s="1" customFormat="1" x14ac:dyDescent="0.2">
      <c r="J533"/>
      <c r="K533"/>
      <c r="L533"/>
      <c r="M533"/>
      <c r="N533" s="392"/>
      <c r="O533" s="2"/>
      <c r="S533"/>
      <c r="T533"/>
      <c r="U533"/>
      <c r="W533"/>
    </row>
    <row r="534" spans="10:23" s="1" customFormat="1" x14ac:dyDescent="0.2">
      <c r="J534"/>
      <c r="K534"/>
      <c r="L534"/>
      <c r="M534"/>
      <c r="N534" s="392"/>
      <c r="O534" s="2"/>
      <c r="S534"/>
      <c r="T534"/>
      <c r="U534"/>
      <c r="W534"/>
    </row>
    <row r="535" spans="10:23" s="1" customFormat="1" x14ac:dyDescent="0.2">
      <c r="J535"/>
      <c r="K535"/>
      <c r="L535"/>
      <c r="M535"/>
      <c r="N535" s="392"/>
      <c r="O535" s="2"/>
      <c r="S535"/>
      <c r="T535"/>
      <c r="U535"/>
      <c r="W535"/>
    </row>
    <row r="536" spans="10:23" s="1" customFormat="1" x14ac:dyDescent="0.2">
      <c r="J536"/>
      <c r="K536"/>
      <c r="L536"/>
      <c r="M536"/>
      <c r="N536" s="392"/>
      <c r="O536" s="2"/>
      <c r="S536"/>
      <c r="T536"/>
      <c r="U536"/>
      <c r="W536"/>
    </row>
    <row r="537" spans="10:23" s="1" customFormat="1" x14ac:dyDescent="0.2">
      <c r="J537"/>
      <c r="K537"/>
      <c r="L537"/>
      <c r="M537"/>
      <c r="N537" s="392"/>
      <c r="O537" s="2"/>
      <c r="S537"/>
      <c r="T537"/>
      <c r="U537"/>
      <c r="W537"/>
    </row>
    <row r="538" spans="10:23" s="1" customFormat="1" x14ac:dyDescent="0.2">
      <c r="J538"/>
      <c r="K538"/>
      <c r="L538"/>
      <c r="M538"/>
      <c r="N538" s="392"/>
      <c r="O538" s="2"/>
      <c r="S538"/>
      <c r="T538"/>
      <c r="U538"/>
      <c r="W538"/>
    </row>
    <row r="539" spans="10:23" s="1" customFormat="1" x14ac:dyDescent="0.2">
      <c r="J539"/>
      <c r="K539"/>
      <c r="L539"/>
      <c r="M539"/>
      <c r="N539" s="392"/>
      <c r="O539" s="2"/>
      <c r="S539"/>
      <c r="T539"/>
      <c r="U539"/>
      <c r="W539"/>
    </row>
    <row r="540" spans="10:23" s="1" customFormat="1" x14ac:dyDescent="0.2">
      <c r="J540"/>
      <c r="K540"/>
      <c r="L540"/>
      <c r="M540"/>
      <c r="N540" s="392"/>
      <c r="O540" s="2"/>
      <c r="S540"/>
      <c r="T540"/>
      <c r="U540"/>
      <c r="W540"/>
    </row>
    <row r="541" spans="10:23" s="1" customFormat="1" x14ac:dyDescent="0.2">
      <c r="J541"/>
      <c r="K541"/>
      <c r="L541"/>
      <c r="M541"/>
      <c r="N541" s="392"/>
      <c r="O541" s="2"/>
      <c r="S541"/>
      <c r="T541"/>
      <c r="U541"/>
      <c r="W541"/>
    </row>
    <row r="542" spans="10:23" s="1" customFormat="1" x14ac:dyDescent="0.2">
      <c r="J542"/>
      <c r="K542"/>
      <c r="L542"/>
      <c r="M542"/>
      <c r="N542" s="392"/>
      <c r="O542" s="2"/>
      <c r="S542"/>
      <c r="T542"/>
      <c r="U542"/>
      <c r="W542"/>
    </row>
    <row r="543" spans="10:23" s="1" customFormat="1" x14ac:dyDescent="0.2">
      <c r="J543"/>
      <c r="K543"/>
      <c r="L543"/>
      <c r="M543"/>
      <c r="N543" s="392"/>
      <c r="O543" s="2"/>
      <c r="S543"/>
      <c r="T543"/>
      <c r="U543"/>
      <c r="W543"/>
    </row>
    <row r="544" spans="10:23" s="1" customFormat="1" x14ac:dyDescent="0.2">
      <c r="J544"/>
      <c r="K544"/>
      <c r="L544"/>
      <c r="M544"/>
      <c r="N544" s="392"/>
      <c r="O544" s="2"/>
      <c r="S544"/>
      <c r="T544"/>
      <c r="U544"/>
      <c r="W544"/>
    </row>
    <row r="545" spans="10:23" s="1" customFormat="1" x14ac:dyDescent="0.2">
      <c r="J545"/>
      <c r="K545"/>
      <c r="L545"/>
      <c r="M545"/>
      <c r="N545" s="392"/>
      <c r="O545" s="2"/>
      <c r="S545"/>
      <c r="T545"/>
      <c r="U545"/>
      <c r="W545"/>
    </row>
    <row r="546" spans="10:23" s="1" customFormat="1" x14ac:dyDescent="0.2">
      <c r="J546"/>
      <c r="K546"/>
      <c r="L546"/>
      <c r="M546"/>
      <c r="N546" s="392"/>
      <c r="O546" s="2"/>
      <c r="S546"/>
      <c r="T546"/>
      <c r="U546"/>
      <c r="W546"/>
    </row>
    <row r="547" spans="10:23" s="1" customFormat="1" x14ac:dyDescent="0.2">
      <c r="J547"/>
      <c r="K547"/>
      <c r="L547"/>
      <c r="M547"/>
      <c r="N547" s="392"/>
      <c r="O547" s="2"/>
      <c r="S547"/>
      <c r="T547"/>
      <c r="U547"/>
      <c r="W547"/>
    </row>
    <row r="548" spans="10:23" s="1" customFormat="1" x14ac:dyDescent="0.2">
      <c r="J548"/>
      <c r="K548"/>
      <c r="L548"/>
      <c r="M548"/>
      <c r="N548" s="392"/>
      <c r="O548" s="2"/>
      <c r="S548"/>
      <c r="T548"/>
      <c r="U548"/>
      <c r="W548"/>
    </row>
    <row r="549" spans="10:23" s="1" customFormat="1" x14ac:dyDescent="0.2">
      <c r="J549"/>
      <c r="K549"/>
      <c r="L549"/>
      <c r="M549"/>
      <c r="N549" s="392"/>
      <c r="O549" s="2"/>
      <c r="S549"/>
      <c r="T549"/>
      <c r="U549"/>
      <c r="W549"/>
    </row>
    <row r="550" spans="10:23" s="1" customFormat="1" x14ac:dyDescent="0.2">
      <c r="J550"/>
      <c r="K550"/>
      <c r="L550"/>
      <c r="M550"/>
      <c r="N550" s="392"/>
      <c r="O550" s="2"/>
      <c r="S550"/>
      <c r="T550"/>
      <c r="U550"/>
      <c r="W550"/>
    </row>
    <row r="551" spans="10:23" s="1" customFormat="1" x14ac:dyDescent="0.2">
      <c r="J551"/>
      <c r="K551"/>
      <c r="L551"/>
      <c r="M551"/>
      <c r="N551" s="392"/>
      <c r="O551" s="2"/>
      <c r="S551"/>
      <c r="T551"/>
      <c r="U551"/>
      <c r="W551"/>
    </row>
    <row r="552" spans="10:23" s="1" customFormat="1" x14ac:dyDescent="0.2">
      <c r="J552"/>
      <c r="K552"/>
      <c r="L552"/>
      <c r="M552"/>
      <c r="N552" s="392"/>
      <c r="O552" s="2"/>
      <c r="S552"/>
      <c r="T552"/>
      <c r="U552"/>
      <c r="W552"/>
    </row>
    <row r="553" spans="10:23" s="1" customFormat="1" x14ac:dyDescent="0.2">
      <c r="J553"/>
      <c r="K553"/>
      <c r="L553"/>
      <c r="M553"/>
      <c r="N553" s="392"/>
      <c r="O553" s="2"/>
      <c r="S553"/>
      <c r="T553"/>
      <c r="U553"/>
      <c r="W553"/>
    </row>
    <row r="554" spans="10:23" s="1" customFormat="1" x14ac:dyDescent="0.2">
      <c r="J554"/>
      <c r="K554"/>
      <c r="L554"/>
      <c r="M554"/>
      <c r="N554" s="392"/>
      <c r="O554" s="2"/>
      <c r="S554"/>
      <c r="T554"/>
      <c r="U554"/>
      <c r="W554"/>
    </row>
    <row r="555" spans="10:23" s="1" customFormat="1" x14ac:dyDescent="0.2">
      <c r="J555"/>
      <c r="K555"/>
      <c r="L555"/>
      <c r="M555"/>
      <c r="N555" s="392"/>
      <c r="O555" s="2"/>
      <c r="S555"/>
      <c r="T555"/>
      <c r="U555"/>
      <c r="W555"/>
    </row>
    <row r="556" spans="10:23" s="1" customFormat="1" x14ac:dyDescent="0.2">
      <c r="J556"/>
      <c r="K556"/>
      <c r="L556"/>
      <c r="M556"/>
      <c r="N556" s="392"/>
      <c r="O556" s="2"/>
      <c r="S556"/>
      <c r="T556"/>
      <c r="U556"/>
      <c r="W556"/>
    </row>
    <row r="557" spans="10:23" s="1" customFormat="1" x14ac:dyDescent="0.2">
      <c r="J557"/>
      <c r="K557"/>
      <c r="L557"/>
      <c r="M557"/>
      <c r="N557" s="392"/>
      <c r="O557" s="2"/>
      <c r="S557"/>
      <c r="T557"/>
      <c r="U557"/>
      <c r="W557"/>
    </row>
    <row r="558" spans="10:23" s="1" customFormat="1" x14ac:dyDescent="0.2">
      <c r="J558"/>
      <c r="K558"/>
      <c r="L558"/>
      <c r="M558"/>
      <c r="N558" s="392"/>
      <c r="O558" s="2"/>
      <c r="S558"/>
      <c r="T558"/>
      <c r="U558"/>
      <c r="W558"/>
    </row>
    <row r="559" spans="10:23" s="1" customFormat="1" x14ac:dyDescent="0.2">
      <c r="J559"/>
      <c r="K559"/>
      <c r="L559"/>
      <c r="M559"/>
      <c r="N559" s="392"/>
      <c r="O559" s="2"/>
      <c r="S559"/>
      <c r="T559"/>
      <c r="U559"/>
      <c r="W559"/>
    </row>
    <row r="560" spans="10:23" s="1" customFormat="1" x14ac:dyDescent="0.2">
      <c r="J560"/>
      <c r="K560"/>
      <c r="L560"/>
      <c r="M560"/>
      <c r="N560" s="392"/>
      <c r="O560" s="2"/>
      <c r="S560"/>
      <c r="T560"/>
      <c r="U560"/>
      <c r="W560"/>
    </row>
    <row r="561" spans="10:23" s="1" customFormat="1" x14ac:dyDescent="0.2">
      <c r="J561"/>
      <c r="K561"/>
      <c r="L561"/>
      <c r="M561"/>
      <c r="N561" s="392"/>
      <c r="O561" s="2"/>
      <c r="S561"/>
      <c r="T561"/>
      <c r="U561"/>
      <c r="W561"/>
    </row>
    <row r="562" spans="10:23" s="1" customFormat="1" x14ac:dyDescent="0.2">
      <c r="J562"/>
      <c r="K562"/>
      <c r="L562"/>
      <c r="M562"/>
      <c r="N562" s="392"/>
      <c r="O562" s="2"/>
      <c r="S562"/>
      <c r="T562"/>
      <c r="U562"/>
      <c r="W562"/>
    </row>
    <row r="563" spans="10:23" s="1" customFormat="1" x14ac:dyDescent="0.2">
      <c r="J563"/>
      <c r="K563"/>
      <c r="L563"/>
      <c r="M563"/>
      <c r="N563" s="392"/>
      <c r="O563" s="2"/>
      <c r="S563"/>
      <c r="T563"/>
      <c r="U563"/>
      <c r="W563"/>
    </row>
    <row r="564" spans="10:23" s="1" customFormat="1" x14ac:dyDescent="0.2">
      <c r="J564"/>
      <c r="K564"/>
      <c r="L564"/>
      <c r="M564"/>
      <c r="N564" s="392"/>
      <c r="O564" s="2"/>
      <c r="S564"/>
      <c r="T564"/>
      <c r="U564"/>
      <c r="W564"/>
    </row>
    <row r="565" spans="10:23" s="1" customFormat="1" x14ac:dyDescent="0.2">
      <c r="J565"/>
      <c r="K565"/>
      <c r="L565"/>
      <c r="M565"/>
      <c r="N565" s="392"/>
      <c r="O565" s="2"/>
      <c r="S565"/>
      <c r="T565"/>
      <c r="U565"/>
      <c r="W565"/>
    </row>
    <row r="566" spans="10:23" s="1" customFormat="1" x14ac:dyDescent="0.2">
      <c r="J566"/>
      <c r="K566"/>
      <c r="L566"/>
      <c r="M566"/>
      <c r="N566" s="392"/>
      <c r="O566" s="2"/>
      <c r="S566"/>
      <c r="T566"/>
      <c r="U566"/>
      <c r="W566"/>
    </row>
    <row r="567" spans="10:23" s="1" customFormat="1" x14ac:dyDescent="0.2">
      <c r="J567"/>
      <c r="K567"/>
      <c r="L567"/>
      <c r="M567"/>
      <c r="N567" s="392"/>
      <c r="O567" s="2"/>
      <c r="S567"/>
      <c r="T567"/>
      <c r="U567"/>
      <c r="W567"/>
    </row>
    <row r="568" spans="10:23" s="1" customFormat="1" x14ac:dyDescent="0.2">
      <c r="J568"/>
      <c r="K568"/>
      <c r="L568"/>
      <c r="M568"/>
      <c r="N568" s="392"/>
      <c r="O568" s="2"/>
      <c r="S568"/>
      <c r="T568"/>
      <c r="U568"/>
      <c r="W568"/>
    </row>
    <row r="569" spans="10:23" s="1" customFormat="1" x14ac:dyDescent="0.2">
      <c r="J569"/>
      <c r="K569"/>
      <c r="L569"/>
      <c r="M569"/>
      <c r="N569" s="392"/>
      <c r="O569" s="2"/>
      <c r="S569"/>
      <c r="T569"/>
      <c r="U569"/>
      <c r="W569"/>
    </row>
    <row r="570" spans="10:23" s="1" customFormat="1" x14ac:dyDescent="0.2">
      <c r="J570"/>
      <c r="K570"/>
      <c r="L570"/>
      <c r="M570"/>
      <c r="N570" s="392"/>
      <c r="O570" s="2"/>
      <c r="S570"/>
      <c r="T570"/>
      <c r="U570"/>
      <c r="W570"/>
    </row>
    <row r="571" spans="10:23" s="1" customFormat="1" x14ac:dyDescent="0.2">
      <c r="J571"/>
      <c r="K571"/>
      <c r="L571"/>
      <c r="M571"/>
      <c r="N571" s="392"/>
      <c r="O571" s="2"/>
      <c r="S571"/>
      <c r="T571"/>
      <c r="U571"/>
      <c r="W571"/>
    </row>
    <row r="572" spans="10:23" s="1" customFormat="1" x14ac:dyDescent="0.2">
      <c r="J572"/>
      <c r="K572"/>
      <c r="L572"/>
      <c r="M572"/>
      <c r="N572" s="392"/>
      <c r="O572" s="2"/>
      <c r="S572"/>
      <c r="T572"/>
      <c r="U572"/>
      <c r="W572"/>
    </row>
    <row r="573" spans="10:23" s="1" customFormat="1" x14ac:dyDescent="0.2">
      <c r="J573"/>
      <c r="K573"/>
      <c r="L573"/>
      <c r="M573"/>
      <c r="N573" s="392"/>
      <c r="O573" s="2"/>
      <c r="S573"/>
      <c r="T573"/>
      <c r="U573"/>
      <c r="W573"/>
    </row>
    <row r="574" spans="10:23" s="1" customFormat="1" x14ac:dyDescent="0.2">
      <c r="J574"/>
      <c r="K574"/>
      <c r="L574"/>
      <c r="M574"/>
      <c r="N574" s="392"/>
      <c r="O574" s="2"/>
      <c r="S574"/>
      <c r="T574"/>
      <c r="U574"/>
      <c r="W574"/>
    </row>
    <row r="575" spans="10:23" s="1" customFormat="1" x14ac:dyDescent="0.2">
      <c r="J575"/>
      <c r="K575"/>
      <c r="L575"/>
      <c r="M575"/>
      <c r="N575" s="392"/>
      <c r="O575" s="2"/>
      <c r="S575"/>
      <c r="T575"/>
      <c r="U575"/>
      <c r="W575"/>
    </row>
    <row r="576" spans="10:23" s="1" customFormat="1" x14ac:dyDescent="0.2">
      <c r="J576"/>
      <c r="K576"/>
      <c r="L576"/>
      <c r="M576"/>
      <c r="N576" s="392"/>
      <c r="O576" s="2"/>
      <c r="S576"/>
      <c r="T576"/>
      <c r="U576"/>
      <c r="W576"/>
    </row>
    <row r="577" spans="10:23" s="1" customFormat="1" x14ac:dyDescent="0.2">
      <c r="J577"/>
      <c r="K577"/>
      <c r="L577"/>
      <c r="M577"/>
      <c r="N577" s="392"/>
      <c r="O577" s="2"/>
      <c r="S577"/>
      <c r="T577"/>
      <c r="U577"/>
      <c r="W577"/>
    </row>
    <row r="578" spans="10:23" s="1" customFormat="1" x14ac:dyDescent="0.2">
      <c r="J578"/>
      <c r="K578"/>
      <c r="L578"/>
      <c r="M578"/>
      <c r="N578" s="392"/>
      <c r="O578" s="2"/>
      <c r="S578"/>
      <c r="T578"/>
      <c r="U578"/>
      <c r="W578"/>
    </row>
    <row r="579" spans="10:23" s="1" customFormat="1" x14ac:dyDescent="0.2">
      <c r="J579"/>
      <c r="K579"/>
      <c r="L579"/>
      <c r="M579"/>
      <c r="N579" s="392"/>
      <c r="O579" s="2"/>
      <c r="S579"/>
      <c r="T579"/>
      <c r="U579"/>
      <c r="W579"/>
    </row>
    <row r="580" spans="10:23" s="1" customFormat="1" x14ac:dyDescent="0.2">
      <c r="J580"/>
      <c r="K580"/>
      <c r="L580"/>
      <c r="M580"/>
      <c r="N580" s="392"/>
      <c r="O580" s="2"/>
      <c r="S580"/>
      <c r="T580"/>
      <c r="U580"/>
      <c r="W580"/>
    </row>
    <row r="581" spans="10:23" s="1" customFormat="1" x14ac:dyDescent="0.2">
      <c r="J581"/>
      <c r="K581"/>
      <c r="L581"/>
      <c r="M581"/>
      <c r="N581" s="392"/>
      <c r="O581" s="2"/>
      <c r="S581"/>
      <c r="T581"/>
      <c r="U581"/>
      <c r="W581"/>
    </row>
    <row r="582" spans="10:23" s="1" customFormat="1" x14ac:dyDescent="0.2">
      <c r="J582"/>
      <c r="K582"/>
      <c r="L582"/>
      <c r="M582"/>
      <c r="N582" s="392"/>
      <c r="O582" s="2"/>
      <c r="S582"/>
      <c r="T582"/>
      <c r="U582"/>
      <c r="W582"/>
    </row>
    <row r="583" spans="10:23" s="1" customFormat="1" x14ac:dyDescent="0.2">
      <c r="J583"/>
      <c r="K583"/>
      <c r="L583"/>
      <c r="M583"/>
      <c r="N583" s="392"/>
      <c r="O583" s="2"/>
      <c r="S583"/>
      <c r="T583"/>
      <c r="U583"/>
      <c r="W583"/>
    </row>
    <row r="584" spans="10:23" s="1" customFormat="1" x14ac:dyDescent="0.2">
      <c r="J584"/>
      <c r="K584"/>
      <c r="L584"/>
      <c r="M584"/>
      <c r="N584" s="392"/>
      <c r="O584" s="2"/>
      <c r="S584"/>
      <c r="T584"/>
      <c r="U584"/>
      <c r="W584"/>
    </row>
    <row r="585" spans="10:23" s="1" customFormat="1" x14ac:dyDescent="0.2">
      <c r="J585"/>
      <c r="K585"/>
      <c r="L585"/>
      <c r="M585"/>
      <c r="N585" s="392"/>
      <c r="O585" s="2"/>
      <c r="S585"/>
      <c r="T585"/>
      <c r="U585"/>
      <c r="W585"/>
    </row>
    <row r="586" spans="10:23" s="1" customFormat="1" x14ac:dyDescent="0.2">
      <c r="J586"/>
      <c r="K586"/>
      <c r="L586"/>
      <c r="M586"/>
      <c r="N586" s="392"/>
      <c r="O586" s="2"/>
      <c r="S586"/>
      <c r="T586"/>
      <c r="U586"/>
      <c r="W586"/>
    </row>
    <row r="587" spans="10:23" s="1" customFormat="1" x14ac:dyDescent="0.2">
      <c r="J587"/>
      <c r="K587"/>
      <c r="L587"/>
      <c r="M587"/>
      <c r="N587" s="392"/>
      <c r="O587" s="2"/>
      <c r="S587"/>
      <c r="T587"/>
      <c r="U587"/>
      <c r="W587"/>
    </row>
    <row r="588" spans="10:23" s="1" customFormat="1" x14ac:dyDescent="0.2">
      <c r="J588"/>
      <c r="K588"/>
      <c r="L588"/>
      <c r="M588"/>
      <c r="N588" s="392"/>
      <c r="O588" s="2"/>
      <c r="S588"/>
      <c r="T588"/>
      <c r="U588"/>
      <c r="W588"/>
    </row>
    <row r="589" spans="10:23" s="1" customFormat="1" x14ac:dyDescent="0.2">
      <c r="J589"/>
      <c r="K589"/>
      <c r="L589"/>
      <c r="M589"/>
      <c r="N589" s="392"/>
      <c r="O589" s="2"/>
      <c r="S589"/>
      <c r="T589"/>
      <c r="U589"/>
      <c r="W589"/>
    </row>
    <row r="590" spans="10:23" s="1" customFormat="1" x14ac:dyDescent="0.2">
      <c r="J590"/>
      <c r="K590"/>
      <c r="L590"/>
      <c r="M590"/>
      <c r="N590" s="392"/>
      <c r="O590" s="2"/>
      <c r="S590"/>
      <c r="T590"/>
      <c r="U590"/>
      <c r="W590"/>
    </row>
    <row r="591" spans="10:23" s="1" customFormat="1" x14ac:dyDescent="0.2">
      <c r="J591"/>
      <c r="K591"/>
      <c r="L591"/>
      <c r="M591"/>
      <c r="N591" s="392"/>
      <c r="O591" s="2"/>
      <c r="S591"/>
      <c r="T591"/>
      <c r="U591"/>
      <c r="W591"/>
    </row>
    <row r="592" spans="10:23" s="1" customFormat="1" x14ac:dyDescent="0.2">
      <c r="J592"/>
      <c r="K592"/>
      <c r="L592"/>
      <c r="M592"/>
      <c r="N592" s="392"/>
      <c r="O592" s="2"/>
      <c r="S592"/>
      <c r="T592"/>
      <c r="U592"/>
      <c r="W592"/>
    </row>
    <row r="593" spans="10:23" s="1" customFormat="1" x14ac:dyDescent="0.2">
      <c r="J593"/>
      <c r="K593"/>
      <c r="L593"/>
      <c r="M593"/>
      <c r="N593" s="392"/>
      <c r="O593" s="2"/>
      <c r="S593"/>
      <c r="T593"/>
      <c r="U593"/>
      <c r="W593"/>
    </row>
    <row r="594" spans="10:23" s="1" customFormat="1" x14ac:dyDescent="0.2">
      <c r="J594"/>
      <c r="K594"/>
      <c r="L594"/>
      <c r="M594"/>
      <c r="N594" s="392"/>
      <c r="O594" s="2"/>
      <c r="S594"/>
      <c r="T594"/>
      <c r="U594"/>
      <c r="W594"/>
    </row>
    <row r="595" spans="10:23" s="1" customFormat="1" x14ac:dyDescent="0.2">
      <c r="J595"/>
      <c r="K595"/>
      <c r="L595"/>
      <c r="M595"/>
      <c r="N595" s="392"/>
      <c r="O595" s="2"/>
      <c r="S595"/>
      <c r="T595"/>
      <c r="U595"/>
      <c r="W595"/>
    </row>
    <row r="596" spans="10:23" s="1" customFormat="1" x14ac:dyDescent="0.2">
      <c r="J596"/>
      <c r="K596"/>
      <c r="L596"/>
      <c r="M596"/>
      <c r="N596" s="392"/>
      <c r="O596" s="2"/>
      <c r="S596"/>
      <c r="T596"/>
      <c r="U596"/>
      <c r="W596"/>
    </row>
    <row r="597" spans="10:23" s="1" customFormat="1" x14ac:dyDescent="0.2">
      <c r="J597"/>
      <c r="K597"/>
      <c r="L597"/>
      <c r="M597"/>
      <c r="N597" s="392"/>
      <c r="O597" s="2"/>
      <c r="S597"/>
      <c r="T597"/>
      <c r="U597"/>
      <c r="W597"/>
    </row>
    <row r="598" spans="10:23" s="1" customFormat="1" x14ac:dyDescent="0.2">
      <c r="J598"/>
      <c r="K598"/>
      <c r="L598"/>
      <c r="M598"/>
      <c r="N598" s="392"/>
      <c r="O598" s="2"/>
      <c r="S598"/>
      <c r="T598"/>
      <c r="U598"/>
      <c r="W598"/>
    </row>
    <row r="599" spans="10:23" s="1" customFormat="1" x14ac:dyDescent="0.2">
      <c r="J599"/>
      <c r="K599"/>
      <c r="L599"/>
      <c r="M599"/>
      <c r="N599" s="392"/>
      <c r="O599" s="2"/>
      <c r="S599"/>
      <c r="T599"/>
      <c r="U599"/>
      <c r="W599"/>
    </row>
    <row r="600" spans="10:23" s="1" customFormat="1" x14ac:dyDescent="0.2">
      <c r="J600"/>
      <c r="K600"/>
      <c r="L600"/>
      <c r="M600"/>
      <c r="N600" s="392"/>
      <c r="O600" s="2"/>
      <c r="S600"/>
      <c r="T600"/>
      <c r="U600"/>
      <c r="W600"/>
    </row>
    <row r="601" spans="10:23" s="1" customFormat="1" x14ac:dyDescent="0.2">
      <c r="J601"/>
      <c r="K601"/>
      <c r="L601"/>
      <c r="M601"/>
      <c r="N601" s="392"/>
      <c r="O601" s="2"/>
      <c r="S601"/>
      <c r="T601"/>
      <c r="U601"/>
      <c r="W601"/>
    </row>
    <row r="602" spans="10:23" s="1" customFormat="1" x14ac:dyDescent="0.2">
      <c r="J602"/>
      <c r="K602"/>
      <c r="L602"/>
      <c r="M602"/>
      <c r="N602" s="392"/>
      <c r="O602" s="2"/>
      <c r="S602"/>
      <c r="T602"/>
      <c r="U602"/>
      <c r="W602"/>
    </row>
    <row r="603" spans="10:23" s="1" customFormat="1" x14ac:dyDescent="0.2">
      <c r="J603"/>
      <c r="K603"/>
      <c r="L603"/>
      <c r="M603"/>
      <c r="N603" s="392"/>
      <c r="O603" s="2"/>
      <c r="S603"/>
      <c r="T603"/>
      <c r="U603"/>
      <c r="W603"/>
    </row>
    <row r="604" spans="10:23" s="1" customFormat="1" x14ac:dyDescent="0.2">
      <c r="J604"/>
      <c r="K604"/>
      <c r="L604"/>
      <c r="M604"/>
      <c r="N604" s="392"/>
      <c r="O604" s="2"/>
      <c r="S604"/>
      <c r="T604"/>
      <c r="U604"/>
      <c r="W604"/>
    </row>
    <row r="605" spans="10:23" s="1" customFormat="1" x14ac:dyDescent="0.2">
      <c r="J605"/>
      <c r="K605"/>
      <c r="L605"/>
      <c r="M605"/>
      <c r="N605" s="392"/>
      <c r="O605" s="2"/>
      <c r="S605"/>
      <c r="T605"/>
      <c r="U605"/>
      <c r="W605"/>
    </row>
    <row r="606" spans="10:23" s="1" customFormat="1" x14ac:dyDescent="0.2">
      <c r="J606"/>
      <c r="K606"/>
      <c r="L606"/>
      <c r="M606"/>
      <c r="N606" s="392"/>
      <c r="O606" s="2"/>
      <c r="S606"/>
      <c r="T606"/>
      <c r="U606"/>
      <c r="W606"/>
    </row>
    <row r="607" spans="10:23" s="1" customFormat="1" x14ac:dyDescent="0.2">
      <c r="J607"/>
      <c r="K607"/>
      <c r="L607"/>
      <c r="M607"/>
      <c r="N607" s="392"/>
      <c r="O607" s="2"/>
      <c r="S607"/>
      <c r="T607"/>
      <c r="U607"/>
      <c r="W607"/>
    </row>
    <row r="608" spans="10:23" s="1" customFormat="1" x14ac:dyDescent="0.2">
      <c r="J608"/>
      <c r="K608"/>
      <c r="L608"/>
      <c r="M608"/>
      <c r="N608" s="392"/>
      <c r="O608" s="2"/>
      <c r="S608"/>
      <c r="T608"/>
      <c r="U608"/>
      <c r="W608"/>
    </row>
    <row r="609" spans="10:23" s="1" customFormat="1" x14ac:dyDescent="0.2">
      <c r="J609"/>
      <c r="K609"/>
      <c r="L609"/>
      <c r="M609"/>
      <c r="N609" s="392"/>
      <c r="O609" s="2"/>
      <c r="S609"/>
      <c r="T609"/>
      <c r="U609"/>
      <c r="W609"/>
    </row>
    <row r="610" spans="10:23" s="1" customFormat="1" x14ac:dyDescent="0.2">
      <c r="J610"/>
      <c r="K610"/>
      <c r="L610"/>
      <c r="M610"/>
      <c r="N610" s="392"/>
      <c r="O610" s="2"/>
      <c r="S610"/>
      <c r="T610"/>
      <c r="U610"/>
      <c r="W610"/>
    </row>
    <row r="611" spans="10:23" s="1" customFormat="1" x14ac:dyDescent="0.2">
      <c r="J611"/>
      <c r="K611"/>
      <c r="L611"/>
      <c r="M611"/>
      <c r="N611" s="392"/>
      <c r="O611" s="2"/>
      <c r="S611"/>
      <c r="T611"/>
      <c r="U611"/>
      <c r="W611"/>
    </row>
    <row r="612" spans="10:23" s="1" customFormat="1" x14ac:dyDescent="0.2">
      <c r="J612"/>
      <c r="K612"/>
      <c r="L612"/>
      <c r="M612"/>
      <c r="N612" s="392"/>
      <c r="O612" s="2"/>
      <c r="S612"/>
      <c r="T612"/>
      <c r="U612"/>
      <c r="W612"/>
    </row>
    <row r="613" spans="10:23" s="1" customFormat="1" x14ac:dyDescent="0.2">
      <c r="J613"/>
      <c r="K613"/>
      <c r="L613"/>
      <c r="M613"/>
      <c r="N613" s="392"/>
      <c r="O613" s="2"/>
      <c r="S613"/>
      <c r="T613"/>
      <c r="U613"/>
      <c r="W613"/>
    </row>
    <row r="614" spans="10:23" s="1" customFormat="1" x14ac:dyDescent="0.2">
      <c r="J614"/>
      <c r="K614"/>
      <c r="L614"/>
      <c r="M614"/>
      <c r="N614" s="392"/>
      <c r="O614" s="2"/>
      <c r="S614"/>
      <c r="T614"/>
      <c r="U614"/>
      <c r="W614"/>
    </row>
    <row r="615" spans="10:23" s="1" customFormat="1" x14ac:dyDescent="0.2">
      <c r="J615"/>
      <c r="K615"/>
      <c r="L615"/>
      <c r="M615"/>
      <c r="N615" s="392"/>
      <c r="O615" s="2"/>
      <c r="S615"/>
      <c r="T615"/>
      <c r="U615"/>
      <c r="W615"/>
    </row>
    <row r="616" spans="10:23" s="1" customFormat="1" x14ac:dyDescent="0.2">
      <c r="J616"/>
      <c r="K616"/>
      <c r="L616"/>
      <c r="M616"/>
      <c r="N616" s="392"/>
      <c r="O616" s="2"/>
      <c r="S616"/>
      <c r="T616"/>
      <c r="U616"/>
      <c r="W616"/>
    </row>
    <row r="617" spans="10:23" s="1" customFormat="1" x14ac:dyDescent="0.2">
      <c r="J617"/>
      <c r="K617"/>
      <c r="L617"/>
      <c r="M617"/>
      <c r="N617" s="392"/>
      <c r="O617" s="2"/>
      <c r="S617"/>
      <c r="T617"/>
      <c r="U617"/>
      <c r="W617"/>
    </row>
    <row r="618" spans="10:23" s="1" customFormat="1" x14ac:dyDescent="0.2">
      <c r="J618"/>
      <c r="K618"/>
      <c r="L618"/>
      <c r="M618"/>
      <c r="N618" s="392"/>
      <c r="O618" s="2"/>
      <c r="S618"/>
      <c r="T618"/>
      <c r="U618"/>
      <c r="W618"/>
    </row>
    <row r="619" spans="10:23" s="1" customFormat="1" x14ac:dyDescent="0.2">
      <c r="J619"/>
      <c r="K619"/>
      <c r="L619"/>
      <c r="M619"/>
      <c r="N619" s="392"/>
      <c r="O619" s="2"/>
      <c r="S619"/>
      <c r="T619"/>
      <c r="U619"/>
      <c r="W619"/>
    </row>
    <row r="620" spans="10:23" s="1" customFormat="1" x14ac:dyDescent="0.2">
      <c r="J620"/>
      <c r="K620"/>
      <c r="L620"/>
      <c r="M620"/>
      <c r="N620" s="392"/>
      <c r="O620" s="2"/>
      <c r="S620"/>
      <c r="T620"/>
      <c r="U620"/>
      <c r="W620"/>
    </row>
    <row r="621" spans="10:23" s="1" customFormat="1" x14ac:dyDescent="0.2">
      <c r="J621"/>
      <c r="K621"/>
      <c r="L621"/>
      <c r="M621"/>
      <c r="N621" s="392"/>
      <c r="O621" s="2"/>
      <c r="S621"/>
      <c r="T621"/>
      <c r="U621"/>
      <c r="W621"/>
    </row>
    <row r="622" spans="10:23" s="1" customFormat="1" x14ac:dyDescent="0.2">
      <c r="J622"/>
      <c r="K622"/>
      <c r="L622"/>
      <c r="M622"/>
      <c r="N622" s="392"/>
      <c r="O622" s="2"/>
      <c r="S622"/>
      <c r="T622"/>
      <c r="U622"/>
      <c r="W622"/>
    </row>
    <row r="623" spans="10:23" s="1" customFormat="1" x14ac:dyDescent="0.2">
      <c r="J623"/>
      <c r="K623"/>
      <c r="L623"/>
      <c r="M623"/>
      <c r="N623" s="392"/>
      <c r="O623" s="2"/>
      <c r="S623"/>
      <c r="T623"/>
      <c r="U623"/>
      <c r="W623"/>
    </row>
    <row r="624" spans="10:23" s="1" customFormat="1" x14ac:dyDescent="0.2">
      <c r="J624"/>
      <c r="K624"/>
      <c r="L624"/>
      <c r="M624"/>
      <c r="N624" s="392"/>
      <c r="O624" s="2"/>
      <c r="S624"/>
      <c r="T624"/>
      <c r="U624"/>
      <c r="W624"/>
    </row>
    <row r="625" spans="10:23" s="1" customFormat="1" x14ac:dyDescent="0.2">
      <c r="J625"/>
      <c r="K625"/>
      <c r="L625"/>
      <c r="M625"/>
      <c r="N625" s="392"/>
      <c r="O625" s="2"/>
      <c r="S625"/>
      <c r="T625"/>
      <c r="U625"/>
      <c r="W625"/>
    </row>
    <row r="626" spans="10:23" s="1" customFormat="1" x14ac:dyDescent="0.2">
      <c r="J626"/>
      <c r="K626"/>
      <c r="L626"/>
      <c r="M626"/>
      <c r="N626" s="392"/>
      <c r="O626" s="2"/>
      <c r="S626"/>
      <c r="T626"/>
      <c r="U626"/>
      <c r="W626"/>
    </row>
    <row r="627" spans="10:23" s="1" customFormat="1" x14ac:dyDescent="0.2">
      <c r="J627"/>
      <c r="K627"/>
      <c r="L627"/>
      <c r="M627"/>
      <c r="N627" s="392"/>
      <c r="O627" s="2"/>
      <c r="S627"/>
      <c r="T627"/>
      <c r="U627"/>
      <c r="W627"/>
    </row>
    <row r="628" spans="10:23" s="1" customFormat="1" x14ac:dyDescent="0.2">
      <c r="J628"/>
      <c r="K628"/>
      <c r="L628"/>
      <c r="M628"/>
      <c r="N628" s="392"/>
      <c r="O628" s="2"/>
      <c r="S628"/>
      <c r="T628"/>
      <c r="U628"/>
      <c r="W628"/>
    </row>
    <row r="629" spans="10:23" s="1" customFormat="1" x14ac:dyDescent="0.2">
      <c r="J629"/>
      <c r="K629"/>
      <c r="L629"/>
      <c r="M629"/>
      <c r="N629" s="392"/>
      <c r="O629" s="2"/>
      <c r="S629"/>
      <c r="T629"/>
      <c r="U629"/>
      <c r="W629"/>
    </row>
    <row r="630" spans="10:23" s="1" customFormat="1" x14ac:dyDescent="0.2">
      <c r="J630"/>
      <c r="K630"/>
      <c r="L630"/>
      <c r="M630"/>
      <c r="N630" s="392"/>
      <c r="O630" s="2"/>
      <c r="S630"/>
      <c r="T630"/>
      <c r="U630"/>
      <c r="W630"/>
    </row>
    <row r="631" spans="10:23" s="1" customFormat="1" x14ac:dyDescent="0.2">
      <c r="J631"/>
      <c r="K631"/>
      <c r="L631"/>
      <c r="M631"/>
      <c r="N631" s="392"/>
      <c r="O631" s="2"/>
      <c r="S631"/>
      <c r="T631"/>
      <c r="U631"/>
      <c r="W631"/>
    </row>
    <row r="632" spans="10:23" s="1" customFormat="1" x14ac:dyDescent="0.2">
      <c r="J632"/>
      <c r="K632"/>
      <c r="L632"/>
      <c r="M632"/>
      <c r="N632" s="392"/>
      <c r="O632" s="2"/>
      <c r="S632"/>
      <c r="T632"/>
      <c r="U632"/>
      <c r="W632"/>
    </row>
    <row r="633" spans="10:23" s="1" customFormat="1" x14ac:dyDescent="0.2">
      <c r="J633"/>
      <c r="K633"/>
      <c r="L633"/>
      <c r="M633"/>
      <c r="N633" s="392"/>
      <c r="O633" s="2"/>
      <c r="S633"/>
      <c r="T633"/>
      <c r="U633"/>
      <c r="W633"/>
    </row>
    <row r="634" spans="10:23" s="1" customFormat="1" x14ac:dyDescent="0.2">
      <c r="J634"/>
      <c r="K634"/>
      <c r="L634"/>
      <c r="M634"/>
      <c r="N634" s="392"/>
      <c r="O634" s="2"/>
      <c r="S634"/>
      <c r="T634"/>
      <c r="U634"/>
      <c r="W634"/>
    </row>
    <row r="635" spans="10:23" s="1" customFormat="1" x14ac:dyDescent="0.2">
      <c r="J635"/>
      <c r="K635"/>
      <c r="L635"/>
      <c r="M635"/>
      <c r="N635" s="392"/>
      <c r="O635" s="2"/>
      <c r="S635"/>
      <c r="T635"/>
      <c r="U635"/>
      <c r="W635"/>
    </row>
    <row r="636" spans="10:23" s="1" customFormat="1" x14ac:dyDescent="0.2">
      <c r="J636"/>
      <c r="K636"/>
      <c r="L636"/>
      <c r="M636"/>
      <c r="N636" s="392"/>
      <c r="O636" s="2"/>
      <c r="S636"/>
      <c r="T636"/>
      <c r="U636"/>
      <c r="W636"/>
    </row>
    <row r="637" spans="10:23" s="1" customFormat="1" x14ac:dyDescent="0.2">
      <c r="J637"/>
      <c r="K637"/>
      <c r="L637"/>
      <c r="M637"/>
      <c r="N637" s="392"/>
      <c r="O637" s="2"/>
      <c r="S637"/>
      <c r="T637"/>
      <c r="U637"/>
      <c r="W637"/>
    </row>
    <row r="638" spans="10:23" s="1" customFormat="1" x14ac:dyDescent="0.2">
      <c r="J638"/>
      <c r="K638"/>
      <c r="L638"/>
      <c r="M638"/>
      <c r="N638" s="392"/>
      <c r="O638" s="2"/>
      <c r="S638"/>
      <c r="T638"/>
      <c r="U638"/>
      <c r="W638"/>
    </row>
    <row r="639" spans="10:23" s="1" customFormat="1" x14ac:dyDescent="0.2">
      <c r="J639"/>
      <c r="K639"/>
      <c r="L639"/>
      <c r="M639"/>
      <c r="N639" s="392"/>
      <c r="O639" s="2"/>
      <c r="S639"/>
      <c r="T639"/>
      <c r="U639"/>
      <c r="W639"/>
    </row>
    <row r="640" spans="10:23" s="1" customFormat="1" x14ac:dyDescent="0.2">
      <c r="J640"/>
      <c r="K640"/>
      <c r="L640"/>
      <c r="M640"/>
      <c r="N640" s="392"/>
      <c r="O640" s="2"/>
      <c r="S640"/>
      <c r="T640"/>
      <c r="U640"/>
      <c r="W640"/>
    </row>
    <row r="641" spans="10:23" s="1" customFormat="1" x14ac:dyDescent="0.2">
      <c r="J641"/>
      <c r="K641"/>
      <c r="L641"/>
      <c r="M641"/>
      <c r="N641" s="392"/>
      <c r="O641" s="2"/>
      <c r="S641"/>
      <c r="T641"/>
      <c r="U641"/>
      <c r="W641"/>
    </row>
    <row r="642" spans="10:23" s="1" customFormat="1" x14ac:dyDescent="0.2">
      <c r="J642"/>
      <c r="K642"/>
      <c r="L642"/>
      <c r="M642"/>
      <c r="N642" s="392"/>
      <c r="O642" s="2"/>
      <c r="S642"/>
      <c r="T642"/>
      <c r="U642"/>
      <c r="W642"/>
    </row>
    <row r="643" spans="10:23" s="1" customFormat="1" x14ac:dyDescent="0.2">
      <c r="J643"/>
      <c r="K643"/>
      <c r="L643"/>
      <c r="M643"/>
      <c r="N643" s="392"/>
      <c r="O643" s="2"/>
      <c r="S643"/>
      <c r="T643"/>
      <c r="U643"/>
      <c r="W643"/>
    </row>
    <row r="644" spans="10:23" s="1" customFormat="1" x14ac:dyDescent="0.2">
      <c r="J644"/>
      <c r="K644"/>
      <c r="L644"/>
      <c r="M644"/>
      <c r="N644" s="392"/>
      <c r="O644" s="2"/>
      <c r="S644"/>
      <c r="T644"/>
      <c r="U644"/>
      <c r="W644"/>
    </row>
    <row r="645" spans="10:23" s="1" customFormat="1" x14ac:dyDescent="0.2">
      <c r="J645"/>
      <c r="K645"/>
      <c r="L645"/>
      <c r="M645"/>
      <c r="N645" s="392"/>
      <c r="O645" s="2"/>
      <c r="S645"/>
      <c r="T645"/>
      <c r="U645"/>
      <c r="W645"/>
    </row>
    <row r="646" spans="10:23" s="1" customFormat="1" x14ac:dyDescent="0.2">
      <c r="J646"/>
      <c r="K646"/>
      <c r="L646"/>
      <c r="M646"/>
      <c r="N646" s="392"/>
      <c r="O646" s="2"/>
      <c r="S646"/>
      <c r="T646"/>
      <c r="U646"/>
      <c r="W646"/>
    </row>
    <row r="647" spans="10:23" s="1" customFormat="1" x14ac:dyDescent="0.2">
      <c r="J647"/>
      <c r="K647"/>
      <c r="L647"/>
      <c r="M647"/>
      <c r="N647" s="392"/>
      <c r="O647" s="2"/>
      <c r="S647"/>
      <c r="T647"/>
      <c r="U647"/>
      <c r="W647"/>
    </row>
    <row r="648" spans="10:23" s="1" customFormat="1" x14ac:dyDescent="0.2">
      <c r="J648"/>
      <c r="K648"/>
      <c r="L648"/>
      <c r="M648"/>
      <c r="N648" s="392"/>
      <c r="O648" s="2"/>
      <c r="S648"/>
      <c r="T648"/>
      <c r="U648"/>
      <c r="W648"/>
    </row>
    <row r="649" spans="10:23" s="1" customFormat="1" x14ac:dyDescent="0.2">
      <c r="J649"/>
      <c r="K649"/>
      <c r="L649"/>
      <c r="M649"/>
      <c r="N649" s="392"/>
      <c r="O649" s="2"/>
      <c r="S649"/>
      <c r="T649"/>
      <c r="U649"/>
      <c r="W649"/>
    </row>
    <row r="650" spans="10:23" s="1" customFormat="1" x14ac:dyDescent="0.2">
      <c r="J650"/>
      <c r="K650"/>
      <c r="L650"/>
      <c r="M650"/>
      <c r="N650" s="392"/>
      <c r="O650" s="2"/>
      <c r="S650"/>
      <c r="T650"/>
      <c r="U650"/>
      <c r="W650"/>
    </row>
    <row r="651" spans="10:23" s="1" customFormat="1" x14ac:dyDescent="0.2">
      <c r="J651"/>
      <c r="K651"/>
      <c r="L651"/>
      <c r="M651"/>
      <c r="N651" s="392"/>
      <c r="O651" s="2"/>
      <c r="S651"/>
      <c r="T651"/>
      <c r="U651"/>
      <c r="W651"/>
    </row>
    <row r="652" spans="10:23" s="1" customFormat="1" x14ac:dyDescent="0.2">
      <c r="J652"/>
      <c r="K652"/>
      <c r="L652"/>
      <c r="M652"/>
      <c r="N652" s="392"/>
      <c r="O652" s="2"/>
      <c r="S652"/>
      <c r="T652"/>
      <c r="U652"/>
      <c r="W652"/>
    </row>
    <row r="653" spans="10:23" s="1" customFormat="1" x14ac:dyDescent="0.2">
      <c r="J653"/>
      <c r="K653"/>
      <c r="L653"/>
      <c r="M653"/>
      <c r="N653" s="392"/>
      <c r="O653" s="2"/>
      <c r="S653"/>
      <c r="T653"/>
      <c r="U653"/>
      <c r="W653"/>
    </row>
    <row r="654" spans="10:23" s="1" customFormat="1" x14ac:dyDescent="0.2">
      <c r="J654"/>
      <c r="K654"/>
      <c r="L654"/>
      <c r="M654"/>
      <c r="N654" s="392"/>
      <c r="O654" s="2"/>
      <c r="S654"/>
      <c r="T654"/>
      <c r="U654"/>
      <c r="W654"/>
    </row>
    <row r="655" spans="10:23" s="1" customFormat="1" x14ac:dyDescent="0.2">
      <c r="J655"/>
      <c r="K655"/>
      <c r="L655"/>
      <c r="M655"/>
      <c r="N655" s="392"/>
      <c r="O655" s="2"/>
      <c r="S655"/>
      <c r="T655"/>
      <c r="U655"/>
      <c r="W655"/>
    </row>
    <row r="656" spans="10:23" s="1" customFormat="1" x14ac:dyDescent="0.2">
      <c r="J656"/>
      <c r="K656"/>
      <c r="L656"/>
      <c r="M656"/>
      <c r="N656" s="392"/>
      <c r="O656" s="2"/>
      <c r="S656"/>
      <c r="T656"/>
      <c r="U656"/>
      <c r="W656"/>
    </row>
    <row r="657" spans="10:23" s="1" customFormat="1" x14ac:dyDescent="0.2">
      <c r="J657"/>
      <c r="K657"/>
      <c r="L657"/>
      <c r="M657"/>
      <c r="N657" s="392"/>
      <c r="O657" s="2"/>
      <c r="S657"/>
      <c r="T657"/>
      <c r="U657"/>
      <c r="W657"/>
    </row>
    <row r="658" spans="10:23" s="1" customFormat="1" x14ac:dyDescent="0.2">
      <c r="J658"/>
      <c r="K658"/>
      <c r="L658"/>
      <c r="M658"/>
      <c r="N658" s="392"/>
      <c r="O658" s="2"/>
      <c r="S658"/>
      <c r="T658"/>
      <c r="U658"/>
      <c r="W658"/>
    </row>
    <row r="659" spans="10:23" s="1" customFormat="1" x14ac:dyDescent="0.2">
      <c r="J659"/>
      <c r="K659"/>
      <c r="L659"/>
      <c r="M659"/>
      <c r="N659" s="392"/>
      <c r="O659" s="2"/>
      <c r="S659"/>
      <c r="T659"/>
      <c r="U659"/>
      <c r="W659"/>
    </row>
    <row r="660" spans="10:23" s="1" customFormat="1" x14ac:dyDescent="0.2">
      <c r="J660"/>
      <c r="K660"/>
      <c r="L660"/>
      <c r="M660"/>
      <c r="N660" s="392"/>
      <c r="O660" s="2"/>
      <c r="S660"/>
      <c r="T660"/>
      <c r="U660"/>
      <c r="W660"/>
    </row>
    <row r="661" spans="10:23" s="1" customFormat="1" x14ac:dyDescent="0.2">
      <c r="J661"/>
      <c r="K661"/>
      <c r="L661"/>
      <c r="M661"/>
      <c r="N661" s="392"/>
      <c r="O661" s="2"/>
      <c r="S661"/>
      <c r="T661"/>
      <c r="U661"/>
      <c r="W661"/>
    </row>
    <row r="662" spans="10:23" s="1" customFormat="1" x14ac:dyDescent="0.2">
      <c r="J662"/>
      <c r="K662"/>
      <c r="L662"/>
      <c r="M662"/>
      <c r="N662" s="392"/>
      <c r="O662" s="2"/>
      <c r="S662"/>
      <c r="T662"/>
      <c r="U662"/>
      <c r="W662"/>
    </row>
    <row r="663" spans="10:23" s="1" customFormat="1" x14ac:dyDescent="0.2">
      <c r="J663"/>
      <c r="K663"/>
      <c r="L663"/>
      <c r="M663"/>
      <c r="N663" s="392"/>
      <c r="O663" s="2"/>
      <c r="S663"/>
      <c r="T663"/>
      <c r="U663"/>
      <c r="W663"/>
    </row>
    <row r="664" spans="10:23" s="1" customFormat="1" x14ac:dyDescent="0.2">
      <c r="J664"/>
      <c r="K664"/>
      <c r="L664"/>
      <c r="M664"/>
      <c r="N664" s="392"/>
      <c r="O664" s="2"/>
      <c r="S664"/>
      <c r="T664"/>
      <c r="U664"/>
      <c r="W664"/>
    </row>
    <row r="665" spans="10:23" s="1" customFormat="1" x14ac:dyDescent="0.2">
      <c r="J665"/>
      <c r="K665"/>
      <c r="L665"/>
      <c r="M665"/>
      <c r="N665" s="392"/>
      <c r="O665" s="2"/>
      <c r="S665"/>
      <c r="T665"/>
      <c r="U665"/>
      <c r="W665"/>
    </row>
    <row r="666" spans="10:23" s="1" customFormat="1" x14ac:dyDescent="0.2">
      <c r="J666"/>
      <c r="K666"/>
      <c r="L666"/>
      <c r="M666"/>
      <c r="N666" s="392"/>
      <c r="O666" s="2"/>
      <c r="S666"/>
      <c r="T666"/>
      <c r="U666"/>
      <c r="W666"/>
    </row>
    <row r="667" spans="10:23" s="1" customFormat="1" x14ac:dyDescent="0.2">
      <c r="J667"/>
      <c r="K667"/>
      <c r="L667"/>
      <c r="M667"/>
      <c r="N667" s="392"/>
      <c r="O667" s="2"/>
      <c r="S667"/>
      <c r="T667"/>
      <c r="U667"/>
      <c r="W667"/>
    </row>
    <row r="668" spans="10:23" s="1" customFormat="1" x14ac:dyDescent="0.2">
      <c r="J668"/>
      <c r="K668"/>
      <c r="L668"/>
      <c r="M668"/>
      <c r="N668" s="392"/>
      <c r="O668" s="2"/>
      <c r="S668"/>
      <c r="T668"/>
      <c r="U668"/>
      <c r="W668"/>
    </row>
    <row r="669" spans="10:23" s="1" customFormat="1" x14ac:dyDescent="0.2">
      <c r="J669"/>
      <c r="K669"/>
      <c r="L669"/>
      <c r="M669"/>
      <c r="N669" s="392"/>
      <c r="O669" s="2"/>
      <c r="S669"/>
      <c r="T669"/>
      <c r="U669"/>
      <c r="W669"/>
    </row>
    <row r="670" spans="10:23" s="1" customFormat="1" x14ac:dyDescent="0.2">
      <c r="J670"/>
      <c r="K670"/>
      <c r="L670"/>
      <c r="M670"/>
      <c r="N670" s="392"/>
      <c r="O670" s="2"/>
      <c r="S670"/>
      <c r="T670"/>
      <c r="U670"/>
      <c r="W670"/>
    </row>
    <row r="671" spans="10:23" s="1" customFormat="1" x14ac:dyDescent="0.2">
      <c r="J671"/>
      <c r="K671"/>
      <c r="L671"/>
      <c r="M671"/>
      <c r="N671" s="392"/>
      <c r="O671" s="2"/>
      <c r="S671"/>
      <c r="T671"/>
      <c r="U671"/>
      <c r="W671"/>
    </row>
    <row r="672" spans="10:23" s="1" customFormat="1" x14ac:dyDescent="0.2">
      <c r="J672"/>
      <c r="K672"/>
      <c r="L672"/>
      <c r="M672"/>
      <c r="N672" s="392"/>
      <c r="O672" s="2"/>
      <c r="S672"/>
      <c r="T672"/>
      <c r="U672"/>
      <c r="W672"/>
    </row>
    <row r="673" spans="10:23" s="1" customFormat="1" x14ac:dyDescent="0.2">
      <c r="J673"/>
      <c r="K673"/>
      <c r="L673"/>
      <c r="M673"/>
      <c r="N673" s="392"/>
      <c r="O673" s="2"/>
      <c r="S673"/>
      <c r="T673"/>
      <c r="U673"/>
      <c r="W673"/>
    </row>
    <row r="674" spans="10:23" s="1" customFormat="1" x14ac:dyDescent="0.2">
      <c r="J674"/>
      <c r="K674"/>
      <c r="L674"/>
      <c r="M674"/>
      <c r="N674" s="392"/>
      <c r="O674" s="2"/>
      <c r="S674"/>
      <c r="T674"/>
      <c r="U674"/>
      <c r="W674"/>
    </row>
    <row r="675" spans="10:23" s="1" customFormat="1" x14ac:dyDescent="0.2">
      <c r="J675"/>
      <c r="K675"/>
      <c r="L675"/>
      <c r="M675"/>
      <c r="N675" s="392"/>
      <c r="O675" s="2"/>
      <c r="S675"/>
      <c r="T675"/>
      <c r="U675"/>
      <c r="W675"/>
    </row>
    <row r="676" spans="10:23" s="1" customFormat="1" x14ac:dyDescent="0.2">
      <c r="J676"/>
      <c r="K676"/>
      <c r="L676"/>
      <c r="M676"/>
      <c r="N676" s="392"/>
      <c r="O676" s="2"/>
      <c r="S676"/>
      <c r="T676"/>
      <c r="U676"/>
      <c r="W676"/>
    </row>
    <row r="677" spans="10:23" s="1" customFormat="1" x14ac:dyDescent="0.2">
      <c r="J677"/>
      <c r="K677"/>
      <c r="L677"/>
      <c r="M677"/>
      <c r="N677" s="392"/>
      <c r="O677" s="2"/>
      <c r="S677"/>
      <c r="T677"/>
      <c r="U677"/>
      <c r="W677"/>
    </row>
    <row r="678" spans="10:23" s="1" customFormat="1" x14ac:dyDescent="0.2">
      <c r="J678"/>
      <c r="K678"/>
      <c r="L678"/>
      <c r="M678"/>
      <c r="N678" s="392"/>
      <c r="O678" s="2"/>
      <c r="S678"/>
      <c r="T678"/>
      <c r="U678"/>
      <c r="W678"/>
    </row>
    <row r="679" spans="10:23" s="1" customFormat="1" x14ac:dyDescent="0.2">
      <c r="J679"/>
      <c r="K679"/>
      <c r="L679"/>
      <c r="M679"/>
      <c r="N679" s="392"/>
      <c r="O679" s="2"/>
      <c r="S679"/>
      <c r="T679"/>
      <c r="U679"/>
      <c r="W679"/>
    </row>
    <row r="680" spans="10:23" s="1" customFormat="1" x14ac:dyDescent="0.2">
      <c r="J680"/>
      <c r="K680"/>
      <c r="L680"/>
      <c r="M680"/>
      <c r="N680" s="392"/>
      <c r="O680" s="2"/>
      <c r="S680"/>
      <c r="T680"/>
      <c r="U680"/>
      <c r="W680"/>
    </row>
    <row r="681" spans="10:23" s="1" customFormat="1" x14ac:dyDescent="0.2">
      <c r="J681"/>
      <c r="K681"/>
      <c r="L681"/>
      <c r="M681"/>
      <c r="N681" s="392"/>
      <c r="O681" s="2"/>
      <c r="S681"/>
      <c r="T681"/>
      <c r="U681"/>
      <c r="W681"/>
    </row>
    <row r="682" spans="10:23" s="1" customFormat="1" x14ac:dyDescent="0.2">
      <c r="J682"/>
      <c r="K682"/>
      <c r="L682"/>
      <c r="M682"/>
      <c r="N682" s="392"/>
      <c r="O682" s="2"/>
      <c r="S682"/>
      <c r="T682"/>
      <c r="U682"/>
      <c r="W682"/>
    </row>
    <row r="683" spans="10:23" s="1" customFormat="1" x14ac:dyDescent="0.2">
      <c r="J683"/>
      <c r="K683"/>
      <c r="L683"/>
      <c r="M683"/>
      <c r="N683" s="392"/>
      <c r="O683" s="2"/>
      <c r="S683"/>
      <c r="T683"/>
      <c r="U683"/>
      <c r="W683"/>
    </row>
    <row r="684" spans="10:23" s="1" customFormat="1" x14ac:dyDescent="0.2">
      <c r="J684"/>
      <c r="K684"/>
      <c r="L684"/>
      <c r="M684"/>
      <c r="N684" s="392"/>
      <c r="O684" s="2"/>
      <c r="S684"/>
      <c r="T684"/>
      <c r="U684"/>
      <c r="W684"/>
    </row>
    <row r="685" spans="10:23" s="1" customFormat="1" x14ac:dyDescent="0.2">
      <c r="J685"/>
      <c r="K685"/>
      <c r="L685"/>
      <c r="M685"/>
      <c r="N685" s="392"/>
      <c r="O685" s="2"/>
      <c r="S685"/>
      <c r="T685"/>
      <c r="U685"/>
      <c r="W685"/>
    </row>
    <row r="686" spans="10:23" s="1" customFormat="1" x14ac:dyDescent="0.2">
      <c r="J686"/>
      <c r="K686"/>
      <c r="L686"/>
      <c r="M686"/>
      <c r="N686" s="392"/>
      <c r="O686" s="2"/>
      <c r="S686"/>
      <c r="T686"/>
      <c r="U686"/>
      <c r="W686"/>
    </row>
    <row r="687" spans="10:23" s="1" customFormat="1" x14ac:dyDescent="0.2">
      <c r="J687"/>
      <c r="K687"/>
      <c r="L687"/>
      <c r="M687"/>
      <c r="N687" s="392"/>
      <c r="O687" s="2"/>
      <c r="S687"/>
      <c r="T687"/>
      <c r="U687"/>
      <c r="W687"/>
    </row>
    <row r="688" spans="10:23" s="1" customFormat="1" x14ac:dyDescent="0.2">
      <c r="J688"/>
      <c r="K688"/>
      <c r="L688"/>
      <c r="M688"/>
      <c r="N688" s="392"/>
      <c r="O688" s="2"/>
      <c r="S688"/>
      <c r="T688"/>
      <c r="U688"/>
      <c r="W688"/>
    </row>
    <row r="689" spans="10:23" s="1" customFormat="1" x14ac:dyDescent="0.2">
      <c r="J689"/>
      <c r="K689"/>
      <c r="L689"/>
      <c r="M689"/>
      <c r="N689" s="392"/>
      <c r="O689" s="2"/>
      <c r="S689"/>
      <c r="T689"/>
      <c r="U689"/>
      <c r="W689"/>
    </row>
    <row r="690" spans="10:23" s="1" customFormat="1" x14ac:dyDescent="0.2">
      <c r="J690"/>
      <c r="K690"/>
      <c r="L690"/>
      <c r="M690"/>
      <c r="N690" s="392"/>
      <c r="O690" s="2"/>
      <c r="S690"/>
      <c r="T690"/>
      <c r="U690"/>
      <c r="W690"/>
    </row>
    <row r="691" spans="10:23" s="1" customFormat="1" x14ac:dyDescent="0.2">
      <c r="J691"/>
      <c r="K691"/>
      <c r="L691"/>
      <c r="M691"/>
      <c r="N691" s="392"/>
      <c r="O691" s="2"/>
      <c r="S691"/>
      <c r="T691"/>
      <c r="U691"/>
      <c r="W691"/>
    </row>
    <row r="692" spans="10:23" s="1" customFormat="1" x14ac:dyDescent="0.2">
      <c r="J692"/>
      <c r="K692"/>
      <c r="L692"/>
      <c r="M692"/>
      <c r="N692" s="392"/>
      <c r="O692" s="2"/>
      <c r="S692"/>
      <c r="T692"/>
      <c r="U692"/>
      <c r="W692"/>
    </row>
    <row r="693" spans="10:23" s="1" customFormat="1" x14ac:dyDescent="0.2">
      <c r="J693"/>
      <c r="K693"/>
      <c r="L693"/>
      <c r="M693"/>
      <c r="N693" s="392"/>
      <c r="O693" s="2"/>
      <c r="S693"/>
      <c r="T693"/>
      <c r="U693"/>
      <c r="W693"/>
    </row>
    <row r="694" spans="10:23" s="1" customFormat="1" x14ac:dyDescent="0.2">
      <c r="J694"/>
      <c r="K694"/>
      <c r="L694"/>
      <c r="M694"/>
      <c r="N694" s="392"/>
      <c r="O694" s="2"/>
      <c r="S694"/>
      <c r="T694"/>
      <c r="U694"/>
      <c r="W694"/>
    </row>
    <row r="695" spans="10:23" s="1" customFormat="1" x14ac:dyDescent="0.2">
      <c r="J695"/>
      <c r="K695"/>
      <c r="L695"/>
      <c r="M695"/>
      <c r="N695" s="392"/>
      <c r="O695" s="2"/>
      <c r="S695"/>
      <c r="T695"/>
      <c r="U695"/>
      <c r="W695"/>
    </row>
    <row r="696" spans="10:23" s="1" customFormat="1" x14ac:dyDescent="0.2">
      <c r="J696"/>
      <c r="K696"/>
      <c r="L696"/>
      <c r="M696"/>
      <c r="N696" s="392"/>
      <c r="O696" s="2"/>
      <c r="S696"/>
      <c r="T696"/>
      <c r="U696"/>
      <c r="W696"/>
    </row>
    <row r="697" spans="10:23" s="1" customFormat="1" x14ac:dyDescent="0.2">
      <c r="J697"/>
      <c r="K697"/>
      <c r="L697"/>
      <c r="M697"/>
      <c r="N697" s="392"/>
      <c r="O697" s="2"/>
      <c r="S697"/>
      <c r="T697"/>
      <c r="U697"/>
      <c r="W697"/>
    </row>
    <row r="698" spans="10:23" s="1" customFormat="1" x14ac:dyDescent="0.2">
      <c r="J698"/>
      <c r="K698"/>
      <c r="L698"/>
      <c r="M698"/>
      <c r="N698" s="392"/>
      <c r="O698" s="2"/>
      <c r="S698"/>
      <c r="T698"/>
      <c r="U698"/>
      <c r="W698"/>
    </row>
    <row r="699" spans="10:23" s="1" customFormat="1" x14ac:dyDescent="0.2">
      <c r="J699"/>
      <c r="K699"/>
      <c r="L699"/>
      <c r="M699"/>
      <c r="N699" s="392"/>
      <c r="O699" s="2"/>
      <c r="S699"/>
      <c r="T699"/>
      <c r="U699"/>
      <c r="W699"/>
    </row>
    <row r="700" spans="10:23" s="1" customFormat="1" x14ac:dyDescent="0.2">
      <c r="J700"/>
      <c r="K700"/>
      <c r="L700"/>
      <c r="M700"/>
      <c r="N700" s="392"/>
      <c r="O700" s="2"/>
      <c r="S700"/>
      <c r="T700"/>
      <c r="U700"/>
      <c r="W700"/>
    </row>
    <row r="701" spans="10:23" s="1" customFormat="1" x14ac:dyDescent="0.2">
      <c r="J701"/>
      <c r="K701"/>
      <c r="L701"/>
      <c r="M701"/>
      <c r="N701" s="392"/>
      <c r="O701" s="2"/>
      <c r="S701"/>
      <c r="T701"/>
      <c r="U701"/>
      <c r="W701"/>
    </row>
    <row r="702" spans="10:23" s="1" customFormat="1" x14ac:dyDescent="0.2">
      <c r="J702"/>
      <c r="K702"/>
      <c r="L702"/>
      <c r="M702"/>
      <c r="N702" s="392"/>
      <c r="O702" s="2"/>
      <c r="S702"/>
      <c r="T702"/>
      <c r="U702"/>
      <c r="W702"/>
    </row>
    <row r="703" spans="10:23" s="1" customFormat="1" x14ac:dyDescent="0.2">
      <c r="J703"/>
      <c r="K703"/>
      <c r="L703"/>
      <c r="M703"/>
      <c r="N703" s="392"/>
      <c r="O703" s="2"/>
      <c r="S703"/>
      <c r="T703"/>
      <c r="U703"/>
      <c r="W703"/>
    </row>
    <row r="704" spans="10:23" s="1" customFormat="1" x14ac:dyDescent="0.2">
      <c r="J704"/>
      <c r="K704"/>
      <c r="L704"/>
      <c r="M704"/>
      <c r="N704" s="392"/>
      <c r="O704" s="2"/>
      <c r="S704"/>
      <c r="T704"/>
      <c r="U704"/>
      <c r="W704"/>
    </row>
    <row r="705" spans="10:23" s="1" customFormat="1" x14ac:dyDescent="0.2">
      <c r="J705"/>
      <c r="K705"/>
      <c r="L705"/>
      <c r="M705"/>
      <c r="N705" s="392"/>
      <c r="O705" s="2"/>
      <c r="S705"/>
      <c r="T705"/>
      <c r="U705"/>
      <c r="W705"/>
    </row>
    <row r="706" spans="10:23" s="1" customFormat="1" x14ac:dyDescent="0.2">
      <c r="J706"/>
      <c r="K706"/>
      <c r="L706"/>
      <c r="M706"/>
      <c r="N706" s="392"/>
      <c r="O706" s="2"/>
      <c r="S706"/>
      <c r="T706"/>
      <c r="U706"/>
      <c r="W706"/>
    </row>
    <row r="707" spans="10:23" s="1" customFormat="1" x14ac:dyDescent="0.2">
      <c r="J707"/>
      <c r="K707"/>
      <c r="L707"/>
      <c r="M707"/>
      <c r="N707" s="392"/>
      <c r="O707" s="2"/>
      <c r="S707"/>
      <c r="T707"/>
      <c r="U707"/>
      <c r="W707"/>
    </row>
    <row r="708" spans="10:23" s="1" customFormat="1" x14ac:dyDescent="0.2">
      <c r="J708"/>
      <c r="K708"/>
      <c r="L708"/>
      <c r="M708"/>
      <c r="N708" s="392"/>
      <c r="O708" s="2"/>
      <c r="S708"/>
      <c r="T708"/>
      <c r="U708"/>
      <c r="W708"/>
    </row>
    <row r="709" spans="10:23" s="1" customFormat="1" x14ac:dyDescent="0.2">
      <c r="J709"/>
      <c r="K709"/>
      <c r="L709"/>
      <c r="M709"/>
      <c r="N709" s="392"/>
      <c r="O709" s="2"/>
      <c r="S709"/>
      <c r="T709"/>
      <c r="U709"/>
      <c r="W709"/>
    </row>
    <row r="710" spans="10:23" s="1" customFormat="1" x14ac:dyDescent="0.2">
      <c r="J710"/>
      <c r="K710"/>
      <c r="L710"/>
      <c r="M710"/>
      <c r="N710" s="392"/>
      <c r="O710" s="2"/>
      <c r="S710"/>
      <c r="T710"/>
      <c r="U710"/>
      <c r="W710"/>
    </row>
    <row r="711" spans="10:23" s="1" customFormat="1" x14ac:dyDescent="0.2">
      <c r="J711"/>
      <c r="K711"/>
      <c r="L711"/>
      <c r="M711"/>
      <c r="N711" s="392"/>
      <c r="O711" s="2"/>
      <c r="S711"/>
      <c r="T711"/>
      <c r="U711"/>
      <c r="W711"/>
    </row>
    <row r="712" spans="10:23" s="1" customFormat="1" x14ac:dyDescent="0.2">
      <c r="J712"/>
      <c r="K712"/>
      <c r="L712"/>
      <c r="M712"/>
      <c r="N712" s="392"/>
      <c r="O712" s="2"/>
      <c r="S712"/>
      <c r="T712"/>
      <c r="U712"/>
      <c r="W712"/>
    </row>
    <row r="713" spans="10:23" s="1" customFormat="1" x14ac:dyDescent="0.2">
      <c r="J713"/>
      <c r="K713"/>
      <c r="L713"/>
      <c r="M713"/>
      <c r="N713" s="392"/>
      <c r="O713" s="2"/>
      <c r="S713"/>
      <c r="T713"/>
      <c r="U713"/>
      <c r="W713"/>
    </row>
    <row r="714" spans="10:23" s="1" customFormat="1" x14ac:dyDescent="0.2">
      <c r="J714"/>
      <c r="K714"/>
      <c r="L714"/>
      <c r="M714"/>
      <c r="N714" s="392"/>
      <c r="O714" s="2"/>
      <c r="S714"/>
      <c r="T714"/>
      <c r="U714"/>
      <c r="W714"/>
    </row>
    <row r="715" spans="10:23" s="1" customFormat="1" x14ac:dyDescent="0.2">
      <c r="J715"/>
      <c r="K715"/>
      <c r="L715"/>
      <c r="M715"/>
      <c r="N715" s="392"/>
      <c r="O715" s="2"/>
      <c r="S715"/>
      <c r="T715"/>
      <c r="U715"/>
      <c r="W715"/>
    </row>
    <row r="716" spans="10:23" s="1" customFormat="1" x14ac:dyDescent="0.2">
      <c r="J716"/>
      <c r="K716"/>
      <c r="L716"/>
      <c r="M716"/>
      <c r="N716" s="392"/>
      <c r="O716" s="2"/>
      <c r="S716"/>
      <c r="T716"/>
      <c r="U716"/>
      <c r="W716"/>
    </row>
    <row r="717" spans="10:23" s="1" customFormat="1" x14ac:dyDescent="0.2">
      <c r="J717"/>
      <c r="K717"/>
      <c r="L717"/>
      <c r="M717"/>
      <c r="N717" s="392"/>
      <c r="O717" s="2"/>
      <c r="S717"/>
      <c r="T717"/>
      <c r="U717"/>
      <c r="W717"/>
    </row>
    <row r="718" spans="10:23" s="1" customFormat="1" x14ac:dyDescent="0.2">
      <c r="J718"/>
      <c r="K718"/>
      <c r="L718"/>
      <c r="M718"/>
      <c r="N718" s="392"/>
      <c r="O718" s="2"/>
      <c r="S718"/>
      <c r="T718"/>
      <c r="U718"/>
      <c r="W718"/>
    </row>
    <row r="719" spans="10:23" s="1" customFormat="1" x14ac:dyDescent="0.2">
      <c r="J719"/>
      <c r="K719"/>
      <c r="L719"/>
      <c r="M719"/>
      <c r="N719" s="392"/>
      <c r="O719" s="2"/>
      <c r="S719"/>
      <c r="T719"/>
      <c r="U719"/>
      <c r="W719"/>
    </row>
    <row r="720" spans="10:23" s="1" customFormat="1" x14ac:dyDescent="0.2">
      <c r="J720"/>
      <c r="K720"/>
      <c r="L720"/>
      <c r="M720"/>
      <c r="N720" s="392"/>
      <c r="O720" s="2"/>
      <c r="S720"/>
      <c r="T720"/>
      <c r="U720"/>
      <c r="W720"/>
    </row>
    <row r="721" spans="10:23" s="1" customFormat="1" x14ac:dyDescent="0.2">
      <c r="J721"/>
      <c r="K721"/>
      <c r="L721"/>
      <c r="M721"/>
      <c r="N721" s="392"/>
      <c r="O721" s="2"/>
      <c r="S721"/>
      <c r="T721"/>
      <c r="U721"/>
      <c r="W721"/>
    </row>
    <row r="722" spans="10:23" s="1" customFormat="1" x14ac:dyDescent="0.2">
      <c r="J722"/>
      <c r="K722"/>
      <c r="L722"/>
      <c r="M722"/>
      <c r="N722" s="392"/>
      <c r="O722" s="2"/>
      <c r="S722"/>
      <c r="T722"/>
      <c r="U722"/>
      <c r="W722"/>
    </row>
    <row r="723" spans="10:23" s="1" customFormat="1" x14ac:dyDescent="0.2">
      <c r="J723"/>
      <c r="K723"/>
      <c r="L723"/>
      <c r="M723"/>
      <c r="N723" s="392"/>
      <c r="O723" s="2"/>
      <c r="S723"/>
      <c r="T723"/>
      <c r="U723"/>
      <c r="W723"/>
    </row>
    <row r="724" spans="10:23" s="1" customFormat="1" x14ac:dyDescent="0.2">
      <c r="J724"/>
      <c r="K724"/>
      <c r="L724"/>
      <c r="M724"/>
      <c r="N724" s="392"/>
      <c r="O724" s="2"/>
      <c r="S724"/>
      <c r="T724"/>
      <c r="U724"/>
      <c r="W724"/>
    </row>
    <row r="725" spans="10:23" s="1" customFormat="1" x14ac:dyDescent="0.2">
      <c r="J725"/>
      <c r="K725"/>
      <c r="L725"/>
      <c r="M725"/>
      <c r="N725" s="392"/>
      <c r="O725" s="2"/>
      <c r="S725"/>
      <c r="T725"/>
      <c r="U725"/>
      <c r="W725"/>
    </row>
    <row r="726" spans="10:23" s="1" customFormat="1" x14ac:dyDescent="0.2">
      <c r="J726"/>
      <c r="K726"/>
      <c r="L726"/>
      <c r="M726"/>
      <c r="N726" s="392"/>
      <c r="O726" s="2"/>
      <c r="S726"/>
      <c r="T726"/>
      <c r="U726"/>
      <c r="W726"/>
    </row>
    <row r="727" spans="10:23" s="1" customFormat="1" x14ac:dyDescent="0.2">
      <c r="J727"/>
      <c r="K727"/>
      <c r="L727"/>
      <c r="M727"/>
      <c r="N727" s="392"/>
      <c r="O727" s="2"/>
      <c r="S727"/>
      <c r="T727"/>
      <c r="U727"/>
      <c r="W727"/>
    </row>
    <row r="728" spans="10:23" s="1" customFormat="1" x14ac:dyDescent="0.2">
      <c r="J728"/>
      <c r="K728"/>
      <c r="L728"/>
      <c r="M728"/>
      <c r="N728" s="392"/>
      <c r="O728" s="2"/>
      <c r="S728"/>
      <c r="T728"/>
      <c r="U728"/>
      <c r="W728"/>
    </row>
    <row r="729" spans="10:23" s="1" customFormat="1" x14ac:dyDescent="0.2">
      <c r="J729"/>
      <c r="K729"/>
      <c r="L729"/>
      <c r="M729"/>
      <c r="N729" s="392"/>
      <c r="O729" s="2"/>
      <c r="S729"/>
      <c r="T729"/>
      <c r="U729"/>
      <c r="W729"/>
    </row>
    <row r="730" spans="10:23" s="1" customFormat="1" x14ac:dyDescent="0.2">
      <c r="J730"/>
      <c r="K730"/>
      <c r="L730"/>
      <c r="M730"/>
      <c r="N730" s="392"/>
      <c r="O730" s="2"/>
      <c r="S730"/>
      <c r="T730"/>
      <c r="U730"/>
      <c r="W730"/>
    </row>
    <row r="731" spans="10:23" s="1" customFormat="1" x14ac:dyDescent="0.2">
      <c r="J731"/>
      <c r="K731"/>
      <c r="L731"/>
      <c r="M731"/>
      <c r="N731" s="392"/>
      <c r="O731" s="2"/>
      <c r="S731"/>
      <c r="T731"/>
      <c r="U731"/>
      <c r="W731"/>
    </row>
    <row r="732" spans="10:23" s="1" customFormat="1" x14ac:dyDescent="0.2">
      <c r="J732"/>
      <c r="K732"/>
      <c r="L732"/>
      <c r="M732"/>
      <c r="N732" s="392"/>
      <c r="O732" s="2"/>
      <c r="S732"/>
      <c r="T732"/>
      <c r="U732"/>
      <c r="W732"/>
    </row>
    <row r="733" spans="10:23" s="1" customFormat="1" x14ac:dyDescent="0.2">
      <c r="J733"/>
      <c r="K733"/>
      <c r="L733"/>
      <c r="M733"/>
      <c r="N733" s="392"/>
      <c r="O733" s="2"/>
      <c r="S733"/>
      <c r="T733"/>
      <c r="U733"/>
      <c r="W733"/>
    </row>
    <row r="734" spans="10:23" s="1" customFormat="1" x14ac:dyDescent="0.2">
      <c r="J734"/>
      <c r="K734"/>
      <c r="L734"/>
      <c r="M734"/>
      <c r="N734" s="392"/>
      <c r="O734" s="2"/>
      <c r="S734"/>
      <c r="T734"/>
      <c r="U734"/>
      <c r="W734"/>
    </row>
    <row r="735" spans="10:23" s="1" customFormat="1" x14ac:dyDescent="0.2">
      <c r="J735"/>
      <c r="K735"/>
      <c r="L735"/>
      <c r="M735"/>
      <c r="N735" s="392"/>
      <c r="O735" s="2"/>
      <c r="S735"/>
      <c r="T735"/>
      <c r="U735"/>
      <c r="W735"/>
    </row>
    <row r="65464" spans="12:12" x14ac:dyDescent="0.2">
      <c r="L65464">
        <v>4</v>
      </c>
    </row>
  </sheetData>
  <mergeCells count="207">
    <mergeCell ref="T32:T33"/>
    <mergeCell ref="S30:S31"/>
    <mergeCell ref="T30:T31"/>
    <mergeCell ref="U30:U31"/>
    <mergeCell ref="R32:R33"/>
    <mergeCell ref="N32:N33"/>
    <mergeCell ref="E32:E33"/>
    <mergeCell ref="P32:P33"/>
    <mergeCell ref="W32:AC33"/>
    <mergeCell ref="U32:U33"/>
    <mergeCell ref="V32:V33"/>
    <mergeCell ref="F32:F33"/>
    <mergeCell ref="I32:I33"/>
    <mergeCell ref="H32:H33"/>
    <mergeCell ref="M32:M33"/>
    <mergeCell ref="L32:L33"/>
    <mergeCell ref="J32:J33"/>
    <mergeCell ref="K32:K33"/>
    <mergeCell ref="B30:B31"/>
    <mergeCell ref="E30:E31"/>
    <mergeCell ref="J30:J31"/>
    <mergeCell ref="K30:K31"/>
    <mergeCell ref="L30:L31"/>
    <mergeCell ref="R30:R31"/>
    <mergeCell ref="D31:D32"/>
    <mergeCell ref="B32:B33"/>
    <mergeCell ref="S32:S33"/>
    <mergeCell ref="W29:AC29"/>
    <mergeCell ref="S24:S25"/>
    <mergeCell ref="T24:T25"/>
    <mergeCell ref="U24:U25"/>
    <mergeCell ref="V24:V25"/>
    <mergeCell ref="S27:S28"/>
    <mergeCell ref="V30:V31"/>
    <mergeCell ref="W30:AC30"/>
    <mergeCell ref="W31:AC31"/>
    <mergeCell ref="B24:B25"/>
    <mergeCell ref="E24:E25"/>
    <mergeCell ref="J24:J25"/>
    <mergeCell ref="K24:K25"/>
    <mergeCell ref="L24:L25"/>
    <mergeCell ref="R24:R25"/>
    <mergeCell ref="W25:AC25"/>
    <mergeCell ref="W26:AC26"/>
    <mergeCell ref="W27:AC27"/>
    <mergeCell ref="T27:T28"/>
    <mergeCell ref="U27:U28"/>
    <mergeCell ref="V27:V28"/>
    <mergeCell ref="B27:B28"/>
    <mergeCell ref="E27:E28"/>
    <mergeCell ref="J27:J28"/>
    <mergeCell ref="K27:K28"/>
    <mergeCell ref="L27:L28"/>
    <mergeCell ref="R27:R28"/>
    <mergeCell ref="W28:AC28"/>
    <mergeCell ref="L18:L19"/>
    <mergeCell ref="K18:K19"/>
    <mergeCell ref="J18:J19"/>
    <mergeCell ref="R18:R19"/>
    <mergeCell ref="E20:E23"/>
    <mergeCell ref="J20:J23"/>
    <mergeCell ref="L20:L23"/>
    <mergeCell ref="K20:K23"/>
    <mergeCell ref="B20:B23"/>
    <mergeCell ref="R20:R23"/>
    <mergeCell ref="W37:AC37"/>
    <mergeCell ref="W38:AC38"/>
    <mergeCell ref="W39:AC39"/>
    <mergeCell ref="W40:AC40"/>
    <mergeCell ref="B2:W2"/>
    <mergeCell ref="W3:AC3"/>
    <mergeCell ref="W4:AC4"/>
    <mergeCell ref="E5:E6"/>
    <mergeCell ref="J5:J6"/>
    <mergeCell ref="L5:L6"/>
    <mergeCell ref="M11:M12"/>
    <mergeCell ref="B11:B13"/>
    <mergeCell ref="K11:K13"/>
    <mergeCell ref="L11:L13"/>
    <mergeCell ref="J11:J13"/>
    <mergeCell ref="F11:F12"/>
    <mergeCell ref="I11:I12"/>
    <mergeCell ref="H11:H12"/>
    <mergeCell ref="E11:E13"/>
    <mergeCell ref="W13:AC13"/>
    <mergeCell ref="P11:P12"/>
    <mergeCell ref="R11:R13"/>
    <mergeCell ref="S11:S13"/>
    <mergeCell ref="T11:T13"/>
    <mergeCell ref="W47:AC47"/>
    <mergeCell ref="W48:AC48"/>
    <mergeCell ref="W49:AC49"/>
    <mergeCell ref="W50:AC50"/>
    <mergeCell ref="W51:AC51"/>
    <mergeCell ref="W52:AC52"/>
    <mergeCell ref="W41:AC41"/>
    <mergeCell ref="W42:AC42"/>
    <mergeCell ref="W43:AC43"/>
    <mergeCell ref="W44:AC44"/>
    <mergeCell ref="W45:AC45"/>
    <mergeCell ref="W46:AC46"/>
    <mergeCell ref="E60:F60"/>
    <mergeCell ref="E61:F61"/>
    <mergeCell ref="D72:P72"/>
    <mergeCell ref="C82:P83"/>
    <mergeCell ref="C92:C93"/>
    <mergeCell ref="D92:D93"/>
    <mergeCell ref="E92:E93"/>
    <mergeCell ref="W53:AC53"/>
    <mergeCell ref="W54:AC54"/>
    <mergeCell ref="W55:AC55"/>
    <mergeCell ref="W56:AC56"/>
    <mergeCell ref="W57:AC57"/>
    <mergeCell ref="E59:F59"/>
    <mergeCell ref="W11:AC12"/>
    <mergeCell ref="S9:S10"/>
    <mergeCell ref="T9:T10"/>
    <mergeCell ref="U9:U10"/>
    <mergeCell ref="V9:V10"/>
    <mergeCell ref="V5:V6"/>
    <mergeCell ref="W5:AC5"/>
    <mergeCell ref="W6:AC6"/>
    <mergeCell ref="B5:B6"/>
    <mergeCell ref="K5:K6"/>
    <mergeCell ref="R5:R6"/>
    <mergeCell ref="S5:S6"/>
    <mergeCell ref="T5:T6"/>
    <mergeCell ref="U5:U6"/>
    <mergeCell ref="U11:U13"/>
    <mergeCell ref="V11:V13"/>
    <mergeCell ref="B9:B10"/>
    <mergeCell ref="E9:E10"/>
    <mergeCell ref="J9:J10"/>
    <mergeCell ref="K9:K10"/>
    <mergeCell ref="L9:L10"/>
    <mergeCell ref="R9:R10"/>
    <mergeCell ref="W10:AC10"/>
    <mergeCell ref="W7:AC7"/>
    <mergeCell ref="W8:AC8"/>
    <mergeCell ref="W9:AC9"/>
    <mergeCell ref="B14:B15"/>
    <mergeCell ref="S18:S19"/>
    <mergeCell ref="B18:B19"/>
    <mergeCell ref="E18:E19"/>
    <mergeCell ref="W20:AC20"/>
    <mergeCell ref="T14:T15"/>
    <mergeCell ref="U14:U15"/>
    <mergeCell ref="V14:V15"/>
    <mergeCell ref="W15:AC15"/>
    <mergeCell ref="E14:E15"/>
    <mergeCell ref="J14:J15"/>
    <mergeCell ref="W14:AC14"/>
    <mergeCell ref="L14:L15"/>
    <mergeCell ref="K14:K15"/>
    <mergeCell ref="R14:R15"/>
    <mergeCell ref="B16:B17"/>
    <mergeCell ref="E16:E17"/>
    <mergeCell ref="J16:J17"/>
    <mergeCell ref="K16:K17"/>
    <mergeCell ref="L16:L17"/>
    <mergeCell ref="R16:R17"/>
    <mergeCell ref="V16:V17"/>
    <mergeCell ref="W16:AC16"/>
    <mergeCell ref="W17:AC17"/>
    <mergeCell ref="W21:AC21"/>
    <mergeCell ref="W22:AC22"/>
    <mergeCell ref="W23:AC23"/>
    <mergeCell ref="W24:AC24"/>
    <mergeCell ref="S14:S15"/>
    <mergeCell ref="T18:T19"/>
    <mergeCell ref="U18:U19"/>
    <mergeCell ref="S16:S17"/>
    <mergeCell ref="T16:T17"/>
    <mergeCell ref="U16:U17"/>
    <mergeCell ref="V18:V19"/>
    <mergeCell ref="W19:AC19"/>
    <mergeCell ref="W18:AC18"/>
    <mergeCell ref="S20:S23"/>
    <mergeCell ref="T20:T23"/>
    <mergeCell ref="U20:U23"/>
    <mergeCell ref="V20:V23"/>
    <mergeCell ref="W36:AC36"/>
    <mergeCell ref="B35:B36"/>
    <mergeCell ref="D34:D35"/>
    <mergeCell ref="E35:E36"/>
    <mergeCell ref="J35:J36"/>
    <mergeCell ref="K35:K36"/>
    <mergeCell ref="L35:L36"/>
    <mergeCell ref="W34:AC34"/>
    <mergeCell ref="W35:AC35"/>
    <mergeCell ref="U35:U36"/>
    <mergeCell ref="E40:E41"/>
    <mergeCell ref="B37:B38"/>
    <mergeCell ref="D36:D37"/>
    <mergeCell ref="E37:E38"/>
    <mergeCell ref="J37:J38"/>
    <mergeCell ref="K37:K38"/>
    <mergeCell ref="L37:L38"/>
    <mergeCell ref="V35:V36"/>
    <mergeCell ref="R37:R38"/>
    <mergeCell ref="S37:S38"/>
    <mergeCell ref="T37:T38"/>
    <mergeCell ref="U37:U38"/>
    <mergeCell ref="V37:V38"/>
    <mergeCell ref="R35:R36"/>
    <mergeCell ref="S35:S36"/>
    <mergeCell ref="T35:T36"/>
  </mergeCells>
  <conditionalFormatting sqref="B2 J77:J81 J84:J85 J88:J65536">
    <cfRule type="cellIs" dxfId="1443" priority="1247" stopIfTrue="1" operator="lessThan">
      <formula>438</formula>
    </cfRule>
  </conditionalFormatting>
  <conditionalFormatting sqref="I63:I71">
    <cfRule type="cellIs" dxfId="1442" priority="1230" stopIfTrue="1" operator="lessThan">
      <formula>0%</formula>
    </cfRule>
    <cfRule type="cellIs" dxfId="1441" priority="1229" stopIfTrue="1" operator="greaterThan">
      <formula>1.5%</formula>
    </cfRule>
  </conditionalFormatting>
  <conditionalFormatting sqref="J3">
    <cfRule type="cellIs" dxfId="1440" priority="1194" stopIfTrue="1" operator="lessThan">
      <formula>438</formula>
    </cfRule>
    <cfRule type="cellIs" dxfId="1439" priority="1192" stopIfTrue="1" operator="lessThan">
      <formula>456.25</formula>
    </cfRule>
  </conditionalFormatting>
  <conditionalFormatting sqref="J4:J5">
    <cfRule type="cellIs" dxfId="1438" priority="1045" stopIfTrue="1" operator="lessThan">
      <formula>524</formula>
    </cfRule>
  </conditionalFormatting>
  <conditionalFormatting sqref="J7:J9 J11">
    <cfRule type="cellIs" dxfId="1437" priority="487" stopIfTrue="1" operator="lessThan">
      <formula>524</formula>
    </cfRule>
  </conditionalFormatting>
  <conditionalFormatting sqref="J14 J16 J18 J20">
    <cfRule type="cellIs" dxfId="1436" priority="434" stopIfTrue="1" operator="lessThan">
      <formula>524</formula>
    </cfRule>
  </conditionalFormatting>
  <conditionalFormatting sqref="J24">
    <cfRule type="cellIs" dxfId="1435" priority="326" stopIfTrue="1" operator="lessThan">
      <formula>524</formula>
    </cfRule>
  </conditionalFormatting>
  <conditionalFormatting sqref="J26:J27">
    <cfRule type="cellIs" dxfId="1434" priority="273" stopIfTrue="1" operator="lessThan">
      <formula>524</formula>
    </cfRule>
  </conditionalFormatting>
  <conditionalFormatting sqref="J29:J30 J32">
    <cfRule type="cellIs" dxfId="1433" priority="163" stopIfTrue="1" operator="lessThan">
      <formula>524</formula>
    </cfRule>
  </conditionalFormatting>
  <conditionalFormatting sqref="J34:J35 J37">
    <cfRule type="cellIs" dxfId="1432" priority="57" stopIfTrue="1" operator="lessThan">
      <formula>524</formula>
    </cfRule>
  </conditionalFormatting>
  <conditionalFormatting sqref="J39">
    <cfRule type="cellIs" dxfId="1431" priority="4" stopIfTrue="1" operator="lessThan">
      <formula>524</formula>
    </cfRule>
  </conditionalFormatting>
  <conditionalFormatting sqref="J41:J57">
    <cfRule type="cellIs" dxfId="1430" priority="1153" stopIfTrue="1" operator="lessThan">
      <formula>524</formula>
    </cfRule>
  </conditionalFormatting>
  <conditionalFormatting sqref="J58">
    <cfRule type="cellIs" dxfId="1429" priority="1241" stopIfTrue="1" operator="lessThan">
      <formula>462</formula>
    </cfRule>
  </conditionalFormatting>
  <conditionalFormatting sqref="J63:K71">
    <cfRule type="cellIs" dxfId="1428" priority="598" stopIfTrue="1" operator="lessThan">
      <formula>73%</formula>
    </cfRule>
  </conditionalFormatting>
  <conditionalFormatting sqref="K4:K5">
    <cfRule type="cellIs" dxfId="1427" priority="1047" stopIfTrue="1" operator="lessThan">
      <formula>540</formula>
    </cfRule>
  </conditionalFormatting>
  <conditionalFormatting sqref="K7:K9 K11">
    <cfRule type="cellIs" dxfId="1426" priority="439" stopIfTrue="1" operator="lessThan">
      <formula>540</formula>
    </cfRule>
  </conditionalFormatting>
  <conditionalFormatting sqref="K14 K16 K18 K20">
    <cfRule type="cellIs" dxfId="1425" priority="386" stopIfTrue="1" operator="lessThan">
      <formula>540</formula>
    </cfRule>
  </conditionalFormatting>
  <conditionalFormatting sqref="K24">
    <cfRule type="cellIs" dxfId="1424" priority="278" stopIfTrue="1" operator="lessThan">
      <formula>540</formula>
    </cfRule>
  </conditionalFormatting>
  <conditionalFormatting sqref="K26:K27">
    <cfRule type="cellIs" dxfId="1423" priority="225" stopIfTrue="1" operator="lessThan">
      <formula>540</formula>
    </cfRule>
  </conditionalFormatting>
  <conditionalFormatting sqref="K29:K30 K32">
    <cfRule type="cellIs" dxfId="1422" priority="115" stopIfTrue="1" operator="lessThan">
      <formula>540</formula>
    </cfRule>
  </conditionalFormatting>
  <conditionalFormatting sqref="K34:K35 K37 K39">
    <cfRule type="cellIs" dxfId="1421" priority="9" stopIfTrue="1" operator="lessThan">
      <formula>540</formula>
    </cfRule>
  </conditionalFormatting>
  <conditionalFormatting sqref="K41:K56">
    <cfRule type="cellIs" dxfId="1420" priority="1156" stopIfTrue="1" operator="lessThan">
      <formula>540</formula>
    </cfRule>
  </conditionalFormatting>
  <conditionalFormatting sqref="P4:P11 P13:P32 P34:P59">
    <cfRule type="cellIs" dxfId="1419" priority="1098" stopIfTrue="1" operator="greaterThan">
      <formula>1.1</formula>
    </cfRule>
  </conditionalFormatting>
  <conditionalFormatting sqref="P59:P60">
    <cfRule type="cellIs" dxfId="1418" priority="1242" stopIfTrue="1" operator="greaterThan">
      <formula>1.5%</formula>
    </cfRule>
    <cfRule type="cellIs" dxfId="1417" priority="1243" stopIfTrue="1" operator="lessThan">
      <formula>0%</formula>
    </cfRule>
  </conditionalFormatting>
  <conditionalFormatting sqref="P63">
    <cfRule type="cellIs" dxfId="1416" priority="1231" stopIfTrue="1" operator="greaterThan">
      <formula>1.1</formula>
    </cfRule>
  </conditionalFormatting>
  <conditionalFormatting sqref="R4:S5">
    <cfRule type="cellIs" dxfId="1415" priority="1095" stopIfTrue="1" operator="lessThan">
      <formula>0.67</formula>
    </cfRule>
  </conditionalFormatting>
  <conditionalFormatting sqref="R7:S9 R11:S11">
    <cfRule type="cellIs" dxfId="1414" priority="436" stopIfTrue="1" operator="lessThan">
      <formula>0.67</formula>
    </cfRule>
  </conditionalFormatting>
  <conditionalFormatting sqref="R14:S14 R16:S16 R18:S18 R20:S20">
    <cfRule type="cellIs" dxfId="1413" priority="383" stopIfTrue="1" operator="lessThan">
      <formula>0.67</formula>
    </cfRule>
  </conditionalFormatting>
  <conditionalFormatting sqref="R24:S24">
    <cfRule type="cellIs" dxfId="1412" priority="275" stopIfTrue="1" operator="lessThan">
      <formula>0.67</formula>
    </cfRule>
  </conditionalFormatting>
  <conditionalFormatting sqref="R26:S27">
    <cfRule type="cellIs" dxfId="1411" priority="218" stopIfTrue="1" operator="lessThan">
      <formula>0.67</formula>
    </cfRule>
  </conditionalFormatting>
  <conditionalFormatting sqref="R29:S30 R32:S32">
    <cfRule type="cellIs" dxfId="1410" priority="112" stopIfTrue="1" operator="lessThan">
      <formula>0.67</formula>
    </cfRule>
  </conditionalFormatting>
  <conditionalFormatting sqref="R34:S35 R37:S37">
    <cfRule type="cellIs" dxfId="1409" priority="6" stopIfTrue="1" operator="lessThan">
      <formula>0.67</formula>
    </cfRule>
  </conditionalFormatting>
  <conditionalFormatting sqref="R39:S56">
    <cfRule type="cellIs" dxfId="1408" priority="1" stopIfTrue="1" operator="lessThan">
      <formula>0.67</formula>
    </cfRule>
  </conditionalFormatting>
  <conditionalFormatting sqref="R57:S57">
    <cfRule type="cellIs" dxfId="1407" priority="1187" stopIfTrue="1" operator="greaterThan">
      <formula>1.1</formula>
    </cfRule>
  </conditionalFormatting>
  <conditionalFormatting sqref="R58:S58">
    <cfRule type="cellIs" dxfId="1406" priority="1199" stopIfTrue="1" operator="lessThan">
      <formula>0.6</formula>
    </cfRule>
  </conditionalFormatting>
  <conditionalFormatting sqref="R63:S63">
    <cfRule type="cellIs" dxfId="1405" priority="1186" stopIfTrue="1" operator="lessThan">
      <formula>0.67</formula>
    </cfRule>
  </conditionalFormatting>
  <conditionalFormatting sqref="T59:T60">
    <cfRule type="cellIs" dxfId="1404" priority="1245" stopIfTrue="1" operator="lessThan">
      <formula>73%</formula>
    </cfRule>
  </conditionalFormatting>
  <conditionalFormatting sqref="T80">
    <cfRule type="cellIs" dxfId="1403" priority="1234" stopIfTrue="1" operator="greaterThan">
      <formula>1.1</formula>
    </cfRule>
  </conditionalFormatting>
  <conditionalFormatting sqref="T4:U5">
    <cfRule type="cellIs" dxfId="1402" priority="1097" stopIfTrue="1" operator="lessThan">
      <formula>0.74</formula>
    </cfRule>
  </conditionalFormatting>
  <conditionalFormatting sqref="T7:U9 T11:U11">
    <cfRule type="cellIs" dxfId="1401" priority="438" stopIfTrue="1" operator="lessThan">
      <formula>0.74</formula>
    </cfRule>
  </conditionalFormatting>
  <conditionalFormatting sqref="T14:U14 T16:U16 T18:U18 T20:U20">
    <cfRule type="cellIs" dxfId="1400" priority="385" stopIfTrue="1" operator="lessThan">
      <formula>0.74</formula>
    </cfRule>
  </conditionalFormatting>
  <conditionalFormatting sqref="T24:U24">
    <cfRule type="cellIs" dxfId="1399" priority="277" stopIfTrue="1" operator="lessThan">
      <formula>0.74</formula>
    </cfRule>
  </conditionalFormatting>
  <conditionalFormatting sqref="T26:U27">
    <cfRule type="cellIs" dxfId="1398" priority="220" stopIfTrue="1" operator="lessThan">
      <formula>0.74</formula>
    </cfRule>
  </conditionalFormatting>
  <conditionalFormatting sqref="T29:U30 T32:U32">
    <cfRule type="cellIs" dxfId="1397" priority="114" stopIfTrue="1" operator="lessThan">
      <formula>0.74</formula>
    </cfRule>
  </conditionalFormatting>
  <conditionalFormatting sqref="T34:U35 T37:U37">
    <cfRule type="cellIs" dxfId="1396" priority="8" stopIfTrue="1" operator="lessThan">
      <formula>0.74</formula>
    </cfRule>
  </conditionalFormatting>
  <conditionalFormatting sqref="T39:U58">
    <cfRule type="cellIs" dxfId="1395" priority="3" stopIfTrue="1" operator="lessThan">
      <formula>0.74</formula>
    </cfRule>
  </conditionalFormatting>
  <conditionalFormatting sqref="T63:U63">
    <cfRule type="cellIs" dxfId="1394" priority="1232" stopIfTrue="1" operator="lessThan">
      <formula>0.74</formula>
    </cfRule>
  </conditionalFormatting>
  <conditionalFormatting sqref="T3:V3">
    <cfRule type="cellIs" dxfId="1393" priority="1238" stopIfTrue="1" operator="lessThan">
      <formula>0.65</formula>
    </cfRule>
  </conditionalFormatting>
  <conditionalFormatting sqref="T79:V79">
    <cfRule type="cellIs" dxfId="1392" priority="1235" stopIfTrue="1" operator="lessThan">
      <formula>0.74</formula>
    </cfRule>
  </conditionalFormatting>
  <conditionalFormatting sqref="U59:V60">
    <cfRule type="cellIs" dxfId="1391" priority="1246" stopIfTrue="1" operator="lessThan">
      <formula>75%</formula>
    </cfRule>
  </conditionalFormatting>
  <conditionalFormatting sqref="V4:V5">
    <cfRule type="cellIs" dxfId="1390" priority="1096" stopIfTrue="1" operator="lessThan">
      <formula>0.95</formula>
    </cfRule>
  </conditionalFormatting>
  <conditionalFormatting sqref="V7:V9 V11">
    <cfRule type="cellIs" dxfId="1389" priority="437" stopIfTrue="1" operator="lessThan">
      <formula>0.95</formula>
    </cfRule>
  </conditionalFormatting>
  <conditionalFormatting sqref="V14 V16 V18 V20">
    <cfRule type="cellIs" dxfId="1388" priority="384" stopIfTrue="1" operator="lessThan">
      <formula>0.95</formula>
    </cfRule>
  </conditionalFormatting>
  <conditionalFormatting sqref="V24">
    <cfRule type="cellIs" dxfId="1387" priority="276" stopIfTrue="1" operator="lessThan">
      <formula>0.95</formula>
    </cfRule>
  </conditionalFormatting>
  <conditionalFormatting sqref="V26:V27">
    <cfRule type="cellIs" dxfId="1386" priority="219" stopIfTrue="1" operator="lessThan">
      <formula>0.95</formula>
    </cfRule>
  </conditionalFormatting>
  <conditionalFormatting sqref="V29:V30 V32">
    <cfRule type="cellIs" dxfId="1385" priority="113" stopIfTrue="1" operator="lessThan">
      <formula>0.95</formula>
    </cfRule>
  </conditionalFormatting>
  <conditionalFormatting sqref="V34:V35 V37">
    <cfRule type="cellIs" dxfId="1384" priority="7" stopIfTrue="1" operator="lessThan">
      <formula>0.95</formula>
    </cfRule>
  </conditionalFormatting>
  <conditionalFormatting sqref="V39:V58">
    <cfRule type="cellIs" dxfId="1383" priority="2" stopIfTrue="1" operator="lessThan">
      <formula>0.95</formula>
    </cfRule>
  </conditionalFormatting>
  <conditionalFormatting sqref="V62">
    <cfRule type="cellIs" dxfId="1382" priority="1191" stopIfTrue="1" operator="lessThan">
      <formula>0.65</formula>
    </cfRule>
  </conditionalFormatting>
  <conditionalFormatting sqref="V63">
    <cfRule type="cellIs" dxfId="1381" priority="1190" stopIfTrue="1" operator="lessThan">
      <formula>0.95</formula>
    </cfRule>
  </conditionalFormatting>
  <printOptions horizontalCentered="1"/>
  <pageMargins left="0.10312499999999999" right="0.5" top="0.25" bottom="0.27" header="0.25" footer="0.27"/>
  <pageSetup paperSize="5" scale="39" fitToHeight="0" orientation="landscape"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FE6DB-16DA-4840-9EBB-72B8DDD5B2F2}">
  <sheetPr codeName="Sheet19">
    <pageSetUpPr fitToPage="1"/>
  </sheetPr>
  <dimension ref="A2:AE65459"/>
  <sheetViews>
    <sheetView showZeros="0" showWhiteSpace="0" zoomScale="70" zoomScaleNormal="70" workbookViewId="0">
      <pane xSplit="3" ySplit="3" topLeftCell="I32" activePane="bottomRight" state="frozen"/>
      <selection activeCell="M66" sqref="M66"/>
      <selection pane="topRight" activeCell="M66" sqref="M66"/>
      <selection pane="bottomLeft" activeCell="M66" sqref="M66"/>
      <selection pane="bottomRight" activeCell="V57" sqref="V57"/>
    </sheetView>
  </sheetViews>
  <sheetFormatPr defaultColWidth="9.42578125" defaultRowHeight="12.75" x14ac:dyDescent="0.2"/>
  <cols>
    <col min="1" max="1" width="3.42578125" customWidth="1"/>
    <col min="2" max="2" width="21.42578125" style="1" customWidth="1"/>
    <col min="3" max="3" width="36" style="1" customWidth="1"/>
    <col min="4" max="4" width="15.5703125" style="1" customWidth="1"/>
    <col min="5" max="6" width="13.42578125" style="1" customWidth="1"/>
    <col min="7" max="7" width="15.5703125" bestFit="1" customWidth="1"/>
    <col min="8" max="8" width="13.42578125" customWidth="1"/>
    <col min="9" max="9" width="11.42578125" style="1" customWidth="1"/>
    <col min="10" max="10" width="14.42578125" customWidth="1"/>
    <col min="11" max="11" width="17.42578125" customWidth="1"/>
    <col min="12" max="12" width="12.42578125" customWidth="1"/>
    <col min="13" max="13" width="13.42578125" customWidth="1"/>
    <col min="14" max="14" width="12.5703125" style="392" bestFit="1" customWidth="1"/>
    <col min="15" max="15" width="15" style="2" bestFit="1" customWidth="1"/>
    <col min="16" max="16" width="14.42578125" style="1" customWidth="1"/>
    <col min="17" max="17" width="7.5703125" style="1" hidden="1" customWidth="1"/>
    <col min="18" max="18" width="16.42578125" style="1" hidden="1" customWidth="1"/>
    <col min="19" max="19" width="15.5703125" customWidth="1"/>
    <col min="20" max="20" width="13.42578125" hidden="1" customWidth="1"/>
    <col min="21" max="21" width="14.5703125" customWidth="1"/>
    <col min="22" max="22" width="20.5703125" style="1" customWidth="1"/>
    <col min="23" max="23" width="12" customWidth="1"/>
    <col min="24" max="24" width="17" customWidth="1"/>
    <col min="25" max="25" width="15.42578125" customWidth="1"/>
    <col min="26" max="26" width="15.5703125" customWidth="1"/>
    <col min="27" max="27" width="14" customWidth="1"/>
    <col min="28" max="28" width="25.5703125" customWidth="1"/>
    <col min="29" max="29" width="52.42578125" customWidth="1"/>
  </cols>
  <sheetData>
    <row r="2" spans="2:31" ht="24" thickBot="1" x14ac:dyDescent="0.4">
      <c r="B2" s="1022" t="s">
        <v>406</v>
      </c>
      <c r="C2" s="1022"/>
      <c r="D2" s="1022"/>
      <c r="E2" s="1022"/>
      <c r="F2" s="1022"/>
      <c r="G2" s="1022"/>
      <c r="H2" s="1022"/>
      <c r="I2" s="1022"/>
      <c r="J2" s="1022"/>
      <c r="K2" s="1022"/>
      <c r="L2" s="1022"/>
      <c r="M2" s="1022"/>
      <c r="N2" s="1022"/>
      <c r="O2" s="1022"/>
      <c r="P2" s="1022"/>
      <c r="Q2" s="1022"/>
      <c r="R2" s="1022"/>
      <c r="S2" s="1022"/>
      <c r="T2" s="1022"/>
      <c r="U2" s="1022"/>
      <c r="V2" s="1065"/>
      <c r="W2" s="1065"/>
    </row>
    <row r="3" spans="2:31" ht="83.25" customHeight="1" thickTop="1" thickBot="1" x14ac:dyDescent="0.25">
      <c r="B3" s="37" t="s">
        <v>0</v>
      </c>
      <c r="C3" s="38" t="s">
        <v>2</v>
      </c>
      <c r="D3" s="38" t="s">
        <v>12</v>
      </c>
      <c r="E3" s="38" t="s">
        <v>11</v>
      </c>
      <c r="F3" s="38" t="s">
        <v>15</v>
      </c>
      <c r="G3" s="38" t="s">
        <v>9</v>
      </c>
      <c r="H3" s="38" t="s">
        <v>17</v>
      </c>
      <c r="I3" s="38" t="s">
        <v>5</v>
      </c>
      <c r="J3" s="38" t="s">
        <v>494</v>
      </c>
      <c r="K3" s="38" t="s">
        <v>4</v>
      </c>
      <c r="L3" s="38" t="s">
        <v>161</v>
      </c>
      <c r="M3" s="38" t="s">
        <v>10</v>
      </c>
      <c r="N3" s="38" t="s">
        <v>622</v>
      </c>
      <c r="O3" s="294" t="s">
        <v>34</v>
      </c>
      <c r="P3" s="40" t="s">
        <v>55</v>
      </c>
      <c r="Q3" s="40" t="s">
        <v>8</v>
      </c>
      <c r="R3" s="41" t="s">
        <v>464</v>
      </c>
      <c r="S3" s="41" t="s">
        <v>473</v>
      </c>
      <c r="T3" s="41" t="s">
        <v>307</v>
      </c>
      <c r="U3" s="282" t="s">
        <v>308</v>
      </c>
      <c r="V3" s="283" t="s">
        <v>425</v>
      </c>
      <c r="W3" s="1066" t="s">
        <v>1</v>
      </c>
      <c r="X3" s="1067"/>
      <c r="Y3" s="1067"/>
      <c r="Z3" s="1067"/>
      <c r="AA3" s="1067"/>
      <c r="AB3" s="1067"/>
      <c r="AC3" s="1068"/>
      <c r="AD3">
        <v>15000</v>
      </c>
      <c r="AE3">
        <v>17000</v>
      </c>
    </row>
    <row r="4" spans="2:31" s="19" customFormat="1" ht="92.25" customHeight="1" thickTop="1" x14ac:dyDescent="0.2">
      <c r="B4" s="168">
        <f>[3]December_2017!$B$8</f>
        <v>43070</v>
      </c>
      <c r="C4" s="26" t="str">
        <f>[3]December_2017!$D8</f>
        <v>CARIB (AMBER)</v>
      </c>
      <c r="D4" s="27">
        <v>5600</v>
      </c>
      <c r="E4" s="28">
        <v>0.32916666666666666</v>
      </c>
      <c r="F4" s="29">
        <f>[3]December_2017!$J8</f>
        <v>369.2</v>
      </c>
      <c r="G4" s="30">
        <f>[3]December_2017!$F8</f>
        <v>5323</v>
      </c>
      <c r="H4" s="29">
        <f>[3]December_2017!$K8</f>
        <v>368.60800000000006</v>
      </c>
      <c r="I4" s="31">
        <f>[3]December_2017!$N8</f>
        <v>17</v>
      </c>
      <c r="J4" s="32">
        <f>[3]December_2017!$Q8</f>
        <v>446.06145251396646</v>
      </c>
      <c r="K4" s="32">
        <f>[3]December_2017!$E8</f>
        <v>716</v>
      </c>
      <c r="L4" s="169">
        <v>0.8652777777777777</v>
      </c>
      <c r="M4" s="32">
        <f>[3]December_2017!$M8</f>
        <v>275</v>
      </c>
      <c r="N4" s="406" t="e">
        <f>[4]Dec!$I$8</f>
        <v>#REF!</v>
      </c>
      <c r="O4" s="32">
        <f>[3]December_2017!$H$8</f>
        <v>0</v>
      </c>
      <c r="P4" s="33">
        <f>[3]December_2017!$P8</f>
        <v>0.16034669555794359</v>
      </c>
      <c r="Q4" s="32"/>
      <c r="R4" s="46">
        <f>($G4)/(($K4/60)*AD$3*(1/24))</f>
        <v>0.71369832402234645</v>
      </c>
      <c r="S4" s="46">
        <f>($G4)/(($K4/60)*AE$3*(1/24))</f>
        <v>0.6297338153138351</v>
      </c>
      <c r="T4" s="46">
        <f>($G4)*24/(($K4)/60)/$AD$3</f>
        <v>0.71369832402234634</v>
      </c>
      <c r="U4" s="227">
        <f>($G4)*24/(($K4)/60)/$AE$3</f>
        <v>0.62973381531383499</v>
      </c>
      <c r="V4" s="383" t="e">
        <f>(818-((M4)-6-[4]Dec!$Z$8-[4]Dec!$Y$8-3-[4]Dec!$AB$8))/818</f>
        <v>#REF!</v>
      </c>
      <c r="W4" s="1095" t="s">
        <v>812</v>
      </c>
      <c r="X4" s="1096"/>
      <c r="Y4" s="1096"/>
      <c r="Z4" s="1096"/>
      <c r="AA4" s="1096"/>
      <c r="AB4" s="1096"/>
      <c r="AC4" s="1097"/>
    </row>
    <row r="5" spans="2:31" s="19" customFormat="1" ht="72" customHeight="1" x14ac:dyDescent="0.2">
      <c r="B5" s="1037">
        <v>43073</v>
      </c>
      <c r="C5" s="26" t="str">
        <f>[3]December_2017!$D9</f>
        <v>CARIB (AMBER)</v>
      </c>
      <c r="D5" s="27">
        <v>2800</v>
      </c>
      <c r="E5" s="1130">
        <v>0.3611111111111111</v>
      </c>
      <c r="F5" s="29">
        <f>[3]December_2017!$J9</f>
        <v>172.8</v>
      </c>
      <c r="G5" s="30">
        <f>[3]December_2017!$F9</f>
        <v>2596</v>
      </c>
      <c r="H5" s="29">
        <f>[3]December_2017!$K9</f>
        <v>171.33600000000001</v>
      </c>
      <c r="I5" s="31">
        <f>[3]December_2017!$N9</f>
        <v>17</v>
      </c>
      <c r="J5" s="991">
        <f>[3]December_2017!$Q9</f>
        <v>437.82051282051282</v>
      </c>
      <c r="K5" s="991">
        <f>[3]December_2017!$E9</f>
        <v>936</v>
      </c>
      <c r="L5" s="1017">
        <v>1.0138888888888888</v>
      </c>
      <c r="M5" s="32">
        <f>[3]December_2017!$M9</f>
        <v>108</v>
      </c>
      <c r="N5" s="406" t="e">
        <f>[4]Dec!$I9</f>
        <v>#REF!</v>
      </c>
      <c r="O5" s="32">
        <f>[3]December_2017!$H9</f>
        <v>0</v>
      </c>
      <c r="P5" s="33">
        <f>[3]December_2017!$P9</f>
        <v>0.84722222222222143</v>
      </c>
      <c r="Q5" s="32"/>
      <c r="R5" s="1039">
        <f>($G5+G6+G7)/(($K5/60)*AD$3*(1/24))</f>
        <v>0.70051282051282049</v>
      </c>
      <c r="S5" s="1039">
        <f>($G5+G6+G7)/(($K5/60)*AE$3*(1/24))</f>
        <v>0.61809954751131224</v>
      </c>
      <c r="T5" s="1039">
        <f>($G5+G6+G7)*24/(($K5)/60)/$AD$3</f>
        <v>0.7005128205128206</v>
      </c>
      <c r="U5" s="1047">
        <f>($G5+G6+G7)*24/(($K5)/60)/$AE$3</f>
        <v>0.61809954751131224</v>
      </c>
      <c r="V5" s="1035" t="e">
        <f>(1036-((M5+M6+M7)-[4]Dec!$Z$11-[4]Dec!$Z$10-[4]Dec!$Z$9-[4]Dec!$H$10-[4]Dec!$J$10-[4]Dec!$J$9-[4]Dec!$I$9-[4]Dec!$I$10-[4]Dec!$I$11))/1036</f>
        <v>#REF!</v>
      </c>
      <c r="W5" s="1013" t="s">
        <v>781</v>
      </c>
      <c r="X5" s="1014"/>
      <c r="Y5" s="1014"/>
      <c r="Z5" s="1014"/>
      <c r="AA5" s="1014"/>
      <c r="AB5" s="1014"/>
      <c r="AC5" s="1015"/>
    </row>
    <row r="6" spans="2:31" s="19" customFormat="1" ht="71.25" customHeight="1" x14ac:dyDescent="0.2">
      <c r="B6" s="1050"/>
      <c r="C6" s="26" t="str">
        <f>[3]December_2017!$D10</f>
        <v>SHANDY SORREL</v>
      </c>
      <c r="D6" s="27">
        <v>1400</v>
      </c>
      <c r="E6" s="1131"/>
      <c r="F6" s="29">
        <f>[3]December_2017!$J10</f>
        <v>181.3</v>
      </c>
      <c r="G6" s="30">
        <f>[3]December_2017!$F10</f>
        <v>2672</v>
      </c>
      <c r="H6" s="29">
        <f>[3]December_2017!$K10</f>
        <v>176.352</v>
      </c>
      <c r="I6" s="31">
        <f>[3]December_2017!$N10</f>
        <v>4.2560000000000002</v>
      </c>
      <c r="J6" s="1042"/>
      <c r="K6" s="1042"/>
      <c r="L6" s="1055"/>
      <c r="M6" s="32">
        <f>[3]December_2017!$M10</f>
        <v>166</v>
      </c>
      <c r="N6" s="413">
        <f>[4]Dec!$I10</f>
        <v>41</v>
      </c>
      <c r="O6" s="32">
        <f>[3]December_2017!$H10</f>
        <v>210</v>
      </c>
      <c r="P6" s="33">
        <f>[3]December_2017!$P10</f>
        <v>2.7291781577495904</v>
      </c>
      <c r="Q6" s="32"/>
      <c r="R6" s="1041"/>
      <c r="S6" s="1041"/>
      <c r="T6" s="1041"/>
      <c r="U6" s="1049"/>
      <c r="V6" s="1054"/>
      <c r="W6" s="1013" t="s">
        <v>813</v>
      </c>
      <c r="X6" s="1014"/>
      <c r="Y6" s="1014"/>
      <c r="Z6" s="1014"/>
      <c r="AA6" s="1014"/>
      <c r="AB6" s="1014"/>
      <c r="AC6" s="1015"/>
    </row>
    <row r="7" spans="2:31" s="19" customFormat="1" ht="83.25" customHeight="1" x14ac:dyDescent="0.2">
      <c r="B7" s="1038"/>
      <c r="C7" s="26" t="str">
        <f>[3]December_2017!$D11</f>
        <v xml:space="preserve">GINSENG </v>
      </c>
      <c r="D7" s="27">
        <v>1725</v>
      </c>
      <c r="E7" s="1132"/>
      <c r="F7" s="29">
        <f>[3]December_2017!$J11</f>
        <v>105.3</v>
      </c>
      <c r="G7" s="30">
        <f>[3]December_2017!$F11</f>
        <v>1562</v>
      </c>
      <c r="H7" s="29">
        <f>[3]December_2017!$K11</f>
        <v>103.092</v>
      </c>
      <c r="I7" s="31">
        <f>[3]December_2017!$N11</f>
        <v>10</v>
      </c>
      <c r="J7" s="992"/>
      <c r="K7" s="992"/>
      <c r="L7" s="1018"/>
      <c r="M7" s="32">
        <f>[3]December_2017!$M11</f>
        <v>94</v>
      </c>
      <c r="N7" s="406">
        <f>[4]Dec!$I11</f>
        <v>42</v>
      </c>
      <c r="O7" s="32">
        <f>[3]December_2017!$H11</f>
        <v>0</v>
      </c>
      <c r="P7" s="33">
        <f>[3]December_2017!$P11</f>
        <v>2.0968660968660955</v>
      </c>
      <c r="Q7" s="32"/>
      <c r="R7" s="1040"/>
      <c r="S7" s="1040"/>
      <c r="T7" s="1040"/>
      <c r="U7" s="1048"/>
      <c r="V7" s="1036"/>
      <c r="W7" s="1013" t="s">
        <v>814</v>
      </c>
      <c r="X7" s="1014"/>
      <c r="Y7" s="1014"/>
      <c r="Z7" s="1014"/>
      <c r="AA7" s="1014"/>
      <c r="AB7" s="1014"/>
      <c r="AC7" s="1015"/>
    </row>
    <row r="8" spans="2:31" s="19" customFormat="1" ht="129" customHeight="1" x14ac:dyDescent="0.2">
      <c r="B8" s="168">
        <v>43074</v>
      </c>
      <c r="C8" s="26" t="str">
        <f>[3]December_2017!$D12</f>
        <v>STAG</v>
      </c>
      <c r="D8" s="1098">
        <v>7000</v>
      </c>
      <c r="E8" s="28">
        <v>0.33749999999999997</v>
      </c>
      <c r="F8" s="29">
        <f>[3]December_2017!$J12</f>
        <v>403.09999999999997</v>
      </c>
      <c r="G8" s="30">
        <f>[3]December_2017!$F12</f>
        <v>5995</v>
      </c>
      <c r="H8" s="29">
        <f>[3]December_2017!$K12</f>
        <v>395.67</v>
      </c>
      <c r="I8" s="31">
        <f>[3]December_2017!$N12</f>
        <v>36</v>
      </c>
      <c r="J8" s="32">
        <f>[3]December_2017!$Q12</f>
        <v>513.85714285714289</v>
      </c>
      <c r="K8" s="32">
        <f>[3]December_2017!$E12</f>
        <v>700</v>
      </c>
      <c r="L8" s="169">
        <v>0.85763888888888884</v>
      </c>
      <c r="M8" s="32">
        <f>[3]December_2017!$M12</f>
        <v>275</v>
      </c>
      <c r="N8" s="406" t="e">
        <f>[4]Dec!$I12</f>
        <v>#REF!</v>
      </c>
      <c r="O8" s="32">
        <f>[3]December_2017!$H12</f>
        <v>0</v>
      </c>
      <c r="P8" s="33">
        <f>[3]December_2017!$P12</f>
        <v>1.8432150831059166</v>
      </c>
      <c r="Q8" s="32"/>
      <c r="R8" s="129">
        <f>($G8)/(($K8/60)*AD$3*(1/24))</f>
        <v>0.82217142857142866</v>
      </c>
      <c r="S8" s="129">
        <f>($G8)/(($K8/60)*AE$3*(1/24))</f>
        <v>0.72544537815126064</v>
      </c>
      <c r="T8" s="129">
        <f>($G8)*24/(($K8)/60)/$AD$3</f>
        <v>0.82217142857142866</v>
      </c>
      <c r="U8" s="227">
        <f>($G8)*24/(($K8)/60)/$AE$3</f>
        <v>0.72544537815126053</v>
      </c>
      <c r="V8" s="233">
        <f>(809-((M8)-[4]Dec!$AB$12-[4]Dec!$Z$12-[4]Dec!$J$12))/809</f>
        <v>0.70951792336217556</v>
      </c>
      <c r="W8" s="1013" t="s">
        <v>815</v>
      </c>
      <c r="X8" s="1014"/>
      <c r="Y8" s="1014"/>
      <c r="Z8" s="1014"/>
      <c r="AA8" s="1014"/>
      <c r="AB8" s="1014"/>
      <c r="AC8" s="1015"/>
    </row>
    <row r="9" spans="2:31" s="19" customFormat="1" ht="43.5" customHeight="1" x14ac:dyDescent="0.2">
      <c r="B9" s="1037">
        <v>43075</v>
      </c>
      <c r="C9" s="26" t="str">
        <f>[3]December_2017!$D13</f>
        <v>STAG</v>
      </c>
      <c r="D9" s="1099"/>
      <c r="E9" s="1130">
        <v>0.34027777777777773</v>
      </c>
      <c r="F9" s="29">
        <f>[3]December_2017!$J13</f>
        <v>49.1</v>
      </c>
      <c r="G9" s="30">
        <f>[3]December_2017!$F13</f>
        <v>720</v>
      </c>
      <c r="H9" s="29">
        <f>[3]December_2017!$K13</f>
        <v>47.52</v>
      </c>
      <c r="I9" s="31">
        <f>[3]December_2017!$N13</f>
        <v>13</v>
      </c>
      <c r="J9" s="991">
        <f>[3]December_2017!$Q13</f>
        <v>196.16379310344828</v>
      </c>
      <c r="K9" s="991">
        <f>[3]December_2017!$E13</f>
        <v>928</v>
      </c>
      <c r="L9" s="1017">
        <v>1.0048611111111112</v>
      </c>
      <c r="M9" s="32">
        <f>[3]December_2017!$M13</f>
        <v>376</v>
      </c>
      <c r="N9" s="406" t="e">
        <f>[4]Dec!$I13</f>
        <v>#REF!</v>
      </c>
      <c r="O9" s="32">
        <f>[3]December_2017!$H13</f>
        <v>0</v>
      </c>
      <c r="P9" s="33">
        <f>[3]December_2017!$P13</f>
        <v>3.21792260692464</v>
      </c>
      <c r="Q9" s="32"/>
      <c r="R9" s="1039">
        <f>($G9+G10+G11)/(($K9/60)*AD$3*(1/24))</f>
        <v>0.31386206896551727</v>
      </c>
      <c r="S9" s="1039">
        <f>($G9+G10+G11)/(($K9/60)*AE$3*(1/24))</f>
        <v>0.27693711967545642</v>
      </c>
      <c r="T9" s="1039">
        <f>($G9+G10+G11)*24/(($K9)/60)/$AD$3</f>
        <v>0.31386206896551722</v>
      </c>
      <c r="U9" s="1047">
        <f>($G9+G10+G11)*24/(($K9)/60)/$AE$3</f>
        <v>0.27693711967545637</v>
      </c>
      <c r="V9" s="1035">
        <f>(1017-((M9+M10+M11)-[4]Dec!$I$14-[4]Dec!$I$15-[4]Dec!$J$15-[4]Dec!$Z$13-[4]Dec!$Z$14))/1017</f>
        <v>0.48672566371681414</v>
      </c>
      <c r="W9" s="1013" t="s">
        <v>782</v>
      </c>
      <c r="X9" s="1014"/>
      <c r="Y9" s="1014"/>
      <c r="Z9" s="1014"/>
      <c r="AA9" s="1014"/>
      <c r="AB9" s="1014"/>
      <c r="AC9" s="1015"/>
    </row>
    <row r="10" spans="2:31" s="19" customFormat="1" ht="58.5" customHeight="1" x14ac:dyDescent="0.2">
      <c r="B10" s="1050"/>
      <c r="C10" s="26" t="str">
        <f>[3]December_2017!$D14</f>
        <v>SHANDY LIME</v>
      </c>
      <c r="D10" s="27">
        <v>700</v>
      </c>
      <c r="E10" s="1131"/>
      <c r="F10" s="29">
        <f>[3]December_2017!$J14</f>
        <v>52</v>
      </c>
      <c r="G10" s="30">
        <f>[3]December_2017!$F14</f>
        <v>740</v>
      </c>
      <c r="H10" s="29">
        <f>[3]December_2017!$K14</f>
        <v>48.84</v>
      </c>
      <c r="I10" s="31">
        <f>[3]December_2017!$N14</f>
        <v>33</v>
      </c>
      <c r="J10" s="1042"/>
      <c r="K10" s="1042"/>
      <c r="L10" s="1055"/>
      <c r="M10" s="32">
        <f>[3]December_2017!$M14</f>
        <v>63</v>
      </c>
      <c r="N10" s="413">
        <f>[4]Dec!$I14</f>
        <v>27</v>
      </c>
      <c r="O10" s="32">
        <f>[3]December_2017!$H14</f>
        <v>0</v>
      </c>
      <c r="P10" s="33">
        <f>[3]December_2017!$P14</f>
        <v>6.0769230769230704</v>
      </c>
      <c r="Q10" s="32"/>
      <c r="R10" s="1041"/>
      <c r="S10" s="1041"/>
      <c r="T10" s="1041"/>
      <c r="U10" s="1049"/>
      <c r="V10" s="1054"/>
      <c r="W10" s="1013" t="s">
        <v>800</v>
      </c>
      <c r="X10" s="1014"/>
      <c r="Y10" s="1014"/>
      <c r="Z10" s="1014"/>
      <c r="AA10" s="1014"/>
      <c r="AB10" s="1014"/>
      <c r="AC10" s="1015"/>
    </row>
    <row r="11" spans="2:31" s="19" customFormat="1" ht="94.5" customHeight="1" x14ac:dyDescent="0.2">
      <c r="B11" s="1038"/>
      <c r="C11" s="26" t="str">
        <f>[3]December_2017!$D15</f>
        <v>VITA MALT</v>
      </c>
      <c r="D11" s="27">
        <v>2000</v>
      </c>
      <c r="E11" s="1132"/>
      <c r="F11" s="29">
        <f>[3]December_2017!$J15</f>
        <v>119.19999999999999</v>
      </c>
      <c r="G11" s="30">
        <f>[3]December_2017!$F15</f>
        <v>1574</v>
      </c>
      <c r="H11" s="29">
        <f>[3]December_2017!$K15</f>
        <v>117.1056</v>
      </c>
      <c r="I11" s="31">
        <f>[3]December_2017!$N15</f>
        <v>14</v>
      </c>
      <c r="J11" s="992"/>
      <c r="K11" s="992"/>
      <c r="L11" s="1018"/>
      <c r="M11" s="32">
        <f>[3]December_2017!$M15</f>
        <v>220</v>
      </c>
      <c r="N11" s="406">
        <f>[4]Dec!$I15</f>
        <v>100</v>
      </c>
      <c r="O11" s="32">
        <f>[3]December_2017!$H15</f>
        <v>350</v>
      </c>
      <c r="P11" s="33">
        <f>[3]December_2017!$P15</f>
        <v>1.7570469798657662</v>
      </c>
      <c r="Q11" s="32"/>
      <c r="R11" s="1040"/>
      <c r="S11" s="1040"/>
      <c r="T11" s="1040"/>
      <c r="U11" s="1048"/>
      <c r="V11" s="1036"/>
      <c r="W11" s="1013" t="s">
        <v>816</v>
      </c>
      <c r="X11" s="1014"/>
      <c r="Y11" s="1014"/>
      <c r="Z11" s="1014"/>
      <c r="AA11" s="1014"/>
      <c r="AB11" s="1014"/>
      <c r="AC11" s="1015"/>
    </row>
    <row r="12" spans="2:31" s="19" customFormat="1" ht="118.5" customHeight="1" x14ac:dyDescent="0.2">
      <c r="B12" s="168">
        <v>43076</v>
      </c>
      <c r="C12" s="26" t="str">
        <f>[3]December_2017!$D16</f>
        <v>VITA MALT</v>
      </c>
      <c r="D12" s="1098">
        <v>5130</v>
      </c>
      <c r="E12" s="28">
        <v>0.48819444444444443</v>
      </c>
      <c r="F12" s="29">
        <f>[3]December_2017!$J16</f>
        <v>346.7</v>
      </c>
      <c r="G12" s="30">
        <f>[3]December_2017!$F16</f>
        <v>4640</v>
      </c>
      <c r="H12" s="29">
        <f>[3]December_2017!$K16</f>
        <v>345.21599999999995</v>
      </c>
      <c r="I12" s="31">
        <f>[3]December_2017!$N16</f>
        <v>27</v>
      </c>
      <c r="J12" s="32">
        <f>[3]December_2017!$Q16</f>
        <v>308.64745011086472</v>
      </c>
      <c r="K12" s="32">
        <f>[3]December_2017!$E16</f>
        <v>902</v>
      </c>
      <c r="L12" s="169">
        <v>0.97222222222222221</v>
      </c>
      <c r="M12" s="32">
        <f>[3]December_2017!$M16</f>
        <v>474</v>
      </c>
      <c r="N12" s="406" t="e">
        <f>[4]Dec!$I16</f>
        <v>#REF!</v>
      </c>
      <c r="O12" s="32">
        <f>[3]December_2017!$H16</f>
        <v>572</v>
      </c>
      <c r="P12" s="33">
        <f>[3]December_2017!$P16</f>
        <v>0.42803576579176156</v>
      </c>
      <c r="Q12" s="32"/>
      <c r="R12" s="129">
        <f>($G12)/(($K12/60)*AD$3*(1/24))</f>
        <v>0.49383592017738365</v>
      </c>
      <c r="S12" s="129">
        <f>($G12)/(($K12/60)*AE$3*(1/24))</f>
        <v>0.43573757662710322</v>
      </c>
      <c r="T12" s="129">
        <f>($G12)*24/(($K12)/60)/$AD$3</f>
        <v>0.49383592017738365</v>
      </c>
      <c r="U12" s="227">
        <f>($G12)*24/(($K12)/60)/$AE$3</f>
        <v>0.43573757662710322</v>
      </c>
      <c r="V12" s="233">
        <f>(973-((M12)-[4]Dec!$Z$16))/973</f>
        <v>0.51695786228160334</v>
      </c>
      <c r="W12" s="1013" t="s">
        <v>817</v>
      </c>
      <c r="X12" s="1014"/>
      <c r="Y12" s="1014"/>
      <c r="Z12" s="1014"/>
      <c r="AA12" s="1014"/>
      <c r="AB12" s="1014"/>
      <c r="AC12" s="1015"/>
    </row>
    <row r="13" spans="2:31" s="19" customFormat="1" ht="27" customHeight="1" x14ac:dyDescent="0.2">
      <c r="B13" s="1037">
        <v>43077</v>
      </c>
      <c r="C13" s="26" t="str">
        <f>[3]December_2017!$D17</f>
        <v>VITA MALT</v>
      </c>
      <c r="D13" s="1099"/>
      <c r="E13" s="1051">
        <v>0.38541666666666669</v>
      </c>
      <c r="F13" s="29">
        <f>[3]December_2017!$J17</f>
        <v>46.7</v>
      </c>
      <c r="G13" s="30">
        <f>[3]December_2017!$F17</f>
        <v>596</v>
      </c>
      <c r="H13" s="29">
        <f>[3]December_2017!$K17</f>
        <v>44.342399999999998</v>
      </c>
      <c r="I13" s="31">
        <f>[3]December_2017!$N17</f>
        <v>8</v>
      </c>
      <c r="J13" s="991">
        <f>[3]December_2017!$Q17</f>
        <v>246.78526048284624</v>
      </c>
      <c r="K13" s="991">
        <f>[3]December_2017!$E17</f>
        <v>787</v>
      </c>
      <c r="L13" s="1017">
        <v>0.90625</v>
      </c>
      <c r="M13" s="32">
        <f>[3]December_2017!$M17</f>
        <v>138</v>
      </c>
      <c r="N13" s="406" t="e">
        <f>[4]Dec!$I17</f>
        <v>#REF!</v>
      </c>
      <c r="O13" s="32">
        <f>[3]December_2017!$H17</f>
        <v>0</v>
      </c>
      <c r="P13" s="33">
        <f>[3]December_2017!$P17</f>
        <v>5.0483940042826658</v>
      </c>
      <c r="Q13" s="32"/>
      <c r="R13" s="1039">
        <f>($G13+G14)/(($K13/60)*AD$3*(1/24))</f>
        <v>0.39485641677255401</v>
      </c>
      <c r="S13" s="1039">
        <f>($G13+G14)/(($K13/60)*AE$3*(1/24))</f>
        <v>0.34840272068166528</v>
      </c>
      <c r="T13" s="1039">
        <f>($G13+G14)*24/(($K13)/60)/$AD$3</f>
        <v>0.39485641677255401</v>
      </c>
      <c r="U13" s="1047">
        <f>($G13+G14)*24/(($K13)/60)/$AE$3</f>
        <v>0.34840272068166533</v>
      </c>
      <c r="V13" s="1035">
        <f>(876-((M13+M14)-[4]Dec!$I$18-[4]Dec!$J$18-[4]Dec!$Z$17-[4]Dec!$Z$18))/876</f>
        <v>0.53538812785388123</v>
      </c>
      <c r="W13" s="1013" t="s">
        <v>783</v>
      </c>
      <c r="X13" s="1014"/>
      <c r="Y13" s="1014"/>
      <c r="Z13" s="1014"/>
      <c r="AA13" s="1014"/>
      <c r="AB13" s="1014"/>
      <c r="AC13" s="1015"/>
    </row>
    <row r="14" spans="2:31" s="19" customFormat="1" ht="80.25" customHeight="1" x14ac:dyDescent="0.2">
      <c r="B14" s="1038"/>
      <c r="C14" s="26" t="str">
        <f>[3]December_2017!$D18</f>
        <v>CARIB (AMBER)</v>
      </c>
      <c r="D14" s="27">
        <v>4095</v>
      </c>
      <c r="E14" s="1053"/>
      <c r="F14" s="29">
        <f>[3]December_2017!$J18</f>
        <v>195.8</v>
      </c>
      <c r="G14" s="30">
        <f>[3]December_2017!$F18</f>
        <v>2641</v>
      </c>
      <c r="H14" s="29">
        <f>[3]December_2017!$K18</f>
        <v>193.30600000000001</v>
      </c>
      <c r="I14" s="31">
        <f>[3]December_2017!$N18</f>
        <v>9</v>
      </c>
      <c r="J14" s="992"/>
      <c r="K14" s="992"/>
      <c r="L14" s="1018"/>
      <c r="M14" s="32">
        <f>[3]December_2017!$M18</f>
        <v>380</v>
      </c>
      <c r="N14" s="406">
        <f>[4]Dec!$I18</f>
        <v>100</v>
      </c>
      <c r="O14" s="32">
        <f>[3]December_2017!$H18</f>
        <v>0</v>
      </c>
      <c r="P14" s="33">
        <f>[3]December_2017!$P18</f>
        <v>1.2737487231869251</v>
      </c>
      <c r="Q14" s="32"/>
      <c r="R14" s="1040"/>
      <c r="S14" s="1040"/>
      <c r="T14" s="1040"/>
      <c r="U14" s="1048"/>
      <c r="V14" s="1036"/>
      <c r="W14" s="1013" t="s">
        <v>784</v>
      </c>
      <c r="X14" s="1014"/>
      <c r="Y14" s="1014"/>
      <c r="Z14" s="1014"/>
      <c r="AA14" s="1014"/>
      <c r="AB14" s="1014"/>
      <c r="AC14" s="1015"/>
    </row>
    <row r="15" spans="2:31" s="19" customFormat="1" ht="40.5" customHeight="1" x14ac:dyDescent="0.2">
      <c r="B15" s="1037">
        <v>43080</v>
      </c>
      <c r="C15" s="26" t="str">
        <f>[3]December_2017!$D19</f>
        <v>CARIB (AMBER)</v>
      </c>
      <c r="D15" s="27">
        <v>1225</v>
      </c>
      <c r="E15" s="1051">
        <v>0.32708333333333334</v>
      </c>
      <c r="F15" s="29">
        <f>[3]December_2017!$J19</f>
        <v>81</v>
      </c>
      <c r="G15" s="30">
        <f>[3]December_2017!$F19</f>
        <v>1209</v>
      </c>
      <c r="H15" s="29">
        <f>[3]December_2017!$K19</f>
        <v>79.793999999999997</v>
      </c>
      <c r="I15" s="31">
        <f>[3]December_2017!$N19</f>
        <v>5</v>
      </c>
      <c r="J15" s="991">
        <f>[3]December_2017!$Q19</f>
        <v>532.13793103448279</v>
      </c>
      <c r="K15" s="991">
        <f>[3]December_2017!$E19</f>
        <v>870</v>
      </c>
      <c r="L15" s="1017">
        <v>0.95763888888888893</v>
      </c>
      <c r="M15" s="32">
        <f>[3]December_2017!$M19</f>
        <v>44</v>
      </c>
      <c r="N15" s="406" t="e">
        <f>[4]Dec!$I19</f>
        <v>#REF!</v>
      </c>
      <c r="O15" s="32">
        <f>[3]December_2017!$H19</f>
        <v>0</v>
      </c>
      <c r="P15" s="33">
        <f>[3]December_2017!$P19</f>
        <v>1.4888888888888927</v>
      </c>
      <c r="Q15" s="32"/>
      <c r="R15" s="1039">
        <f>($G15)/(($K15/60)*AD$3*(1/24))</f>
        <v>0.13340689655172414</v>
      </c>
      <c r="S15" s="1039">
        <f>($G15+G16)/(($K15/60)*AE$3*(1/24))</f>
        <v>0.75125354969574043</v>
      </c>
      <c r="T15" s="1039">
        <f>($G15+G16)*24/(($K15)/60)/$AD$3</f>
        <v>0.85142068965517248</v>
      </c>
      <c r="U15" s="1047">
        <f>($G15+G16)*24/(($K15)/60)/$AE$3</f>
        <v>0.75125354969574043</v>
      </c>
      <c r="V15" s="1035">
        <f>(950-((M15+M16)-[4]Dec!$Z$19-[4]Dec!$Z$20-[4]Dec!$I$20))/950</f>
        <v>0.76736842105263159</v>
      </c>
      <c r="W15" s="1013" t="s">
        <v>785</v>
      </c>
      <c r="X15" s="1014"/>
      <c r="Y15" s="1014"/>
      <c r="Z15" s="1014"/>
      <c r="AA15" s="1014"/>
      <c r="AB15" s="1014"/>
      <c r="AC15" s="1015"/>
    </row>
    <row r="16" spans="2:31" s="19" customFormat="1" ht="78" customHeight="1" x14ac:dyDescent="0.2">
      <c r="B16" s="1038"/>
      <c r="C16" s="26" t="str">
        <f>[3]December_2017!$D20</f>
        <v>STAG</v>
      </c>
      <c r="D16" s="27">
        <v>7165</v>
      </c>
      <c r="E16" s="1053"/>
      <c r="F16" s="29">
        <f>[3]December_2017!$J20</f>
        <v>443.1</v>
      </c>
      <c r="G16" s="30">
        <f>[3]December_2017!$F20</f>
        <v>6507</v>
      </c>
      <c r="H16" s="29">
        <f>[3]December_2017!$K20</f>
        <v>440.86200000000002</v>
      </c>
      <c r="I16" s="31">
        <f>[3]December_2017!$N20</f>
        <v>14</v>
      </c>
      <c r="J16" s="992"/>
      <c r="K16" s="992"/>
      <c r="L16" s="1018"/>
      <c r="M16" s="32">
        <f>[3]December_2017!$M20</f>
        <v>202</v>
      </c>
      <c r="N16" s="406">
        <f>[4]Dec!$I20</f>
        <v>7</v>
      </c>
      <c r="O16" s="32">
        <f>[3]December_2017!$H20</f>
        <v>0</v>
      </c>
      <c r="P16" s="33">
        <f>[3]December_2017!$P20</f>
        <v>0.50507786052809733</v>
      </c>
      <c r="Q16" s="32"/>
      <c r="R16" s="1040"/>
      <c r="S16" s="1040"/>
      <c r="T16" s="1040"/>
      <c r="U16" s="1048"/>
      <c r="V16" s="1036"/>
      <c r="W16" s="1013" t="s">
        <v>786</v>
      </c>
      <c r="X16" s="1014"/>
      <c r="Y16" s="1014"/>
      <c r="Z16" s="1014"/>
      <c r="AA16" s="1014"/>
      <c r="AB16" s="1014"/>
      <c r="AC16" s="1015"/>
    </row>
    <row r="17" spans="2:29" s="19" customFormat="1" ht="85.5" customHeight="1" x14ac:dyDescent="0.2">
      <c r="B17" s="1037">
        <v>43081</v>
      </c>
      <c r="C17" s="26" t="str">
        <f>[3]December_2017!$D21</f>
        <v>CARIB (AMBER)</v>
      </c>
      <c r="D17" s="27">
        <v>545</v>
      </c>
      <c r="E17" s="1051">
        <v>0.32847222222222222</v>
      </c>
      <c r="F17" s="29">
        <f>[3]December_2017!$J21</f>
        <v>191.4</v>
      </c>
      <c r="G17" s="30">
        <f>[3]December_2017!$F21</f>
        <v>2890</v>
      </c>
      <c r="H17" s="29">
        <f>[3]December_2017!$K21</f>
        <v>190.74</v>
      </c>
      <c r="I17" s="31">
        <f>[3]December_2017!$N21</f>
        <v>6</v>
      </c>
      <c r="J17" s="991">
        <f>[3]December_2017!$Q21</f>
        <v>473.70370370370375</v>
      </c>
      <c r="K17" s="991">
        <f>[3]December_2017!$E21</f>
        <v>972</v>
      </c>
      <c r="L17" s="1017">
        <v>1.0319444444444443</v>
      </c>
      <c r="M17" s="32">
        <f>[3]December_2017!$M21</f>
        <v>70</v>
      </c>
      <c r="N17" s="406" t="e">
        <f>[4]Dec!$I21</f>
        <v>#REF!</v>
      </c>
      <c r="O17" s="32">
        <f>[3]December_2017!$H21</f>
        <v>0</v>
      </c>
      <c r="P17" s="33">
        <f>[3]December_2017!$P21</f>
        <v>0.34482758620689474</v>
      </c>
      <c r="Q17" s="32"/>
      <c r="R17" s="1039">
        <f>($G17+G18+G19)/(($K17/60)*AD$3*(1/24))</f>
        <v>0.75792592592592589</v>
      </c>
      <c r="S17" s="1039">
        <f>($G17+G18+G19)/(($K17/60)*AE$3*(1/24))</f>
        <v>0.66875816993464055</v>
      </c>
      <c r="T17" s="1039">
        <f>($G17+G18+G19)*24/(($K17)/60)/$AD$3</f>
        <v>0.75792592592592589</v>
      </c>
      <c r="U17" s="1047">
        <f>($G17+G18+G19)*24/(($K17)/60)/$AE$3</f>
        <v>0.66875816993464055</v>
      </c>
      <c r="V17" s="1035">
        <f>(1060-((M17+M18+M19)-[4]Dec!$I$22-[4]Dec!$I$23-[4]Dec!$Z$21-[4]Dec!$Z$22-[4]Dec!$Z$23-[4]Dec!$AB$23-[4]Dec!$J$23))/1060</f>
        <v>0.77924528301886797</v>
      </c>
      <c r="W17" s="1013" t="s">
        <v>818</v>
      </c>
      <c r="X17" s="1014"/>
      <c r="Y17" s="1014"/>
      <c r="Z17" s="1014"/>
      <c r="AA17" s="1014"/>
      <c r="AB17" s="1014"/>
      <c r="AC17" s="1015"/>
    </row>
    <row r="18" spans="2:29" s="19" customFormat="1" ht="32.25" customHeight="1" x14ac:dyDescent="0.2">
      <c r="B18" s="1050"/>
      <c r="C18" s="26" t="str">
        <f>[3]December_2017!$D22</f>
        <v>STAG</v>
      </c>
      <c r="D18" s="27">
        <v>2800</v>
      </c>
      <c r="E18" s="1052"/>
      <c r="F18" s="29">
        <f>[3]December_2017!$J22</f>
        <v>38.6</v>
      </c>
      <c r="G18" s="30">
        <f>[3]December_2017!$F22</f>
        <v>580</v>
      </c>
      <c r="H18" s="29">
        <f>[3]December_2017!$K22</f>
        <v>38.28</v>
      </c>
      <c r="I18" s="31">
        <f>[3]December_2017!$N22</f>
        <v>0.5</v>
      </c>
      <c r="J18" s="1042"/>
      <c r="K18" s="1042"/>
      <c r="L18" s="1055"/>
      <c r="M18" s="32">
        <f>[3]December_2017!$M22</f>
        <v>24</v>
      </c>
      <c r="N18" s="406">
        <f>[4]Dec!$I22</f>
        <v>10</v>
      </c>
      <c r="O18" s="32">
        <f>[3]December_2017!$H22</f>
        <v>0</v>
      </c>
      <c r="P18" s="33">
        <f>[3]December_2017!$P22</f>
        <v>0.82901554404145139</v>
      </c>
      <c r="Q18" s="32"/>
      <c r="R18" s="1041"/>
      <c r="S18" s="1041"/>
      <c r="T18" s="1041"/>
      <c r="U18" s="1049"/>
      <c r="V18" s="1054"/>
      <c r="W18" s="1013" t="s">
        <v>819</v>
      </c>
      <c r="X18" s="1014"/>
      <c r="Y18" s="1014"/>
      <c r="Z18" s="1014"/>
      <c r="AA18" s="1014"/>
      <c r="AB18" s="1014"/>
      <c r="AC18" s="1015"/>
    </row>
    <row r="19" spans="2:29" s="19" customFormat="1" ht="75.75" customHeight="1" x14ac:dyDescent="0.2">
      <c r="B19" s="1038"/>
      <c r="C19" s="26" t="str">
        <f>[3]December_2017!$D23</f>
        <v>GUINNESS</v>
      </c>
      <c r="D19" s="27">
        <v>4200</v>
      </c>
      <c r="E19" s="1053"/>
      <c r="F19" s="29">
        <f>[3]December_2017!$J23</f>
        <v>279.70000000000005</v>
      </c>
      <c r="G19" s="30">
        <f>[3]December_2017!$F23</f>
        <v>4204</v>
      </c>
      <c r="H19" s="29">
        <f>[3]December_2017!$K23</f>
        <v>277.464</v>
      </c>
      <c r="I19" s="31">
        <f>[3]December_2017!$N23</f>
        <v>17</v>
      </c>
      <c r="J19" s="992"/>
      <c r="K19" s="992"/>
      <c r="L19" s="1018"/>
      <c r="M19" s="32">
        <f>[3]December_2017!$M23</f>
        <v>211</v>
      </c>
      <c r="N19" s="406">
        <f>[4]Dec!$I23</f>
        <v>25</v>
      </c>
      <c r="O19" s="32">
        <f>[3]December_2017!$H23</f>
        <v>0</v>
      </c>
      <c r="P19" s="33">
        <f>[3]December_2017!$P23</f>
        <v>0.79942795852700976</v>
      </c>
      <c r="Q19" s="32"/>
      <c r="R19" s="1040"/>
      <c r="S19" s="1040"/>
      <c r="T19" s="1040"/>
      <c r="U19" s="1048"/>
      <c r="V19" s="1036"/>
      <c r="W19" s="1013" t="s">
        <v>820</v>
      </c>
      <c r="X19" s="1014"/>
      <c r="Y19" s="1014"/>
      <c r="Z19" s="1014"/>
      <c r="AA19" s="1014"/>
      <c r="AB19" s="1014"/>
      <c r="AC19" s="1015"/>
    </row>
    <row r="20" spans="2:29" s="19" customFormat="1" ht="93.75" customHeight="1" x14ac:dyDescent="0.2">
      <c r="B20" s="168">
        <v>43082</v>
      </c>
      <c r="C20" s="26" t="str">
        <f>[3]December_2017!$D24</f>
        <v>STARMALT</v>
      </c>
      <c r="D20" s="27">
        <v>7500</v>
      </c>
      <c r="E20" s="28">
        <v>0.40972222222222227</v>
      </c>
      <c r="F20" s="29">
        <f>[3]December_2017!$J24</f>
        <v>475.70000000000005</v>
      </c>
      <c r="G20" s="30">
        <f>[3]December_2017!$F24</f>
        <v>7170</v>
      </c>
      <c r="H20" s="29">
        <f>[3]December_2017!$K24</f>
        <v>473.22</v>
      </c>
      <c r="I20" s="31">
        <f>[3]December_2017!$N24</f>
        <v>12</v>
      </c>
      <c r="J20" s="32">
        <f>[3]December_2017!$Q24</f>
        <v>469.65065502183404</v>
      </c>
      <c r="K20" s="32">
        <f>[3]December_2017!$E24</f>
        <v>916</v>
      </c>
      <c r="L20" s="169">
        <v>0.99444444444444446</v>
      </c>
      <c r="M20" s="32">
        <f>[3]December_2017!$M24</f>
        <v>273</v>
      </c>
      <c r="N20" s="413" t="e">
        <f>[4]Dec!$I24</f>
        <v>#REF!</v>
      </c>
      <c r="O20" s="32">
        <f>[3]December_2017!$H24</f>
        <v>0</v>
      </c>
      <c r="P20" s="33">
        <f>[3]December_2017!$P24</f>
        <v>0.52133697708640281</v>
      </c>
      <c r="Q20" s="32"/>
      <c r="R20" s="129">
        <f>($G20)/(($K20/60)*AD$3*(1/24))</f>
        <v>0.7514410480349345</v>
      </c>
      <c r="S20" s="129">
        <f>($G20)/(($K20/60)*AE$3*(1/24))</f>
        <v>0.66303621885435393</v>
      </c>
      <c r="T20" s="129">
        <f>($G20)*24/(($K20)/60)/$AD$3</f>
        <v>0.75144104803493439</v>
      </c>
      <c r="U20" s="227">
        <f>($G20)*24/(($K20)/60)/$AE$3</f>
        <v>0.66303621885435393</v>
      </c>
      <c r="V20" s="233">
        <f>(863-((M20)-[4]Dec!$Z$24))/863</f>
        <v>0.68597914252607184</v>
      </c>
      <c r="W20" s="1013" t="s">
        <v>821</v>
      </c>
      <c r="X20" s="1014"/>
      <c r="Y20" s="1014"/>
      <c r="Z20" s="1014"/>
      <c r="AA20" s="1014"/>
      <c r="AB20" s="1014"/>
      <c r="AC20" s="1015"/>
    </row>
    <row r="21" spans="2:29" s="19" customFormat="1" ht="20.25" x14ac:dyDescent="0.2">
      <c r="B21" s="1037">
        <v>43083</v>
      </c>
      <c r="C21" s="26" t="str">
        <f>[3]December_2017!$D25</f>
        <v>STARMALT</v>
      </c>
      <c r="D21" s="27">
        <v>320</v>
      </c>
      <c r="E21" s="1051">
        <v>0.35486111111111113</v>
      </c>
      <c r="F21" s="29">
        <f>[3]December_2017!$J25</f>
        <v>24.5</v>
      </c>
      <c r="G21" s="30">
        <f>[3]December_2017!$F25</f>
        <v>342</v>
      </c>
      <c r="H21" s="29">
        <f>[3]December_2017!$K25</f>
        <v>22.572000000000003</v>
      </c>
      <c r="I21" s="31">
        <f>[3]December_2017!$N25</f>
        <v>6</v>
      </c>
      <c r="J21" s="991">
        <f>[3]December_2017!$Q25</f>
        <v>446.32499999999999</v>
      </c>
      <c r="K21" s="991">
        <f>[3]December_2017!$E25</f>
        <v>800</v>
      </c>
      <c r="L21" s="1017">
        <v>0.9145833333333333</v>
      </c>
      <c r="M21" s="32">
        <f>[3]December_2017!$M25</f>
        <v>14</v>
      </c>
      <c r="N21" s="413" t="e">
        <f>[4]Dec!$I25</f>
        <v>#REF!</v>
      </c>
      <c r="O21" s="32">
        <f>[3]December_2017!$H25</f>
        <v>0</v>
      </c>
      <c r="P21" s="33">
        <f>[3]December_2017!$P25</f>
        <v>7.8693877551020295</v>
      </c>
      <c r="Q21" s="32"/>
      <c r="R21" s="1039">
        <f>($G21+G22)/(($K21/60)*AD$3*(1/24))</f>
        <v>0.71412000000000009</v>
      </c>
      <c r="S21" s="1039">
        <f>($G21+G22)/(($K21/60)*AE$3*(1/24))</f>
        <v>0.63010588235294107</v>
      </c>
      <c r="T21" s="1039">
        <f>($G21+G22)*24/(($K21)/60)/$AD$3</f>
        <v>0.71411999999999998</v>
      </c>
      <c r="U21" s="1047">
        <f>($G21+G22)*24/(($K21)/60)/$AE$3</f>
        <v>0.63010588235294118</v>
      </c>
      <c r="V21" s="1035">
        <f>(891-((M21+M22)-[4]Dec!$AB$25-[4]Dec!$Z$26-[4]Dec!$Z$25-[4]Dec!$I$26-[4]Dec!$J$26))/891</f>
        <v>0.85409652076318743</v>
      </c>
      <c r="W21" s="1013" t="s">
        <v>807</v>
      </c>
      <c r="X21" s="1014"/>
      <c r="Y21" s="1014"/>
      <c r="Z21" s="1014"/>
      <c r="AA21" s="1014"/>
      <c r="AB21" s="1014"/>
      <c r="AC21" s="1015"/>
    </row>
    <row r="22" spans="2:29" s="19" customFormat="1" ht="81" customHeight="1" x14ac:dyDescent="0.2">
      <c r="B22" s="1038"/>
      <c r="C22" s="26" t="str">
        <f>[3]December_2017!$D26</f>
        <v>CARIB (AMBER)</v>
      </c>
      <c r="D22" s="27">
        <v>5600</v>
      </c>
      <c r="E22" s="1053"/>
      <c r="F22" s="29">
        <f>[3]December_2017!$J26</f>
        <v>372.2</v>
      </c>
      <c r="G22" s="30">
        <f>[3]December_2017!$F26</f>
        <v>5609</v>
      </c>
      <c r="H22" s="29">
        <f>[3]December_2017!$K26</f>
        <v>370.19400000000002</v>
      </c>
      <c r="I22" s="31">
        <f>[3]December_2017!$N26</f>
        <v>24</v>
      </c>
      <c r="J22" s="992"/>
      <c r="K22" s="992"/>
      <c r="L22" s="1018"/>
      <c r="M22" s="32">
        <f>[3]December_2017!$M26</f>
        <v>219</v>
      </c>
      <c r="N22" s="406">
        <f>[4]Dec!$I26</f>
        <v>43</v>
      </c>
      <c r="O22" s="32">
        <f>[3]December_2017!$H26</f>
        <v>0</v>
      </c>
      <c r="P22" s="33">
        <f>[3]December_2017!$P26</f>
        <v>0.53895754970445242</v>
      </c>
      <c r="Q22" s="32"/>
      <c r="R22" s="1040"/>
      <c r="S22" s="1040"/>
      <c r="T22" s="1040"/>
      <c r="U22" s="1048"/>
      <c r="V22" s="1036"/>
      <c r="W22" s="1013" t="s">
        <v>822</v>
      </c>
      <c r="X22" s="1014"/>
      <c r="Y22" s="1014"/>
      <c r="Z22" s="1014"/>
      <c r="AA22" s="1014"/>
      <c r="AB22" s="1014"/>
      <c r="AC22" s="1015"/>
    </row>
    <row r="23" spans="2:29" s="19" customFormat="1" ht="92.25" customHeight="1" x14ac:dyDescent="0.2">
      <c r="B23" s="1037">
        <v>43084</v>
      </c>
      <c r="C23" s="26" t="str">
        <f>[3]December_2017!$D27</f>
        <v>VITA MALT</v>
      </c>
      <c r="D23" s="27">
        <v>4020</v>
      </c>
      <c r="E23" s="1051">
        <v>0.35833333333333334</v>
      </c>
      <c r="F23" s="29">
        <f>[3]December_2017!$J27</f>
        <v>308.8</v>
      </c>
      <c r="G23" s="30">
        <f>[3]December_2017!$F27</f>
        <v>4123</v>
      </c>
      <c r="H23" s="29">
        <f>[3]December_2017!$K27</f>
        <v>306.75119999999998</v>
      </c>
      <c r="I23" s="31">
        <f>[3]December_2017!$N27</f>
        <v>0</v>
      </c>
      <c r="J23" s="991">
        <f>[3]December_2017!$Q27</f>
        <v>390.67499999999995</v>
      </c>
      <c r="K23" s="991">
        <f>[3]December_2017!$E27</f>
        <v>800</v>
      </c>
      <c r="L23" s="1017">
        <v>0.90972222222222221</v>
      </c>
      <c r="M23" s="32">
        <f>[3]December_2017!$M27</f>
        <v>152</v>
      </c>
      <c r="N23" s="413" t="e">
        <f>[4]Dec!$I27</f>
        <v>#REF!</v>
      </c>
      <c r="O23" s="32">
        <f>[3]December_2017!$H27</f>
        <v>0</v>
      </c>
      <c r="P23" s="33">
        <f>[3]December_2017!$P27</f>
        <v>0.66347150259068277</v>
      </c>
      <c r="Q23" s="32"/>
      <c r="R23" s="1039">
        <f>($G23+G24)/(($K23/60)*AD$3*(1/24))</f>
        <v>0.62508000000000008</v>
      </c>
      <c r="S23" s="1039">
        <f>($G23+G24)/(($K23/60)*AE$3*(1/24))</f>
        <v>0.5515411764705882</v>
      </c>
      <c r="T23" s="1039">
        <f>($G23+G24)*24/(($K23)/60)/$AD$3</f>
        <v>0.62507999999999997</v>
      </c>
      <c r="U23" s="1047">
        <f>($G23+G24)*24/(($K23)/60)/$AE$3</f>
        <v>0.5515411764705882</v>
      </c>
      <c r="V23" s="1035">
        <f>(864-((M23+M24)-[4]Dec!$I$28-[4]Dec!$J$27-[4]Dec!$Z$28))/864</f>
        <v>0.81134259259259256</v>
      </c>
      <c r="W23" s="1013" t="s">
        <v>824</v>
      </c>
      <c r="X23" s="1014"/>
      <c r="Y23" s="1014"/>
      <c r="Z23" s="1014"/>
      <c r="AA23" s="1014"/>
      <c r="AB23" s="1014"/>
      <c r="AC23" s="1015"/>
    </row>
    <row r="24" spans="2:29" s="19" customFormat="1" ht="26.25" customHeight="1" x14ac:dyDescent="0.2">
      <c r="B24" s="1038"/>
      <c r="C24" s="26" t="str">
        <f>[3]December_2017!$D28</f>
        <v>SHANDY GINGER</v>
      </c>
      <c r="D24" s="27">
        <v>1050</v>
      </c>
      <c r="E24" s="1053"/>
      <c r="F24" s="29">
        <f>[3]December_2017!$J28</f>
        <v>74.3</v>
      </c>
      <c r="G24" s="30">
        <f>[3]December_2017!$F28</f>
        <v>1086</v>
      </c>
      <c r="H24" s="29">
        <f>[3]December_2017!$K28</f>
        <v>71.676000000000002</v>
      </c>
      <c r="I24" s="31">
        <f>[3]December_2017!$N28</f>
        <v>5</v>
      </c>
      <c r="J24" s="992"/>
      <c r="K24" s="992"/>
      <c r="L24" s="1018"/>
      <c r="M24" s="32">
        <f>[3]December_2017!$M28</f>
        <v>118</v>
      </c>
      <c r="N24" s="406">
        <f>[4]Dec!$I28</f>
        <v>103</v>
      </c>
      <c r="O24" s="32">
        <f>[3]December_2017!$H28</f>
        <v>0</v>
      </c>
      <c r="P24" s="33">
        <f>[3]December_2017!$P28</f>
        <v>3.5316285329744215</v>
      </c>
      <c r="Q24" s="32"/>
      <c r="R24" s="1040"/>
      <c r="S24" s="1040"/>
      <c r="T24" s="1040"/>
      <c r="U24" s="1048"/>
      <c r="V24" s="1036"/>
      <c r="W24" s="1013" t="s">
        <v>823</v>
      </c>
      <c r="X24" s="1014"/>
      <c r="Y24" s="1014"/>
      <c r="Z24" s="1014"/>
      <c r="AA24" s="1014"/>
      <c r="AB24" s="1014"/>
      <c r="AC24" s="1015"/>
    </row>
    <row r="25" spans="2:29" s="19" customFormat="1" ht="127.5" customHeight="1" x14ac:dyDescent="0.2">
      <c r="B25" s="168">
        <v>43087</v>
      </c>
      <c r="C25" s="26" t="str">
        <f>[3]December_2017!$D29</f>
        <v>GUINNESS</v>
      </c>
      <c r="D25" s="27">
        <v>7000</v>
      </c>
      <c r="E25" s="28">
        <v>0.35416666666666669</v>
      </c>
      <c r="F25" s="29">
        <f>[3]December_2017!$J29</f>
        <v>466.20000000000005</v>
      </c>
      <c r="G25" s="30">
        <f>[3]December_2017!$F29</f>
        <v>7361</v>
      </c>
      <c r="H25" s="29">
        <f>[3]December_2017!$K29</f>
        <v>485.82600000000002</v>
      </c>
      <c r="I25" s="31">
        <f>[3]December_2017!$N29</f>
        <v>17</v>
      </c>
      <c r="J25" s="32">
        <f>[3]December_2017!$Q29</f>
        <v>419.43019943019942</v>
      </c>
      <c r="K25" s="32">
        <f>[3]December_2017!$E29</f>
        <v>1053</v>
      </c>
      <c r="L25" s="169">
        <v>1.0986111111111112</v>
      </c>
      <c r="M25" s="32">
        <f>[3]December_2017!$M29</f>
        <v>387</v>
      </c>
      <c r="N25" s="406" t="e">
        <f>[4]Dec!$I29</f>
        <v>#REF!</v>
      </c>
      <c r="O25" s="32">
        <f>[3]December_2017!$H29</f>
        <v>0</v>
      </c>
      <c r="P25" s="33">
        <f>[3]December_2017!$P29</f>
        <v>-4.2097812097812044</v>
      </c>
      <c r="Q25" s="32"/>
      <c r="R25" s="129">
        <f t="shared" ref="R25:S27" si="0">($G25)/(($K25/60)*AD$3*(1/24))</f>
        <v>0.67108831908831912</v>
      </c>
      <c r="S25" s="129">
        <f t="shared" si="0"/>
        <v>0.5921367521367521</v>
      </c>
      <c r="T25" s="129">
        <f>($G25)*24/(($K25)/60)/$AD$3</f>
        <v>0.67108831908831901</v>
      </c>
      <c r="U25" s="227">
        <f>($G25)*24/(($K25)/60)/$AE$3</f>
        <v>0.5921367521367521</v>
      </c>
      <c r="V25" s="233">
        <f>(1152-((M25)-[4]Dec!$Z$29-[4]Dec!$J$29))/1152</f>
        <v>0.67100694444444442</v>
      </c>
      <c r="W25" s="1013" t="s">
        <v>825</v>
      </c>
      <c r="X25" s="1014"/>
      <c r="Y25" s="1014"/>
      <c r="Z25" s="1014"/>
      <c r="AA25" s="1014"/>
      <c r="AB25" s="1014"/>
      <c r="AC25" s="1015"/>
    </row>
    <row r="26" spans="2:29" s="19" customFormat="1" ht="111.75" customHeight="1" x14ac:dyDescent="0.2">
      <c r="B26" s="168">
        <v>43088</v>
      </c>
      <c r="C26" s="26" t="str">
        <f>[3]December_2017!$D30</f>
        <v>STAG</v>
      </c>
      <c r="D26" s="27">
        <v>8400</v>
      </c>
      <c r="E26" s="28">
        <v>0.34375</v>
      </c>
      <c r="F26" s="29">
        <f>[3]December_2017!$J30</f>
        <v>557.5</v>
      </c>
      <c r="G26" s="30">
        <f>[3]December_2017!$F30</f>
        <v>8255</v>
      </c>
      <c r="H26" s="29">
        <f>[3]December_2017!$K30</f>
        <v>556.23</v>
      </c>
      <c r="I26" s="31">
        <f>[3]December_2017!$N30</f>
        <v>26.75</v>
      </c>
      <c r="J26" s="32">
        <f>[3]December_2017!$Q30</f>
        <v>540.13086150490733</v>
      </c>
      <c r="K26" s="32">
        <f>[3]December_2017!$E30</f>
        <v>917</v>
      </c>
      <c r="L26" s="169">
        <v>1.0034722222222221</v>
      </c>
      <c r="M26" s="32">
        <f>[3]December_2017!$M30</f>
        <v>247</v>
      </c>
      <c r="N26" s="406" t="e">
        <f>[4]Dec!$I30</f>
        <v>#REF!</v>
      </c>
      <c r="O26" s="32">
        <f>[3]December_2017!$H30</f>
        <v>0</v>
      </c>
      <c r="P26" s="33">
        <f>[3]December_2017!$P30</f>
        <v>0.22780269058295641</v>
      </c>
      <c r="Q26" s="32"/>
      <c r="R26" s="129">
        <f t="shared" si="0"/>
        <v>0.86420937840785184</v>
      </c>
      <c r="S26" s="129">
        <f t="shared" si="0"/>
        <v>0.76253768683045742</v>
      </c>
      <c r="T26" s="129">
        <f>($G26)*24/(($K26)/60)/$AD$3</f>
        <v>0.86420937840785161</v>
      </c>
      <c r="U26" s="227">
        <f>($G26)*24/(($K26)/60)/$AE$3</f>
        <v>0.76253768683045731</v>
      </c>
      <c r="V26" s="233">
        <f>(1019-((M26)-[4]Dec!$Z$30-[4]Dec!$J$30))/1019</f>
        <v>0.81256133464180569</v>
      </c>
      <c r="W26" s="1013" t="s">
        <v>826</v>
      </c>
      <c r="X26" s="1014"/>
      <c r="Y26" s="1014"/>
      <c r="Z26" s="1014"/>
      <c r="AA26" s="1014"/>
      <c r="AB26" s="1014"/>
      <c r="AC26" s="1015"/>
    </row>
    <row r="27" spans="2:29" s="19" customFormat="1" ht="78.75" customHeight="1" x14ac:dyDescent="0.2">
      <c r="B27" s="168">
        <v>43089</v>
      </c>
      <c r="C27" s="26" t="str">
        <f>[3]December_2017!$D31</f>
        <v>CARIB (AMBER)</v>
      </c>
      <c r="D27" s="27">
        <v>7000</v>
      </c>
      <c r="E27" s="28">
        <v>0.35347222222222219</v>
      </c>
      <c r="F27" s="29">
        <f>[3]December_2017!$J31</f>
        <v>254.09999999999997</v>
      </c>
      <c r="G27" s="30">
        <f>[3]December_2017!$F31</f>
        <v>3494</v>
      </c>
      <c r="H27" s="29">
        <f>[3]December_2017!$K31</f>
        <v>250.17400000000001</v>
      </c>
      <c r="I27" s="31">
        <f>[3]December_2017!$N31</f>
        <v>24</v>
      </c>
      <c r="J27" s="32">
        <f>[3]December_2017!$Q31</f>
        <v>234.2346368715084</v>
      </c>
      <c r="K27" s="32">
        <f>[3]December_2017!$E31</f>
        <v>895</v>
      </c>
      <c r="L27" s="169">
        <v>0.98749999999999993</v>
      </c>
      <c r="M27" s="32">
        <f>[3]December_2017!$M31</f>
        <v>422</v>
      </c>
      <c r="N27" s="406" t="e">
        <f>[4]Dec!$I31</f>
        <v>#REF!</v>
      </c>
      <c r="O27" s="32">
        <f>[3]December_2017!$H31</f>
        <v>0</v>
      </c>
      <c r="P27" s="33">
        <f>[3]December_2017!$P31</f>
        <v>1.5450609996064382</v>
      </c>
      <c r="Q27" s="32"/>
      <c r="R27" s="129">
        <f t="shared" si="0"/>
        <v>0.37477541899441341</v>
      </c>
      <c r="S27" s="129">
        <f t="shared" si="0"/>
        <v>0.3306841932303648</v>
      </c>
      <c r="T27" s="129">
        <f>($G27)*24/(($K27)/60)/$AD$3</f>
        <v>0.37477541899441341</v>
      </c>
      <c r="U27" s="227">
        <f>($G27)*24/(($K27)/60)/$AE$3</f>
        <v>0.3306841932303648</v>
      </c>
      <c r="V27" s="233">
        <f>(993-((M27)-[4]Dec!$Z$31))/993</f>
        <v>0.58308157099697888</v>
      </c>
      <c r="W27" s="1013" t="s">
        <v>828</v>
      </c>
      <c r="X27" s="1014"/>
      <c r="Y27" s="1014"/>
      <c r="Z27" s="1014"/>
      <c r="AA27" s="1014"/>
      <c r="AB27" s="1014"/>
      <c r="AC27" s="1015"/>
    </row>
    <row r="28" spans="2:29" s="19" customFormat="1" ht="113.25" customHeight="1" x14ac:dyDescent="0.2">
      <c r="B28" s="168">
        <v>43090</v>
      </c>
      <c r="C28" s="26" t="str">
        <f>[3]December_2017!$D32</f>
        <v>CARIB (AMBER)</v>
      </c>
      <c r="D28" s="27">
        <v>7300</v>
      </c>
      <c r="E28" s="28">
        <v>0.38541666666666669</v>
      </c>
      <c r="F28" s="29">
        <f>[3]December_2017!$J32</f>
        <v>484.6</v>
      </c>
      <c r="G28" s="30">
        <f>[3]December_2017!$F32</f>
        <v>7335</v>
      </c>
      <c r="H28" s="29">
        <f>[3]December_2017!$K32</f>
        <v>484.11</v>
      </c>
      <c r="I28" s="31">
        <f>[3]December_2017!$N32</f>
        <v>19</v>
      </c>
      <c r="J28" s="32">
        <f>[3]December_2017!$Q32</f>
        <v>517.1562867215041</v>
      </c>
      <c r="K28" s="32">
        <f>[3]December_2017!$E32</f>
        <v>851</v>
      </c>
      <c r="L28" s="169">
        <v>0.95416666666666661</v>
      </c>
      <c r="M28" s="32">
        <f>[3]December_2017!$M32</f>
        <v>249</v>
      </c>
      <c r="N28" s="406" t="e">
        <f>[4]Dec!$I32</f>
        <v>#REF!</v>
      </c>
      <c r="O28" s="32">
        <f>[3]December_2017!$H32</f>
        <v>0</v>
      </c>
      <c r="P28" s="33">
        <f>[3]December_2017!$P32</f>
        <v>0.10111432108956028</v>
      </c>
      <c r="Q28" s="32"/>
      <c r="R28" s="129">
        <f>($G28)/(($K28/60)*AD$3*(1/24))</f>
        <v>0.82745005875440669</v>
      </c>
      <c r="S28" s="129">
        <f>($G28)/(($K28/60)*AE$3*(1/24))</f>
        <v>0.73010299301859405</v>
      </c>
      <c r="T28" s="129">
        <f>($G28)*24/(($K28)/60)/$AD$3</f>
        <v>0.82745005875440658</v>
      </c>
      <c r="U28" s="227">
        <f>($G28)*24/(($K28)/60)/$AE$3</f>
        <v>0.73010299301859405</v>
      </c>
      <c r="V28" s="233">
        <f>(946-((M28)-[4]Dec!$Z$32-[4]Dec!$J$32))/946</f>
        <v>0.83615221987315014</v>
      </c>
      <c r="W28" s="1013" t="s">
        <v>829</v>
      </c>
      <c r="X28" s="1014"/>
      <c r="Y28" s="1014"/>
      <c r="Z28" s="1014"/>
      <c r="AA28" s="1014"/>
      <c r="AB28" s="1014"/>
      <c r="AC28" s="1015"/>
    </row>
    <row r="29" spans="2:29" s="19" customFormat="1" ht="87" customHeight="1" x14ac:dyDescent="0.2">
      <c r="B29" s="168">
        <v>43091</v>
      </c>
      <c r="C29" s="26" t="str">
        <f>[3]December_2017!$D33</f>
        <v>STAG</v>
      </c>
      <c r="D29" s="27">
        <v>7000</v>
      </c>
      <c r="E29" s="28">
        <v>0.37847222222222227</v>
      </c>
      <c r="F29" s="29">
        <f>[3]December_2017!$J33</f>
        <v>389.40000000000003</v>
      </c>
      <c r="G29" s="30">
        <f>[3]December_2017!$F33</f>
        <v>5889</v>
      </c>
      <c r="H29" s="29">
        <f>[3]December_2017!$K33</f>
        <v>388.67400000000004</v>
      </c>
      <c r="I29" s="31">
        <f>[3]December_2017!$N33</f>
        <v>29</v>
      </c>
      <c r="J29" s="32">
        <f>[3]December_2017!$Q33</f>
        <v>507.67241379310349</v>
      </c>
      <c r="K29" s="32">
        <f>[3]December_2017!$E33</f>
        <v>696</v>
      </c>
      <c r="L29" s="169">
        <v>0.89583333333333337</v>
      </c>
      <c r="M29" s="32">
        <f>[3]December_2017!$M33</f>
        <v>180</v>
      </c>
      <c r="N29" s="406" t="e">
        <f>[4]Dec!$I33</f>
        <v>#REF!</v>
      </c>
      <c r="O29" s="32">
        <f>[3]December_2017!$H33</f>
        <v>0</v>
      </c>
      <c r="P29" s="33">
        <f>[3]December_2017!$P33</f>
        <v>0.18644067796610145</v>
      </c>
      <c r="Q29" s="32"/>
      <c r="R29" s="129">
        <f>($G29)/(($K29/60)*AD$3*(1/24))</f>
        <v>0.81227586206896552</v>
      </c>
      <c r="S29" s="129">
        <f>($G29)/(($K29/60)*AE$3*(1/24))</f>
        <v>0.71671399594320495</v>
      </c>
      <c r="T29" s="129">
        <f>($G29)*24/(($K29)/60)/$AD$3</f>
        <v>0.81227586206896563</v>
      </c>
      <c r="U29" s="227">
        <f>($G29)*24/(($K29)/60)/$AE$3</f>
        <v>0.71671399594320495</v>
      </c>
      <c r="V29" s="233">
        <f>(860-((M29)-[4]Dec!$Z$33-[4]Dec!$J$33))/860</f>
        <v>0.80697674418604648</v>
      </c>
      <c r="W29" s="1013" t="s">
        <v>830</v>
      </c>
      <c r="X29" s="1014"/>
      <c r="Y29" s="1014"/>
      <c r="Z29" s="1014"/>
      <c r="AA29" s="1014"/>
      <c r="AB29" s="1014"/>
      <c r="AC29" s="1015"/>
    </row>
    <row r="30" spans="2:29" s="19" customFormat="1" ht="44.25" customHeight="1" x14ac:dyDescent="0.2">
      <c r="B30" s="1037">
        <v>43096</v>
      </c>
      <c r="C30" s="26" t="str">
        <f>[3]December_2017!$D34</f>
        <v>STAG</v>
      </c>
      <c r="D30" s="27">
        <v>1200</v>
      </c>
      <c r="E30" s="1051">
        <v>0.4069444444444445</v>
      </c>
      <c r="F30" s="29">
        <f>[3]December_2017!$J34</f>
        <v>79.2</v>
      </c>
      <c r="G30" s="30">
        <f>[3]December_2017!$F34</f>
        <v>1180</v>
      </c>
      <c r="H30" s="29">
        <f>[3]December_2017!$K34</f>
        <v>77.88000000000001</v>
      </c>
      <c r="I30" s="31">
        <f>[3]December_2017!$N34</f>
        <v>12</v>
      </c>
      <c r="J30" s="991">
        <f>[3]December_2017!$Q34</f>
        <v>399.74400000000003</v>
      </c>
      <c r="K30" s="991">
        <f>[3]December_2017!$E34</f>
        <v>625</v>
      </c>
      <c r="L30" s="1017">
        <v>0.7895833333333333</v>
      </c>
      <c r="M30" s="32">
        <f>[3]December_2017!$M34</f>
        <v>156</v>
      </c>
      <c r="N30" s="406" t="e">
        <f>[4]Dec!$I34</f>
        <v>#REF!</v>
      </c>
      <c r="O30" s="32">
        <f>[3]December_2017!$H34</f>
        <v>0</v>
      </c>
      <c r="P30" s="33">
        <f>[3]December_2017!$P34</f>
        <v>1.6666666666666581</v>
      </c>
      <c r="Q30" s="32"/>
      <c r="R30" s="1039">
        <f>($G30+G31)/(($K30/60)*AD$3*(1/24))</f>
        <v>0.63959040000000011</v>
      </c>
      <c r="S30" s="1039">
        <f>($G30+G31)/(($K30/60)*AE$3*(1/24))</f>
        <v>0.56434447058823545</v>
      </c>
      <c r="T30" s="1039">
        <f>($G30+G31)*24/(($K30)/60)/$AD$3</f>
        <v>0.6395904</v>
      </c>
      <c r="U30" s="1047">
        <f>($G30+G31)*24/(($K30)/60)/$AE$3</f>
        <v>0.56434447058823523</v>
      </c>
      <c r="V30" s="1035">
        <f>(599-((M30+M31)-[4]Dec!$Z$35-[4]Dec!$Z$34-[4]Dec!$AA$35-[4]Dec!$J$35-[4]Dec!$I$35))/599</f>
        <v>0.65943238731218701</v>
      </c>
      <c r="W30" s="1013" t="s">
        <v>831</v>
      </c>
      <c r="X30" s="1014"/>
      <c r="Y30" s="1014"/>
      <c r="Z30" s="1014"/>
      <c r="AA30" s="1014"/>
      <c r="AB30" s="1014"/>
      <c r="AC30" s="1015"/>
    </row>
    <row r="31" spans="2:29" s="19" customFormat="1" ht="60" customHeight="1" x14ac:dyDescent="0.2">
      <c r="B31" s="1038"/>
      <c r="C31" s="26" t="str">
        <f>[3]December_2017!$D35</f>
        <v>CARIB (AMBER)</v>
      </c>
      <c r="D31" s="27">
        <v>4200</v>
      </c>
      <c r="E31" s="1053"/>
      <c r="F31" s="29">
        <f>[3]December_2017!$J35</f>
        <v>212.39999999999998</v>
      </c>
      <c r="G31" s="30">
        <f>[3]December_2017!$F35</f>
        <v>2984</v>
      </c>
      <c r="H31" s="29">
        <f>[3]December_2017!$K35</f>
        <v>210.81400000000002</v>
      </c>
      <c r="I31" s="31">
        <f>[3]December_2017!$N35</f>
        <v>10</v>
      </c>
      <c r="J31" s="992"/>
      <c r="K31" s="992"/>
      <c r="L31" s="1018"/>
      <c r="M31" s="32">
        <f>[3]December_2017!$M35</f>
        <v>98</v>
      </c>
      <c r="N31" s="406">
        <f>[4]Dec!$I35</f>
        <v>26</v>
      </c>
      <c r="O31" s="32">
        <f>[3]December_2017!$H35</f>
        <v>0</v>
      </c>
      <c r="P31" s="33">
        <f>[3]December_2017!$P35</f>
        <v>0.74670433145007353</v>
      </c>
      <c r="Q31" s="32"/>
      <c r="R31" s="1040"/>
      <c r="S31" s="1040"/>
      <c r="T31" s="1040"/>
      <c r="U31" s="1048"/>
      <c r="V31" s="1036"/>
      <c r="W31" s="1013" t="s">
        <v>832</v>
      </c>
      <c r="X31" s="1014"/>
      <c r="Y31" s="1014"/>
      <c r="Z31" s="1014"/>
      <c r="AA31" s="1014"/>
      <c r="AB31" s="1014"/>
      <c r="AC31" s="1015"/>
    </row>
    <row r="32" spans="2:29" s="19" customFormat="1" ht="42" customHeight="1" x14ac:dyDescent="0.2">
      <c r="B32" s="1037">
        <v>43097</v>
      </c>
      <c r="C32" s="26" t="str">
        <f>[3]December_2017!$D36</f>
        <v>CARIB (AMBER)</v>
      </c>
      <c r="D32" s="27">
        <v>2341</v>
      </c>
      <c r="E32" s="1051">
        <v>0.34027777777777773</v>
      </c>
      <c r="F32" s="29">
        <f>[3]December_2017!$J36</f>
        <v>156.57</v>
      </c>
      <c r="G32" s="30">
        <f>[3]December_2017!$F36</f>
        <v>2351</v>
      </c>
      <c r="H32" s="29">
        <f>[3]December_2017!$K36</f>
        <v>155.166</v>
      </c>
      <c r="I32" s="31">
        <f>[3]December_2017!$N36</f>
        <v>24</v>
      </c>
      <c r="J32" s="991">
        <f>[3]December_2017!$Q36</f>
        <v>472.69480519480516</v>
      </c>
      <c r="K32" s="991">
        <f>[3]December_2017!$E36</f>
        <v>616</v>
      </c>
      <c r="L32" s="1017">
        <v>0.78611111111111109</v>
      </c>
      <c r="M32" s="32">
        <f>[3]December_2017!$M36</f>
        <v>58</v>
      </c>
      <c r="N32" s="406" t="e">
        <f>[4]Dec!$I36</f>
        <v>#REF!</v>
      </c>
      <c r="O32" s="32">
        <f>[3]December_2017!$H36</f>
        <v>0</v>
      </c>
      <c r="P32" s="33">
        <f>[3]December_2017!$P36</f>
        <v>0.89672351025100372</v>
      </c>
      <c r="Q32" s="32"/>
      <c r="R32" s="1039">
        <f>($G32+G33)/(($K32/60)*AD$3*(1/24))</f>
        <v>0.75631168831168838</v>
      </c>
      <c r="S32" s="1039">
        <f>($G32+G33)/(($K32/60)*AE$3*(1/24))</f>
        <v>0.66733384262796025</v>
      </c>
      <c r="T32" s="1039">
        <f>($G32+G33)*24/(($K32)/60)/$AD$3</f>
        <v>0.75631168831168827</v>
      </c>
      <c r="U32" s="1047">
        <f>($G32+G33)*24/(($K32)/60)/$AE$3</f>
        <v>0.66733384262796014</v>
      </c>
      <c r="V32" s="1035">
        <f>(704-((M32+M33)-[4]Dec!$AA$36-[4]Dec!$Z$36-[4]Dec!$I$37))/704</f>
        <v>0.69744318181818177</v>
      </c>
      <c r="W32" s="1013" t="s">
        <v>834</v>
      </c>
      <c r="X32" s="1014"/>
      <c r="Y32" s="1014"/>
      <c r="Z32" s="1014"/>
      <c r="AA32" s="1014"/>
      <c r="AB32" s="1014"/>
      <c r="AC32" s="1015"/>
    </row>
    <row r="33" spans="2:29" s="19" customFormat="1" ht="74.25" customHeight="1" x14ac:dyDescent="0.2">
      <c r="B33" s="1038"/>
      <c r="C33" s="26" t="str">
        <f>[3]December_2017!$D37</f>
        <v>STAG</v>
      </c>
      <c r="D33" s="27">
        <v>4200</v>
      </c>
      <c r="E33" s="1053"/>
      <c r="F33" s="29">
        <f>[3]December_2017!$J37</f>
        <v>170.39999999999998</v>
      </c>
      <c r="G33" s="30">
        <f>[3]December_2017!$F37</f>
        <v>2502</v>
      </c>
      <c r="H33" s="29">
        <f>[3]December_2017!$K37</f>
        <v>169.88200000000001</v>
      </c>
      <c r="I33" s="31">
        <f>[3]December_2017!$N37</f>
        <v>21</v>
      </c>
      <c r="J33" s="992"/>
      <c r="K33" s="992"/>
      <c r="L33" s="1018"/>
      <c r="M33" s="32">
        <f>[3]December_2017!$M37</f>
        <v>175</v>
      </c>
      <c r="N33" s="406">
        <f>[4]Dec!$I37</f>
        <v>15</v>
      </c>
      <c r="O33" s="32">
        <f>[3]December_2017!$H37</f>
        <v>0</v>
      </c>
      <c r="P33" s="33">
        <f>[3]December_2017!$P37</f>
        <v>0.30399061032862229</v>
      </c>
      <c r="Q33" s="32"/>
      <c r="R33" s="1040"/>
      <c r="S33" s="1040"/>
      <c r="T33" s="1040"/>
      <c r="U33" s="1048"/>
      <c r="V33" s="1036"/>
      <c r="W33" s="1013" t="s">
        <v>833</v>
      </c>
      <c r="X33" s="1014"/>
      <c r="Y33" s="1014"/>
      <c r="Z33" s="1014"/>
      <c r="AA33" s="1014"/>
      <c r="AB33" s="1014"/>
      <c r="AC33" s="1015"/>
    </row>
    <row r="34" spans="2:29" s="19" customFormat="1" ht="70.5" customHeight="1" x14ac:dyDescent="0.2">
      <c r="B34" s="1037">
        <v>43098</v>
      </c>
      <c r="C34" s="26" t="str">
        <f>[3]December_2017!$D38</f>
        <v>VITA MALT</v>
      </c>
      <c r="D34" s="27">
        <v>2010</v>
      </c>
      <c r="E34" s="1051">
        <v>0.33958333333333335</v>
      </c>
      <c r="F34" s="29">
        <f>[3]December_2017!$J38</f>
        <v>154.80000000000001</v>
      </c>
      <c r="G34" s="30">
        <f>[3]December_2017!$F38</f>
        <v>2039.375</v>
      </c>
      <c r="H34" s="29">
        <f>[3]December_2017!$K38</f>
        <v>151.7295</v>
      </c>
      <c r="I34" s="31">
        <f>[3]December_2017!$N38</f>
        <v>8</v>
      </c>
      <c r="J34" s="991">
        <f>[3]December_2017!$Q38</f>
        <v>308.86111111111109</v>
      </c>
      <c r="K34" s="991">
        <f>[3]December_2017!$E38</f>
        <v>540</v>
      </c>
      <c r="L34" s="1017">
        <v>0.74305555555555547</v>
      </c>
      <c r="M34" s="32">
        <f>[3]December_2017!$M38</f>
        <v>146</v>
      </c>
      <c r="N34" s="406">
        <f>[4]Dec!$I38</f>
        <v>8</v>
      </c>
      <c r="O34" s="32">
        <f>[3]December_2017!$H38</f>
        <v>0</v>
      </c>
      <c r="P34" s="33">
        <f>[3]December_2017!$P38</f>
        <v>1.9835271317829517</v>
      </c>
      <c r="Q34" s="32"/>
      <c r="R34" s="1039">
        <f>($G34+G35)/(($K34/60)*AD$3*(1/24))</f>
        <v>0.49417777777777777</v>
      </c>
      <c r="S34" s="1039">
        <f>($G34+G35)/(($K34/60)*AE$3*(1/24))</f>
        <v>0.43603921568627452</v>
      </c>
      <c r="T34" s="1039">
        <f>($G34+G35)*24/(($K34)/60)/$AD$3</f>
        <v>0.49417777777777777</v>
      </c>
      <c r="U34" s="1047">
        <f>($G34+G35)*24/(($K34)/60)/$AE$3</f>
        <v>0.43603921568627452</v>
      </c>
      <c r="V34" s="1035">
        <f>(644-((M34+M35)-[4]Dec!$Z$38-[4]Dec!$Z$39-[4]Dec!$I$39-[4]Dec!$I$38-[4]Dec!$J$38))/644</f>
        <v>0.75621118012422361</v>
      </c>
      <c r="W34" s="1013" t="s">
        <v>836</v>
      </c>
      <c r="X34" s="1014"/>
      <c r="Y34" s="1014"/>
      <c r="Z34" s="1014"/>
      <c r="AA34" s="1014"/>
      <c r="AB34" s="1014"/>
      <c r="AC34" s="1015"/>
    </row>
    <row r="35" spans="2:29" s="19" customFormat="1" ht="43.5" customHeight="1" thickBot="1" x14ac:dyDescent="0.25">
      <c r="B35" s="1038"/>
      <c r="C35" s="26" t="str">
        <f>[3]December_2017!$D39</f>
        <v>SHANDY LIME</v>
      </c>
      <c r="D35" s="27">
        <v>700</v>
      </c>
      <c r="E35" s="1053"/>
      <c r="F35" s="29">
        <f>[3]December_2017!$J39</f>
        <v>52.1</v>
      </c>
      <c r="G35" s="30">
        <f>[3]December_2017!$F39</f>
        <v>740.375</v>
      </c>
      <c r="H35" s="29">
        <f>[3]December_2017!$K39</f>
        <v>48.864750000000001</v>
      </c>
      <c r="I35" s="31">
        <f>[3]December_2017!$N39</f>
        <v>6</v>
      </c>
      <c r="J35" s="992"/>
      <c r="K35" s="992"/>
      <c r="L35" s="1018"/>
      <c r="M35" s="32">
        <f>[3]December_2017!$M39</f>
        <v>133</v>
      </c>
      <c r="N35" s="406">
        <f>[4]Dec!$I39</f>
        <v>100</v>
      </c>
      <c r="O35" s="32">
        <f>[3]December_2017!$H39</f>
        <v>0</v>
      </c>
      <c r="P35" s="33">
        <f>[3]December_2017!$P39</f>
        <v>6.2096928982725537</v>
      </c>
      <c r="Q35" s="32"/>
      <c r="R35" s="1040"/>
      <c r="S35" s="1040"/>
      <c r="T35" s="1040"/>
      <c r="U35" s="1048"/>
      <c r="V35" s="1036"/>
      <c r="W35" s="1013" t="s">
        <v>835</v>
      </c>
      <c r="X35" s="1014"/>
      <c r="Y35" s="1014"/>
      <c r="Z35" s="1014"/>
      <c r="AA35" s="1014"/>
      <c r="AB35" s="1014"/>
      <c r="AC35" s="1015"/>
    </row>
    <row r="36" spans="2:29" s="19" customFormat="1" ht="20.25" hidden="1" x14ac:dyDescent="0.2">
      <c r="B36" s="168"/>
      <c r="C36" s="26"/>
      <c r="D36" s="27"/>
      <c r="E36" s="28"/>
      <c r="F36" s="29"/>
      <c r="G36" s="30"/>
      <c r="H36" s="29">
        <f>[3]December_2017!$K40</f>
        <v>0</v>
      </c>
      <c r="I36" s="31"/>
      <c r="J36" s="32"/>
      <c r="K36" s="32"/>
      <c r="L36" s="169"/>
      <c r="M36" s="32"/>
      <c r="N36" s="406"/>
      <c r="O36" s="32"/>
      <c r="P36" s="33"/>
      <c r="Q36" s="32"/>
      <c r="R36" s="129"/>
      <c r="S36" s="129"/>
      <c r="T36" s="129"/>
      <c r="U36" s="227"/>
      <c r="V36" s="233"/>
      <c r="W36" s="403"/>
      <c r="X36" s="404"/>
      <c r="Y36" s="404"/>
      <c r="Z36" s="404"/>
      <c r="AA36" s="404"/>
      <c r="AB36" s="404"/>
      <c r="AC36" s="405"/>
    </row>
    <row r="37" spans="2:29" s="19" customFormat="1" ht="20.25" hidden="1" x14ac:dyDescent="0.2">
      <c r="B37" s="168"/>
      <c r="C37" s="26"/>
      <c r="D37" s="27"/>
      <c r="E37" s="28"/>
      <c r="F37" s="29"/>
      <c r="G37" s="30"/>
      <c r="H37" s="29">
        <f>[3]December_2017!$K41</f>
        <v>0</v>
      </c>
      <c r="I37" s="31"/>
      <c r="J37" s="32"/>
      <c r="K37" s="32"/>
      <c r="L37" s="169"/>
      <c r="M37" s="32"/>
      <c r="N37" s="406"/>
      <c r="O37" s="32"/>
      <c r="P37" s="33"/>
      <c r="Q37" s="32"/>
      <c r="R37" s="129"/>
      <c r="S37" s="129"/>
      <c r="T37" s="129"/>
      <c r="U37" s="227"/>
      <c r="V37" s="233"/>
      <c r="W37" s="403"/>
      <c r="X37" s="404"/>
      <c r="Y37" s="404"/>
      <c r="Z37" s="404"/>
      <c r="AA37" s="404"/>
      <c r="AB37" s="404"/>
      <c r="AC37" s="405"/>
    </row>
    <row r="38" spans="2:29" s="19" customFormat="1" ht="21" hidden="1" thickBot="1" x14ac:dyDescent="0.25">
      <c r="B38" s="168"/>
      <c r="C38" s="26"/>
      <c r="D38" s="27"/>
      <c r="E38" s="28"/>
      <c r="F38" s="29"/>
      <c r="G38" s="30"/>
      <c r="H38" s="29">
        <f>[3]December_2017!$K42</f>
        <v>0</v>
      </c>
      <c r="I38" s="31"/>
      <c r="J38" s="32"/>
      <c r="K38" s="32"/>
      <c r="L38" s="169"/>
      <c r="M38" s="32"/>
      <c r="N38" s="406"/>
      <c r="O38" s="32"/>
      <c r="P38" s="33"/>
      <c r="Q38" s="32"/>
      <c r="R38" s="129"/>
      <c r="S38" s="129"/>
      <c r="T38" s="129"/>
      <c r="U38" s="227"/>
      <c r="V38" s="233"/>
      <c r="W38" s="403"/>
      <c r="X38" s="404"/>
      <c r="Y38" s="404"/>
      <c r="Z38" s="404"/>
      <c r="AA38" s="404"/>
      <c r="AB38" s="404"/>
      <c r="AC38" s="405"/>
    </row>
    <row r="39" spans="2:29" s="19" customFormat="1" ht="20.25" hidden="1" x14ac:dyDescent="0.2">
      <c r="B39" s="168"/>
      <c r="C39" s="26"/>
      <c r="D39" s="27"/>
      <c r="E39" s="28"/>
      <c r="F39" s="29"/>
      <c r="G39" s="30"/>
      <c r="H39" s="29">
        <f>[3]December_2017!$K43</f>
        <v>0</v>
      </c>
      <c r="I39" s="31"/>
      <c r="J39" s="32"/>
      <c r="K39" s="32"/>
      <c r="L39" s="169"/>
      <c r="M39" s="32"/>
      <c r="N39" s="406"/>
      <c r="O39" s="32"/>
      <c r="P39" s="33"/>
      <c r="Q39" s="32"/>
      <c r="R39" s="129"/>
      <c r="S39" s="129"/>
      <c r="T39" s="129"/>
      <c r="U39" s="227"/>
      <c r="V39" s="233"/>
      <c r="W39" s="403"/>
      <c r="X39" s="404"/>
      <c r="Y39" s="404"/>
      <c r="Z39" s="404"/>
      <c r="AA39" s="404"/>
      <c r="AB39" s="404"/>
      <c r="AC39" s="405"/>
    </row>
    <row r="40" spans="2:29" s="19" customFormat="1" ht="20.25" hidden="1" x14ac:dyDescent="0.2">
      <c r="B40" s="168"/>
      <c r="C40" s="26"/>
      <c r="D40" s="27"/>
      <c r="E40" s="28"/>
      <c r="F40" s="29"/>
      <c r="G40" s="30"/>
      <c r="H40" s="29">
        <f>[3]December_2017!$K44</f>
        <v>0</v>
      </c>
      <c r="I40" s="31">
        <f>[3]November_2017!$N44</f>
        <v>0</v>
      </c>
      <c r="J40" s="32"/>
      <c r="K40" s="32"/>
      <c r="L40" s="169"/>
      <c r="M40" s="32"/>
      <c r="N40" s="406"/>
      <c r="O40" s="32"/>
      <c r="P40" s="33"/>
      <c r="Q40" s="32"/>
      <c r="R40" s="129"/>
      <c r="S40" s="129"/>
      <c r="T40" s="129"/>
      <c r="U40" s="227"/>
      <c r="V40" s="233"/>
      <c r="W40" s="403"/>
      <c r="X40" s="404"/>
      <c r="Y40" s="404"/>
      <c r="Z40" s="404"/>
      <c r="AA40" s="404"/>
      <c r="AB40" s="404"/>
      <c r="AC40" s="405"/>
    </row>
    <row r="41" spans="2:29" s="19" customFormat="1" ht="20.25" hidden="1" x14ac:dyDescent="0.2">
      <c r="B41" s="168"/>
      <c r="C41" s="26">
        <f>[3]November_2017!$D45</f>
        <v>0</v>
      </c>
      <c r="D41" s="27"/>
      <c r="E41" s="259"/>
      <c r="F41" s="29"/>
      <c r="G41" s="30"/>
      <c r="H41" s="29">
        <f>[3]December_2017!$K45</f>
        <v>0</v>
      </c>
      <c r="I41" s="31"/>
      <c r="J41" s="32"/>
      <c r="K41" s="32"/>
      <c r="L41" s="169"/>
      <c r="M41" s="32"/>
      <c r="N41" s="406"/>
      <c r="O41" s="32"/>
      <c r="P41" s="33"/>
      <c r="Q41" s="32"/>
      <c r="R41" s="129"/>
      <c r="S41" s="129"/>
      <c r="T41" s="129"/>
      <c r="U41" s="227"/>
      <c r="V41" s="233"/>
      <c r="W41" s="403"/>
      <c r="X41" s="404"/>
      <c r="Y41" s="404"/>
      <c r="Z41" s="404"/>
      <c r="AA41" s="404"/>
      <c r="AB41" s="404"/>
      <c r="AC41" s="405"/>
    </row>
    <row r="42" spans="2:29" s="19" customFormat="1" ht="20.25" hidden="1" x14ac:dyDescent="0.2">
      <c r="B42" s="168"/>
      <c r="C42" s="26">
        <f>[3]November_2017!$D46</f>
        <v>0</v>
      </c>
      <c r="D42" s="27"/>
      <c r="E42" s="28"/>
      <c r="F42" s="29"/>
      <c r="G42" s="30"/>
      <c r="H42" s="29">
        <f>[3]December_2017!$K46</f>
        <v>0</v>
      </c>
      <c r="I42" s="31"/>
      <c r="J42" s="32"/>
      <c r="K42" s="32"/>
      <c r="L42" s="169"/>
      <c r="M42" s="32"/>
      <c r="N42" s="406"/>
      <c r="O42" s="32"/>
      <c r="P42" s="33"/>
      <c r="Q42" s="32"/>
      <c r="R42" s="129"/>
      <c r="S42" s="129"/>
      <c r="T42" s="129"/>
      <c r="U42" s="227"/>
      <c r="V42" s="233"/>
      <c r="W42" s="403"/>
      <c r="X42" s="404"/>
      <c r="Y42" s="404"/>
      <c r="Z42" s="404"/>
      <c r="AA42" s="404"/>
      <c r="AB42" s="404"/>
      <c r="AC42" s="405"/>
    </row>
    <row r="43" spans="2:29" s="19" customFormat="1" ht="20.25" hidden="1" x14ac:dyDescent="0.2">
      <c r="B43" s="168">
        <f>[3]October_2017!$B48</f>
        <v>0</v>
      </c>
      <c r="C43" s="26"/>
      <c r="D43" s="27"/>
      <c r="E43" s="28"/>
      <c r="F43" s="29"/>
      <c r="G43" s="30"/>
      <c r="H43" s="29">
        <f>[3]December_2017!$K47</f>
        <v>0</v>
      </c>
      <c r="I43" s="31"/>
      <c r="J43" s="32"/>
      <c r="K43" s="32"/>
      <c r="L43" s="169"/>
      <c r="M43" s="32"/>
      <c r="N43" s="406"/>
      <c r="O43" s="32"/>
      <c r="P43" s="33"/>
      <c r="Q43" s="32"/>
      <c r="R43" s="129"/>
      <c r="S43" s="129"/>
      <c r="T43" s="129"/>
      <c r="U43" s="227"/>
      <c r="V43" s="233"/>
      <c r="W43" s="403"/>
      <c r="X43" s="404"/>
      <c r="Y43" s="404"/>
      <c r="Z43" s="404"/>
      <c r="AA43" s="404"/>
      <c r="AB43" s="404"/>
      <c r="AC43" s="405"/>
    </row>
    <row r="44" spans="2:29" s="19" customFormat="1" ht="20.25" hidden="1" x14ac:dyDescent="0.2">
      <c r="B44" s="168">
        <f>[3]October_2017!$B49</f>
        <v>0</v>
      </c>
      <c r="C44" s="26"/>
      <c r="D44" s="27"/>
      <c r="E44" s="28"/>
      <c r="F44" s="29"/>
      <c r="G44" s="30"/>
      <c r="H44" s="29">
        <f>[3]December_2017!$K48</f>
        <v>0</v>
      </c>
      <c r="I44" s="31"/>
      <c r="J44" s="32"/>
      <c r="K44" s="32"/>
      <c r="L44" s="169"/>
      <c r="M44" s="32"/>
      <c r="N44" s="406"/>
      <c r="O44" s="32"/>
      <c r="P44" s="33"/>
      <c r="Q44" s="32"/>
      <c r="R44" s="129"/>
      <c r="S44" s="129"/>
      <c r="T44" s="129"/>
      <c r="U44" s="227"/>
      <c r="V44" s="233"/>
      <c r="W44" s="403"/>
      <c r="X44" s="404"/>
      <c r="Y44" s="404"/>
      <c r="Z44" s="404"/>
      <c r="AA44" s="404"/>
      <c r="AB44" s="404"/>
      <c r="AC44" s="405"/>
    </row>
    <row r="45" spans="2:29" s="19" customFormat="1" ht="20.25" hidden="1" x14ac:dyDescent="0.2">
      <c r="B45" s="168">
        <f>[3]October_2017!$B50</f>
        <v>0</v>
      </c>
      <c r="C45" s="26"/>
      <c r="D45" s="27"/>
      <c r="E45" s="28"/>
      <c r="F45" s="29"/>
      <c r="G45" s="30"/>
      <c r="H45" s="29">
        <f>[3]December_2017!$K49</f>
        <v>0</v>
      </c>
      <c r="I45" s="31"/>
      <c r="J45" s="32"/>
      <c r="K45" s="32"/>
      <c r="L45" s="169"/>
      <c r="M45" s="32"/>
      <c r="N45" s="406"/>
      <c r="O45" s="32"/>
      <c r="P45" s="33"/>
      <c r="Q45" s="32"/>
      <c r="R45" s="129"/>
      <c r="S45" s="129"/>
      <c r="T45" s="129"/>
      <c r="U45" s="227"/>
      <c r="V45" s="233"/>
      <c r="W45" s="403"/>
      <c r="X45" s="404"/>
      <c r="Y45" s="404"/>
      <c r="Z45" s="404"/>
      <c r="AA45" s="404"/>
      <c r="AB45" s="404"/>
      <c r="AC45" s="405"/>
    </row>
    <row r="46" spans="2:29" s="19" customFormat="1" ht="20.25" hidden="1" x14ac:dyDescent="0.2">
      <c r="B46" s="168">
        <f>[3]October_2017!$B51</f>
        <v>0</v>
      </c>
      <c r="C46" s="26"/>
      <c r="D46" s="27"/>
      <c r="E46" s="28"/>
      <c r="F46" s="29"/>
      <c r="G46" s="30"/>
      <c r="H46" s="29">
        <f>[3]December_2017!$K50</f>
        <v>0</v>
      </c>
      <c r="I46" s="31"/>
      <c r="J46" s="32"/>
      <c r="K46" s="32"/>
      <c r="L46" s="169"/>
      <c r="M46" s="32"/>
      <c r="N46" s="406"/>
      <c r="O46" s="32"/>
      <c r="P46" s="33"/>
      <c r="Q46" s="32"/>
      <c r="R46" s="129"/>
      <c r="S46" s="129"/>
      <c r="T46" s="129"/>
      <c r="U46" s="227"/>
      <c r="V46" s="233"/>
      <c r="W46" s="403"/>
      <c r="X46" s="404"/>
      <c r="Y46" s="404"/>
      <c r="Z46" s="404"/>
      <c r="AA46" s="404"/>
      <c r="AB46" s="404"/>
      <c r="AC46" s="405"/>
    </row>
    <row r="47" spans="2:29" s="19" customFormat="1" ht="20.25" hidden="1" x14ac:dyDescent="0.2">
      <c r="B47" s="168">
        <f>[3]October_2017!$B52</f>
        <v>0</v>
      </c>
      <c r="C47" s="26"/>
      <c r="D47" s="27"/>
      <c r="E47" s="28"/>
      <c r="F47" s="29"/>
      <c r="G47" s="30"/>
      <c r="H47" s="29">
        <f>[3]December_2017!$K51</f>
        <v>0</v>
      </c>
      <c r="I47" s="31"/>
      <c r="J47" s="32"/>
      <c r="K47" s="32"/>
      <c r="L47" s="169"/>
      <c r="M47" s="32"/>
      <c r="N47" s="406"/>
      <c r="O47" s="32"/>
      <c r="P47" s="33"/>
      <c r="Q47" s="32"/>
      <c r="R47" s="129"/>
      <c r="S47" s="129"/>
      <c r="T47" s="129"/>
      <c r="U47" s="227"/>
      <c r="V47" s="233"/>
      <c r="W47" s="403"/>
      <c r="X47" s="404"/>
      <c r="Y47" s="404"/>
      <c r="Z47" s="404"/>
      <c r="AA47" s="404"/>
      <c r="AB47" s="404"/>
      <c r="AC47" s="405"/>
    </row>
    <row r="48" spans="2:29" s="19" customFormat="1" ht="20.25" hidden="1" x14ac:dyDescent="0.2">
      <c r="B48" s="168">
        <f>[3]October_2017!$B53</f>
        <v>0</v>
      </c>
      <c r="C48" s="26"/>
      <c r="D48" s="27"/>
      <c r="E48" s="28"/>
      <c r="F48" s="29"/>
      <c r="G48" s="30"/>
      <c r="H48" s="29">
        <f>[3]December_2017!$K52</f>
        <v>0</v>
      </c>
      <c r="I48" s="31"/>
      <c r="J48" s="32"/>
      <c r="K48" s="32"/>
      <c r="L48" s="169"/>
      <c r="M48" s="32"/>
      <c r="N48" s="406"/>
      <c r="O48" s="32"/>
      <c r="P48" s="33"/>
      <c r="Q48" s="32"/>
      <c r="R48" s="129"/>
      <c r="S48" s="129"/>
      <c r="T48" s="129"/>
      <c r="U48" s="227"/>
      <c r="V48" s="233"/>
      <c r="W48" s="403"/>
      <c r="X48" s="404"/>
      <c r="Y48" s="404"/>
      <c r="Z48" s="404"/>
      <c r="AA48" s="404"/>
      <c r="AB48" s="404"/>
      <c r="AC48" s="405"/>
    </row>
    <row r="49" spans="1:29" s="19" customFormat="1" ht="20.25" hidden="1" x14ac:dyDescent="0.2">
      <c r="B49" s="168">
        <f>[3]October_2017!$B54</f>
        <v>0</v>
      </c>
      <c r="C49" s="26"/>
      <c r="D49" s="27"/>
      <c r="E49" s="28"/>
      <c r="F49" s="29"/>
      <c r="G49" s="30"/>
      <c r="H49" s="29">
        <f>[3]December_2017!$K53</f>
        <v>0</v>
      </c>
      <c r="I49" s="31"/>
      <c r="J49" s="32"/>
      <c r="K49" s="32"/>
      <c r="L49" s="169"/>
      <c r="M49" s="32"/>
      <c r="N49" s="406"/>
      <c r="O49" s="32"/>
      <c r="P49" s="33"/>
      <c r="Q49" s="32"/>
      <c r="R49" s="129"/>
      <c r="S49" s="129"/>
      <c r="T49" s="129"/>
      <c r="U49" s="227"/>
      <c r="V49" s="233"/>
      <c r="W49" s="403"/>
      <c r="X49" s="404"/>
      <c r="Y49" s="404"/>
      <c r="Z49" s="404"/>
      <c r="AA49" s="404"/>
      <c r="AB49" s="404"/>
      <c r="AC49" s="405"/>
    </row>
    <row r="50" spans="1:29" s="19" customFormat="1" ht="20.25" hidden="1" x14ac:dyDescent="0.2">
      <c r="B50" s="168">
        <f>[3]October_2017!$B55</f>
        <v>0</v>
      </c>
      <c r="C50" s="26"/>
      <c r="D50" s="27"/>
      <c r="E50" s="28"/>
      <c r="F50" s="29"/>
      <c r="G50" s="30"/>
      <c r="H50" s="29"/>
      <c r="I50" s="31"/>
      <c r="J50" s="32"/>
      <c r="K50" s="32"/>
      <c r="L50" s="169"/>
      <c r="M50" s="32"/>
      <c r="N50" s="406"/>
      <c r="O50" s="32"/>
      <c r="P50" s="33"/>
      <c r="Q50" s="32"/>
      <c r="R50" s="129"/>
      <c r="S50" s="129"/>
      <c r="T50" s="129"/>
      <c r="U50" s="227"/>
      <c r="V50" s="233"/>
      <c r="W50" s="403"/>
      <c r="X50" s="404"/>
      <c r="Y50" s="404"/>
      <c r="Z50" s="404"/>
      <c r="AA50" s="404"/>
      <c r="AB50" s="404"/>
      <c r="AC50" s="405"/>
    </row>
    <row r="51" spans="1:29" s="19" customFormat="1" ht="20.25" hidden="1" x14ac:dyDescent="0.2">
      <c r="B51" s="168">
        <f>[3]October_2017!$B56</f>
        <v>0</v>
      </c>
      <c r="C51" s="26"/>
      <c r="D51" s="27"/>
      <c r="E51" s="28"/>
      <c r="F51" s="29"/>
      <c r="G51" s="30"/>
      <c r="H51" s="29">
        <f>[3]December_2017!$K55</f>
        <v>0</v>
      </c>
      <c r="I51" s="31"/>
      <c r="J51" s="32"/>
      <c r="K51" s="32"/>
      <c r="L51" s="169"/>
      <c r="M51" s="32"/>
      <c r="N51" s="406"/>
      <c r="O51" s="32"/>
      <c r="P51" s="33"/>
      <c r="Q51" s="32"/>
      <c r="R51" s="129"/>
      <c r="S51" s="129"/>
      <c r="T51" s="129"/>
      <c r="U51" s="227"/>
      <c r="V51" s="233"/>
      <c r="W51" s="403"/>
      <c r="X51" s="404"/>
      <c r="Y51" s="404"/>
      <c r="Z51" s="404"/>
      <c r="AA51" s="404"/>
      <c r="AB51" s="404"/>
      <c r="AC51" s="405"/>
    </row>
    <row r="52" spans="1:29" s="19" customFormat="1" ht="20.25" hidden="1" x14ac:dyDescent="0.2">
      <c r="B52" s="168">
        <f>[3]October_2017!$B57</f>
        <v>0</v>
      </c>
      <c r="C52" s="26"/>
      <c r="D52" s="27"/>
      <c r="E52" s="28"/>
      <c r="F52" s="29"/>
      <c r="G52" s="30"/>
      <c r="H52" s="29">
        <f>[3]December_2017!$K56</f>
        <v>0</v>
      </c>
      <c r="I52" s="31"/>
      <c r="J52" s="32"/>
      <c r="K52" s="32"/>
      <c r="L52" s="169"/>
      <c r="M52" s="32"/>
      <c r="N52" s="406"/>
      <c r="O52" s="32"/>
      <c r="P52" s="33"/>
      <c r="Q52" s="32"/>
      <c r="R52" s="129"/>
      <c r="S52" s="129"/>
      <c r="T52" s="129"/>
      <c r="U52" s="227"/>
      <c r="V52" s="233"/>
      <c r="W52" s="1059"/>
      <c r="X52" s="1060"/>
      <c r="Y52" s="1060"/>
      <c r="Z52" s="1060"/>
      <c r="AA52" s="1060"/>
      <c r="AB52" s="1060"/>
      <c r="AC52" s="1061"/>
    </row>
    <row r="53" spans="1:29" s="19" customFormat="1" ht="20.25" hidden="1" x14ac:dyDescent="0.2">
      <c r="B53" s="168">
        <f>[3]October_2017!$B58</f>
        <v>0</v>
      </c>
      <c r="C53" s="26"/>
      <c r="D53" s="27"/>
      <c r="E53" s="28"/>
      <c r="F53" s="29"/>
      <c r="G53" s="30"/>
      <c r="H53" s="29">
        <f>[3]December_2017!$K57</f>
        <v>0</v>
      </c>
      <c r="I53" s="31"/>
      <c r="J53" s="32"/>
      <c r="K53" s="32"/>
      <c r="L53" s="169"/>
      <c r="M53" s="32"/>
      <c r="N53" s="406"/>
      <c r="O53" s="32"/>
      <c r="P53" s="33"/>
      <c r="Q53" s="32"/>
      <c r="R53" s="129"/>
      <c r="S53" s="129"/>
      <c r="T53" s="129"/>
      <c r="U53" s="227"/>
      <c r="V53" s="233"/>
      <c r="W53" s="1059"/>
      <c r="X53" s="1060"/>
      <c r="Y53" s="1060"/>
      <c r="Z53" s="1060"/>
      <c r="AA53" s="1060"/>
      <c r="AB53" s="1060"/>
      <c r="AC53" s="1061"/>
    </row>
    <row r="54" spans="1:29" s="19" customFormat="1" ht="20.25" hidden="1" x14ac:dyDescent="0.2">
      <c r="B54" s="168">
        <f>[3]October_2017!$B59</f>
        <v>0</v>
      </c>
      <c r="C54" s="26"/>
      <c r="D54" s="27"/>
      <c r="E54" s="28"/>
      <c r="F54" s="29"/>
      <c r="G54" s="30"/>
      <c r="H54" s="29">
        <f>[3]December_2017!$K58</f>
        <v>0</v>
      </c>
      <c r="I54" s="31"/>
      <c r="J54" s="32"/>
      <c r="K54" s="32"/>
      <c r="L54" s="169"/>
      <c r="M54" s="32"/>
      <c r="N54" s="406"/>
      <c r="O54" s="32"/>
      <c r="P54" s="33"/>
      <c r="Q54" s="32"/>
      <c r="R54" s="129"/>
      <c r="S54" s="129"/>
      <c r="T54" s="129"/>
      <c r="U54" s="227"/>
      <c r="V54" s="233"/>
      <c r="W54" s="1059"/>
      <c r="X54" s="1060"/>
      <c r="Y54" s="1060"/>
      <c r="Z54" s="1060"/>
      <c r="AA54" s="1060"/>
      <c r="AB54" s="1060"/>
      <c r="AC54" s="1061"/>
    </row>
    <row r="55" spans="1:29" s="19" customFormat="1" ht="20.25" hidden="1" x14ac:dyDescent="0.2">
      <c r="B55" s="168">
        <f>[3]October_2017!$B60</f>
        <v>0</v>
      </c>
      <c r="C55" s="26"/>
      <c r="D55" s="27"/>
      <c r="E55" s="28"/>
      <c r="F55" s="29"/>
      <c r="G55" s="30"/>
      <c r="H55" s="29">
        <f>[3]December_2017!$K59</f>
        <v>0</v>
      </c>
      <c r="I55" s="31"/>
      <c r="J55" s="32"/>
      <c r="K55" s="32"/>
      <c r="L55" s="169"/>
      <c r="M55" s="32"/>
      <c r="N55" s="406"/>
      <c r="O55" s="32"/>
      <c r="P55" s="33"/>
      <c r="Q55" s="32"/>
      <c r="R55" s="129"/>
      <c r="S55" s="129"/>
      <c r="T55" s="129"/>
      <c r="U55" s="227"/>
      <c r="V55" s="233"/>
      <c r="W55" s="1059"/>
      <c r="X55" s="1060"/>
      <c r="Y55" s="1060"/>
      <c r="Z55" s="1060"/>
      <c r="AA55" s="1060"/>
      <c r="AB55" s="1060"/>
      <c r="AC55" s="1061"/>
    </row>
    <row r="56" spans="1:29" s="19" customFormat="1" ht="21" hidden="1" thickBot="1" x14ac:dyDescent="0.25">
      <c r="B56" s="168">
        <f>[3]October_2017!$B61</f>
        <v>0</v>
      </c>
      <c r="C56" s="26"/>
      <c r="D56" s="27"/>
      <c r="E56" s="28"/>
      <c r="F56" s="29"/>
      <c r="G56" s="30"/>
      <c r="H56" s="29">
        <f>[3]December_2017!$K60</f>
        <v>0</v>
      </c>
      <c r="I56" s="31"/>
      <c r="J56" s="32"/>
      <c r="K56" s="32"/>
      <c r="L56" s="169"/>
      <c r="M56" s="32"/>
      <c r="N56" s="406"/>
      <c r="O56" s="32"/>
      <c r="P56" s="33"/>
      <c r="Q56" s="32"/>
      <c r="R56" s="129"/>
      <c r="S56" s="129"/>
      <c r="T56" s="129"/>
      <c r="U56" s="227"/>
      <c r="V56" s="233"/>
      <c r="W56" s="1126"/>
      <c r="X56" s="1127"/>
      <c r="Y56" s="1127"/>
      <c r="Z56" s="1127"/>
      <c r="AA56" s="1127"/>
      <c r="AB56" s="1127"/>
      <c r="AC56" s="1128"/>
    </row>
    <row r="57" spans="1:29" s="19" customFormat="1" ht="42" customHeight="1" thickBot="1" x14ac:dyDescent="0.25">
      <c r="B57" s="240" t="s">
        <v>3</v>
      </c>
      <c r="C57" s="241"/>
      <c r="D57" s="242">
        <f>SUM(D4:D55)</f>
        <v>116226</v>
      </c>
      <c r="E57" s="243">
        <f>AVERAGE(E4:E55)</f>
        <v>0.36432748538011694</v>
      </c>
      <c r="F57" s="244">
        <f>SUM(F4:F56)</f>
        <v>7307.7699999999995</v>
      </c>
      <c r="G57" s="242">
        <f>SUM(G4:G55)</f>
        <v>106909.75</v>
      </c>
      <c r="H57" s="244">
        <f>SUM(H4:H56)</f>
        <v>7262.2914499999997</v>
      </c>
      <c r="I57" s="245">
        <f>SUM(I4:I55)</f>
        <v>474.50599999999997</v>
      </c>
      <c r="J57" s="245">
        <f>G57/(K57/60)</f>
        <v>413.31088917525773</v>
      </c>
      <c r="K57" s="242">
        <f>SUM(K4:K55)</f>
        <v>15520</v>
      </c>
      <c r="L57" s="246">
        <f>AVERAGE(L4:L56)</f>
        <v>0.93088450292397673</v>
      </c>
      <c r="M57" s="242">
        <f>SUM(M4:M55)</f>
        <v>6147</v>
      </c>
      <c r="N57" s="245" t="e">
        <f>SUM(N4:N56)</f>
        <v>#REF!</v>
      </c>
      <c r="O57" s="245">
        <f>SUM(O4:O56)</f>
        <v>1132</v>
      </c>
      <c r="P57" s="292">
        <f>(F57-H57)/F57</f>
        <v>6.2233143626578037E-3</v>
      </c>
      <c r="Q57" s="249">
        <f>SUM(Q4:Q55)</f>
        <v>0</v>
      </c>
      <c r="R57" s="292">
        <f>((R4*($G$4))+(R5*($G$5+$G$6+G7))+(R8*($G$8))+(R9*($G$9+$G$10+$G$11))+(R12*($G$12))+(R13*($G$13+$G$14))+(R15*($G$15+$G$16))+(R17*($G$17+$G$18+$G$19))+(R20*($G$20))+(R21*($G$21+$G$22))+(R23*($G$23+$G$24))+(R25*($G$25))+(R26*($G$26))+(R27*($G$27))+(R28*($G$28))+(R29*($G$29))+(R30*($G$30+$G$31))+(R32*($G$32+$G$33))+(R34*($G$34+$G$35)))/($G$57)</f>
        <v>0.65211166893431227</v>
      </c>
      <c r="S57" s="292">
        <f>((S4*($G$4))+(S5*($G$5+$G$6+G7))+(S8*($G$8))+(S9*($G$9+$G$10+$G$11))+(S12*($G$12))+(S13*($G$13+$G$14))+(S15*($G$15+$G$16))+(S17*($G$17+$G$18+$G$19))+(S20*($G$20))+(S21*($G$21+$G$22))+(S23*($G$23+$G$24))+(S25*($G$25))+(S26*($G$26))+(S27*($G$27))+(S28*($G$28))+(S29*($G$29))+(S30*($G$30+$G$31))+(S32*($G$32+$G$33))+(S34*($G$34+$G$35)))/($G$57)</f>
        <v>0.62111726115418908</v>
      </c>
      <c r="T57" s="251">
        <f>(G57)*24/((K57)/60)/$AD$3</f>
        <v>0.66129742268041225</v>
      </c>
      <c r="U57" s="251">
        <f>(G57)*24/((K57)/60)/$AE$3</f>
        <v>0.58349772589448146</v>
      </c>
      <c r="V57" s="252">
        <f>(17074-(M57-[4]Dec!$H$54-[4]Dec!$I$54-[4]Dec!$J$54-[4]Dec!$Z$54-[4]Dec!$AA$54-[4]Dec!$AB$54-6-3-8))/17074</f>
        <v>0.70780133536371093</v>
      </c>
      <c r="W57" s="1129"/>
      <c r="X57" s="1011"/>
      <c r="Y57" s="1011"/>
      <c r="Z57" s="1011"/>
      <c r="AA57" s="1011"/>
      <c r="AB57" s="1011"/>
      <c r="AC57" s="1012"/>
    </row>
    <row r="58" spans="1:29" s="271" customFormat="1" ht="49.5" hidden="1" customHeight="1" thickTop="1" x14ac:dyDescent="0.3">
      <c r="A58" s="274"/>
      <c r="B58" s="260" t="s">
        <v>474</v>
      </c>
      <c r="C58" s="260"/>
      <c r="D58" s="261"/>
      <c r="E58" s="262"/>
      <c r="F58" s="263"/>
      <c r="G58" s="261"/>
      <c r="H58" s="263"/>
      <c r="I58" s="273"/>
      <c r="J58" s="273">
        <v>524</v>
      </c>
      <c r="K58" s="261"/>
      <c r="L58" s="265"/>
      <c r="M58" s="261"/>
      <c r="N58" s="266"/>
      <c r="O58" s="264"/>
      <c r="P58" s="267">
        <v>1.0999999999999999E-2</v>
      </c>
      <c r="Q58" s="268"/>
      <c r="R58" s="268"/>
      <c r="S58" s="268">
        <v>0.6</v>
      </c>
      <c r="T58" s="268"/>
      <c r="U58" s="268">
        <v>0.74</v>
      </c>
      <c r="V58" s="269">
        <v>0.95</v>
      </c>
      <c r="W58" s="270"/>
      <c r="X58" s="270"/>
      <c r="Y58" s="270"/>
      <c r="Z58" s="270"/>
      <c r="AA58" s="270"/>
      <c r="AB58" s="270"/>
      <c r="AC58" s="270"/>
    </row>
    <row r="59" spans="1:29" ht="24.75" customHeight="1" thickTop="1" x14ac:dyDescent="0.25">
      <c r="B59" s="11"/>
      <c r="C59" s="150" t="s">
        <v>35</v>
      </c>
      <c r="D59" s="210">
        <v>95140</v>
      </c>
      <c r="E59" s="1081" t="s">
        <v>388</v>
      </c>
      <c r="F59" s="1081"/>
      <c r="G59" s="210">
        <f>D59-G57</f>
        <v>-11769.75</v>
      </c>
      <c r="H59" s="150" t="s">
        <v>327</v>
      </c>
      <c r="I59" s="272">
        <f>G57/D59</f>
        <v>1.1237097960899727</v>
      </c>
      <c r="J59" s="152">
        <v>0</v>
      </c>
      <c r="K59" s="12"/>
      <c r="L59" s="12"/>
      <c r="M59" s="12"/>
      <c r="N59" s="12"/>
      <c r="O59" s="13"/>
      <c r="P59" s="14"/>
      <c r="Q59" s="12"/>
      <c r="R59" s="15"/>
      <c r="S59" s="16"/>
      <c r="T59" s="15"/>
      <c r="U59" s="15"/>
      <c r="V59" s="15"/>
      <c r="W59" s="17" t="s">
        <v>48</v>
      </c>
    </row>
    <row r="60" spans="1:29" ht="20.25" customHeight="1" x14ac:dyDescent="0.25">
      <c r="B60" s="11"/>
      <c r="C60" s="150" t="s">
        <v>37</v>
      </c>
      <c r="D60" s="210">
        <f>November_17!D60+'December_17 '!D59</f>
        <v>1045920</v>
      </c>
      <c r="E60" s="1081" t="s">
        <v>36</v>
      </c>
      <c r="F60" s="1081"/>
      <c r="G60" s="210">
        <f>November_17!G60+'December_17 '!G57</f>
        <v>1071183.5</v>
      </c>
      <c r="H60" s="150" t="s">
        <v>326</v>
      </c>
      <c r="I60" s="212">
        <v>0</v>
      </c>
      <c r="J60" s="152"/>
      <c r="K60" s="12">
        <v>0</v>
      </c>
      <c r="L60" s="12"/>
      <c r="M60" s="12"/>
      <c r="N60" s="12"/>
      <c r="O60" s="13"/>
      <c r="P60" s="14"/>
      <c r="Q60" s="12"/>
      <c r="R60" s="15"/>
      <c r="S60" s="16"/>
      <c r="T60" s="15"/>
      <c r="U60" s="15"/>
      <c r="V60" s="15"/>
      <c r="W60" s="17"/>
    </row>
    <row r="61" spans="1:29" ht="6.75" customHeight="1" thickBot="1" x14ac:dyDescent="0.3">
      <c r="C61" s="23"/>
      <c r="D61" s="42"/>
      <c r="E61" s="1082"/>
      <c r="F61" s="1082"/>
      <c r="G61" s="42"/>
      <c r="H61" s="44"/>
      <c r="I61" s="44"/>
      <c r="J61" s="149"/>
      <c r="O61"/>
      <c r="R61" s="10"/>
      <c r="W61" s="17"/>
    </row>
    <row r="62" spans="1:29" ht="57" customHeight="1" thickTop="1" thickBot="1" x14ac:dyDescent="0.25">
      <c r="B62" s="7"/>
      <c r="C62" s="206" t="s">
        <v>19</v>
      </c>
      <c r="D62" s="207" t="s">
        <v>14</v>
      </c>
      <c r="E62" s="207" t="s">
        <v>23</v>
      </c>
      <c r="F62" s="207" t="s">
        <v>24</v>
      </c>
      <c r="G62" s="208" t="s">
        <v>15</v>
      </c>
      <c r="H62" s="207" t="s">
        <v>17</v>
      </c>
      <c r="I62" s="207" t="s">
        <v>16</v>
      </c>
      <c r="J62" s="209" t="s">
        <v>600</v>
      </c>
      <c r="K62" s="305" t="s">
        <v>599</v>
      </c>
      <c r="O62"/>
      <c r="P62" s="141" t="s">
        <v>325</v>
      </c>
      <c r="Q62" s="90" t="s">
        <v>320</v>
      </c>
      <c r="R62" s="90" t="s">
        <v>466</v>
      </c>
      <c r="S62" s="90" t="s">
        <v>467</v>
      </c>
      <c r="T62" s="90" t="s">
        <v>323</v>
      </c>
      <c r="U62" s="143" t="s">
        <v>324</v>
      </c>
      <c r="V62" s="300" t="s">
        <v>576</v>
      </c>
      <c r="X62" s="165" t="s">
        <v>375</v>
      </c>
      <c r="Y62" s="166" t="s">
        <v>376</v>
      </c>
      <c r="Z62" s="166" t="s">
        <v>377</v>
      </c>
      <c r="AA62" s="167" t="s">
        <v>378</v>
      </c>
    </row>
    <row r="63" spans="1:29" ht="21" thickBot="1" x14ac:dyDescent="0.35">
      <c r="B63" s="8"/>
      <c r="C63" s="201">
        <v>1</v>
      </c>
      <c r="D63" s="202" t="s">
        <v>20</v>
      </c>
      <c r="E63" s="182">
        <f>SUM(G4,G5,G8,G9,G14,G15:G16,G17,G18,G22,G26,G27,G30,G31,G32,G33)</f>
        <v>54836</v>
      </c>
      <c r="F63" s="183">
        <f>SUM(K4,K5,K8,K9,K13,K15,K17,K21,K26,K27,K30,K32)</f>
        <v>9762</v>
      </c>
      <c r="G63" s="184">
        <f>SUM(F4,F5,F8,F9,F14,F15:F16,F17,F18,F22,F26,F27,F30,F31,F32,F33)</f>
        <v>3746.47</v>
      </c>
      <c r="H63" s="184">
        <f>SUM(H4,H5,H8,H9,H14,H15:H16,H17,H18,H22,H26,H27,H30,H31,H32,H33)</f>
        <v>3716.4560000000006</v>
      </c>
      <c r="I63" s="97">
        <f t="shared" ref="I63:I68" si="1">(G63-H63)/G63</f>
        <v>8.0112746131689866E-3</v>
      </c>
      <c r="J63" s="397">
        <f>(E63+G6+G7+G10+G11+G13+G19+G21)*24/(F63/60)/17000</f>
        <v>0.57725297371560802</v>
      </c>
      <c r="K63" s="307">
        <f>AVERAGE(January_17!J65,February_17!J65,March_17!J66,April_17!J66,May_17!J66,'June_17 '!J66,July_17!J64,'Aug_17 '!J64,Sep_17!J64,October_17!J63,November_17!J63,'December_17 '!J63)</f>
        <v>0.64103728226614887</v>
      </c>
      <c r="O63"/>
      <c r="P63" s="253">
        <f>T80</f>
        <v>8.337164180555804E-3</v>
      </c>
      <c r="Q63" s="254"/>
      <c r="R63" s="255">
        <f>((January_17!Q60*January_17!$G$60)+(February_17!R60*February_17!$G$60)+(March_17!R60*March_17!$G$60)+(April_17!R60*April_17!$G$60)+(May_17!S60*May_17!$G$60)+('June_17 '!S60*'June_17 '!$G$60)+(July_17!S58*July_17!$G$58)+('Aug_17 '!S58*'Aug_17 '!$G$58)+(Sep_17!R58*Sep_17!$G$58)+(October_17!R57*October_17!$G$57)+('December_17 '!R57*'December_17 '!$G$57))/($G$60)</f>
        <v>0.64227451409841008</v>
      </c>
      <c r="S63" s="255">
        <f>((January_17!R60*January_17!$G$60)+(February_17!S60*February_17!$G$60)+(March_17!S60*March_17!$G$60)+(April_17!S60*April_17!$G$60)+(May_17!T60*May_17!$G$60)+('June_17 '!T60*'June_17 '!$G$60)+(July_17!T58*July_17!$G$58)+('Aug_17 '!T58*'Aug_17 '!$G$58)+(Sep_17!S58*Sep_17!$G$58)+(October_17!S57*October_17!$G$57)+(November_17!S57*November_17!$G$57)+('December_17 '!S57*'December_17 '!$G$57))/($G$60)</f>
        <v>0.63167763048358649</v>
      </c>
      <c r="T63" s="254">
        <f>T79</f>
        <v>0.68290322280735538</v>
      </c>
      <c r="U63" s="257">
        <f>U79</f>
        <v>0.60256166718296067</v>
      </c>
      <c r="V63" s="301">
        <f>AVERAGE(January_17!U60,February_17!W60,March_17!W60,April_17!W60,May_17!X60,'June_17 '!X60,July_17!W58,'Aug_17 '!W58,Sep_17!V58,October_17!V57,November_17!V57,'December_17 '!V57)</f>
        <v>0.79699657882716757</v>
      </c>
      <c r="X63" s="176" t="s">
        <v>370</v>
      </c>
      <c r="Y63" s="178"/>
      <c r="Z63" s="178">
        <f>[5]December_2017!F85</f>
        <v>7.7328616360357372E-2</v>
      </c>
      <c r="AA63" s="179">
        <f>[5]YearToDate!F5</f>
        <v>5.7508070397275124E-2</v>
      </c>
    </row>
    <row r="64" spans="1:29" s="1" customFormat="1" ht="18.75" thickTop="1" x14ac:dyDescent="0.25">
      <c r="B64" s="8"/>
      <c r="C64" s="203">
        <v>2</v>
      </c>
      <c r="D64" s="204" t="s">
        <v>21</v>
      </c>
      <c r="E64" s="182">
        <f>SUM(G19,G25)</f>
        <v>11565</v>
      </c>
      <c r="F64" s="183">
        <f>SUM(K17,K25)</f>
        <v>2025</v>
      </c>
      <c r="G64" s="184">
        <f>SUM(F19,F25)</f>
        <v>745.90000000000009</v>
      </c>
      <c r="H64" s="184">
        <f>SUM(H19,H25)</f>
        <v>763.29</v>
      </c>
      <c r="I64" s="97">
        <f t="shared" si="1"/>
        <v>-2.3314117173883726E-2</v>
      </c>
      <c r="J64" s="397">
        <f>(E64+G17+G18)*24/(F64/60)/17000</f>
        <v>0.62891503267973847</v>
      </c>
      <c r="K64" s="307">
        <f>AVERAGE(January_17!J66,February_17!J66,March_17!J67,April_17!J67,May_17!J67,'June_17 '!J67,July_17!J65,'Aug_17 '!J65,Sep_17!J65,October_17!J64,November_17!J64,'December_17 '!J64)</f>
        <v>0.61277536535889532</v>
      </c>
      <c r="L64"/>
      <c r="M64"/>
      <c r="N64" s="392"/>
      <c r="O64" s="2"/>
      <c r="S64"/>
      <c r="T64"/>
      <c r="U64"/>
      <c r="W64"/>
      <c r="X64" s="213" t="s">
        <v>371</v>
      </c>
      <c r="Y64" s="180">
        <f>[5]December_2017!$F$53</f>
        <v>8.2744702320887986E-2</v>
      </c>
      <c r="Z64" s="215">
        <f>[5]December_2017!F86</f>
        <v>7.5131368091529094E-2</v>
      </c>
      <c r="AA64" s="214">
        <f>[5]YearToDate!F6</f>
        <v>7.4495145412179109E-2</v>
      </c>
      <c r="AB64"/>
    </row>
    <row r="65" spans="2:28" s="1" customFormat="1" ht="18" x14ac:dyDescent="0.25">
      <c r="B65" s="8"/>
      <c r="C65" s="201">
        <v>3</v>
      </c>
      <c r="D65" s="204" t="s">
        <v>124</v>
      </c>
      <c r="E65" s="182"/>
      <c r="F65" s="183"/>
      <c r="G65" s="184"/>
      <c r="H65" s="184"/>
      <c r="I65" s="396" t="e">
        <f t="shared" si="1"/>
        <v>#DIV/0!</v>
      </c>
      <c r="J65" s="397" t="e">
        <f>(E65)*24/(F65/60)/17000</f>
        <v>#DIV/0!</v>
      </c>
      <c r="K65" s="310" t="e">
        <f>AVERAGE(January_17!J67,February_17!J67,March_17!J68,April_17!J68,May_17!J68,'June_17 '!J68,July_17!J66,'Aug_17 '!J66,Sep_17!J66,October_17!J65,November_17!J65,'December_17 '!J65)</f>
        <v>#DIV/0!</v>
      </c>
      <c r="L65"/>
      <c r="M65"/>
      <c r="N65" s="392"/>
      <c r="O65" s="2"/>
      <c r="S65"/>
      <c r="T65"/>
      <c r="U65"/>
      <c r="W65"/>
      <c r="X65" s="177" t="s">
        <v>372</v>
      </c>
      <c r="Y65" s="217"/>
      <c r="Z65" s="180">
        <f>[5]December_2017!F87</f>
        <v>7.4349480229018258E-2</v>
      </c>
      <c r="AA65" s="181">
        <f>[5]YearToDate!F7</f>
        <v>5.2359214885581859E-2</v>
      </c>
      <c r="AB65"/>
    </row>
    <row r="66" spans="2:28" s="1" customFormat="1" ht="18" x14ac:dyDescent="0.25">
      <c r="B66" s="8"/>
      <c r="C66" s="203">
        <v>4</v>
      </c>
      <c r="D66" s="204" t="s">
        <v>18</v>
      </c>
      <c r="E66" s="400">
        <f>SUM(G11,G12,G13,G20,G21,G23)</f>
        <v>18445</v>
      </c>
      <c r="F66" s="183">
        <f>SUM(K9,K12,K13,K20,K21,K23)</f>
        <v>5133</v>
      </c>
      <c r="G66" s="184">
        <f>SUM(F11,F12,F13,F20,F21,F23)</f>
        <v>1321.6000000000001</v>
      </c>
      <c r="H66" s="184">
        <f>SUM(H11,H12,H13,H20,H21,H23)</f>
        <v>1309.2072000000001</v>
      </c>
      <c r="I66" s="97">
        <f t="shared" si="1"/>
        <v>9.3771186440678549E-3</v>
      </c>
      <c r="J66" s="397">
        <f>(E66+G9+G10+G14+G22+G24)*24/(F66/60)/17000</f>
        <v>0.48254134149276318</v>
      </c>
      <c r="K66" s="307">
        <f>AVERAGE(January_17!J68,February_17!J68,March_17!J69,April_17!J69,May_17!J69,'June_17 '!J69,July_17!J67,'Aug_17 '!J67,Sep_17!J67,October_17!J66,November_17!J66,'December_17 '!J66)</f>
        <v>0.64560209872692031</v>
      </c>
      <c r="L66"/>
      <c r="M66"/>
      <c r="N66" s="392"/>
      <c r="O66" s="2"/>
      <c r="P66" s="159"/>
      <c r="Q66" s="159"/>
      <c r="R66" s="159"/>
      <c r="S66" s="160"/>
      <c r="T66" s="160"/>
      <c r="U66" s="161"/>
      <c r="V66" s="234"/>
      <c r="W66"/>
      <c r="X66" s="213" t="s">
        <v>373</v>
      </c>
      <c r="Y66" s="384"/>
      <c r="Z66" s="215">
        <f>[5]December_2017!F88</f>
        <v>7.2417479400687462E-2</v>
      </c>
      <c r="AA66" s="214">
        <f>[5]YearToDate!F8</f>
        <v>5.4903170815414681E-2</v>
      </c>
    </row>
    <row r="67" spans="2:28" s="1" customFormat="1" ht="18" x14ac:dyDescent="0.25">
      <c r="B67" s="8"/>
      <c r="C67" s="201">
        <v>5</v>
      </c>
      <c r="D67" s="205" t="s">
        <v>26</v>
      </c>
      <c r="E67" s="182">
        <f>SUM(G6,G7,G10,G24)</f>
        <v>6060</v>
      </c>
      <c r="F67" s="183">
        <f>SUM(K5,K8,K9,K23)</f>
        <v>3364</v>
      </c>
      <c r="G67" s="184">
        <f>SUM(F6,F7,F10,F24)</f>
        <v>412.90000000000003</v>
      </c>
      <c r="H67" s="184">
        <f>SUM(H6,H7,H10,H24)</f>
        <v>399.96</v>
      </c>
      <c r="I67" s="97">
        <f t="shared" si="1"/>
        <v>3.1339307338338708E-2</v>
      </c>
      <c r="J67" s="397">
        <f>(E67+G5+G9+G11+G23)*24/(F67/60)/17000</f>
        <v>0.37953976358676644</v>
      </c>
      <c r="K67" s="307">
        <f>AVERAGE(January_17!J69,February_17!J69,March_17!J70,April_17!J70,May_17!J70,'June_17 '!J70,July_17!J68,'Aug_17 '!J68,Sep_17!J68,October_17!J67,November_17!J67,'December_17 '!J67)</f>
        <v>0.59307156678031148</v>
      </c>
      <c r="L67"/>
      <c r="M67"/>
      <c r="N67" s="392"/>
      <c r="O67" s="2"/>
      <c r="P67" s="159"/>
      <c r="R67" s="8"/>
      <c r="S67"/>
      <c r="T67"/>
      <c r="U67" s="6"/>
      <c r="V67" s="10"/>
      <c r="W67"/>
      <c r="X67" s="177" t="s">
        <v>374</v>
      </c>
      <c r="Y67" s="217">
        <f>[5]December_2017!$F$52</f>
        <v>0.11980047941342357</v>
      </c>
      <c r="Z67" s="180">
        <f>[5]December_2017!F89</f>
        <v>9.8039091275367932E-2</v>
      </c>
      <c r="AA67" s="181">
        <f>[5]YearToDate!F9</f>
        <v>7.6171674114030377E-2</v>
      </c>
    </row>
    <row r="68" spans="2:28" s="1" customFormat="1" ht="18.75" thickBot="1" x14ac:dyDescent="0.3">
      <c r="B68" s="8"/>
      <c r="C68" s="203">
        <v>6</v>
      </c>
      <c r="D68" s="205" t="s">
        <v>25</v>
      </c>
      <c r="E68" s="192"/>
      <c r="F68" s="193"/>
      <c r="G68" s="194"/>
      <c r="H68" s="194"/>
      <c r="I68" s="396" t="e">
        <f t="shared" si="1"/>
        <v>#DIV/0!</v>
      </c>
      <c r="J68" s="397" t="e">
        <f>(E68)*24/(F68/60)/17000</f>
        <v>#DIV/0!</v>
      </c>
      <c r="K68" s="310" t="e">
        <f>AVERAGE(January_17!J70,February_17!J70,March_17!J71,April_17!J71,May_17!J71,'June_17 '!J71,July_17!J69,'Aug_17 '!J69,Sep_17!J69,October_17!J68,November_17!J68,'December_17 '!J68)</f>
        <v>#DIV/0!</v>
      </c>
      <c r="L68"/>
      <c r="M68"/>
      <c r="N68" s="392"/>
      <c r="O68" s="2"/>
      <c r="P68" s="159"/>
      <c r="S68"/>
      <c r="T68"/>
      <c r="U68"/>
      <c r="W68"/>
      <c r="X68" s="218" t="s">
        <v>25</v>
      </c>
      <c r="Y68" s="219"/>
      <c r="Z68" s="302" t="e">
        <f>[5]December_2017!F90</f>
        <v>#DIV/0!</v>
      </c>
      <c r="AA68" s="220">
        <f>[5]YearToDate!F10</f>
        <v>4.5790074270967041E-2</v>
      </c>
    </row>
    <row r="69" spans="2:28" s="1" customFormat="1" ht="19.5" thickTop="1" thickBot="1" x14ac:dyDescent="0.3">
      <c r="C69" s="112"/>
      <c r="D69" s="195" t="s">
        <v>22</v>
      </c>
      <c r="E69" s="196">
        <f>SUM(E63:E68)</f>
        <v>90906</v>
      </c>
      <c r="F69" s="197">
        <f>K57</f>
        <v>15520</v>
      </c>
      <c r="G69" s="198">
        <f>SUM(G63:G68)</f>
        <v>6226.87</v>
      </c>
      <c r="H69" s="198">
        <f>SUM(H63:H68)</f>
        <v>6188.9132000000009</v>
      </c>
      <c r="I69" s="199">
        <f>((G69)-(H69))/(G69)</f>
        <v>6.0956467695646487E-3</v>
      </c>
      <c r="J69" s="200">
        <f>E69*24/((F69)/60)/17000</f>
        <v>0.49615160703456634</v>
      </c>
      <c r="K69" s="308">
        <f>U63</f>
        <v>0.60256166718296067</v>
      </c>
      <c r="L69"/>
      <c r="M69"/>
      <c r="N69" s="392"/>
      <c r="O69" s="139"/>
      <c r="P69" s="159"/>
      <c r="S69"/>
      <c r="T69"/>
      <c r="U69"/>
      <c r="W69"/>
      <c r="X69" s="221" t="s">
        <v>379</v>
      </c>
      <c r="Y69" s="222">
        <f>AVERAGE(Y63:Y68)</f>
        <v>0.10127259086715579</v>
      </c>
      <c r="Z69" s="222">
        <f>[5]December_2017!$F$92</f>
        <v>7.8054625475699663E-2</v>
      </c>
      <c r="AA69" s="223">
        <f>[5]YearToDate!$F$12</f>
        <v>5.7449685942507892E-2</v>
      </c>
    </row>
    <row r="70" spans="2:28" s="1" customFormat="1" ht="18.75" thickTop="1" x14ac:dyDescent="0.25">
      <c r="C70" s="311"/>
      <c r="D70" s="153"/>
      <c r="E70" s="312"/>
      <c r="F70" s="313"/>
      <c r="G70" s="314"/>
      <c r="H70" s="314"/>
      <c r="I70" s="315"/>
      <c r="J70" s="315"/>
      <c r="K70" s="315"/>
      <c r="L70"/>
      <c r="M70"/>
      <c r="N70" s="392"/>
      <c r="O70" s="139"/>
      <c r="P70" s="159"/>
      <c r="S70"/>
      <c r="T70"/>
      <c r="U70"/>
      <c r="W70"/>
      <c r="X70" s="316"/>
      <c r="Y70" s="317"/>
      <c r="Z70" s="317"/>
      <c r="AA70" s="317"/>
    </row>
    <row r="71" spans="2:28" s="1" customFormat="1" ht="18" x14ac:dyDescent="0.25">
      <c r="C71" s="311"/>
      <c r="D71" s="153"/>
      <c r="E71" s="312"/>
      <c r="F71" s="313"/>
      <c r="G71" s="314"/>
      <c r="H71" s="314"/>
      <c r="I71" s="315"/>
      <c r="J71" s="315"/>
      <c r="K71" s="315"/>
      <c r="L71"/>
      <c r="M71"/>
      <c r="N71" s="392"/>
      <c r="O71" s="139"/>
      <c r="P71" s="159"/>
      <c r="S71"/>
      <c r="T71"/>
      <c r="U71"/>
      <c r="W71"/>
      <c r="X71" s="316"/>
      <c r="Y71" s="317"/>
      <c r="Z71" s="317"/>
      <c r="AA71" s="317"/>
    </row>
    <row r="72" spans="2:28" s="1" customFormat="1" ht="27" hidden="1" customHeight="1" thickBot="1" x14ac:dyDescent="0.4">
      <c r="C72" s="311"/>
      <c r="D72" s="1125" t="s">
        <v>618</v>
      </c>
      <c r="E72" s="1125"/>
      <c r="F72" s="1125"/>
      <c r="G72" s="1125"/>
      <c r="H72" s="1125"/>
      <c r="I72" s="1125"/>
      <c r="J72" s="1125"/>
      <c r="K72" s="1125"/>
      <c r="L72" s="1125"/>
      <c r="M72" s="1125"/>
      <c r="N72" s="1125"/>
      <c r="O72" s="1125"/>
      <c r="P72" s="1125"/>
      <c r="S72"/>
      <c r="T72"/>
      <c r="U72"/>
      <c r="W72"/>
      <c r="X72" s="316"/>
      <c r="Y72" s="317"/>
      <c r="Z72" s="317"/>
      <c r="AA72" s="317"/>
    </row>
    <row r="73" spans="2:28" s="1" customFormat="1" ht="24" hidden="1" customHeight="1" thickBot="1" x14ac:dyDescent="0.4">
      <c r="C73" s="322"/>
      <c r="D73" s="332" t="s">
        <v>605</v>
      </c>
      <c r="E73" s="333" t="s">
        <v>606</v>
      </c>
      <c r="F73" s="334" t="s">
        <v>607</v>
      </c>
      <c r="G73" s="333" t="s">
        <v>608</v>
      </c>
      <c r="H73" s="334" t="s">
        <v>609</v>
      </c>
      <c r="I73" s="333" t="s">
        <v>610</v>
      </c>
      <c r="J73" s="334" t="s">
        <v>611</v>
      </c>
      <c r="K73" s="333" t="s">
        <v>612</v>
      </c>
      <c r="L73" s="333" t="s">
        <v>613</v>
      </c>
      <c r="M73" s="333" t="s">
        <v>614</v>
      </c>
      <c r="N73" s="334" t="s">
        <v>615</v>
      </c>
      <c r="O73" s="335" t="s">
        <v>616</v>
      </c>
      <c r="P73" s="329" t="s">
        <v>617</v>
      </c>
      <c r="S73"/>
      <c r="T73"/>
      <c r="U73"/>
      <c r="W73"/>
    </row>
    <row r="74" spans="2:28" s="1" customFormat="1" ht="23.25" hidden="1" customHeight="1" x14ac:dyDescent="0.35">
      <c r="C74" s="330">
        <v>2016</v>
      </c>
      <c r="D74" s="324">
        <f>[6]Jan!$I$57</f>
        <v>7</v>
      </c>
      <c r="E74" s="325">
        <f>[6]Feb!$I$57</f>
        <v>9</v>
      </c>
      <c r="F74" s="326">
        <f>[6]Mar!$I$57</f>
        <v>8</v>
      </c>
      <c r="G74" s="325">
        <f>[6]Apr!$I$57</f>
        <v>12</v>
      </c>
      <c r="H74" s="326">
        <f>[6]May!$I$57</f>
        <v>11</v>
      </c>
      <c r="I74" s="325">
        <f>[6]Jun!$I$57</f>
        <v>10</v>
      </c>
      <c r="J74" s="326">
        <f>[6]Jul!$I$57</f>
        <v>12</v>
      </c>
      <c r="K74" s="325">
        <f>[6]Aug!$I$57</f>
        <v>9</v>
      </c>
      <c r="L74" s="325">
        <f>[6]Sep!$I$57</f>
        <v>13</v>
      </c>
      <c r="M74" s="325">
        <f>[6]Oct!$I$57</f>
        <v>5</v>
      </c>
      <c r="N74" s="326">
        <f>[6]Nov!$I$57</f>
        <v>9</v>
      </c>
      <c r="O74" s="327">
        <f>[6]Dec!$I$57</f>
        <v>14</v>
      </c>
      <c r="P74" s="328">
        <f>SUM(D74:O74)</f>
        <v>119</v>
      </c>
      <c r="S74"/>
      <c r="T74"/>
      <c r="U74"/>
      <c r="W74"/>
    </row>
    <row r="75" spans="2:28" s="1" customFormat="1" ht="24" hidden="1" customHeight="1" thickBot="1" x14ac:dyDescent="0.4">
      <c r="C75" s="331">
        <v>2017</v>
      </c>
      <c r="D75" s="321">
        <f>[4]Jan!$I$57</f>
        <v>13</v>
      </c>
      <c r="E75" s="318">
        <f>[4]Feb!$I$57</f>
        <v>8</v>
      </c>
      <c r="F75" s="318">
        <f>[4]Mar!$I$57</f>
        <v>12</v>
      </c>
      <c r="G75" s="318">
        <f>[4]Apr!$I$57</f>
        <v>5</v>
      </c>
      <c r="H75" s="318">
        <f>[4]May!$I$57</f>
        <v>11</v>
      </c>
      <c r="I75" s="318">
        <f>[4]Jun!$I$57</f>
        <v>13</v>
      </c>
      <c r="J75" s="318">
        <f>[4]Jul!$I$57</f>
        <v>9</v>
      </c>
      <c r="K75" s="318">
        <f>[4]Aug!$I$57</f>
        <v>15</v>
      </c>
      <c r="L75" s="318">
        <f>[4]Sep!$I$57</f>
        <v>8</v>
      </c>
      <c r="M75" s="318">
        <f>[4]Oct!$I$57</f>
        <v>12</v>
      </c>
      <c r="N75" s="318">
        <f>[4]Nov!$I$57</f>
        <v>18</v>
      </c>
      <c r="O75" s="398">
        <f>[4]Dec!$I$57</f>
        <v>14</v>
      </c>
      <c r="P75" s="323">
        <f>SUM(D75:O75)</f>
        <v>138</v>
      </c>
      <c r="S75"/>
      <c r="T75"/>
      <c r="U75"/>
      <c r="W75" s="9"/>
    </row>
    <row r="76" spans="2:28" s="1" customFormat="1" ht="20.25" hidden="1" customHeight="1" x14ac:dyDescent="0.3">
      <c r="C76" s="371" t="s">
        <v>619</v>
      </c>
      <c r="D76" s="372">
        <f>+(D75-D74)/D74</f>
        <v>0.8571428571428571</v>
      </c>
      <c r="E76" s="372">
        <f t="shared" ref="E76:O76" si="2">+(E75-E74)/E74</f>
        <v>-0.1111111111111111</v>
      </c>
      <c r="F76" s="372">
        <f t="shared" si="2"/>
        <v>0.5</v>
      </c>
      <c r="G76" s="372">
        <f t="shared" si="2"/>
        <v>-0.58333333333333337</v>
      </c>
      <c r="H76" s="372">
        <f t="shared" si="2"/>
        <v>0</v>
      </c>
      <c r="I76" s="372">
        <f t="shared" si="2"/>
        <v>0.3</v>
      </c>
      <c r="J76" s="372">
        <f t="shared" si="2"/>
        <v>-0.25</v>
      </c>
      <c r="K76" s="372">
        <f t="shared" si="2"/>
        <v>0.66666666666666663</v>
      </c>
      <c r="L76" s="372">
        <f t="shared" si="2"/>
        <v>-0.38461538461538464</v>
      </c>
      <c r="M76" s="372">
        <f t="shared" si="2"/>
        <v>1.4</v>
      </c>
      <c r="N76" s="372">
        <f t="shared" si="2"/>
        <v>1</v>
      </c>
      <c r="O76" s="372">
        <f t="shared" si="2"/>
        <v>0</v>
      </c>
      <c r="P76" s="373">
        <f>+(P75-P74)/P74</f>
        <v>0.15966386554621848</v>
      </c>
      <c r="W76" s="9"/>
    </row>
    <row r="77" spans="2:28" s="1" customFormat="1" ht="12.75" hidden="1" customHeight="1" x14ac:dyDescent="0.2">
      <c r="J77"/>
      <c r="K77"/>
      <c r="L77"/>
      <c r="M77"/>
      <c r="N77" s="392"/>
      <c r="O77" s="2"/>
      <c r="W77" s="9"/>
    </row>
    <row r="78" spans="2:28" s="1" customFormat="1" ht="12.75" hidden="1" customHeight="1" thickBot="1" x14ac:dyDescent="0.25">
      <c r="J78"/>
      <c r="K78"/>
      <c r="L78"/>
      <c r="M78"/>
      <c r="N78" s="392"/>
      <c r="O78" s="2"/>
      <c r="S78"/>
      <c r="T78"/>
      <c r="U78"/>
      <c r="W78" s="9"/>
    </row>
    <row r="79" spans="2:28" s="1" customFormat="1" ht="21" hidden="1" customHeight="1" thickBot="1" x14ac:dyDescent="0.25">
      <c r="J79"/>
      <c r="K79"/>
      <c r="L79"/>
      <c r="M79"/>
      <c r="N79" s="392"/>
      <c r="O79" s="2"/>
      <c r="P79" s="3">
        <f>G60</f>
        <v>1071183.5</v>
      </c>
      <c r="R79" s="3">
        <f>SUM(January_17!K60,February_17!K60,March_17!K60:K60,April_17!K60,May_17!K60,'June_17 '!K60,July_17!K58,'Aug_17 '!K58,Sep_17!K58,October_17!K57,November_17!K57,'December_17 '!K57)-249</f>
        <v>150583</v>
      </c>
      <c r="S79"/>
      <c r="T79" s="63">
        <f>(P79)*24/(R79/60)/15000</f>
        <v>0.68290322280735538</v>
      </c>
      <c r="U79" s="128">
        <f>(P79)*24/(R79/60)/17000</f>
        <v>0.60256166718296067</v>
      </c>
      <c r="V79" s="230"/>
      <c r="W79" s="9"/>
    </row>
    <row r="80" spans="2:28" s="1" customFormat="1" ht="21" hidden="1" customHeight="1" thickTop="1" thickBot="1" x14ac:dyDescent="0.35">
      <c r="J80"/>
      <c r="K80"/>
      <c r="L80"/>
      <c r="M80"/>
      <c r="N80" s="392"/>
      <c r="O80" s="2"/>
      <c r="P80" s="140">
        <f>SUM(January_17!F60,February_17!F60,March_17!F60,April_17!F60,May_17!F60,'June_17 '!F60,July_17!F58,'Aug_17 '!F58,Sep_17!F58,October_17!F57,November_17!F57,'December_17 '!F57)</f>
        <v>73196.879754013615</v>
      </c>
      <c r="R80" s="140">
        <f>SUM(January_17!H60,February_17!H60,March_17!H60,April_17!H60,May_17!H60,'June_17 '!H60,July_17!H58,'Aug_17 '!H58,Sep_17!H58,October_17!H57,November_17!H57,'December_17 '!H57)</f>
        <v>72586.625350000002</v>
      </c>
      <c r="S80"/>
      <c r="T80" s="87">
        <f>(P80-R80)/P80</f>
        <v>8.337164180555804E-3</v>
      </c>
      <c r="U80"/>
      <c r="W80" s="9"/>
    </row>
    <row r="81" spans="2:23" s="1" customFormat="1" ht="13.5" hidden="1" customHeight="1" thickTop="1" x14ac:dyDescent="0.2">
      <c r="J81"/>
      <c r="K81"/>
      <c r="L81"/>
      <c r="M81"/>
      <c r="N81" s="392"/>
      <c r="O81" s="2"/>
      <c r="S81"/>
      <c r="T81"/>
      <c r="U81"/>
      <c r="W81" s="9"/>
    </row>
    <row r="82" spans="2:23" s="1" customFormat="1" ht="20.25" hidden="1" customHeight="1" x14ac:dyDescent="0.2">
      <c r="C82" s="1109" t="s">
        <v>620</v>
      </c>
      <c r="D82" s="1109"/>
      <c r="E82" s="1109"/>
      <c r="F82" s="1109"/>
      <c r="G82" s="1109"/>
      <c r="H82" s="1109"/>
      <c r="I82" s="1109"/>
      <c r="J82" s="1109"/>
      <c r="K82" s="1109"/>
      <c r="L82" s="1109"/>
      <c r="M82" s="1109"/>
      <c r="N82" s="1109"/>
      <c r="O82" s="1109"/>
      <c r="P82" s="1109"/>
      <c r="Q82"/>
      <c r="S82"/>
      <c r="T82"/>
      <c r="U82"/>
      <c r="W82" s="9"/>
    </row>
    <row r="83" spans="2:23" s="1" customFormat="1" ht="21.75" hidden="1" customHeight="1" thickBot="1" x14ac:dyDescent="0.3">
      <c r="C83" s="1109"/>
      <c r="D83" s="1109"/>
      <c r="E83" s="1109"/>
      <c r="F83" s="1109"/>
      <c r="G83" s="1109"/>
      <c r="H83" s="1109"/>
      <c r="I83" s="1109"/>
      <c r="J83" s="1109"/>
      <c r="K83" s="1109"/>
      <c r="L83" s="1109"/>
      <c r="M83" s="1109"/>
      <c r="N83" s="1109"/>
      <c r="O83" s="1109"/>
      <c r="P83" s="1109"/>
      <c r="Q83" s="336"/>
      <c r="S83"/>
      <c r="T83"/>
      <c r="U83"/>
      <c r="W83" s="9"/>
    </row>
    <row r="84" spans="2:23" s="1" customFormat="1" ht="21" hidden="1" customHeight="1" thickBot="1" x14ac:dyDescent="0.35">
      <c r="C84" s="351"/>
      <c r="D84" s="352" t="s">
        <v>605</v>
      </c>
      <c r="E84" s="353" t="s">
        <v>606</v>
      </c>
      <c r="F84" s="353" t="s">
        <v>607</v>
      </c>
      <c r="G84" s="353" t="s">
        <v>608</v>
      </c>
      <c r="H84" s="353" t="s">
        <v>609</v>
      </c>
      <c r="I84" s="353" t="s">
        <v>610</v>
      </c>
      <c r="J84" s="353" t="s">
        <v>611</v>
      </c>
      <c r="K84" s="353" t="s">
        <v>612</v>
      </c>
      <c r="L84" s="353" t="s">
        <v>613</v>
      </c>
      <c r="M84" s="353" t="s">
        <v>614</v>
      </c>
      <c r="N84" s="394" t="s">
        <v>615</v>
      </c>
      <c r="O84" s="354" t="s">
        <v>616</v>
      </c>
      <c r="P84" s="355" t="s">
        <v>379</v>
      </c>
      <c r="Q84" s="336"/>
      <c r="S84"/>
      <c r="T84"/>
      <c r="U84"/>
      <c r="W84" s="9"/>
    </row>
    <row r="85" spans="2:23" s="1" customFormat="1" ht="21" hidden="1" customHeight="1" thickBot="1" x14ac:dyDescent="0.35">
      <c r="C85" s="356">
        <v>2016</v>
      </c>
      <c r="D85" s="357">
        <v>257</v>
      </c>
      <c r="E85" s="358">
        <v>234</v>
      </c>
      <c r="F85" s="358">
        <v>300</v>
      </c>
      <c r="G85" s="358">
        <v>547</v>
      </c>
      <c r="H85" s="358">
        <v>196</v>
      </c>
      <c r="I85" s="358">
        <v>373</v>
      </c>
      <c r="J85" s="359">
        <f>[6]Jul!$I$54</f>
        <v>480</v>
      </c>
      <c r="K85" s="359">
        <f>[6]Aug!$I$54</f>
        <v>300</v>
      </c>
      <c r="L85" s="359">
        <f>[6]Sep!$I$54</f>
        <v>370</v>
      </c>
      <c r="M85" s="359">
        <f>[6]Oct!$I$54</f>
        <v>74</v>
      </c>
      <c r="N85" s="359">
        <f>[6]Nov!$I54</f>
        <v>263</v>
      </c>
      <c r="O85" s="360">
        <f>[6]Dec!$I$54</f>
        <v>434</v>
      </c>
      <c r="P85" s="361">
        <f>SUM(D85:K85)</f>
        <v>2687</v>
      </c>
      <c r="Q85" s="336"/>
      <c r="S85"/>
      <c r="T85"/>
      <c r="U85"/>
      <c r="W85" s="9"/>
    </row>
    <row r="86" spans="2:23" s="1" customFormat="1" ht="21" hidden="1" customHeight="1" thickBot="1" x14ac:dyDescent="0.35">
      <c r="C86" s="362">
        <v>2017</v>
      </c>
      <c r="D86" s="363">
        <f>436</f>
        <v>436</v>
      </c>
      <c r="E86" s="364">
        <v>148</v>
      </c>
      <c r="F86" s="364">
        <f>316</f>
        <v>316</v>
      </c>
      <c r="G86" s="364">
        <v>314</v>
      </c>
      <c r="H86" s="364">
        <v>259</v>
      </c>
      <c r="I86" s="365">
        <f>[4]Jun!$I$54</f>
        <v>558</v>
      </c>
      <c r="J86" s="365">
        <f>[4]Jul!$I$54</f>
        <v>220</v>
      </c>
      <c r="K86" s="365">
        <f>[4]Aug!$I$54</f>
        <v>441</v>
      </c>
      <c r="L86" s="365">
        <f>[4]Sep!$I$54</f>
        <v>191</v>
      </c>
      <c r="M86" s="365">
        <f>[4]Oct!$I$54</f>
        <v>592</v>
      </c>
      <c r="N86" s="365">
        <f>[4]Nov!$I$54</f>
        <v>543</v>
      </c>
      <c r="O86" s="366">
        <f>[4]Dec!$I$54</f>
        <v>647</v>
      </c>
      <c r="P86" s="367">
        <f>SUM(D86:O86)</f>
        <v>4665</v>
      </c>
      <c r="Q86" s="336"/>
      <c r="S86"/>
      <c r="T86"/>
      <c r="U86"/>
      <c r="W86" s="9"/>
    </row>
    <row r="87" spans="2:23" s="1" customFormat="1" ht="20.25" hidden="1" customHeight="1" x14ac:dyDescent="0.3">
      <c r="C87" s="371" t="s">
        <v>619</v>
      </c>
      <c r="D87" s="372">
        <f t="shared" ref="D87:O87" si="3">+(D86-D85)/D85</f>
        <v>0.69649805447470814</v>
      </c>
      <c r="E87" s="372">
        <f t="shared" si="3"/>
        <v>-0.36752136752136755</v>
      </c>
      <c r="F87" s="372">
        <f t="shared" si="3"/>
        <v>5.3333333333333337E-2</v>
      </c>
      <c r="G87" s="372">
        <f t="shared" si="3"/>
        <v>-0.42595978062157219</v>
      </c>
      <c r="H87" s="372">
        <f t="shared" si="3"/>
        <v>0.32142857142857145</v>
      </c>
      <c r="I87" s="372">
        <f t="shared" si="3"/>
        <v>0.49597855227882037</v>
      </c>
      <c r="J87" s="372">
        <f t="shared" si="3"/>
        <v>-0.54166666666666663</v>
      </c>
      <c r="K87" s="372">
        <f t="shared" si="3"/>
        <v>0.47</v>
      </c>
      <c r="L87" s="372">
        <f t="shared" si="3"/>
        <v>-0.48378378378378378</v>
      </c>
      <c r="M87" s="372">
        <f t="shared" si="3"/>
        <v>7</v>
      </c>
      <c r="N87" s="372">
        <f t="shared" si="3"/>
        <v>1.064638783269962</v>
      </c>
      <c r="O87" s="372">
        <f t="shared" si="3"/>
        <v>0.49078341013824883</v>
      </c>
      <c r="P87" s="373">
        <f>+(P86-P85)/P85</f>
        <v>0.73613695571269078</v>
      </c>
      <c r="Q87" s="337" t="s">
        <v>621</v>
      </c>
      <c r="S87"/>
      <c r="T87"/>
      <c r="U87"/>
      <c r="W87" s="9"/>
    </row>
    <row r="88" spans="2:23" s="1" customFormat="1" x14ac:dyDescent="0.2">
      <c r="J88"/>
      <c r="K88"/>
      <c r="L88"/>
      <c r="M88"/>
      <c r="N88" s="392"/>
      <c r="O88" s="2"/>
      <c r="S88"/>
      <c r="T88"/>
      <c r="U88"/>
      <c r="W88"/>
    </row>
    <row r="89" spans="2:23" s="1" customFormat="1" x14ac:dyDescent="0.2">
      <c r="J89"/>
      <c r="K89"/>
      <c r="L89"/>
      <c r="M89"/>
      <c r="N89" s="392"/>
      <c r="O89" s="2"/>
      <c r="S89"/>
      <c r="T89"/>
      <c r="U89"/>
      <c r="W89"/>
    </row>
    <row r="90" spans="2:23" s="1" customFormat="1" ht="24" thickBot="1" x14ac:dyDescent="0.4">
      <c r="C90" s="1133" t="s">
        <v>796</v>
      </c>
      <c r="D90" s="1133"/>
      <c r="E90" s="1133"/>
      <c r="J90"/>
      <c r="K90"/>
      <c r="L90"/>
      <c r="M90"/>
      <c r="N90" s="392"/>
      <c r="O90" s="2"/>
      <c r="S90"/>
      <c r="T90"/>
      <c r="U90"/>
      <c r="W90"/>
    </row>
    <row r="91" spans="2:23" s="1" customFormat="1" ht="36.75" thickBot="1" x14ac:dyDescent="0.3">
      <c r="C91" s="417" t="s">
        <v>778</v>
      </c>
      <c r="D91" s="418" t="s">
        <v>779</v>
      </c>
      <c r="E91" s="419" t="s">
        <v>780</v>
      </c>
      <c r="F91" s="419" t="s">
        <v>797</v>
      </c>
      <c r="J91"/>
      <c r="K91"/>
      <c r="L91"/>
      <c r="M91"/>
      <c r="N91" s="392"/>
      <c r="O91" s="2"/>
      <c r="S91"/>
      <c r="T91"/>
      <c r="U91"/>
      <c r="W91"/>
    </row>
    <row r="92" spans="2:23" s="1" customFormat="1" ht="18" x14ac:dyDescent="0.25">
      <c r="B92" s="316" t="s">
        <v>3</v>
      </c>
      <c r="C92" s="428">
        <f>[4]Dec!$C$58</f>
        <v>14</v>
      </c>
      <c r="D92" s="424">
        <f>[4]Dec!$D$58</f>
        <v>32</v>
      </c>
      <c r="E92" s="420">
        <f>[4]Dec!$E$58</f>
        <v>19</v>
      </c>
      <c r="F92" s="420">
        <f>[4]Dec!$I$55</f>
        <v>10.783333333333333</v>
      </c>
      <c r="J92"/>
      <c r="K92"/>
      <c r="L92"/>
      <c r="M92"/>
      <c r="N92" s="392"/>
      <c r="O92" s="2"/>
      <c r="S92"/>
      <c r="T92"/>
      <c r="U92"/>
      <c r="W92"/>
    </row>
    <row r="93" spans="2:23" s="1" customFormat="1" ht="18.75" thickBot="1" x14ac:dyDescent="0.3">
      <c r="B93" s="316" t="s">
        <v>617</v>
      </c>
      <c r="C93" s="429">
        <f>[4]Dec!$C$65</f>
        <v>138</v>
      </c>
      <c r="D93" s="425">
        <f>[4]Dec!$D$65</f>
        <v>345</v>
      </c>
      <c r="E93" s="421">
        <f>[4]Dec!$E$65</f>
        <v>230</v>
      </c>
      <c r="F93" s="432">
        <f>[4]Dec!$F$65</f>
        <v>77.75</v>
      </c>
      <c r="J93"/>
      <c r="K93"/>
      <c r="L93"/>
      <c r="M93"/>
      <c r="N93" s="392"/>
      <c r="O93" s="2"/>
      <c r="S93"/>
      <c r="T93"/>
      <c r="U93"/>
      <c r="W93"/>
    </row>
    <row r="94" spans="2:23" s="1" customFormat="1" ht="18.75" x14ac:dyDescent="0.3">
      <c r="B94" s="316" t="s">
        <v>3</v>
      </c>
      <c r="C94" s="430" t="s">
        <v>658</v>
      </c>
      <c r="D94" s="426">
        <f>[4]Dec!$D$60</f>
        <v>1.6842105263157894</v>
      </c>
      <c r="E94" s="422">
        <f>[4]Dec!$E$60</f>
        <v>18.161403508771929</v>
      </c>
      <c r="J94"/>
      <c r="K94"/>
      <c r="L94"/>
      <c r="M94"/>
      <c r="N94" s="392"/>
      <c r="O94" s="2"/>
      <c r="S94"/>
      <c r="T94"/>
      <c r="U94"/>
      <c r="W94"/>
    </row>
    <row r="95" spans="2:23" s="1" customFormat="1" ht="19.5" thickBot="1" x14ac:dyDescent="0.35">
      <c r="B95" s="316" t="s">
        <v>617</v>
      </c>
      <c r="C95" s="431" t="s">
        <v>658</v>
      </c>
      <c r="D95" s="427">
        <f>[4]Dec!$D$67</f>
        <v>1.5</v>
      </c>
      <c r="E95" s="423">
        <f>[4]Dec!$E$67</f>
        <v>116.625</v>
      </c>
      <c r="J95"/>
      <c r="K95"/>
      <c r="L95"/>
      <c r="M95"/>
      <c r="N95" s="392"/>
      <c r="O95" s="2"/>
      <c r="S95"/>
      <c r="T95"/>
      <c r="U95"/>
      <c r="W95"/>
    </row>
    <row r="96" spans="2:23" s="1" customFormat="1" x14ac:dyDescent="0.2">
      <c r="J96"/>
      <c r="K96"/>
      <c r="L96"/>
      <c r="M96"/>
      <c r="N96" s="392"/>
      <c r="O96" s="2"/>
      <c r="S96"/>
      <c r="T96"/>
      <c r="U96"/>
      <c r="W96"/>
    </row>
    <row r="97" spans="2:23" s="1" customFormat="1" x14ac:dyDescent="0.2">
      <c r="J97"/>
      <c r="K97"/>
      <c r="L97"/>
      <c r="M97"/>
      <c r="N97" s="392"/>
      <c r="O97" s="2"/>
      <c r="S97"/>
      <c r="T97"/>
      <c r="U97"/>
      <c r="W97"/>
    </row>
    <row r="98" spans="2:23" s="1" customFormat="1" ht="24" thickBot="1" x14ac:dyDescent="0.4">
      <c r="C98" s="1133" t="s">
        <v>798</v>
      </c>
      <c r="D98" s="1133"/>
      <c r="E98" s="1133"/>
      <c r="J98"/>
      <c r="K98"/>
      <c r="L98"/>
      <c r="M98"/>
      <c r="N98" s="392"/>
      <c r="O98" s="2"/>
      <c r="S98"/>
      <c r="T98"/>
      <c r="U98"/>
      <c r="W98"/>
    </row>
    <row r="99" spans="2:23" s="1" customFormat="1" ht="36.75" thickBot="1" x14ac:dyDescent="0.3">
      <c r="C99" s="417" t="s">
        <v>778</v>
      </c>
      <c r="D99" s="418" t="s">
        <v>779</v>
      </c>
      <c r="E99" s="419" t="s">
        <v>780</v>
      </c>
      <c r="F99" s="419" t="s">
        <v>797</v>
      </c>
      <c r="J99"/>
      <c r="K99"/>
      <c r="L99"/>
      <c r="M99"/>
      <c r="N99" s="392"/>
      <c r="O99" s="2"/>
      <c r="S99"/>
      <c r="T99"/>
      <c r="U99"/>
      <c r="W99"/>
    </row>
    <row r="100" spans="2:23" s="1" customFormat="1" ht="18" x14ac:dyDescent="0.25">
      <c r="B100" s="316" t="s">
        <v>3</v>
      </c>
      <c r="C100" s="428">
        <f>[6]Dec!$C$58</f>
        <v>14</v>
      </c>
      <c r="D100" s="424">
        <f>[6]Dec!$D$58</f>
        <v>33</v>
      </c>
      <c r="E100" s="420">
        <f>[6]Dec!$E$58</f>
        <v>20</v>
      </c>
      <c r="F100" s="420">
        <f>[6]Dec!$I$55</f>
        <v>7.2333333333333334</v>
      </c>
      <c r="J100"/>
      <c r="K100"/>
      <c r="L100"/>
      <c r="M100"/>
      <c r="N100" s="392"/>
      <c r="O100" s="2"/>
      <c r="S100"/>
      <c r="T100"/>
      <c r="U100"/>
      <c r="W100"/>
    </row>
    <row r="101" spans="2:23" s="1" customFormat="1" ht="18.75" thickBot="1" x14ac:dyDescent="0.3">
      <c r="B101" s="316" t="s">
        <v>617</v>
      </c>
      <c r="C101" s="429">
        <f>[6]Dec!$C$64</f>
        <v>119</v>
      </c>
      <c r="D101" s="425">
        <f>[6]Dec!$D$64</f>
        <v>337</v>
      </c>
      <c r="E101" s="421">
        <f>[6]Dec!$E$64</f>
        <v>236</v>
      </c>
      <c r="F101" s="432">
        <f>[6]Dec!$F$64</f>
        <v>63.8</v>
      </c>
      <c r="J101"/>
      <c r="K101"/>
      <c r="L101"/>
      <c r="M101"/>
      <c r="N101" s="392"/>
      <c r="O101" s="2"/>
      <c r="S101"/>
      <c r="T101"/>
      <c r="U101"/>
      <c r="W101"/>
    </row>
    <row r="102" spans="2:23" s="1" customFormat="1" ht="18.75" x14ac:dyDescent="0.3">
      <c r="B102" s="316" t="s">
        <v>3</v>
      </c>
      <c r="C102" s="430" t="s">
        <v>658</v>
      </c>
      <c r="D102" s="426">
        <f>[6]Dec!$D$60</f>
        <v>1.65</v>
      </c>
      <c r="E102" s="422">
        <f>[6]Dec!$E$60</f>
        <v>11.934999999999999</v>
      </c>
      <c r="J102"/>
      <c r="K102"/>
      <c r="L102"/>
      <c r="M102"/>
      <c r="N102" s="392"/>
      <c r="O102" s="2"/>
      <c r="S102"/>
      <c r="T102"/>
      <c r="U102"/>
      <c r="W102"/>
    </row>
    <row r="103" spans="2:23" s="1" customFormat="1" ht="19.5" thickBot="1" x14ac:dyDescent="0.35">
      <c r="B103" s="316" t="s">
        <v>617</v>
      </c>
      <c r="C103" s="431" t="s">
        <v>658</v>
      </c>
      <c r="D103" s="427">
        <f>[6]Dec!$D$66</f>
        <v>1.4279661016949152</v>
      </c>
      <c r="E103" s="423">
        <f>[6]Dec!$E$66</f>
        <v>91.104237288135593</v>
      </c>
      <c r="J103"/>
      <c r="K103"/>
      <c r="L103"/>
      <c r="M103"/>
      <c r="N103" s="392"/>
      <c r="O103" s="2"/>
      <c r="S103"/>
      <c r="T103"/>
      <c r="U103"/>
      <c r="W103"/>
    </row>
    <row r="104" spans="2:23" s="1" customFormat="1" x14ac:dyDescent="0.2">
      <c r="J104"/>
      <c r="K104"/>
      <c r="L104"/>
      <c r="M104"/>
      <c r="N104" s="392"/>
      <c r="O104" s="2"/>
      <c r="S104"/>
      <c r="T104"/>
      <c r="U104"/>
      <c r="W104"/>
    </row>
    <row r="105" spans="2:23" s="1" customFormat="1" x14ac:dyDescent="0.2">
      <c r="J105"/>
      <c r="K105"/>
      <c r="L105"/>
      <c r="M105"/>
      <c r="N105" s="392"/>
      <c r="O105" s="2"/>
      <c r="S105"/>
      <c r="T105"/>
      <c r="U105"/>
      <c r="W105"/>
    </row>
    <row r="106" spans="2:23" s="1" customFormat="1" x14ac:dyDescent="0.2">
      <c r="J106"/>
      <c r="K106"/>
      <c r="L106"/>
      <c r="M106"/>
      <c r="N106" s="392"/>
      <c r="O106" s="2"/>
      <c r="S106"/>
      <c r="T106"/>
      <c r="U106"/>
      <c r="W106"/>
    </row>
    <row r="107" spans="2:23" s="1" customFormat="1" x14ac:dyDescent="0.2">
      <c r="J107"/>
      <c r="K107"/>
      <c r="L107"/>
      <c r="M107"/>
      <c r="N107" s="392"/>
      <c r="O107" s="2"/>
      <c r="S107"/>
      <c r="T107"/>
      <c r="U107"/>
      <c r="W107"/>
    </row>
    <row r="108" spans="2:23" s="1" customFormat="1" x14ac:dyDescent="0.2">
      <c r="J108"/>
      <c r="K108"/>
      <c r="L108"/>
      <c r="M108"/>
      <c r="N108" s="392"/>
      <c r="O108" s="2"/>
      <c r="S108"/>
      <c r="T108"/>
      <c r="U108"/>
      <c r="W108"/>
    </row>
    <row r="109" spans="2:23" s="1" customFormat="1" x14ac:dyDescent="0.2">
      <c r="J109"/>
      <c r="K109"/>
      <c r="L109"/>
      <c r="M109"/>
      <c r="N109" s="392"/>
      <c r="O109" s="2"/>
      <c r="S109"/>
      <c r="T109"/>
      <c r="U109"/>
      <c r="W109"/>
    </row>
    <row r="110" spans="2:23" s="1" customFormat="1" x14ac:dyDescent="0.2">
      <c r="J110"/>
      <c r="K110"/>
      <c r="L110"/>
      <c r="M110"/>
      <c r="N110" s="392"/>
      <c r="O110" s="2"/>
      <c r="S110"/>
      <c r="T110"/>
      <c r="U110"/>
      <c r="W110"/>
    </row>
    <row r="111" spans="2:23" s="1" customFormat="1" x14ac:dyDescent="0.2">
      <c r="J111"/>
      <c r="K111"/>
      <c r="L111"/>
      <c r="M111"/>
      <c r="N111" s="392"/>
      <c r="O111" s="2"/>
      <c r="S111"/>
      <c r="T111"/>
      <c r="U111"/>
      <c r="W111"/>
    </row>
    <row r="112" spans="2:23" s="1" customFormat="1" x14ac:dyDescent="0.2">
      <c r="J112"/>
      <c r="K112"/>
      <c r="L112"/>
      <c r="M112"/>
      <c r="N112" s="392"/>
      <c r="O112" s="2"/>
      <c r="S112"/>
      <c r="T112"/>
      <c r="U112"/>
      <c r="W112"/>
    </row>
    <row r="113" spans="10:23" s="1" customFormat="1" x14ac:dyDescent="0.2">
      <c r="J113"/>
      <c r="K113"/>
      <c r="L113"/>
      <c r="M113"/>
      <c r="N113" s="392"/>
      <c r="O113" s="2"/>
      <c r="S113"/>
      <c r="T113"/>
      <c r="U113"/>
      <c r="W113"/>
    </row>
    <row r="114" spans="10:23" s="1" customFormat="1" x14ac:dyDescent="0.2">
      <c r="J114"/>
      <c r="K114"/>
      <c r="L114"/>
      <c r="M114"/>
      <c r="N114" s="392"/>
      <c r="O114" s="2"/>
      <c r="S114"/>
      <c r="T114"/>
      <c r="U114"/>
      <c r="W114"/>
    </row>
    <row r="115" spans="10:23" s="1" customFormat="1" x14ac:dyDescent="0.2">
      <c r="J115"/>
      <c r="K115"/>
      <c r="L115"/>
      <c r="M115"/>
      <c r="N115" s="392"/>
      <c r="O115" s="2"/>
      <c r="S115"/>
      <c r="T115"/>
      <c r="U115"/>
      <c r="W115"/>
    </row>
    <row r="116" spans="10:23" s="1" customFormat="1" x14ac:dyDescent="0.2">
      <c r="J116"/>
      <c r="K116"/>
      <c r="L116"/>
      <c r="M116"/>
      <c r="N116" s="392"/>
      <c r="O116" s="2"/>
      <c r="S116"/>
      <c r="T116"/>
      <c r="U116"/>
      <c r="W116"/>
    </row>
    <row r="117" spans="10:23" s="1" customFormat="1" x14ac:dyDescent="0.2">
      <c r="J117"/>
      <c r="K117"/>
      <c r="L117"/>
      <c r="M117"/>
      <c r="N117" s="392"/>
      <c r="O117" s="2"/>
      <c r="S117"/>
      <c r="T117"/>
      <c r="U117"/>
      <c r="W117"/>
    </row>
    <row r="118" spans="10:23" s="1" customFormat="1" x14ac:dyDescent="0.2">
      <c r="J118"/>
      <c r="K118"/>
      <c r="L118"/>
      <c r="M118"/>
      <c r="N118" s="392"/>
      <c r="O118" s="2"/>
      <c r="S118"/>
      <c r="T118"/>
      <c r="U118"/>
      <c r="W118"/>
    </row>
    <row r="119" spans="10:23" s="1" customFormat="1" x14ac:dyDescent="0.2">
      <c r="J119"/>
      <c r="K119"/>
      <c r="L119"/>
      <c r="M119"/>
      <c r="N119" s="392"/>
      <c r="O119" s="2"/>
      <c r="S119"/>
      <c r="T119"/>
      <c r="U119"/>
      <c r="W119"/>
    </row>
    <row r="120" spans="10:23" s="1" customFormat="1" x14ac:dyDescent="0.2">
      <c r="J120"/>
      <c r="K120"/>
      <c r="L120"/>
      <c r="M120"/>
      <c r="N120" s="392"/>
      <c r="O120" s="2"/>
      <c r="S120"/>
      <c r="T120"/>
      <c r="U120"/>
      <c r="W120"/>
    </row>
    <row r="121" spans="10:23" s="1" customFormat="1" x14ac:dyDescent="0.2">
      <c r="J121"/>
      <c r="K121"/>
      <c r="L121"/>
      <c r="M121"/>
      <c r="N121" s="392"/>
      <c r="O121" s="2"/>
      <c r="S121"/>
      <c r="T121"/>
      <c r="U121"/>
      <c r="W121"/>
    </row>
    <row r="122" spans="10:23" s="1" customFormat="1" x14ac:dyDescent="0.2">
      <c r="J122"/>
      <c r="K122"/>
      <c r="L122"/>
      <c r="M122"/>
      <c r="N122" s="392"/>
      <c r="O122" s="2"/>
      <c r="S122"/>
      <c r="T122"/>
      <c r="U122"/>
      <c r="W122"/>
    </row>
    <row r="123" spans="10:23" s="1" customFormat="1" x14ac:dyDescent="0.2">
      <c r="J123"/>
      <c r="K123"/>
      <c r="L123"/>
      <c r="M123"/>
      <c r="N123" s="392"/>
      <c r="O123" s="2"/>
      <c r="S123"/>
      <c r="T123"/>
      <c r="U123"/>
      <c r="W123"/>
    </row>
    <row r="124" spans="10:23" s="1" customFormat="1" x14ac:dyDescent="0.2">
      <c r="J124"/>
      <c r="K124"/>
      <c r="L124"/>
      <c r="M124"/>
      <c r="N124" s="392"/>
      <c r="O124" s="2"/>
      <c r="S124"/>
      <c r="T124"/>
      <c r="U124"/>
      <c r="W124"/>
    </row>
    <row r="125" spans="10:23" s="1" customFormat="1" x14ac:dyDescent="0.2">
      <c r="J125"/>
      <c r="K125"/>
      <c r="L125"/>
      <c r="M125"/>
      <c r="N125" s="392"/>
      <c r="O125" s="2"/>
      <c r="S125"/>
      <c r="T125"/>
      <c r="U125"/>
      <c r="W125"/>
    </row>
    <row r="126" spans="10:23" s="1" customFormat="1" x14ac:dyDescent="0.2">
      <c r="J126"/>
      <c r="K126"/>
      <c r="L126"/>
      <c r="M126"/>
      <c r="N126" s="392"/>
      <c r="O126" s="2"/>
      <c r="S126"/>
      <c r="T126"/>
      <c r="U126"/>
      <c r="W126"/>
    </row>
    <row r="127" spans="10:23" s="1" customFormat="1" x14ac:dyDescent="0.2">
      <c r="J127"/>
      <c r="K127"/>
      <c r="L127"/>
      <c r="M127"/>
      <c r="N127" s="392"/>
      <c r="O127" s="2"/>
      <c r="S127"/>
      <c r="T127"/>
      <c r="U127"/>
      <c r="W127"/>
    </row>
    <row r="128" spans="10:23" s="1" customFormat="1" x14ac:dyDescent="0.2">
      <c r="J128"/>
      <c r="K128"/>
      <c r="L128"/>
      <c r="M128"/>
      <c r="N128" s="392"/>
      <c r="O128" s="2"/>
      <c r="S128"/>
      <c r="T128"/>
      <c r="U128"/>
      <c r="W128"/>
    </row>
    <row r="129" spans="10:23" s="1" customFormat="1" x14ac:dyDescent="0.2">
      <c r="J129"/>
      <c r="K129"/>
      <c r="L129"/>
      <c r="M129"/>
      <c r="N129" s="392"/>
      <c r="O129" s="2"/>
      <c r="S129"/>
      <c r="T129"/>
      <c r="U129"/>
      <c r="W129"/>
    </row>
    <row r="130" spans="10:23" s="1" customFormat="1" x14ac:dyDescent="0.2">
      <c r="J130"/>
      <c r="K130"/>
      <c r="L130"/>
      <c r="M130"/>
      <c r="N130" s="392"/>
      <c r="O130" s="2"/>
      <c r="S130"/>
      <c r="T130"/>
      <c r="U130"/>
      <c r="W130"/>
    </row>
    <row r="131" spans="10:23" s="1" customFormat="1" x14ac:dyDescent="0.2">
      <c r="J131"/>
      <c r="K131"/>
      <c r="L131"/>
      <c r="M131"/>
      <c r="N131" s="392"/>
      <c r="O131" s="2"/>
      <c r="S131"/>
      <c r="T131"/>
      <c r="U131"/>
      <c r="W131"/>
    </row>
    <row r="132" spans="10:23" s="1" customFormat="1" x14ac:dyDescent="0.2">
      <c r="J132"/>
      <c r="K132"/>
      <c r="L132"/>
      <c r="M132"/>
      <c r="N132" s="392"/>
      <c r="O132" s="2"/>
      <c r="S132"/>
      <c r="T132"/>
      <c r="U132"/>
      <c r="W132"/>
    </row>
    <row r="133" spans="10:23" s="1" customFormat="1" x14ac:dyDescent="0.2">
      <c r="J133"/>
      <c r="K133"/>
      <c r="L133"/>
      <c r="M133"/>
      <c r="N133" s="392"/>
      <c r="O133" s="2"/>
      <c r="S133"/>
      <c r="T133"/>
      <c r="U133"/>
      <c r="W133"/>
    </row>
    <row r="134" spans="10:23" s="1" customFormat="1" x14ac:dyDescent="0.2">
      <c r="J134"/>
      <c r="K134"/>
      <c r="L134"/>
      <c r="M134"/>
      <c r="N134" s="392"/>
      <c r="O134" s="2"/>
      <c r="S134"/>
      <c r="T134"/>
      <c r="U134"/>
      <c r="W134"/>
    </row>
    <row r="135" spans="10:23" s="1" customFormat="1" x14ac:dyDescent="0.2">
      <c r="J135"/>
      <c r="K135"/>
      <c r="L135"/>
      <c r="M135"/>
      <c r="N135" s="392"/>
      <c r="O135" s="2"/>
      <c r="S135"/>
      <c r="T135"/>
      <c r="U135"/>
      <c r="W135"/>
    </row>
    <row r="136" spans="10:23" s="1" customFormat="1" x14ac:dyDescent="0.2">
      <c r="J136"/>
      <c r="K136"/>
      <c r="L136"/>
      <c r="M136"/>
      <c r="N136" s="392"/>
      <c r="O136" s="2"/>
      <c r="S136"/>
      <c r="T136"/>
      <c r="U136"/>
      <c r="W136"/>
    </row>
    <row r="137" spans="10:23" s="1" customFormat="1" x14ac:dyDescent="0.2">
      <c r="J137"/>
      <c r="K137"/>
      <c r="L137"/>
      <c r="M137"/>
      <c r="N137" s="392"/>
      <c r="O137" s="2"/>
      <c r="S137"/>
      <c r="T137"/>
      <c r="U137"/>
      <c r="W137"/>
    </row>
    <row r="138" spans="10:23" s="1" customFormat="1" x14ac:dyDescent="0.2">
      <c r="J138"/>
      <c r="K138"/>
      <c r="L138"/>
      <c r="M138"/>
      <c r="N138" s="392"/>
      <c r="O138" s="2"/>
      <c r="S138"/>
      <c r="T138"/>
      <c r="U138"/>
      <c r="W138"/>
    </row>
    <row r="139" spans="10:23" s="1" customFormat="1" x14ac:dyDescent="0.2">
      <c r="J139"/>
      <c r="K139"/>
      <c r="L139"/>
      <c r="M139"/>
      <c r="N139" s="392"/>
      <c r="O139" s="2"/>
      <c r="S139"/>
      <c r="T139"/>
      <c r="U139"/>
      <c r="W139"/>
    </row>
    <row r="140" spans="10:23" s="1" customFormat="1" x14ac:dyDescent="0.2">
      <c r="J140"/>
      <c r="K140"/>
      <c r="L140"/>
      <c r="M140"/>
      <c r="N140" s="392"/>
      <c r="O140" s="2"/>
      <c r="S140"/>
      <c r="T140"/>
      <c r="U140"/>
      <c r="W140"/>
    </row>
    <row r="141" spans="10:23" s="1" customFormat="1" x14ac:dyDescent="0.2">
      <c r="J141"/>
      <c r="K141"/>
      <c r="L141"/>
      <c r="M141"/>
      <c r="N141" s="392"/>
      <c r="O141" s="2"/>
      <c r="S141"/>
      <c r="T141"/>
      <c r="U141"/>
      <c r="W141"/>
    </row>
    <row r="142" spans="10:23" s="1" customFormat="1" x14ac:dyDescent="0.2">
      <c r="J142"/>
      <c r="K142"/>
      <c r="L142"/>
      <c r="M142"/>
      <c r="N142" s="392"/>
      <c r="O142" s="2"/>
      <c r="S142"/>
      <c r="T142"/>
      <c r="U142"/>
      <c r="W142"/>
    </row>
    <row r="143" spans="10:23" s="1" customFormat="1" x14ac:dyDescent="0.2">
      <c r="J143"/>
      <c r="K143"/>
      <c r="L143"/>
      <c r="M143"/>
      <c r="N143" s="392"/>
      <c r="O143" s="2"/>
      <c r="S143"/>
      <c r="T143"/>
      <c r="U143"/>
      <c r="W143"/>
    </row>
    <row r="144" spans="10:23" s="1" customFormat="1" x14ac:dyDescent="0.2">
      <c r="J144"/>
      <c r="K144"/>
      <c r="L144"/>
      <c r="M144"/>
      <c r="N144" s="392"/>
      <c r="O144" s="2"/>
      <c r="S144"/>
      <c r="T144"/>
      <c r="U144"/>
      <c r="W144"/>
    </row>
    <row r="145" spans="10:23" s="1" customFormat="1" x14ac:dyDescent="0.2">
      <c r="J145"/>
      <c r="K145"/>
      <c r="L145"/>
      <c r="M145"/>
      <c r="N145" s="392"/>
      <c r="O145" s="2"/>
      <c r="S145"/>
      <c r="T145"/>
      <c r="U145"/>
      <c r="W145"/>
    </row>
    <row r="146" spans="10:23" s="1" customFormat="1" x14ac:dyDescent="0.2">
      <c r="J146"/>
      <c r="K146"/>
      <c r="L146"/>
      <c r="M146"/>
      <c r="N146" s="392"/>
      <c r="O146" s="2"/>
      <c r="S146"/>
      <c r="T146"/>
      <c r="U146"/>
      <c r="W146"/>
    </row>
    <row r="147" spans="10:23" s="1" customFormat="1" x14ac:dyDescent="0.2">
      <c r="J147"/>
      <c r="K147"/>
      <c r="L147"/>
      <c r="M147"/>
      <c r="N147" s="392"/>
      <c r="O147" s="2"/>
      <c r="S147"/>
      <c r="T147"/>
      <c r="U147"/>
      <c r="W147"/>
    </row>
    <row r="148" spans="10:23" s="1" customFormat="1" x14ac:dyDescent="0.2">
      <c r="J148"/>
      <c r="K148"/>
      <c r="L148"/>
      <c r="M148"/>
      <c r="N148" s="392"/>
      <c r="O148" s="2"/>
      <c r="S148"/>
      <c r="T148"/>
      <c r="U148"/>
      <c r="W148"/>
    </row>
    <row r="149" spans="10:23" s="1" customFormat="1" x14ac:dyDescent="0.2">
      <c r="J149"/>
      <c r="K149"/>
      <c r="L149"/>
      <c r="M149"/>
      <c r="N149" s="392"/>
      <c r="O149" s="2"/>
      <c r="S149"/>
      <c r="T149"/>
      <c r="U149"/>
      <c r="W149"/>
    </row>
    <row r="150" spans="10:23" s="1" customFormat="1" x14ac:dyDescent="0.2">
      <c r="J150"/>
      <c r="K150"/>
      <c r="L150"/>
      <c r="M150"/>
      <c r="N150" s="392"/>
      <c r="O150" s="2"/>
      <c r="S150"/>
      <c r="T150"/>
      <c r="U150"/>
      <c r="W150"/>
    </row>
    <row r="151" spans="10:23" s="1" customFormat="1" x14ac:dyDescent="0.2">
      <c r="J151"/>
      <c r="K151"/>
      <c r="L151"/>
      <c r="M151"/>
      <c r="N151" s="392"/>
      <c r="O151" s="2"/>
      <c r="S151"/>
      <c r="T151"/>
      <c r="U151"/>
      <c r="W151"/>
    </row>
    <row r="152" spans="10:23" s="1" customFormat="1" x14ac:dyDescent="0.2">
      <c r="J152"/>
      <c r="K152"/>
      <c r="L152"/>
      <c r="M152"/>
      <c r="N152" s="392"/>
      <c r="O152" s="2"/>
      <c r="S152"/>
      <c r="T152"/>
      <c r="U152"/>
      <c r="W152"/>
    </row>
    <row r="153" spans="10:23" s="1" customFormat="1" x14ac:dyDescent="0.2">
      <c r="J153"/>
      <c r="K153"/>
      <c r="L153"/>
      <c r="M153"/>
      <c r="N153" s="392"/>
      <c r="O153" s="2"/>
      <c r="S153"/>
      <c r="T153"/>
      <c r="U153"/>
      <c r="W153"/>
    </row>
    <row r="154" spans="10:23" s="1" customFormat="1" x14ac:dyDescent="0.2">
      <c r="J154"/>
      <c r="K154"/>
      <c r="L154"/>
      <c r="M154"/>
      <c r="N154" s="392"/>
      <c r="O154" s="2"/>
      <c r="S154"/>
      <c r="T154"/>
      <c r="U154"/>
      <c r="W154"/>
    </row>
    <row r="155" spans="10:23" s="1" customFormat="1" x14ac:dyDescent="0.2">
      <c r="J155"/>
      <c r="K155"/>
      <c r="L155"/>
      <c r="M155"/>
      <c r="N155" s="392"/>
      <c r="O155" s="2"/>
      <c r="S155"/>
      <c r="T155"/>
      <c r="U155"/>
      <c r="W155"/>
    </row>
    <row r="156" spans="10:23" s="1" customFormat="1" x14ac:dyDescent="0.2">
      <c r="J156"/>
      <c r="K156"/>
      <c r="L156"/>
      <c r="M156"/>
      <c r="N156" s="392"/>
      <c r="O156" s="2"/>
      <c r="S156"/>
      <c r="T156"/>
      <c r="U156"/>
      <c r="W156"/>
    </row>
    <row r="157" spans="10:23" s="1" customFormat="1" x14ac:dyDescent="0.2">
      <c r="J157"/>
      <c r="K157"/>
      <c r="L157"/>
      <c r="M157"/>
      <c r="N157" s="392"/>
      <c r="O157" s="2"/>
      <c r="S157"/>
      <c r="T157"/>
      <c r="U157"/>
      <c r="W157"/>
    </row>
    <row r="158" spans="10:23" s="1" customFormat="1" x14ac:dyDescent="0.2">
      <c r="J158"/>
      <c r="K158"/>
      <c r="L158"/>
      <c r="M158"/>
      <c r="N158" s="392"/>
      <c r="O158" s="2"/>
      <c r="S158"/>
      <c r="T158"/>
      <c r="U158"/>
      <c r="W158"/>
    </row>
    <row r="159" spans="10:23" s="1" customFormat="1" x14ac:dyDescent="0.2">
      <c r="J159"/>
      <c r="K159"/>
      <c r="L159"/>
      <c r="M159"/>
      <c r="N159" s="392"/>
      <c r="O159" s="2"/>
      <c r="S159"/>
      <c r="T159"/>
      <c r="U159"/>
      <c r="W159"/>
    </row>
    <row r="160" spans="10:23" s="1" customFormat="1" x14ac:dyDescent="0.2">
      <c r="J160"/>
      <c r="K160"/>
      <c r="L160"/>
      <c r="M160"/>
      <c r="N160" s="392"/>
      <c r="O160" s="2"/>
      <c r="S160"/>
      <c r="T160"/>
      <c r="U160"/>
      <c r="W160"/>
    </row>
    <row r="161" spans="10:23" s="1" customFormat="1" x14ac:dyDescent="0.2">
      <c r="J161"/>
      <c r="K161"/>
      <c r="L161"/>
      <c r="M161"/>
      <c r="N161" s="392"/>
      <c r="O161" s="2"/>
      <c r="S161"/>
      <c r="T161"/>
      <c r="U161"/>
      <c r="W161"/>
    </row>
    <row r="162" spans="10:23" s="1" customFormat="1" x14ac:dyDescent="0.2">
      <c r="J162"/>
      <c r="K162"/>
      <c r="L162"/>
      <c r="M162"/>
      <c r="N162" s="392"/>
      <c r="O162" s="2"/>
      <c r="S162"/>
      <c r="T162"/>
      <c r="U162"/>
      <c r="W162"/>
    </row>
    <row r="163" spans="10:23" s="1" customFormat="1" x14ac:dyDescent="0.2">
      <c r="J163"/>
      <c r="K163"/>
      <c r="L163"/>
      <c r="M163"/>
      <c r="N163" s="392"/>
      <c r="O163" s="2"/>
      <c r="S163"/>
      <c r="T163"/>
      <c r="U163"/>
      <c r="W163"/>
    </row>
    <row r="164" spans="10:23" s="1" customFormat="1" x14ac:dyDescent="0.2">
      <c r="J164"/>
      <c r="K164"/>
      <c r="L164"/>
      <c r="M164"/>
      <c r="N164" s="392"/>
      <c r="O164" s="2"/>
      <c r="S164"/>
      <c r="T164"/>
      <c r="U164"/>
      <c r="W164"/>
    </row>
    <row r="165" spans="10:23" s="1" customFormat="1" x14ac:dyDescent="0.2">
      <c r="J165"/>
      <c r="K165"/>
      <c r="L165"/>
      <c r="M165"/>
      <c r="N165" s="392"/>
      <c r="O165" s="2"/>
      <c r="S165"/>
      <c r="T165"/>
      <c r="U165"/>
      <c r="W165"/>
    </row>
    <row r="166" spans="10:23" s="1" customFormat="1" x14ac:dyDescent="0.2">
      <c r="J166"/>
      <c r="K166"/>
      <c r="L166"/>
      <c r="M166"/>
      <c r="N166" s="392"/>
      <c r="O166" s="2"/>
      <c r="S166"/>
      <c r="T166"/>
      <c r="U166"/>
      <c r="W166"/>
    </row>
    <row r="167" spans="10:23" s="1" customFormat="1" x14ac:dyDescent="0.2">
      <c r="J167"/>
      <c r="K167"/>
      <c r="L167"/>
      <c r="M167"/>
      <c r="N167" s="392"/>
      <c r="O167" s="2"/>
      <c r="S167"/>
      <c r="T167"/>
      <c r="U167"/>
      <c r="W167"/>
    </row>
    <row r="168" spans="10:23" s="1" customFormat="1" x14ac:dyDescent="0.2">
      <c r="J168"/>
      <c r="K168"/>
      <c r="L168"/>
      <c r="M168"/>
      <c r="N168" s="392"/>
      <c r="O168" s="2"/>
      <c r="S168"/>
      <c r="T168"/>
      <c r="U168"/>
      <c r="W168"/>
    </row>
    <row r="169" spans="10:23" s="1" customFormat="1" x14ac:dyDescent="0.2">
      <c r="J169"/>
      <c r="K169"/>
      <c r="L169"/>
      <c r="M169"/>
      <c r="N169" s="392"/>
      <c r="O169" s="2"/>
      <c r="S169"/>
      <c r="T169"/>
      <c r="U169"/>
      <c r="W169"/>
    </row>
    <row r="170" spans="10:23" s="1" customFormat="1" x14ac:dyDescent="0.2">
      <c r="J170"/>
      <c r="K170"/>
      <c r="L170"/>
      <c r="M170"/>
      <c r="N170" s="392"/>
      <c r="O170" s="2"/>
      <c r="S170"/>
      <c r="T170"/>
      <c r="U170"/>
      <c r="W170"/>
    </row>
    <row r="171" spans="10:23" s="1" customFormat="1" x14ac:dyDescent="0.2">
      <c r="J171"/>
      <c r="K171"/>
      <c r="L171"/>
      <c r="M171"/>
      <c r="N171" s="392"/>
      <c r="O171" s="2"/>
      <c r="S171"/>
      <c r="T171"/>
      <c r="U171"/>
      <c r="W171"/>
    </row>
    <row r="172" spans="10:23" s="1" customFormat="1" x14ac:dyDescent="0.2">
      <c r="J172"/>
      <c r="K172"/>
      <c r="L172"/>
      <c r="M172"/>
      <c r="N172" s="392"/>
      <c r="O172" s="2"/>
      <c r="S172"/>
      <c r="T172"/>
      <c r="U172"/>
      <c r="W172"/>
    </row>
    <row r="173" spans="10:23" s="1" customFormat="1" x14ac:dyDescent="0.2">
      <c r="J173"/>
      <c r="K173"/>
      <c r="L173"/>
      <c r="M173"/>
      <c r="N173" s="392"/>
      <c r="O173" s="2"/>
      <c r="S173"/>
      <c r="T173"/>
      <c r="U173"/>
      <c r="W173"/>
    </row>
    <row r="174" spans="10:23" s="1" customFormat="1" x14ac:dyDescent="0.2">
      <c r="J174"/>
      <c r="K174"/>
      <c r="L174"/>
      <c r="M174"/>
      <c r="N174" s="392"/>
      <c r="O174" s="2"/>
      <c r="S174"/>
      <c r="T174"/>
      <c r="U174"/>
      <c r="W174"/>
    </row>
    <row r="175" spans="10:23" s="1" customFormat="1" x14ac:dyDescent="0.2">
      <c r="J175"/>
      <c r="K175"/>
      <c r="L175"/>
      <c r="M175"/>
      <c r="N175" s="392"/>
      <c r="O175" s="2"/>
      <c r="S175"/>
      <c r="T175"/>
      <c r="U175"/>
      <c r="W175"/>
    </row>
    <row r="176" spans="10:23" s="1" customFormat="1" x14ac:dyDescent="0.2">
      <c r="J176"/>
      <c r="K176"/>
      <c r="L176"/>
      <c r="M176"/>
      <c r="N176" s="392"/>
      <c r="O176" s="2"/>
      <c r="S176"/>
      <c r="T176"/>
      <c r="U176"/>
      <c r="W176"/>
    </row>
    <row r="177" spans="10:23" s="1" customFormat="1" x14ac:dyDescent="0.2">
      <c r="J177"/>
      <c r="K177"/>
      <c r="L177"/>
      <c r="M177"/>
      <c r="N177" s="392"/>
      <c r="O177" s="2"/>
      <c r="S177"/>
      <c r="T177"/>
      <c r="U177"/>
      <c r="W177"/>
    </row>
    <row r="178" spans="10:23" s="1" customFormat="1" x14ac:dyDescent="0.2">
      <c r="J178"/>
      <c r="K178"/>
      <c r="L178"/>
      <c r="M178"/>
      <c r="N178" s="392"/>
      <c r="O178" s="2"/>
      <c r="S178"/>
      <c r="T178"/>
      <c r="U178"/>
      <c r="W178"/>
    </row>
    <row r="179" spans="10:23" s="1" customFormat="1" x14ac:dyDescent="0.2">
      <c r="J179"/>
      <c r="K179"/>
      <c r="L179"/>
      <c r="M179"/>
      <c r="N179" s="392"/>
      <c r="O179" s="2"/>
      <c r="S179"/>
      <c r="T179"/>
      <c r="U179"/>
      <c r="W179"/>
    </row>
    <row r="180" spans="10:23" s="1" customFormat="1" x14ac:dyDescent="0.2">
      <c r="J180"/>
      <c r="K180"/>
      <c r="L180"/>
      <c r="M180"/>
      <c r="N180" s="392"/>
      <c r="O180" s="2"/>
      <c r="S180"/>
      <c r="T180"/>
      <c r="U180"/>
      <c r="W180"/>
    </row>
    <row r="181" spans="10:23" s="1" customFormat="1" x14ac:dyDescent="0.2">
      <c r="J181"/>
      <c r="K181"/>
      <c r="L181"/>
      <c r="M181"/>
      <c r="N181" s="392"/>
      <c r="O181" s="2"/>
      <c r="S181"/>
      <c r="T181"/>
      <c r="U181"/>
      <c r="W181"/>
    </row>
    <row r="182" spans="10:23" s="1" customFormat="1" x14ac:dyDescent="0.2">
      <c r="J182"/>
      <c r="K182"/>
      <c r="L182"/>
      <c r="M182"/>
      <c r="N182" s="392"/>
      <c r="O182" s="2"/>
      <c r="S182"/>
      <c r="T182"/>
      <c r="U182"/>
      <c r="W182"/>
    </row>
    <row r="183" spans="10:23" s="1" customFormat="1" x14ac:dyDescent="0.2">
      <c r="J183"/>
      <c r="K183"/>
      <c r="L183"/>
      <c r="M183"/>
      <c r="N183" s="392"/>
      <c r="O183" s="2"/>
      <c r="S183"/>
      <c r="T183"/>
      <c r="U183"/>
      <c r="W183"/>
    </row>
    <row r="184" spans="10:23" s="1" customFormat="1" x14ac:dyDescent="0.2">
      <c r="J184"/>
      <c r="K184"/>
      <c r="L184"/>
      <c r="M184"/>
      <c r="N184" s="392"/>
      <c r="O184" s="2"/>
      <c r="S184"/>
      <c r="T184"/>
      <c r="U184"/>
      <c r="W184"/>
    </row>
    <row r="185" spans="10:23" s="1" customFormat="1" x14ac:dyDescent="0.2">
      <c r="J185"/>
      <c r="K185"/>
      <c r="L185"/>
      <c r="M185"/>
      <c r="N185" s="392"/>
      <c r="O185" s="2"/>
      <c r="S185"/>
      <c r="T185"/>
      <c r="U185"/>
      <c r="W185"/>
    </row>
    <row r="186" spans="10:23" s="1" customFormat="1" x14ac:dyDescent="0.2">
      <c r="J186"/>
      <c r="K186"/>
      <c r="L186"/>
      <c r="M186"/>
      <c r="N186" s="392"/>
      <c r="O186" s="2"/>
      <c r="S186"/>
      <c r="T186"/>
      <c r="U186"/>
      <c r="W186"/>
    </row>
    <row r="187" spans="10:23" s="1" customFormat="1" x14ac:dyDescent="0.2">
      <c r="J187"/>
      <c r="K187"/>
      <c r="L187"/>
      <c r="M187"/>
      <c r="N187" s="392"/>
      <c r="O187" s="2"/>
      <c r="S187"/>
      <c r="T187"/>
      <c r="U187"/>
      <c r="W187"/>
    </row>
    <row r="188" spans="10:23" s="1" customFormat="1" x14ac:dyDescent="0.2">
      <c r="J188"/>
      <c r="K188"/>
      <c r="L188"/>
      <c r="M188"/>
      <c r="N188" s="392"/>
      <c r="O188" s="2"/>
      <c r="S188"/>
      <c r="T188"/>
      <c r="U188"/>
      <c r="W188"/>
    </row>
    <row r="189" spans="10:23" s="1" customFormat="1" x14ac:dyDescent="0.2">
      <c r="J189"/>
      <c r="K189"/>
      <c r="L189"/>
      <c r="M189"/>
      <c r="N189" s="392"/>
      <c r="O189" s="2"/>
      <c r="S189"/>
      <c r="T189"/>
      <c r="U189"/>
      <c r="W189"/>
    </row>
    <row r="190" spans="10:23" s="1" customFormat="1" x14ac:dyDescent="0.2">
      <c r="J190"/>
      <c r="K190"/>
      <c r="L190"/>
      <c r="M190"/>
      <c r="N190" s="392"/>
      <c r="O190" s="2"/>
      <c r="S190"/>
      <c r="T190"/>
      <c r="U190"/>
      <c r="W190"/>
    </row>
    <row r="191" spans="10:23" s="1" customFormat="1" x14ac:dyDescent="0.2">
      <c r="J191"/>
      <c r="K191"/>
      <c r="L191"/>
      <c r="M191"/>
      <c r="N191" s="392"/>
      <c r="O191" s="2"/>
      <c r="S191"/>
      <c r="T191"/>
      <c r="U191"/>
      <c r="W191"/>
    </row>
    <row r="192" spans="10:23" s="1" customFormat="1" x14ac:dyDescent="0.2">
      <c r="J192"/>
      <c r="K192"/>
      <c r="L192"/>
      <c r="M192"/>
      <c r="N192" s="392"/>
      <c r="O192" s="2"/>
      <c r="S192"/>
      <c r="T192"/>
      <c r="U192"/>
      <c r="W192"/>
    </row>
    <row r="193" spans="10:23" s="1" customFormat="1" x14ac:dyDescent="0.2">
      <c r="J193"/>
      <c r="K193"/>
      <c r="L193"/>
      <c r="M193"/>
      <c r="N193" s="392"/>
      <c r="O193" s="2"/>
      <c r="S193"/>
      <c r="T193"/>
      <c r="U193"/>
      <c r="W193"/>
    </row>
    <row r="194" spans="10:23" s="1" customFormat="1" x14ac:dyDescent="0.2">
      <c r="J194"/>
      <c r="K194"/>
      <c r="L194"/>
      <c r="M194"/>
      <c r="N194" s="392"/>
      <c r="O194" s="2"/>
      <c r="S194"/>
      <c r="T194"/>
      <c r="U194"/>
      <c r="W194"/>
    </row>
    <row r="195" spans="10:23" s="1" customFormat="1" x14ac:dyDescent="0.2">
      <c r="J195"/>
      <c r="K195"/>
      <c r="L195"/>
      <c r="M195"/>
      <c r="N195" s="392"/>
      <c r="O195" s="2"/>
      <c r="S195"/>
      <c r="T195"/>
      <c r="U195"/>
      <c r="W195"/>
    </row>
    <row r="196" spans="10:23" s="1" customFormat="1" x14ac:dyDescent="0.2">
      <c r="J196"/>
      <c r="K196"/>
      <c r="L196"/>
      <c r="M196"/>
      <c r="N196" s="392"/>
      <c r="O196" s="2"/>
      <c r="S196"/>
      <c r="T196"/>
      <c r="U196"/>
      <c r="W196"/>
    </row>
    <row r="197" spans="10:23" s="1" customFormat="1" x14ac:dyDescent="0.2">
      <c r="J197"/>
      <c r="K197"/>
      <c r="L197"/>
      <c r="M197"/>
      <c r="N197" s="392"/>
      <c r="O197" s="2"/>
      <c r="S197"/>
      <c r="T197"/>
      <c r="U197"/>
      <c r="W197"/>
    </row>
    <row r="198" spans="10:23" s="1" customFormat="1" x14ac:dyDescent="0.2">
      <c r="J198"/>
      <c r="K198"/>
      <c r="L198"/>
      <c r="M198"/>
      <c r="N198" s="392"/>
      <c r="O198" s="2"/>
      <c r="S198"/>
      <c r="T198"/>
      <c r="U198"/>
      <c r="W198"/>
    </row>
    <row r="199" spans="10:23" s="1" customFormat="1" x14ac:dyDescent="0.2">
      <c r="J199"/>
      <c r="K199"/>
      <c r="L199"/>
      <c r="M199"/>
      <c r="N199" s="392"/>
      <c r="O199" s="2"/>
      <c r="S199"/>
      <c r="T199"/>
      <c r="U199"/>
      <c r="W199"/>
    </row>
    <row r="200" spans="10:23" s="1" customFormat="1" x14ac:dyDescent="0.2">
      <c r="J200"/>
      <c r="K200"/>
      <c r="L200"/>
      <c r="M200"/>
      <c r="N200" s="392"/>
      <c r="O200" s="2"/>
      <c r="S200"/>
      <c r="T200"/>
      <c r="U200"/>
      <c r="W200"/>
    </row>
    <row r="201" spans="10:23" s="1" customFormat="1" x14ac:dyDescent="0.2">
      <c r="J201"/>
      <c r="K201"/>
      <c r="L201"/>
      <c r="M201"/>
      <c r="N201" s="392"/>
      <c r="O201" s="2"/>
      <c r="S201"/>
      <c r="T201"/>
      <c r="U201"/>
      <c r="W201"/>
    </row>
    <row r="202" spans="10:23" s="1" customFormat="1" x14ac:dyDescent="0.2">
      <c r="J202"/>
      <c r="K202"/>
      <c r="L202"/>
      <c r="M202"/>
      <c r="N202" s="392"/>
      <c r="O202" s="2"/>
      <c r="S202"/>
      <c r="T202"/>
      <c r="U202"/>
      <c r="W202"/>
    </row>
    <row r="203" spans="10:23" s="1" customFormat="1" x14ac:dyDescent="0.2">
      <c r="J203"/>
      <c r="K203"/>
      <c r="L203"/>
      <c r="M203"/>
      <c r="N203" s="392"/>
      <c r="O203" s="2"/>
      <c r="S203"/>
      <c r="T203"/>
      <c r="U203"/>
      <c r="W203"/>
    </row>
    <row r="204" spans="10:23" s="1" customFormat="1" x14ac:dyDescent="0.2">
      <c r="J204"/>
      <c r="K204"/>
      <c r="L204"/>
      <c r="M204"/>
      <c r="N204" s="392"/>
      <c r="O204" s="2"/>
      <c r="S204"/>
      <c r="T204"/>
      <c r="U204"/>
      <c r="W204"/>
    </row>
    <row r="205" spans="10:23" s="1" customFormat="1" x14ac:dyDescent="0.2">
      <c r="J205"/>
      <c r="K205"/>
      <c r="L205"/>
      <c r="M205"/>
      <c r="N205" s="392"/>
      <c r="O205" s="2"/>
      <c r="S205"/>
      <c r="T205"/>
      <c r="U205"/>
      <c r="W205"/>
    </row>
    <row r="206" spans="10:23" s="1" customFormat="1" x14ac:dyDescent="0.2">
      <c r="J206"/>
      <c r="K206"/>
      <c r="L206"/>
      <c r="M206"/>
      <c r="N206" s="392"/>
      <c r="O206" s="2"/>
      <c r="S206"/>
      <c r="T206"/>
      <c r="U206"/>
      <c r="W206"/>
    </row>
    <row r="207" spans="10:23" s="1" customFormat="1" x14ac:dyDescent="0.2">
      <c r="J207"/>
      <c r="K207"/>
      <c r="L207"/>
      <c r="M207"/>
      <c r="N207" s="392"/>
      <c r="O207" s="2"/>
      <c r="S207"/>
      <c r="T207"/>
      <c r="U207"/>
      <c r="W207"/>
    </row>
    <row r="208" spans="10:23" s="1" customFormat="1" x14ac:dyDescent="0.2">
      <c r="J208"/>
      <c r="K208"/>
      <c r="L208"/>
      <c r="M208"/>
      <c r="N208" s="392"/>
      <c r="O208" s="2"/>
      <c r="S208"/>
      <c r="T208"/>
      <c r="U208"/>
      <c r="W208"/>
    </row>
    <row r="209" spans="10:23" s="1" customFormat="1" x14ac:dyDescent="0.2">
      <c r="J209"/>
      <c r="K209"/>
      <c r="L209"/>
      <c r="M209"/>
      <c r="N209" s="392"/>
      <c r="O209" s="2"/>
      <c r="S209"/>
      <c r="T209"/>
      <c r="U209"/>
      <c r="W209"/>
    </row>
    <row r="210" spans="10:23" s="1" customFormat="1" x14ac:dyDescent="0.2">
      <c r="J210"/>
      <c r="K210"/>
      <c r="L210"/>
      <c r="M210"/>
      <c r="N210" s="392"/>
      <c r="O210" s="2"/>
      <c r="S210"/>
      <c r="T210"/>
      <c r="U210"/>
      <c r="W210"/>
    </row>
    <row r="211" spans="10:23" s="1" customFormat="1" x14ac:dyDescent="0.2">
      <c r="J211"/>
      <c r="K211"/>
      <c r="L211"/>
      <c r="M211"/>
      <c r="N211" s="392"/>
      <c r="O211" s="2"/>
      <c r="S211"/>
      <c r="T211"/>
      <c r="U211"/>
      <c r="W211"/>
    </row>
    <row r="212" spans="10:23" s="1" customFormat="1" x14ac:dyDescent="0.2">
      <c r="J212"/>
      <c r="K212"/>
      <c r="L212"/>
      <c r="M212"/>
      <c r="N212" s="392"/>
      <c r="O212" s="2"/>
      <c r="S212"/>
      <c r="T212"/>
      <c r="U212"/>
      <c r="W212"/>
    </row>
    <row r="213" spans="10:23" s="1" customFormat="1" x14ac:dyDescent="0.2">
      <c r="J213"/>
      <c r="K213"/>
      <c r="L213"/>
      <c r="M213"/>
      <c r="N213" s="392"/>
      <c r="O213" s="2"/>
      <c r="S213"/>
      <c r="T213"/>
      <c r="U213"/>
      <c r="W213"/>
    </row>
    <row r="214" spans="10:23" s="1" customFormat="1" x14ac:dyDescent="0.2">
      <c r="J214"/>
      <c r="K214"/>
      <c r="L214"/>
      <c r="M214"/>
      <c r="N214" s="392"/>
      <c r="O214" s="2"/>
      <c r="S214"/>
      <c r="T214"/>
      <c r="U214"/>
      <c r="W214"/>
    </row>
    <row r="215" spans="10:23" s="1" customFormat="1" x14ac:dyDescent="0.2">
      <c r="J215"/>
      <c r="K215"/>
      <c r="L215"/>
      <c r="M215"/>
      <c r="N215" s="392"/>
      <c r="O215" s="2"/>
      <c r="S215"/>
      <c r="T215"/>
      <c r="U215"/>
      <c r="W215"/>
    </row>
    <row r="216" spans="10:23" s="1" customFormat="1" x14ac:dyDescent="0.2">
      <c r="J216"/>
      <c r="K216"/>
      <c r="L216"/>
      <c r="M216"/>
      <c r="N216" s="392"/>
      <c r="O216" s="2"/>
      <c r="S216"/>
      <c r="T216"/>
      <c r="U216"/>
      <c r="W216"/>
    </row>
    <row r="217" spans="10:23" s="1" customFormat="1" x14ac:dyDescent="0.2">
      <c r="J217"/>
      <c r="K217"/>
      <c r="L217"/>
      <c r="M217"/>
      <c r="N217" s="392"/>
      <c r="O217" s="2"/>
      <c r="S217"/>
      <c r="T217"/>
      <c r="U217"/>
      <c r="W217"/>
    </row>
    <row r="218" spans="10:23" s="1" customFormat="1" x14ac:dyDescent="0.2">
      <c r="J218"/>
      <c r="K218"/>
      <c r="L218"/>
      <c r="M218"/>
      <c r="N218" s="392"/>
      <c r="O218" s="2"/>
      <c r="S218"/>
      <c r="T218"/>
      <c r="U218"/>
      <c r="W218"/>
    </row>
    <row r="219" spans="10:23" s="1" customFormat="1" x14ac:dyDescent="0.2">
      <c r="J219"/>
      <c r="K219"/>
      <c r="L219"/>
      <c r="M219"/>
      <c r="N219" s="392"/>
      <c r="O219" s="2"/>
      <c r="S219"/>
      <c r="T219"/>
      <c r="U219"/>
      <c r="W219"/>
    </row>
    <row r="220" spans="10:23" s="1" customFormat="1" x14ac:dyDescent="0.2">
      <c r="J220"/>
      <c r="K220"/>
      <c r="L220"/>
      <c r="M220"/>
      <c r="N220" s="392"/>
      <c r="O220" s="2"/>
      <c r="S220"/>
      <c r="T220"/>
      <c r="U220"/>
      <c r="W220"/>
    </row>
    <row r="221" spans="10:23" s="1" customFormat="1" x14ac:dyDescent="0.2">
      <c r="J221"/>
      <c r="K221"/>
      <c r="L221"/>
      <c r="M221"/>
      <c r="N221" s="392"/>
      <c r="O221" s="2"/>
      <c r="S221"/>
      <c r="T221"/>
      <c r="U221"/>
      <c r="W221"/>
    </row>
    <row r="222" spans="10:23" s="1" customFormat="1" x14ac:dyDescent="0.2">
      <c r="J222"/>
      <c r="K222"/>
      <c r="L222"/>
      <c r="M222"/>
      <c r="N222" s="392"/>
      <c r="O222" s="2"/>
      <c r="S222"/>
      <c r="T222"/>
      <c r="U222"/>
      <c r="W222"/>
    </row>
    <row r="223" spans="10:23" s="1" customFormat="1" x14ac:dyDescent="0.2">
      <c r="J223"/>
      <c r="K223"/>
      <c r="L223"/>
      <c r="M223"/>
      <c r="N223" s="392"/>
      <c r="O223" s="2"/>
      <c r="S223"/>
      <c r="T223"/>
      <c r="U223"/>
      <c r="W223"/>
    </row>
    <row r="224" spans="10:23" s="1" customFormat="1" x14ac:dyDescent="0.2">
      <c r="J224"/>
      <c r="K224"/>
      <c r="L224"/>
      <c r="M224"/>
      <c r="N224" s="392"/>
      <c r="O224" s="2"/>
      <c r="S224"/>
      <c r="T224"/>
      <c r="U224"/>
      <c r="W224"/>
    </row>
    <row r="225" spans="10:23" s="1" customFormat="1" x14ac:dyDescent="0.2">
      <c r="J225"/>
      <c r="K225"/>
      <c r="L225"/>
      <c r="M225"/>
      <c r="N225" s="392"/>
      <c r="O225" s="2"/>
      <c r="S225"/>
      <c r="T225"/>
      <c r="U225"/>
      <c r="W225"/>
    </row>
    <row r="226" spans="10:23" s="1" customFormat="1" x14ac:dyDescent="0.2">
      <c r="J226"/>
      <c r="K226"/>
      <c r="L226"/>
      <c r="M226"/>
      <c r="N226" s="392"/>
      <c r="O226" s="2"/>
      <c r="S226"/>
      <c r="T226"/>
      <c r="U226"/>
      <c r="W226"/>
    </row>
    <row r="227" spans="10:23" s="1" customFormat="1" x14ac:dyDescent="0.2">
      <c r="J227"/>
      <c r="K227"/>
      <c r="L227"/>
      <c r="M227"/>
      <c r="N227" s="392"/>
      <c r="O227" s="2"/>
      <c r="S227"/>
      <c r="T227"/>
      <c r="U227"/>
      <c r="W227"/>
    </row>
    <row r="228" spans="10:23" s="1" customFormat="1" x14ac:dyDescent="0.2">
      <c r="J228"/>
      <c r="K228"/>
      <c r="L228"/>
      <c r="M228"/>
      <c r="N228" s="392"/>
      <c r="O228" s="2"/>
      <c r="S228"/>
      <c r="T228"/>
      <c r="U228"/>
      <c r="W228"/>
    </row>
    <row r="229" spans="10:23" s="1" customFormat="1" x14ac:dyDescent="0.2">
      <c r="J229"/>
      <c r="K229"/>
      <c r="L229"/>
      <c r="M229"/>
      <c r="N229" s="392"/>
      <c r="O229" s="2"/>
      <c r="S229"/>
      <c r="T229"/>
      <c r="U229"/>
      <c r="W229"/>
    </row>
    <row r="230" spans="10:23" s="1" customFormat="1" x14ac:dyDescent="0.2">
      <c r="J230"/>
      <c r="K230"/>
      <c r="L230"/>
      <c r="M230"/>
      <c r="N230" s="392"/>
      <c r="O230" s="2"/>
      <c r="S230"/>
      <c r="T230"/>
      <c r="U230"/>
      <c r="W230"/>
    </row>
    <row r="231" spans="10:23" s="1" customFormat="1" x14ac:dyDescent="0.2">
      <c r="J231"/>
      <c r="K231"/>
      <c r="L231"/>
      <c r="M231"/>
      <c r="N231" s="392"/>
      <c r="O231" s="2"/>
      <c r="S231"/>
      <c r="T231"/>
      <c r="U231"/>
      <c r="W231"/>
    </row>
    <row r="232" spans="10:23" s="1" customFormat="1" x14ac:dyDescent="0.2">
      <c r="J232"/>
      <c r="K232"/>
      <c r="L232"/>
      <c r="M232"/>
      <c r="N232" s="392"/>
      <c r="O232" s="2"/>
      <c r="S232"/>
      <c r="T232"/>
      <c r="U232"/>
      <c r="W232"/>
    </row>
    <row r="233" spans="10:23" s="1" customFormat="1" x14ac:dyDescent="0.2">
      <c r="J233"/>
      <c r="K233"/>
      <c r="L233"/>
      <c r="M233"/>
      <c r="N233" s="392"/>
      <c r="O233" s="2"/>
      <c r="S233"/>
      <c r="T233"/>
      <c r="U233"/>
      <c r="W233"/>
    </row>
    <row r="234" spans="10:23" s="1" customFormat="1" x14ac:dyDescent="0.2">
      <c r="J234"/>
      <c r="K234"/>
      <c r="L234"/>
      <c r="M234"/>
      <c r="N234" s="392"/>
      <c r="O234" s="2"/>
      <c r="S234"/>
      <c r="T234"/>
      <c r="U234"/>
      <c r="W234"/>
    </row>
    <row r="235" spans="10:23" s="1" customFormat="1" x14ac:dyDescent="0.2">
      <c r="J235"/>
      <c r="K235"/>
      <c r="L235"/>
      <c r="M235"/>
      <c r="N235" s="392"/>
      <c r="O235" s="2"/>
      <c r="S235"/>
      <c r="T235"/>
      <c r="U235"/>
      <c r="W235"/>
    </row>
    <row r="236" spans="10:23" s="1" customFormat="1" x14ac:dyDescent="0.2">
      <c r="J236"/>
      <c r="K236"/>
      <c r="L236"/>
      <c r="M236"/>
      <c r="N236" s="392"/>
      <c r="O236" s="2"/>
      <c r="S236"/>
      <c r="T236"/>
      <c r="U236"/>
      <c r="W236"/>
    </row>
    <row r="237" spans="10:23" s="1" customFormat="1" x14ac:dyDescent="0.2">
      <c r="J237"/>
      <c r="K237"/>
      <c r="L237"/>
      <c r="M237"/>
      <c r="N237" s="392"/>
      <c r="O237" s="2"/>
      <c r="S237"/>
      <c r="T237"/>
      <c r="U237"/>
      <c r="W237"/>
    </row>
    <row r="238" spans="10:23" s="1" customFormat="1" x14ac:dyDescent="0.2">
      <c r="J238"/>
      <c r="K238"/>
      <c r="L238"/>
      <c r="M238"/>
      <c r="N238" s="392"/>
      <c r="O238" s="2"/>
      <c r="S238"/>
      <c r="T238"/>
      <c r="U238"/>
      <c r="W238"/>
    </row>
    <row r="239" spans="10:23" s="1" customFormat="1" x14ac:dyDescent="0.2">
      <c r="J239"/>
      <c r="K239"/>
      <c r="L239"/>
      <c r="M239"/>
      <c r="N239" s="392"/>
      <c r="O239" s="2"/>
      <c r="S239"/>
      <c r="T239"/>
      <c r="U239"/>
      <c r="W239"/>
    </row>
    <row r="240" spans="10:23" s="1" customFormat="1" x14ac:dyDescent="0.2">
      <c r="J240"/>
      <c r="K240"/>
      <c r="L240"/>
      <c r="M240"/>
      <c r="N240" s="392"/>
      <c r="O240" s="2"/>
      <c r="S240"/>
      <c r="T240"/>
      <c r="U240"/>
      <c r="W240"/>
    </row>
    <row r="241" spans="10:23" s="1" customFormat="1" x14ac:dyDescent="0.2">
      <c r="J241"/>
      <c r="K241"/>
      <c r="L241"/>
      <c r="M241"/>
      <c r="N241" s="392"/>
      <c r="O241" s="2"/>
      <c r="S241"/>
      <c r="T241"/>
      <c r="U241"/>
      <c r="W241"/>
    </row>
    <row r="242" spans="10:23" s="1" customFormat="1" x14ac:dyDescent="0.2">
      <c r="J242"/>
      <c r="K242"/>
      <c r="L242"/>
      <c r="M242"/>
      <c r="N242" s="392"/>
      <c r="O242" s="2"/>
      <c r="S242"/>
      <c r="T242"/>
      <c r="U242"/>
      <c r="W242"/>
    </row>
    <row r="243" spans="10:23" s="1" customFormat="1" x14ac:dyDescent="0.2">
      <c r="J243"/>
      <c r="K243"/>
      <c r="L243"/>
      <c r="M243"/>
      <c r="N243" s="392"/>
      <c r="O243" s="2"/>
      <c r="S243"/>
      <c r="T243"/>
      <c r="U243"/>
      <c r="W243"/>
    </row>
    <row r="244" spans="10:23" s="1" customFormat="1" x14ac:dyDescent="0.2">
      <c r="J244"/>
      <c r="K244"/>
      <c r="L244"/>
      <c r="M244"/>
      <c r="N244" s="392"/>
      <c r="O244" s="2"/>
      <c r="S244"/>
      <c r="T244"/>
      <c r="U244"/>
      <c r="W244"/>
    </row>
    <row r="245" spans="10:23" s="1" customFormat="1" x14ac:dyDescent="0.2">
      <c r="J245"/>
      <c r="K245"/>
      <c r="L245"/>
      <c r="M245"/>
      <c r="N245" s="392"/>
      <c r="O245" s="2"/>
      <c r="S245"/>
      <c r="T245"/>
      <c r="U245"/>
      <c r="W245"/>
    </row>
    <row r="246" spans="10:23" s="1" customFormat="1" x14ac:dyDescent="0.2">
      <c r="J246"/>
      <c r="K246"/>
      <c r="L246"/>
      <c r="M246"/>
      <c r="N246" s="392"/>
      <c r="O246" s="2"/>
      <c r="S246"/>
      <c r="T246"/>
      <c r="U246"/>
      <c r="W246"/>
    </row>
    <row r="247" spans="10:23" s="1" customFormat="1" x14ac:dyDescent="0.2">
      <c r="J247"/>
      <c r="K247"/>
      <c r="L247"/>
      <c r="M247"/>
      <c r="N247" s="392"/>
      <c r="O247" s="2"/>
      <c r="S247"/>
      <c r="T247"/>
      <c r="U247"/>
      <c r="W247"/>
    </row>
    <row r="248" spans="10:23" s="1" customFormat="1" x14ac:dyDescent="0.2">
      <c r="J248"/>
      <c r="K248"/>
      <c r="L248"/>
      <c r="M248"/>
      <c r="N248" s="392"/>
      <c r="O248" s="2"/>
      <c r="S248"/>
      <c r="T248"/>
      <c r="U248"/>
      <c r="W248"/>
    </row>
    <row r="249" spans="10:23" s="1" customFormat="1" x14ac:dyDescent="0.2">
      <c r="J249"/>
      <c r="K249"/>
      <c r="L249"/>
      <c r="M249"/>
      <c r="N249" s="392"/>
      <c r="O249" s="2"/>
      <c r="S249"/>
      <c r="T249"/>
      <c r="U249"/>
      <c r="W249"/>
    </row>
    <row r="250" spans="10:23" s="1" customFormat="1" x14ac:dyDescent="0.2">
      <c r="J250"/>
      <c r="K250"/>
      <c r="L250"/>
      <c r="M250"/>
      <c r="N250" s="392"/>
      <c r="O250" s="2"/>
      <c r="S250"/>
      <c r="T250"/>
      <c r="U250"/>
      <c r="W250"/>
    </row>
    <row r="251" spans="10:23" s="1" customFormat="1" x14ac:dyDescent="0.2">
      <c r="J251"/>
      <c r="K251"/>
      <c r="L251"/>
      <c r="M251"/>
      <c r="N251" s="392"/>
      <c r="O251" s="2"/>
      <c r="S251"/>
      <c r="T251"/>
      <c r="U251"/>
      <c r="W251"/>
    </row>
    <row r="252" spans="10:23" s="1" customFormat="1" x14ac:dyDescent="0.2">
      <c r="J252"/>
      <c r="K252"/>
      <c r="L252"/>
      <c r="M252"/>
      <c r="N252" s="392"/>
      <c r="O252" s="2"/>
      <c r="S252"/>
      <c r="T252"/>
      <c r="U252"/>
      <c r="W252"/>
    </row>
    <row r="253" spans="10:23" s="1" customFormat="1" x14ac:dyDescent="0.2">
      <c r="J253"/>
      <c r="K253"/>
      <c r="L253"/>
      <c r="M253"/>
      <c r="N253" s="392"/>
      <c r="O253" s="2"/>
      <c r="S253"/>
      <c r="T253"/>
      <c r="U253"/>
      <c r="W253"/>
    </row>
    <row r="254" spans="10:23" s="1" customFormat="1" x14ac:dyDescent="0.2">
      <c r="J254"/>
      <c r="K254"/>
      <c r="L254"/>
      <c r="M254"/>
      <c r="N254" s="392"/>
      <c r="O254" s="2"/>
      <c r="S254"/>
      <c r="T254"/>
      <c r="U254"/>
      <c r="W254"/>
    </row>
    <row r="255" spans="10:23" s="1" customFormat="1" x14ac:dyDescent="0.2">
      <c r="J255"/>
      <c r="K255"/>
      <c r="L255"/>
      <c r="M255"/>
      <c r="N255" s="392"/>
      <c r="O255" s="2"/>
      <c r="S255"/>
      <c r="T255"/>
      <c r="U255"/>
      <c r="W255"/>
    </row>
    <row r="256" spans="10:23" s="1" customFormat="1" x14ac:dyDescent="0.2">
      <c r="J256"/>
      <c r="K256"/>
      <c r="L256"/>
      <c r="M256"/>
      <c r="N256" s="392"/>
      <c r="O256" s="2"/>
      <c r="S256"/>
      <c r="T256"/>
      <c r="U256"/>
      <c r="W256"/>
    </row>
    <row r="257" spans="10:23" s="1" customFormat="1" x14ac:dyDescent="0.2">
      <c r="J257"/>
      <c r="K257"/>
      <c r="L257"/>
      <c r="M257"/>
      <c r="N257" s="392"/>
      <c r="O257" s="2"/>
      <c r="S257"/>
      <c r="T257"/>
      <c r="U257"/>
      <c r="W257"/>
    </row>
    <row r="258" spans="10:23" s="1" customFormat="1" x14ac:dyDescent="0.2">
      <c r="J258"/>
      <c r="K258"/>
      <c r="L258"/>
      <c r="M258"/>
      <c r="N258" s="392"/>
      <c r="O258" s="2"/>
      <c r="S258"/>
      <c r="T258"/>
      <c r="U258"/>
      <c r="W258"/>
    </row>
    <row r="259" spans="10:23" s="1" customFormat="1" x14ac:dyDescent="0.2">
      <c r="J259"/>
      <c r="K259"/>
      <c r="L259"/>
      <c r="M259"/>
      <c r="N259" s="392"/>
      <c r="O259" s="2"/>
      <c r="S259"/>
      <c r="T259"/>
      <c r="U259"/>
      <c r="W259"/>
    </row>
    <row r="260" spans="10:23" s="1" customFormat="1" x14ac:dyDescent="0.2">
      <c r="J260"/>
      <c r="K260"/>
      <c r="L260"/>
      <c r="M260"/>
      <c r="N260" s="392"/>
      <c r="O260" s="2"/>
      <c r="S260"/>
      <c r="T260"/>
      <c r="U260"/>
      <c r="W260"/>
    </row>
    <row r="261" spans="10:23" s="1" customFormat="1" x14ac:dyDescent="0.2">
      <c r="J261"/>
      <c r="K261"/>
      <c r="L261"/>
      <c r="M261"/>
      <c r="N261" s="392"/>
      <c r="O261" s="2"/>
      <c r="S261"/>
      <c r="T261"/>
      <c r="U261"/>
      <c r="W261"/>
    </row>
    <row r="262" spans="10:23" s="1" customFormat="1" x14ac:dyDescent="0.2">
      <c r="J262"/>
      <c r="K262"/>
      <c r="L262"/>
      <c r="M262"/>
      <c r="N262" s="392"/>
      <c r="O262" s="2"/>
      <c r="S262"/>
      <c r="T262"/>
      <c r="U262"/>
      <c r="W262"/>
    </row>
    <row r="263" spans="10:23" s="1" customFormat="1" x14ac:dyDescent="0.2">
      <c r="J263"/>
      <c r="K263"/>
      <c r="L263"/>
      <c r="M263"/>
      <c r="N263" s="392"/>
      <c r="O263" s="2"/>
      <c r="S263"/>
      <c r="T263"/>
      <c r="U263"/>
      <c r="W263"/>
    </row>
    <row r="264" spans="10:23" s="1" customFormat="1" x14ac:dyDescent="0.2">
      <c r="J264"/>
      <c r="K264"/>
      <c r="L264"/>
      <c r="M264"/>
      <c r="N264" s="392"/>
      <c r="O264" s="2"/>
      <c r="S264"/>
      <c r="T264"/>
      <c r="U264"/>
      <c r="W264"/>
    </row>
    <row r="265" spans="10:23" s="1" customFormat="1" x14ac:dyDescent="0.2">
      <c r="J265"/>
      <c r="K265"/>
      <c r="L265"/>
      <c r="M265"/>
      <c r="N265" s="392"/>
      <c r="O265" s="2"/>
      <c r="S265"/>
      <c r="T265"/>
      <c r="U265"/>
      <c r="W265"/>
    </row>
    <row r="266" spans="10:23" s="1" customFormat="1" x14ac:dyDescent="0.2">
      <c r="J266"/>
      <c r="K266"/>
      <c r="L266"/>
      <c r="M266"/>
      <c r="N266" s="392"/>
      <c r="O266" s="2"/>
      <c r="S266"/>
      <c r="T266"/>
      <c r="U266"/>
      <c r="W266"/>
    </row>
    <row r="267" spans="10:23" s="1" customFormat="1" x14ac:dyDescent="0.2">
      <c r="J267"/>
      <c r="K267"/>
      <c r="L267"/>
      <c r="M267"/>
      <c r="N267" s="392"/>
      <c r="O267" s="2"/>
      <c r="S267"/>
      <c r="T267"/>
      <c r="U267"/>
      <c r="W267"/>
    </row>
    <row r="268" spans="10:23" s="1" customFormat="1" x14ac:dyDescent="0.2">
      <c r="J268"/>
      <c r="K268"/>
      <c r="L268"/>
      <c r="M268"/>
      <c r="N268" s="392"/>
      <c r="O268" s="2"/>
      <c r="S268"/>
      <c r="T268"/>
      <c r="U268"/>
      <c r="W268"/>
    </row>
    <row r="269" spans="10:23" s="1" customFormat="1" x14ac:dyDescent="0.2">
      <c r="J269"/>
      <c r="K269"/>
      <c r="L269"/>
      <c r="M269"/>
      <c r="N269" s="392"/>
      <c r="O269" s="2"/>
      <c r="S269"/>
      <c r="T269"/>
      <c r="U269"/>
      <c r="W269"/>
    </row>
    <row r="270" spans="10:23" s="1" customFormat="1" x14ac:dyDescent="0.2">
      <c r="J270"/>
      <c r="K270"/>
      <c r="L270"/>
      <c r="M270"/>
      <c r="N270" s="392"/>
      <c r="O270" s="2"/>
      <c r="S270"/>
      <c r="T270"/>
      <c r="U270"/>
      <c r="W270"/>
    </row>
    <row r="271" spans="10:23" s="1" customFormat="1" x14ac:dyDescent="0.2">
      <c r="J271"/>
      <c r="K271"/>
      <c r="L271"/>
      <c r="M271"/>
      <c r="N271" s="392"/>
      <c r="O271" s="2"/>
      <c r="S271"/>
      <c r="T271"/>
      <c r="U271"/>
      <c r="W271"/>
    </row>
    <row r="272" spans="10:23" s="1" customFormat="1" x14ac:dyDescent="0.2">
      <c r="J272"/>
      <c r="K272"/>
      <c r="L272"/>
      <c r="M272"/>
      <c r="N272" s="392"/>
      <c r="O272" s="2"/>
      <c r="S272"/>
      <c r="T272"/>
      <c r="U272"/>
      <c r="W272"/>
    </row>
    <row r="273" spans="10:23" s="1" customFormat="1" x14ac:dyDescent="0.2">
      <c r="J273"/>
      <c r="K273"/>
      <c r="L273"/>
      <c r="M273"/>
      <c r="N273" s="392"/>
      <c r="O273" s="2"/>
      <c r="S273"/>
      <c r="T273"/>
      <c r="U273"/>
      <c r="W273"/>
    </row>
    <row r="274" spans="10:23" s="1" customFormat="1" x14ac:dyDescent="0.2">
      <c r="J274"/>
      <c r="K274"/>
      <c r="L274"/>
      <c r="M274"/>
      <c r="N274" s="392"/>
      <c r="O274" s="2"/>
      <c r="S274"/>
      <c r="T274"/>
      <c r="U274"/>
      <c r="W274"/>
    </row>
    <row r="275" spans="10:23" s="1" customFormat="1" x14ac:dyDescent="0.2">
      <c r="J275"/>
      <c r="K275"/>
      <c r="L275"/>
      <c r="M275"/>
      <c r="N275" s="392"/>
      <c r="O275" s="2"/>
      <c r="S275"/>
      <c r="T275"/>
      <c r="U275"/>
      <c r="W275"/>
    </row>
    <row r="276" spans="10:23" s="1" customFormat="1" x14ac:dyDescent="0.2">
      <c r="J276"/>
      <c r="K276"/>
      <c r="L276"/>
      <c r="M276"/>
      <c r="N276" s="392"/>
      <c r="O276" s="2"/>
      <c r="S276"/>
      <c r="T276"/>
      <c r="U276"/>
      <c r="W276"/>
    </row>
    <row r="277" spans="10:23" s="1" customFormat="1" x14ac:dyDescent="0.2">
      <c r="J277"/>
      <c r="K277"/>
      <c r="L277"/>
      <c r="M277"/>
      <c r="N277" s="392"/>
      <c r="O277" s="2"/>
      <c r="S277"/>
      <c r="T277"/>
      <c r="U277"/>
      <c r="W277"/>
    </row>
    <row r="278" spans="10:23" s="1" customFormat="1" x14ac:dyDescent="0.2">
      <c r="J278"/>
      <c r="K278"/>
      <c r="L278"/>
      <c r="M278"/>
      <c r="N278" s="392"/>
      <c r="O278" s="2"/>
      <c r="S278"/>
      <c r="T278"/>
      <c r="U278"/>
      <c r="W278"/>
    </row>
    <row r="279" spans="10:23" s="1" customFormat="1" x14ac:dyDescent="0.2">
      <c r="J279"/>
      <c r="K279"/>
      <c r="L279"/>
      <c r="M279"/>
      <c r="N279" s="392"/>
      <c r="O279" s="2"/>
      <c r="S279"/>
      <c r="T279"/>
      <c r="U279"/>
      <c r="W279"/>
    </row>
    <row r="280" spans="10:23" s="1" customFormat="1" x14ac:dyDescent="0.2">
      <c r="J280"/>
      <c r="K280"/>
      <c r="L280"/>
      <c r="M280"/>
      <c r="N280" s="392"/>
      <c r="O280" s="2"/>
      <c r="S280"/>
      <c r="T280"/>
      <c r="U280"/>
      <c r="W280"/>
    </row>
    <row r="281" spans="10:23" s="1" customFormat="1" x14ac:dyDescent="0.2">
      <c r="J281"/>
      <c r="K281"/>
      <c r="L281"/>
      <c r="M281"/>
      <c r="N281" s="392"/>
      <c r="O281" s="2"/>
      <c r="S281"/>
      <c r="T281"/>
      <c r="U281"/>
      <c r="W281"/>
    </row>
    <row r="282" spans="10:23" s="1" customFormat="1" x14ac:dyDescent="0.2">
      <c r="J282"/>
      <c r="K282"/>
      <c r="L282"/>
      <c r="M282"/>
      <c r="N282" s="392"/>
      <c r="O282" s="2"/>
      <c r="S282"/>
      <c r="T282"/>
      <c r="U282"/>
      <c r="W282"/>
    </row>
    <row r="283" spans="10:23" s="1" customFormat="1" x14ac:dyDescent="0.2">
      <c r="J283"/>
      <c r="K283"/>
      <c r="L283"/>
      <c r="M283"/>
      <c r="N283" s="392"/>
      <c r="O283" s="2"/>
      <c r="S283"/>
      <c r="T283"/>
      <c r="U283"/>
      <c r="W283"/>
    </row>
    <row r="284" spans="10:23" s="1" customFormat="1" x14ac:dyDescent="0.2">
      <c r="J284"/>
      <c r="K284"/>
      <c r="L284"/>
      <c r="M284"/>
      <c r="N284" s="392"/>
      <c r="O284" s="2"/>
      <c r="S284"/>
      <c r="T284"/>
      <c r="U284"/>
      <c r="W284"/>
    </row>
    <row r="285" spans="10:23" s="1" customFormat="1" x14ac:dyDescent="0.2">
      <c r="J285"/>
      <c r="K285"/>
      <c r="L285"/>
      <c r="M285"/>
      <c r="N285" s="392"/>
      <c r="O285" s="2"/>
      <c r="S285"/>
      <c r="T285"/>
      <c r="U285"/>
      <c r="W285"/>
    </row>
    <row r="286" spans="10:23" s="1" customFormat="1" x14ac:dyDescent="0.2">
      <c r="J286"/>
      <c r="K286"/>
      <c r="L286"/>
      <c r="M286"/>
      <c r="N286" s="392"/>
      <c r="O286" s="2"/>
      <c r="S286"/>
      <c r="T286"/>
      <c r="U286"/>
      <c r="W286"/>
    </row>
    <row r="287" spans="10:23" s="1" customFormat="1" x14ac:dyDescent="0.2">
      <c r="J287"/>
      <c r="K287"/>
      <c r="L287"/>
      <c r="M287"/>
      <c r="N287" s="392"/>
      <c r="O287" s="2"/>
      <c r="S287"/>
      <c r="T287"/>
      <c r="U287"/>
      <c r="W287"/>
    </row>
    <row r="288" spans="10:23" s="1" customFormat="1" x14ac:dyDescent="0.2">
      <c r="J288"/>
      <c r="K288"/>
      <c r="L288"/>
      <c r="M288"/>
      <c r="N288" s="392"/>
      <c r="O288" s="2"/>
      <c r="S288"/>
      <c r="T288"/>
      <c r="U288"/>
      <c r="W288"/>
    </row>
    <row r="289" spans="10:23" s="1" customFormat="1" x14ac:dyDescent="0.2">
      <c r="J289"/>
      <c r="K289"/>
      <c r="L289"/>
      <c r="M289"/>
      <c r="N289" s="392"/>
      <c r="O289" s="2"/>
      <c r="S289"/>
      <c r="T289"/>
      <c r="U289"/>
      <c r="W289"/>
    </row>
    <row r="290" spans="10:23" s="1" customFormat="1" x14ac:dyDescent="0.2">
      <c r="J290"/>
      <c r="K290"/>
      <c r="L290"/>
      <c r="M290"/>
      <c r="N290" s="392"/>
      <c r="O290" s="2"/>
      <c r="S290"/>
      <c r="T290"/>
      <c r="U290"/>
      <c r="W290"/>
    </row>
    <row r="291" spans="10:23" s="1" customFormat="1" x14ac:dyDescent="0.2">
      <c r="J291"/>
      <c r="K291"/>
      <c r="L291"/>
      <c r="M291"/>
      <c r="N291" s="392"/>
      <c r="O291" s="2"/>
      <c r="S291"/>
      <c r="T291"/>
      <c r="U291"/>
      <c r="W291"/>
    </row>
    <row r="292" spans="10:23" s="1" customFormat="1" x14ac:dyDescent="0.2">
      <c r="J292"/>
      <c r="K292"/>
      <c r="L292"/>
      <c r="M292"/>
      <c r="N292" s="392"/>
      <c r="O292" s="2"/>
      <c r="S292"/>
      <c r="T292"/>
      <c r="U292"/>
      <c r="W292"/>
    </row>
    <row r="293" spans="10:23" s="1" customFormat="1" x14ac:dyDescent="0.2">
      <c r="J293"/>
      <c r="K293"/>
      <c r="L293"/>
      <c r="M293"/>
      <c r="N293" s="392"/>
      <c r="O293" s="2"/>
      <c r="S293"/>
      <c r="T293"/>
      <c r="U293"/>
      <c r="W293"/>
    </row>
    <row r="294" spans="10:23" s="1" customFormat="1" x14ac:dyDescent="0.2">
      <c r="J294"/>
      <c r="K294"/>
      <c r="L294"/>
      <c r="M294"/>
      <c r="N294" s="392"/>
      <c r="O294" s="2"/>
      <c r="S294"/>
      <c r="T294"/>
      <c r="U294"/>
      <c r="W294"/>
    </row>
    <row r="295" spans="10:23" s="1" customFormat="1" x14ac:dyDescent="0.2">
      <c r="J295"/>
      <c r="K295"/>
      <c r="L295"/>
      <c r="M295"/>
      <c r="N295" s="392"/>
      <c r="O295" s="2"/>
      <c r="S295"/>
      <c r="T295"/>
      <c r="U295"/>
      <c r="W295"/>
    </row>
    <row r="296" spans="10:23" s="1" customFormat="1" x14ac:dyDescent="0.2">
      <c r="J296"/>
      <c r="K296"/>
      <c r="L296"/>
      <c r="M296"/>
      <c r="N296" s="392"/>
      <c r="O296" s="2"/>
      <c r="S296"/>
      <c r="T296"/>
      <c r="U296"/>
      <c r="W296"/>
    </row>
    <row r="297" spans="10:23" s="1" customFormat="1" x14ac:dyDescent="0.2">
      <c r="J297"/>
      <c r="K297"/>
      <c r="L297"/>
      <c r="M297"/>
      <c r="N297" s="392"/>
      <c r="O297" s="2"/>
      <c r="S297"/>
      <c r="T297"/>
      <c r="U297"/>
      <c r="W297"/>
    </row>
    <row r="298" spans="10:23" s="1" customFormat="1" x14ac:dyDescent="0.2">
      <c r="J298"/>
      <c r="K298"/>
      <c r="L298"/>
      <c r="M298"/>
      <c r="N298" s="392"/>
      <c r="O298" s="2"/>
      <c r="S298"/>
      <c r="T298"/>
      <c r="U298"/>
      <c r="W298"/>
    </row>
    <row r="299" spans="10:23" s="1" customFormat="1" x14ac:dyDescent="0.2">
      <c r="J299"/>
      <c r="K299"/>
      <c r="L299"/>
      <c r="M299"/>
      <c r="N299" s="392"/>
      <c r="O299" s="2"/>
      <c r="S299"/>
      <c r="T299"/>
      <c r="U299"/>
      <c r="W299"/>
    </row>
    <row r="300" spans="10:23" s="1" customFormat="1" x14ac:dyDescent="0.2">
      <c r="J300"/>
      <c r="K300"/>
      <c r="L300"/>
      <c r="M300"/>
      <c r="N300" s="392"/>
      <c r="O300" s="2"/>
      <c r="S300"/>
      <c r="T300"/>
      <c r="U300"/>
      <c r="W300"/>
    </row>
    <row r="301" spans="10:23" s="1" customFormat="1" x14ac:dyDescent="0.2">
      <c r="J301"/>
      <c r="K301"/>
      <c r="L301"/>
      <c r="M301"/>
      <c r="N301" s="392"/>
      <c r="O301" s="2"/>
      <c r="S301"/>
      <c r="T301"/>
      <c r="U301"/>
      <c r="W301"/>
    </row>
    <row r="302" spans="10:23" s="1" customFormat="1" x14ac:dyDescent="0.2">
      <c r="J302"/>
      <c r="K302"/>
      <c r="L302"/>
      <c r="M302"/>
      <c r="N302" s="392"/>
      <c r="O302" s="2"/>
      <c r="S302"/>
      <c r="T302"/>
      <c r="U302"/>
      <c r="W302"/>
    </row>
    <row r="303" spans="10:23" s="1" customFormat="1" x14ac:dyDescent="0.2">
      <c r="J303"/>
      <c r="K303"/>
      <c r="L303"/>
      <c r="M303"/>
      <c r="N303" s="392"/>
      <c r="O303" s="2"/>
      <c r="S303"/>
      <c r="T303"/>
      <c r="U303"/>
      <c r="W303"/>
    </row>
    <row r="304" spans="10:23" s="1" customFormat="1" x14ac:dyDescent="0.2">
      <c r="J304"/>
      <c r="K304"/>
      <c r="L304"/>
      <c r="M304"/>
      <c r="N304" s="392"/>
      <c r="O304" s="2"/>
      <c r="S304"/>
      <c r="T304"/>
      <c r="U304"/>
      <c r="W304"/>
    </row>
    <row r="305" spans="10:23" s="1" customFormat="1" x14ac:dyDescent="0.2">
      <c r="J305"/>
      <c r="K305"/>
      <c r="L305"/>
      <c r="M305"/>
      <c r="N305" s="392"/>
      <c r="O305" s="2"/>
      <c r="S305"/>
      <c r="T305"/>
      <c r="U305"/>
      <c r="W305"/>
    </row>
    <row r="306" spans="10:23" s="1" customFormat="1" x14ac:dyDescent="0.2">
      <c r="J306"/>
      <c r="K306"/>
      <c r="L306"/>
      <c r="M306"/>
      <c r="N306" s="392"/>
      <c r="O306" s="2"/>
      <c r="S306"/>
      <c r="T306"/>
      <c r="U306"/>
      <c r="W306"/>
    </row>
    <row r="307" spans="10:23" s="1" customFormat="1" x14ac:dyDescent="0.2">
      <c r="J307"/>
      <c r="K307"/>
      <c r="L307"/>
      <c r="M307"/>
      <c r="N307" s="392"/>
      <c r="O307" s="2"/>
      <c r="S307"/>
      <c r="T307"/>
      <c r="U307"/>
      <c r="W307"/>
    </row>
    <row r="308" spans="10:23" s="1" customFormat="1" x14ac:dyDescent="0.2">
      <c r="J308"/>
      <c r="K308"/>
      <c r="L308"/>
      <c r="M308"/>
      <c r="N308" s="392"/>
      <c r="O308" s="2"/>
      <c r="S308"/>
      <c r="T308"/>
      <c r="U308"/>
      <c r="W308"/>
    </row>
    <row r="309" spans="10:23" s="1" customFormat="1" x14ac:dyDescent="0.2">
      <c r="J309"/>
      <c r="K309"/>
      <c r="L309"/>
      <c r="M309"/>
      <c r="N309" s="392"/>
      <c r="O309" s="2"/>
      <c r="S309"/>
      <c r="T309"/>
      <c r="U309"/>
      <c r="W309"/>
    </row>
    <row r="310" spans="10:23" s="1" customFormat="1" x14ac:dyDescent="0.2">
      <c r="J310"/>
      <c r="K310"/>
      <c r="L310"/>
      <c r="M310"/>
      <c r="N310" s="392"/>
      <c r="O310" s="2"/>
      <c r="S310"/>
      <c r="T310"/>
      <c r="U310"/>
      <c r="W310"/>
    </row>
    <row r="311" spans="10:23" s="1" customFormat="1" x14ac:dyDescent="0.2">
      <c r="J311"/>
      <c r="K311"/>
      <c r="L311"/>
      <c r="M311"/>
      <c r="N311" s="392"/>
      <c r="O311" s="2"/>
      <c r="S311"/>
      <c r="T311"/>
      <c r="U311"/>
      <c r="W311"/>
    </row>
    <row r="312" spans="10:23" s="1" customFormat="1" x14ac:dyDescent="0.2">
      <c r="J312"/>
      <c r="K312"/>
      <c r="L312"/>
      <c r="M312"/>
      <c r="N312" s="392"/>
      <c r="O312" s="2"/>
      <c r="S312"/>
      <c r="T312"/>
      <c r="U312"/>
      <c r="W312"/>
    </row>
    <row r="313" spans="10:23" s="1" customFormat="1" x14ac:dyDescent="0.2">
      <c r="J313"/>
      <c r="K313"/>
      <c r="L313"/>
      <c r="M313"/>
      <c r="N313" s="392"/>
      <c r="O313" s="2"/>
      <c r="S313"/>
      <c r="T313"/>
      <c r="U313"/>
      <c r="W313"/>
    </row>
    <row r="314" spans="10:23" s="1" customFormat="1" x14ac:dyDescent="0.2">
      <c r="J314"/>
      <c r="K314"/>
      <c r="L314"/>
      <c r="M314"/>
      <c r="N314" s="392"/>
      <c r="O314" s="2"/>
      <c r="S314"/>
      <c r="T314"/>
      <c r="U314"/>
      <c r="W314"/>
    </row>
    <row r="315" spans="10:23" s="1" customFormat="1" x14ac:dyDescent="0.2">
      <c r="J315"/>
      <c r="K315"/>
      <c r="L315"/>
      <c r="M315"/>
      <c r="N315" s="392"/>
      <c r="O315" s="2"/>
      <c r="S315"/>
      <c r="T315"/>
      <c r="U315"/>
      <c r="W315"/>
    </row>
    <row r="316" spans="10:23" s="1" customFormat="1" x14ac:dyDescent="0.2">
      <c r="J316"/>
      <c r="K316"/>
      <c r="L316"/>
      <c r="M316"/>
      <c r="N316" s="392"/>
      <c r="O316" s="2"/>
      <c r="S316"/>
      <c r="T316"/>
      <c r="U316"/>
      <c r="W316"/>
    </row>
    <row r="317" spans="10:23" s="1" customFormat="1" x14ac:dyDescent="0.2">
      <c r="J317"/>
      <c r="K317"/>
      <c r="L317"/>
      <c r="M317"/>
      <c r="N317" s="392"/>
      <c r="O317" s="2"/>
      <c r="S317"/>
      <c r="T317"/>
      <c r="U317"/>
      <c r="W317"/>
    </row>
    <row r="318" spans="10:23" s="1" customFormat="1" x14ac:dyDescent="0.2">
      <c r="J318"/>
      <c r="K318"/>
      <c r="L318"/>
      <c r="M318"/>
      <c r="N318" s="392"/>
      <c r="O318" s="2"/>
      <c r="S318"/>
      <c r="T318"/>
      <c r="U318"/>
      <c r="W318"/>
    </row>
    <row r="319" spans="10:23" s="1" customFormat="1" x14ac:dyDescent="0.2">
      <c r="J319"/>
      <c r="K319"/>
      <c r="L319"/>
      <c r="M319"/>
      <c r="N319" s="392"/>
      <c r="O319" s="2"/>
      <c r="S319"/>
      <c r="T319"/>
      <c r="U319"/>
      <c r="W319"/>
    </row>
    <row r="320" spans="10:23" s="1" customFormat="1" x14ac:dyDescent="0.2">
      <c r="J320"/>
      <c r="K320"/>
      <c r="L320"/>
      <c r="M320"/>
      <c r="N320" s="392"/>
      <c r="O320" s="2"/>
      <c r="S320"/>
      <c r="T320"/>
      <c r="U320"/>
      <c r="W320"/>
    </row>
    <row r="321" spans="10:23" s="1" customFormat="1" x14ac:dyDescent="0.2">
      <c r="J321"/>
      <c r="K321"/>
      <c r="L321"/>
      <c r="M321"/>
      <c r="N321" s="392"/>
      <c r="O321" s="2"/>
      <c r="S321"/>
      <c r="T321"/>
      <c r="U321"/>
      <c r="W321"/>
    </row>
    <row r="322" spans="10:23" s="1" customFormat="1" x14ac:dyDescent="0.2">
      <c r="J322"/>
      <c r="K322"/>
      <c r="L322"/>
      <c r="M322"/>
      <c r="N322" s="392"/>
      <c r="O322" s="2"/>
      <c r="S322"/>
      <c r="T322"/>
      <c r="U322"/>
      <c r="W322"/>
    </row>
    <row r="323" spans="10:23" s="1" customFormat="1" x14ac:dyDescent="0.2">
      <c r="J323"/>
      <c r="K323"/>
      <c r="L323"/>
      <c r="M323"/>
      <c r="N323" s="392"/>
      <c r="O323" s="2"/>
      <c r="S323"/>
      <c r="T323"/>
      <c r="U323"/>
      <c r="W323"/>
    </row>
    <row r="324" spans="10:23" s="1" customFormat="1" x14ac:dyDescent="0.2">
      <c r="J324"/>
      <c r="K324"/>
      <c r="L324"/>
      <c r="M324"/>
      <c r="N324" s="392"/>
      <c r="O324" s="2"/>
      <c r="S324"/>
      <c r="T324"/>
      <c r="U324"/>
      <c r="W324"/>
    </row>
    <row r="325" spans="10:23" s="1" customFormat="1" x14ac:dyDescent="0.2">
      <c r="J325"/>
      <c r="K325"/>
      <c r="L325"/>
      <c r="M325"/>
      <c r="N325" s="392"/>
      <c r="O325" s="2"/>
      <c r="S325"/>
      <c r="T325"/>
      <c r="U325"/>
      <c r="W325"/>
    </row>
    <row r="326" spans="10:23" s="1" customFormat="1" x14ac:dyDescent="0.2">
      <c r="J326"/>
      <c r="K326"/>
      <c r="L326"/>
      <c r="M326"/>
      <c r="N326" s="392"/>
      <c r="O326" s="2"/>
      <c r="S326"/>
      <c r="T326"/>
      <c r="U326"/>
      <c r="W326"/>
    </row>
    <row r="327" spans="10:23" s="1" customFormat="1" x14ac:dyDescent="0.2">
      <c r="J327"/>
      <c r="K327"/>
      <c r="L327"/>
      <c r="M327"/>
      <c r="N327" s="392"/>
      <c r="O327" s="2"/>
      <c r="S327"/>
      <c r="T327"/>
      <c r="U327"/>
      <c r="W327"/>
    </row>
    <row r="328" spans="10:23" s="1" customFormat="1" x14ac:dyDescent="0.2">
      <c r="J328"/>
      <c r="K328"/>
      <c r="L328"/>
      <c r="M328"/>
      <c r="N328" s="392"/>
      <c r="O328" s="2"/>
      <c r="S328"/>
      <c r="T328"/>
      <c r="U328"/>
      <c r="W328"/>
    </row>
    <row r="329" spans="10:23" s="1" customFormat="1" x14ac:dyDescent="0.2">
      <c r="J329"/>
      <c r="K329"/>
      <c r="L329"/>
      <c r="M329"/>
      <c r="N329" s="392"/>
      <c r="O329" s="2"/>
      <c r="S329"/>
      <c r="T329"/>
      <c r="U329"/>
      <c r="W329"/>
    </row>
    <row r="330" spans="10:23" s="1" customFormat="1" x14ac:dyDescent="0.2">
      <c r="J330"/>
      <c r="K330"/>
      <c r="L330"/>
      <c r="M330"/>
      <c r="N330" s="392"/>
      <c r="O330" s="2"/>
      <c r="S330"/>
      <c r="T330"/>
      <c r="U330"/>
      <c r="W330"/>
    </row>
    <row r="331" spans="10:23" s="1" customFormat="1" x14ac:dyDescent="0.2">
      <c r="J331"/>
      <c r="K331"/>
      <c r="L331"/>
      <c r="M331"/>
      <c r="N331" s="392"/>
      <c r="O331" s="2"/>
      <c r="S331"/>
      <c r="T331"/>
      <c r="U331"/>
      <c r="W331"/>
    </row>
    <row r="332" spans="10:23" s="1" customFormat="1" x14ac:dyDescent="0.2">
      <c r="J332"/>
      <c r="K332"/>
      <c r="L332"/>
      <c r="M332"/>
      <c r="N332" s="392"/>
      <c r="O332" s="2"/>
      <c r="S332"/>
      <c r="T332"/>
      <c r="U332"/>
      <c r="W332"/>
    </row>
    <row r="333" spans="10:23" s="1" customFormat="1" x14ac:dyDescent="0.2">
      <c r="J333"/>
      <c r="K333"/>
      <c r="L333"/>
      <c r="M333"/>
      <c r="N333" s="392"/>
      <c r="O333" s="2"/>
      <c r="S333"/>
      <c r="T333"/>
      <c r="U333"/>
      <c r="W333"/>
    </row>
    <row r="334" spans="10:23" s="1" customFormat="1" x14ac:dyDescent="0.2">
      <c r="J334"/>
      <c r="K334"/>
      <c r="L334"/>
      <c r="M334"/>
      <c r="N334" s="392"/>
      <c r="O334" s="2"/>
      <c r="S334"/>
      <c r="T334"/>
      <c r="U334"/>
      <c r="W334"/>
    </row>
    <row r="335" spans="10:23" s="1" customFormat="1" x14ac:dyDescent="0.2">
      <c r="J335"/>
      <c r="K335"/>
      <c r="L335"/>
      <c r="M335"/>
      <c r="N335" s="392"/>
      <c r="O335" s="2"/>
      <c r="S335"/>
      <c r="T335"/>
      <c r="U335"/>
      <c r="W335"/>
    </row>
    <row r="336" spans="10:23" s="1" customFormat="1" x14ac:dyDescent="0.2">
      <c r="J336"/>
      <c r="K336"/>
      <c r="L336"/>
      <c r="M336"/>
      <c r="N336" s="392"/>
      <c r="O336" s="2"/>
      <c r="S336"/>
      <c r="T336"/>
      <c r="U336"/>
      <c r="W336"/>
    </row>
    <row r="337" spans="10:23" s="1" customFormat="1" x14ac:dyDescent="0.2">
      <c r="J337"/>
      <c r="K337"/>
      <c r="L337"/>
      <c r="M337"/>
      <c r="N337" s="392"/>
      <c r="O337" s="2"/>
      <c r="S337"/>
      <c r="T337"/>
      <c r="U337"/>
      <c r="W337"/>
    </row>
    <row r="338" spans="10:23" s="1" customFormat="1" x14ac:dyDescent="0.2">
      <c r="J338"/>
      <c r="K338"/>
      <c r="L338"/>
      <c r="M338"/>
      <c r="N338" s="392"/>
      <c r="O338" s="2"/>
      <c r="S338"/>
      <c r="T338"/>
      <c r="U338"/>
      <c r="W338"/>
    </row>
    <row r="339" spans="10:23" s="1" customFormat="1" x14ac:dyDescent="0.2">
      <c r="J339"/>
      <c r="K339"/>
      <c r="L339"/>
      <c r="M339"/>
      <c r="N339" s="392"/>
      <c r="O339" s="2"/>
      <c r="S339"/>
      <c r="T339"/>
      <c r="U339"/>
      <c r="W339"/>
    </row>
    <row r="340" spans="10:23" s="1" customFormat="1" x14ac:dyDescent="0.2">
      <c r="J340"/>
      <c r="K340"/>
      <c r="L340"/>
      <c r="M340"/>
      <c r="N340" s="392"/>
      <c r="O340" s="2"/>
      <c r="S340"/>
      <c r="T340"/>
      <c r="U340"/>
      <c r="W340"/>
    </row>
    <row r="341" spans="10:23" s="1" customFormat="1" x14ac:dyDescent="0.2">
      <c r="J341"/>
      <c r="K341"/>
      <c r="L341"/>
      <c r="M341"/>
      <c r="N341" s="392"/>
      <c r="O341" s="2"/>
      <c r="S341"/>
      <c r="T341"/>
      <c r="U341"/>
      <c r="W341"/>
    </row>
    <row r="342" spans="10:23" s="1" customFormat="1" x14ac:dyDescent="0.2">
      <c r="J342"/>
      <c r="K342"/>
      <c r="L342"/>
      <c r="M342"/>
      <c r="N342" s="392"/>
      <c r="O342" s="2"/>
      <c r="S342"/>
      <c r="T342"/>
      <c r="U342"/>
      <c r="W342"/>
    </row>
    <row r="343" spans="10:23" s="1" customFormat="1" x14ac:dyDescent="0.2">
      <c r="J343"/>
      <c r="K343"/>
      <c r="L343"/>
      <c r="M343"/>
      <c r="N343" s="392"/>
      <c r="O343" s="2"/>
      <c r="S343"/>
      <c r="T343"/>
      <c r="U343"/>
      <c r="W343"/>
    </row>
    <row r="344" spans="10:23" s="1" customFormat="1" x14ac:dyDescent="0.2">
      <c r="J344"/>
      <c r="K344"/>
      <c r="L344"/>
      <c r="M344"/>
      <c r="N344" s="392"/>
      <c r="O344" s="2"/>
      <c r="S344"/>
      <c r="T344"/>
      <c r="U344"/>
      <c r="W344"/>
    </row>
    <row r="345" spans="10:23" s="1" customFormat="1" x14ac:dyDescent="0.2">
      <c r="J345"/>
      <c r="K345"/>
      <c r="L345"/>
      <c r="M345"/>
      <c r="N345" s="392"/>
      <c r="O345" s="2"/>
      <c r="S345"/>
      <c r="T345"/>
      <c r="U345"/>
      <c r="W345"/>
    </row>
    <row r="346" spans="10:23" s="1" customFormat="1" x14ac:dyDescent="0.2">
      <c r="J346"/>
      <c r="K346"/>
      <c r="L346"/>
      <c r="M346"/>
      <c r="N346" s="392"/>
      <c r="O346" s="2"/>
      <c r="S346"/>
      <c r="T346"/>
      <c r="U346"/>
      <c r="W346"/>
    </row>
    <row r="347" spans="10:23" s="1" customFormat="1" x14ac:dyDescent="0.2">
      <c r="J347"/>
      <c r="K347"/>
      <c r="L347"/>
      <c r="M347"/>
      <c r="N347" s="392"/>
      <c r="O347" s="2"/>
      <c r="S347"/>
      <c r="T347"/>
      <c r="U347"/>
      <c r="W347"/>
    </row>
    <row r="348" spans="10:23" s="1" customFormat="1" x14ac:dyDescent="0.2">
      <c r="J348"/>
      <c r="K348"/>
      <c r="L348"/>
      <c r="M348"/>
      <c r="N348" s="392"/>
      <c r="O348" s="2"/>
      <c r="S348"/>
      <c r="T348"/>
      <c r="U348"/>
      <c r="W348"/>
    </row>
    <row r="349" spans="10:23" s="1" customFormat="1" x14ac:dyDescent="0.2">
      <c r="J349"/>
      <c r="K349"/>
      <c r="L349"/>
      <c r="M349"/>
      <c r="N349" s="392"/>
      <c r="O349" s="2"/>
      <c r="S349"/>
      <c r="T349"/>
      <c r="U349"/>
      <c r="W349"/>
    </row>
    <row r="350" spans="10:23" s="1" customFormat="1" x14ac:dyDescent="0.2">
      <c r="J350"/>
      <c r="K350"/>
      <c r="L350"/>
      <c r="M350"/>
      <c r="N350" s="392"/>
      <c r="O350" s="2"/>
      <c r="S350"/>
      <c r="T350"/>
      <c r="U350"/>
      <c r="W350"/>
    </row>
    <row r="351" spans="10:23" s="1" customFormat="1" x14ac:dyDescent="0.2">
      <c r="J351"/>
      <c r="K351"/>
      <c r="L351"/>
      <c r="M351"/>
      <c r="N351" s="392"/>
      <c r="O351" s="2"/>
      <c r="S351"/>
      <c r="T351"/>
      <c r="U351"/>
      <c r="W351"/>
    </row>
    <row r="352" spans="10:23" s="1" customFormat="1" x14ac:dyDescent="0.2">
      <c r="J352"/>
      <c r="K352"/>
      <c r="L352"/>
      <c r="M352"/>
      <c r="N352" s="392"/>
      <c r="O352" s="2"/>
      <c r="S352"/>
      <c r="T352"/>
      <c r="U352"/>
      <c r="W352"/>
    </row>
    <row r="353" spans="10:23" s="1" customFormat="1" x14ac:dyDescent="0.2">
      <c r="J353"/>
      <c r="K353"/>
      <c r="L353"/>
      <c r="M353"/>
      <c r="N353" s="392"/>
      <c r="O353" s="2"/>
      <c r="S353"/>
      <c r="T353"/>
      <c r="U353"/>
      <c r="W353"/>
    </row>
    <row r="354" spans="10:23" s="1" customFormat="1" x14ac:dyDescent="0.2">
      <c r="J354"/>
      <c r="K354"/>
      <c r="L354"/>
      <c r="M354"/>
      <c r="N354" s="392"/>
      <c r="O354" s="2"/>
      <c r="S354"/>
      <c r="T354"/>
      <c r="U354"/>
      <c r="W354"/>
    </row>
    <row r="355" spans="10:23" s="1" customFormat="1" x14ac:dyDescent="0.2">
      <c r="J355"/>
      <c r="K355"/>
      <c r="L355"/>
      <c r="M355"/>
      <c r="N355" s="392"/>
      <c r="O355" s="2"/>
      <c r="S355"/>
      <c r="T355"/>
      <c r="U355"/>
      <c r="W355"/>
    </row>
    <row r="356" spans="10:23" s="1" customFormat="1" x14ac:dyDescent="0.2">
      <c r="J356"/>
      <c r="K356"/>
      <c r="L356"/>
      <c r="M356"/>
      <c r="N356" s="392"/>
      <c r="O356" s="2"/>
      <c r="S356"/>
      <c r="T356"/>
      <c r="U356"/>
      <c r="W356"/>
    </row>
    <row r="357" spans="10:23" s="1" customFormat="1" x14ac:dyDescent="0.2">
      <c r="J357"/>
      <c r="K357"/>
      <c r="L357"/>
      <c r="M357"/>
      <c r="N357" s="392"/>
      <c r="O357" s="2"/>
      <c r="S357"/>
      <c r="T357"/>
      <c r="U357"/>
      <c r="W357"/>
    </row>
    <row r="358" spans="10:23" s="1" customFormat="1" x14ac:dyDescent="0.2">
      <c r="J358"/>
      <c r="K358"/>
      <c r="L358"/>
      <c r="M358"/>
      <c r="N358" s="392"/>
      <c r="O358" s="2"/>
      <c r="S358"/>
      <c r="T358"/>
      <c r="U358"/>
      <c r="W358"/>
    </row>
    <row r="359" spans="10:23" s="1" customFormat="1" x14ac:dyDescent="0.2">
      <c r="J359"/>
      <c r="K359"/>
      <c r="L359"/>
      <c r="M359"/>
      <c r="N359" s="392"/>
      <c r="O359" s="2"/>
      <c r="S359"/>
      <c r="T359"/>
      <c r="U359"/>
      <c r="W359"/>
    </row>
    <row r="360" spans="10:23" s="1" customFormat="1" x14ac:dyDescent="0.2">
      <c r="J360"/>
      <c r="K360"/>
      <c r="L360"/>
      <c r="M360"/>
      <c r="N360" s="392"/>
      <c r="O360" s="2"/>
      <c r="S360"/>
      <c r="T360"/>
      <c r="U360"/>
      <c r="W360"/>
    </row>
    <row r="361" spans="10:23" s="1" customFormat="1" x14ac:dyDescent="0.2">
      <c r="J361"/>
      <c r="K361"/>
      <c r="L361"/>
      <c r="M361"/>
      <c r="N361" s="392"/>
      <c r="O361" s="2"/>
      <c r="S361"/>
      <c r="T361"/>
      <c r="U361"/>
      <c r="W361"/>
    </row>
    <row r="362" spans="10:23" s="1" customFormat="1" x14ac:dyDescent="0.2">
      <c r="J362"/>
      <c r="K362"/>
      <c r="L362"/>
      <c r="M362"/>
      <c r="N362" s="392"/>
      <c r="O362" s="2"/>
      <c r="S362"/>
      <c r="T362"/>
      <c r="U362"/>
      <c r="W362"/>
    </row>
    <row r="363" spans="10:23" s="1" customFormat="1" x14ac:dyDescent="0.2">
      <c r="J363"/>
      <c r="K363"/>
      <c r="L363"/>
      <c r="M363"/>
      <c r="N363" s="392"/>
      <c r="O363" s="2"/>
      <c r="S363"/>
      <c r="T363"/>
      <c r="U363"/>
      <c r="W363"/>
    </row>
    <row r="364" spans="10:23" s="1" customFormat="1" x14ac:dyDescent="0.2">
      <c r="J364"/>
      <c r="K364"/>
      <c r="L364"/>
      <c r="M364"/>
      <c r="N364" s="392"/>
      <c r="O364" s="2"/>
      <c r="S364"/>
      <c r="T364"/>
      <c r="U364"/>
      <c r="W364"/>
    </row>
    <row r="365" spans="10:23" s="1" customFormat="1" x14ac:dyDescent="0.2">
      <c r="J365"/>
      <c r="K365"/>
      <c r="L365"/>
      <c r="M365"/>
      <c r="N365" s="392"/>
      <c r="O365" s="2"/>
      <c r="S365"/>
      <c r="T365"/>
      <c r="U365"/>
      <c r="W365"/>
    </row>
    <row r="366" spans="10:23" s="1" customFormat="1" x14ac:dyDescent="0.2">
      <c r="J366"/>
      <c r="K366"/>
      <c r="L366"/>
      <c r="M366"/>
      <c r="N366" s="392"/>
      <c r="O366" s="2"/>
      <c r="S366"/>
      <c r="T366"/>
      <c r="U366"/>
      <c r="W366"/>
    </row>
    <row r="367" spans="10:23" s="1" customFormat="1" x14ac:dyDescent="0.2">
      <c r="J367"/>
      <c r="K367"/>
      <c r="L367"/>
      <c r="M367"/>
      <c r="N367" s="392"/>
      <c r="O367" s="2"/>
      <c r="S367"/>
      <c r="T367"/>
      <c r="U367"/>
      <c r="W367"/>
    </row>
    <row r="368" spans="10:23" s="1" customFormat="1" x14ac:dyDescent="0.2">
      <c r="J368"/>
      <c r="K368"/>
      <c r="L368"/>
      <c r="M368"/>
      <c r="N368" s="392"/>
      <c r="O368" s="2"/>
      <c r="S368"/>
      <c r="T368"/>
      <c r="U368"/>
      <c r="W368"/>
    </row>
    <row r="369" spans="10:23" s="1" customFormat="1" x14ac:dyDescent="0.2">
      <c r="J369"/>
      <c r="K369"/>
      <c r="L369"/>
      <c r="M369"/>
      <c r="N369" s="392"/>
      <c r="O369" s="2"/>
      <c r="S369"/>
      <c r="T369"/>
      <c r="U369"/>
      <c r="W369"/>
    </row>
    <row r="370" spans="10:23" s="1" customFormat="1" x14ac:dyDescent="0.2">
      <c r="J370"/>
      <c r="K370"/>
      <c r="L370"/>
      <c r="M370"/>
      <c r="N370" s="392"/>
      <c r="O370" s="2"/>
      <c r="S370"/>
      <c r="T370"/>
      <c r="U370"/>
      <c r="W370"/>
    </row>
    <row r="371" spans="10:23" s="1" customFormat="1" x14ac:dyDescent="0.2">
      <c r="J371"/>
      <c r="K371"/>
      <c r="L371"/>
      <c r="M371"/>
      <c r="N371" s="392"/>
      <c r="O371" s="2"/>
      <c r="S371"/>
      <c r="T371"/>
      <c r="U371"/>
      <c r="W371"/>
    </row>
    <row r="372" spans="10:23" s="1" customFormat="1" x14ac:dyDescent="0.2">
      <c r="J372"/>
      <c r="K372"/>
      <c r="L372"/>
      <c r="M372"/>
      <c r="N372" s="392"/>
      <c r="O372" s="2"/>
      <c r="S372"/>
      <c r="T372"/>
      <c r="U372"/>
      <c r="W372"/>
    </row>
    <row r="373" spans="10:23" s="1" customFormat="1" x14ac:dyDescent="0.2">
      <c r="J373"/>
      <c r="K373"/>
      <c r="L373"/>
      <c r="M373"/>
      <c r="N373" s="392"/>
      <c r="O373" s="2"/>
      <c r="S373"/>
      <c r="T373"/>
      <c r="U373"/>
      <c r="W373"/>
    </row>
    <row r="374" spans="10:23" s="1" customFormat="1" x14ac:dyDescent="0.2">
      <c r="J374"/>
      <c r="K374"/>
      <c r="L374"/>
      <c r="M374"/>
      <c r="N374" s="392"/>
      <c r="O374" s="2"/>
      <c r="S374"/>
      <c r="T374"/>
      <c r="U374"/>
      <c r="W374"/>
    </row>
    <row r="375" spans="10:23" s="1" customFormat="1" x14ac:dyDescent="0.2">
      <c r="J375"/>
      <c r="K375"/>
      <c r="L375"/>
      <c r="M375"/>
      <c r="N375" s="392"/>
      <c r="O375" s="2"/>
      <c r="S375"/>
      <c r="T375"/>
      <c r="U375"/>
      <c r="W375"/>
    </row>
    <row r="376" spans="10:23" s="1" customFormat="1" x14ac:dyDescent="0.2">
      <c r="J376"/>
      <c r="K376"/>
      <c r="L376"/>
      <c r="M376"/>
      <c r="N376" s="392"/>
      <c r="O376" s="2"/>
      <c r="S376"/>
      <c r="T376"/>
      <c r="U376"/>
      <c r="W376"/>
    </row>
    <row r="377" spans="10:23" s="1" customFormat="1" x14ac:dyDescent="0.2">
      <c r="J377"/>
      <c r="K377"/>
      <c r="L377"/>
      <c r="M377"/>
      <c r="N377" s="392"/>
      <c r="O377" s="2"/>
      <c r="S377"/>
      <c r="T377"/>
      <c r="U377"/>
      <c r="W377"/>
    </row>
    <row r="378" spans="10:23" s="1" customFormat="1" x14ac:dyDescent="0.2">
      <c r="J378"/>
      <c r="K378"/>
      <c r="L378"/>
      <c r="M378"/>
      <c r="N378" s="392"/>
      <c r="O378" s="2"/>
      <c r="S378"/>
      <c r="T378"/>
      <c r="U378"/>
      <c r="W378"/>
    </row>
    <row r="379" spans="10:23" s="1" customFormat="1" x14ac:dyDescent="0.2">
      <c r="J379"/>
      <c r="K379"/>
      <c r="L379"/>
      <c r="M379"/>
      <c r="N379" s="392"/>
      <c r="O379" s="2"/>
      <c r="S379"/>
      <c r="T379"/>
      <c r="U379"/>
      <c r="W379"/>
    </row>
    <row r="380" spans="10:23" s="1" customFormat="1" x14ac:dyDescent="0.2">
      <c r="J380"/>
      <c r="K380"/>
      <c r="L380"/>
      <c r="M380"/>
      <c r="N380" s="392"/>
      <c r="O380" s="2"/>
      <c r="S380"/>
      <c r="T380"/>
      <c r="U380"/>
      <c r="W380"/>
    </row>
    <row r="381" spans="10:23" s="1" customFormat="1" x14ac:dyDescent="0.2">
      <c r="J381"/>
      <c r="K381"/>
      <c r="L381"/>
      <c r="M381"/>
      <c r="N381" s="392"/>
      <c r="O381" s="2"/>
      <c r="S381"/>
      <c r="T381"/>
      <c r="U381"/>
      <c r="W381"/>
    </row>
    <row r="382" spans="10:23" s="1" customFormat="1" x14ac:dyDescent="0.2">
      <c r="J382"/>
      <c r="K382"/>
      <c r="L382"/>
      <c r="M382"/>
      <c r="N382" s="392"/>
      <c r="O382" s="2"/>
      <c r="S382"/>
      <c r="T382"/>
      <c r="U382"/>
      <c r="W382"/>
    </row>
    <row r="383" spans="10:23" s="1" customFormat="1" x14ac:dyDescent="0.2">
      <c r="J383"/>
      <c r="K383"/>
      <c r="L383"/>
      <c r="M383"/>
      <c r="N383" s="392"/>
      <c r="O383" s="2"/>
      <c r="S383"/>
      <c r="T383"/>
      <c r="U383"/>
      <c r="W383"/>
    </row>
    <row r="384" spans="10:23" s="1" customFormat="1" x14ac:dyDescent="0.2">
      <c r="J384"/>
      <c r="K384"/>
      <c r="L384"/>
      <c r="M384"/>
      <c r="N384" s="392"/>
      <c r="O384" s="2"/>
      <c r="S384"/>
      <c r="T384"/>
      <c r="U384"/>
      <c r="W384"/>
    </row>
    <row r="385" spans="10:23" s="1" customFormat="1" x14ac:dyDescent="0.2">
      <c r="J385"/>
      <c r="K385"/>
      <c r="L385"/>
      <c r="M385"/>
      <c r="N385" s="392"/>
      <c r="O385" s="2"/>
      <c r="S385"/>
      <c r="T385"/>
      <c r="U385"/>
      <c r="W385"/>
    </row>
    <row r="386" spans="10:23" s="1" customFormat="1" x14ac:dyDescent="0.2">
      <c r="J386"/>
      <c r="K386"/>
      <c r="L386"/>
      <c r="M386"/>
      <c r="N386" s="392"/>
      <c r="O386" s="2"/>
      <c r="S386"/>
      <c r="T386"/>
      <c r="U386"/>
      <c r="W386"/>
    </row>
    <row r="387" spans="10:23" s="1" customFormat="1" x14ac:dyDescent="0.2">
      <c r="J387"/>
      <c r="K387"/>
      <c r="L387"/>
      <c r="M387"/>
      <c r="N387" s="392"/>
      <c r="O387" s="2"/>
      <c r="S387"/>
      <c r="T387"/>
      <c r="U387"/>
      <c r="W387"/>
    </row>
    <row r="388" spans="10:23" s="1" customFormat="1" x14ac:dyDescent="0.2">
      <c r="J388"/>
      <c r="K388"/>
      <c r="L388"/>
      <c r="M388"/>
      <c r="N388" s="392"/>
      <c r="O388" s="2"/>
      <c r="S388"/>
      <c r="T388"/>
      <c r="U388"/>
      <c r="W388"/>
    </row>
    <row r="389" spans="10:23" s="1" customFormat="1" x14ac:dyDescent="0.2">
      <c r="J389"/>
      <c r="K389"/>
      <c r="L389"/>
      <c r="M389"/>
      <c r="N389" s="392"/>
      <c r="O389" s="2"/>
      <c r="S389"/>
      <c r="T389"/>
      <c r="U389"/>
      <c r="W389"/>
    </row>
    <row r="390" spans="10:23" s="1" customFormat="1" x14ac:dyDescent="0.2">
      <c r="J390"/>
      <c r="K390"/>
      <c r="L390"/>
      <c r="M390"/>
      <c r="N390" s="392"/>
      <c r="O390" s="2"/>
      <c r="S390"/>
      <c r="T390"/>
      <c r="U390"/>
      <c r="W390"/>
    </row>
    <row r="391" spans="10:23" s="1" customFormat="1" x14ac:dyDescent="0.2">
      <c r="J391"/>
      <c r="K391"/>
      <c r="L391"/>
      <c r="M391"/>
      <c r="N391" s="392"/>
      <c r="O391" s="2"/>
      <c r="S391"/>
      <c r="T391"/>
      <c r="U391"/>
      <c r="W391"/>
    </row>
    <row r="392" spans="10:23" s="1" customFormat="1" x14ac:dyDescent="0.2">
      <c r="J392"/>
      <c r="K392"/>
      <c r="L392"/>
      <c r="M392"/>
      <c r="N392" s="392"/>
      <c r="O392" s="2"/>
      <c r="S392"/>
      <c r="T392"/>
      <c r="U392"/>
      <c r="W392"/>
    </row>
    <row r="393" spans="10:23" s="1" customFormat="1" x14ac:dyDescent="0.2">
      <c r="J393"/>
      <c r="K393"/>
      <c r="L393"/>
      <c r="M393"/>
      <c r="N393" s="392"/>
      <c r="O393" s="2"/>
      <c r="S393"/>
      <c r="T393"/>
      <c r="U393"/>
      <c r="W393"/>
    </row>
    <row r="394" spans="10:23" s="1" customFormat="1" x14ac:dyDescent="0.2">
      <c r="J394"/>
      <c r="K394"/>
      <c r="L394"/>
      <c r="M394"/>
      <c r="N394" s="392"/>
      <c r="O394" s="2"/>
      <c r="S394"/>
      <c r="T394"/>
      <c r="U394"/>
      <c r="W394"/>
    </row>
    <row r="395" spans="10:23" s="1" customFormat="1" x14ac:dyDescent="0.2">
      <c r="J395"/>
      <c r="K395"/>
      <c r="L395"/>
      <c r="M395"/>
      <c r="N395" s="392"/>
      <c r="O395" s="2"/>
      <c r="S395"/>
      <c r="T395"/>
      <c r="U395"/>
      <c r="W395"/>
    </row>
    <row r="396" spans="10:23" s="1" customFormat="1" x14ac:dyDescent="0.2">
      <c r="J396"/>
      <c r="K396"/>
      <c r="L396"/>
      <c r="M396"/>
      <c r="N396" s="392"/>
      <c r="O396" s="2"/>
      <c r="S396"/>
      <c r="T396"/>
      <c r="U396"/>
      <c r="W396"/>
    </row>
    <row r="397" spans="10:23" s="1" customFormat="1" x14ac:dyDescent="0.2">
      <c r="J397"/>
      <c r="K397"/>
      <c r="L397"/>
      <c r="M397"/>
      <c r="N397" s="392"/>
      <c r="O397" s="2"/>
      <c r="S397"/>
      <c r="T397"/>
      <c r="U397"/>
      <c r="W397"/>
    </row>
    <row r="398" spans="10:23" s="1" customFormat="1" x14ac:dyDescent="0.2">
      <c r="J398"/>
      <c r="K398"/>
      <c r="L398"/>
      <c r="M398"/>
      <c r="N398" s="392"/>
      <c r="O398" s="2"/>
      <c r="S398"/>
      <c r="T398"/>
      <c r="U398"/>
      <c r="W398"/>
    </row>
    <row r="399" spans="10:23" s="1" customFormat="1" x14ac:dyDescent="0.2">
      <c r="J399"/>
      <c r="K399"/>
      <c r="L399"/>
      <c r="M399"/>
      <c r="N399" s="392"/>
      <c r="O399" s="2"/>
      <c r="S399"/>
      <c r="T399"/>
      <c r="U399"/>
      <c r="W399"/>
    </row>
    <row r="400" spans="10:23" s="1" customFormat="1" x14ac:dyDescent="0.2">
      <c r="J400"/>
      <c r="K400"/>
      <c r="L400"/>
      <c r="M400"/>
      <c r="N400" s="392"/>
      <c r="O400" s="2"/>
      <c r="S400"/>
      <c r="T400"/>
      <c r="U400"/>
      <c r="W400"/>
    </row>
    <row r="401" spans="10:23" s="1" customFormat="1" x14ac:dyDescent="0.2">
      <c r="J401"/>
      <c r="K401"/>
      <c r="L401"/>
      <c r="M401"/>
      <c r="N401" s="392"/>
      <c r="O401" s="2"/>
      <c r="S401"/>
      <c r="T401"/>
      <c r="U401"/>
      <c r="W401"/>
    </row>
    <row r="402" spans="10:23" s="1" customFormat="1" x14ac:dyDescent="0.2">
      <c r="J402"/>
      <c r="K402"/>
      <c r="L402"/>
      <c r="M402"/>
      <c r="N402" s="392"/>
      <c r="O402" s="2"/>
      <c r="S402"/>
      <c r="T402"/>
      <c r="U402"/>
      <c r="W402"/>
    </row>
    <row r="403" spans="10:23" s="1" customFormat="1" x14ac:dyDescent="0.2">
      <c r="J403"/>
      <c r="K403"/>
      <c r="L403"/>
      <c r="M403"/>
      <c r="N403" s="392"/>
      <c r="O403" s="2"/>
      <c r="S403"/>
      <c r="T403"/>
      <c r="U403"/>
      <c r="W403"/>
    </row>
    <row r="404" spans="10:23" s="1" customFormat="1" x14ac:dyDescent="0.2">
      <c r="J404"/>
      <c r="K404"/>
      <c r="L404"/>
      <c r="M404"/>
      <c r="N404" s="392"/>
      <c r="O404" s="2"/>
      <c r="S404"/>
      <c r="T404"/>
      <c r="U404"/>
      <c r="W404"/>
    </row>
    <row r="405" spans="10:23" s="1" customFormat="1" x14ac:dyDescent="0.2">
      <c r="J405"/>
      <c r="K405"/>
      <c r="L405"/>
      <c r="M405"/>
      <c r="N405" s="392"/>
      <c r="O405" s="2"/>
      <c r="S405"/>
      <c r="T405"/>
      <c r="U405"/>
      <c r="W405"/>
    </row>
    <row r="406" spans="10:23" s="1" customFormat="1" x14ac:dyDescent="0.2">
      <c r="J406"/>
      <c r="K406"/>
      <c r="L406"/>
      <c r="M406"/>
      <c r="N406" s="392"/>
      <c r="O406" s="2"/>
      <c r="S406"/>
      <c r="T406"/>
      <c r="U406"/>
      <c r="W406"/>
    </row>
    <row r="407" spans="10:23" s="1" customFormat="1" x14ac:dyDescent="0.2">
      <c r="J407"/>
      <c r="K407"/>
      <c r="L407"/>
      <c r="M407"/>
      <c r="N407" s="392"/>
      <c r="O407" s="2"/>
      <c r="S407"/>
      <c r="T407"/>
      <c r="U407"/>
      <c r="W407"/>
    </row>
    <row r="408" spans="10:23" s="1" customFormat="1" x14ac:dyDescent="0.2">
      <c r="J408"/>
      <c r="K408"/>
      <c r="L408"/>
      <c r="M408"/>
      <c r="N408" s="392"/>
      <c r="O408" s="2"/>
      <c r="S408"/>
      <c r="T408"/>
      <c r="U408"/>
      <c r="W408"/>
    </row>
    <row r="409" spans="10:23" s="1" customFormat="1" x14ac:dyDescent="0.2">
      <c r="J409"/>
      <c r="K409"/>
      <c r="L409"/>
      <c r="M409"/>
      <c r="N409" s="392"/>
      <c r="O409" s="2"/>
      <c r="S409"/>
      <c r="T409"/>
      <c r="U409"/>
      <c r="W409"/>
    </row>
    <row r="410" spans="10:23" s="1" customFormat="1" x14ac:dyDescent="0.2">
      <c r="J410"/>
      <c r="K410"/>
      <c r="L410"/>
      <c r="M410"/>
      <c r="N410" s="392"/>
      <c r="O410" s="2"/>
      <c r="S410"/>
      <c r="T410"/>
      <c r="U410"/>
      <c r="W410"/>
    </row>
    <row r="411" spans="10:23" s="1" customFormat="1" x14ac:dyDescent="0.2">
      <c r="J411"/>
      <c r="K411"/>
      <c r="L411"/>
      <c r="M411"/>
      <c r="N411" s="392"/>
      <c r="O411" s="2"/>
      <c r="S411"/>
      <c r="T411"/>
      <c r="U411"/>
      <c r="W411"/>
    </row>
    <row r="412" spans="10:23" s="1" customFormat="1" x14ac:dyDescent="0.2">
      <c r="J412"/>
      <c r="K412"/>
      <c r="L412"/>
      <c r="M412"/>
      <c r="N412" s="392"/>
      <c r="O412" s="2"/>
      <c r="S412"/>
      <c r="T412"/>
      <c r="U412"/>
      <c r="W412"/>
    </row>
    <row r="413" spans="10:23" s="1" customFormat="1" x14ac:dyDescent="0.2">
      <c r="J413"/>
      <c r="K413"/>
      <c r="L413"/>
      <c r="M413"/>
      <c r="N413" s="392"/>
      <c r="O413" s="2"/>
      <c r="S413"/>
      <c r="T413"/>
      <c r="U413"/>
      <c r="W413"/>
    </row>
    <row r="414" spans="10:23" s="1" customFormat="1" x14ac:dyDescent="0.2">
      <c r="J414"/>
      <c r="K414"/>
      <c r="L414"/>
      <c r="M414"/>
      <c r="N414" s="392"/>
      <c r="O414" s="2"/>
      <c r="S414"/>
      <c r="T414"/>
      <c r="U414"/>
      <c r="W414"/>
    </row>
    <row r="415" spans="10:23" s="1" customFormat="1" x14ac:dyDescent="0.2">
      <c r="J415"/>
      <c r="K415"/>
      <c r="L415"/>
      <c r="M415"/>
      <c r="N415" s="392"/>
      <c r="O415" s="2"/>
      <c r="S415"/>
      <c r="T415"/>
      <c r="U415"/>
      <c r="W415"/>
    </row>
    <row r="416" spans="10:23" s="1" customFormat="1" x14ac:dyDescent="0.2">
      <c r="J416"/>
      <c r="K416"/>
      <c r="L416"/>
      <c r="M416"/>
      <c r="N416" s="392"/>
      <c r="O416" s="2"/>
      <c r="S416"/>
      <c r="T416"/>
      <c r="U416"/>
      <c r="W416"/>
    </row>
    <row r="417" spans="10:23" s="1" customFormat="1" x14ac:dyDescent="0.2">
      <c r="J417"/>
      <c r="K417"/>
      <c r="L417"/>
      <c r="M417"/>
      <c r="N417" s="392"/>
      <c r="O417" s="2"/>
      <c r="S417"/>
      <c r="T417"/>
      <c r="U417"/>
      <c r="W417"/>
    </row>
    <row r="418" spans="10:23" s="1" customFormat="1" x14ac:dyDescent="0.2">
      <c r="J418"/>
      <c r="K418"/>
      <c r="L418"/>
      <c r="M418"/>
      <c r="N418" s="392"/>
      <c r="O418" s="2"/>
      <c r="S418"/>
      <c r="T418"/>
      <c r="U418"/>
      <c r="W418"/>
    </row>
    <row r="419" spans="10:23" s="1" customFormat="1" x14ac:dyDescent="0.2">
      <c r="J419"/>
      <c r="K419"/>
      <c r="L419"/>
      <c r="M419"/>
      <c r="N419" s="392"/>
      <c r="O419" s="2"/>
      <c r="S419"/>
      <c r="T419"/>
      <c r="U419"/>
      <c r="W419"/>
    </row>
    <row r="420" spans="10:23" s="1" customFormat="1" x14ac:dyDescent="0.2">
      <c r="J420"/>
      <c r="K420"/>
      <c r="L420"/>
      <c r="M420"/>
      <c r="N420" s="392"/>
      <c r="O420" s="2"/>
      <c r="S420"/>
      <c r="T420"/>
      <c r="U420"/>
      <c r="W420"/>
    </row>
    <row r="421" spans="10:23" s="1" customFormat="1" x14ac:dyDescent="0.2">
      <c r="J421"/>
      <c r="K421"/>
      <c r="L421"/>
      <c r="M421"/>
      <c r="N421" s="392"/>
      <c r="O421" s="2"/>
      <c r="S421"/>
      <c r="T421"/>
      <c r="U421"/>
      <c r="W421"/>
    </row>
    <row r="422" spans="10:23" s="1" customFormat="1" x14ac:dyDescent="0.2">
      <c r="J422"/>
      <c r="K422"/>
      <c r="L422"/>
      <c r="M422"/>
      <c r="N422" s="392"/>
      <c r="O422" s="2"/>
      <c r="S422"/>
      <c r="T422"/>
      <c r="U422"/>
      <c r="W422"/>
    </row>
    <row r="423" spans="10:23" s="1" customFormat="1" x14ac:dyDescent="0.2">
      <c r="J423"/>
      <c r="K423"/>
      <c r="L423"/>
      <c r="M423"/>
      <c r="N423" s="392"/>
      <c r="O423" s="2"/>
      <c r="S423"/>
      <c r="T423"/>
      <c r="U423"/>
      <c r="W423"/>
    </row>
    <row r="424" spans="10:23" s="1" customFormat="1" x14ac:dyDescent="0.2">
      <c r="J424"/>
      <c r="K424"/>
      <c r="L424"/>
      <c r="M424"/>
      <c r="N424" s="392"/>
      <c r="O424" s="2"/>
      <c r="S424"/>
      <c r="T424"/>
      <c r="U424"/>
      <c r="W424"/>
    </row>
    <row r="425" spans="10:23" s="1" customFormat="1" x14ac:dyDescent="0.2">
      <c r="J425"/>
      <c r="K425"/>
      <c r="L425"/>
      <c r="M425"/>
      <c r="N425" s="392"/>
      <c r="O425" s="2"/>
      <c r="S425"/>
      <c r="T425"/>
      <c r="U425"/>
      <c r="W425"/>
    </row>
    <row r="426" spans="10:23" s="1" customFormat="1" x14ac:dyDescent="0.2">
      <c r="J426"/>
      <c r="K426"/>
      <c r="L426"/>
      <c r="M426"/>
      <c r="N426" s="392"/>
      <c r="O426" s="2"/>
      <c r="S426"/>
      <c r="T426"/>
      <c r="U426"/>
      <c r="W426"/>
    </row>
    <row r="427" spans="10:23" s="1" customFormat="1" x14ac:dyDescent="0.2">
      <c r="J427"/>
      <c r="K427"/>
      <c r="L427"/>
      <c r="M427"/>
      <c r="N427" s="392"/>
      <c r="O427" s="2"/>
      <c r="S427"/>
      <c r="T427"/>
      <c r="U427"/>
      <c r="W427"/>
    </row>
    <row r="428" spans="10:23" s="1" customFormat="1" x14ac:dyDescent="0.2">
      <c r="J428"/>
      <c r="K428"/>
      <c r="L428"/>
      <c r="M428"/>
      <c r="N428" s="392"/>
      <c r="O428" s="2"/>
      <c r="S428"/>
      <c r="T428"/>
      <c r="U428"/>
      <c r="W428"/>
    </row>
    <row r="429" spans="10:23" s="1" customFormat="1" x14ac:dyDescent="0.2">
      <c r="J429"/>
      <c r="K429"/>
      <c r="L429"/>
      <c r="M429"/>
      <c r="N429" s="392"/>
      <c r="O429" s="2"/>
      <c r="S429"/>
      <c r="T429"/>
      <c r="U429"/>
      <c r="W429"/>
    </row>
    <row r="430" spans="10:23" s="1" customFormat="1" x14ac:dyDescent="0.2">
      <c r="J430"/>
      <c r="K430"/>
      <c r="L430"/>
      <c r="M430"/>
      <c r="N430" s="392"/>
      <c r="O430" s="2"/>
      <c r="S430"/>
      <c r="T430"/>
      <c r="U430"/>
      <c r="W430"/>
    </row>
    <row r="431" spans="10:23" s="1" customFormat="1" x14ac:dyDescent="0.2">
      <c r="J431"/>
      <c r="K431"/>
      <c r="L431"/>
      <c r="M431"/>
      <c r="N431" s="392"/>
      <c r="O431" s="2"/>
      <c r="S431"/>
      <c r="T431"/>
      <c r="U431"/>
      <c r="W431"/>
    </row>
    <row r="432" spans="10:23" s="1" customFormat="1" x14ac:dyDescent="0.2">
      <c r="J432"/>
      <c r="K432"/>
      <c r="L432"/>
      <c r="M432"/>
      <c r="N432" s="392"/>
      <c r="O432" s="2"/>
      <c r="S432"/>
      <c r="T432"/>
      <c r="U432"/>
      <c r="W432"/>
    </row>
    <row r="433" spans="10:23" s="1" customFormat="1" x14ac:dyDescent="0.2">
      <c r="J433"/>
      <c r="K433"/>
      <c r="L433"/>
      <c r="M433"/>
      <c r="N433" s="392"/>
      <c r="O433" s="2"/>
      <c r="S433"/>
      <c r="T433"/>
      <c r="U433"/>
      <c r="W433"/>
    </row>
    <row r="434" spans="10:23" s="1" customFormat="1" x14ac:dyDescent="0.2">
      <c r="J434"/>
      <c r="K434"/>
      <c r="L434"/>
      <c r="M434"/>
      <c r="N434" s="392"/>
      <c r="O434" s="2"/>
      <c r="S434"/>
      <c r="T434"/>
      <c r="U434"/>
      <c r="W434"/>
    </row>
    <row r="435" spans="10:23" s="1" customFormat="1" x14ac:dyDescent="0.2">
      <c r="J435"/>
      <c r="K435"/>
      <c r="L435"/>
      <c r="M435"/>
      <c r="N435" s="392"/>
      <c r="O435" s="2"/>
      <c r="S435"/>
      <c r="T435"/>
      <c r="U435"/>
      <c r="W435"/>
    </row>
    <row r="436" spans="10:23" s="1" customFormat="1" x14ac:dyDescent="0.2">
      <c r="J436"/>
      <c r="K436"/>
      <c r="L436"/>
      <c r="M436"/>
      <c r="N436" s="392"/>
      <c r="O436" s="2"/>
      <c r="S436"/>
      <c r="T436"/>
      <c r="U436"/>
      <c r="W436"/>
    </row>
    <row r="437" spans="10:23" s="1" customFormat="1" x14ac:dyDescent="0.2">
      <c r="J437"/>
      <c r="K437"/>
      <c r="L437"/>
      <c r="M437"/>
      <c r="N437" s="392"/>
      <c r="O437" s="2"/>
      <c r="S437"/>
      <c r="T437"/>
      <c r="U437"/>
      <c r="W437"/>
    </row>
    <row r="438" spans="10:23" s="1" customFormat="1" x14ac:dyDescent="0.2">
      <c r="J438"/>
      <c r="K438"/>
      <c r="L438"/>
      <c r="M438"/>
      <c r="N438" s="392"/>
      <c r="O438" s="2"/>
      <c r="S438"/>
      <c r="T438"/>
      <c r="U438"/>
      <c r="W438"/>
    </row>
    <row r="439" spans="10:23" s="1" customFormat="1" x14ac:dyDescent="0.2">
      <c r="J439"/>
      <c r="K439"/>
      <c r="L439"/>
      <c r="M439"/>
      <c r="N439" s="392"/>
      <c r="O439" s="2"/>
      <c r="S439"/>
      <c r="T439"/>
      <c r="U439"/>
      <c r="W439"/>
    </row>
    <row r="440" spans="10:23" s="1" customFormat="1" x14ac:dyDescent="0.2">
      <c r="J440"/>
      <c r="K440"/>
      <c r="L440"/>
      <c r="M440"/>
      <c r="N440" s="392"/>
      <c r="O440" s="2"/>
      <c r="S440"/>
      <c r="T440"/>
      <c r="U440"/>
      <c r="W440"/>
    </row>
    <row r="441" spans="10:23" s="1" customFormat="1" x14ac:dyDescent="0.2">
      <c r="J441"/>
      <c r="K441"/>
      <c r="L441"/>
      <c r="M441"/>
      <c r="N441" s="392"/>
      <c r="O441" s="2"/>
      <c r="S441"/>
      <c r="T441"/>
      <c r="U441"/>
      <c r="W441"/>
    </row>
    <row r="442" spans="10:23" s="1" customFormat="1" x14ac:dyDescent="0.2">
      <c r="J442"/>
      <c r="K442"/>
      <c r="L442"/>
      <c r="M442"/>
      <c r="N442" s="392"/>
      <c r="O442" s="2"/>
      <c r="S442"/>
      <c r="T442"/>
      <c r="U442"/>
      <c r="W442"/>
    </row>
    <row r="443" spans="10:23" s="1" customFormat="1" x14ac:dyDescent="0.2">
      <c r="J443"/>
      <c r="K443"/>
      <c r="L443"/>
      <c r="M443"/>
      <c r="N443" s="392"/>
      <c r="O443" s="2"/>
      <c r="S443"/>
      <c r="T443"/>
      <c r="U443"/>
      <c r="W443"/>
    </row>
    <row r="444" spans="10:23" s="1" customFormat="1" x14ac:dyDescent="0.2">
      <c r="J444"/>
      <c r="K444"/>
      <c r="L444"/>
      <c r="M444"/>
      <c r="N444" s="392"/>
      <c r="O444" s="2"/>
      <c r="S444"/>
      <c r="T444"/>
      <c r="U444"/>
      <c r="W444"/>
    </row>
    <row r="445" spans="10:23" s="1" customFormat="1" x14ac:dyDescent="0.2">
      <c r="J445"/>
      <c r="K445"/>
      <c r="L445"/>
      <c r="M445"/>
      <c r="N445" s="392"/>
      <c r="O445" s="2"/>
      <c r="S445"/>
      <c r="T445"/>
      <c r="U445"/>
      <c r="W445"/>
    </row>
    <row r="446" spans="10:23" s="1" customFormat="1" x14ac:dyDescent="0.2">
      <c r="J446"/>
      <c r="K446"/>
      <c r="L446"/>
      <c r="M446"/>
      <c r="N446" s="392"/>
      <c r="O446" s="2"/>
      <c r="S446"/>
      <c r="T446"/>
      <c r="U446"/>
      <c r="W446"/>
    </row>
    <row r="447" spans="10:23" s="1" customFormat="1" x14ac:dyDescent="0.2">
      <c r="J447"/>
      <c r="K447"/>
      <c r="L447"/>
      <c r="M447"/>
      <c r="N447" s="392"/>
      <c r="O447" s="2"/>
      <c r="S447"/>
      <c r="T447"/>
      <c r="U447"/>
      <c r="W447"/>
    </row>
    <row r="448" spans="10:23" s="1" customFormat="1" x14ac:dyDescent="0.2">
      <c r="J448"/>
      <c r="K448"/>
      <c r="L448"/>
      <c r="M448"/>
      <c r="N448" s="392"/>
      <c r="O448" s="2"/>
      <c r="S448"/>
      <c r="T448"/>
      <c r="U448"/>
      <c r="W448"/>
    </row>
    <row r="449" spans="10:23" s="1" customFormat="1" x14ac:dyDescent="0.2">
      <c r="J449"/>
      <c r="K449"/>
      <c r="L449"/>
      <c r="M449"/>
      <c r="N449" s="392"/>
      <c r="O449" s="2"/>
      <c r="S449"/>
      <c r="T449"/>
      <c r="U449"/>
      <c r="W449"/>
    </row>
    <row r="450" spans="10:23" s="1" customFormat="1" x14ac:dyDescent="0.2">
      <c r="J450"/>
      <c r="K450"/>
      <c r="L450"/>
      <c r="M450"/>
      <c r="N450" s="392"/>
      <c r="O450" s="2"/>
      <c r="S450"/>
      <c r="T450"/>
      <c r="U450"/>
      <c r="W450"/>
    </row>
    <row r="451" spans="10:23" s="1" customFormat="1" x14ac:dyDescent="0.2">
      <c r="J451"/>
      <c r="K451"/>
      <c r="L451"/>
      <c r="M451"/>
      <c r="N451" s="392"/>
      <c r="O451" s="2"/>
      <c r="S451"/>
      <c r="T451"/>
      <c r="U451"/>
      <c r="W451"/>
    </row>
    <row r="452" spans="10:23" s="1" customFormat="1" x14ac:dyDescent="0.2">
      <c r="J452"/>
      <c r="K452"/>
      <c r="L452"/>
      <c r="M452"/>
      <c r="N452" s="392"/>
      <c r="O452" s="2"/>
      <c r="S452"/>
      <c r="T452"/>
      <c r="U452"/>
      <c r="W452"/>
    </row>
    <row r="453" spans="10:23" s="1" customFormat="1" x14ac:dyDescent="0.2">
      <c r="J453"/>
      <c r="K453"/>
      <c r="L453"/>
      <c r="M453"/>
      <c r="N453" s="392"/>
      <c r="O453" s="2"/>
      <c r="S453"/>
      <c r="T453"/>
      <c r="U453"/>
      <c r="W453"/>
    </row>
    <row r="454" spans="10:23" s="1" customFormat="1" x14ac:dyDescent="0.2">
      <c r="J454"/>
      <c r="K454"/>
      <c r="L454"/>
      <c r="M454"/>
      <c r="N454" s="392"/>
      <c r="O454" s="2"/>
      <c r="S454"/>
      <c r="T454"/>
      <c r="U454"/>
      <c r="W454"/>
    </row>
    <row r="455" spans="10:23" s="1" customFormat="1" x14ac:dyDescent="0.2">
      <c r="J455"/>
      <c r="K455"/>
      <c r="L455"/>
      <c r="M455"/>
      <c r="N455" s="392"/>
      <c r="O455" s="2"/>
      <c r="S455"/>
      <c r="T455"/>
      <c r="U455"/>
      <c r="W455"/>
    </row>
    <row r="456" spans="10:23" s="1" customFormat="1" x14ac:dyDescent="0.2">
      <c r="J456"/>
      <c r="K456"/>
      <c r="L456"/>
      <c r="M456"/>
      <c r="N456" s="392"/>
      <c r="O456" s="2"/>
      <c r="S456"/>
      <c r="T456"/>
      <c r="U456"/>
      <c r="W456"/>
    </row>
    <row r="457" spans="10:23" s="1" customFormat="1" x14ac:dyDescent="0.2">
      <c r="J457"/>
      <c r="K457"/>
      <c r="L457"/>
      <c r="M457"/>
      <c r="N457" s="392"/>
      <c r="O457" s="2"/>
      <c r="S457"/>
      <c r="T457"/>
      <c r="U457"/>
      <c r="W457"/>
    </row>
    <row r="458" spans="10:23" s="1" customFormat="1" x14ac:dyDescent="0.2">
      <c r="J458"/>
      <c r="K458"/>
      <c r="L458"/>
      <c r="M458"/>
      <c r="N458" s="392"/>
      <c r="O458" s="2"/>
      <c r="S458"/>
      <c r="T458"/>
      <c r="U458"/>
      <c r="W458"/>
    </row>
    <row r="459" spans="10:23" s="1" customFormat="1" x14ac:dyDescent="0.2">
      <c r="J459"/>
      <c r="K459"/>
      <c r="L459"/>
      <c r="M459"/>
      <c r="N459" s="392"/>
      <c r="O459" s="2"/>
      <c r="S459"/>
      <c r="T459"/>
      <c r="U459"/>
      <c r="W459"/>
    </row>
    <row r="460" spans="10:23" s="1" customFormat="1" x14ac:dyDescent="0.2">
      <c r="J460"/>
      <c r="K460"/>
      <c r="L460"/>
      <c r="M460"/>
      <c r="N460" s="392"/>
      <c r="O460" s="2"/>
      <c r="S460"/>
      <c r="T460"/>
      <c r="U460"/>
      <c r="W460"/>
    </row>
    <row r="461" spans="10:23" s="1" customFormat="1" x14ac:dyDescent="0.2">
      <c r="J461"/>
      <c r="K461"/>
      <c r="L461"/>
      <c r="M461"/>
      <c r="N461" s="392"/>
      <c r="O461" s="2"/>
      <c r="S461"/>
      <c r="T461"/>
      <c r="U461"/>
      <c r="W461"/>
    </row>
    <row r="462" spans="10:23" s="1" customFormat="1" x14ac:dyDescent="0.2">
      <c r="J462"/>
      <c r="K462"/>
      <c r="L462"/>
      <c r="M462"/>
      <c r="N462" s="392"/>
      <c r="O462" s="2"/>
      <c r="S462"/>
      <c r="T462"/>
      <c r="U462"/>
      <c r="W462"/>
    </row>
    <row r="463" spans="10:23" s="1" customFormat="1" x14ac:dyDescent="0.2">
      <c r="J463"/>
      <c r="K463"/>
      <c r="L463"/>
      <c r="M463"/>
      <c r="N463" s="392"/>
      <c r="O463" s="2"/>
      <c r="S463"/>
      <c r="T463"/>
      <c r="U463"/>
      <c r="W463"/>
    </row>
    <row r="464" spans="10:23" s="1" customFormat="1" x14ac:dyDescent="0.2">
      <c r="J464"/>
      <c r="K464"/>
      <c r="L464"/>
      <c r="M464"/>
      <c r="N464" s="392"/>
      <c r="O464" s="2"/>
      <c r="S464"/>
      <c r="T464"/>
      <c r="U464"/>
      <c r="W464"/>
    </row>
    <row r="465" spans="10:23" s="1" customFormat="1" x14ac:dyDescent="0.2">
      <c r="J465"/>
      <c r="K465"/>
      <c r="L465"/>
      <c r="M465"/>
      <c r="N465" s="392"/>
      <c r="O465" s="2"/>
      <c r="S465"/>
      <c r="T465"/>
      <c r="U465"/>
      <c r="W465"/>
    </row>
    <row r="466" spans="10:23" s="1" customFormat="1" x14ac:dyDescent="0.2">
      <c r="J466"/>
      <c r="K466"/>
      <c r="L466"/>
      <c r="M466"/>
      <c r="N466" s="392"/>
      <c r="O466" s="2"/>
      <c r="S466"/>
      <c r="T466"/>
      <c r="U466"/>
      <c r="W466"/>
    </row>
    <row r="467" spans="10:23" s="1" customFormat="1" x14ac:dyDescent="0.2">
      <c r="J467"/>
      <c r="K467"/>
      <c r="L467"/>
      <c r="M467"/>
      <c r="N467" s="392"/>
      <c r="O467" s="2"/>
      <c r="S467"/>
      <c r="T467"/>
      <c r="U467"/>
      <c r="W467"/>
    </row>
    <row r="468" spans="10:23" s="1" customFormat="1" x14ac:dyDescent="0.2">
      <c r="J468"/>
      <c r="K468"/>
      <c r="L468"/>
      <c r="M468"/>
      <c r="N468" s="392"/>
      <c r="O468" s="2"/>
      <c r="S468"/>
      <c r="T468"/>
      <c r="U468"/>
      <c r="W468"/>
    </row>
    <row r="469" spans="10:23" s="1" customFormat="1" x14ac:dyDescent="0.2">
      <c r="J469"/>
      <c r="K469"/>
      <c r="L469"/>
      <c r="M469"/>
      <c r="N469" s="392"/>
      <c r="O469" s="2"/>
      <c r="S469"/>
      <c r="T469"/>
      <c r="U469"/>
      <c r="W469"/>
    </row>
    <row r="470" spans="10:23" s="1" customFormat="1" x14ac:dyDescent="0.2">
      <c r="J470"/>
      <c r="K470"/>
      <c r="L470"/>
      <c r="M470"/>
      <c r="N470" s="392"/>
      <c r="O470" s="2"/>
      <c r="S470"/>
      <c r="T470"/>
      <c r="U470"/>
      <c r="W470"/>
    </row>
    <row r="471" spans="10:23" s="1" customFormat="1" x14ac:dyDescent="0.2">
      <c r="J471"/>
      <c r="K471"/>
      <c r="L471"/>
      <c r="M471"/>
      <c r="N471" s="392"/>
      <c r="O471" s="2"/>
      <c r="S471"/>
      <c r="T471"/>
      <c r="U471"/>
      <c r="W471"/>
    </row>
    <row r="472" spans="10:23" s="1" customFormat="1" x14ac:dyDescent="0.2">
      <c r="J472"/>
      <c r="K472"/>
      <c r="L472"/>
      <c r="M472"/>
      <c r="N472" s="392"/>
      <c r="O472" s="2"/>
      <c r="S472"/>
      <c r="T472"/>
      <c r="U472"/>
      <c r="W472"/>
    </row>
    <row r="473" spans="10:23" s="1" customFormat="1" x14ac:dyDescent="0.2">
      <c r="J473"/>
      <c r="K473"/>
      <c r="L473"/>
      <c r="M473"/>
      <c r="N473" s="392"/>
      <c r="O473" s="2"/>
      <c r="S473"/>
      <c r="T473"/>
      <c r="U473"/>
      <c r="W473"/>
    </row>
    <row r="474" spans="10:23" s="1" customFormat="1" x14ac:dyDescent="0.2">
      <c r="J474"/>
      <c r="K474"/>
      <c r="L474"/>
      <c r="M474"/>
      <c r="N474" s="392"/>
      <c r="O474" s="2"/>
      <c r="S474"/>
      <c r="T474"/>
      <c r="U474"/>
      <c r="W474"/>
    </row>
    <row r="475" spans="10:23" s="1" customFormat="1" x14ac:dyDescent="0.2">
      <c r="J475"/>
      <c r="K475"/>
      <c r="L475"/>
      <c r="M475"/>
      <c r="N475" s="392"/>
      <c r="O475" s="2"/>
      <c r="S475"/>
      <c r="T475"/>
      <c r="U475"/>
      <c r="W475"/>
    </row>
    <row r="476" spans="10:23" s="1" customFormat="1" x14ac:dyDescent="0.2">
      <c r="J476"/>
      <c r="K476"/>
      <c r="L476"/>
      <c r="M476"/>
      <c r="N476" s="392"/>
      <c r="O476" s="2"/>
      <c r="S476"/>
      <c r="T476"/>
      <c r="U476"/>
      <c r="W476"/>
    </row>
    <row r="477" spans="10:23" s="1" customFormat="1" x14ac:dyDescent="0.2">
      <c r="J477"/>
      <c r="K477"/>
      <c r="L477"/>
      <c r="M477"/>
      <c r="N477" s="392"/>
      <c r="O477" s="2"/>
      <c r="S477"/>
      <c r="T477"/>
      <c r="U477"/>
      <c r="W477"/>
    </row>
    <row r="478" spans="10:23" s="1" customFormat="1" x14ac:dyDescent="0.2">
      <c r="J478"/>
      <c r="K478"/>
      <c r="L478"/>
      <c r="M478"/>
      <c r="N478" s="392"/>
      <c r="O478" s="2"/>
      <c r="S478"/>
      <c r="T478"/>
      <c r="U478"/>
      <c r="W478"/>
    </row>
    <row r="479" spans="10:23" s="1" customFormat="1" x14ac:dyDescent="0.2">
      <c r="J479"/>
      <c r="K479"/>
      <c r="L479"/>
      <c r="M479"/>
      <c r="N479" s="392"/>
      <c r="O479" s="2"/>
      <c r="S479"/>
      <c r="T479"/>
      <c r="U479"/>
      <c r="W479"/>
    </row>
    <row r="480" spans="10:23" s="1" customFormat="1" x14ac:dyDescent="0.2">
      <c r="J480"/>
      <c r="K480"/>
      <c r="L480"/>
      <c r="M480"/>
      <c r="N480" s="392"/>
      <c r="O480" s="2"/>
      <c r="S480"/>
      <c r="T480"/>
      <c r="U480"/>
      <c r="W480"/>
    </row>
    <row r="481" spans="10:23" s="1" customFormat="1" x14ac:dyDescent="0.2">
      <c r="J481"/>
      <c r="K481"/>
      <c r="L481"/>
      <c r="M481"/>
      <c r="N481" s="392"/>
      <c r="O481" s="2"/>
      <c r="S481"/>
      <c r="T481"/>
      <c r="U481"/>
      <c r="W481"/>
    </row>
    <row r="482" spans="10:23" s="1" customFormat="1" x14ac:dyDescent="0.2">
      <c r="J482"/>
      <c r="K482"/>
      <c r="L482"/>
      <c r="M482"/>
      <c r="N482" s="392"/>
      <c r="O482" s="2"/>
      <c r="S482"/>
      <c r="T482"/>
      <c r="U482"/>
      <c r="W482"/>
    </row>
    <row r="483" spans="10:23" s="1" customFormat="1" x14ac:dyDescent="0.2">
      <c r="J483"/>
      <c r="K483"/>
      <c r="L483"/>
      <c r="M483"/>
      <c r="N483" s="392"/>
      <c r="O483" s="2"/>
      <c r="S483"/>
      <c r="T483"/>
      <c r="U483"/>
      <c r="W483"/>
    </row>
    <row r="484" spans="10:23" s="1" customFormat="1" x14ac:dyDescent="0.2">
      <c r="J484"/>
      <c r="K484"/>
      <c r="L484"/>
      <c r="M484"/>
      <c r="N484" s="392"/>
      <c r="O484" s="2"/>
      <c r="S484"/>
      <c r="T484"/>
      <c r="U484"/>
      <c r="W484"/>
    </row>
    <row r="485" spans="10:23" s="1" customFormat="1" x14ac:dyDescent="0.2">
      <c r="J485"/>
      <c r="K485"/>
      <c r="L485"/>
      <c r="M485"/>
      <c r="N485" s="392"/>
      <c r="O485" s="2"/>
      <c r="S485"/>
      <c r="T485"/>
      <c r="U485"/>
      <c r="W485"/>
    </row>
    <row r="486" spans="10:23" s="1" customFormat="1" x14ac:dyDescent="0.2">
      <c r="J486"/>
      <c r="K486"/>
      <c r="L486"/>
      <c r="M486"/>
      <c r="N486" s="392"/>
      <c r="O486" s="2"/>
      <c r="S486"/>
      <c r="T486"/>
      <c r="U486"/>
      <c r="W486"/>
    </row>
    <row r="487" spans="10:23" s="1" customFormat="1" x14ac:dyDescent="0.2">
      <c r="J487"/>
      <c r="K487"/>
      <c r="L487"/>
      <c r="M487"/>
      <c r="N487" s="392"/>
      <c r="O487" s="2"/>
      <c r="S487"/>
      <c r="T487"/>
      <c r="U487"/>
      <c r="W487"/>
    </row>
    <row r="488" spans="10:23" s="1" customFormat="1" x14ac:dyDescent="0.2">
      <c r="J488"/>
      <c r="K488"/>
      <c r="L488"/>
      <c r="M488"/>
      <c r="N488" s="392"/>
      <c r="O488" s="2"/>
      <c r="S488"/>
      <c r="T488"/>
      <c r="U488"/>
      <c r="W488"/>
    </row>
    <row r="489" spans="10:23" s="1" customFormat="1" x14ac:dyDescent="0.2">
      <c r="J489"/>
      <c r="K489"/>
      <c r="L489"/>
      <c r="M489"/>
      <c r="N489" s="392"/>
      <c r="O489" s="2"/>
      <c r="S489"/>
      <c r="T489"/>
      <c r="U489"/>
      <c r="W489"/>
    </row>
    <row r="490" spans="10:23" s="1" customFormat="1" x14ac:dyDescent="0.2">
      <c r="J490"/>
      <c r="K490"/>
      <c r="L490"/>
      <c r="M490"/>
      <c r="N490" s="392"/>
      <c r="O490" s="2"/>
      <c r="S490"/>
      <c r="T490"/>
      <c r="U490"/>
      <c r="W490"/>
    </row>
    <row r="491" spans="10:23" s="1" customFormat="1" x14ac:dyDescent="0.2">
      <c r="J491"/>
      <c r="K491"/>
      <c r="L491"/>
      <c r="M491"/>
      <c r="N491" s="392"/>
      <c r="O491" s="2"/>
      <c r="S491"/>
      <c r="T491"/>
      <c r="U491"/>
      <c r="W491"/>
    </row>
    <row r="492" spans="10:23" s="1" customFormat="1" x14ac:dyDescent="0.2">
      <c r="J492"/>
      <c r="K492"/>
      <c r="L492"/>
      <c r="M492"/>
      <c r="N492" s="392"/>
      <c r="O492" s="2"/>
      <c r="S492"/>
      <c r="T492"/>
      <c r="U492"/>
      <c r="W492"/>
    </row>
    <row r="493" spans="10:23" s="1" customFormat="1" x14ac:dyDescent="0.2">
      <c r="J493"/>
      <c r="K493"/>
      <c r="L493"/>
      <c r="M493"/>
      <c r="N493" s="392"/>
      <c r="O493" s="2"/>
      <c r="S493"/>
      <c r="T493"/>
      <c r="U493"/>
      <c r="W493"/>
    </row>
    <row r="494" spans="10:23" s="1" customFormat="1" x14ac:dyDescent="0.2">
      <c r="J494"/>
      <c r="K494"/>
      <c r="L494"/>
      <c r="M494"/>
      <c r="N494" s="392"/>
      <c r="O494" s="2"/>
      <c r="S494"/>
      <c r="T494"/>
      <c r="U494"/>
      <c r="W494"/>
    </row>
    <row r="495" spans="10:23" s="1" customFormat="1" x14ac:dyDescent="0.2">
      <c r="J495"/>
      <c r="K495"/>
      <c r="L495"/>
      <c r="M495"/>
      <c r="N495" s="392"/>
      <c r="O495" s="2"/>
      <c r="S495"/>
      <c r="T495"/>
      <c r="U495"/>
      <c r="W495"/>
    </row>
    <row r="496" spans="10:23" s="1" customFormat="1" x14ac:dyDescent="0.2">
      <c r="J496"/>
      <c r="K496"/>
      <c r="L496"/>
      <c r="M496"/>
      <c r="N496" s="392"/>
      <c r="O496" s="2"/>
      <c r="S496"/>
      <c r="T496"/>
      <c r="U496"/>
      <c r="W496"/>
    </row>
    <row r="497" spans="10:23" s="1" customFormat="1" x14ac:dyDescent="0.2">
      <c r="J497"/>
      <c r="K497"/>
      <c r="L497"/>
      <c r="M497"/>
      <c r="N497" s="392"/>
      <c r="O497" s="2"/>
      <c r="S497"/>
      <c r="T497"/>
      <c r="U497"/>
      <c r="W497"/>
    </row>
    <row r="498" spans="10:23" s="1" customFormat="1" x14ac:dyDescent="0.2">
      <c r="J498"/>
      <c r="K498"/>
      <c r="L498"/>
      <c r="M498"/>
      <c r="N498" s="392"/>
      <c r="O498" s="2"/>
      <c r="S498"/>
      <c r="T498"/>
      <c r="U498"/>
      <c r="W498"/>
    </row>
    <row r="499" spans="10:23" s="1" customFormat="1" x14ac:dyDescent="0.2">
      <c r="J499"/>
      <c r="K499"/>
      <c r="L499"/>
      <c r="M499"/>
      <c r="N499" s="392"/>
      <c r="O499" s="2"/>
      <c r="S499"/>
      <c r="T499"/>
      <c r="U499"/>
      <c r="W499"/>
    </row>
    <row r="500" spans="10:23" s="1" customFormat="1" x14ac:dyDescent="0.2">
      <c r="J500"/>
      <c r="K500"/>
      <c r="L500"/>
      <c r="M500"/>
      <c r="N500" s="392"/>
      <c r="O500" s="2"/>
      <c r="S500"/>
      <c r="T500"/>
      <c r="U500"/>
      <c r="W500"/>
    </row>
    <row r="501" spans="10:23" s="1" customFormat="1" x14ac:dyDescent="0.2">
      <c r="J501"/>
      <c r="K501"/>
      <c r="L501"/>
      <c r="M501"/>
      <c r="N501" s="392"/>
      <c r="O501" s="2"/>
      <c r="S501"/>
      <c r="T501"/>
      <c r="U501"/>
      <c r="W501"/>
    </row>
    <row r="502" spans="10:23" s="1" customFormat="1" x14ac:dyDescent="0.2">
      <c r="J502"/>
      <c r="K502"/>
      <c r="L502"/>
      <c r="M502"/>
      <c r="N502" s="392"/>
      <c r="O502" s="2"/>
      <c r="S502"/>
      <c r="T502"/>
      <c r="U502"/>
      <c r="W502"/>
    </row>
    <row r="503" spans="10:23" s="1" customFormat="1" x14ac:dyDescent="0.2">
      <c r="J503"/>
      <c r="K503"/>
      <c r="L503"/>
      <c r="M503"/>
      <c r="N503" s="392"/>
      <c r="O503" s="2"/>
      <c r="S503"/>
      <c r="T503"/>
      <c r="U503"/>
      <c r="W503"/>
    </row>
    <row r="504" spans="10:23" s="1" customFormat="1" x14ac:dyDescent="0.2">
      <c r="J504"/>
      <c r="K504"/>
      <c r="L504"/>
      <c r="M504"/>
      <c r="N504" s="392"/>
      <c r="O504" s="2"/>
      <c r="S504"/>
      <c r="T504"/>
      <c r="U504"/>
      <c r="W504"/>
    </row>
    <row r="505" spans="10:23" s="1" customFormat="1" x14ac:dyDescent="0.2">
      <c r="J505"/>
      <c r="K505"/>
      <c r="L505"/>
      <c r="M505"/>
      <c r="N505" s="392"/>
      <c r="O505" s="2"/>
      <c r="S505"/>
      <c r="T505"/>
      <c r="U505"/>
      <c r="W505"/>
    </row>
    <row r="506" spans="10:23" s="1" customFormat="1" x14ac:dyDescent="0.2">
      <c r="J506"/>
      <c r="K506"/>
      <c r="L506"/>
      <c r="M506"/>
      <c r="N506" s="392"/>
      <c r="O506" s="2"/>
      <c r="S506"/>
      <c r="T506"/>
      <c r="U506"/>
      <c r="W506"/>
    </row>
    <row r="507" spans="10:23" s="1" customFormat="1" x14ac:dyDescent="0.2">
      <c r="J507"/>
      <c r="K507"/>
      <c r="L507"/>
      <c r="M507"/>
      <c r="N507" s="392"/>
      <c r="O507" s="2"/>
      <c r="S507"/>
      <c r="T507"/>
      <c r="U507"/>
      <c r="W507"/>
    </row>
    <row r="508" spans="10:23" s="1" customFormat="1" x14ac:dyDescent="0.2">
      <c r="J508"/>
      <c r="K508"/>
      <c r="L508"/>
      <c r="M508"/>
      <c r="N508" s="392"/>
      <c r="O508" s="2"/>
      <c r="S508"/>
      <c r="T508"/>
      <c r="U508"/>
      <c r="W508"/>
    </row>
    <row r="509" spans="10:23" s="1" customFormat="1" x14ac:dyDescent="0.2">
      <c r="J509"/>
      <c r="K509"/>
      <c r="L509"/>
      <c r="M509"/>
      <c r="N509" s="392"/>
      <c r="O509" s="2"/>
      <c r="S509"/>
      <c r="T509"/>
      <c r="U509"/>
      <c r="W509"/>
    </row>
    <row r="510" spans="10:23" s="1" customFormat="1" x14ac:dyDescent="0.2">
      <c r="J510"/>
      <c r="K510"/>
      <c r="L510"/>
      <c r="M510"/>
      <c r="N510" s="392"/>
      <c r="O510" s="2"/>
      <c r="S510"/>
      <c r="T510"/>
      <c r="U510"/>
      <c r="W510"/>
    </row>
    <row r="511" spans="10:23" s="1" customFormat="1" x14ac:dyDescent="0.2">
      <c r="J511"/>
      <c r="K511"/>
      <c r="L511"/>
      <c r="M511"/>
      <c r="N511" s="392"/>
      <c r="O511" s="2"/>
      <c r="S511"/>
      <c r="T511"/>
      <c r="U511"/>
      <c r="W511"/>
    </row>
    <row r="512" spans="10:23" s="1" customFormat="1" x14ac:dyDescent="0.2">
      <c r="J512"/>
      <c r="K512"/>
      <c r="L512"/>
      <c r="M512"/>
      <c r="N512" s="392"/>
      <c r="O512" s="2"/>
      <c r="S512"/>
      <c r="T512"/>
      <c r="U512"/>
      <c r="W512"/>
    </row>
    <row r="513" spans="10:23" s="1" customFormat="1" x14ac:dyDescent="0.2">
      <c r="J513"/>
      <c r="K513"/>
      <c r="L513"/>
      <c r="M513"/>
      <c r="N513" s="392"/>
      <c r="O513" s="2"/>
      <c r="S513"/>
      <c r="T513"/>
      <c r="U513"/>
      <c r="W513"/>
    </row>
    <row r="514" spans="10:23" s="1" customFormat="1" x14ac:dyDescent="0.2">
      <c r="J514"/>
      <c r="K514"/>
      <c r="L514"/>
      <c r="M514"/>
      <c r="N514" s="392"/>
      <c r="O514" s="2"/>
      <c r="S514"/>
      <c r="T514"/>
      <c r="U514"/>
      <c r="W514"/>
    </row>
    <row r="515" spans="10:23" s="1" customFormat="1" x14ac:dyDescent="0.2">
      <c r="J515"/>
      <c r="K515"/>
      <c r="L515"/>
      <c r="M515"/>
      <c r="N515" s="392"/>
      <c r="O515" s="2"/>
      <c r="S515"/>
      <c r="T515"/>
      <c r="U515"/>
      <c r="W515"/>
    </row>
    <row r="516" spans="10:23" s="1" customFormat="1" x14ac:dyDescent="0.2">
      <c r="J516"/>
      <c r="K516"/>
      <c r="L516"/>
      <c r="M516"/>
      <c r="N516" s="392"/>
      <c r="O516" s="2"/>
      <c r="S516"/>
      <c r="T516"/>
      <c r="U516"/>
      <c r="W516"/>
    </row>
    <row r="517" spans="10:23" s="1" customFormat="1" x14ac:dyDescent="0.2">
      <c r="J517"/>
      <c r="K517"/>
      <c r="L517"/>
      <c r="M517"/>
      <c r="N517" s="392"/>
      <c r="O517" s="2"/>
      <c r="S517"/>
      <c r="T517"/>
      <c r="U517"/>
      <c r="W517"/>
    </row>
    <row r="518" spans="10:23" s="1" customFormat="1" x14ac:dyDescent="0.2">
      <c r="J518"/>
      <c r="K518"/>
      <c r="L518"/>
      <c r="M518"/>
      <c r="N518" s="392"/>
      <c r="O518" s="2"/>
      <c r="S518"/>
      <c r="T518"/>
      <c r="U518"/>
      <c r="W518"/>
    </row>
    <row r="519" spans="10:23" s="1" customFormat="1" x14ac:dyDescent="0.2">
      <c r="J519"/>
      <c r="K519"/>
      <c r="L519"/>
      <c r="M519"/>
      <c r="N519" s="392"/>
      <c r="O519" s="2"/>
      <c r="S519"/>
      <c r="T519"/>
      <c r="U519"/>
      <c r="W519"/>
    </row>
    <row r="520" spans="10:23" s="1" customFormat="1" x14ac:dyDescent="0.2">
      <c r="J520"/>
      <c r="K520"/>
      <c r="L520"/>
      <c r="M520"/>
      <c r="N520" s="392"/>
      <c r="O520" s="2"/>
      <c r="S520"/>
      <c r="T520"/>
      <c r="U520"/>
      <c r="W520"/>
    </row>
    <row r="521" spans="10:23" s="1" customFormat="1" x14ac:dyDescent="0.2">
      <c r="J521"/>
      <c r="K521"/>
      <c r="L521"/>
      <c r="M521"/>
      <c r="N521" s="392"/>
      <c r="O521" s="2"/>
      <c r="S521"/>
      <c r="T521"/>
      <c r="U521"/>
      <c r="W521"/>
    </row>
    <row r="522" spans="10:23" s="1" customFormat="1" x14ac:dyDescent="0.2">
      <c r="J522"/>
      <c r="K522"/>
      <c r="L522"/>
      <c r="M522"/>
      <c r="N522" s="392"/>
      <c r="O522" s="2"/>
      <c r="S522"/>
      <c r="T522"/>
      <c r="U522"/>
      <c r="W522"/>
    </row>
    <row r="523" spans="10:23" s="1" customFormat="1" x14ac:dyDescent="0.2">
      <c r="J523"/>
      <c r="K523"/>
      <c r="L523"/>
      <c r="M523"/>
      <c r="N523" s="392"/>
      <c r="O523" s="2"/>
      <c r="S523"/>
      <c r="T523"/>
      <c r="U523"/>
      <c r="W523"/>
    </row>
    <row r="524" spans="10:23" s="1" customFormat="1" x14ac:dyDescent="0.2">
      <c r="J524"/>
      <c r="K524"/>
      <c r="L524"/>
      <c r="M524"/>
      <c r="N524" s="392"/>
      <c r="O524" s="2"/>
      <c r="S524"/>
      <c r="T524"/>
      <c r="U524"/>
      <c r="W524"/>
    </row>
    <row r="525" spans="10:23" s="1" customFormat="1" x14ac:dyDescent="0.2">
      <c r="J525"/>
      <c r="K525"/>
      <c r="L525"/>
      <c r="M525"/>
      <c r="N525" s="392"/>
      <c r="O525" s="2"/>
      <c r="S525"/>
      <c r="T525"/>
      <c r="U525"/>
      <c r="W525"/>
    </row>
    <row r="526" spans="10:23" s="1" customFormat="1" x14ac:dyDescent="0.2">
      <c r="J526"/>
      <c r="K526"/>
      <c r="L526"/>
      <c r="M526"/>
      <c r="N526" s="392"/>
      <c r="O526" s="2"/>
      <c r="S526"/>
      <c r="T526"/>
      <c r="U526"/>
      <c r="W526"/>
    </row>
    <row r="527" spans="10:23" s="1" customFormat="1" x14ac:dyDescent="0.2">
      <c r="J527"/>
      <c r="K527"/>
      <c r="L527"/>
      <c r="M527"/>
      <c r="N527" s="392"/>
      <c r="O527" s="2"/>
      <c r="S527"/>
      <c r="T527"/>
      <c r="U527"/>
      <c r="W527"/>
    </row>
    <row r="528" spans="10:23" s="1" customFormat="1" x14ac:dyDescent="0.2">
      <c r="J528"/>
      <c r="K528"/>
      <c r="L528"/>
      <c r="M528"/>
      <c r="N528" s="392"/>
      <c r="O528" s="2"/>
      <c r="S528"/>
      <c r="T528"/>
      <c r="U528"/>
      <c r="W528"/>
    </row>
    <row r="529" spans="10:23" s="1" customFormat="1" x14ac:dyDescent="0.2">
      <c r="J529"/>
      <c r="K529"/>
      <c r="L529"/>
      <c r="M529"/>
      <c r="N529" s="392"/>
      <c r="O529" s="2"/>
      <c r="S529"/>
      <c r="T529"/>
      <c r="U529"/>
      <c r="W529"/>
    </row>
    <row r="530" spans="10:23" s="1" customFormat="1" x14ac:dyDescent="0.2">
      <c r="J530"/>
      <c r="K530"/>
      <c r="L530"/>
      <c r="M530"/>
      <c r="N530" s="392"/>
      <c r="O530" s="2"/>
      <c r="S530"/>
      <c r="T530"/>
      <c r="U530"/>
      <c r="W530"/>
    </row>
    <row r="531" spans="10:23" s="1" customFormat="1" x14ac:dyDescent="0.2">
      <c r="J531"/>
      <c r="K531"/>
      <c r="L531"/>
      <c r="M531"/>
      <c r="N531" s="392"/>
      <c r="O531" s="2"/>
      <c r="S531"/>
      <c r="T531"/>
      <c r="U531"/>
      <c r="W531"/>
    </row>
    <row r="532" spans="10:23" s="1" customFormat="1" x14ac:dyDescent="0.2">
      <c r="J532"/>
      <c r="K532"/>
      <c r="L532"/>
      <c r="M532"/>
      <c r="N532" s="392"/>
      <c r="O532" s="2"/>
      <c r="S532"/>
      <c r="T532"/>
      <c r="U532"/>
      <c r="W532"/>
    </row>
    <row r="533" spans="10:23" s="1" customFormat="1" x14ac:dyDescent="0.2">
      <c r="J533"/>
      <c r="K533"/>
      <c r="L533"/>
      <c r="M533"/>
      <c r="N533" s="392"/>
      <c r="O533" s="2"/>
      <c r="S533"/>
      <c r="T533"/>
      <c r="U533"/>
      <c r="W533"/>
    </row>
    <row r="534" spans="10:23" s="1" customFormat="1" x14ac:dyDescent="0.2">
      <c r="J534"/>
      <c r="K534"/>
      <c r="L534"/>
      <c r="M534"/>
      <c r="N534" s="392"/>
      <c r="O534" s="2"/>
      <c r="S534"/>
      <c r="T534"/>
      <c r="U534"/>
      <c r="W534"/>
    </row>
    <row r="535" spans="10:23" s="1" customFormat="1" x14ac:dyDescent="0.2">
      <c r="J535"/>
      <c r="K535"/>
      <c r="L535"/>
      <c r="M535"/>
      <c r="N535" s="392"/>
      <c r="O535" s="2"/>
      <c r="S535"/>
      <c r="T535"/>
      <c r="U535"/>
      <c r="W535"/>
    </row>
    <row r="536" spans="10:23" s="1" customFormat="1" x14ac:dyDescent="0.2">
      <c r="J536"/>
      <c r="K536"/>
      <c r="L536"/>
      <c r="M536"/>
      <c r="N536" s="392"/>
      <c r="O536" s="2"/>
      <c r="S536"/>
      <c r="T536"/>
      <c r="U536"/>
      <c r="W536"/>
    </row>
    <row r="537" spans="10:23" s="1" customFormat="1" x14ac:dyDescent="0.2">
      <c r="J537"/>
      <c r="K537"/>
      <c r="L537"/>
      <c r="M537"/>
      <c r="N537" s="392"/>
      <c r="O537" s="2"/>
      <c r="S537"/>
      <c r="T537"/>
      <c r="U537"/>
      <c r="W537"/>
    </row>
    <row r="538" spans="10:23" s="1" customFormat="1" x14ac:dyDescent="0.2">
      <c r="J538"/>
      <c r="K538"/>
      <c r="L538"/>
      <c r="M538"/>
      <c r="N538" s="392"/>
      <c r="O538" s="2"/>
      <c r="S538"/>
      <c r="T538"/>
      <c r="U538"/>
      <c r="W538"/>
    </row>
    <row r="539" spans="10:23" s="1" customFormat="1" x14ac:dyDescent="0.2">
      <c r="J539"/>
      <c r="K539"/>
      <c r="L539"/>
      <c r="M539"/>
      <c r="N539" s="392"/>
      <c r="O539" s="2"/>
      <c r="S539"/>
      <c r="T539"/>
      <c r="U539"/>
      <c r="W539"/>
    </row>
    <row r="540" spans="10:23" s="1" customFormat="1" x14ac:dyDescent="0.2">
      <c r="J540"/>
      <c r="K540"/>
      <c r="L540"/>
      <c r="M540"/>
      <c r="N540" s="392"/>
      <c r="O540" s="2"/>
      <c r="S540"/>
      <c r="T540"/>
      <c r="U540"/>
      <c r="W540"/>
    </row>
    <row r="541" spans="10:23" s="1" customFormat="1" x14ac:dyDescent="0.2">
      <c r="J541"/>
      <c r="K541"/>
      <c r="L541"/>
      <c r="M541"/>
      <c r="N541" s="392"/>
      <c r="O541" s="2"/>
      <c r="S541"/>
      <c r="T541"/>
      <c r="U541"/>
      <c r="W541"/>
    </row>
    <row r="542" spans="10:23" s="1" customFormat="1" x14ac:dyDescent="0.2">
      <c r="J542"/>
      <c r="K542"/>
      <c r="L542"/>
      <c r="M542"/>
      <c r="N542" s="392"/>
      <c r="O542" s="2"/>
      <c r="S542"/>
      <c r="T542"/>
      <c r="U542"/>
      <c r="W542"/>
    </row>
    <row r="543" spans="10:23" s="1" customFormat="1" x14ac:dyDescent="0.2">
      <c r="J543"/>
      <c r="K543"/>
      <c r="L543"/>
      <c r="M543"/>
      <c r="N543" s="392"/>
      <c r="O543" s="2"/>
      <c r="S543"/>
      <c r="T543"/>
      <c r="U543"/>
      <c r="W543"/>
    </row>
    <row r="544" spans="10:23" s="1" customFormat="1" x14ac:dyDescent="0.2">
      <c r="J544"/>
      <c r="K544"/>
      <c r="L544"/>
      <c r="M544"/>
      <c r="N544" s="392"/>
      <c r="O544" s="2"/>
      <c r="S544"/>
      <c r="T544"/>
      <c r="U544"/>
      <c r="W544"/>
    </row>
    <row r="545" spans="10:23" s="1" customFormat="1" x14ac:dyDescent="0.2">
      <c r="J545"/>
      <c r="K545"/>
      <c r="L545"/>
      <c r="M545"/>
      <c r="N545" s="392"/>
      <c r="O545" s="2"/>
      <c r="S545"/>
      <c r="T545"/>
      <c r="U545"/>
      <c r="W545"/>
    </row>
    <row r="546" spans="10:23" s="1" customFormat="1" x14ac:dyDescent="0.2">
      <c r="J546"/>
      <c r="K546"/>
      <c r="L546"/>
      <c r="M546"/>
      <c r="N546" s="392"/>
      <c r="O546" s="2"/>
      <c r="S546"/>
      <c r="T546"/>
      <c r="U546"/>
      <c r="W546"/>
    </row>
    <row r="547" spans="10:23" s="1" customFormat="1" x14ac:dyDescent="0.2">
      <c r="J547"/>
      <c r="K547"/>
      <c r="L547"/>
      <c r="M547"/>
      <c r="N547" s="392"/>
      <c r="O547" s="2"/>
      <c r="S547"/>
      <c r="T547"/>
      <c r="U547"/>
      <c r="W547"/>
    </row>
    <row r="548" spans="10:23" s="1" customFormat="1" x14ac:dyDescent="0.2">
      <c r="J548"/>
      <c r="K548"/>
      <c r="L548"/>
      <c r="M548"/>
      <c r="N548" s="392"/>
      <c r="O548" s="2"/>
      <c r="S548"/>
      <c r="T548"/>
      <c r="U548"/>
      <c r="W548"/>
    </row>
    <row r="549" spans="10:23" s="1" customFormat="1" x14ac:dyDescent="0.2">
      <c r="J549"/>
      <c r="K549"/>
      <c r="L549"/>
      <c r="M549"/>
      <c r="N549" s="392"/>
      <c r="O549" s="2"/>
      <c r="S549"/>
      <c r="T549"/>
      <c r="U549"/>
      <c r="W549"/>
    </row>
    <row r="550" spans="10:23" s="1" customFormat="1" x14ac:dyDescent="0.2">
      <c r="J550"/>
      <c r="K550"/>
      <c r="L550"/>
      <c r="M550"/>
      <c r="N550" s="392"/>
      <c r="O550" s="2"/>
      <c r="S550"/>
      <c r="T550"/>
      <c r="U550"/>
      <c r="W550"/>
    </row>
    <row r="551" spans="10:23" s="1" customFormat="1" x14ac:dyDescent="0.2">
      <c r="J551"/>
      <c r="K551"/>
      <c r="L551"/>
      <c r="M551"/>
      <c r="N551" s="392"/>
      <c r="O551" s="2"/>
      <c r="S551"/>
      <c r="T551"/>
      <c r="U551"/>
      <c r="W551"/>
    </row>
    <row r="552" spans="10:23" s="1" customFormat="1" x14ac:dyDescent="0.2">
      <c r="J552"/>
      <c r="K552"/>
      <c r="L552"/>
      <c r="M552"/>
      <c r="N552" s="392"/>
      <c r="O552" s="2"/>
      <c r="S552"/>
      <c r="T552"/>
      <c r="U552"/>
      <c r="W552"/>
    </row>
    <row r="553" spans="10:23" s="1" customFormat="1" x14ac:dyDescent="0.2">
      <c r="J553"/>
      <c r="K553"/>
      <c r="L553"/>
      <c r="M553"/>
      <c r="N553" s="392"/>
      <c r="O553" s="2"/>
      <c r="S553"/>
      <c r="T553"/>
      <c r="U553"/>
      <c r="W553"/>
    </row>
    <row r="554" spans="10:23" s="1" customFormat="1" x14ac:dyDescent="0.2">
      <c r="J554"/>
      <c r="K554"/>
      <c r="L554"/>
      <c r="M554"/>
      <c r="N554" s="392"/>
      <c r="O554" s="2"/>
      <c r="S554"/>
      <c r="T554"/>
      <c r="U554"/>
      <c r="W554"/>
    </row>
    <row r="555" spans="10:23" s="1" customFormat="1" x14ac:dyDescent="0.2">
      <c r="J555"/>
      <c r="K555"/>
      <c r="L555"/>
      <c r="M555"/>
      <c r="N555" s="392"/>
      <c r="O555" s="2"/>
      <c r="S555"/>
      <c r="T555"/>
      <c r="U555"/>
      <c r="W555"/>
    </row>
    <row r="556" spans="10:23" s="1" customFormat="1" x14ac:dyDescent="0.2">
      <c r="J556"/>
      <c r="K556"/>
      <c r="L556"/>
      <c r="M556"/>
      <c r="N556" s="392"/>
      <c r="O556" s="2"/>
      <c r="S556"/>
      <c r="T556"/>
      <c r="U556"/>
      <c r="W556"/>
    </row>
    <row r="557" spans="10:23" s="1" customFormat="1" x14ac:dyDescent="0.2">
      <c r="J557"/>
      <c r="K557"/>
      <c r="L557"/>
      <c r="M557"/>
      <c r="N557" s="392"/>
      <c r="O557" s="2"/>
      <c r="S557"/>
      <c r="T557"/>
      <c r="U557"/>
      <c r="W557"/>
    </row>
    <row r="558" spans="10:23" s="1" customFormat="1" x14ac:dyDescent="0.2">
      <c r="J558"/>
      <c r="K558"/>
      <c r="L558"/>
      <c r="M558"/>
      <c r="N558" s="392"/>
      <c r="O558" s="2"/>
      <c r="S558"/>
      <c r="T558"/>
      <c r="U558"/>
      <c r="W558"/>
    </row>
    <row r="559" spans="10:23" s="1" customFormat="1" x14ac:dyDescent="0.2">
      <c r="J559"/>
      <c r="K559"/>
      <c r="L559"/>
      <c r="M559"/>
      <c r="N559" s="392"/>
      <c r="O559" s="2"/>
      <c r="S559"/>
      <c r="T559"/>
      <c r="U559"/>
      <c r="W559"/>
    </row>
    <row r="560" spans="10:23" s="1" customFormat="1" x14ac:dyDescent="0.2">
      <c r="J560"/>
      <c r="K560"/>
      <c r="L560"/>
      <c r="M560"/>
      <c r="N560" s="392"/>
      <c r="O560" s="2"/>
      <c r="S560"/>
      <c r="T560"/>
      <c r="U560"/>
      <c r="W560"/>
    </row>
    <row r="561" spans="10:23" s="1" customFormat="1" x14ac:dyDescent="0.2">
      <c r="J561"/>
      <c r="K561"/>
      <c r="L561"/>
      <c r="M561"/>
      <c r="N561" s="392"/>
      <c r="O561" s="2"/>
      <c r="S561"/>
      <c r="T561"/>
      <c r="U561"/>
      <c r="W561"/>
    </row>
    <row r="562" spans="10:23" s="1" customFormat="1" x14ac:dyDescent="0.2">
      <c r="J562"/>
      <c r="K562"/>
      <c r="L562"/>
      <c r="M562"/>
      <c r="N562" s="392"/>
      <c r="O562" s="2"/>
      <c r="S562"/>
      <c r="T562"/>
      <c r="U562"/>
      <c r="W562"/>
    </row>
    <row r="563" spans="10:23" s="1" customFormat="1" x14ac:dyDescent="0.2">
      <c r="J563"/>
      <c r="K563"/>
      <c r="L563"/>
      <c r="M563"/>
      <c r="N563" s="392"/>
      <c r="O563" s="2"/>
      <c r="S563"/>
      <c r="T563"/>
      <c r="U563"/>
      <c r="W563"/>
    </row>
    <row r="564" spans="10:23" s="1" customFormat="1" x14ac:dyDescent="0.2">
      <c r="J564"/>
      <c r="K564"/>
      <c r="L564"/>
      <c r="M564"/>
      <c r="N564" s="392"/>
      <c r="O564" s="2"/>
      <c r="S564"/>
      <c r="T564"/>
      <c r="U564"/>
      <c r="W564"/>
    </row>
    <row r="565" spans="10:23" s="1" customFormat="1" x14ac:dyDescent="0.2">
      <c r="J565"/>
      <c r="K565"/>
      <c r="L565"/>
      <c r="M565"/>
      <c r="N565" s="392"/>
      <c r="O565" s="2"/>
      <c r="S565"/>
      <c r="T565"/>
      <c r="U565"/>
      <c r="W565"/>
    </row>
    <row r="566" spans="10:23" s="1" customFormat="1" x14ac:dyDescent="0.2">
      <c r="J566"/>
      <c r="K566"/>
      <c r="L566"/>
      <c r="M566"/>
      <c r="N566" s="392"/>
      <c r="O566" s="2"/>
      <c r="S566"/>
      <c r="T566"/>
      <c r="U566"/>
      <c r="W566"/>
    </row>
    <row r="567" spans="10:23" s="1" customFormat="1" x14ac:dyDescent="0.2">
      <c r="J567"/>
      <c r="K567"/>
      <c r="L567"/>
      <c r="M567"/>
      <c r="N567" s="392"/>
      <c r="O567" s="2"/>
      <c r="S567"/>
      <c r="T567"/>
      <c r="U567"/>
      <c r="W567"/>
    </row>
    <row r="568" spans="10:23" s="1" customFormat="1" x14ac:dyDescent="0.2">
      <c r="J568"/>
      <c r="K568"/>
      <c r="L568"/>
      <c r="M568"/>
      <c r="N568" s="392"/>
      <c r="O568" s="2"/>
      <c r="S568"/>
      <c r="T568"/>
      <c r="U568"/>
      <c r="W568"/>
    </row>
    <row r="569" spans="10:23" s="1" customFormat="1" x14ac:dyDescent="0.2">
      <c r="J569"/>
      <c r="K569"/>
      <c r="L569"/>
      <c r="M569"/>
      <c r="N569" s="392"/>
      <c r="O569" s="2"/>
      <c r="S569"/>
      <c r="T569"/>
      <c r="U569"/>
      <c r="W569"/>
    </row>
    <row r="570" spans="10:23" s="1" customFormat="1" x14ac:dyDescent="0.2">
      <c r="J570"/>
      <c r="K570"/>
      <c r="L570"/>
      <c r="M570"/>
      <c r="N570" s="392"/>
      <c r="O570" s="2"/>
      <c r="S570"/>
      <c r="T570"/>
      <c r="U570"/>
      <c r="W570"/>
    </row>
    <row r="571" spans="10:23" s="1" customFormat="1" x14ac:dyDescent="0.2">
      <c r="J571"/>
      <c r="K571"/>
      <c r="L571"/>
      <c r="M571"/>
      <c r="N571" s="392"/>
      <c r="O571" s="2"/>
      <c r="S571"/>
      <c r="T571"/>
      <c r="U571"/>
      <c r="W571"/>
    </row>
    <row r="572" spans="10:23" s="1" customFormat="1" x14ac:dyDescent="0.2">
      <c r="J572"/>
      <c r="K572"/>
      <c r="L572"/>
      <c r="M572"/>
      <c r="N572" s="392"/>
      <c r="O572" s="2"/>
      <c r="S572"/>
      <c r="T572"/>
      <c r="U572"/>
      <c r="W572"/>
    </row>
    <row r="573" spans="10:23" s="1" customFormat="1" x14ac:dyDescent="0.2">
      <c r="J573"/>
      <c r="K573"/>
      <c r="L573"/>
      <c r="M573"/>
      <c r="N573" s="392"/>
      <c r="O573" s="2"/>
      <c r="S573"/>
      <c r="T573"/>
      <c r="U573"/>
      <c r="W573"/>
    </row>
    <row r="574" spans="10:23" s="1" customFormat="1" x14ac:dyDescent="0.2">
      <c r="J574"/>
      <c r="K574"/>
      <c r="L574"/>
      <c r="M574"/>
      <c r="N574" s="392"/>
      <c r="O574" s="2"/>
      <c r="S574"/>
      <c r="T574"/>
      <c r="U574"/>
      <c r="W574"/>
    </row>
    <row r="575" spans="10:23" s="1" customFormat="1" x14ac:dyDescent="0.2">
      <c r="J575"/>
      <c r="K575"/>
      <c r="L575"/>
      <c r="M575"/>
      <c r="N575" s="392"/>
      <c r="O575" s="2"/>
      <c r="S575"/>
      <c r="T575"/>
      <c r="U575"/>
      <c r="W575"/>
    </row>
    <row r="576" spans="10:23" s="1" customFormat="1" x14ac:dyDescent="0.2">
      <c r="J576"/>
      <c r="K576"/>
      <c r="L576"/>
      <c r="M576"/>
      <c r="N576" s="392"/>
      <c r="O576" s="2"/>
      <c r="S576"/>
      <c r="T576"/>
      <c r="U576"/>
      <c r="W576"/>
    </row>
    <row r="577" spans="10:23" s="1" customFormat="1" x14ac:dyDescent="0.2">
      <c r="J577"/>
      <c r="K577"/>
      <c r="L577"/>
      <c r="M577"/>
      <c r="N577" s="392"/>
      <c r="O577" s="2"/>
      <c r="S577"/>
      <c r="T577"/>
      <c r="U577"/>
      <c r="W577"/>
    </row>
    <row r="578" spans="10:23" s="1" customFormat="1" x14ac:dyDescent="0.2">
      <c r="J578"/>
      <c r="K578"/>
      <c r="L578"/>
      <c r="M578"/>
      <c r="N578" s="392"/>
      <c r="O578" s="2"/>
      <c r="S578"/>
      <c r="T578"/>
      <c r="U578"/>
      <c r="W578"/>
    </row>
    <row r="579" spans="10:23" s="1" customFormat="1" x14ac:dyDescent="0.2">
      <c r="J579"/>
      <c r="K579"/>
      <c r="L579"/>
      <c r="M579"/>
      <c r="N579" s="392"/>
      <c r="O579" s="2"/>
      <c r="S579"/>
      <c r="T579"/>
      <c r="U579"/>
      <c r="W579"/>
    </row>
    <row r="580" spans="10:23" s="1" customFormat="1" x14ac:dyDescent="0.2">
      <c r="J580"/>
      <c r="K580"/>
      <c r="L580"/>
      <c r="M580"/>
      <c r="N580" s="392"/>
      <c r="O580" s="2"/>
      <c r="S580"/>
      <c r="T580"/>
      <c r="U580"/>
      <c r="W580"/>
    </row>
    <row r="581" spans="10:23" s="1" customFormat="1" x14ac:dyDescent="0.2">
      <c r="J581"/>
      <c r="K581"/>
      <c r="L581"/>
      <c r="M581"/>
      <c r="N581" s="392"/>
      <c r="O581" s="2"/>
      <c r="S581"/>
      <c r="T581"/>
      <c r="U581"/>
      <c r="W581"/>
    </row>
    <row r="582" spans="10:23" s="1" customFormat="1" x14ac:dyDescent="0.2">
      <c r="J582"/>
      <c r="K582"/>
      <c r="L582"/>
      <c r="M582"/>
      <c r="N582" s="392"/>
      <c r="O582" s="2"/>
      <c r="S582"/>
      <c r="T582"/>
      <c r="U582"/>
      <c r="W582"/>
    </row>
    <row r="583" spans="10:23" s="1" customFormat="1" x14ac:dyDescent="0.2">
      <c r="J583"/>
      <c r="K583"/>
      <c r="L583"/>
      <c r="M583"/>
      <c r="N583" s="392"/>
      <c r="O583" s="2"/>
      <c r="S583"/>
      <c r="T583"/>
      <c r="U583"/>
      <c r="W583"/>
    </row>
    <row r="584" spans="10:23" s="1" customFormat="1" x14ac:dyDescent="0.2">
      <c r="J584"/>
      <c r="K584"/>
      <c r="L584"/>
      <c r="M584"/>
      <c r="N584" s="392"/>
      <c r="O584" s="2"/>
      <c r="S584"/>
      <c r="T584"/>
      <c r="U584"/>
      <c r="W584"/>
    </row>
    <row r="585" spans="10:23" s="1" customFormat="1" x14ac:dyDescent="0.2">
      <c r="J585"/>
      <c r="K585"/>
      <c r="L585"/>
      <c r="M585"/>
      <c r="N585" s="392"/>
      <c r="O585" s="2"/>
      <c r="S585"/>
      <c r="T585"/>
      <c r="U585"/>
      <c r="W585"/>
    </row>
    <row r="586" spans="10:23" s="1" customFormat="1" x14ac:dyDescent="0.2">
      <c r="J586"/>
      <c r="K586"/>
      <c r="L586"/>
      <c r="M586"/>
      <c r="N586" s="392"/>
      <c r="O586" s="2"/>
      <c r="S586"/>
      <c r="T586"/>
      <c r="U586"/>
      <c r="W586"/>
    </row>
    <row r="587" spans="10:23" s="1" customFormat="1" x14ac:dyDescent="0.2">
      <c r="J587"/>
      <c r="K587"/>
      <c r="L587"/>
      <c r="M587"/>
      <c r="N587" s="392"/>
      <c r="O587" s="2"/>
      <c r="S587"/>
      <c r="T587"/>
      <c r="U587"/>
      <c r="W587"/>
    </row>
    <row r="588" spans="10:23" s="1" customFormat="1" x14ac:dyDescent="0.2">
      <c r="J588"/>
      <c r="K588"/>
      <c r="L588"/>
      <c r="M588"/>
      <c r="N588" s="392"/>
      <c r="O588" s="2"/>
      <c r="S588"/>
      <c r="T588"/>
      <c r="U588"/>
      <c r="W588"/>
    </row>
    <row r="589" spans="10:23" s="1" customFormat="1" x14ac:dyDescent="0.2">
      <c r="J589"/>
      <c r="K589"/>
      <c r="L589"/>
      <c r="M589"/>
      <c r="N589" s="392"/>
      <c r="O589" s="2"/>
      <c r="S589"/>
      <c r="T589"/>
      <c r="U589"/>
      <c r="W589"/>
    </row>
    <row r="590" spans="10:23" s="1" customFormat="1" x14ac:dyDescent="0.2">
      <c r="J590"/>
      <c r="K590"/>
      <c r="L590"/>
      <c r="M590"/>
      <c r="N590" s="392"/>
      <c r="O590" s="2"/>
      <c r="S590"/>
      <c r="T590"/>
      <c r="U590"/>
      <c r="W590"/>
    </row>
    <row r="591" spans="10:23" s="1" customFormat="1" x14ac:dyDescent="0.2">
      <c r="J591"/>
      <c r="K591"/>
      <c r="L591"/>
      <c r="M591"/>
      <c r="N591" s="392"/>
      <c r="O591" s="2"/>
      <c r="S591"/>
      <c r="T591"/>
      <c r="U591"/>
      <c r="W591"/>
    </row>
    <row r="592" spans="10:23" s="1" customFormat="1" x14ac:dyDescent="0.2">
      <c r="J592"/>
      <c r="K592"/>
      <c r="L592"/>
      <c r="M592"/>
      <c r="N592" s="392"/>
      <c r="O592" s="2"/>
      <c r="S592"/>
      <c r="T592"/>
      <c r="U592"/>
      <c r="W592"/>
    </row>
    <row r="593" spans="10:23" s="1" customFormat="1" x14ac:dyDescent="0.2">
      <c r="J593"/>
      <c r="K593"/>
      <c r="L593"/>
      <c r="M593"/>
      <c r="N593" s="392"/>
      <c r="O593" s="2"/>
      <c r="S593"/>
      <c r="T593"/>
      <c r="U593"/>
      <c r="W593"/>
    </row>
    <row r="594" spans="10:23" s="1" customFormat="1" x14ac:dyDescent="0.2">
      <c r="J594"/>
      <c r="K594"/>
      <c r="L594"/>
      <c r="M594"/>
      <c r="N594" s="392"/>
      <c r="O594" s="2"/>
      <c r="S594"/>
      <c r="T594"/>
      <c r="U594"/>
      <c r="W594"/>
    </row>
    <row r="595" spans="10:23" s="1" customFormat="1" x14ac:dyDescent="0.2">
      <c r="J595"/>
      <c r="K595"/>
      <c r="L595"/>
      <c r="M595"/>
      <c r="N595" s="392"/>
      <c r="O595" s="2"/>
      <c r="S595"/>
      <c r="T595"/>
      <c r="U595"/>
      <c r="W595"/>
    </row>
    <row r="596" spans="10:23" s="1" customFormat="1" x14ac:dyDescent="0.2">
      <c r="J596"/>
      <c r="K596"/>
      <c r="L596"/>
      <c r="M596"/>
      <c r="N596" s="392"/>
      <c r="O596" s="2"/>
      <c r="S596"/>
      <c r="T596"/>
      <c r="U596"/>
      <c r="W596"/>
    </row>
    <row r="597" spans="10:23" s="1" customFormat="1" x14ac:dyDescent="0.2">
      <c r="J597"/>
      <c r="K597"/>
      <c r="L597"/>
      <c r="M597"/>
      <c r="N597" s="392"/>
      <c r="O597" s="2"/>
      <c r="S597"/>
      <c r="T597"/>
      <c r="U597"/>
      <c r="W597"/>
    </row>
    <row r="598" spans="10:23" s="1" customFormat="1" x14ac:dyDescent="0.2">
      <c r="J598"/>
      <c r="K598"/>
      <c r="L598"/>
      <c r="M598"/>
      <c r="N598" s="392"/>
      <c r="O598" s="2"/>
      <c r="S598"/>
      <c r="T598"/>
      <c r="U598"/>
      <c r="W598"/>
    </row>
    <row r="599" spans="10:23" s="1" customFormat="1" x14ac:dyDescent="0.2">
      <c r="J599"/>
      <c r="K599"/>
      <c r="L599"/>
      <c r="M599"/>
      <c r="N599" s="392"/>
      <c r="O599" s="2"/>
      <c r="S599"/>
      <c r="T599"/>
      <c r="U599"/>
      <c r="W599"/>
    </row>
    <row r="600" spans="10:23" s="1" customFormat="1" x14ac:dyDescent="0.2">
      <c r="J600"/>
      <c r="K600"/>
      <c r="L600"/>
      <c r="M600"/>
      <c r="N600" s="392"/>
      <c r="O600" s="2"/>
      <c r="S600"/>
      <c r="T600"/>
      <c r="U600"/>
      <c r="W600"/>
    </row>
    <row r="601" spans="10:23" s="1" customFormat="1" x14ac:dyDescent="0.2">
      <c r="J601"/>
      <c r="K601"/>
      <c r="L601"/>
      <c r="M601"/>
      <c r="N601" s="392"/>
      <c r="O601" s="2"/>
      <c r="S601"/>
      <c r="T601"/>
      <c r="U601"/>
      <c r="W601"/>
    </row>
    <row r="602" spans="10:23" s="1" customFormat="1" x14ac:dyDescent="0.2">
      <c r="J602"/>
      <c r="K602"/>
      <c r="L602"/>
      <c r="M602"/>
      <c r="N602" s="392"/>
      <c r="O602" s="2"/>
      <c r="S602"/>
      <c r="T602"/>
      <c r="U602"/>
      <c r="W602"/>
    </row>
    <row r="603" spans="10:23" s="1" customFormat="1" x14ac:dyDescent="0.2">
      <c r="J603"/>
      <c r="K603"/>
      <c r="L603"/>
      <c r="M603"/>
      <c r="N603" s="392"/>
      <c r="O603" s="2"/>
      <c r="S603"/>
      <c r="T603"/>
      <c r="U603"/>
      <c r="W603"/>
    </row>
    <row r="604" spans="10:23" s="1" customFormat="1" x14ac:dyDescent="0.2">
      <c r="J604"/>
      <c r="K604"/>
      <c r="L604"/>
      <c r="M604"/>
      <c r="N604" s="392"/>
      <c r="O604" s="2"/>
      <c r="S604"/>
      <c r="T604"/>
      <c r="U604"/>
      <c r="W604"/>
    </row>
    <row r="605" spans="10:23" s="1" customFormat="1" x14ac:dyDescent="0.2">
      <c r="J605"/>
      <c r="K605"/>
      <c r="L605"/>
      <c r="M605"/>
      <c r="N605" s="392"/>
      <c r="O605" s="2"/>
      <c r="S605"/>
      <c r="T605"/>
      <c r="U605"/>
      <c r="W605"/>
    </row>
    <row r="606" spans="10:23" s="1" customFormat="1" x14ac:dyDescent="0.2">
      <c r="J606"/>
      <c r="K606"/>
      <c r="L606"/>
      <c r="M606"/>
      <c r="N606" s="392"/>
      <c r="O606" s="2"/>
      <c r="S606"/>
      <c r="T606"/>
      <c r="U606"/>
      <c r="W606"/>
    </row>
    <row r="607" spans="10:23" s="1" customFormat="1" x14ac:dyDescent="0.2">
      <c r="J607"/>
      <c r="K607"/>
      <c r="L607"/>
      <c r="M607"/>
      <c r="N607" s="392"/>
      <c r="O607" s="2"/>
      <c r="S607"/>
      <c r="T607"/>
      <c r="U607"/>
      <c r="W607"/>
    </row>
    <row r="608" spans="10:23" s="1" customFormat="1" x14ac:dyDescent="0.2">
      <c r="J608"/>
      <c r="K608"/>
      <c r="L608"/>
      <c r="M608"/>
      <c r="N608" s="392"/>
      <c r="O608" s="2"/>
      <c r="S608"/>
      <c r="T608"/>
      <c r="U608"/>
      <c r="W608"/>
    </row>
    <row r="609" spans="10:23" s="1" customFormat="1" x14ac:dyDescent="0.2">
      <c r="J609"/>
      <c r="K609"/>
      <c r="L609"/>
      <c r="M609"/>
      <c r="N609" s="392"/>
      <c r="O609" s="2"/>
      <c r="S609"/>
      <c r="T609"/>
      <c r="U609"/>
      <c r="W609"/>
    </row>
    <row r="610" spans="10:23" s="1" customFormat="1" x14ac:dyDescent="0.2">
      <c r="J610"/>
      <c r="K610"/>
      <c r="L610"/>
      <c r="M610"/>
      <c r="N610" s="392"/>
      <c r="O610" s="2"/>
      <c r="S610"/>
      <c r="T610"/>
      <c r="U610"/>
      <c r="W610"/>
    </row>
    <row r="611" spans="10:23" s="1" customFormat="1" x14ac:dyDescent="0.2">
      <c r="J611"/>
      <c r="K611"/>
      <c r="L611"/>
      <c r="M611"/>
      <c r="N611" s="392"/>
      <c r="O611" s="2"/>
      <c r="S611"/>
      <c r="T611"/>
      <c r="U611"/>
      <c r="W611"/>
    </row>
    <row r="612" spans="10:23" s="1" customFormat="1" x14ac:dyDescent="0.2">
      <c r="J612"/>
      <c r="K612"/>
      <c r="L612"/>
      <c r="M612"/>
      <c r="N612" s="392"/>
      <c r="O612" s="2"/>
      <c r="S612"/>
      <c r="T612"/>
      <c r="U612"/>
      <c r="W612"/>
    </row>
    <row r="613" spans="10:23" s="1" customFormat="1" x14ac:dyDescent="0.2">
      <c r="J613"/>
      <c r="K613"/>
      <c r="L613"/>
      <c r="M613"/>
      <c r="N613" s="392"/>
      <c r="O613" s="2"/>
      <c r="S613"/>
      <c r="T613"/>
      <c r="U613"/>
      <c r="W613"/>
    </row>
    <row r="614" spans="10:23" s="1" customFormat="1" x14ac:dyDescent="0.2">
      <c r="J614"/>
      <c r="K614"/>
      <c r="L614"/>
      <c r="M614"/>
      <c r="N614" s="392"/>
      <c r="O614" s="2"/>
      <c r="S614"/>
      <c r="T614"/>
      <c r="U614"/>
      <c r="W614"/>
    </row>
    <row r="615" spans="10:23" s="1" customFormat="1" x14ac:dyDescent="0.2">
      <c r="J615"/>
      <c r="K615"/>
      <c r="L615"/>
      <c r="M615"/>
      <c r="N615" s="392"/>
      <c r="O615" s="2"/>
      <c r="S615"/>
      <c r="T615"/>
      <c r="U615"/>
      <c r="W615"/>
    </row>
    <row r="616" spans="10:23" s="1" customFormat="1" x14ac:dyDescent="0.2">
      <c r="J616"/>
      <c r="K616"/>
      <c r="L616"/>
      <c r="M616"/>
      <c r="N616" s="392"/>
      <c r="O616" s="2"/>
      <c r="S616"/>
      <c r="T616"/>
      <c r="U616"/>
      <c r="W616"/>
    </row>
    <row r="617" spans="10:23" s="1" customFormat="1" x14ac:dyDescent="0.2">
      <c r="J617"/>
      <c r="K617"/>
      <c r="L617"/>
      <c r="M617"/>
      <c r="N617" s="392"/>
      <c r="O617" s="2"/>
      <c r="S617"/>
      <c r="T617"/>
      <c r="U617"/>
      <c r="W617"/>
    </row>
    <row r="618" spans="10:23" s="1" customFormat="1" x14ac:dyDescent="0.2">
      <c r="J618"/>
      <c r="K618"/>
      <c r="L618"/>
      <c r="M618"/>
      <c r="N618" s="392"/>
      <c r="O618" s="2"/>
      <c r="S618"/>
      <c r="T618"/>
      <c r="U618"/>
      <c r="W618"/>
    </row>
    <row r="619" spans="10:23" s="1" customFormat="1" x14ac:dyDescent="0.2">
      <c r="J619"/>
      <c r="K619"/>
      <c r="L619"/>
      <c r="M619"/>
      <c r="N619" s="392"/>
      <c r="O619" s="2"/>
      <c r="S619"/>
      <c r="T619"/>
      <c r="U619"/>
      <c r="W619"/>
    </row>
    <row r="620" spans="10:23" s="1" customFormat="1" x14ac:dyDescent="0.2">
      <c r="J620"/>
      <c r="K620"/>
      <c r="L620"/>
      <c r="M620"/>
      <c r="N620" s="392"/>
      <c r="O620" s="2"/>
      <c r="S620"/>
      <c r="T620"/>
      <c r="U620"/>
      <c r="W620"/>
    </row>
    <row r="621" spans="10:23" s="1" customFormat="1" x14ac:dyDescent="0.2">
      <c r="J621"/>
      <c r="K621"/>
      <c r="L621"/>
      <c r="M621"/>
      <c r="N621" s="392"/>
      <c r="O621" s="2"/>
      <c r="S621"/>
      <c r="T621"/>
      <c r="U621"/>
      <c r="W621"/>
    </row>
    <row r="622" spans="10:23" s="1" customFormat="1" x14ac:dyDescent="0.2">
      <c r="J622"/>
      <c r="K622"/>
      <c r="L622"/>
      <c r="M622"/>
      <c r="N622" s="392"/>
      <c r="O622" s="2"/>
      <c r="S622"/>
      <c r="T622"/>
      <c r="U622"/>
      <c r="W622"/>
    </row>
    <row r="623" spans="10:23" s="1" customFormat="1" x14ac:dyDescent="0.2">
      <c r="J623"/>
      <c r="K623"/>
      <c r="L623"/>
      <c r="M623"/>
      <c r="N623" s="392"/>
      <c r="O623" s="2"/>
      <c r="S623"/>
      <c r="T623"/>
      <c r="U623"/>
      <c r="W623"/>
    </row>
    <row r="624" spans="10:23" s="1" customFormat="1" x14ac:dyDescent="0.2">
      <c r="J624"/>
      <c r="K624"/>
      <c r="L624"/>
      <c r="M624"/>
      <c r="N624" s="392"/>
      <c r="O624" s="2"/>
      <c r="S624"/>
      <c r="T624"/>
      <c r="U624"/>
      <c r="W624"/>
    </row>
    <row r="625" spans="10:23" s="1" customFormat="1" x14ac:dyDescent="0.2">
      <c r="J625"/>
      <c r="K625"/>
      <c r="L625"/>
      <c r="M625"/>
      <c r="N625" s="392"/>
      <c r="O625" s="2"/>
      <c r="S625"/>
      <c r="T625"/>
      <c r="U625"/>
      <c r="W625"/>
    </row>
    <row r="626" spans="10:23" s="1" customFormat="1" x14ac:dyDescent="0.2">
      <c r="J626"/>
      <c r="K626"/>
      <c r="L626"/>
      <c r="M626"/>
      <c r="N626" s="392"/>
      <c r="O626" s="2"/>
      <c r="S626"/>
      <c r="T626"/>
      <c r="U626"/>
      <c r="W626"/>
    </row>
    <row r="627" spans="10:23" s="1" customFormat="1" x14ac:dyDescent="0.2">
      <c r="J627"/>
      <c r="K627"/>
      <c r="L627"/>
      <c r="M627"/>
      <c r="N627" s="392"/>
      <c r="O627" s="2"/>
      <c r="S627"/>
      <c r="T627"/>
      <c r="U627"/>
      <c r="W627"/>
    </row>
    <row r="628" spans="10:23" s="1" customFormat="1" x14ac:dyDescent="0.2">
      <c r="J628"/>
      <c r="K628"/>
      <c r="L628"/>
      <c r="M628"/>
      <c r="N628" s="392"/>
      <c r="O628" s="2"/>
      <c r="S628"/>
      <c r="T628"/>
      <c r="U628"/>
      <c r="W628"/>
    </row>
    <row r="629" spans="10:23" s="1" customFormat="1" x14ac:dyDescent="0.2">
      <c r="J629"/>
      <c r="K629"/>
      <c r="L629"/>
      <c r="M629"/>
      <c r="N629" s="392"/>
      <c r="O629" s="2"/>
      <c r="S629"/>
      <c r="T629"/>
      <c r="U629"/>
      <c r="W629"/>
    </row>
    <row r="630" spans="10:23" s="1" customFormat="1" x14ac:dyDescent="0.2">
      <c r="J630"/>
      <c r="K630"/>
      <c r="L630"/>
      <c r="M630"/>
      <c r="N630" s="392"/>
      <c r="O630" s="2"/>
      <c r="S630"/>
      <c r="T630"/>
      <c r="U630"/>
      <c r="W630"/>
    </row>
    <row r="631" spans="10:23" s="1" customFormat="1" x14ac:dyDescent="0.2">
      <c r="J631"/>
      <c r="K631"/>
      <c r="L631"/>
      <c r="M631"/>
      <c r="N631" s="392"/>
      <c r="O631" s="2"/>
      <c r="S631"/>
      <c r="T631"/>
      <c r="U631"/>
      <c r="W631"/>
    </row>
    <row r="632" spans="10:23" s="1" customFormat="1" x14ac:dyDescent="0.2">
      <c r="J632"/>
      <c r="K632"/>
      <c r="L632"/>
      <c r="M632"/>
      <c r="N632" s="392"/>
      <c r="O632" s="2"/>
      <c r="S632"/>
      <c r="T632"/>
      <c r="U632"/>
      <c r="W632"/>
    </row>
    <row r="633" spans="10:23" s="1" customFormat="1" x14ac:dyDescent="0.2">
      <c r="J633"/>
      <c r="K633"/>
      <c r="L633"/>
      <c r="M633"/>
      <c r="N633" s="392"/>
      <c r="O633" s="2"/>
      <c r="S633"/>
      <c r="T633"/>
      <c r="U633"/>
      <c r="W633"/>
    </row>
    <row r="634" spans="10:23" s="1" customFormat="1" x14ac:dyDescent="0.2">
      <c r="J634"/>
      <c r="K634"/>
      <c r="L634"/>
      <c r="M634"/>
      <c r="N634" s="392"/>
      <c r="O634" s="2"/>
      <c r="S634"/>
      <c r="T634"/>
      <c r="U634"/>
      <c r="W634"/>
    </row>
    <row r="635" spans="10:23" s="1" customFormat="1" x14ac:dyDescent="0.2">
      <c r="J635"/>
      <c r="K635"/>
      <c r="L635"/>
      <c r="M635"/>
      <c r="N635" s="392"/>
      <c r="O635" s="2"/>
      <c r="S635"/>
      <c r="T635"/>
      <c r="U635"/>
      <c r="W635"/>
    </row>
    <row r="636" spans="10:23" s="1" customFormat="1" x14ac:dyDescent="0.2">
      <c r="J636"/>
      <c r="K636"/>
      <c r="L636"/>
      <c r="M636"/>
      <c r="N636" s="392"/>
      <c r="O636" s="2"/>
      <c r="S636"/>
      <c r="T636"/>
      <c r="U636"/>
      <c r="W636"/>
    </row>
    <row r="637" spans="10:23" s="1" customFormat="1" x14ac:dyDescent="0.2">
      <c r="J637"/>
      <c r="K637"/>
      <c r="L637"/>
      <c r="M637"/>
      <c r="N637" s="392"/>
      <c r="O637" s="2"/>
      <c r="S637"/>
      <c r="T637"/>
      <c r="U637"/>
      <c r="W637"/>
    </row>
    <row r="638" spans="10:23" s="1" customFormat="1" x14ac:dyDescent="0.2">
      <c r="J638"/>
      <c r="K638"/>
      <c r="L638"/>
      <c r="M638"/>
      <c r="N638" s="392"/>
      <c r="O638" s="2"/>
      <c r="S638"/>
      <c r="T638"/>
      <c r="U638"/>
      <c r="W638"/>
    </row>
    <row r="639" spans="10:23" s="1" customFormat="1" x14ac:dyDescent="0.2">
      <c r="J639"/>
      <c r="K639"/>
      <c r="L639"/>
      <c r="M639"/>
      <c r="N639" s="392"/>
      <c r="O639" s="2"/>
      <c r="S639"/>
      <c r="T639"/>
      <c r="U639"/>
      <c r="W639"/>
    </row>
    <row r="640" spans="10:23" s="1" customFormat="1" x14ac:dyDescent="0.2">
      <c r="J640"/>
      <c r="K640"/>
      <c r="L640"/>
      <c r="M640"/>
      <c r="N640" s="392"/>
      <c r="O640" s="2"/>
      <c r="S640"/>
      <c r="T640"/>
      <c r="U640"/>
      <c r="W640"/>
    </row>
    <row r="641" spans="10:23" s="1" customFormat="1" x14ac:dyDescent="0.2">
      <c r="J641"/>
      <c r="K641"/>
      <c r="L641"/>
      <c r="M641"/>
      <c r="N641" s="392"/>
      <c r="O641" s="2"/>
      <c r="S641"/>
      <c r="T641"/>
      <c r="U641"/>
      <c r="W641"/>
    </row>
    <row r="642" spans="10:23" s="1" customFormat="1" x14ac:dyDescent="0.2">
      <c r="J642"/>
      <c r="K642"/>
      <c r="L642"/>
      <c r="M642"/>
      <c r="N642" s="392"/>
      <c r="O642" s="2"/>
      <c r="S642"/>
      <c r="T642"/>
      <c r="U642"/>
      <c r="W642"/>
    </row>
    <row r="643" spans="10:23" s="1" customFormat="1" x14ac:dyDescent="0.2">
      <c r="J643"/>
      <c r="K643"/>
      <c r="L643"/>
      <c r="M643"/>
      <c r="N643" s="392"/>
      <c r="O643" s="2"/>
      <c r="S643"/>
      <c r="T643"/>
      <c r="U643"/>
      <c r="W643"/>
    </row>
    <row r="644" spans="10:23" s="1" customFormat="1" x14ac:dyDescent="0.2">
      <c r="J644"/>
      <c r="K644"/>
      <c r="L644"/>
      <c r="M644"/>
      <c r="N644" s="392"/>
      <c r="O644" s="2"/>
      <c r="S644"/>
      <c r="T644"/>
      <c r="U644"/>
      <c r="W644"/>
    </row>
    <row r="645" spans="10:23" s="1" customFormat="1" x14ac:dyDescent="0.2">
      <c r="J645"/>
      <c r="K645"/>
      <c r="L645"/>
      <c r="M645"/>
      <c r="N645" s="392"/>
      <c r="O645" s="2"/>
      <c r="S645"/>
      <c r="T645"/>
      <c r="U645"/>
      <c r="W645"/>
    </row>
    <row r="646" spans="10:23" s="1" customFormat="1" x14ac:dyDescent="0.2">
      <c r="J646"/>
      <c r="K646"/>
      <c r="L646"/>
      <c r="M646"/>
      <c r="N646" s="392"/>
      <c r="O646" s="2"/>
      <c r="S646"/>
      <c r="T646"/>
      <c r="U646"/>
      <c r="W646"/>
    </row>
    <row r="647" spans="10:23" s="1" customFormat="1" x14ac:dyDescent="0.2">
      <c r="J647"/>
      <c r="K647"/>
      <c r="L647"/>
      <c r="M647"/>
      <c r="N647" s="392"/>
      <c r="O647" s="2"/>
      <c r="S647"/>
      <c r="T647"/>
      <c r="U647"/>
      <c r="W647"/>
    </row>
    <row r="648" spans="10:23" s="1" customFormat="1" x14ac:dyDescent="0.2">
      <c r="J648"/>
      <c r="K648"/>
      <c r="L648"/>
      <c r="M648"/>
      <c r="N648" s="392"/>
      <c r="O648" s="2"/>
      <c r="S648"/>
      <c r="T648"/>
      <c r="U648"/>
      <c r="W648"/>
    </row>
    <row r="649" spans="10:23" s="1" customFormat="1" x14ac:dyDescent="0.2">
      <c r="J649"/>
      <c r="K649"/>
      <c r="L649"/>
      <c r="M649"/>
      <c r="N649" s="392"/>
      <c r="O649" s="2"/>
      <c r="S649"/>
      <c r="T649"/>
      <c r="U649"/>
      <c r="W649"/>
    </row>
    <row r="650" spans="10:23" s="1" customFormat="1" x14ac:dyDescent="0.2">
      <c r="J650"/>
      <c r="K650"/>
      <c r="L650"/>
      <c r="M650"/>
      <c r="N650" s="392"/>
      <c r="O650" s="2"/>
      <c r="S650"/>
      <c r="T650"/>
      <c r="U650"/>
      <c r="W650"/>
    </row>
    <row r="651" spans="10:23" s="1" customFormat="1" x14ac:dyDescent="0.2">
      <c r="J651"/>
      <c r="K651"/>
      <c r="L651"/>
      <c r="M651"/>
      <c r="N651" s="392"/>
      <c r="O651" s="2"/>
      <c r="S651"/>
      <c r="T651"/>
      <c r="U651"/>
      <c r="W651"/>
    </row>
    <row r="652" spans="10:23" s="1" customFormat="1" x14ac:dyDescent="0.2">
      <c r="J652"/>
      <c r="K652"/>
      <c r="L652"/>
      <c r="M652"/>
      <c r="N652" s="392"/>
      <c r="O652" s="2"/>
      <c r="S652"/>
      <c r="T652"/>
      <c r="U652"/>
      <c r="W652"/>
    </row>
    <row r="653" spans="10:23" s="1" customFormat="1" x14ac:dyDescent="0.2">
      <c r="J653"/>
      <c r="K653"/>
      <c r="L653"/>
      <c r="M653"/>
      <c r="N653" s="392"/>
      <c r="O653" s="2"/>
      <c r="S653"/>
      <c r="T653"/>
      <c r="U653"/>
      <c r="W653"/>
    </row>
    <row r="654" spans="10:23" s="1" customFormat="1" x14ac:dyDescent="0.2">
      <c r="J654"/>
      <c r="K654"/>
      <c r="L654"/>
      <c r="M654"/>
      <c r="N654" s="392"/>
      <c r="O654" s="2"/>
      <c r="S654"/>
      <c r="T654"/>
      <c r="U654"/>
      <c r="W654"/>
    </row>
    <row r="655" spans="10:23" s="1" customFormat="1" x14ac:dyDescent="0.2">
      <c r="J655"/>
      <c r="K655"/>
      <c r="L655"/>
      <c r="M655"/>
      <c r="N655" s="392"/>
      <c r="O655" s="2"/>
      <c r="S655"/>
      <c r="T655"/>
      <c r="U655"/>
      <c r="W655"/>
    </row>
    <row r="656" spans="10:23" s="1" customFormat="1" x14ac:dyDescent="0.2">
      <c r="J656"/>
      <c r="K656"/>
      <c r="L656"/>
      <c r="M656"/>
      <c r="N656" s="392"/>
      <c r="O656" s="2"/>
      <c r="S656"/>
      <c r="T656"/>
      <c r="U656"/>
      <c r="W656"/>
    </row>
    <row r="657" spans="10:23" s="1" customFormat="1" x14ac:dyDescent="0.2">
      <c r="J657"/>
      <c r="K657"/>
      <c r="L657"/>
      <c r="M657"/>
      <c r="N657" s="392"/>
      <c r="O657" s="2"/>
      <c r="S657"/>
      <c r="T657"/>
      <c r="U657"/>
      <c r="W657"/>
    </row>
    <row r="658" spans="10:23" s="1" customFormat="1" x14ac:dyDescent="0.2">
      <c r="J658"/>
      <c r="K658"/>
      <c r="L658"/>
      <c r="M658"/>
      <c r="N658" s="392"/>
      <c r="O658" s="2"/>
      <c r="S658"/>
      <c r="T658"/>
      <c r="U658"/>
      <c r="W658"/>
    </row>
    <row r="659" spans="10:23" s="1" customFormat="1" x14ac:dyDescent="0.2">
      <c r="J659"/>
      <c r="K659"/>
      <c r="L659"/>
      <c r="M659"/>
      <c r="N659" s="392"/>
      <c r="O659" s="2"/>
      <c r="S659"/>
      <c r="T659"/>
      <c r="U659"/>
      <c r="W659"/>
    </row>
    <row r="660" spans="10:23" s="1" customFormat="1" x14ac:dyDescent="0.2">
      <c r="J660"/>
      <c r="K660"/>
      <c r="L660"/>
      <c r="M660"/>
      <c r="N660" s="392"/>
      <c r="O660" s="2"/>
      <c r="S660"/>
      <c r="T660"/>
      <c r="U660"/>
      <c r="W660"/>
    </row>
    <row r="661" spans="10:23" s="1" customFormat="1" x14ac:dyDescent="0.2">
      <c r="J661"/>
      <c r="K661"/>
      <c r="L661"/>
      <c r="M661"/>
      <c r="N661" s="392"/>
      <c r="O661" s="2"/>
      <c r="S661"/>
      <c r="T661"/>
      <c r="U661"/>
      <c r="W661"/>
    </row>
    <row r="662" spans="10:23" s="1" customFormat="1" x14ac:dyDescent="0.2">
      <c r="J662"/>
      <c r="K662"/>
      <c r="L662"/>
      <c r="M662"/>
      <c r="N662" s="392"/>
      <c r="O662" s="2"/>
      <c r="S662"/>
      <c r="T662"/>
      <c r="U662"/>
      <c r="W662"/>
    </row>
    <row r="663" spans="10:23" s="1" customFormat="1" x14ac:dyDescent="0.2">
      <c r="J663"/>
      <c r="K663"/>
      <c r="L663"/>
      <c r="M663"/>
      <c r="N663" s="392"/>
      <c r="O663" s="2"/>
      <c r="S663"/>
      <c r="T663"/>
      <c r="U663"/>
      <c r="W663"/>
    </row>
    <row r="664" spans="10:23" s="1" customFormat="1" x14ac:dyDescent="0.2">
      <c r="J664"/>
      <c r="K664"/>
      <c r="L664"/>
      <c r="M664"/>
      <c r="N664" s="392"/>
      <c r="O664" s="2"/>
      <c r="S664"/>
      <c r="T664"/>
      <c r="U664"/>
      <c r="W664"/>
    </row>
    <row r="665" spans="10:23" s="1" customFormat="1" x14ac:dyDescent="0.2">
      <c r="J665"/>
      <c r="K665"/>
      <c r="L665"/>
      <c r="M665"/>
      <c r="N665" s="392"/>
      <c r="O665" s="2"/>
      <c r="S665"/>
      <c r="T665"/>
      <c r="U665"/>
      <c r="W665"/>
    </row>
    <row r="666" spans="10:23" s="1" customFormat="1" x14ac:dyDescent="0.2">
      <c r="J666"/>
      <c r="K666"/>
      <c r="L666"/>
      <c r="M666"/>
      <c r="N666" s="392"/>
      <c r="O666" s="2"/>
      <c r="S666"/>
      <c r="T666"/>
      <c r="U666"/>
      <c r="W666"/>
    </row>
    <row r="667" spans="10:23" s="1" customFormat="1" x14ac:dyDescent="0.2">
      <c r="J667"/>
      <c r="K667"/>
      <c r="L667"/>
      <c r="M667"/>
      <c r="N667" s="392"/>
      <c r="O667" s="2"/>
      <c r="S667"/>
      <c r="T667"/>
      <c r="U667"/>
      <c r="W667"/>
    </row>
    <row r="668" spans="10:23" s="1" customFormat="1" x14ac:dyDescent="0.2">
      <c r="J668"/>
      <c r="K668"/>
      <c r="L668"/>
      <c r="M668"/>
      <c r="N668" s="392"/>
      <c r="O668" s="2"/>
      <c r="S668"/>
      <c r="T668"/>
      <c r="U668"/>
      <c r="W668"/>
    </row>
    <row r="669" spans="10:23" s="1" customFormat="1" x14ac:dyDescent="0.2">
      <c r="J669"/>
      <c r="K669"/>
      <c r="L669"/>
      <c r="M669"/>
      <c r="N669" s="392"/>
      <c r="O669" s="2"/>
      <c r="S669"/>
      <c r="T669"/>
      <c r="U669"/>
      <c r="W669"/>
    </row>
    <row r="670" spans="10:23" s="1" customFormat="1" x14ac:dyDescent="0.2">
      <c r="J670"/>
      <c r="K670"/>
      <c r="L670"/>
      <c r="M670"/>
      <c r="N670" s="392"/>
      <c r="O670" s="2"/>
      <c r="S670"/>
      <c r="T670"/>
      <c r="U670"/>
      <c r="W670"/>
    </row>
    <row r="671" spans="10:23" s="1" customFormat="1" x14ac:dyDescent="0.2">
      <c r="J671"/>
      <c r="K671"/>
      <c r="L671"/>
      <c r="M671"/>
      <c r="N671" s="392"/>
      <c r="O671" s="2"/>
      <c r="S671"/>
      <c r="T671"/>
      <c r="U671"/>
      <c r="W671"/>
    </row>
    <row r="672" spans="10:23" s="1" customFormat="1" x14ac:dyDescent="0.2">
      <c r="J672"/>
      <c r="K672"/>
      <c r="L672"/>
      <c r="M672"/>
      <c r="N672" s="392"/>
      <c r="O672" s="2"/>
      <c r="S672"/>
      <c r="T672"/>
      <c r="U672"/>
      <c r="W672"/>
    </row>
    <row r="673" spans="10:23" s="1" customFormat="1" x14ac:dyDescent="0.2">
      <c r="J673"/>
      <c r="K673"/>
      <c r="L673"/>
      <c r="M673"/>
      <c r="N673" s="392"/>
      <c r="O673" s="2"/>
      <c r="S673"/>
      <c r="T673"/>
      <c r="U673"/>
      <c r="W673"/>
    </row>
    <row r="674" spans="10:23" s="1" customFormat="1" x14ac:dyDescent="0.2">
      <c r="J674"/>
      <c r="K674"/>
      <c r="L674"/>
      <c r="M674"/>
      <c r="N674" s="392"/>
      <c r="O674" s="2"/>
      <c r="S674"/>
      <c r="T674"/>
      <c r="U674"/>
      <c r="W674"/>
    </row>
    <row r="675" spans="10:23" s="1" customFormat="1" x14ac:dyDescent="0.2">
      <c r="J675"/>
      <c r="K675"/>
      <c r="L675"/>
      <c r="M675"/>
      <c r="N675" s="392"/>
      <c r="O675" s="2"/>
      <c r="S675"/>
      <c r="T675"/>
      <c r="U675"/>
      <c r="W675"/>
    </row>
    <row r="676" spans="10:23" s="1" customFormat="1" x14ac:dyDescent="0.2">
      <c r="J676"/>
      <c r="K676"/>
      <c r="L676"/>
      <c r="M676"/>
      <c r="N676" s="392"/>
      <c r="O676" s="2"/>
      <c r="S676"/>
      <c r="T676"/>
      <c r="U676"/>
      <c r="W676"/>
    </row>
    <row r="677" spans="10:23" s="1" customFormat="1" x14ac:dyDescent="0.2">
      <c r="J677"/>
      <c r="K677"/>
      <c r="L677"/>
      <c r="M677"/>
      <c r="N677" s="392"/>
      <c r="O677" s="2"/>
      <c r="S677"/>
      <c r="T677"/>
      <c r="U677"/>
      <c r="W677"/>
    </row>
    <row r="678" spans="10:23" s="1" customFormat="1" x14ac:dyDescent="0.2">
      <c r="J678"/>
      <c r="K678"/>
      <c r="L678"/>
      <c r="M678"/>
      <c r="N678" s="392"/>
      <c r="O678" s="2"/>
      <c r="S678"/>
      <c r="T678"/>
      <c r="U678"/>
      <c r="W678"/>
    </row>
    <row r="679" spans="10:23" s="1" customFormat="1" x14ac:dyDescent="0.2">
      <c r="J679"/>
      <c r="K679"/>
      <c r="L679"/>
      <c r="M679"/>
      <c r="N679" s="392"/>
      <c r="O679" s="2"/>
      <c r="S679"/>
      <c r="T679"/>
      <c r="U679"/>
      <c r="W679"/>
    </row>
    <row r="680" spans="10:23" s="1" customFormat="1" x14ac:dyDescent="0.2">
      <c r="J680"/>
      <c r="K680"/>
      <c r="L680"/>
      <c r="M680"/>
      <c r="N680" s="392"/>
      <c r="O680" s="2"/>
      <c r="S680"/>
      <c r="T680"/>
      <c r="U680"/>
      <c r="W680"/>
    </row>
    <row r="681" spans="10:23" s="1" customFormat="1" x14ac:dyDescent="0.2">
      <c r="J681"/>
      <c r="K681"/>
      <c r="L681"/>
      <c r="M681"/>
      <c r="N681" s="392"/>
      <c r="O681" s="2"/>
      <c r="S681"/>
      <c r="T681"/>
      <c r="U681"/>
      <c r="W681"/>
    </row>
    <row r="682" spans="10:23" s="1" customFormat="1" x14ac:dyDescent="0.2">
      <c r="J682"/>
      <c r="K682"/>
      <c r="L682"/>
      <c r="M682"/>
      <c r="N682" s="392"/>
      <c r="O682" s="2"/>
      <c r="S682"/>
      <c r="T682"/>
      <c r="U682"/>
      <c r="W682"/>
    </row>
    <row r="683" spans="10:23" s="1" customFormat="1" x14ac:dyDescent="0.2">
      <c r="J683"/>
      <c r="K683"/>
      <c r="L683"/>
      <c r="M683"/>
      <c r="N683" s="392"/>
      <c r="O683" s="2"/>
      <c r="S683"/>
      <c r="T683"/>
      <c r="U683"/>
      <c r="W683"/>
    </row>
    <row r="684" spans="10:23" s="1" customFormat="1" x14ac:dyDescent="0.2">
      <c r="J684"/>
      <c r="K684"/>
      <c r="L684"/>
      <c r="M684"/>
      <c r="N684" s="392"/>
      <c r="O684" s="2"/>
      <c r="S684"/>
      <c r="T684"/>
      <c r="U684"/>
      <c r="W684"/>
    </row>
    <row r="685" spans="10:23" s="1" customFormat="1" x14ac:dyDescent="0.2">
      <c r="J685"/>
      <c r="K685"/>
      <c r="L685"/>
      <c r="M685"/>
      <c r="N685" s="392"/>
      <c r="O685" s="2"/>
      <c r="S685"/>
      <c r="T685"/>
      <c r="U685"/>
      <c r="W685"/>
    </row>
    <row r="686" spans="10:23" s="1" customFormat="1" x14ac:dyDescent="0.2">
      <c r="J686"/>
      <c r="K686"/>
      <c r="L686"/>
      <c r="M686"/>
      <c r="N686" s="392"/>
      <c r="O686" s="2"/>
      <c r="S686"/>
      <c r="T686"/>
      <c r="U686"/>
      <c r="W686"/>
    </row>
    <row r="687" spans="10:23" s="1" customFormat="1" x14ac:dyDescent="0.2">
      <c r="J687"/>
      <c r="K687"/>
      <c r="L687"/>
      <c r="M687"/>
      <c r="N687" s="392"/>
      <c r="O687" s="2"/>
      <c r="S687"/>
      <c r="T687"/>
      <c r="U687"/>
      <c r="W687"/>
    </row>
    <row r="688" spans="10:23" s="1" customFormat="1" x14ac:dyDescent="0.2">
      <c r="J688"/>
      <c r="K688"/>
      <c r="L688"/>
      <c r="M688"/>
      <c r="N688" s="392"/>
      <c r="O688" s="2"/>
      <c r="S688"/>
      <c r="T688"/>
      <c r="U688"/>
      <c r="W688"/>
    </row>
    <row r="689" spans="10:23" s="1" customFormat="1" x14ac:dyDescent="0.2">
      <c r="J689"/>
      <c r="K689"/>
      <c r="L689"/>
      <c r="M689"/>
      <c r="N689" s="392"/>
      <c r="O689" s="2"/>
      <c r="S689"/>
      <c r="T689"/>
      <c r="U689"/>
      <c r="W689"/>
    </row>
    <row r="690" spans="10:23" s="1" customFormat="1" x14ac:dyDescent="0.2">
      <c r="J690"/>
      <c r="K690"/>
      <c r="L690"/>
      <c r="M690"/>
      <c r="N690" s="392"/>
      <c r="O690" s="2"/>
      <c r="S690"/>
      <c r="T690"/>
      <c r="U690"/>
      <c r="W690"/>
    </row>
    <row r="691" spans="10:23" s="1" customFormat="1" x14ac:dyDescent="0.2">
      <c r="J691"/>
      <c r="K691"/>
      <c r="L691"/>
      <c r="M691"/>
      <c r="N691" s="392"/>
      <c r="O691" s="2"/>
      <c r="S691"/>
      <c r="T691"/>
      <c r="U691"/>
      <c r="W691"/>
    </row>
    <row r="692" spans="10:23" s="1" customFormat="1" x14ac:dyDescent="0.2">
      <c r="J692"/>
      <c r="K692"/>
      <c r="L692"/>
      <c r="M692"/>
      <c r="N692" s="392"/>
      <c r="O692" s="2"/>
      <c r="S692"/>
      <c r="T692"/>
      <c r="U692"/>
      <c r="W692"/>
    </row>
    <row r="693" spans="10:23" s="1" customFormat="1" x14ac:dyDescent="0.2">
      <c r="J693"/>
      <c r="K693"/>
      <c r="L693"/>
      <c r="M693"/>
      <c r="N693" s="392"/>
      <c r="O693" s="2"/>
      <c r="S693"/>
      <c r="T693"/>
      <c r="U693"/>
      <c r="W693"/>
    </row>
    <row r="694" spans="10:23" s="1" customFormat="1" x14ac:dyDescent="0.2">
      <c r="J694"/>
      <c r="K694"/>
      <c r="L694"/>
      <c r="M694"/>
      <c r="N694" s="392"/>
      <c r="O694" s="2"/>
      <c r="S694"/>
      <c r="T694"/>
      <c r="U694"/>
      <c r="W694"/>
    </row>
    <row r="695" spans="10:23" s="1" customFormat="1" x14ac:dyDescent="0.2">
      <c r="J695"/>
      <c r="K695"/>
      <c r="L695"/>
      <c r="M695"/>
      <c r="N695" s="392"/>
      <c r="O695" s="2"/>
      <c r="S695"/>
      <c r="T695"/>
      <c r="U695"/>
      <c r="W695"/>
    </row>
    <row r="696" spans="10:23" s="1" customFormat="1" x14ac:dyDescent="0.2">
      <c r="J696"/>
      <c r="K696"/>
      <c r="L696"/>
      <c r="M696"/>
      <c r="N696" s="392"/>
      <c r="O696" s="2"/>
      <c r="S696"/>
      <c r="T696"/>
      <c r="U696"/>
      <c r="W696"/>
    </row>
    <row r="697" spans="10:23" s="1" customFormat="1" x14ac:dyDescent="0.2">
      <c r="J697"/>
      <c r="K697"/>
      <c r="L697"/>
      <c r="M697"/>
      <c r="N697" s="392"/>
      <c r="O697" s="2"/>
      <c r="S697"/>
      <c r="T697"/>
      <c r="U697"/>
      <c r="W697"/>
    </row>
    <row r="698" spans="10:23" s="1" customFormat="1" x14ac:dyDescent="0.2">
      <c r="J698"/>
      <c r="K698"/>
      <c r="L698"/>
      <c r="M698"/>
      <c r="N698" s="392"/>
      <c r="O698" s="2"/>
      <c r="S698"/>
      <c r="T698"/>
      <c r="U698"/>
      <c r="W698"/>
    </row>
    <row r="699" spans="10:23" s="1" customFormat="1" x14ac:dyDescent="0.2">
      <c r="J699"/>
      <c r="K699"/>
      <c r="L699"/>
      <c r="M699"/>
      <c r="N699" s="392"/>
      <c r="O699" s="2"/>
      <c r="S699"/>
      <c r="T699"/>
      <c r="U699"/>
      <c r="W699"/>
    </row>
    <row r="700" spans="10:23" s="1" customFormat="1" x14ac:dyDescent="0.2">
      <c r="J700"/>
      <c r="K700"/>
      <c r="L700"/>
      <c r="M700"/>
      <c r="N700" s="392"/>
      <c r="O700" s="2"/>
      <c r="S700"/>
      <c r="T700"/>
      <c r="U700"/>
      <c r="W700"/>
    </row>
    <row r="701" spans="10:23" s="1" customFormat="1" x14ac:dyDescent="0.2">
      <c r="J701"/>
      <c r="K701"/>
      <c r="L701"/>
      <c r="M701"/>
      <c r="N701" s="392"/>
      <c r="O701" s="2"/>
      <c r="S701"/>
      <c r="T701"/>
      <c r="U701"/>
      <c r="W701"/>
    </row>
    <row r="702" spans="10:23" s="1" customFormat="1" x14ac:dyDescent="0.2">
      <c r="J702"/>
      <c r="K702"/>
      <c r="L702"/>
      <c r="M702"/>
      <c r="N702" s="392"/>
      <c r="O702" s="2"/>
      <c r="S702"/>
      <c r="T702"/>
      <c r="U702"/>
      <c r="W702"/>
    </row>
    <row r="703" spans="10:23" s="1" customFormat="1" x14ac:dyDescent="0.2">
      <c r="J703"/>
      <c r="K703"/>
      <c r="L703"/>
      <c r="M703"/>
      <c r="N703" s="392"/>
      <c r="O703" s="2"/>
      <c r="S703"/>
      <c r="T703"/>
      <c r="U703"/>
      <c r="W703"/>
    </row>
    <row r="704" spans="10:23" s="1" customFormat="1" x14ac:dyDescent="0.2">
      <c r="J704"/>
      <c r="K704"/>
      <c r="L704"/>
      <c r="M704"/>
      <c r="N704" s="392"/>
      <c r="O704" s="2"/>
      <c r="S704"/>
      <c r="T704"/>
      <c r="U704"/>
      <c r="W704"/>
    </row>
    <row r="705" spans="10:23" s="1" customFormat="1" x14ac:dyDescent="0.2">
      <c r="J705"/>
      <c r="K705"/>
      <c r="L705"/>
      <c r="M705"/>
      <c r="N705" s="392"/>
      <c r="O705" s="2"/>
      <c r="S705"/>
      <c r="T705"/>
      <c r="U705"/>
      <c r="W705"/>
    </row>
    <row r="706" spans="10:23" s="1" customFormat="1" x14ac:dyDescent="0.2">
      <c r="J706"/>
      <c r="K706"/>
      <c r="L706"/>
      <c r="M706"/>
      <c r="N706" s="392"/>
      <c r="O706" s="2"/>
      <c r="S706"/>
      <c r="T706"/>
      <c r="U706"/>
      <c r="W706"/>
    </row>
    <row r="707" spans="10:23" s="1" customFormat="1" x14ac:dyDescent="0.2">
      <c r="J707"/>
      <c r="K707"/>
      <c r="L707"/>
      <c r="M707"/>
      <c r="N707" s="392"/>
      <c r="O707" s="2"/>
      <c r="S707"/>
      <c r="T707"/>
      <c r="U707"/>
      <c r="W707"/>
    </row>
    <row r="708" spans="10:23" s="1" customFormat="1" x14ac:dyDescent="0.2">
      <c r="J708"/>
      <c r="K708"/>
      <c r="L708"/>
      <c r="M708"/>
      <c r="N708" s="392"/>
      <c r="O708" s="2"/>
      <c r="S708"/>
      <c r="T708"/>
      <c r="U708"/>
      <c r="W708"/>
    </row>
    <row r="709" spans="10:23" s="1" customFormat="1" x14ac:dyDescent="0.2">
      <c r="J709"/>
      <c r="K709"/>
      <c r="L709"/>
      <c r="M709"/>
      <c r="N709" s="392"/>
      <c r="O709" s="2"/>
      <c r="S709"/>
      <c r="T709"/>
      <c r="U709"/>
      <c r="W709"/>
    </row>
    <row r="710" spans="10:23" s="1" customFormat="1" x14ac:dyDescent="0.2">
      <c r="J710"/>
      <c r="K710"/>
      <c r="L710"/>
      <c r="M710"/>
      <c r="N710" s="392"/>
      <c r="O710" s="2"/>
      <c r="S710"/>
      <c r="T710"/>
      <c r="U710"/>
      <c r="W710"/>
    </row>
    <row r="711" spans="10:23" s="1" customFormat="1" x14ac:dyDescent="0.2">
      <c r="J711"/>
      <c r="K711"/>
      <c r="L711"/>
      <c r="M711"/>
      <c r="N711" s="392"/>
      <c r="O711" s="2"/>
      <c r="S711"/>
      <c r="T711"/>
      <c r="U711"/>
      <c r="W711"/>
    </row>
    <row r="712" spans="10:23" s="1" customFormat="1" x14ac:dyDescent="0.2">
      <c r="J712"/>
      <c r="K712"/>
      <c r="L712"/>
      <c r="M712"/>
      <c r="N712" s="392"/>
      <c r="O712" s="2"/>
      <c r="S712"/>
      <c r="T712"/>
      <c r="U712"/>
      <c r="W712"/>
    </row>
    <row r="713" spans="10:23" s="1" customFormat="1" x14ac:dyDescent="0.2">
      <c r="J713"/>
      <c r="K713"/>
      <c r="L713"/>
      <c r="M713"/>
      <c r="N713" s="392"/>
      <c r="O713" s="2"/>
      <c r="S713"/>
      <c r="T713"/>
      <c r="U713"/>
      <c r="W713"/>
    </row>
    <row r="714" spans="10:23" s="1" customFormat="1" x14ac:dyDescent="0.2">
      <c r="J714"/>
      <c r="K714"/>
      <c r="L714"/>
      <c r="M714"/>
      <c r="N714" s="392"/>
      <c r="O714" s="2"/>
      <c r="S714"/>
      <c r="T714"/>
      <c r="U714"/>
      <c r="W714"/>
    </row>
    <row r="715" spans="10:23" s="1" customFormat="1" x14ac:dyDescent="0.2">
      <c r="J715"/>
      <c r="K715"/>
      <c r="L715"/>
      <c r="M715"/>
      <c r="N715" s="392"/>
      <c r="O715" s="2"/>
      <c r="S715"/>
      <c r="T715"/>
      <c r="U715"/>
      <c r="W715"/>
    </row>
    <row r="716" spans="10:23" s="1" customFormat="1" x14ac:dyDescent="0.2">
      <c r="J716"/>
      <c r="K716"/>
      <c r="L716"/>
      <c r="M716"/>
      <c r="N716" s="392"/>
      <c r="O716" s="2"/>
      <c r="S716"/>
      <c r="T716"/>
      <c r="U716"/>
      <c r="W716"/>
    </row>
    <row r="717" spans="10:23" s="1" customFormat="1" x14ac:dyDescent="0.2">
      <c r="J717"/>
      <c r="K717"/>
      <c r="L717"/>
      <c r="M717"/>
      <c r="N717" s="392"/>
      <c r="O717" s="2"/>
      <c r="S717"/>
      <c r="T717"/>
      <c r="U717"/>
      <c r="W717"/>
    </row>
    <row r="718" spans="10:23" s="1" customFormat="1" x14ac:dyDescent="0.2">
      <c r="J718"/>
      <c r="K718"/>
      <c r="L718"/>
      <c r="M718"/>
      <c r="N718" s="392"/>
      <c r="O718" s="2"/>
      <c r="S718"/>
      <c r="T718"/>
      <c r="U718"/>
      <c r="W718"/>
    </row>
    <row r="719" spans="10:23" s="1" customFormat="1" x14ac:dyDescent="0.2">
      <c r="J719"/>
      <c r="K719"/>
      <c r="L719"/>
      <c r="M719"/>
      <c r="N719" s="392"/>
      <c r="O719" s="2"/>
      <c r="S719"/>
      <c r="T719"/>
      <c r="U719"/>
      <c r="W719"/>
    </row>
    <row r="720" spans="10:23" s="1" customFormat="1" x14ac:dyDescent="0.2">
      <c r="J720"/>
      <c r="K720"/>
      <c r="L720"/>
      <c r="M720"/>
      <c r="N720" s="392"/>
      <c r="O720" s="2"/>
      <c r="S720"/>
      <c r="T720"/>
      <c r="U720"/>
      <c r="W720"/>
    </row>
    <row r="721" spans="10:23" s="1" customFormat="1" x14ac:dyDescent="0.2">
      <c r="J721"/>
      <c r="K721"/>
      <c r="L721"/>
      <c r="M721"/>
      <c r="N721" s="392"/>
      <c r="O721" s="2"/>
      <c r="S721"/>
      <c r="T721"/>
      <c r="U721"/>
      <c r="W721"/>
    </row>
    <row r="722" spans="10:23" s="1" customFormat="1" x14ac:dyDescent="0.2">
      <c r="J722"/>
      <c r="K722"/>
      <c r="L722"/>
      <c r="M722"/>
      <c r="N722" s="392"/>
      <c r="O722" s="2"/>
      <c r="S722"/>
      <c r="T722"/>
      <c r="U722"/>
      <c r="W722"/>
    </row>
    <row r="723" spans="10:23" s="1" customFormat="1" x14ac:dyDescent="0.2">
      <c r="J723"/>
      <c r="K723"/>
      <c r="L723"/>
      <c r="M723"/>
      <c r="N723" s="392"/>
      <c r="O723" s="2"/>
      <c r="S723"/>
      <c r="T723"/>
      <c r="U723"/>
      <c r="W723"/>
    </row>
    <row r="724" spans="10:23" s="1" customFormat="1" x14ac:dyDescent="0.2">
      <c r="J724"/>
      <c r="K724"/>
      <c r="L724"/>
      <c r="M724"/>
      <c r="N724" s="392"/>
      <c r="O724" s="2"/>
      <c r="S724"/>
      <c r="T724"/>
      <c r="U724"/>
      <c r="W724"/>
    </row>
    <row r="725" spans="10:23" s="1" customFormat="1" x14ac:dyDescent="0.2">
      <c r="J725"/>
      <c r="K725"/>
      <c r="L725"/>
      <c r="M725"/>
      <c r="N725" s="392"/>
      <c r="O725" s="2"/>
      <c r="S725"/>
      <c r="T725"/>
      <c r="U725"/>
      <c r="W725"/>
    </row>
    <row r="726" spans="10:23" s="1" customFormat="1" x14ac:dyDescent="0.2">
      <c r="J726"/>
      <c r="K726"/>
      <c r="L726"/>
      <c r="M726"/>
      <c r="N726" s="392"/>
      <c r="O726" s="2"/>
      <c r="S726"/>
      <c r="T726"/>
      <c r="U726"/>
      <c r="W726"/>
    </row>
    <row r="727" spans="10:23" s="1" customFormat="1" x14ac:dyDescent="0.2">
      <c r="J727"/>
      <c r="K727"/>
      <c r="L727"/>
      <c r="M727"/>
      <c r="N727" s="392"/>
      <c r="O727" s="2"/>
      <c r="S727"/>
      <c r="T727"/>
      <c r="U727"/>
      <c r="W727"/>
    </row>
    <row r="728" spans="10:23" s="1" customFormat="1" x14ac:dyDescent="0.2">
      <c r="J728"/>
      <c r="K728"/>
      <c r="L728"/>
      <c r="M728"/>
      <c r="N728" s="392"/>
      <c r="O728" s="2"/>
      <c r="S728"/>
      <c r="T728"/>
      <c r="U728"/>
      <c r="W728"/>
    </row>
    <row r="729" spans="10:23" s="1" customFormat="1" x14ac:dyDescent="0.2">
      <c r="J729"/>
      <c r="K729"/>
      <c r="L729"/>
      <c r="M729"/>
      <c r="N729" s="392"/>
      <c r="O729" s="2"/>
      <c r="S729"/>
      <c r="T729"/>
      <c r="U729"/>
      <c r="W729"/>
    </row>
    <row r="730" spans="10:23" s="1" customFormat="1" x14ac:dyDescent="0.2">
      <c r="J730"/>
      <c r="K730"/>
      <c r="L730"/>
      <c r="M730"/>
      <c r="N730" s="392"/>
      <c r="O730" s="2"/>
      <c r="S730"/>
      <c r="T730"/>
      <c r="U730"/>
      <c r="W730"/>
    </row>
    <row r="65459" spans="12:12" x14ac:dyDescent="0.2">
      <c r="L65459">
        <v>4</v>
      </c>
    </row>
  </sheetData>
  <mergeCells count="149">
    <mergeCell ref="C98:E98"/>
    <mergeCell ref="C90:E90"/>
    <mergeCell ref="W21:AC21"/>
    <mergeCell ref="W22:AC22"/>
    <mergeCell ref="B15:B16"/>
    <mergeCell ref="R15:R16"/>
    <mergeCell ref="S15:S16"/>
    <mergeCell ref="T15:T16"/>
    <mergeCell ref="C82:P83"/>
    <mergeCell ref="B17:B19"/>
    <mergeCell ref="L23:L24"/>
    <mergeCell ref="R23:R24"/>
    <mergeCell ref="J21:J22"/>
    <mergeCell ref="K21:K22"/>
    <mergeCell ref="R21:R22"/>
    <mergeCell ref="B21:B22"/>
    <mergeCell ref="E21:E22"/>
    <mergeCell ref="B23:B24"/>
    <mergeCell ref="W28:AC28"/>
    <mergeCell ref="W27:AC27"/>
    <mergeCell ref="W25:AC25"/>
    <mergeCell ref="S23:S24"/>
    <mergeCell ref="T23:T24"/>
    <mergeCell ref="U23:U24"/>
    <mergeCell ref="D72:P72"/>
    <mergeCell ref="E60:F60"/>
    <mergeCell ref="E61:F61"/>
    <mergeCell ref="J17:J19"/>
    <mergeCell ref="K17:K19"/>
    <mergeCell ref="L21:L22"/>
    <mergeCell ref="L17:L19"/>
    <mergeCell ref="E23:E24"/>
    <mergeCell ref="J23:J24"/>
    <mergeCell ref="K23:K24"/>
    <mergeCell ref="E17:E19"/>
    <mergeCell ref="E30:E31"/>
    <mergeCell ref="J30:J31"/>
    <mergeCell ref="K30:K31"/>
    <mergeCell ref="L30:L31"/>
    <mergeCell ref="E32:E33"/>
    <mergeCell ref="J32:J33"/>
    <mergeCell ref="K32:K33"/>
    <mergeCell ref="L32:L33"/>
    <mergeCell ref="E34:E35"/>
    <mergeCell ref="J34:J35"/>
    <mergeCell ref="K34:K35"/>
    <mergeCell ref="L34:L35"/>
    <mergeCell ref="E59:F59"/>
    <mergeCell ref="W53:AC53"/>
    <mergeCell ref="E13:E14"/>
    <mergeCell ref="L13:L14"/>
    <mergeCell ref="K13:K14"/>
    <mergeCell ref="W54:AC54"/>
    <mergeCell ref="R13:R14"/>
    <mergeCell ref="S13:S14"/>
    <mergeCell ref="B5:B7"/>
    <mergeCell ref="E5:E7"/>
    <mergeCell ref="L5:L7"/>
    <mergeCell ref="K5:K7"/>
    <mergeCell ref="J5:J7"/>
    <mergeCell ref="D8:D9"/>
    <mergeCell ref="B9:B11"/>
    <mergeCell ref="J9:J11"/>
    <mergeCell ref="E9:E11"/>
    <mergeCell ref="T21:T22"/>
    <mergeCell ref="J15:J16"/>
    <mergeCell ref="K15:K16"/>
    <mergeCell ref="L15:L16"/>
    <mergeCell ref="E15:E16"/>
    <mergeCell ref="S21:S22"/>
    <mergeCell ref="V23:V24"/>
    <mergeCell ref="D12:D13"/>
    <mergeCell ref="W55:AC55"/>
    <mergeCell ref="W12:AC12"/>
    <mergeCell ref="W13:AC13"/>
    <mergeCell ref="W10:AC10"/>
    <mergeCell ref="W11:AC11"/>
    <mergeCell ref="U9:U11"/>
    <mergeCell ref="V9:V11"/>
    <mergeCell ref="W56:AC56"/>
    <mergeCell ref="W57:AC57"/>
    <mergeCell ref="W23:AC23"/>
    <mergeCell ref="W24:AC24"/>
    <mergeCell ref="W26:AC26"/>
    <mergeCell ref="W31:AC31"/>
    <mergeCell ref="W32:AC32"/>
    <mergeCell ref="U32:U33"/>
    <mergeCell ref="V32:V33"/>
    <mergeCell ref="W33:AC33"/>
    <mergeCell ref="U34:U35"/>
    <mergeCell ref="V34:V35"/>
    <mergeCell ref="U30:U31"/>
    <mergeCell ref="V30:V31"/>
    <mergeCell ref="W34:AC34"/>
    <mergeCell ref="W35:AC35"/>
    <mergeCell ref="V15:V16"/>
    <mergeCell ref="W52:AC52"/>
    <mergeCell ref="W4:AC4"/>
    <mergeCell ref="W5:AC5"/>
    <mergeCell ref="W6:AC6"/>
    <mergeCell ref="W7:AC7"/>
    <mergeCell ref="W8:AC8"/>
    <mergeCell ref="W9:AC9"/>
    <mergeCell ref="B13:B14"/>
    <mergeCell ref="B30:B31"/>
    <mergeCell ref="R30:R31"/>
    <mergeCell ref="S32:S33"/>
    <mergeCell ref="T32:T33"/>
    <mergeCell ref="S30:S31"/>
    <mergeCell ref="T30:T31"/>
    <mergeCell ref="B32:B33"/>
    <mergeCell ref="R32:R33"/>
    <mergeCell ref="B34:B35"/>
    <mergeCell ref="R34:R35"/>
    <mergeCell ref="S34:S35"/>
    <mergeCell ref="T34:T35"/>
    <mergeCell ref="V5:V7"/>
    <mergeCell ref="V13:V14"/>
    <mergeCell ref="U5:U7"/>
    <mergeCell ref="T5:T7"/>
    <mergeCell ref="S5:S7"/>
    <mergeCell ref="R5:R7"/>
    <mergeCell ref="K9:K11"/>
    <mergeCell ref="L9:L11"/>
    <mergeCell ref="U15:U16"/>
    <mergeCell ref="B2:W2"/>
    <mergeCell ref="W3:AC3"/>
    <mergeCell ref="J13:J14"/>
    <mergeCell ref="S9:S11"/>
    <mergeCell ref="T9:T11"/>
    <mergeCell ref="R9:R11"/>
    <mergeCell ref="T13:T14"/>
    <mergeCell ref="U13:U14"/>
    <mergeCell ref="R17:R19"/>
    <mergeCell ref="W14:AC14"/>
    <mergeCell ref="W15:AC15"/>
    <mergeCell ref="W16:AC16"/>
    <mergeCell ref="W29:AC29"/>
    <mergeCell ref="W30:AC30"/>
    <mergeCell ref="W20:AC20"/>
    <mergeCell ref="S17:S19"/>
    <mergeCell ref="T17:T19"/>
    <mergeCell ref="U17:U19"/>
    <mergeCell ref="V17:V19"/>
    <mergeCell ref="W18:AC18"/>
    <mergeCell ref="W17:AC17"/>
    <mergeCell ref="W19:AC19"/>
    <mergeCell ref="U21:U22"/>
    <mergeCell ref="V21:V22"/>
  </mergeCells>
  <conditionalFormatting sqref="B2 J77:J81 J84:J85 J88:J65536">
    <cfRule type="cellIs" dxfId="1380" priority="848" stopIfTrue="1" operator="lessThan">
      <formula>438</formula>
    </cfRule>
  </conditionalFormatting>
  <conditionalFormatting sqref="I63:I71">
    <cfRule type="cellIs" dxfId="1379" priority="142" stopIfTrue="1" operator="greaterThan">
      <formula>1.5%</formula>
    </cfRule>
    <cfRule type="cellIs" dxfId="1378" priority="143" stopIfTrue="1" operator="lessThan">
      <formula>0%</formula>
    </cfRule>
  </conditionalFormatting>
  <conditionalFormatting sqref="J3">
    <cfRule type="cellIs" dxfId="1377" priority="794" stopIfTrue="1" operator="lessThan">
      <formula>456.25</formula>
    </cfRule>
    <cfRule type="cellIs" dxfId="1376" priority="796" stopIfTrue="1" operator="lessThan">
      <formula>438</formula>
    </cfRule>
  </conditionalFormatting>
  <conditionalFormatting sqref="J4:J5 J36:J57">
    <cfRule type="cellIs" dxfId="1375" priority="151" stopIfTrue="1" operator="lessThan">
      <formula>524</formula>
    </cfRule>
  </conditionalFormatting>
  <conditionalFormatting sqref="J8:J9">
    <cfRule type="cellIs" dxfId="1374" priority="103" stopIfTrue="1" operator="lessThan">
      <formula>524</formula>
    </cfRule>
  </conditionalFormatting>
  <conditionalFormatting sqref="J12:J13 J15 J17">
    <cfRule type="cellIs" dxfId="1373" priority="93" stopIfTrue="1" operator="lessThan">
      <formula>524</formula>
    </cfRule>
  </conditionalFormatting>
  <conditionalFormatting sqref="J20:J21 J23">
    <cfRule type="cellIs" dxfId="1372" priority="62" stopIfTrue="1" operator="lessThan">
      <formula>524</formula>
    </cfRule>
  </conditionalFormatting>
  <conditionalFormatting sqref="J25:J30 J32 J34">
    <cfRule type="cellIs" dxfId="1371" priority="31" stopIfTrue="1" operator="lessThan">
      <formula>524</formula>
    </cfRule>
  </conditionalFormatting>
  <conditionalFormatting sqref="J58">
    <cfRule type="cellIs" dxfId="1370" priority="842" stopIfTrue="1" operator="lessThan">
      <formula>462</formula>
    </cfRule>
  </conditionalFormatting>
  <conditionalFormatting sqref="J63:K71">
    <cfRule type="cellIs" dxfId="1369" priority="144" stopIfTrue="1" operator="lessThan">
      <formula>73%</formula>
    </cfRule>
  </conditionalFormatting>
  <conditionalFormatting sqref="K4:K5 K36:K56">
    <cfRule type="cellIs" dxfId="1368" priority="154" stopIfTrue="1" operator="lessThan">
      <formula>540</formula>
    </cfRule>
  </conditionalFormatting>
  <conditionalFormatting sqref="K8:K9">
    <cfRule type="cellIs" dxfId="1367" priority="106" stopIfTrue="1" operator="lessThan">
      <formula>540</formula>
    </cfRule>
  </conditionalFormatting>
  <conditionalFormatting sqref="K12:K13 K15 K17">
    <cfRule type="cellIs" dxfId="1366" priority="69" stopIfTrue="1" operator="lessThan">
      <formula>540</formula>
    </cfRule>
  </conditionalFormatting>
  <conditionalFormatting sqref="K20:K21 K23">
    <cfRule type="cellIs" dxfId="1365" priority="38" stopIfTrue="1" operator="lessThan">
      <formula>540</formula>
    </cfRule>
  </conditionalFormatting>
  <conditionalFormatting sqref="K25:K30 K32 K34">
    <cfRule type="cellIs" dxfId="1364" priority="7" stopIfTrue="1" operator="lessThan">
      <formula>540</formula>
    </cfRule>
  </conditionalFormatting>
  <conditionalFormatting sqref="P4:P59">
    <cfRule type="cellIs" dxfId="1363" priority="118" stopIfTrue="1" operator="greaterThan">
      <formula>1.1</formula>
    </cfRule>
  </conditionalFormatting>
  <conditionalFormatting sqref="P59:P60">
    <cfRule type="cellIs" dxfId="1362" priority="843" stopIfTrue="1" operator="greaterThan">
      <formula>1.5%</formula>
    </cfRule>
    <cfRule type="cellIs" dxfId="1361" priority="844" stopIfTrue="1" operator="lessThan">
      <formula>0%</formula>
    </cfRule>
  </conditionalFormatting>
  <conditionalFormatting sqref="P63">
    <cfRule type="cellIs" dxfId="1360" priority="832" stopIfTrue="1" operator="greaterThan">
      <formula>1.1</formula>
    </cfRule>
  </conditionalFormatting>
  <conditionalFormatting sqref="R4:S5">
    <cfRule type="cellIs" dxfId="1359" priority="145" stopIfTrue="1" operator="lessThan">
      <formula>0.67</formula>
    </cfRule>
  </conditionalFormatting>
  <conditionalFormatting sqref="R8:S9">
    <cfRule type="cellIs" dxfId="1358" priority="97" stopIfTrue="1" operator="lessThan">
      <formula>0.67</formula>
    </cfRule>
  </conditionalFormatting>
  <conditionalFormatting sqref="R12:S13 R15:S15">
    <cfRule type="cellIs" dxfId="1357" priority="66" stopIfTrue="1" operator="lessThan">
      <formula>0.67</formula>
    </cfRule>
  </conditionalFormatting>
  <conditionalFormatting sqref="R17:S17">
    <cfRule type="cellIs" dxfId="1356" priority="63" stopIfTrue="1" operator="lessThan">
      <formula>0.67</formula>
    </cfRule>
  </conditionalFormatting>
  <conditionalFormatting sqref="R20:S21 R23:S23">
    <cfRule type="cellIs" dxfId="1355" priority="32" stopIfTrue="1" operator="lessThan">
      <formula>0.67</formula>
    </cfRule>
  </conditionalFormatting>
  <conditionalFormatting sqref="R25:S30 R32:S32 R34:S34">
    <cfRule type="cellIs" dxfId="1354" priority="1" stopIfTrue="1" operator="lessThan">
      <formula>0.67</formula>
    </cfRule>
  </conditionalFormatting>
  <conditionalFormatting sqref="R36:S56">
    <cfRule type="cellIs" dxfId="1353" priority="152" stopIfTrue="1" operator="lessThan">
      <formula>0.67</formula>
    </cfRule>
  </conditionalFormatting>
  <conditionalFormatting sqref="R57:S57">
    <cfRule type="cellIs" dxfId="1352" priority="789" stopIfTrue="1" operator="greaterThan">
      <formula>1.1</formula>
    </cfRule>
  </conditionalFormatting>
  <conditionalFormatting sqref="R58:S58">
    <cfRule type="cellIs" dxfId="1351" priority="800" stopIfTrue="1" operator="lessThan">
      <formula>0.6</formula>
    </cfRule>
  </conditionalFormatting>
  <conditionalFormatting sqref="R63:S63">
    <cfRule type="cellIs" dxfId="1350" priority="788" stopIfTrue="1" operator="lessThan">
      <formula>0.67</formula>
    </cfRule>
  </conditionalFormatting>
  <conditionalFormatting sqref="T59:T60">
    <cfRule type="cellIs" dxfId="1349" priority="846" stopIfTrue="1" operator="lessThan">
      <formula>73%</formula>
    </cfRule>
  </conditionalFormatting>
  <conditionalFormatting sqref="T80">
    <cfRule type="cellIs" dxfId="1348" priority="835" stopIfTrue="1" operator="greaterThan">
      <formula>1.1</formula>
    </cfRule>
  </conditionalFormatting>
  <conditionalFormatting sqref="T4:U5">
    <cfRule type="cellIs" dxfId="1347" priority="147" stopIfTrue="1" operator="lessThan">
      <formula>0.74</formula>
    </cfRule>
  </conditionalFormatting>
  <conditionalFormatting sqref="T8:U9">
    <cfRule type="cellIs" dxfId="1346" priority="99" stopIfTrue="1" operator="lessThan">
      <formula>0.74</formula>
    </cfRule>
  </conditionalFormatting>
  <conditionalFormatting sqref="T12:U13 T15:U15">
    <cfRule type="cellIs" dxfId="1345" priority="68" stopIfTrue="1" operator="lessThan">
      <formula>0.74</formula>
    </cfRule>
  </conditionalFormatting>
  <conditionalFormatting sqref="T17:U17">
    <cfRule type="cellIs" dxfId="1344" priority="65" stopIfTrue="1" operator="lessThan">
      <formula>0.74</formula>
    </cfRule>
  </conditionalFormatting>
  <conditionalFormatting sqref="T20:U21 T23:U23">
    <cfRule type="cellIs" dxfId="1343" priority="34" stopIfTrue="1" operator="lessThan">
      <formula>0.74</formula>
    </cfRule>
  </conditionalFormatting>
  <conditionalFormatting sqref="T25:U30 T32:U32 T34:U34">
    <cfRule type="cellIs" dxfId="1342" priority="3" stopIfTrue="1" operator="lessThan">
      <formula>0.74</formula>
    </cfRule>
  </conditionalFormatting>
  <conditionalFormatting sqref="T36:U58">
    <cfRule type="cellIs" dxfId="1341" priority="182" stopIfTrue="1" operator="lessThan">
      <formula>0.74</formula>
    </cfRule>
  </conditionalFormatting>
  <conditionalFormatting sqref="T63:U63">
    <cfRule type="cellIs" dxfId="1340" priority="833" stopIfTrue="1" operator="lessThan">
      <formula>0.74</formula>
    </cfRule>
  </conditionalFormatting>
  <conditionalFormatting sqref="T3:V3">
    <cfRule type="cellIs" dxfId="1339" priority="839" stopIfTrue="1" operator="lessThan">
      <formula>0.65</formula>
    </cfRule>
  </conditionalFormatting>
  <conditionalFormatting sqref="T79:V79">
    <cfRule type="cellIs" dxfId="1338" priority="836" stopIfTrue="1" operator="lessThan">
      <formula>0.74</formula>
    </cfRule>
  </conditionalFormatting>
  <conditionalFormatting sqref="U59:V60">
    <cfRule type="cellIs" dxfId="1337" priority="847" stopIfTrue="1" operator="lessThan">
      <formula>75%</formula>
    </cfRule>
  </conditionalFormatting>
  <conditionalFormatting sqref="V4:V5">
    <cfRule type="cellIs" dxfId="1336" priority="146" stopIfTrue="1" operator="lessThan">
      <formula>0.95</formula>
    </cfRule>
  </conditionalFormatting>
  <conditionalFormatting sqref="V8:V9">
    <cfRule type="cellIs" dxfId="1335" priority="98" stopIfTrue="1" operator="lessThan">
      <formula>0.95</formula>
    </cfRule>
  </conditionalFormatting>
  <conditionalFormatting sqref="V12:V13 V15">
    <cfRule type="cellIs" dxfId="1334" priority="67" stopIfTrue="1" operator="lessThan">
      <formula>0.95</formula>
    </cfRule>
  </conditionalFormatting>
  <conditionalFormatting sqref="V17">
    <cfRule type="cellIs" dxfId="1333" priority="64" stopIfTrue="1" operator="lessThan">
      <formula>0.95</formula>
    </cfRule>
  </conditionalFormatting>
  <conditionalFormatting sqref="V20:V21 V23">
    <cfRule type="cellIs" dxfId="1332" priority="33" stopIfTrue="1" operator="lessThan">
      <formula>0.95</formula>
    </cfRule>
  </conditionalFormatting>
  <conditionalFormatting sqref="V25:V30 V32 V34">
    <cfRule type="cellIs" dxfId="1331" priority="2" stopIfTrue="1" operator="lessThan">
      <formula>0.95</formula>
    </cfRule>
  </conditionalFormatting>
  <conditionalFormatting sqref="V36:V58">
    <cfRule type="cellIs" dxfId="1330" priority="153" stopIfTrue="1" operator="lessThan">
      <formula>0.95</formula>
    </cfRule>
  </conditionalFormatting>
  <conditionalFormatting sqref="V62">
    <cfRule type="cellIs" dxfId="1329" priority="793" stopIfTrue="1" operator="lessThan">
      <formula>0.65</formula>
    </cfRule>
  </conditionalFormatting>
  <conditionalFormatting sqref="V63">
    <cfRule type="cellIs" dxfId="1328" priority="792" stopIfTrue="1" operator="lessThan">
      <formula>0.95</formula>
    </cfRule>
  </conditionalFormatting>
  <printOptions horizontalCentered="1"/>
  <pageMargins left="0.10312499999999999" right="0.5" top="0.25" bottom="0.27" header="0.25" footer="0.27"/>
  <pageSetup paperSize="5" scale="39" fitToHeight="0" orientation="landscape" r:id="rId1"/>
  <headerFooter alignWithMargins="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7DA03-A296-4791-81D3-E7976D16FBD7}">
  <sheetPr codeName="Sheet20">
    <pageSetUpPr fitToPage="1"/>
  </sheetPr>
  <dimension ref="A2:AC65357"/>
  <sheetViews>
    <sheetView showZeros="0" showWhiteSpace="0" zoomScale="55" zoomScaleNormal="55" zoomScaleSheetLayoutView="70" workbookViewId="0">
      <pane xSplit="3" ySplit="3" topLeftCell="D46" activePane="bottomRight" state="frozen"/>
      <selection pane="topRight" activeCell="D1" sqref="D1"/>
      <selection pane="bottomLeft" activeCell="A4" sqref="A4"/>
      <selection pane="bottomRight" activeCell="S103" sqref="S103"/>
    </sheetView>
  </sheetViews>
  <sheetFormatPr defaultColWidth="9.42578125" defaultRowHeight="12.75" outlineLevelCol="1" x14ac:dyDescent="0.2"/>
  <cols>
    <col min="1" max="1" width="3.42578125" customWidth="1"/>
    <col min="2" max="2" width="18.5703125" style="1" bestFit="1" customWidth="1"/>
    <col min="3" max="3" width="73.28515625" style="1" customWidth="1"/>
    <col min="4" max="4" width="27.5703125" style="1" customWidth="1"/>
    <col min="5" max="5" width="17" style="1" customWidth="1"/>
    <col min="6" max="6" width="21.5703125" style="1" customWidth="1" outlineLevel="1"/>
    <col min="7" max="7" width="19.85546875" customWidth="1"/>
    <col min="8" max="8" width="20.42578125" customWidth="1" outlineLevel="1"/>
    <col min="9" max="9" width="17.5703125" style="1" customWidth="1" outlineLevel="1"/>
    <col min="10" max="10" width="19" customWidth="1"/>
    <col min="11" max="11" width="23.42578125" customWidth="1" outlineLevel="1"/>
    <col min="12" max="12" width="20.5703125" style="725" customWidth="1" outlineLevel="1"/>
    <col min="13" max="13" width="20.5703125" customWidth="1" outlineLevel="1"/>
    <col min="14" max="14" width="21.42578125" customWidth="1" outlineLevel="1"/>
    <col min="15" max="15" width="17.140625" style="392" customWidth="1" outlineLevel="1"/>
    <col min="16" max="16" width="15" style="2" customWidth="1" outlineLevel="1"/>
    <col min="17" max="17" width="16.5703125" style="1" bestFit="1" customWidth="1"/>
    <col min="18" max="18" width="20.42578125" customWidth="1"/>
    <col min="19" max="19" width="17.5703125" customWidth="1"/>
    <col min="20" max="20" width="18.5703125" style="1" customWidth="1"/>
    <col min="21" max="21" width="12" customWidth="1"/>
    <col min="22" max="22" width="17" customWidth="1"/>
    <col min="23" max="23" width="15.42578125" customWidth="1"/>
    <col min="24" max="24" width="15.5703125" customWidth="1"/>
    <col min="25" max="25" width="14" customWidth="1"/>
    <col min="26" max="26" width="25.5703125" customWidth="1"/>
    <col min="27" max="27" width="95.140625" customWidth="1"/>
    <col min="28" max="28" width="13.42578125" bestFit="1" customWidth="1"/>
    <col min="29" max="29" width="15.5703125" bestFit="1" customWidth="1"/>
  </cols>
  <sheetData>
    <row r="2" spans="2:29" ht="36" thickBot="1" x14ac:dyDescent="0.55000000000000004">
      <c r="B2" s="1139" t="s">
        <v>964</v>
      </c>
      <c r="C2" s="1139"/>
      <c r="D2" s="1139"/>
      <c r="E2" s="1139"/>
      <c r="F2" s="1139"/>
      <c r="G2" s="1139"/>
      <c r="H2" s="1139"/>
      <c r="I2" s="1139"/>
      <c r="J2" s="1139"/>
      <c r="K2" s="1139"/>
      <c r="L2" s="1139"/>
      <c r="M2" s="1139"/>
      <c r="N2" s="1139"/>
      <c r="O2" s="1139"/>
      <c r="P2" s="1139"/>
      <c r="Q2" s="1139"/>
      <c r="R2" s="1139"/>
      <c r="S2" s="1139"/>
      <c r="T2" s="1140"/>
      <c r="U2" s="1140"/>
    </row>
    <row r="3" spans="2:29" ht="83.25" customHeight="1" thickTop="1" thickBot="1" x14ac:dyDescent="0.3">
      <c r="B3" s="583" t="s">
        <v>0</v>
      </c>
      <c r="C3" s="669" t="s">
        <v>2</v>
      </c>
      <c r="D3" s="669" t="s">
        <v>12</v>
      </c>
      <c r="E3" s="669" t="s">
        <v>11</v>
      </c>
      <c r="F3" s="671" t="s">
        <v>15</v>
      </c>
      <c r="G3" s="669" t="s">
        <v>9</v>
      </c>
      <c r="H3" s="671" t="s">
        <v>17</v>
      </c>
      <c r="I3" s="671" t="s">
        <v>5</v>
      </c>
      <c r="J3" s="669" t="s">
        <v>958</v>
      </c>
      <c r="K3" s="826" t="s">
        <v>4</v>
      </c>
      <c r="L3" s="670" t="s">
        <v>843</v>
      </c>
      <c r="M3" s="827" t="s">
        <v>161</v>
      </c>
      <c r="N3" s="671" t="s">
        <v>10</v>
      </c>
      <c r="O3" s="671" t="s">
        <v>622</v>
      </c>
      <c r="P3" s="673" t="s">
        <v>34</v>
      </c>
      <c r="Q3" s="674" t="s">
        <v>957</v>
      </c>
      <c r="R3" s="584" t="s">
        <v>473</v>
      </c>
      <c r="S3" s="639" t="s">
        <v>860</v>
      </c>
      <c r="T3" s="639" t="s">
        <v>862</v>
      </c>
      <c r="U3" s="1023" t="s">
        <v>1</v>
      </c>
      <c r="V3" s="1024"/>
      <c r="W3" s="1024"/>
      <c r="X3" s="1024"/>
      <c r="Y3" s="1024"/>
      <c r="Z3" s="1024"/>
      <c r="AA3" s="1025"/>
      <c r="AB3" s="529">
        <v>18000</v>
      </c>
      <c r="AC3" s="529">
        <v>17000</v>
      </c>
    </row>
    <row r="4" spans="2:29" s="19" customFormat="1" ht="113.25" customHeight="1" thickTop="1" thickBot="1" x14ac:dyDescent="0.25">
      <c r="B4" s="580">
        <f>[1]January_2026!$B8</f>
        <v>46024</v>
      </c>
      <c r="C4" s="26" t="str">
        <f>[1]January_2026!$D8</f>
        <v>CARIB AMBER</v>
      </c>
      <c r="D4" s="27">
        <v>4970</v>
      </c>
      <c r="E4" s="28">
        <f>[2]Jan!$J69</f>
        <v>0.38541666666666669</v>
      </c>
      <c r="F4" s="29">
        <f>[1]January_2026!$J8</f>
        <v>227.20000000000002</v>
      </c>
      <c r="G4" s="30">
        <f>[1]January_2026!$G8</f>
        <v>3360</v>
      </c>
      <c r="H4" s="29">
        <f>[1]January_2026!$K8</f>
        <v>221.76000000000002</v>
      </c>
      <c r="I4" s="31">
        <f>[1]January_2026!$N8</f>
        <v>4</v>
      </c>
      <c r="J4" s="32">
        <f>[1]January_2026!$Q8</f>
        <v>255.18987341772154</v>
      </c>
      <c r="K4" s="32">
        <f>[1]January_2026!$F8</f>
        <v>559</v>
      </c>
      <c r="L4" s="823">
        <f>[1]January_2026!$E8</f>
        <v>790</v>
      </c>
      <c r="M4" s="28">
        <f>[2]Jan!$J69</f>
        <v>0.38541666666666669</v>
      </c>
      <c r="N4" s="32">
        <f>[1]January_2026!$M8</f>
        <v>276</v>
      </c>
      <c r="O4" s="406">
        <f>[2]Jan!$I8</f>
        <v>0</v>
      </c>
      <c r="P4" s="32">
        <f>[1]January_2026!$I8</f>
        <v>139</v>
      </c>
      <c r="Q4" s="33">
        <f>[1]January_2026!$P8</f>
        <v>2.3943661971830976</v>
      </c>
      <c r="R4" s="862">
        <f>($G4)/(($L4/60)*AC$3*(1/24))</f>
        <v>0.36026805658972455</v>
      </c>
      <c r="S4" s="586">
        <f t="shared" ref="S4:S5" si="0">($G4)*24/(($K4)/60)/$AC$3</f>
        <v>0.50914448069030838</v>
      </c>
      <c r="T4" s="873">
        <f>(770-((N4)-[2]Jan!$AB$8-[2]Jan!$AA$8-[2]Jan!$Z$8-[2]Jan!$J$8))/770</f>
        <v>0.75844155844155847</v>
      </c>
      <c r="U4" s="1002" t="s">
        <v>965</v>
      </c>
      <c r="V4" s="1002"/>
      <c r="W4" s="1002"/>
      <c r="X4" s="1002"/>
      <c r="Y4" s="1002"/>
      <c r="Z4" s="1002"/>
      <c r="AA4" s="1003"/>
    </row>
    <row r="5" spans="2:29" s="19" customFormat="1" ht="57.75" customHeight="1" thickBot="1" x14ac:dyDescent="0.25">
      <c r="B5" s="580">
        <f>[1]January_2026!$B9</f>
        <v>46027</v>
      </c>
      <c r="C5" s="26" t="str">
        <f>[1]January_2026!$D9</f>
        <v>CARIB AMBER</v>
      </c>
      <c r="D5" s="27">
        <v>7980</v>
      </c>
      <c r="E5" s="28">
        <f>[2]Jan!$J70</f>
        <v>1.0763888888888888</v>
      </c>
      <c r="F5" s="29">
        <f>[1]January_2026!$J9</f>
        <v>1.3999999999999915</v>
      </c>
      <c r="G5" s="30">
        <f>[1]January_2026!$G9</f>
        <v>20</v>
      </c>
      <c r="H5" s="29">
        <f>[1]January_2026!$K9</f>
        <v>1.32</v>
      </c>
      <c r="I5" s="31">
        <f>[1]January_2026!$N9</f>
        <v>0</v>
      </c>
      <c r="J5" s="32">
        <f>[1]January_2026!$Q9</f>
        <v>0.90225563909774431</v>
      </c>
      <c r="K5" s="32">
        <f>[1]January_2026!$F9</f>
        <v>160</v>
      </c>
      <c r="L5" s="823">
        <f>[1]January_2026!$E9</f>
        <v>1330</v>
      </c>
      <c r="M5" s="28">
        <f>[2]Jan!$J70</f>
        <v>1.0763888888888888</v>
      </c>
      <c r="N5" s="32">
        <f>[1]January_2026!$M9</f>
        <v>1358</v>
      </c>
      <c r="O5" s="406">
        <f>[2]Jan!$I9</f>
        <v>0</v>
      </c>
      <c r="P5" s="32">
        <f>[1]January_2026!$I9</f>
        <v>0</v>
      </c>
      <c r="Q5" s="33">
        <f>[1]January_2026!$P9</f>
        <v>5.7142857142851353</v>
      </c>
      <c r="R5" s="862">
        <f>($G5)/(($L5/60)*AC$3*(1/24))</f>
        <v>1.2737726669615212E-3</v>
      </c>
      <c r="S5" s="586">
        <f t="shared" si="0"/>
        <v>1.0588235294117647E-2</v>
      </c>
      <c r="T5" s="873">
        <f>(1380-((N5)-[2]Jan!$J$9))/1380</f>
        <v>4.3478260869565216E-2</v>
      </c>
      <c r="U5" s="1002" t="s">
        <v>966</v>
      </c>
      <c r="V5" s="1002"/>
      <c r="W5" s="1002"/>
      <c r="X5" s="1002"/>
      <c r="Y5" s="1002"/>
      <c r="Z5" s="1002"/>
      <c r="AA5" s="1003"/>
    </row>
    <row r="6" spans="2:29" s="854" customFormat="1" ht="57" customHeight="1" thickBot="1" x14ac:dyDescent="0.25">
      <c r="B6" s="856">
        <f>[1]January_2026!$B10</f>
        <v>46028</v>
      </c>
      <c r="C6" s="855" t="str">
        <f>[1]January_2026!$D10</f>
        <v>EBI/FILLER COMMUNICATION BREAKDOWN</v>
      </c>
      <c r="D6" s="845"/>
      <c r="E6" s="846">
        <f>[2]Jan!$J71</f>
        <v>0</v>
      </c>
      <c r="F6" s="847">
        <f>[1]January_2026!$J10</f>
        <v>0</v>
      </c>
      <c r="G6" s="848">
        <f>[1]January_2026!$G10</f>
        <v>0</v>
      </c>
      <c r="H6" s="847">
        <f>[1]January_2026!$K10</f>
        <v>0</v>
      </c>
      <c r="I6" s="849">
        <f>[1]January_2026!$N10</f>
        <v>0</v>
      </c>
      <c r="J6" s="850"/>
      <c r="K6" s="850">
        <f>[1]January_2026!$F10</f>
        <v>0</v>
      </c>
      <c r="L6" s="855"/>
      <c r="M6" s="846"/>
      <c r="N6" s="850">
        <f>[1]January_2026!$M10</f>
        <v>1440</v>
      </c>
      <c r="O6" s="852"/>
      <c r="P6" s="850"/>
      <c r="Q6" s="857"/>
      <c r="R6" s="874"/>
      <c r="S6" s="874"/>
      <c r="T6" s="874"/>
      <c r="U6" s="1141" t="s">
        <v>967</v>
      </c>
      <c r="V6" s="1141"/>
      <c r="W6" s="1141"/>
      <c r="X6" s="1141"/>
      <c r="Y6" s="1141"/>
      <c r="Z6" s="1141"/>
      <c r="AA6" s="1142"/>
    </row>
    <row r="7" spans="2:29" s="854" customFormat="1" ht="70.5" customHeight="1" thickBot="1" x14ac:dyDescent="0.25">
      <c r="B7" s="856">
        <f>[1]January_2026!$B11</f>
        <v>46029</v>
      </c>
      <c r="C7" s="855" t="str">
        <f>[1]January_2026!$D11</f>
        <v>EBI/FILLER COMMUNICATION BREAKDOWN</v>
      </c>
      <c r="D7" s="845"/>
      <c r="E7" s="846">
        <f>[2]Jan!$J72</f>
        <v>0</v>
      </c>
      <c r="F7" s="847">
        <f>[1]January_2026!$J11</f>
        <v>0</v>
      </c>
      <c r="G7" s="848">
        <f>[1]January_2026!$G11</f>
        <v>0</v>
      </c>
      <c r="H7" s="847">
        <f>[1]January_2026!$K11</f>
        <v>0</v>
      </c>
      <c r="I7" s="849">
        <f>[1]January_2026!$N11</f>
        <v>0</v>
      </c>
      <c r="J7" s="850"/>
      <c r="K7" s="850">
        <f>[1]January_2026!$F11</f>
        <v>0</v>
      </c>
      <c r="L7" s="855"/>
      <c r="M7" s="846"/>
      <c r="N7" s="850">
        <f>[1]January_2026!$M11</f>
        <v>1440</v>
      </c>
      <c r="O7" s="852"/>
      <c r="P7" s="850"/>
      <c r="Q7" s="857"/>
      <c r="R7" s="874"/>
      <c r="S7" s="874"/>
      <c r="T7" s="874"/>
      <c r="U7" s="1141" t="s">
        <v>967</v>
      </c>
      <c r="V7" s="1141"/>
      <c r="W7" s="1141"/>
      <c r="X7" s="1141"/>
      <c r="Y7" s="1141"/>
      <c r="Z7" s="1141"/>
      <c r="AA7" s="1142"/>
    </row>
    <row r="8" spans="2:29" s="19" customFormat="1" ht="84" customHeight="1" thickBot="1" x14ac:dyDescent="0.25">
      <c r="B8" s="580">
        <f>[1]January_2026!$B12</f>
        <v>46030</v>
      </c>
      <c r="C8" s="26" t="str">
        <f>[1]January_2026!$D12</f>
        <v>CARIB AMBER</v>
      </c>
      <c r="D8" s="27">
        <v>4200</v>
      </c>
      <c r="E8" s="28">
        <f>[2]Jan!$J73</f>
        <v>1.8097222222222222</v>
      </c>
      <c r="F8" s="29">
        <f>[1]January_2026!$J12</f>
        <v>103.94999999999999</v>
      </c>
      <c r="G8" s="30">
        <f>[1]January_2026!$G12</f>
        <v>1563</v>
      </c>
      <c r="H8" s="29">
        <f>[1]January_2026!$K12</f>
        <v>103.158</v>
      </c>
      <c r="I8" s="31">
        <f>[1]January_2026!$N12</f>
        <v>4</v>
      </c>
      <c r="J8" s="32">
        <f>[1]January_2026!$Q12</f>
        <v>65.125</v>
      </c>
      <c r="K8" s="32">
        <f>[1]January_2026!$F12</f>
        <v>271</v>
      </c>
      <c r="L8" s="823">
        <f>[1]January_2026!$E12</f>
        <v>1440</v>
      </c>
      <c r="M8" s="28">
        <f>[2]Jan!$J73</f>
        <v>1.8097222222222222</v>
      </c>
      <c r="N8" s="32">
        <f>[1]January_2026!$M12</f>
        <v>1264</v>
      </c>
      <c r="O8" s="406">
        <f>[2]Jan!$I12</f>
        <v>0</v>
      </c>
      <c r="P8" s="32">
        <f>[1]January_2026!$I12</f>
        <v>0</v>
      </c>
      <c r="Q8" s="33">
        <f>[1]January_2026!$P12</f>
        <v>0.76190476190474987</v>
      </c>
      <c r="R8" s="862">
        <f>($G8)/(($L8/60)*AC$3*(1/24))</f>
        <v>9.1941176470588235E-2</v>
      </c>
      <c r="S8" s="586">
        <f t="shared" ref="S8:S10" si="1">($G8)*24/(($K8)/60)/$AC$3</f>
        <v>0.488543520729325</v>
      </c>
      <c r="T8" s="873">
        <f>(1494-((N8)-[2]Jan!$Z$12))/1494</f>
        <v>0.15595716198125836</v>
      </c>
      <c r="U8" s="1002" t="s">
        <v>968</v>
      </c>
      <c r="V8" s="1002"/>
      <c r="W8" s="1002"/>
      <c r="X8" s="1002"/>
      <c r="Y8" s="1002"/>
      <c r="Z8" s="1002"/>
      <c r="AA8" s="1003"/>
    </row>
    <row r="9" spans="2:29" s="19" customFormat="1" ht="51.75" customHeight="1" thickBot="1" x14ac:dyDescent="0.25">
      <c r="B9" s="580">
        <f>[1]January_2026!$B13</f>
        <v>46031</v>
      </c>
      <c r="C9" s="26" t="str">
        <f>[1]January_2026!$D13</f>
        <v>CARIB AMBER</v>
      </c>
      <c r="D9" s="27">
        <v>4600</v>
      </c>
      <c r="E9" s="28">
        <f>[2]Jan!$J74</f>
        <v>1.0104166666666667</v>
      </c>
      <c r="F9" s="29">
        <f>[1]January_2026!$J13</f>
        <v>249.60000000000002</v>
      </c>
      <c r="G9" s="30">
        <f>[1]January_2026!$G13</f>
        <v>3640</v>
      </c>
      <c r="H9" s="29">
        <f>[1]January_2026!$K13</f>
        <v>240.24</v>
      </c>
      <c r="I9" s="31">
        <f>[1]January_2026!$N13</f>
        <v>22</v>
      </c>
      <c r="J9" s="32">
        <f>[1]January_2026!$Q13</f>
        <v>184.30379746835442</v>
      </c>
      <c r="K9" s="32">
        <f>[1]January_2026!$F13</f>
        <v>633</v>
      </c>
      <c r="L9" s="1134">
        <f>[1]January_2026!$E13</f>
        <v>1185</v>
      </c>
      <c r="M9" s="28">
        <f>[2]Jan!$J74</f>
        <v>1.0104166666666667</v>
      </c>
      <c r="N9" s="32">
        <f>[1]January_2026!$M13</f>
        <v>304</v>
      </c>
      <c r="O9" s="406">
        <f>[2]Jan!$I13</f>
        <v>0</v>
      </c>
      <c r="P9" s="32">
        <f>[1]January_2026!$I13</f>
        <v>0</v>
      </c>
      <c r="Q9" s="33">
        <f>[1]January_2026!$P13</f>
        <v>3.7500000000000053</v>
      </c>
      <c r="R9" s="995">
        <f>($G9+G10)/(($L9/60)*AC$3*(1/24))</f>
        <v>0.44311541325390918</v>
      </c>
      <c r="S9" s="586">
        <f t="shared" si="1"/>
        <v>0.48709227766936153</v>
      </c>
      <c r="T9" s="995">
        <f>(1252-((N9+N10)-[2]Jan!$H$14-[2]Jan!$Z$13-[2]Jan!$Z$14-[2]Jan!$AB$13-[2]Jan!$AB$14))/1252</f>
        <v>0.79313099041533541</v>
      </c>
      <c r="U9" s="1002" t="s">
        <v>969</v>
      </c>
      <c r="V9" s="1002"/>
      <c r="W9" s="1002"/>
      <c r="X9" s="1002"/>
      <c r="Y9" s="1002"/>
      <c r="Z9" s="1002"/>
      <c r="AA9" s="1003"/>
    </row>
    <row r="10" spans="2:29" s="19" customFormat="1" ht="81" customHeight="1" thickBot="1" x14ac:dyDescent="0.25">
      <c r="B10" s="580">
        <f>[1]January_2026!$B14</f>
        <v>46031</v>
      </c>
      <c r="C10" s="26" t="str">
        <f>[1]January_2026!$D14</f>
        <v>STAR MALT</v>
      </c>
      <c r="D10" s="27">
        <v>2800</v>
      </c>
      <c r="E10" s="28">
        <f>[2]Jan!$J75</f>
        <v>1.5555555555555556</v>
      </c>
      <c r="F10" s="29">
        <f>[1]January_2026!$J14</f>
        <v>175.3</v>
      </c>
      <c r="G10" s="30">
        <f>[1]January_2026!$G14</f>
        <v>2559</v>
      </c>
      <c r="H10" s="29">
        <f>[1]January_2026!$K14</f>
        <v>168.89400000000001</v>
      </c>
      <c r="I10" s="31">
        <f>[1]January_2026!$N14</f>
        <v>7</v>
      </c>
      <c r="J10" s="32">
        <f>[1]January_2026!$Q14</f>
        <v>129.56962025316454</v>
      </c>
      <c r="K10" s="32">
        <f>[1]January_2026!$F14</f>
        <v>341</v>
      </c>
      <c r="L10" s="1135"/>
      <c r="M10" s="28">
        <f>[2]Jan!$J75</f>
        <v>1.5555555555555556</v>
      </c>
      <c r="N10" s="32">
        <f>[1]January_2026!$M14</f>
        <v>136</v>
      </c>
      <c r="O10" s="406">
        <f>[2]Jan!$I14</f>
        <v>18</v>
      </c>
      <c r="P10" s="32">
        <f>[1]January_2026!$I14</f>
        <v>0</v>
      </c>
      <c r="Q10" s="33">
        <f>[1]January_2026!$P14</f>
        <v>3.6543069024529409</v>
      </c>
      <c r="R10" s="1020"/>
      <c r="S10" s="586">
        <f t="shared" si="1"/>
        <v>0.63566672416767289</v>
      </c>
      <c r="T10" s="1020"/>
      <c r="U10" s="1002" t="s">
        <v>971</v>
      </c>
      <c r="V10" s="1002"/>
      <c r="W10" s="1002"/>
      <c r="X10" s="1002"/>
      <c r="Y10" s="1002"/>
      <c r="Z10" s="1002"/>
      <c r="AA10" s="1003"/>
    </row>
    <row r="11" spans="2:29" s="19" customFormat="1" ht="59.1" customHeight="1" thickBot="1" x14ac:dyDescent="0.25">
      <c r="B11" s="580">
        <f>[1]January_2026!$B15</f>
        <v>46032</v>
      </c>
      <c r="C11" s="26" t="str">
        <f>[1]January_2026!$D15</f>
        <v>STAR MALT</v>
      </c>
      <c r="D11" s="27">
        <v>2800</v>
      </c>
      <c r="E11" s="28">
        <f>[2]Jan!$J76</f>
        <v>0.35069444444444442</v>
      </c>
      <c r="F11" s="29">
        <f>[1]January_2026!$J15</f>
        <v>175.89999999999998</v>
      </c>
      <c r="G11" s="30">
        <f>[1]January_2026!$G15</f>
        <v>2577</v>
      </c>
      <c r="H11" s="29">
        <f>[1]January_2026!$K15</f>
        <v>170.08200000000002</v>
      </c>
      <c r="I11" s="31">
        <f>[1]January_2026!$N15</f>
        <v>32</v>
      </c>
      <c r="J11" s="32">
        <f>[1]January_2026!$Q15</f>
        <v>386.54999999999995</v>
      </c>
      <c r="K11" s="32">
        <f>[1]January_2026!$F15</f>
        <v>331</v>
      </c>
      <c r="L11" s="823">
        <f>[1]January_2026!$E15</f>
        <v>400</v>
      </c>
      <c r="M11" s="28">
        <f>[2]Jan!$J76</f>
        <v>0.35069444444444442</v>
      </c>
      <c r="N11" s="32">
        <f>[1]January_2026!$M15</f>
        <v>107</v>
      </c>
      <c r="O11" s="406">
        <f>[2]Jan!$I15</f>
        <v>0</v>
      </c>
      <c r="P11" s="32">
        <f>[1]January_2026!$I15</f>
        <v>0</v>
      </c>
      <c r="Q11" s="33">
        <f>[1]January_2026!$P15</f>
        <v>3.3075611142694465</v>
      </c>
      <c r="R11" s="862">
        <f>($G11)/(($L11/60)*AC$3*(1/24))</f>
        <v>0.54571764705882353</v>
      </c>
      <c r="S11" s="586">
        <f t="shared" ref="S11:S38" si="2">($G11)*24/(($K11)/60)/$AC$3</f>
        <v>0.6594775191043184</v>
      </c>
      <c r="T11" s="873">
        <f>(1494-((N11)-[2]Jan!$Z$12))/1494</f>
        <v>0.93038821954484607</v>
      </c>
      <c r="U11" s="1002" t="s">
        <v>970</v>
      </c>
      <c r="V11" s="1002"/>
      <c r="W11" s="1002"/>
      <c r="X11" s="1002"/>
      <c r="Y11" s="1002"/>
      <c r="Z11" s="1002"/>
      <c r="AA11" s="1003"/>
    </row>
    <row r="12" spans="2:29" s="19" customFormat="1" ht="84.75" customHeight="1" thickBot="1" x14ac:dyDescent="0.25">
      <c r="B12" s="580">
        <f>[1]January_2026!$B16</f>
        <v>46034</v>
      </c>
      <c r="C12" s="26" t="str">
        <f>[1]January_2026!$D16</f>
        <v>VITA MALT ( CLASSIC)</v>
      </c>
      <c r="D12" s="27">
        <v>2800</v>
      </c>
      <c r="E12" s="28">
        <f>[2]Jan!$J77</f>
        <v>0.13541666666666666</v>
      </c>
      <c r="F12" s="29">
        <f>[1]January_2026!$J16</f>
        <v>188.3</v>
      </c>
      <c r="G12" s="30">
        <f>[1]January_2026!$G16</f>
        <v>2656</v>
      </c>
      <c r="H12" s="29">
        <f>[1]January_2026!$K16</f>
        <v>188.04480000000001</v>
      </c>
      <c r="I12" s="31">
        <f>[1]January_2026!$N16</f>
        <v>5</v>
      </c>
      <c r="J12" s="32">
        <f>[1]January_2026!$Q16</f>
        <v>115.47826086956522</v>
      </c>
      <c r="K12" s="32">
        <f>[1]January_2026!$F16</f>
        <v>375</v>
      </c>
      <c r="L12" s="1134">
        <f>[1]January_2026!$E16</f>
        <v>1380</v>
      </c>
      <c r="M12" s="28">
        <f>[2]Jan!$J77</f>
        <v>0.13541666666666666</v>
      </c>
      <c r="N12" s="32">
        <f>[1]January_2026!$M16</f>
        <v>191</v>
      </c>
      <c r="O12" s="406">
        <f>[2]Jan!$I16</f>
        <v>0</v>
      </c>
      <c r="P12" s="32">
        <f>[1]January_2026!$I16</f>
        <v>0</v>
      </c>
      <c r="Q12" s="33">
        <f>[1]January_2026!$P16</f>
        <v>0.13552841210833885</v>
      </c>
      <c r="R12" s="995">
        <f>($G12+G13+G14)/(($L12/60)*AC$3*(1/24))</f>
        <v>0.3479693094629156</v>
      </c>
      <c r="S12" s="586">
        <f t="shared" si="2"/>
        <v>0.59994352941176476</v>
      </c>
      <c r="T12" s="1143">
        <f>(1460-((N12+N13+N14)-[2]Jan!$Z$16-[2]Jan!$AA$16-[2]Jan!$Z$18-[2]Jan!$J$16-[2]Jan!$J$18-[2]Jan!$I$18-[2]Jan!$I$17-[2]Jan!$H$18))/1460</f>
        <v>0.86438356164383556</v>
      </c>
      <c r="U12" s="1002" t="s">
        <v>974</v>
      </c>
      <c r="V12" s="1002"/>
      <c r="W12" s="1002"/>
      <c r="X12" s="1002"/>
      <c r="Y12" s="1002"/>
      <c r="Z12" s="1002"/>
      <c r="AA12" s="1003"/>
    </row>
    <row r="13" spans="2:29" s="19" customFormat="1" ht="67.5" customHeight="1" thickBot="1" x14ac:dyDescent="0.25">
      <c r="B13" s="580">
        <f>[1]January_2026!$B17</f>
        <v>46034</v>
      </c>
      <c r="C13" s="26" t="str">
        <f>[1]January_2026!$D17</f>
        <v>STAR MALT</v>
      </c>
      <c r="D13" s="27">
        <v>1864</v>
      </c>
      <c r="E13" s="28">
        <f>[2]Jan!$J78</f>
        <v>0.59583333333333333</v>
      </c>
      <c r="F13" s="29">
        <f>[1]January_2026!$J17</f>
        <v>153</v>
      </c>
      <c r="G13" s="30">
        <f>[1]January_2026!$G17</f>
        <v>2263</v>
      </c>
      <c r="H13" s="29">
        <f>[1]January_2026!$K17</f>
        <v>149.358</v>
      </c>
      <c r="I13" s="31">
        <f>[1]January_2026!$N17</f>
        <v>14</v>
      </c>
      <c r="J13" s="32">
        <f>[1]January_2026!$Q17</f>
        <v>98.391304347826093</v>
      </c>
      <c r="K13" s="32">
        <f>[1]January_2026!$F17</f>
        <v>369</v>
      </c>
      <c r="L13" s="1136"/>
      <c r="M13" s="28">
        <f>[2]Jan!$J78</f>
        <v>0.59583333333333333</v>
      </c>
      <c r="N13" s="32">
        <f>[1]January_2026!$M17</f>
        <v>273</v>
      </c>
      <c r="O13" s="406">
        <f>[2]Jan!$I17</f>
        <v>188</v>
      </c>
      <c r="P13" s="32">
        <f>[1]January_2026!$I17</f>
        <v>1517</v>
      </c>
      <c r="Q13" s="33">
        <f>[1]January_2026!$P17</f>
        <v>2.3803921568627424</v>
      </c>
      <c r="R13" s="996"/>
      <c r="S13" s="586">
        <f t="shared" si="2"/>
        <v>0.51948350071736005</v>
      </c>
      <c r="T13" s="1144"/>
      <c r="U13" s="1002" t="s">
        <v>973</v>
      </c>
      <c r="V13" s="1002"/>
      <c r="W13" s="1002"/>
      <c r="X13" s="1002"/>
      <c r="Y13" s="1002"/>
      <c r="Z13" s="1002"/>
      <c r="AA13" s="1003"/>
    </row>
    <row r="14" spans="2:29" s="19" customFormat="1" ht="69.75" customHeight="1" thickBot="1" x14ac:dyDescent="0.25">
      <c r="B14" s="580">
        <f>[1]January_2026!$B18</f>
        <v>46034</v>
      </c>
      <c r="C14" s="26" t="str">
        <f>[1]January_2026!$D18</f>
        <v>STAG</v>
      </c>
      <c r="D14" s="27">
        <v>2800</v>
      </c>
      <c r="E14" s="28">
        <f>[2]Jan!$J79</f>
        <v>0.91666666666666663</v>
      </c>
      <c r="F14" s="29">
        <f>[1]January_2026!$J18</f>
        <v>52</v>
      </c>
      <c r="G14" s="30">
        <f>[1]January_2026!$G18</f>
        <v>750</v>
      </c>
      <c r="H14" s="29">
        <f>[1]January_2026!$K18</f>
        <v>49.5</v>
      </c>
      <c r="I14" s="31">
        <f>[1]January_2026!$N18</f>
        <v>2</v>
      </c>
      <c r="J14" s="32">
        <f>[1]January_2026!$Q18</f>
        <v>32.608695652173914</v>
      </c>
      <c r="K14" s="32">
        <f>[1]January_2026!$F18</f>
        <v>78</v>
      </c>
      <c r="L14" s="1135"/>
      <c r="M14" s="28">
        <f>[2]Jan!$J79</f>
        <v>0.91666666666666663</v>
      </c>
      <c r="N14" s="32">
        <f>[1]January_2026!$M18</f>
        <v>114</v>
      </c>
      <c r="O14" s="406">
        <f>[2]Jan!$I18</f>
        <v>50</v>
      </c>
      <c r="P14" s="32">
        <f>[1]January_2026!$I18</f>
        <v>0</v>
      </c>
      <c r="Q14" s="33">
        <f>[1]January_2026!$P18</f>
        <v>4.8076923076923084</v>
      </c>
      <c r="R14" s="1146"/>
      <c r="S14" s="586">
        <f t="shared" si="2"/>
        <v>0.81447963800904977</v>
      </c>
      <c r="T14" s="1145"/>
      <c r="U14" s="1002" t="s">
        <v>972</v>
      </c>
      <c r="V14" s="1002"/>
      <c r="W14" s="1002"/>
      <c r="X14" s="1002"/>
      <c r="Y14" s="1002"/>
      <c r="Z14" s="1002"/>
      <c r="AA14" s="1003"/>
    </row>
    <row r="15" spans="2:29" s="19" customFormat="1" ht="126" customHeight="1" thickBot="1" x14ac:dyDescent="0.25">
      <c r="B15" s="580">
        <f>[1]January_2026!$B19</f>
        <v>46035</v>
      </c>
      <c r="C15" s="26" t="str">
        <f>[1]January_2026!$D19</f>
        <v>STAG</v>
      </c>
      <c r="D15" s="27">
        <v>4850</v>
      </c>
      <c r="E15" s="28">
        <f>[2]Jan!$J80</f>
        <v>1.0104166666666667</v>
      </c>
      <c r="F15" s="29">
        <f>[1]January_2026!$J19</f>
        <v>319.89999999999998</v>
      </c>
      <c r="G15" s="30">
        <f>[1]January_2026!$G19</f>
        <v>4764</v>
      </c>
      <c r="H15" s="29">
        <f>[1]January_2026!$K19</f>
        <v>314.42400000000004</v>
      </c>
      <c r="I15" s="31">
        <f>[1]January_2026!$N19</f>
        <v>11</v>
      </c>
      <c r="J15" s="32">
        <f>[1]January_2026!$Q19</f>
        <v>198.5</v>
      </c>
      <c r="K15" s="32">
        <f>[1]January_2026!$F19</f>
        <v>861</v>
      </c>
      <c r="L15" s="1134">
        <f>[1]January_2026!$E19</f>
        <v>1440</v>
      </c>
      <c r="M15" s="28">
        <f>[2]Jan!$J80</f>
        <v>1.0104166666666667</v>
      </c>
      <c r="N15" s="32">
        <f>[1]January_2026!$M19</f>
        <v>273</v>
      </c>
      <c r="O15" s="406">
        <f>[2]Jan!$I19</f>
        <v>0</v>
      </c>
      <c r="P15" s="32">
        <f>[1]January_2026!$I19</f>
        <v>0</v>
      </c>
      <c r="Q15" s="33">
        <f>[1]January_2026!$P19</f>
        <v>1.7117849327914794</v>
      </c>
      <c r="R15" s="995">
        <f>($G15+G16)/(($L15/60)*AC$3*(1/24))</f>
        <v>0.44376470588235295</v>
      </c>
      <c r="S15" s="586">
        <f t="shared" si="2"/>
        <v>0.46868620618979301</v>
      </c>
      <c r="T15" s="995">
        <f>(1485-((N15+N16)-[2]Jan!$Z$19-[2]Jan!$AA$19-[2]Jan!$J$20-[2]Jan!$I$20-[2]Jan!$H$20-[2]Jan!$H$19))/1485</f>
        <v>0.75016835016835015</v>
      </c>
      <c r="U15" s="1002" t="s">
        <v>976</v>
      </c>
      <c r="V15" s="1002"/>
      <c r="W15" s="1002"/>
      <c r="X15" s="1002"/>
      <c r="Y15" s="1002"/>
      <c r="Z15" s="1002"/>
      <c r="AA15" s="1003"/>
    </row>
    <row r="16" spans="2:29" s="19" customFormat="1" ht="108" customHeight="1" thickBot="1" x14ac:dyDescent="0.25">
      <c r="B16" s="580">
        <f>[1]January_2026!$B20</f>
        <v>46035</v>
      </c>
      <c r="C16" s="26" t="str">
        <f>[1]January_2026!$D20</f>
        <v>CARIB AMBER</v>
      </c>
      <c r="D16" s="27">
        <v>4900</v>
      </c>
      <c r="E16" s="28">
        <f>[2]Jan!$J81</f>
        <v>1.6493055555555556</v>
      </c>
      <c r="F16" s="29">
        <f>[1]January_2026!$J20</f>
        <v>189</v>
      </c>
      <c r="G16" s="30">
        <f>[1]January_2026!$G20</f>
        <v>2780</v>
      </c>
      <c r="H16" s="29">
        <f>[1]January_2026!$K20</f>
        <v>183.48000000000002</v>
      </c>
      <c r="I16" s="31">
        <f>[1]January_2026!$N20</f>
        <v>7</v>
      </c>
      <c r="J16" s="32">
        <f>[1]January_2026!$Q20</f>
        <v>115.83333333333333</v>
      </c>
      <c r="K16" s="32">
        <f>[1]January_2026!$F20</f>
        <v>496</v>
      </c>
      <c r="L16" s="1135"/>
      <c r="M16" s="28">
        <f>[2]Jan!$J81</f>
        <v>1.6493055555555556</v>
      </c>
      <c r="N16" s="32">
        <f>[1]January_2026!$M20</f>
        <v>181</v>
      </c>
      <c r="O16" s="406">
        <f>[2]Jan!$I20</f>
        <v>30</v>
      </c>
      <c r="P16" s="32">
        <f>[1]January_2026!$I20</f>
        <v>0</v>
      </c>
      <c r="Q16" s="33">
        <f>[1]January_2026!$P20</f>
        <v>2.9206349206349111</v>
      </c>
      <c r="R16" s="1020"/>
      <c r="S16" s="586">
        <f t="shared" si="2"/>
        <v>0.47476280834914608</v>
      </c>
      <c r="T16" s="1020"/>
      <c r="U16" s="1002" t="s">
        <v>975</v>
      </c>
      <c r="V16" s="1002"/>
      <c r="W16" s="1002"/>
      <c r="X16" s="1002"/>
      <c r="Y16" s="1002"/>
      <c r="Z16" s="1002"/>
      <c r="AA16" s="1003"/>
    </row>
    <row r="17" spans="2:27" s="19" customFormat="1" ht="59.45" customHeight="1" thickBot="1" x14ac:dyDescent="0.25">
      <c r="B17" s="580">
        <f>[1]January_2026!$B21</f>
        <v>46036</v>
      </c>
      <c r="C17" s="26" t="str">
        <f>[1]January_2026!$D21</f>
        <v>CARIB AMBER</v>
      </c>
      <c r="D17" s="27">
        <v>2120</v>
      </c>
      <c r="E17" s="28">
        <f>[2]Jan!$J82</f>
        <v>1.0083333333333333</v>
      </c>
      <c r="F17" s="29">
        <f>[1]January_2026!$J21</f>
        <v>139.4</v>
      </c>
      <c r="G17" s="30">
        <f>[1]January_2026!$G21</f>
        <v>2070</v>
      </c>
      <c r="H17" s="29">
        <f>[1]January_2026!$K21</f>
        <v>136.62</v>
      </c>
      <c r="I17" s="31">
        <f>[1]January_2026!$N21</f>
        <v>10</v>
      </c>
      <c r="J17" s="32">
        <f>[1]January_2026!$Q21</f>
        <v>86.25</v>
      </c>
      <c r="K17" s="32">
        <f>[1]January_2026!$F21</f>
        <v>278</v>
      </c>
      <c r="L17" s="1134">
        <f>[1]January_2026!$E21</f>
        <v>1428</v>
      </c>
      <c r="M17" s="28">
        <f>[2]Jan!$J82</f>
        <v>1.0083333333333333</v>
      </c>
      <c r="N17" s="32">
        <f>[1]January_2026!$M21</f>
        <v>55</v>
      </c>
      <c r="O17" s="406">
        <f>[2]Jan!$I21</f>
        <v>0</v>
      </c>
      <c r="P17" s="32">
        <f>[1]January_2026!$I21</f>
        <v>0</v>
      </c>
      <c r="Q17" s="33">
        <f>[1]January_2026!$P21</f>
        <v>1.9942611190817798</v>
      </c>
      <c r="R17" s="995">
        <f>($G17+G18)/(($L17/60)*AC$3*(1/24))</f>
        <v>0.43871478002965897</v>
      </c>
      <c r="S17" s="586">
        <f t="shared" si="2"/>
        <v>0.63072365636902239</v>
      </c>
      <c r="T17" s="995">
        <f>(1452-((N17+N18)-[2]Jan!$Z$22-[2]Jan!$Z$21-[2]Jan!$AB$21-[2]Jan!$J$22-[2]Jan!$I$22))/1452</f>
        <v>0.83195592286501374</v>
      </c>
      <c r="U17" s="1002" t="s">
        <v>978</v>
      </c>
      <c r="V17" s="1002"/>
      <c r="W17" s="1002"/>
      <c r="X17" s="1002"/>
      <c r="Y17" s="1002"/>
      <c r="Z17" s="1002"/>
      <c r="AA17" s="1003"/>
    </row>
    <row r="18" spans="2:27" s="19" customFormat="1" ht="80.45" customHeight="1" thickBot="1" x14ac:dyDescent="0.25">
      <c r="B18" s="580">
        <f>[1]January_2026!$B22</f>
        <v>46036</v>
      </c>
      <c r="C18" s="26" t="str">
        <f>[1]January_2026!$D22</f>
        <v>STAG</v>
      </c>
      <c r="D18" s="27">
        <v>5600</v>
      </c>
      <c r="E18" s="28">
        <f>[2]Jan!$J83</f>
        <v>1.2208333333333334</v>
      </c>
      <c r="F18" s="29">
        <f>[1]January_2026!$J22</f>
        <v>358.40000000000003</v>
      </c>
      <c r="G18" s="30">
        <f>[1]January_2026!$G22</f>
        <v>5326</v>
      </c>
      <c r="H18" s="29">
        <f>[1]January_2026!$K22</f>
        <v>353.416</v>
      </c>
      <c r="I18" s="31">
        <f>[1]January_2026!$N22</f>
        <v>20</v>
      </c>
      <c r="J18" s="32">
        <f>[1]January_2026!$Q22</f>
        <v>223.781512605042</v>
      </c>
      <c r="K18" s="32">
        <f>[1]January_2026!$F22</f>
        <v>949</v>
      </c>
      <c r="L18" s="1135"/>
      <c r="M18" s="28">
        <f>[2]Jan!$J83</f>
        <v>1.2208333333333334</v>
      </c>
      <c r="N18" s="32">
        <f>[1]January_2026!$M22</f>
        <v>381</v>
      </c>
      <c r="O18" s="406">
        <f>[2]Jan!$I22</f>
        <v>16</v>
      </c>
      <c r="P18" s="32">
        <f>[1]January_2026!$I22</f>
        <v>0</v>
      </c>
      <c r="Q18" s="33">
        <f>[1]January_2026!$P22</f>
        <v>1.3906250000000102</v>
      </c>
      <c r="R18" s="1020"/>
      <c r="S18" s="586">
        <f t="shared" si="2"/>
        <v>0.47538833446972045</v>
      </c>
      <c r="T18" s="1020"/>
      <c r="U18" s="1002" t="s">
        <v>977</v>
      </c>
      <c r="V18" s="1002"/>
      <c r="W18" s="1002"/>
      <c r="X18" s="1002"/>
      <c r="Y18" s="1002"/>
      <c r="Z18" s="1002"/>
      <c r="AA18" s="1003"/>
    </row>
    <row r="19" spans="2:27" s="19" customFormat="1" ht="128.25" customHeight="1" thickBot="1" x14ac:dyDescent="0.25">
      <c r="B19" s="580">
        <f>[1]January_2026!$B23</f>
        <v>46037</v>
      </c>
      <c r="C19" s="26" t="str">
        <f>[1]January_2026!$D23</f>
        <v>MACKESON</v>
      </c>
      <c r="D19" s="27">
        <v>5600</v>
      </c>
      <c r="E19" s="28">
        <f>[2]Jan!$J84</f>
        <v>1.0222222222222221</v>
      </c>
      <c r="F19" s="29">
        <f>[1]January_2026!$J23</f>
        <v>386.2</v>
      </c>
      <c r="G19" s="30">
        <f>[1]January_2026!$G23</f>
        <v>5765</v>
      </c>
      <c r="H19" s="29">
        <f>[1]January_2026!$K23</f>
        <v>380.49</v>
      </c>
      <c r="I19" s="31">
        <f>[1]January_2026!$N23</f>
        <v>20</v>
      </c>
      <c r="J19" s="32">
        <f>[1]January_2026!$Q23</f>
        <v>245.66761363636365</v>
      </c>
      <c r="K19" s="32">
        <f>[1]January_2026!$F23</f>
        <v>965</v>
      </c>
      <c r="L19" s="1134">
        <f>[1]January_2026!$E23</f>
        <v>1408</v>
      </c>
      <c r="M19" s="28">
        <f>[2]Jan!$J84</f>
        <v>1.0222222222222221</v>
      </c>
      <c r="N19" s="32">
        <f>[1]January_2026!$M23</f>
        <v>268</v>
      </c>
      <c r="O19" s="406">
        <f>[2]Jan!$I23</f>
        <v>6</v>
      </c>
      <c r="P19" s="32">
        <f>[1]January_2026!$I23</f>
        <v>0</v>
      </c>
      <c r="Q19" s="33">
        <f>[1]January_2026!$P23</f>
        <v>1.4785085447954376</v>
      </c>
      <c r="R19" s="995">
        <f>($G19+G20)/(($L19/60)*AC$3*(1/24))</f>
        <v>0.42641711229946533</v>
      </c>
      <c r="S19" s="586">
        <f t="shared" si="2"/>
        <v>0.50604084120694914</v>
      </c>
      <c r="T19" s="995">
        <f>(1480-((N19+N20)-[2]Jan!$H$24-[2]Jan!$I$24-[2]Jan!$I$23-[2]Jan!$J$23-[2]Jan!$Z$23-[2]Jan!$AB$24))/1480</f>
        <v>0.78581081081081083</v>
      </c>
      <c r="U19" s="1002" t="s">
        <v>979</v>
      </c>
      <c r="V19" s="1002"/>
      <c r="W19" s="1002"/>
      <c r="X19" s="1002"/>
      <c r="Y19" s="1002"/>
      <c r="Z19" s="1002"/>
      <c r="AA19" s="1003"/>
    </row>
    <row r="20" spans="2:27" s="19" customFormat="1" ht="97.5" customHeight="1" thickBot="1" x14ac:dyDescent="0.25">
      <c r="B20" s="580">
        <f>[1]January_2026!$B24</f>
        <v>46037</v>
      </c>
      <c r="C20" s="26" t="str">
        <f>[1]January_2026!$D24</f>
        <v>SHANDY SORREL (LOC)</v>
      </c>
      <c r="D20" s="27">
        <v>1400</v>
      </c>
      <c r="E20" s="28">
        <f>[2]Jan!$J85</f>
        <v>1.7749999999999999</v>
      </c>
      <c r="F20" s="29">
        <f>[1]January_2026!$J24</f>
        <v>90.6</v>
      </c>
      <c r="G20" s="30">
        <f>[1]January_2026!$G24</f>
        <v>1323</v>
      </c>
      <c r="H20" s="29">
        <f>[1]January_2026!$K24</f>
        <v>87.317999999999998</v>
      </c>
      <c r="I20" s="31">
        <f>[1]January_2026!$N24</f>
        <v>10</v>
      </c>
      <c r="J20" s="32">
        <f>[1]January_2026!$Q24</f>
        <v>56.377840909090914</v>
      </c>
      <c r="K20" s="32">
        <f>[1]January_2026!$F24</f>
        <v>252</v>
      </c>
      <c r="L20" s="1135"/>
      <c r="M20" s="28">
        <f>[2]Jan!$J85</f>
        <v>1.7749999999999999</v>
      </c>
      <c r="N20" s="32">
        <f>[1]January_2026!$M24</f>
        <v>168</v>
      </c>
      <c r="O20" s="406">
        <f>[2]Jan!$I24</f>
        <v>67</v>
      </c>
      <c r="P20" s="32">
        <f>[1]January_2026!$I24</f>
        <v>0</v>
      </c>
      <c r="Q20" s="33">
        <f>[1]January_2026!$P24</f>
        <v>3.6225165562913872</v>
      </c>
      <c r="R20" s="1020"/>
      <c r="S20" s="586">
        <f t="shared" si="2"/>
        <v>0.44470588235294117</v>
      </c>
      <c r="T20" s="1020"/>
      <c r="U20" s="1002" t="s">
        <v>980</v>
      </c>
      <c r="V20" s="1002"/>
      <c r="W20" s="1002"/>
      <c r="X20" s="1002"/>
      <c r="Y20" s="1002"/>
      <c r="Z20" s="1002"/>
      <c r="AA20" s="1003"/>
    </row>
    <row r="21" spans="2:27" s="19" customFormat="1" ht="81.75" customHeight="1" thickBot="1" x14ac:dyDescent="0.25">
      <c r="B21" s="580">
        <f>[1]January_2026!$B25</f>
        <v>46038</v>
      </c>
      <c r="C21" s="26" t="str">
        <f>[1]January_2026!$D25</f>
        <v>TING( GREEN)</v>
      </c>
      <c r="D21" s="27">
        <v>1792</v>
      </c>
      <c r="E21" s="28">
        <f>[2]Jan!$J86</f>
        <v>1.0208333333333333</v>
      </c>
      <c r="F21" s="29">
        <f>[1]January_2026!$J25</f>
        <v>120.63744000000001</v>
      </c>
      <c r="G21" s="30">
        <f>[1]January_2026!$G25</f>
        <v>1792</v>
      </c>
      <c r="H21" s="29">
        <f>[1]January_2026!$K25</f>
        <v>118.27200000000001</v>
      </c>
      <c r="I21" s="31">
        <f>[1]January_2026!$N25</f>
        <v>7</v>
      </c>
      <c r="J21" s="32">
        <f>[1]January_2026!$Q25</f>
        <v>87.41463414634147</v>
      </c>
      <c r="K21" s="32">
        <f>[1]January_2026!$F25</f>
        <v>311</v>
      </c>
      <c r="L21" s="1134">
        <f>[1]January_2026!$E25</f>
        <v>1230</v>
      </c>
      <c r="M21" s="28">
        <f>[2]Jan!$J86</f>
        <v>1.0208333333333333</v>
      </c>
      <c r="N21" s="32">
        <f>[1]January_2026!$M25</f>
        <v>188</v>
      </c>
      <c r="O21" s="406">
        <f>[2]Jan!$I25</f>
        <v>60</v>
      </c>
      <c r="P21" s="32">
        <f>[1]January_2026!$I25</f>
        <v>0</v>
      </c>
      <c r="Q21" s="33">
        <f>[1]January_2026!$P25</f>
        <v>1.9607843137254954</v>
      </c>
      <c r="R21" s="995">
        <f>($G21+G22)/(($L21/60)*AC$3*(1/24))</f>
        <v>0.44308751793400292</v>
      </c>
      <c r="S21" s="586">
        <f t="shared" si="2"/>
        <v>0.48808019670890856</v>
      </c>
      <c r="T21" s="995">
        <f>(1242-((N21+N22)-[2]Jan!$AA$26-[2]Jan!$Z$25-[2]Jan!$I$25-[2]Jan!$I$26-[2]Jan!$M$25))/1242</f>
        <v>0.79549114331723025</v>
      </c>
      <c r="U21" s="1002" t="s">
        <v>981</v>
      </c>
      <c r="V21" s="1002"/>
      <c r="W21" s="1002"/>
      <c r="X21" s="1002"/>
      <c r="Y21" s="1002"/>
      <c r="Z21" s="1002"/>
      <c r="AA21" s="1003"/>
    </row>
    <row r="22" spans="2:27" s="19" customFormat="1" ht="135.75" customHeight="1" thickBot="1" x14ac:dyDescent="0.25">
      <c r="B22" s="580">
        <f>[1]January_2026!$B26</f>
        <v>46038</v>
      </c>
      <c r="C22" s="26" t="str">
        <f>[1]January_2026!$D26</f>
        <v>CARIB AMBER</v>
      </c>
      <c r="D22" s="27">
        <v>4600</v>
      </c>
      <c r="E22" s="28">
        <f>[2]Jan!$J87</f>
        <v>1.3097222222222222</v>
      </c>
      <c r="F22" s="29">
        <f>[1]January_2026!$J26</f>
        <v>312.39999999999998</v>
      </c>
      <c r="G22" s="30">
        <f>[1]January_2026!$G26</f>
        <v>4642</v>
      </c>
      <c r="H22" s="29">
        <f>[1]January_2026!$K26</f>
        <v>306.37200000000001</v>
      </c>
      <c r="I22" s="31">
        <f>[1]January_2026!$N26</f>
        <v>10</v>
      </c>
      <c r="J22" s="32">
        <f>[1]January_2026!$Q26</f>
        <v>197.8125</v>
      </c>
      <c r="K22" s="32">
        <f>[1]January_2026!$F26</f>
        <v>731</v>
      </c>
      <c r="L22" s="1135"/>
      <c r="M22" s="28">
        <f>[2]Jan!$J87</f>
        <v>1.3097222222222222</v>
      </c>
      <c r="N22" s="32">
        <f>[1]January_2026!$M26</f>
        <v>242</v>
      </c>
      <c r="O22" s="406">
        <f>[2]Jan!$I26</f>
        <v>60</v>
      </c>
      <c r="P22" s="32">
        <f>[1]January_2026!$I26</f>
        <v>0</v>
      </c>
      <c r="Q22" s="33">
        <f>[1]January_2026!$P26</f>
        <v>1.9295774647887207</v>
      </c>
      <c r="R22" s="1020"/>
      <c r="S22" s="586">
        <f t="shared" si="2"/>
        <v>0.53789973444918315</v>
      </c>
      <c r="T22" s="1020"/>
      <c r="U22" s="1002" t="s">
        <v>982</v>
      </c>
      <c r="V22" s="1002"/>
      <c r="W22" s="1002"/>
      <c r="X22" s="1002"/>
      <c r="Y22" s="1002"/>
      <c r="Z22" s="1002"/>
      <c r="AA22" s="1003"/>
    </row>
    <row r="23" spans="2:27" s="19" customFormat="1" ht="143.25" customHeight="1" thickBot="1" x14ac:dyDescent="0.25">
      <c r="B23" s="580">
        <f>[1]January_2026!$B27</f>
        <v>46041</v>
      </c>
      <c r="C23" s="26" t="str">
        <f>[1]January_2026!$D27</f>
        <v>CARIB AMBER</v>
      </c>
      <c r="D23" s="27">
        <v>6558</v>
      </c>
      <c r="E23" s="28">
        <f>[2]Jan!$J88</f>
        <v>1.1076388888888888</v>
      </c>
      <c r="F23" s="29">
        <f>[1]January_2026!$J27</f>
        <v>404.1</v>
      </c>
      <c r="G23" s="30">
        <f>[1]January_2026!$G27</f>
        <v>5919</v>
      </c>
      <c r="H23" s="29">
        <f>[1]January_2026!$K27</f>
        <v>397.30399999999997</v>
      </c>
      <c r="I23" s="31">
        <f>[1]January_2026!$N27</f>
        <v>12</v>
      </c>
      <c r="J23" s="32">
        <f>[1]January_2026!$Q27</f>
        <v>257.3478260869565</v>
      </c>
      <c r="K23" s="32">
        <f>[1]January_2026!$F27</f>
        <v>736</v>
      </c>
      <c r="L23" s="1134">
        <f>[1]January_2026!$E27</f>
        <v>1380</v>
      </c>
      <c r="M23" s="28">
        <f>[2]Jan!$J88</f>
        <v>1.1076388888888888</v>
      </c>
      <c r="N23" s="32">
        <f>[1]January_2026!$M27</f>
        <v>279</v>
      </c>
      <c r="O23" s="406">
        <f>[2]Jan!$I27</f>
        <v>0</v>
      </c>
      <c r="P23" s="32">
        <f>[1]January_2026!$I27</f>
        <v>0</v>
      </c>
      <c r="Q23" s="33">
        <f>[1]January_2026!$P27</f>
        <v>1.6817619401138451</v>
      </c>
      <c r="R23" s="995">
        <f>($G23+G24)/(($L23/60)*AC$3*(1/24))</f>
        <v>0.48908439897698214</v>
      </c>
      <c r="S23" s="586">
        <f t="shared" si="2"/>
        <v>0.68121483375959069</v>
      </c>
      <c r="T23" s="995">
        <f>(1443-((N23+N24)-[2]Jan!$H$27-[2]Jan!$J$27-[2]Jan!$I$28-[2]Jan!$Z$27-[2]Jan!$AA$27))/1443</f>
        <v>0.83160083160083165</v>
      </c>
      <c r="U23" s="1002" t="s">
        <v>984</v>
      </c>
      <c r="V23" s="1002"/>
      <c r="W23" s="1002"/>
      <c r="X23" s="1002"/>
      <c r="Y23" s="1002"/>
      <c r="Z23" s="1002"/>
      <c r="AA23" s="1003"/>
    </row>
    <row r="24" spans="2:27" s="19" customFormat="1" ht="63" customHeight="1" thickBot="1" x14ac:dyDescent="0.25">
      <c r="B24" s="580">
        <f>[1]January_2026!$B28</f>
        <v>46041</v>
      </c>
      <c r="C24" s="26" t="str">
        <f>[1]January_2026!$D28</f>
        <v>STAG</v>
      </c>
      <c r="D24" s="27">
        <v>1800</v>
      </c>
      <c r="E24" s="28">
        <f>[2]Jan!$J89</f>
        <v>1.7951388888888888</v>
      </c>
      <c r="F24" s="29">
        <f>[1]January_2026!$J28</f>
        <v>137.30000000000001</v>
      </c>
      <c r="G24" s="30">
        <f>[1]January_2026!$G28</f>
        <v>2049</v>
      </c>
      <c r="H24" s="29">
        <f>[1]January_2026!$K28</f>
        <v>135.23400000000001</v>
      </c>
      <c r="I24" s="31">
        <f>[1]January_2026!$N28</f>
        <v>0</v>
      </c>
      <c r="J24" s="32">
        <f>[1]January_2026!$Q28</f>
        <v>89.086956521739125</v>
      </c>
      <c r="K24" s="32">
        <f>[1]January_2026!$F28</f>
        <v>295</v>
      </c>
      <c r="L24" s="1135"/>
      <c r="M24" s="28">
        <f>[2]Jan!$J89</f>
        <v>1.7951388888888888</v>
      </c>
      <c r="N24" s="32">
        <f>[1]January_2026!$M28</f>
        <v>86</v>
      </c>
      <c r="O24" s="406">
        <f>[2]Jan!$I28</f>
        <v>24</v>
      </c>
      <c r="P24" s="32">
        <f>[1]January_2026!$I28</f>
        <v>0</v>
      </c>
      <c r="Q24" s="33">
        <f>[1]January_2026!$P28</f>
        <v>1.5047341587764038</v>
      </c>
      <c r="R24" s="1020"/>
      <c r="S24" s="586">
        <f t="shared" si="2"/>
        <v>0.58834695912263213</v>
      </c>
      <c r="T24" s="1020"/>
      <c r="U24" s="1002" t="s">
        <v>983</v>
      </c>
      <c r="V24" s="1002"/>
      <c r="W24" s="1002"/>
      <c r="X24" s="1002"/>
      <c r="Y24" s="1002"/>
      <c r="Z24" s="1002"/>
      <c r="AA24" s="1003"/>
    </row>
    <row r="25" spans="2:27" s="19" customFormat="1" ht="77.099999999999994" customHeight="1" thickBot="1" x14ac:dyDescent="0.25">
      <c r="B25" s="580">
        <f>[1]January_2026!$B29</f>
        <v>46042</v>
      </c>
      <c r="C25" s="26" t="str">
        <f>[1]January_2026!$D29</f>
        <v>STAG</v>
      </c>
      <c r="D25" s="27">
        <v>3551</v>
      </c>
      <c r="E25" s="28">
        <f>[2]Jan!$J90</f>
        <v>1.0034722222222223</v>
      </c>
      <c r="F25" s="29">
        <f>[1]January_2026!$J29</f>
        <v>235.6</v>
      </c>
      <c r="G25" s="30">
        <f>[1]January_2026!$G29</f>
        <v>3528</v>
      </c>
      <c r="H25" s="29">
        <f>[1]January_2026!$K29</f>
        <v>232.84800000000001</v>
      </c>
      <c r="I25" s="31">
        <f>[1]January_2026!$N29</f>
        <v>10</v>
      </c>
      <c r="J25" s="32">
        <f>[1]January_2026!$Q29</f>
        <v>147.51219512195121</v>
      </c>
      <c r="K25" s="32">
        <f>[1]January_2026!$F29</f>
        <v>588</v>
      </c>
      <c r="L25" s="1134">
        <f>[1]January_2026!$E29</f>
        <v>1435</v>
      </c>
      <c r="M25" s="28">
        <f>[2]Jan!$J90</f>
        <v>1.0034722222222223</v>
      </c>
      <c r="N25" s="32">
        <f>[1]January_2026!$M29</f>
        <v>147</v>
      </c>
      <c r="O25" s="406">
        <f>[2]Jan!$I29</f>
        <v>0</v>
      </c>
      <c r="P25" s="32">
        <f>[1]January_2026!$I29</f>
        <v>0</v>
      </c>
      <c r="Q25" s="33">
        <f>[1]January_2026!$P29</f>
        <v>1.1680814940577169</v>
      </c>
      <c r="R25" s="995">
        <f>($G25+G26)/(($L25/60)*AC$3*(1/24))</f>
        <v>0.38581020700963309</v>
      </c>
      <c r="S25" s="586">
        <f t="shared" si="2"/>
        <v>0.50823529411764701</v>
      </c>
      <c r="T25" s="995">
        <f>(1300-((N25+N26)-[2]Jan!$H$29-[2]Jan!$I$30-[2]Jan!$AB$30))/1300</f>
        <v>0.80538461538461537</v>
      </c>
      <c r="U25" s="1002" t="s">
        <v>985</v>
      </c>
      <c r="V25" s="1002"/>
      <c r="W25" s="1002"/>
      <c r="X25" s="1002"/>
      <c r="Y25" s="1002"/>
      <c r="Z25" s="1002"/>
      <c r="AA25" s="1003"/>
    </row>
    <row r="26" spans="2:27" s="19" customFormat="1" ht="101.25" customHeight="1" thickBot="1" x14ac:dyDescent="0.25">
      <c r="B26" s="580">
        <f>[1]January_2026!$B30</f>
        <v>46042</v>
      </c>
      <c r="C26" s="26" t="str">
        <f>[1]January_2026!$D30</f>
        <v>GINSENG UP (ORG)</v>
      </c>
      <c r="D26" s="27">
        <v>3000</v>
      </c>
      <c r="E26" s="28">
        <f>[2]Jan!$J91</f>
        <v>1.4659722222222222</v>
      </c>
      <c r="F26" s="29">
        <f>[1]January_2026!$J30</f>
        <v>202.3</v>
      </c>
      <c r="G26" s="30">
        <f>[1]January_2026!$G30</f>
        <v>3008</v>
      </c>
      <c r="H26" s="29">
        <f>[1]January_2026!$K30</f>
        <v>198.52800000000002</v>
      </c>
      <c r="I26" s="31">
        <f>[1]January_2026!$N30</f>
        <v>11</v>
      </c>
      <c r="J26" s="32">
        <f>[1]January_2026!$Q30</f>
        <v>125.77003484320556</v>
      </c>
      <c r="K26" s="32">
        <f>[1]January_2026!$F30</f>
        <v>572</v>
      </c>
      <c r="L26" s="1135"/>
      <c r="M26" s="28">
        <f>[2]Jan!$J91</f>
        <v>1.4659722222222222</v>
      </c>
      <c r="N26" s="32">
        <f>[1]January_2026!$M30</f>
        <v>184</v>
      </c>
      <c r="O26" s="406">
        <f>[2]Jan!$I30</f>
        <v>76</v>
      </c>
      <c r="P26" s="32">
        <f>[1]January_2026!$I30</f>
        <v>3</v>
      </c>
      <c r="Q26" s="33">
        <f>[1]January_2026!$P30</f>
        <v>1.8645575877409744</v>
      </c>
      <c r="R26" s="996"/>
      <c r="S26" s="586">
        <f t="shared" si="2"/>
        <v>0.44544631838749488</v>
      </c>
      <c r="T26" s="1020"/>
      <c r="U26" s="1002" t="s">
        <v>986</v>
      </c>
      <c r="V26" s="1002"/>
      <c r="W26" s="1002"/>
      <c r="X26" s="1002"/>
      <c r="Y26" s="1002"/>
      <c r="Z26" s="1002"/>
      <c r="AA26" s="1003"/>
    </row>
    <row r="27" spans="2:27" s="19" customFormat="1" ht="36.75" customHeight="1" thickBot="1" x14ac:dyDescent="0.25">
      <c r="B27" s="580">
        <f>[1]January_2026!$B31</f>
        <v>46043</v>
      </c>
      <c r="C27" s="26" t="str">
        <f>[1]January_2026!$D31</f>
        <v>SODA WATER</v>
      </c>
      <c r="D27" s="27"/>
      <c r="E27" s="28">
        <f>[2]Jan!$J92</f>
        <v>1.1111111111111112</v>
      </c>
      <c r="F27" s="29">
        <f>[1]January_2026!$J31</f>
        <v>27.522000000000002</v>
      </c>
      <c r="G27" s="30">
        <f>[1]January_2026!$G31</f>
        <v>417</v>
      </c>
      <c r="H27" s="29">
        <f>[1]January_2026!$K31</f>
        <v>27.522000000000002</v>
      </c>
      <c r="I27" s="31">
        <f>[1]January_2026!$N31</f>
        <v>6</v>
      </c>
      <c r="J27" s="32">
        <f>[1]January_2026!$Q31</f>
        <v>17.375</v>
      </c>
      <c r="K27" s="32">
        <f>[1]January_2026!$F31</f>
        <v>62</v>
      </c>
      <c r="L27" s="1134">
        <f>[1]January_2026!$E31</f>
        <v>1440</v>
      </c>
      <c r="M27" s="28">
        <f>[2]Jan!$J92</f>
        <v>1.1111111111111112</v>
      </c>
      <c r="N27" s="32">
        <f>[1]January_2026!$M31</f>
        <v>199</v>
      </c>
      <c r="O27" s="406">
        <f>[2]Jan!$I31</f>
        <v>184</v>
      </c>
      <c r="P27" s="32">
        <f>[1]January_2026!$I31</f>
        <v>0</v>
      </c>
      <c r="Q27" s="608">
        <f>[1]January_2026!$P31</f>
        <v>0</v>
      </c>
      <c r="R27" s="995">
        <f>($G27+G28+G29+G30)/(($L27/60)*AC$3*(1/24))</f>
        <v>0.20794117647058824</v>
      </c>
      <c r="S27" s="652">
        <f t="shared" si="2"/>
        <v>0.56971537001897532</v>
      </c>
      <c r="T27" s="995">
        <f>(1448-((N27+N28+N29+N30)-[2]Jan!$I$31-[2]Jan!$I$32-[2]Jan!$I$33-[2]Jan!$I$34-[2]Jan!$M$31-[2]Jan!$M$33-[2]Jan!$M$34-[2]Jan!$Z$32-[2]Jan!$Z$33-[2]Jan!$AA$33-[2]Jan!$AB$33-[2]Jan!$AB$32))/1448</f>
        <v>0.74861878453038677</v>
      </c>
      <c r="U27" s="1002" t="s">
        <v>987</v>
      </c>
      <c r="V27" s="1002"/>
      <c r="W27" s="1002"/>
      <c r="X27" s="1002"/>
      <c r="Y27" s="1002"/>
      <c r="Z27" s="1002"/>
      <c r="AA27" s="1003"/>
    </row>
    <row r="28" spans="2:27" s="19" customFormat="1" ht="83.25" customHeight="1" thickBot="1" x14ac:dyDescent="0.25">
      <c r="B28" s="580">
        <f>[1]January_2026!$B32</f>
        <v>46043</v>
      </c>
      <c r="C28" s="26" t="str">
        <f>[1]January_2026!$D32</f>
        <v>KOLA CHAMP J.COOL</v>
      </c>
      <c r="D28" s="27">
        <v>1400</v>
      </c>
      <c r="E28" s="28">
        <f>[2]Jan!$J93</f>
        <v>1.1701388888888888</v>
      </c>
      <c r="F28" s="29">
        <f>[1]January_2026!$J32</f>
        <v>92.4</v>
      </c>
      <c r="G28" s="30">
        <f>[1]January_2026!$G32</f>
        <v>1335</v>
      </c>
      <c r="H28" s="29">
        <f>[1]January_2026!$K32</f>
        <v>88.11</v>
      </c>
      <c r="I28" s="31">
        <f>[1]January_2026!$N32</f>
        <v>14</v>
      </c>
      <c r="J28" s="32">
        <f>[1]January_2026!$Q32</f>
        <v>55.625</v>
      </c>
      <c r="K28" s="32">
        <f>[1]January_2026!$F32</f>
        <v>665</v>
      </c>
      <c r="L28" s="1136"/>
      <c r="M28" s="28">
        <f>[2]Jan!$J93</f>
        <v>1.1701388888888888</v>
      </c>
      <c r="N28" s="32">
        <f>[1]January_2026!$M32</f>
        <v>293</v>
      </c>
      <c r="O28" s="406">
        <f>[2]Jan!$I32</f>
        <v>12</v>
      </c>
      <c r="P28" s="32">
        <f>[1]January_2026!$I32</f>
        <v>0</v>
      </c>
      <c r="Q28" s="608">
        <f>[1]January_2026!$P32</f>
        <v>4.6428571428571495</v>
      </c>
      <c r="R28" s="996"/>
      <c r="S28" s="652">
        <f t="shared" si="2"/>
        <v>0.17004865103936309</v>
      </c>
      <c r="T28" s="996"/>
      <c r="U28" s="1002" t="s">
        <v>989</v>
      </c>
      <c r="V28" s="1002"/>
      <c r="W28" s="1002"/>
      <c r="X28" s="1002"/>
      <c r="Y28" s="1002"/>
      <c r="Z28" s="1002"/>
      <c r="AA28" s="1003"/>
    </row>
    <row r="29" spans="2:27" s="19" customFormat="1" ht="124.5" customHeight="1" thickBot="1" x14ac:dyDescent="0.25">
      <c r="B29" s="580">
        <f>[1]January_2026!$B33</f>
        <v>46043</v>
      </c>
      <c r="C29" s="26" t="str">
        <f>[1]January_2026!$D33</f>
        <v xml:space="preserve">CREAM SODA </v>
      </c>
      <c r="D29" s="27">
        <v>1400</v>
      </c>
      <c r="E29" s="28">
        <f>[2]Jan!$J94</f>
        <v>1.5722222222222222</v>
      </c>
      <c r="F29" s="29">
        <f>[1]January_2026!$J33</f>
        <v>92.4</v>
      </c>
      <c r="G29" s="30">
        <f>[1]January_2026!$G33</f>
        <v>1328</v>
      </c>
      <c r="H29" s="29">
        <f>[1]January_2026!$K33</f>
        <v>87.64800000000001</v>
      </c>
      <c r="I29" s="31">
        <f>[1]January_2026!$N33</f>
        <v>10</v>
      </c>
      <c r="J29" s="32">
        <f>[1]January_2026!$Q33</f>
        <v>55.333333333333336</v>
      </c>
      <c r="K29" s="32">
        <f>[1]January_2026!$F33</f>
        <v>311</v>
      </c>
      <c r="L29" s="1136"/>
      <c r="M29" s="28">
        <f>[2]Jan!$J94</f>
        <v>1.5722222222222222</v>
      </c>
      <c r="N29" s="32">
        <f>[1]January_2026!$M33</f>
        <v>224</v>
      </c>
      <c r="O29" s="406">
        <f>[2]Jan!$I33</f>
        <v>31</v>
      </c>
      <c r="P29" s="32">
        <f>[1]January_2026!$I33</f>
        <v>0</v>
      </c>
      <c r="Q29" s="608">
        <f>[1]January_2026!$P33</f>
        <v>5.142857142857137</v>
      </c>
      <c r="R29" s="996"/>
      <c r="S29" s="652">
        <f t="shared" si="2"/>
        <v>0.36170228863249482</v>
      </c>
      <c r="T29" s="996"/>
      <c r="U29" s="1002" t="s">
        <v>990</v>
      </c>
      <c r="V29" s="1002"/>
      <c r="W29" s="1002"/>
      <c r="X29" s="1002"/>
      <c r="Y29" s="1002"/>
      <c r="Z29" s="1002"/>
      <c r="AA29" s="1003"/>
    </row>
    <row r="30" spans="2:27" s="19" customFormat="1" ht="37.5" customHeight="1" thickBot="1" x14ac:dyDescent="0.25">
      <c r="B30" s="580">
        <f>[1]January_2026!$B34</f>
        <v>46043</v>
      </c>
      <c r="C30" s="26" t="str">
        <f>[1]January_2026!$D34</f>
        <v>BANANA</v>
      </c>
      <c r="D30" s="27">
        <v>700</v>
      </c>
      <c r="E30" s="28">
        <f>[2]Jan!$J95</f>
        <v>1.8784722222222223</v>
      </c>
      <c r="F30" s="29">
        <f>[1]January_2026!$J34</f>
        <v>33</v>
      </c>
      <c r="G30" s="30">
        <f>[1]January_2026!$G34</f>
        <v>455</v>
      </c>
      <c r="H30" s="29">
        <f>[1]January_2026!$K34</f>
        <v>30.03</v>
      </c>
      <c r="I30" s="31">
        <f>[1]January_2026!$N34</f>
        <v>16</v>
      </c>
      <c r="J30" s="32">
        <f>[1]January_2026!$Q34</f>
        <v>18.958333333333332</v>
      </c>
      <c r="K30" s="32">
        <f>[1]January_2026!$F34</f>
        <v>175</v>
      </c>
      <c r="L30" s="1135"/>
      <c r="M30" s="28">
        <f>[2]Jan!$J95</f>
        <v>1.8784722222222223</v>
      </c>
      <c r="N30" s="32">
        <f>[1]January_2026!$M34</f>
        <v>147</v>
      </c>
      <c r="O30" s="406">
        <f>[2]Jan!$I34</f>
        <v>62</v>
      </c>
      <c r="P30" s="32">
        <f>[1]January_2026!$I34</f>
        <v>0</v>
      </c>
      <c r="Q30" s="608">
        <f>[1]January_2026!$P34</f>
        <v>8.9999999999999964</v>
      </c>
      <c r="R30" s="1020"/>
      <c r="S30" s="652">
        <f t="shared" si="2"/>
        <v>0.22023529411764706</v>
      </c>
      <c r="T30" s="1020"/>
      <c r="U30" s="1002" t="s">
        <v>988</v>
      </c>
      <c r="V30" s="1002"/>
      <c r="W30" s="1002"/>
      <c r="X30" s="1002"/>
      <c r="Y30" s="1002"/>
      <c r="Z30" s="1002"/>
      <c r="AA30" s="1003"/>
    </row>
    <row r="31" spans="2:27" s="888" customFormat="1" ht="54" customHeight="1" thickBot="1" x14ac:dyDescent="0.25">
      <c r="B31" s="877">
        <f>[1]January_2026!$B35</f>
        <v>46044</v>
      </c>
      <c r="C31" s="878" t="str">
        <f>[1]January_2026!$D35</f>
        <v>NO PRODUCTION- LOW WATER PRESSURE</v>
      </c>
      <c r="D31" s="879"/>
      <c r="E31" s="880">
        <f>[2]Jan!$J96</f>
        <v>0</v>
      </c>
      <c r="F31" s="881">
        <f>[1]January_2026!$J35</f>
        <v>0</v>
      </c>
      <c r="G31" s="882">
        <f>[1]January_2026!$G35</f>
        <v>0</v>
      </c>
      <c r="H31" s="881">
        <f>[1]January_2026!$K35</f>
        <v>0</v>
      </c>
      <c r="I31" s="883">
        <f>[1]January_2026!$N35</f>
        <v>0</v>
      </c>
      <c r="J31" s="884"/>
      <c r="K31" s="884">
        <f>[1]January_2026!$F35</f>
        <v>0</v>
      </c>
      <c r="L31" s="885"/>
      <c r="M31" s="880">
        <f>[2]Jan!$J96</f>
        <v>0</v>
      </c>
      <c r="N31" s="884">
        <f>[1]January_2026!$M35</f>
        <v>1440</v>
      </c>
      <c r="O31" s="886">
        <f>[2]Jan!$I35</f>
        <v>0</v>
      </c>
      <c r="P31" s="884">
        <f>[1]January_2026!$I35</f>
        <v>0</v>
      </c>
      <c r="Q31" s="889"/>
      <c r="R31" s="887"/>
      <c r="S31" s="890"/>
      <c r="T31" s="887"/>
      <c r="U31" s="1137" t="s">
        <v>991</v>
      </c>
      <c r="V31" s="1137"/>
      <c r="W31" s="1137"/>
      <c r="X31" s="1137"/>
      <c r="Y31" s="1137"/>
      <c r="Z31" s="1137"/>
      <c r="AA31" s="1138"/>
    </row>
    <row r="32" spans="2:27" s="19" customFormat="1" ht="39.75" customHeight="1" thickBot="1" x14ac:dyDescent="0.25">
      <c r="B32" s="580">
        <f>[1]January_2026!$B36</f>
        <v>46045</v>
      </c>
      <c r="C32" s="26" t="str">
        <f>[1]January_2026!$D36</f>
        <v>BANANA J.COOL</v>
      </c>
      <c r="D32" s="27">
        <v>245</v>
      </c>
      <c r="E32" s="28">
        <f>[2]Jan!$J97</f>
        <v>1.2763888888888888</v>
      </c>
      <c r="F32" s="29">
        <f>[1]January_2026!$J36</f>
        <v>13.200000000000001</v>
      </c>
      <c r="G32" s="30">
        <f>[1]January_2026!$G36</f>
        <v>13</v>
      </c>
      <c r="H32" s="29">
        <f>[1]January_2026!$K36</f>
        <v>0.8580000000000001</v>
      </c>
      <c r="I32" s="31">
        <f>[1]January_2026!$N36</f>
        <v>12</v>
      </c>
      <c r="J32" s="32">
        <f>[1]January_2026!$Q36</f>
        <v>0.63882063882063878</v>
      </c>
      <c r="K32" s="32">
        <f>[1]January_2026!$F36</f>
        <v>6</v>
      </c>
      <c r="L32" s="1134">
        <f>[1]January_2026!$E36</f>
        <v>1221</v>
      </c>
      <c r="M32" s="28">
        <f>[2]Jan!$J97</f>
        <v>1.2763888888888888</v>
      </c>
      <c r="N32" s="32">
        <f>[1]January_2026!$M36</f>
        <v>398</v>
      </c>
      <c r="O32" s="406">
        <f>[2]Jan!$I36</f>
        <v>0</v>
      </c>
      <c r="P32" s="32">
        <f>[1]January_2026!$I36</f>
        <v>0</v>
      </c>
      <c r="Q32" s="608">
        <f>[1]January_2026!$P36</f>
        <v>93.5</v>
      </c>
      <c r="R32" s="995">
        <f>($G32+G33+G34+G35)/(($L32/60)*AC$3*(1/24))</f>
        <v>0.19681456857927448</v>
      </c>
      <c r="S32" s="652">
        <f t="shared" si="2"/>
        <v>0.18352941176470589</v>
      </c>
      <c r="T32" s="995">
        <f>(1267-((N32+N33+N34+N35)-[2]Jan!$J$36-[2]Jan!$I$37-[2]Jan!$J$37-[2]Jan!$I$38-[2]Jan!$I$39-[2]Jan!$L$38-[2]Jan!$M$36-[2]Jan!$Z$36-[2]Jan!$Z$38-[2]Jan!$Z$39-[2]Jan!$AB$37-[2]Jan!$AB$38))/1267</f>
        <v>0.92028413575374901</v>
      </c>
      <c r="U32" s="1002" t="s">
        <v>993</v>
      </c>
      <c r="V32" s="1002"/>
      <c r="W32" s="1002"/>
      <c r="X32" s="1002"/>
      <c r="Y32" s="1002"/>
      <c r="Z32" s="1002"/>
      <c r="AA32" s="1003"/>
    </row>
    <row r="33" spans="1:27" s="19" customFormat="1" ht="84" customHeight="1" thickBot="1" x14ac:dyDescent="0.25">
      <c r="B33" s="580">
        <f>[1]January_2026!$B37</f>
        <v>46045</v>
      </c>
      <c r="C33" s="26" t="str">
        <f>[1]January_2026!$D37</f>
        <v>j COOL GINGER</v>
      </c>
      <c r="D33" s="27">
        <v>1400</v>
      </c>
      <c r="E33" s="28">
        <f>[2]Jan!$J98</f>
        <v>1.3111111111111111</v>
      </c>
      <c r="F33" s="29">
        <f>[1]January_2026!$J37</f>
        <v>92.4</v>
      </c>
      <c r="G33" s="30">
        <f>[1]January_2026!$G37</f>
        <v>1389</v>
      </c>
      <c r="H33" s="29">
        <f>[1]January_2026!$K37</f>
        <v>91.674000000000007</v>
      </c>
      <c r="I33" s="31">
        <f>[1]January_2026!$N37</f>
        <v>1</v>
      </c>
      <c r="J33" s="32">
        <f>[1]January_2026!$Q37</f>
        <v>68.255528255528247</v>
      </c>
      <c r="K33" s="32">
        <f>[1]January_2026!$F37</f>
        <v>303</v>
      </c>
      <c r="L33" s="1136"/>
      <c r="M33" s="28">
        <f>[2]Jan!$J98</f>
        <v>1.3111111111111111</v>
      </c>
      <c r="N33" s="32">
        <f>[1]January_2026!$M37</f>
        <v>234</v>
      </c>
      <c r="O33" s="406">
        <f>[2]Jan!$I37</f>
        <v>20</v>
      </c>
      <c r="P33" s="32">
        <f>[1]January_2026!$I37</f>
        <v>0</v>
      </c>
      <c r="Q33" s="608">
        <f>[1]January_2026!$P37</f>
        <v>0.7857142857142847</v>
      </c>
      <c r="R33" s="996"/>
      <c r="S33" s="652">
        <f t="shared" si="2"/>
        <v>0.38830518345952242</v>
      </c>
      <c r="T33" s="996"/>
      <c r="U33" s="1002" t="s">
        <v>994</v>
      </c>
      <c r="V33" s="1002"/>
      <c r="W33" s="1002"/>
      <c r="X33" s="1002"/>
      <c r="Y33" s="1002"/>
      <c r="Z33" s="1002"/>
      <c r="AA33" s="1003"/>
    </row>
    <row r="34" spans="1:27" s="19" customFormat="1" ht="65.25" customHeight="1" thickBot="1" x14ac:dyDescent="0.25">
      <c r="B34" s="580">
        <f>[1]January_2026!$B38</f>
        <v>46045</v>
      </c>
      <c r="C34" s="26" t="str">
        <f>[1]January_2026!$D38</f>
        <v xml:space="preserve">J COOL GRAPE </v>
      </c>
      <c r="D34" s="27">
        <v>700</v>
      </c>
      <c r="E34" s="28">
        <f>[2]Jan!$J99</f>
        <v>1.6347222222222222</v>
      </c>
      <c r="F34" s="29">
        <f>[1]January_2026!$J38</f>
        <v>52.800000000000004</v>
      </c>
      <c r="G34" s="30">
        <f>[1]January_2026!$G38</f>
        <v>798</v>
      </c>
      <c r="H34" s="29">
        <f>[1]January_2026!$K38</f>
        <v>52.667999999999999</v>
      </c>
      <c r="I34" s="31">
        <f>[1]January_2026!$N38</f>
        <v>6</v>
      </c>
      <c r="J34" s="32">
        <f>[1]January_2026!$Q38</f>
        <v>39.213759213759211</v>
      </c>
      <c r="K34" s="32">
        <f>[1]January_2026!$F38</f>
        <v>170</v>
      </c>
      <c r="L34" s="1136"/>
      <c r="M34" s="28">
        <f>[2]Jan!$J99</f>
        <v>1.6347222222222222</v>
      </c>
      <c r="N34" s="32">
        <f>[1]January_2026!$M38</f>
        <v>73</v>
      </c>
      <c r="O34" s="406">
        <f>[2]Jan!$I38</f>
        <v>29</v>
      </c>
      <c r="P34" s="32">
        <f>[1]January_2026!$I38</f>
        <v>0</v>
      </c>
      <c r="Q34" s="608">
        <f>[1]January_2026!$P38</f>
        <v>0.25000000000000944</v>
      </c>
      <c r="R34" s="996"/>
      <c r="S34" s="652">
        <f t="shared" si="2"/>
        <v>0.39761937716262974</v>
      </c>
      <c r="T34" s="996"/>
      <c r="U34" s="1002" t="s">
        <v>995</v>
      </c>
      <c r="V34" s="1002"/>
      <c r="W34" s="1002"/>
      <c r="X34" s="1002"/>
      <c r="Y34" s="1002"/>
      <c r="Z34" s="1002"/>
      <c r="AA34" s="1003"/>
    </row>
    <row r="35" spans="1:27" s="19" customFormat="1" ht="42.75" customHeight="1" thickBot="1" x14ac:dyDescent="0.25">
      <c r="B35" s="580">
        <f>[1]January_2026!$B39</f>
        <v>46045</v>
      </c>
      <c r="C35" s="26" t="str">
        <f>[1]January_2026!$D39</f>
        <v>J COOL SORREL</v>
      </c>
      <c r="D35" s="27">
        <v>1400</v>
      </c>
      <c r="E35" s="28">
        <f>[2]Jan!$J100</f>
        <v>1.7826388888888889</v>
      </c>
      <c r="F35" s="29">
        <f>[1]January_2026!$J39</f>
        <v>46.2</v>
      </c>
      <c r="G35" s="30">
        <f>[1]January_2026!$G39</f>
        <v>637</v>
      </c>
      <c r="H35" s="29">
        <f>[1]January_2026!$K39</f>
        <v>42.042000000000002</v>
      </c>
      <c r="I35" s="31">
        <f>[1]January_2026!$N39</f>
        <v>2</v>
      </c>
      <c r="J35" s="32">
        <f>[1]January_2026!$Q39</f>
        <v>31.302211302211301</v>
      </c>
      <c r="K35" s="32">
        <f>[1]January_2026!$F39</f>
        <v>94</v>
      </c>
      <c r="L35" s="1135"/>
      <c r="M35" s="28">
        <f>[2]Jan!$J100</f>
        <v>1.7826388888888889</v>
      </c>
      <c r="N35" s="32">
        <f>[1]January_2026!$M39</f>
        <v>29</v>
      </c>
      <c r="O35" s="406">
        <f>[2]Jan!$I39</f>
        <v>21</v>
      </c>
      <c r="P35" s="32">
        <f>[1]January_2026!$I39</f>
        <v>0</v>
      </c>
      <c r="Q35" s="608">
        <f>[1]January_2026!$P39</f>
        <v>9.0000000000000018</v>
      </c>
      <c r="R35" s="1020"/>
      <c r="S35" s="652">
        <f t="shared" si="2"/>
        <v>0.57401752190237798</v>
      </c>
      <c r="T35" s="1020"/>
      <c r="U35" s="1002" t="s">
        <v>992</v>
      </c>
      <c r="V35" s="1002"/>
      <c r="W35" s="1002"/>
      <c r="X35" s="1002"/>
      <c r="Y35" s="1002"/>
      <c r="Z35" s="1002"/>
      <c r="AA35" s="1003"/>
    </row>
    <row r="36" spans="1:27" s="19" customFormat="1" ht="40.5" customHeight="1" thickBot="1" x14ac:dyDescent="0.25">
      <c r="B36" s="580">
        <f>[1]January_2026!$B40</f>
        <v>46048</v>
      </c>
      <c r="C36" s="26" t="str">
        <f>[1]January_2026!$D40</f>
        <v>J COOL SORREL</v>
      </c>
      <c r="D36" s="27"/>
      <c r="E36" s="28">
        <f>[2]Jan!$J101</f>
        <v>1.0729166666666667</v>
      </c>
      <c r="F36" s="29">
        <f>[1]January_2026!$J40</f>
        <v>46.2</v>
      </c>
      <c r="G36" s="30">
        <f>[1]January_2026!$G40</f>
        <v>586</v>
      </c>
      <c r="H36" s="29">
        <f>[1]January_2026!$K40</f>
        <v>38.676000000000002</v>
      </c>
      <c r="I36" s="31">
        <f>[1]January_2026!$N40</f>
        <v>14</v>
      </c>
      <c r="J36" s="32">
        <f>[1]January_2026!$Q40</f>
        <v>28.796068796068795</v>
      </c>
      <c r="K36" s="32">
        <f>[1]January_2026!$F40</f>
        <v>91</v>
      </c>
      <c r="L36" s="1134">
        <f>[1]January_2026!$E40</f>
        <v>1380</v>
      </c>
      <c r="M36" s="28">
        <f>[2]Jan!$J101</f>
        <v>1.0729166666666667</v>
      </c>
      <c r="N36" s="32">
        <f>[1]January_2026!$M40</f>
        <v>49</v>
      </c>
      <c r="O36" s="406">
        <f>[2]Jan!$I40</f>
        <v>0</v>
      </c>
      <c r="P36" s="32">
        <f>[1]January_2026!$I40</f>
        <v>0</v>
      </c>
      <c r="Q36" s="608">
        <f>[1]January_2026!$P40</f>
        <v>16.285714285714288</v>
      </c>
      <c r="R36" s="995">
        <f>($G36+G37)/(($L36/60)*AC$3*(1/24))</f>
        <v>0.14891048593350384</v>
      </c>
      <c r="S36" s="652">
        <f t="shared" si="2"/>
        <v>0.5454686489980608</v>
      </c>
      <c r="T36" s="995">
        <f>(1480-((N36+N37)-[2]Jan!$I$41-[2]Jan!$Z$40))/1480</f>
        <v>0.37364864864864866</v>
      </c>
      <c r="U36" s="1002" t="s">
        <v>996</v>
      </c>
      <c r="V36" s="1002"/>
      <c r="W36" s="1002"/>
      <c r="X36" s="1002"/>
      <c r="Y36" s="1002"/>
      <c r="Z36" s="1002"/>
      <c r="AA36" s="1003"/>
    </row>
    <row r="37" spans="1:27" s="19" customFormat="1" ht="88.5" customHeight="1" thickBot="1" x14ac:dyDescent="0.25">
      <c r="B37" s="580">
        <f>[1]January_2026!$B41</f>
        <v>46048</v>
      </c>
      <c r="C37" s="26" t="str">
        <f>[1]January_2026!$D41</f>
        <v>CARIB AMBER</v>
      </c>
      <c r="D37" s="27">
        <v>1800</v>
      </c>
      <c r="E37" s="28">
        <f>[2]Jan!$J102</f>
        <v>1.2256944444444444</v>
      </c>
      <c r="F37" s="29">
        <f>[1]January_2026!$J41</f>
        <v>129.19999999999999</v>
      </c>
      <c r="G37" s="30">
        <f>[1]January_2026!$G41</f>
        <v>1840</v>
      </c>
      <c r="H37" s="29">
        <f>[1]January_2026!$K41</f>
        <v>121.44000000000001</v>
      </c>
      <c r="I37" s="31">
        <f>[1]January_2026!$N41</f>
        <v>1</v>
      </c>
      <c r="J37" s="32">
        <f>[1]January_2026!$Q41</f>
        <v>80</v>
      </c>
      <c r="K37" s="32">
        <f>[1]January_2026!$F41</f>
        <v>1115</v>
      </c>
      <c r="L37" s="1135"/>
      <c r="M37" s="28">
        <f>[2]Jan!$J102</f>
        <v>1.2256944444444444</v>
      </c>
      <c r="N37" s="32">
        <f>[1]January_2026!$M41</f>
        <v>955</v>
      </c>
      <c r="O37" s="406">
        <f>[2]Jan!$I41</f>
        <v>32</v>
      </c>
      <c r="P37" s="32">
        <f>[1]January_2026!$I41</f>
        <v>0</v>
      </c>
      <c r="Q37" s="608">
        <f>[1]January_2026!$P41</f>
        <v>6.0061919504643786</v>
      </c>
      <c r="R37" s="996"/>
      <c r="S37" s="652">
        <f t="shared" si="2"/>
        <v>0.13978369823265629</v>
      </c>
      <c r="T37" s="1020"/>
      <c r="U37" s="1002" t="s">
        <v>997</v>
      </c>
      <c r="V37" s="1002"/>
      <c r="W37" s="1002"/>
      <c r="X37" s="1002"/>
      <c r="Y37" s="1002"/>
      <c r="Z37" s="1002"/>
      <c r="AA37" s="1003"/>
    </row>
    <row r="38" spans="1:27" s="19" customFormat="1" ht="141.75" customHeight="1" thickBot="1" x14ac:dyDescent="0.25">
      <c r="A38" s="19" t="s">
        <v>845</v>
      </c>
      <c r="B38" s="580">
        <f>[1]January_2026!$B42</f>
        <v>46049</v>
      </c>
      <c r="C38" s="26" t="str">
        <f>[1]January_2026!$D42</f>
        <v>CARIB AMBER</v>
      </c>
      <c r="D38" s="27">
        <v>6560</v>
      </c>
      <c r="E38" s="28">
        <f>[2]Jan!$J103</f>
        <v>1.0034722222222223</v>
      </c>
      <c r="F38" s="29">
        <f>[1]January_2026!$J42</f>
        <v>449.90000000000003</v>
      </c>
      <c r="G38" s="30">
        <f>[1]January_2026!$G42</f>
        <v>6773</v>
      </c>
      <c r="H38" s="29">
        <f>[1]January_2026!$K42</f>
        <v>447.01800000000003</v>
      </c>
      <c r="I38" s="31">
        <f>[1]January_2026!$N42</f>
        <v>6</v>
      </c>
      <c r="J38" s="32">
        <f>[1]January_2026!$Q42</f>
        <v>294.47826086956519</v>
      </c>
      <c r="K38" s="32">
        <f>[1]January_2026!$F42</f>
        <v>967</v>
      </c>
      <c r="L38" s="1134">
        <f>[1]January_2026!$E42</f>
        <v>1435</v>
      </c>
      <c r="M38" s="28">
        <f>[2]Jan!$J103</f>
        <v>1.0034722222222223</v>
      </c>
      <c r="N38" s="32">
        <f>[1]January_2026!$M42</f>
        <v>189</v>
      </c>
      <c r="O38" s="406">
        <f>[2]Jan!$I42</f>
        <v>0</v>
      </c>
      <c r="P38" s="32">
        <f>[1]January_2026!$I42</f>
        <v>0</v>
      </c>
      <c r="Q38" s="608">
        <f>[1]January_2026!$P42</f>
        <v>0.64058679706601573</v>
      </c>
      <c r="R38" s="995">
        <f>($G38+G39)/(($L38/60)*AC$3*(1/24))</f>
        <v>0.45487353965976635</v>
      </c>
      <c r="S38" s="652">
        <f t="shared" si="2"/>
        <v>0.59329156274712569</v>
      </c>
      <c r="T38" s="995">
        <f>(1482-((N38+N39)-[2]Jan!$AB$43-[2]Jan!$AB$42-[2]Jan!$Z$42-[2]Jan!$Z$43-[2]Jan!$J$43-[2]Jan!$I$43))/1482</f>
        <v>0.87854251012145745</v>
      </c>
      <c r="U38" s="1002" t="s">
        <v>998</v>
      </c>
      <c r="V38" s="1002"/>
      <c r="W38" s="1002"/>
      <c r="X38" s="1002"/>
      <c r="Y38" s="1002"/>
      <c r="Z38" s="1002"/>
      <c r="AA38" s="1003"/>
    </row>
    <row r="39" spans="1:27" s="19" customFormat="1" ht="62.45" customHeight="1" thickBot="1" x14ac:dyDescent="0.25">
      <c r="B39" s="580">
        <f>[1]January_2026!$B43</f>
        <v>46049</v>
      </c>
      <c r="C39" s="26" t="str">
        <f>[1]January_2026!$D43</f>
        <v>CIDER PEARSECCO (EXPORT)</v>
      </c>
      <c r="D39" s="27">
        <v>2200</v>
      </c>
      <c r="E39" s="28">
        <f>[2]Jan!$J104</f>
        <v>1.84375</v>
      </c>
      <c r="F39" s="29">
        <f>[1]January_2026!$J43</f>
        <v>68.599999999999994</v>
      </c>
      <c r="G39" s="30">
        <f>[1]January_2026!$G43</f>
        <v>933</v>
      </c>
      <c r="H39" s="29">
        <f>[1]January_2026!$K43</f>
        <v>61.578000000000003</v>
      </c>
      <c r="I39" s="31">
        <f>[1]January_2026!$N43</f>
        <v>4</v>
      </c>
      <c r="J39" s="32">
        <f>[1]January_2026!$Q43</f>
        <v>40.565217391304351</v>
      </c>
      <c r="K39" s="32">
        <f>[1]January_2026!$F43</f>
        <v>207</v>
      </c>
      <c r="L39" s="1135"/>
      <c r="M39" s="28">
        <f>[2]Jan!$J104</f>
        <v>1.84375</v>
      </c>
      <c r="N39" s="32">
        <f>[1]January_2026!$M43</f>
        <v>268</v>
      </c>
      <c r="O39" s="406">
        <f>[2]Jan!$I43</f>
        <v>60</v>
      </c>
      <c r="P39" s="32">
        <f>[1]January_2026!$I43</f>
        <v>0</v>
      </c>
      <c r="Q39" s="608">
        <f>[1]January_2026!$P43</f>
        <v>10.236151603498531</v>
      </c>
      <c r="R39" s="996"/>
      <c r="S39" s="652">
        <f>($G39)*24/(($K39)/60)/$AC$3</f>
        <v>0.38179028132992326</v>
      </c>
      <c r="T39" s="1020"/>
      <c r="U39" s="1002" t="s">
        <v>999</v>
      </c>
      <c r="V39" s="1002"/>
      <c r="W39" s="1002"/>
      <c r="X39" s="1002"/>
      <c r="Y39" s="1002"/>
      <c r="Z39" s="1002"/>
      <c r="AA39" s="1003"/>
    </row>
    <row r="40" spans="1:27" s="19" customFormat="1" ht="87.75" customHeight="1" thickBot="1" x14ac:dyDescent="0.25">
      <c r="B40" s="580">
        <f>[1]January_2026!$B44</f>
        <v>46050</v>
      </c>
      <c r="C40" s="26" t="str">
        <f>[1]January_2026!$D44</f>
        <v>CIDER PEARSECCO</v>
      </c>
      <c r="D40" s="27">
        <v>1267</v>
      </c>
      <c r="E40" s="28">
        <f>[2]Jan!$J105</f>
        <v>1.0034722222222223</v>
      </c>
      <c r="F40" s="29">
        <f>[1]January_2026!$J44</f>
        <v>119.4</v>
      </c>
      <c r="G40" s="30">
        <f>[1]January_2026!$G44</f>
        <v>1782</v>
      </c>
      <c r="H40" s="29">
        <f>[1]January_2026!$K44</f>
        <v>117.61200000000001</v>
      </c>
      <c r="I40" s="31">
        <f>[1]January_2026!$N44</f>
        <v>4</v>
      </c>
      <c r="J40" s="32">
        <f>[1]January_2026!$Q44</f>
        <v>72.145748987854248</v>
      </c>
      <c r="K40" s="32">
        <f>[1]January_2026!$F44</f>
        <v>400</v>
      </c>
      <c r="L40" s="1134">
        <f>[1]January_2026!$E44</f>
        <v>1482</v>
      </c>
      <c r="M40" s="28">
        <f>[2]Jan!$J105</f>
        <v>1.0034722222222223</v>
      </c>
      <c r="N40" s="32">
        <f>[1]January_2026!$M44</f>
        <v>121</v>
      </c>
      <c r="O40" s="406">
        <f>[2]Jan!$I44</f>
        <v>0</v>
      </c>
      <c r="P40" s="32">
        <f>[1]January_2026!$I44</f>
        <v>0</v>
      </c>
      <c r="Q40" s="608">
        <f>[1]January_2026!$P44</f>
        <v>1.4974874371859268</v>
      </c>
      <c r="R40" s="995">
        <f>($G40+G41+G42+G43)/(($L40/60)*AC$3*(1/24))</f>
        <v>0.35431293165039296</v>
      </c>
      <c r="S40" s="652">
        <f t="shared" ref="S40" si="3">($G40)*24/(($K40)/60)/$AC$3</f>
        <v>0.37736470588235294</v>
      </c>
      <c r="T40" s="995">
        <f>(1482-((N40+N41+N42+N43)-[2]Jan!$AB$45-[2]Jan!$AB$46-[2]Jan!$Z$45-[2]Jan!$I$45-[2]Jan!$H$45-[2]Jan!$H$46-[2]Jan!$I$46))/1482</f>
        <v>0.80296896086369773</v>
      </c>
      <c r="U40" s="1002" t="s">
        <v>1001</v>
      </c>
      <c r="V40" s="1002"/>
      <c r="W40" s="1002"/>
      <c r="X40" s="1002"/>
      <c r="Y40" s="1002"/>
      <c r="Z40" s="1002"/>
      <c r="AA40" s="1003"/>
    </row>
    <row r="41" spans="1:27" s="19" customFormat="1" ht="57.75" customHeight="1" x14ac:dyDescent="0.2">
      <c r="B41" s="580">
        <f>[1]January_2026!$B45</f>
        <v>46050</v>
      </c>
      <c r="C41" s="26" t="str">
        <f>[1]January_2026!$D45</f>
        <v>CIDER ROSE (EXPORT)</v>
      </c>
      <c r="D41" s="27">
        <v>600</v>
      </c>
      <c r="E41" s="1051">
        <f>[2]Jan!$J106</f>
        <v>1.2965277777777777</v>
      </c>
      <c r="F41" s="989">
        <f>[1]January_2026!$J45</f>
        <v>197.10000000000002</v>
      </c>
      <c r="G41" s="30">
        <f>[1]January_2026!$G45</f>
        <v>2284</v>
      </c>
      <c r="H41" s="989">
        <f>[1]January_2026!$K45</f>
        <v>190.34400000000002</v>
      </c>
      <c r="I41" s="1004">
        <f>[1]January_2026!$N45</f>
        <v>3</v>
      </c>
      <c r="J41" s="991">
        <f>[1]January_2026!$Q45</f>
        <v>92.469635627530366</v>
      </c>
      <c r="K41" s="991">
        <f>[1]January_2026!$F45</f>
        <v>530</v>
      </c>
      <c r="L41" s="1136"/>
      <c r="M41" s="1051">
        <f>[2]Jan!$J106</f>
        <v>1.2965277777777777</v>
      </c>
      <c r="N41" s="991">
        <f>[1]January_2026!$M45</f>
        <v>216</v>
      </c>
      <c r="O41" s="1008">
        <f>[2]Jan!$I45</f>
        <v>35</v>
      </c>
      <c r="P41" s="32">
        <f>[1]January_2026!$I45</f>
        <v>0</v>
      </c>
      <c r="Q41" s="1000">
        <f>[1]January_2026!$P45</f>
        <v>3.4277016742770163</v>
      </c>
      <c r="R41" s="996"/>
      <c r="S41" s="1006">
        <f>($G41+G42)*24/(($K41)/60)/$AC$3</f>
        <v>0.46092785793562707</v>
      </c>
      <c r="T41" s="996"/>
      <c r="U41" s="1029" t="s">
        <v>1002</v>
      </c>
      <c r="V41" s="1030"/>
      <c r="W41" s="1030"/>
      <c r="X41" s="1030"/>
      <c r="Y41" s="1030"/>
      <c r="Z41" s="1030"/>
      <c r="AA41" s="1031"/>
    </row>
    <row r="42" spans="1:27" s="19" customFormat="1" ht="87.75" customHeight="1" thickBot="1" x14ac:dyDescent="0.25">
      <c r="B42" s="580">
        <f>[1]January_2026!$B46</f>
        <v>46050</v>
      </c>
      <c r="C42" s="26" t="str">
        <f>[1]January_2026!$D46</f>
        <v>CIDER ROSE</v>
      </c>
      <c r="D42" s="27">
        <v>2200</v>
      </c>
      <c r="E42" s="1053"/>
      <c r="F42" s="990"/>
      <c r="G42" s="30">
        <f>[1]January_2026!$G46</f>
        <v>600</v>
      </c>
      <c r="H42" s="990"/>
      <c r="I42" s="1005"/>
      <c r="J42" s="992"/>
      <c r="K42" s="992"/>
      <c r="L42" s="1136"/>
      <c r="M42" s="1053"/>
      <c r="N42" s="992"/>
      <c r="O42" s="1009"/>
      <c r="P42" s="32">
        <f>[1]January_2026!$I46</f>
        <v>0</v>
      </c>
      <c r="Q42" s="1001"/>
      <c r="R42" s="996"/>
      <c r="S42" s="1007"/>
      <c r="T42" s="996"/>
      <c r="U42" s="1032"/>
      <c r="V42" s="1033"/>
      <c r="W42" s="1033"/>
      <c r="X42" s="1033"/>
      <c r="Y42" s="1033"/>
      <c r="Z42" s="1033"/>
      <c r="AA42" s="1034"/>
    </row>
    <row r="43" spans="1:27" s="19" customFormat="1" ht="66" customHeight="1" thickBot="1" x14ac:dyDescent="0.25">
      <c r="B43" s="580">
        <f>[1]January_2026!$B47</f>
        <v>46050</v>
      </c>
      <c r="C43" s="26" t="str">
        <f>[1]January_2026!$D47</f>
        <v>VITA MALT ( CLASSIC)</v>
      </c>
      <c r="D43" s="27">
        <v>3200</v>
      </c>
      <c r="E43" s="28">
        <f>[2]Jan!$J107</f>
        <v>1.7916666666666667</v>
      </c>
      <c r="F43" s="29">
        <f>[1]January_2026!$J47</f>
        <v>109.2</v>
      </c>
      <c r="G43" s="30">
        <f>[1]January_2026!$G47</f>
        <v>1533</v>
      </c>
      <c r="H43" s="29">
        <f>[1]January_2026!$K47</f>
        <v>108.5364</v>
      </c>
      <c r="I43" s="31">
        <f>[1]January_2026!$N47</f>
        <v>3</v>
      </c>
      <c r="J43" s="32">
        <f>[1]January_2026!$Q47</f>
        <v>62.064777327935225</v>
      </c>
      <c r="K43" s="32">
        <f>[1]January_2026!$F47</f>
        <v>296</v>
      </c>
      <c r="L43" s="1135"/>
      <c r="M43" s="28">
        <f>[2]Jan!$J107</f>
        <v>1.7916666666666667</v>
      </c>
      <c r="N43" s="32">
        <f>[1]January_2026!$M47</f>
        <v>173</v>
      </c>
      <c r="O43" s="406">
        <f>[2]Jan!$I46</f>
        <v>120</v>
      </c>
      <c r="P43" s="32">
        <f>[1]January_2026!$I47</f>
        <v>0</v>
      </c>
      <c r="Q43" s="608">
        <f>[1]January_2026!$P47</f>
        <v>0.60769230769230986</v>
      </c>
      <c r="R43" s="1020"/>
      <c r="S43" s="652">
        <f>($G43)*24/(($K43)/60)/$AC$3</f>
        <v>0.43869634340222574</v>
      </c>
      <c r="T43" s="1020"/>
      <c r="U43" s="1002" t="s">
        <v>1000</v>
      </c>
      <c r="V43" s="1002"/>
      <c r="W43" s="1002"/>
      <c r="X43" s="1002"/>
      <c r="Y43" s="1002"/>
      <c r="Z43" s="1002"/>
      <c r="AA43" s="1003"/>
    </row>
    <row r="44" spans="1:27" s="19" customFormat="1" ht="88.5" customHeight="1" thickBot="1" x14ac:dyDescent="0.25">
      <c r="B44" s="580">
        <f>[1]January_2026!$B48</f>
        <v>46051</v>
      </c>
      <c r="C44" s="26" t="str">
        <f>[1]January_2026!$D48</f>
        <v>VITA MALT ( CLASSIC)</v>
      </c>
      <c r="D44" s="27">
        <v>700</v>
      </c>
      <c r="E44" s="28">
        <f>[2]Jan!$J108</f>
        <v>1.0055555555555555</v>
      </c>
      <c r="F44" s="29">
        <f>[1]January_2026!$J48</f>
        <v>226.10000000000002</v>
      </c>
      <c r="G44" s="30">
        <f>[1]January_2026!$G48</f>
        <v>3171</v>
      </c>
      <c r="H44" s="29">
        <f>[1]January_2026!$K48</f>
        <v>224.5068</v>
      </c>
      <c r="I44" s="31">
        <f>[1]January_2026!$N48</f>
        <v>4</v>
      </c>
      <c r="J44" s="32">
        <f>[1]January_2026!$Q48</f>
        <v>132.8631284916201</v>
      </c>
      <c r="K44" s="32">
        <f>[1]January_2026!$F48</f>
        <v>495</v>
      </c>
      <c r="L44" s="1134">
        <f>[1]January_2026!$E48</f>
        <v>1432</v>
      </c>
      <c r="M44" s="28">
        <f>[2]Jan!$J108</f>
        <v>1.0055555555555555</v>
      </c>
      <c r="N44" s="32">
        <f>[1]January_2026!$M48</f>
        <v>78</v>
      </c>
      <c r="O44" s="406">
        <f>[2]Jan!$I47</f>
        <v>0</v>
      </c>
      <c r="P44" s="32">
        <f>[1]January_2026!$I48</f>
        <v>0</v>
      </c>
      <c r="Q44" s="608">
        <f>[1]January_2026!$P48</f>
        <v>0.70464396284830799</v>
      </c>
      <c r="R44" s="995">
        <f>($G44+G45+G46+G47)/(($L44/60)*AC$3*(1/24))</f>
        <v>0.42690108445612884</v>
      </c>
      <c r="S44" s="652">
        <f t="shared" ref="S44:S49" si="4">($G44)*24/(($K44)/60)/$AC$3</f>
        <v>0.54263101604278074</v>
      </c>
      <c r="T44" s="995">
        <f>(1487-((N44+N45+N46+N47)-[2]Jan!$J$47-[2]Jan!$I$48-[2]Jan!$H$49-[2]Jan!$I$49-[2]Jan!$I$50-[2]Jan!$Z$47-[2]Jan!$Z$49-[2]Jan!$AB$47-[2]Jan!$AB$48))/1487</f>
        <v>0.87827841291190312</v>
      </c>
      <c r="U44" s="1002" t="s">
        <v>1006</v>
      </c>
      <c r="V44" s="1002"/>
      <c r="W44" s="1002"/>
      <c r="X44" s="1002"/>
      <c r="Y44" s="1002"/>
      <c r="Z44" s="1002"/>
      <c r="AA44" s="1003"/>
    </row>
    <row r="45" spans="1:27" s="19" customFormat="1" ht="77.25" customHeight="1" thickBot="1" x14ac:dyDescent="0.25">
      <c r="B45" s="580">
        <f>[1]January_2026!$B49</f>
        <v>46051</v>
      </c>
      <c r="C45" s="26" t="str">
        <f>[1]January_2026!$D49</f>
        <v>VITA MALT (GINGER)</v>
      </c>
      <c r="D45" s="27">
        <v>3347</v>
      </c>
      <c r="E45" s="28">
        <f>[2]Jan!$J109</f>
        <v>1.375</v>
      </c>
      <c r="F45" s="29">
        <f>[1]January_2026!$J49</f>
        <v>50</v>
      </c>
      <c r="G45" s="30">
        <f>[1]January_2026!$G49</f>
        <v>701</v>
      </c>
      <c r="H45" s="29">
        <f>[1]January_2026!$K49</f>
        <v>49.630800000000001</v>
      </c>
      <c r="I45" s="31">
        <f>[1]January_2026!$N49</f>
        <v>5</v>
      </c>
      <c r="J45" s="32">
        <f>[1]January_2026!$Q49</f>
        <v>29.371508379888269</v>
      </c>
      <c r="K45" s="32">
        <f>[1]January_2026!$F49</f>
        <v>114</v>
      </c>
      <c r="L45" s="1136"/>
      <c r="M45" s="28">
        <f>[2]Jan!$J109</f>
        <v>1.375</v>
      </c>
      <c r="N45" s="32">
        <f>[1]January_2026!$M49</f>
        <v>24</v>
      </c>
      <c r="O45" s="406">
        <f>[2]Jan!$I48</f>
        <v>10</v>
      </c>
      <c r="P45" s="32">
        <f>[1]January_2026!$I49</f>
        <v>0</v>
      </c>
      <c r="Q45" s="608">
        <f>[1]January_2026!$P49</f>
        <v>0.73839999999999861</v>
      </c>
      <c r="R45" s="996"/>
      <c r="S45" s="652">
        <f t="shared" si="4"/>
        <v>0.52086687306501545</v>
      </c>
      <c r="T45" s="996"/>
      <c r="U45" s="1002" t="s">
        <v>1005</v>
      </c>
      <c r="V45" s="1002"/>
      <c r="W45" s="1002"/>
      <c r="X45" s="1002"/>
      <c r="Y45" s="1002"/>
      <c r="Z45" s="1002"/>
      <c r="AA45" s="1003"/>
    </row>
    <row r="46" spans="1:27" s="19" customFormat="1" ht="144" customHeight="1" thickBot="1" x14ac:dyDescent="0.25">
      <c r="B46" s="580">
        <f>[1]January_2026!$B50</f>
        <v>46051</v>
      </c>
      <c r="C46" s="26" t="str">
        <f>[1]January_2026!$D50</f>
        <v>GUINNESS</v>
      </c>
      <c r="D46" s="27">
        <v>2800</v>
      </c>
      <c r="E46" s="28">
        <f>[2]Jan!$J110</f>
        <v>1.5347222222222223</v>
      </c>
      <c r="F46" s="29">
        <f>[1]January_2026!$J50</f>
        <v>195.5</v>
      </c>
      <c r="G46" s="30">
        <f>[1]January_2026!$G50</f>
        <v>2956</v>
      </c>
      <c r="H46" s="29">
        <f>[1]January_2026!$K50</f>
        <v>195.096</v>
      </c>
      <c r="I46" s="31">
        <f>[1]January_2026!$N50</f>
        <v>12</v>
      </c>
      <c r="J46" s="32">
        <f>[1]January_2026!$Q50</f>
        <v>123.85474860335195</v>
      </c>
      <c r="K46" s="32">
        <f>[1]January_2026!$F50</f>
        <v>525</v>
      </c>
      <c r="L46" s="1136"/>
      <c r="M46" s="28">
        <f>[2]Jan!$J110</f>
        <v>1.5347222222222223</v>
      </c>
      <c r="N46" s="32">
        <f>[1]January_2026!$M50</f>
        <v>204</v>
      </c>
      <c r="O46" s="406">
        <f>[2]Jan!$I49</f>
        <v>29</v>
      </c>
      <c r="P46" s="32">
        <f>[1]January_2026!$I50</f>
        <v>0</v>
      </c>
      <c r="Q46" s="608">
        <f>[1]January_2026!$P50</f>
        <v>0.20664961636828461</v>
      </c>
      <c r="R46" s="996"/>
      <c r="S46" s="652">
        <f t="shared" si="4"/>
        <v>0.47693445378151261</v>
      </c>
      <c r="T46" s="996"/>
      <c r="U46" s="1002" t="s">
        <v>1004</v>
      </c>
      <c r="V46" s="1002"/>
      <c r="W46" s="1002"/>
      <c r="X46" s="1002"/>
      <c r="Y46" s="1002"/>
      <c r="Z46" s="1002"/>
      <c r="AA46" s="1003"/>
    </row>
    <row r="47" spans="1:27" s="19" customFormat="1" ht="52.5" customHeight="1" thickBot="1" x14ac:dyDescent="0.25">
      <c r="B47" s="580">
        <f>[1]January_2026!$B51</f>
        <v>46051</v>
      </c>
      <c r="C47" s="26" t="str">
        <f>[1]January_2026!$D51</f>
        <v>CARIB AMBER</v>
      </c>
      <c r="D47" s="27">
        <v>1400</v>
      </c>
      <c r="E47" s="28">
        <f>[2]Jan!$J111</f>
        <v>1.9583333333333333</v>
      </c>
      <c r="F47" s="29">
        <f>[1]January_2026!$J51</f>
        <v>26.500000000000014</v>
      </c>
      <c r="G47" s="30">
        <f>[1]January_2026!$G51</f>
        <v>389</v>
      </c>
      <c r="H47" s="29">
        <f>[1]January_2026!$K51</f>
        <v>25.673999999999999</v>
      </c>
      <c r="I47" s="31">
        <f>[1]January_2026!$N51</f>
        <v>0</v>
      </c>
      <c r="J47" s="32">
        <f>[1]January_2026!$Q51</f>
        <v>16.298882681564244</v>
      </c>
      <c r="K47" s="32">
        <f>[1]January_2026!$F51</f>
        <v>60</v>
      </c>
      <c r="L47" s="1135"/>
      <c r="M47" s="28">
        <f>[2]Jan!$J111</f>
        <v>1.9583333333333333</v>
      </c>
      <c r="N47" s="32">
        <f>[1]January_2026!$M51</f>
        <v>72</v>
      </c>
      <c r="O47" s="406">
        <f>[2]Jan!$I50</f>
        <v>25</v>
      </c>
      <c r="P47" s="32">
        <f>[1]January_2026!$I51</f>
        <v>0</v>
      </c>
      <c r="Q47" s="608">
        <f>[1]January_2026!$P51</f>
        <v>3.1169811320755256</v>
      </c>
      <c r="R47" s="1020"/>
      <c r="S47" s="652">
        <f t="shared" si="4"/>
        <v>0.54917647058823527</v>
      </c>
      <c r="T47" s="1020"/>
      <c r="U47" s="1002" t="s">
        <v>1003</v>
      </c>
      <c r="V47" s="1002"/>
      <c r="W47" s="1002"/>
      <c r="X47" s="1002"/>
      <c r="Y47" s="1002"/>
      <c r="Z47" s="1002"/>
      <c r="AA47" s="1003"/>
    </row>
    <row r="48" spans="1:27" s="19" customFormat="1" ht="54" customHeight="1" thickBot="1" x14ac:dyDescent="0.25">
      <c r="B48" s="580">
        <f>[1]January_2026!$B52</f>
        <v>46052</v>
      </c>
      <c r="C48" s="26" t="str">
        <f>[1]January_2026!$D52</f>
        <v>CARIB AMBER</v>
      </c>
      <c r="D48" s="27"/>
      <c r="E48" s="28">
        <f>[2]Jan!$J112</f>
        <v>1.0069444444444444</v>
      </c>
      <c r="F48" s="29">
        <f>[1]January_2026!$J52</f>
        <v>159.80000000000001</v>
      </c>
      <c r="G48" s="30">
        <f>[1]January_2026!$G52</f>
        <v>2367</v>
      </c>
      <c r="H48" s="29">
        <f>[1]January_2026!$K52</f>
        <v>156.22200000000001</v>
      </c>
      <c r="I48" s="31">
        <f>[1]January_2026!$N52</f>
        <v>6</v>
      </c>
      <c r="J48" s="32">
        <f>[1]January_2026!$Q52</f>
        <v>113.616</v>
      </c>
      <c r="K48" s="32">
        <f>[1]January_2026!$F52</f>
        <v>348</v>
      </c>
      <c r="L48" s="1134">
        <f>[1]January_2026!$E52</f>
        <v>1250</v>
      </c>
      <c r="M48" s="28">
        <f>[2]Jan!$J112</f>
        <v>1.0069444444444444</v>
      </c>
      <c r="N48" s="32">
        <f>[1]January_2026!$M52</f>
        <v>57</v>
      </c>
      <c r="O48" s="406">
        <f>[2]Jan!$I51</f>
        <v>0</v>
      </c>
      <c r="P48" s="32">
        <f>[1]January_2026!$I52</f>
        <v>0</v>
      </c>
      <c r="Q48" s="608">
        <f>[1]January_2026!$P52</f>
        <v>2.239048811013769</v>
      </c>
      <c r="R48" s="995">
        <f>($G48+G49)/(($L48/60)*AC$3*(1/24))</f>
        <v>0.46330729411764715</v>
      </c>
      <c r="S48" s="652">
        <f t="shared" si="4"/>
        <v>0.5761460446247465</v>
      </c>
      <c r="T48" s="995">
        <f>(1253-((N48+N49)-[2]Jan!$Z$51-[2]Jan!$Z$52-[2]Jan!$AB$51-[2]Jan!$AB$52-[2]Jan!$I$52-[2]Jan!$K$51-[2]Jan!$K$523))/1253</f>
        <v>0.88268156424581001</v>
      </c>
      <c r="U48" s="1002" t="s">
        <v>1007</v>
      </c>
      <c r="V48" s="1002"/>
      <c r="W48" s="1002"/>
      <c r="X48" s="1002"/>
      <c r="Y48" s="1002"/>
      <c r="Z48" s="1002"/>
      <c r="AA48" s="1003"/>
    </row>
    <row r="49" spans="2:27" s="19" customFormat="1" ht="165" customHeight="1" thickBot="1" x14ac:dyDescent="0.25">
      <c r="B49" s="580">
        <f>[1]January_2026!$B53</f>
        <v>46052</v>
      </c>
      <c r="C49" s="26" t="str">
        <f>[1]January_2026!$D53</f>
        <v>STAG</v>
      </c>
      <c r="D49" s="27">
        <v>5600</v>
      </c>
      <c r="E49" s="28">
        <f>[2]Jan!$J113</f>
        <v>1.2986111111111112</v>
      </c>
      <c r="F49" s="29">
        <f>[1]January_2026!$J53</f>
        <v>300.09999999999997</v>
      </c>
      <c r="G49" s="30">
        <f>[1]January_2026!$G53</f>
        <v>4470</v>
      </c>
      <c r="H49" s="29">
        <f>[1]January_2026!$K53</f>
        <v>295.02000000000004</v>
      </c>
      <c r="I49" s="31">
        <f>[1]January_2026!$N53</f>
        <v>10</v>
      </c>
      <c r="J49" s="32">
        <f>[1]January_2026!$Q53</f>
        <v>113.616</v>
      </c>
      <c r="K49" s="32">
        <f>[1]January_2026!$F53</f>
        <v>746</v>
      </c>
      <c r="L49" s="1135"/>
      <c r="M49" s="28">
        <f>[2]Jan!$J113</f>
        <v>1.2986111111111112</v>
      </c>
      <c r="N49" s="32">
        <f>[1]January_2026!$M53</f>
        <v>224</v>
      </c>
      <c r="O49" s="406">
        <f>[2]Jan!$I52</f>
        <v>30</v>
      </c>
      <c r="P49" s="32">
        <f>[1]January_2026!$I53</f>
        <v>0</v>
      </c>
      <c r="Q49" s="608">
        <f>[1]January_2026!$P53</f>
        <v>1.6927690769743178</v>
      </c>
      <c r="R49" s="996"/>
      <c r="S49" s="652">
        <f t="shared" si="4"/>
        <v>0.50755401356252949</v>
      </c>
      <c r="T49" s="1020"/>
      <c r="U49" s="1002" t="s">
        <v>1008</v>
      </c>
      <c r="V49" s="1002"/>
      <c r="W49" s="1002"/>
      <c r="X49" s="1002"/>
      <c r="Y49" s="1002"/>
      <c r="Z49" s="1002"/>
      <c r="AA49" s="1003"/>
    </row>
    <row r="50" spans="2:27" s="19" customFormat="1" ht="26.25" thickBot="1" x14ac:dyDescent="0.25">
      <c r="B50" s="580">
        <f>[1]January_2026!$B54</f>
        <v>0</v>
      </c>
      <c r="C50" s="26">
        <f>[1]January_2026!$D54</f>
        <v>0</v>
      </c>
      <c r="D50" s="27"/>
      <c r="E50" s="28"/>
      <c r="F50" s="29"/>
      <c r="G50" s="30"/>
      <c r="H50" s="29"/>
      <c r="I50" s="31"/>
      <c r="J50" s="32"/>
      <c r="K50" s="32"/>
      <c r="L50" s="823"/>
      <c r="M50" s="28"/>
      <c r="N50" s="32"/>
      <c r="O50" s="406"/>
      <c r="P50" s="32"/>
      <c r="Q50" s="33"/>
      <c r="R50" s="675"/>
      <c r="S50" s="830"/>
      <c r="T50" s="462"/>
      <c r="U50" s="1002"/>
      <c r="V50" s="1002"/>
      <c r="W50" s="1002"/>
      <c r="X50" s="1002"/>
      <c r="Y50" s="1002"/>
      <c r="Z50" s="1002"/>
      <c r="AA50" s="1003"/>
    </row>
    <row r="51" spans="2:27" s="19" customFormat="1" ht="25.5" hidden="1" x14ac:dyDescent="0.2">
      <c r="B51" s="580">
        <f>[1]January_2026!$B55</f>
        <v>0</v>
      </c>
      <c r="C51" s="26">
        <f>[1]January_2026!$D55</f>
        <v>0</v>
      </c>
      <c r="D51" s="27"/>
      <c r="E51" s="28"/>
      <c r="F51" s="29"/>
      <c r="G51" s="30"/>
      <c r="H51" s="29"/>
      <c r="I51" s="31"/>
      <c r="J51" s="32"/>
      <c r="K51" s="32"/>
      <c r="L51" s="823"/>
      <c r="M51" s="28"/>
      <c r="N51" s="32"/>
      <c r="O51" s="406"/>
      <c r="P51" s="32"/>
      <c r="Q51" s="33"/>
      <c r="R51" s="675"/>
      <c r="S51" s="830"/>
      <c r="T51" s="462"/>
      <c r="U51" s="1002"/>
      <c r="V51" s="1002"/>
      <c r="W51" s="1002"/>
      <c r="X51" s="1002"/>
      <c r="Y51" s="1002"/>
      <c r="Z51" s="1002"/>
      <c r="AA51" s="1003"/>
    </row>
    <row r="52" spans="2:27" s="19" customFormat="1" ht="25.5" hidden="1" x14ac:dyDescent="0.2">
      <c r="B52" s="580">
        <f>[1]January_2026!$B56</f>
        <v>0</v>
      </c>
      <c r="C52" s="26">
        <f>[1]January_2026!$D56</f>
        <v>0</v>
      </c>
      <c r="D52" s="27"/>
      <c r="E52" s="28"/>
      <c r="F52" s="29"/>
      <c r="G52" s="30"/>
      <c r="H52" s="29"/>
      <c r="I52" s="31"/>
      <c r="J52" s="32"/>
      <c r="K52" s="32"/>
      <c r="L52" s="823"/>
      <c r="M52" s="28"/>
      <c r="N52" s="32"/>
      <c r="O52" s="406"/>
      <c r="P52" s="32"/>
      <c r="Q52" s="33"/>
      <c r="R52" s="675"/>
      <c r="S52" s="830"/>
      <c r="T52" s="462"/>
      <c r="U52" s="1002"/>
      <c r="V52" s="1002"/>
      <c r="W52" s="1002"/>
      <c r="X52" s="1002"/>
      <c r="Y52" s="1002"/>
      <c r="Z52" s="1002"/>
      <c r="AA52" s="1003"/>
    </row>
    <row r="53" spans="2:27" s="19" customFormat="1" ht="25.5" hidden="1" x14ac:dyDescent="0.2">
      <c r="B53" s="580"/>
      <c r="C53" s="26"/>
      <c r="D53" s="27"/>
      <c r="E53" s="28"/>
      <c r="F53" s="29"/>
      <c r="G53" s="30"/>
      <c r="H53" s="29"/>
      <c r="I53" s="31"/>
      <c r="J53" s="32"/>
      <c r="K53" s="32"/>
      <c r="L53" s="823"/>
      <c r="M53" s="28"/>
      <c r="N53" s="32"/>
      <c r="O53" s="406"/>
      <c r="P53" s="32"/>
      <c r="Q53" s="33"/>
      <c r="R53" s="675"/>
      <c r="S53" s="830"/>
      <c r="T53" s="462"/>
      <c r="U53" s="1002"/>
      <c r="V53" s="1002"/>
      <c r="W53" s="1002"/>
      <c r="X53" s="1002"/>
      <c r="Y53" s="1002"/>
      <c r="Z53" s="1002"/>
      <c r="AA53" s="1003"/>
    </row>
    <row r="54" spans="2:27" s="19" customFormat="1" ht="25.5" hidden="1" x14ac:dyDescent="0.2">
      <c r="B54" s="580"/>
      <c r="C54" s="26"/>
      <c r="D54" s="27"/>
      <c r="E54" s="28"/>
      <c r="F54" s="29"/>
      <c r="G54" s="30"/>
      <c r="H54" s="29"/>
      <c r="I54" s="31"/>
      <c r="J54" s="32"/>
      <c r="K54" s="32"/>
      <c r="L54" s="823"/>
      <c r="M54" s="28"/>
      <c r="N54" s="32"/>
      <c r="O54" s="406"/>
      <c r="P54" s="32"/>
      <c r="Q54" s="33"/>
      <c r="R54" s="675"/>
      <c r="S54" s="830"/>
      <c r="T54" s="462"/>
      <c r="U54" s="1002"/>
      <c r="V54" s="1002"/>
      <c r="W54" s="1002"/>
      <c r="X54" s="1002"/>
      <c r="Y54" s="1002"/>
      <c r="Z54" s="1002"/>
      <c r="AA54" s="1003"/>
    </row>
    <row r="55" spans="2:27" s="19" customFormat="1" ht="25.5" hidden="1" x14ac:dyDescent="0.2">
      <c r="B55" s="580"/>
      <c r="C55" s="26"/>
      <c r="D55" s="27"/>
      <c r="E55" s="28"/>
      <c r="F55" s="29"/>
      <c r="G55" s="30"/>
      <c r="H55" s="29"/>
      <c r="I55" s="31"/>
      <c r="J55" s="32"/>
      <c r="K55" s="32"/>
      <c r="L55" s="823"/>
      <c r="M55" s="28"/>
      <c r="N55" s="32"/>
      <c r="O55" s="406"/>
      <c r="P55" s="32"/>
      <c r="Q55" s="33"/>
      <c r="R55" s="675"/>
      <c r="S55" s="830"/>
      <c r="T55" s="462"/>
      <c r="U55" s="1002"/>
      <c r="V55" s="1002"/>
      <c r="W55" s="1002"/>
      <c r="X55" s="1002"/>
      <c r="Y55" s="1002"/>
      <c r="Z55" s="1002"/>
      <c r="AA55" s="1003"/>
    </row>
    <row r="56" spans="2:27" s="19" customFormat="1" ht="25.5" hidden="1" x14ac:dyDescent="0.2">
      <c r="B56" s="580"/>
      <c r="C56" s="26"/>
      <c r="D56" s="27"/>
      <c r="E56" s="28"/>
      <c r="F56" s="29"/>
      <c r="G56" s="30"/>
      <c r="H56" s="29"/>
      <c r="I56" s="31"/>
      <c r="J56" s="32"/>
      <c r="K56" s="32"/>
      <c r="L56" s="823"/>
      <c r="M56" s="28"/>
      <c r="N56" s="32"/>
      <c r="O56" s="406"/>
      <c r="P56" s="32"/>
      <c r="Q56" s="33"/>
      <c r="R56" s="675"/>
      <c r="S56" s="830"/>
      <c r="T56" s="462"/>
      <c r="U56" s="1002"/>
      <c r="V56" s="1002"/>
      <c r="W56" s="1002"/>
      <c r="X56" s="1002"/>
      <c r="Y56" s="1002"/>
      <c r="Z56" s="1002"/>
      <c r="AA56" s="1003"/>
    </row>
    <row r="57" spans="2:27" s="19" customFormat="1" ht="25.5" hidden="1" x14ac:dyDescent="0.2">
      <c r="B57" s="580"/>
      <c r="C57" s="26"/>
      <c r="D57" s="27"/>
      <c r="E57" s="28"/>
      <c r="F57" s="29"/>
      <c r="G57" s="30"/>
      <c r="H57" s="29"/>
      <c r="I57" s="31"/>
      <c r="J57" s="32"/>
      <c r="K57" s="32"/>
      <c r="L57" s="823"/>
      <c r="M57" s="28"/>
      <c r="N57" s="32"/>
      <c r="O57" s="406"/>
      <c r="P57" s="32"/>
      <c r="Q57" s="33"/>
      <c r="R57" s="675"/>
      <c r="S57" s="830"/>
      <c r="T57" s="462"/>
      <c r="U57" s="1002"/>
      <c r="V57" s="1002"/>
      <c r="W57" s="1002"/>
      <c r="X57" s="1002"/>
      <c r="Y57" s="1002"/>
      <c r="Z57" s="1002"/>
      <c r="AA57" s="1003"/>
    </row>
    <row r="58" spans="2:27" s="19" customFormat="1" ht="25.5" hidden="1" x14ac:dyDescent="0.2">
      <c r="B58" s="580"/>
      <c r="C58" s="26"/>
      <c r="D58" s="27"/>
      <c r="E58" s="28"/>
      <c r="F58" s="29"/>
      <c r="G58" s="30"/>
      <c r="H58" s="29"/>
      <c r="I58" s="31"/>
      <c r="J58" s="32"/>
      <c r="K58" s="32"/>
      <c r="L58" s="823"/>
      <c r="M58" s="28"/>
      <c r="N58" s="32"/>
      <c r="O58" s="406"/>
      <c r="P58" s="32"/>
      <c r="Q58" s="33"/>
      <c r="R58" s="675"/>
      <c r="S58" s="830"/>
      <c r="T58" s="462"/>
      <c r="U58" s="1002"/>
      <c r="V58" s="1002"/>
      <c r="W58" s="1002"/>
      <c r="X58" s="1002"/>
      <c r="Y58" s="1002"/>
      <c r="Z58" s="1002"/>
      <c r="AA58" s="1003"/>
    </row>
    <row r="59" spans="2:27" s="19" customFormat="1" ht="25.5" hidden="1" x14ac:dyDescent="0.2">
      <c r="B59" s="580"/>
      <c r="C59" s="26"/>
      <c r="D59" s="27"/>
      <c r="E59" s="28"/>
      <c r="F59" s="29"/>
      <c r="G59" s="30"/>
      <c r="H59" s="29"/>
      <c r="I59" s="31"/>
      <c r="J59" s="32"/>
      <c r="K59" s="32"/>
      <c r="L59" s="823"/>
      <c r="M59" s="28"/>
      <c r="N59" s="32"/>
      <c r="O59" s="406"/>
      <c r="P59" s="32"/>
      <c r="Q59" s="33"/>
      <c r="R59" s="675"/>
      <c r="S59" s="830"/>
      <c r="T59" s="462"/>
      <c r="U59" s="1002"/>
      <c r="V59" s="1002"/>
      <c r="W59" s="1002"/>
      <c r="X59" s="1002"/>
      <c r="Y59" s="1002"/>
      <c r="Z59" s="1002"/>
      <c r="AA59" s="1003"/>
    </row>
    <row r="60" spans="2:27" s="19" customFormat="1" ht="25.5" hidden="1" x14ac:dyDescent="0.2">
      <c r="B60" s="580"/>
      <c r="C60" s="26"/>
      <c r="D60" s="27"/>
      <c r="E60" s="28"/>
      <c r="F60" s="29"/>
      <c r="G60" s="30"/>
      <c r="H60" s="29"/>
      <c r="I60" s="31"/>
      <c r="J60" s="32"/>
      <c r="K60" s="32"/>
      <c r="L60" s="823"/>
      <c r="M60" s="28"/>
      <c r="N60" s="32"/>
      <c r="O60" s="406"/>
      <c r="P60" s="32"/>
      <c r="Q60" s="33"/>
      <c r="R60" s="675"/>
      <c r="S60" s="830"/>
      <c r="T60" s="462"/>
      <c r="U60" s="1002"/>
      <c r="V60" s="1002"/>
      <c r="W60" s="1002"/>
      <c r="X60" s="1002"/>
      <c r="Y60" s="1002"/>
      <c r="Z60" s="1002"/>
      <c r="AA60" s="1003"/>
    </row>
    <row r="61" spans="2:27" s="19" customFormat="1" ht="25.5" hidden="1" x14ac:dyDescent="0.2">
      <c r="B61" s="580"/>
      <c r="C61" s="26"/>
      <c r="D61" s="27"/>
      <c r="E61" s="28"/>
      <c r="F61" s="29"/>
      <c r="G61" s="30"/>
      <c r="H61" s="29"/>
      <c r="I61" s="31"/>
      <c r="J61" s="32"/>
      <c r="K61" s="32"/>
      <c r="L61" s="823"/>
      <c r="M61" s="28"/>
      <c r="N61" s="32"/>
      <c r="O61" s="406"/>
      <c r="P61" s="32"/>
      <c r="Q61" s="33"/>
      <c r="R61" s="675"/>
      <c r="S61" s="830"/>
      <c r="T61" s="462"/>
      <c r="U61" s="1002"/>
      <c r="V61" s="1002"/>
      <c r="W61" s="1002"/>
      <c r="X61" s="1002"/>
      <c r="Y61" s="1002"/>
      <c r="Z61" s="1002"/>
      <c r="AA61" s="1003"/>
    </row>
    <row r="62" spans="2:27" s="19" customFormat="1" ht="25.5" hidden="1" x14ac:dyDescent="0.2">
      <c r="B62" s="580"/>
      <c r="C62" s="26"/>
      <c r="D62" s="27"/>
      <c r="E62" s="28"/>
      <c r="F62" s="29"/>
      <c r="G62" s="30"/>
      <c r="H62" s="29"/>
      <c r="I62" s="31"/>
      <c r="J62" s="32"/>
      <c r="K62" s="32"/>
      <c r="L62" s="825"/>
      <c r="M62" s="28"/>
      <c r="N62" s="32"/>
      <c r="O62" s="406"/>
      <c r="P62" s="32"/>
      <c r="Q62" s="33"/>
      <c r="R62" s="675"/>
      <c r="S62" s="830"/>
      <c r="T62" s="462"/>
      <c r="U62" s="1002"/>
      <c r="V62" s="1002"/>
      <c r="W62" s="1002"/>
      <c r="X62" s="1002"/>
      <c r="Y62" s="1002"/>
      <c r="Z62" s="1002"/>
      <c r="AA62" s="1003"/>
    </row>
    <row r="63" spans="2:27" s="19" customFormat="1" ht="25.5" hidden="1" x14ac:dyDescent="0.2">
      <c r="B63" s="580"/>
      <c r="C63" s="26"/>
      <c r="D63" s="27"/>
      <c r="E63" s="28"/>
      <c r="F63" s="29"/>
      <c r="G63" s="30"/>
      <c r="H63" s="29"/>
      <c r="I63" s="31"/>
      <c r="J63" s="32"/>
      <c r="K63" s="32"/>
      <c r="L63" s="825"/>
      <c r="M63" s="28"/>
      <c r="N63" s="32"/>
      <c r="O63" s="406"/>
      <c r="P63" s="32"/>
      <c r="Q63" s="33"/>
      <c r="R63" s="675"/>
      <c r="S63" s="830"/>
      <c r="T63" s="462"/>
      <c r="U63" s="1002"/>
      <c r="V63" s="1002"/>
      <c r="W63" s="1002"/>
      <c r="X63" s="1002"/>
      <c r="Y63" s="1002"/>
      <c r="Z63" s="1002"/>
      <c r="AA63" s="1003"/>
    </row>
    <row r="64" spans="2:27" s="19" customFormat="1" ht="25.5" hidden="1" x14ac:dyDescent="0.2">
      <c r="B64" s="580"/>
      <c r="C64" s="26"/>
      <c r="D64" s="27"/>
      <c r="E64" s="28"/>
      <c r="F64" s="29"/>
      <c r="G64" s="30"/>
      <c r="H64" s="29"/>
      <c r="I64" s="31"/>
      <c r="J64" s="32"/>
      <c r="K64" s="32"/>
      <c r="L64" s="825"/>
      <c r="M64" s="28"/>
      <c r="N64" s="32"/>
      <c r="O64" s="406"/>
      <c r="P64" s="32"/>
      <c r="Q64" s="33"/>
      <c r="R64" s="675"/>
      <c r="S64" s="830"/>
      <c r="T64" s="462"/>
      <c r="U64" s="1002"/>
      <c r="V64" s="1002"/>
      <c r="W64" s="1002"/>
      <c r="X64" s="1002"/>
      <c r="Y64" s="1002"/>
      <c r="Z64" s="1002"/>
      <c r="AA64" s="1003"/>
    </row>
    <row r="65" spans="2:27" s="19" customFormat="1" ht="25.5" hidden="1" x14ac:dyDescent="0.2">
      <c r="B65" s="580"/>
      <c r="C65" s="26"/>
      <c r="D65" s="27"/>
      <c r="E65" s="28"/>
      <c r="F65" s="29"/>
      <c r="G65" s="30"/>
      <c r="H65" s="29"/>
      <c r="I65" s="31"/>
      <c r="J65" s="32"/>
      <c r="K65" s="32"/>
      <c r="L65" s="825"/>
      <c r="M65" s="28"/>
      <c r="N65" s="32"/>
      <c r="O65" s="406"/>
      <c r="P65" s="32"/>
      <c r="Q65" s="33"/>
      <c r="R65" s="675"/>
      <c r="S65" s="830"/>
      <c r="T65" s="462"/>
      <c r="U65" s="1002"/>
      <c r="V65" s="1002"/>
      <c r="W65" s="1002"/>
      <c r="X65" s="1002"/>
      <c r="Y65" s="1002"/>
      <c r="Z65" s="1002"/>
      <c r="AA65" s="1003"/>
    </row>
    <row r="66" spans="2:27" s="19" customFormat="1" ht="25.5" hidden="1" x14ac:dyDescent="0.2">
      <c r="B66" s="580"/>
      <c r="C66" s="26"/>
      <c r="D66" s="27"/>
      <c r="E66" s="28"/>
      <c r="F66" s="29"/>
      <c r="G66" s="30"/>
      <c r="H66" s="29"/>
      <c r="I66" s="31"/>
      <c r="J66" s="32"/>
      <c r="K66" s="32"/>
      <c r="L66" s="825"/>
      <c r="M66" s="28"/>
      <c r="N66" s="32"/>
      <c r="O66" s="406"/>
      <c r="P66" s="32"/>
      <c r="Q66" s="33"/>
      <c r="R66" s="675"/>
      <c r="S66" s="830"/>
      <c r="T66" s="462"/>
      <c r="U66" s="1002"/>
      <c r="V66" s="1002"/>
      <c r="W66" s="1002"/>
      <c r="X66" s="1002"/>
      <c r="Y66" s="1002"/>
      <c r="Z66" s="1002"/>
      <c r="AA66" s="1003"/>
    </row>
    <row r="67" spans="2:27" s="19" customFormat="1" ht="25.5" hidden="1" x14ac:dyDescent="0.2">
      <c r="B67" s="580"/>
      <c r="C67" s="26"/>
      <c r="D67" s="27"/>
      <c r="E67" s="28"/>
      <c r="F67" s="29"/>
      <c r="G67" s="30"/>
      <c r="H67" s="29"/>
      <c r="I67" s="31"/>
      <c r="J67" s="32"/>
      <c r="K67" s="32"/>
      <c r="L67" s="825"/>
      <c r="M67" s="28"/>
      <c r="N67" s="32"/>
      <c r="O67" s="406"/>
      <c r="P67" s="32"/>
      <c r="Q67" s="33"/>
      <c r="R67" s="675"/>
      <c r="S67" s="830"/>
      <c r="T67" s="462"/>
      <c r="U67" s="1002"/>
      <c r="V67" s="1002"/>
      <c r="W67" s="1002"/>
      <c r="X67" s="1002"/>
      <c r="Y67" s="1002"/>
      <c r="Z67" s="1002"/>
      <c r="AA67" s="1003"/>
    </row>
    <row r="68" spans="2:27" s="19" customFormat="1" ht="25.5" hidden="1" x14ac:dyDescent="0.2">
      <c r="B68" s="580"/>
      <c r="C68" s="26"/>
      <c r="D68" s="27"/>
      <c r="E68" s="28"/>
      <c r="F68" s="29"/>
      <c r="G68" s="30"/>
      <c r="H68" s="29"/>
      <c r="I68" s="31"/>
      <c r="J68" s="32"/>
      <c r="K68" s="32"/>
      <c r="L68" s="825"/>
      <c r="M68" s="28"/>
      <c r="N68" s="32"/>
      <c r="O68" s="406"/>
      <c r="P68" s="32"/>
      <c r="Q68" s="33"/>
      <c r="R68" s="675"/>
      <c r="S68" s="830"/>
      <c r="T68" s="462"/>
      <c r="U68" s="1002"/>
      <c r="V68" s="1002"/>
      <c r="W68" s="1002"/>
      <c r="X68" s="1002"/>
      <c r="Y68" s="1002"/>
      <c r="Z68" s="1002"/>
      <c r="AA68" s="1003"/>
    </row>
    <row r="69" spans="2:27" s="19" customFormat="1" ht="25.5" hidden="1" x14ac:dyDescent="0.2">
      <c r="B69" s="580"/>
      <c r="C69" s="26"/>
      <c r="D69" s="27"/>
      <c r="E69" s="28"/>
      <c r="F69" s="29"/>
      <c r="G69" s="30"/>
      <c r="H69" s="29"/>
      <c r="I69" s="31"/>
      <c r="J69" s="32"/>
      <c r="K69" s="32"/>
      <c r="L69" s="825"/>
      <c r="M69" s="28"/>
      <c r="N69" s="32"/>
      <c r="O69" s="406"/>
      <c r="P69" s="32"/>
      <c r="Q69" s="33"/>
      <c r="R69" s="675"/>
      <c r="S69" s="830"/>
      <c r="T69" s="462"/>
      <c r="U69" s="1002"/>
      <c r="V69" s="1002"/>
      <c r="W69" s="1002"/>
      <c r="X69" s="1002"/>
      <c r="Y69" s="1002"/>
      <c r="Z69" s="1002"/>
      <c r="AA69" s="1003"/>
    </row>
    <row r="70" spans="2:27" s="19" customFormat="1" ht="25.5" hidden="1" x14ac:dyDescent="0.2">
      <c r="B70" s="580"/>
      <c r="C70" s="26"/>
      <c r="D70" s="27"/>
      <c r="E70" s="28"/>
      <c r="F70" s="29"/>
      <c r="G70" s="30"/>
      <c r="H70" s="29"/>
      <c r="I70" s="31"/>
      <c r="J70" s="32"/>
      <c r="K70" s="32"/>
      <c r="L70" s="825"/>
      <c r="M70" s="28"/>
      <c r="N70" s="32"/>
      <c r="O70" s="406"/>
      <c r="P70" s="32"/>
      <c r="Q70" s="33"/>
      <c r="R70" s="675"/>
      <c r="S70" s="830"/>
      <c r="T70" s="462"/>
      <c r="U70" s="1002"/>
      <c r="V70" s="1002"/>
      <c r="W70" s="1002"/>
      <c r="X70" s="1002"/>
      <c r="Y70" s="1002"/>
      <c r="Z70" s="1002"/>
      <c r="AA70" s="1003"/>
    </row>
    <row r="71" spans="2:27" s="19" customFormat="1" ht="25.5" hidden="1" x14ac:dyDescent="0.2">
      <c r="B71" s="580"/>
      <c r="C71" s="26"/>
      <c r="D71" s="27"/>
      <c r="E71" s="28"/>
      <c r="F71" s="29"/>
      <c r="G71" s="30"/>
      <c r="H71" s="29"/>
      <c r="I71" s="31"/>
      <c r="J71" s="32"/>
      <c r="K71" s="32"/>
      <c r="L71" s="825"/>
      <c r="M71" s="28"/>
      <c r="N71" s="32"/>
      <c r="O71" s="406"/>
      <c r="P71" s="32"/>
      <c r="Q71" s="33"/>
      <c r="R71" s="675"/>
      <c r="S71" s="830"/>
      <c r="T71" s="462"/>
      <c r="U71" s="1002"/>
      <c r="V71" s="1002"/>
      <c r="W71" s="1002"/>
      <c r="X71" s="1002"/>
      <c r="Y71" s="1002"/>
      <c r="Z71" s="1002"/>
      <c r="AA71" s="1003"/>
    </row>
    <row r="72" spans="2:27" s="19" customFormat="1" ht="25.5" hidden="1" x14ac:dyDescent="0.2">
      <c r="B72" s="580"/>
      <c r="C72" s="26"/>
      <c r="D72" s="27"/>
      <c r="E72" s="28"/>
      <c r="F72" s="29"/>
      <c r="G72" s="30"/>
      <c r="H72" s="29"/>
      <c r="I72" s="31"/>
      <c r="J72" s="32"/>
      <c r="K72" s="32"/>
      <c r="L72" s="825"/>
      <c r="M72" s="28"/>
      <c r="N72" s="32"/>
      <c r="O72" s="406"/>
      <c r="P72" s="32"/>
      <c r="Q72" s="33"/>
      <c r="R72" s="675"/>
      <c r="S72" s="830"/>
      <c r="T72" s="462"/>
      <c r="U72" s="1002"/>
      <c r="V72" s="1002"/>
      <c r="W72" s="1002"/>
      <c r="X72" s="1002"/>
      <c r="Y72" s="1002"/>
      <c r="Z72" s="1002"/>
      <c r="AA72" s="1003"/>
    </row>
    <row r="73" spans="2:27" s="19" customFormat="1" ht="25.5" hidden="1" x14ac:dyDescent="0.2">
      <c r="B73" s="580"/>
      <c r="C73" s="26"/>
      <c r="D73" s="27"/>
      <c r="E73" s="28"/>
      <c r="F73" s="29"/>
      <c r="G73" s="30"/>
      <c r="H73" s="29"/>
      <c r="I73" s="31"/>
      <c r="J73" s="32"/>
      <c r="K73" s="32"/>
      <c r="L73" s="825"/>
      <c r="M73" s="28"/>
      <c r="N73" s="32"/>
      <c r="O73" s="406"/>
      <c r="P73" s="32"/>
      <c r="Q73" s="33"/>
      <c r="R73" s="675"/>
      <c r="S73" s="830"/>
      <c r="T73" s="462"/>
      <c r="U73" s="1002"/>
      <c r="V73" s="1002"/>
      <c r="W73" s="1002"/>
      <c r="X73" s="1002"/>
      <c r="Y73" s="1002"/>
      <c r="Z73" s="1002"/>
      <c r="AA73" s="1003"/>
    </row>
    <row r="74" spans="2:27" s="19" customFormat="1" ht="25.5" hidden="1" x14ac:dyDescent="0.2">
      <c r="B74" s="580"/>
      <c r="C74" s="26"/>
      <c r="D74" s="27"/>
      <c r="E74" s="28"/>
      <c r="F74" s="29"/>
      <c r="G74" s="30"/>
      <c r="H74" s="29"/>
      <c r="I74" s="31"/>
      <c r="J74" s="32"/>
      <c r="K74" s="32"/>
      <c r="L74" s="825"/>
      <c r="M74" s="28"/>
      <c r="N74" s="32"/>
      <c r="O74" s="406"/>
      <c r="P74" s="32"/>
      <c r="Q74" s="33"/>
      <c r="R74" s="675"/>
      <c r="S74" s="830"/>
      <c r="T74" s="462"/>
      <c r="U74" s="1002"/>
      <c r="V74" s="1002"/>
      <c r="W74" s="1002"/>
      <c r="X74" s="1002"/>
      <c r="Y74" s="1002"/>
      <c r="Z74" s="1002"/>
      <c r="AA74" s="1003"/>
    </row>
    <row r="75" spans="2:27" s="19" customFormat="1" ht="25.5" hidden="1" x14ac:dyDescent="0.2">
      <c r="B75" s="580"/>
      <c r="C75" s="26"/>
      <c r="D75" s="27"/>
      <c r="E75" s="28"/>
      <c r="F75" s="29"/>
      <c r="G75" s="30"/>
      <c r="H75" s="29"/>
      <c r="I75" s="31"/>
      <c r="J75" s="32"/>
      <c r="K75" s="32"/>
      <c r="L75" s="825"/>
      <c r="M75" s="28"/>
      <c r="N75" s="32"/>
      <c r="O75" s="406"/>
      <c r="P75" s="32"/>
      <c r="Q75" s="33"/>
      <c r="R75" s="675"/>
      <c r="S75" s="830"/>
      <c r="T75" s="462"/>
      <c r="U75" s="1002"/>
      <c r="V75" s="1002"/>
      <c r="W75" s="1002"/>
      <c r="X75" s="1002"/>
      <c r="Y75" s="1002"/>
      <c r="Z75" s="1002"/>
      <c r="AA75" s="1003"/>
    </row>
    <row r="76" spans="2:27" s="19" customFormat="1" ht="25.5" hidden="1" x14ac:dyDescent="0.2">
      <c r="B76" s="580"/>
      <c r="C76" s="26"/>
      <c r="D76" s="27"/>
      <c r="E76" s="28"/>
      <c r="F76" s="29"/>
      <c r="G76" s="30"/>
      <c r="H76" s="29"/>
      <c r="I76" s="31"/>
      <c r="J76" s="32"/>
      <c r="K76" s="32"/>
      <c r="L76" s="825"/>
      <c r="M76" s="28"/>
      <c r="N76" s="32"/>
      <c r="O76" s="406"/>
      <c r="P76" s="32"/>
      <c r="Q76" s="33"/>
      <c r="R76" s="675"/>
      <c r="S76" s="830"/>
      <c r="T76" s="462"/>
      <c r="U76" s="1002"/>
      <c r="V76" s="1002"/>
      <c r="W76" s="1002"/>
      <c r="X76" s="1002"/>
      <c r="Y76" s="1002"/>
      <c r="Z76" s="1002"/>
      <c r="AA76" s="1003"/>
    </row>
    <row r="77" spans="2:27" s="19" customFormat="1" ht="25.5" hidden="1" x14ac:dyDescent="0.2">
      <c r="B77" s="580"/>
      <c r="C77" s="26"/>
      <c r="D77" s="27"/>
      <c r="E77" s="28"/>
      <c r="F77" s="29"/>
      <c r="G77" s="30"/>
      <c r="H77" s="29"/>
      <c r="I77" s="31"/>
      <c r="J77" s="32"/>
      <c r="K77" s="32"/>
      <c r="L77" s="825"/>
      <c r="M77" s="28"/>
      <c r="N77" s="32"/>
      <c r="O77" s="406"/>
      <c r="P77" s="32"/>
      <c r="Q77" s="33"/>
      <c r="R77" s="675"/>
      <c r="S77" s="830"/>
      <c r="T77" s="462"/>
      <c r="U77" s="1002"/>
      <c r="V77" s="1002"/>
      <c r="W77" s="1002"/>
      <c r="X77" s="1002"/>
      <c r="Y77" s="1002"/>
      <c r="Z77" s="1002"/>
      <c r="AA77" s="1003"/>
    </row>
    <row r="78" spans="2:27" s="19" customFormat="1" ht="25.5" hidden="1" x14ac:dyDescent="0.2">
      <c r="B78" s="580"/>
      <c r="C78" s="26"/>
      <c r="D78" s="27"/>
      <c r="E78" s="28"/>
      <c r="F78" s="29"/>
      <c r="G78" s="30"/>
      <c r="H78" s="29"/>
      <c r="I78" s="31"/>
      <c r="J78" s="32"/>
      <c r="K78" s="32"/>
      <c r="L78" s="825"/>
      <c r="M78" s="28"/>
      <c r="N78" s="32"/>
      <c r="O78" s="406"/>
      <c r="P78" s="32"/>
      <c r="Q78" s="33"/>
      <c r="R78" s="675"/>
      <c r="S78" s="830"/>
      <c r="T78" s="462"/>
      <c r="U78" s="1002"/>
      <c r="V78" s="1002"/>
      <c r="W78" s="1002"/>
      <c r="X78" s="1002"/>
      <c r="Y78" s="1002"/>
      <c r="Z78" s="1002"/>
      <c r="AA78" s="1003"/>
    </row>
    <row r="79" spans="2:27" s="19" customFormat="1" ht="25.5" hidden="1" x14ac:dyDescent="0.2">
      <c r="B79" s="580"/>
      <c r="C79" s="26"/>
      <c r="D79" s="27"/>
      <c r="E79" s="28"/>
      <c r="F79" s="29"/>
      <c r="G79" s="30"/>
      <c r="H79" s="29"/>
      <c r="I79" s="31"/>
      <c r="J79" s="32"/>
      <c r="K79" s="32"/>
      <c r="L79" s="825"/>
      <c r="M79" s="28"/>
      <c r="N79" s="32"/>
      <c r="O79" s="406"/>
      <c r="P79" s="32"/>
      <c r="Q79" s="33"/>
      <c r="R79" s="675"/>
      <c r="S79" s="830"/>
      <c r="T79" s="462"/>
      <c r="U79" s="1002"/>
      <c r="V79" s="1002"/>
      <c r="W79" s="1002"/>
      <c r="X79" s="1002"/>
      <c r="Y79" s="1002"/>
      <c r="Z79" s="1002"/>
      <c r="AA79" s="1003"/>
    </row>
    <row r="80" spans="2:27" s="19" customFormat="1" ht="25.5" hidden="1" x14ac:dyDescent="0.2">
      <c r="B80" s="580"/>
      <c r="C80" s="26"/>
      <c r="D80" s="27"/>
      <c r="E80" s="28"/>
      <c r="F80" s="29"/>
      <c r="G80" s="30"/>
      <c r="H80" s="29"/>
      <c r="I80" s="31"/>
      <c r="J80" s="32"/>
      <c r="K80" s="32"/>
      <c r="L80" s="825"/>
      <c r="M80" s="28"/>
      <c r="N80" s="32"/>
      <c r="O80" s="406"/>
      <c r="P80" s="32"/>
      <c r="Q80" s="33"/>
      <c r="R80" s="675"/>
      <c r="S80" s="830"/>
      <c r="T80" s="462"/>
      <c r="U80" s="1002"/>
      <c r="V80" s="1002"/>
      <c r="W80" s="1002"/>
      <c r="X80" s="1002"/>
      <c r="Y80" s="1002"/>
      <c r="Z80" s="1002"/>
      <c r="AA80" s="1003"/>
    </row>
    <row r="81" spans="2:27" s="19" customFormat="1" ht="25.5" hidden="1" x14ac:dyDescent="0.2">
      <c r="B81" s="580"/>
      <c r="C81" s="26"/>
      <c r="D81" s="27"/>
      <c r="E81" s="28"/>
      <c r="F81" s="29"/>
      <c r="G81" s="30"/>
      <c r="H81" s="29"/>
      <c r="I81" s="31"/>
      <c r="J81" s="32"/>
      <c r="K81" s="32"/>
      <c r="L81" s="825"/>
      <c r="M81" s="28"/>
      <c r="N81" s="32"/>
      <c r="O81" s="406"/>
      <c r="P81" s="32"/>
      <c r="Q81" s="33"/>
      <c r="R81" s="675"/>
      <c r="S81" s="830"/>
      <c r="T81" s="462"/>
      <c r="U81" s="1002"/>
      <c r="V81" s="1002"/>
      <c r="W81" s="1002"/>
      <c r="X81" s="1002"/>
      <c r="Y81" s="1002"/>
      <c r="Z81" s="1002"/>
      <c r="AA81" s="1003"/>
    </row>
    <row r="82" spans="2:27" s="19" customFormat="1" ht="25.5" hidden="1" x14ac:dyDescent="0.2">
      <c r="B82" s="580"/>
      <c r="C82" s="26"/>
      <c r="D82" s="27"/>
      <c r="E82" s="28"/>
      <c r="F82" s="29"/>
      <c r="G82" s="30"/>
      <c r="H82" s="29"/>
      <c r="I82" s="31"/>
      <c r="J82" s="32"/>
      <c r="K82" s="32"/>
      <c r="L82" s="825"/>
      <c r="M82" s="28"/>
      <c r="N82" s="32"/>
      <c r="O82" s="406"/>
      <c r="P82" s="32"/>
      <c r="Q82" s="33"/>
      <c r="R82" s="675"/>
      <c r="S82" s="830"/>
      <c r="T82" s="462"/>
      <c r="U82" s="1002"/>
      <c r="V82" s="1002"/>
      <c r="W82" s="1002"/>
      <c r="X82" s="1002"/>
      <c r="Y82" s="1002"/>
      <c r="Z82" s="1002"/>
      <c r="AA82" s="1003"/>
    </row>
    <row r="83" spans="2:27" s="19" customFormat="1" ht="25.5" hidden="1" x14ac:dyDescent="0.2">
      <c r="B83" s="580"/>
      <c r="C83" s="26"/>
      <c r="D83" s="27"/>
      <c r="E83" s="28"/>
      <c r="F83" s="29"/>
      <c r="G83" s="30"/>
      <c r="H83" s="29"/>
      <c r="I83" s="31"/>
      <c r="J83" s="32"/>
      <c r="K83" s="32"/>
      <c r="L83" s="825"/>
      <c r="M83" s="28"/>
      <c r="N83" s="32"/>
      <c r="O83" s="406"/>
      <c r="P83" s="32"/>
      <c r="Q83" s="33"/>
      <c r="R83" s="675"/>
      <c r="S83" s="830"/>
      <c r="T83" s="462"/>
      <c r="U83" s="1002"/>
      <c r="V83" s="1002"/>
      <c r="W83" s="1002"/>
      <c r="X83" s="1002"/>
      <c r="Y83" s="1002"/>
      <c r="Z83" s="1002"/>
      <c r="AA83" s="1003"/>
    </row>
    <row r="84" spans="2:27" s="19" customFormat="1" ht="25.5" hidden="1" x14ac:dyDescent="0.2">
      <c r="B84" s="580"/>
      <c r="C84" s="26"/>
      <c r="D84" s="27"/>
      <c r="E84" s="28"/>
      <c r="F84" s="29"/>
      <c r="G84" s="30"/>
      <c r="H84" s="29"/>
      <c r="I84" s="31"/>
      <c r="J84" s="32"/>
      <c r="K84" s="32"/>
      <c r="L84" s="825"/>
      <c r="M84" s="28"/>
      <c r="N84" s="32"/>
      <c r="O84" s="406"/>
      <c r="P84" s="32"/>
      <c r="Q84" s="33"/>
      <c r="R84" s="675"/>
      <c r="S84" s="830"/>
      <c r="T84" s="462"/>
      <c r="U84" s="1002"/>
      <c r="V84" s="1002"/>
      <c r="W84" s="1002"/>
      <c r="X84" s="1002"/>
      <c r="Y84" s="1002"/>
      <c r="Z84" s="1002"/>
      <c r="AA84" s="1003"/>
    </row>
    <row r="85" spans="2:27" s="19" customFormat="1" ht="25.5" hidden="1" x14ac:dyDescent="0.2">
      <c r="B85" s="580"/>
      <c r="C85" s="26"/>
      <c r="D85" s="27"/>
      <c r="E85" s="28"/>
      <c r="F85" s="29"/>
      <c r="G85" s="30"/>
      <c r="H85" s="29"/>
      <c r="I85" s="31"/>
      <c r="J85" s="32"/>
      <c r="K85" s="32"/>
      <c r="L85" s="825"/>
      <c r="M85" s="28"/>
      <c r="N85" s="32"/>
      <c r="O85" s="406"/>
      <c r="P85" s="32"/>
      <c r="Q85" s="33"/>
      <c r="R85" s="675"/>
      <c r="S85" s="830"/>
      <c r="T85" s="462"/>
      <c r="U85" s="1002"/>
      <c r="V85" s="1002"/>
      <c r="W85" s="1002"/>
      <c r="X85" s="1002"/>
      <c r="Y85" s="1002"/>
      <c r="Z85" s="1002"/>
      <c r="AA85" s="1003"/>
    </row>
    <row r="86" spans="2:27" s="19" customFormat="1" ht="25.5" hidden="1" x14ac:dyDescent="0.2">
      <c r="B86" s="580"/>
      <c r="C86" s="26"/>
      <c r="D86" s="27"/>
      <c r="E86" s="28"/>
      <c r="F86" s="29"/>
      <c r="G86" s="30"/>
      <c r="H86" s="29"/>
      <c r="I86" s="31"/>
      <c r="J86" s="32"/>
      <c r="K86" s="32"/>
      <c r="L86" s="825"/>
      <c r="M86" s="28"/>
      <c r="N86" s="32"/>
      <c r="O86" s="406"/>
      <c r="P86" s="32"/>
      <c r="Q86" s="33"/>
      <c r="R86" s="675"/>
      <c r="S86" s="830"/>
      <c r="T86" s="462"/>
      <c r="U86" s="1002"/>
      <c r="V86" s="1002"/>
      <c r="W86" s="1002"/>
      <c r="X86" s="1002"/>
      <c r="Y86" s="1002"/>
      <c r="Z86" s="1002"/>
      <c r="AA86" s="1003"/>
    </row>
    <row r="87" spans="2:27" s="19" customFormat="1" ht="25.5" hidden="1" x14ac:dyDescent="0.2">
      <c r="B87" s="580"/>
      <c r="C87" s="26"/>
      <c r="D87" s="27"/>
      <c r="E87" s="28"/>
      <c r="F87" s="29"/>
      <c r="G87" s="30"/>
      <c r="H87" s="29"/>
      <c r="I87" s="31"/>
      <c r="J87" s="32"/>
      <c r="K87" s="32"/>
      <c r="L87" s="825"/>
      <c r="M87" s="28"/>
      <c r="N87" s="32"/>
      <c r="O87" s="406"/>
      <c r="P87" s="32"/>
      <c r="Q87" s="33"/>
      <c r="R87" s="675"/>
      <c r="S87" s="830"/>
      <c r="T87" s="462"/>
      <c r="U87" s="1002"/>
      <c r="V87" s="1002"/>
      <c r="W87" s="1002"/>
      <c r="X87" s="1002"/>
      <c r="Y87" s="1002"/>
      <c r="Z87" s="1002"/>
      <c r="AA87" s="1003"/>
    </row>
    <row r="88" spans="2:27" s="19" customFormat="1" ht="25.5" hidden="1" x14ac:dyDescent="0.2">
      <c r="B88" s="580"/>
      <c r="C88" s="26"/>
      <c r="D88" s="27"/>
      <c r="E88" s="28"/>
      <c r="F88" s="29"/>
      <c r="G88" s="30"/>
      <c r="H88" s="29"/>
      <c r="I88" s="31"/>
      <c r="J88" s="32"/>
      <c r="K88" s="32"/>
      <c r="L88" s="825"/>
      <c r="M88" s="28"/>
      <c r="N88" s="32"/>
      <c r="O88" s="406"/>
      <c r="P88" s="32"/>
      <c r="Q88" s="33"/>
      <c r="R88" s="675"/>
      <c r="S88" s="830"/>
      <c r="T88" s="462"/>
      <c r="U88" s="1002"/>
      <c r="V88" s="1002"/>
      <c r="W88" s="1002"/>
      <c r="X88" s="1002"/>
      <c r="Y88" s="1002"/>
      <c r="Z88" s="1002"/>
      <c r="AA88" s="1003"/>
    </row>
    <row r="89" spans="2:27" s="19" customFormat="1" ht="25.5" hidden="1" x14ac:dyDescent="0.2">
      <c r="B89" s="580"/>
      <c r="C89" s="26"/>
      <c r="D89" s="27"/>
      <c r="E89" s="28"/>
      <c r="F89" s="29"/>
      <c r="G89" s="30"/>
      <c r="H89" s="29"/>
      <c r="I89" s="31"/>
      <c r="J89" s="32"/>
      <c r="K89" s="32"/>
      <c r="L89" s="825"/>
      <c r="M89" s="28"/>
      <c r="N89" s="32"/>
      <c r="O89" s="406"/>
      <c r="P89" s="32"/>
      <c r="Q89" s="33"/>
      <c r="R89" s="675"/>
      <c r="S89" s="830"/>
      <c r="T89" s="462"/>
      <c r="U89" s="1002"/>
      <c r="V89" s="1002"/>
      <c r="W89" s="1002"/>
      <c r="X89" s="1002"/>
      <c r="Y89" s="1002"/>
      <c r="Z89" s="1002"/>
      <c r="AA89" s="1003"/>
    </row>
    <row r="90" spans="2:27" s="19" customFormat="1" ht="25.5" hidden="1" x14ac:dyDescent="0.2">
      <c r="B90" s="580"/>
      <c r="C90" s="26"/>
      <c r="D90" s="27"/>
      <c r="E90" s="28"/>
      <c r="F90" s="29"/>
      <c r="G90" s="30"/>
      <c r="H90" s="29"/>
      <c r="I90" s="31"/>
      <c r="J90" s="32"/>
      <c r="K90" s="32"/>
      <c r="L90" s="825"/>
      <c r="M90" s="28"/>
      <c r="N90" s="32"/>
      <c r="O90" s="406"/>
      <c r="P90" s="32"/>
      <c r="Q90" s="33"/>
      <c r="R90" s="675"/>
      <c r="S90" s="830"/>
      <c r="T90" s="462"/>
      <c r="U90" s="1002"/>
      <c r="V90" s="1002"/>
      <c r="W90" s="1002"/>
      <c r="X90" s="1002"/>
      <c r="Y90" s="1002"/>
      <c r="Z90" s="1002"/>
      <c r="AA90" s="1003"/>
    </row>
    <row r="91" spans="2:27" s="19" customFormat="1" ht="25.5" hidden="1" x14ac:dyDescent="0.2">
      <c r="B91" s="580"/>
      <c r="C91" s="26"/>
      <c r="D91" s="27"/>
      <c r="E91" s="28"/>
      <c r="F91" s="29"/>
      <c r="G91" s="30"/>
      <c r="H91" s="29"/>
      <c r="I91" s="31"/>
      <c r="J91" s="32"/>
      <c r="K91" s="32"/>
      <c r="L91" s="825"/>
      <c r="M91" s="28"/>
      <c r="N91" s="32"/>
      <c r="O91" s="406"/>
      <c r="P91" s="32"/>
      <c r="Q91" s="33"/>
      <c r="R91" s="675"/>
      <c r="S91" s="830"/>
      <c r="T91" s="462"/>
      <c r="U91" s="1002"/>
      <c r="V91" s="1002"/>
      <c r="W91" s="1002"/>
      <c r="X91" s="1002"/>
      <c r="Y91" s="1002"/>
      <c r="Z91" s="1002"/>
      <c r="AA91" s="1003"/>
    </row>
    <row r="92" spans="2:27" s="19" customFormat="1" ht="25.5" hidden="1" x14ac:dyDescent="0.2">
      <c r="B92" s="580"/>
      <c r="C92" s="26"/>
      <c r="D92" s="27"/>
      <c r="E92" s="28"/>
      <c r="F92" s="29"/>
      <c r="G92" s="30"/>
      <c r="H92" s="29"/>
      <c r="I92" s="31"/>
      <c r="J92" s="32"/>
      <c r="K92" s="32"/>
      <c r="L92" s="825"/>
      <c r="M92" s="28"/>
      <c r="N92" s="32"/>
      <c r="O92" s="406"/>
      <c r="P92" s="32"/>
      <c r="Q92" s="33"/>
      <c r="R92" s="675"/>
      <c r="S92" s="830"/>
      <c r="T92" s="462"/>
      <c r="U92" s="1002"/>
      <c r="V92" s="1002"/>
      <c r="W92" s="1002"/>
      <c r="X92" s="1002"/>
      <c r="Y92" s="1002"/>
      <c r="Z92" s="1002"/>
      <c r="AA92" s="1003"/>
    </row>
    <row r="93" spans="2:27" s="19" customFormat="1" ht="25.5" hidden="1" x14ac:dyDescent="0.2">
      <c r="B93" s="580"/>
      <c r="C93" s="26"/>
      <c r="D93" s="27"/>
      <c r="E93" s="28"/>
      <c r="F93" s="29"/>
      <c r="G93" s="30"/>
      <c r="H93" s="29"/>
      <c r="I93" s="31"/>
      <c r="J93" s="32"/>
      <c r="K93" s="32"/>
      <c r="L93" s="825"/>
      <c r="M93" s="28"/>
      <c r="N93" s="32"/>
      <c r="O93" s="406"/>
      <c r="P93" s="32"/>
      <c r="Q93" s="33"/>
      <c r="R93" s="675"/>
      <c r="S93" s="830"/>
      <c r="T93" s="462"/>
      <c r="U93" s="1002"/>
      <c r="V93" s="1002"/>
      <c r="W93" s="1002"/>
      <c r="X93" s="1002"/>
      <c r="Y93" s="1002"/>
      <c r="Z93" s="1002"/>
      <c r="AA93" s="1003"/>
    </row>
    <row r="94" spans="2:27" s="19" customFormat="1" ht="25.5" hidden="1" x14ac:dyDescent="0.2">
      <c r="B94" s="580"/>
      <c r="C94" s="26"/>
      <c r="D94" s="27"/>
      <c r="E94" s="28"/>
      <c r="F94" s="29"/>
      <c r="G94" s="30"/>
      <c r="H94" s="29"/>
      <c r="I94" s="31"/>
      <c r="J94" s="32"/>
      <c r="K94" s="32"/>
      <c r="L94" s="825"/>
      <c r="M94" s="28"/>
      <c r="N94" s="32"/>
      <c r="O94" s="406"/>
      <c r="P94" s="32"/>
      <c r="Q94" s="33"/>
      <c r="R94" s="675"/>
      <c r="S94" s="830"/>
      <c r="T94" s="462"/>
      <c r="U94" s="1002"/>
      <c r="V94" s="1002"/>
      <c r="W94" s="1002"/>
      <c r="X94" s="1002"/>
      <c r="Y94" s="1002"/>
      <c r="Z94" s="1002"/>
      <c r="AA94" s="1003"/>
    </row>
    <row r="95" spans="2:27" s="19" customFormat="1" ht="25.5" hidden="1" x14ac:dyDescent="0.2">
      <c r="B95" s="580"/>
      <c r="C95" s="26"/>
      <c r="D95" s="27"/>
      <c r="E95" s="28"/>
      <c r="F95" s="29"/>
      <c r="G95" s="30"/>
      <c r="H95" s="29"/>
      <c r="I95" s="31"/>
      <c r="J95" s="32"/>
      <c r="K95" s="32"/>
      <c r="L95" s="825"/>
      <c r="M95" s="28"/>
      <c r="N95" s="32"/>
      <c r="O95" s="406"/>
      <c r="P95" s="32"/>
      <c r="Q95" s="33"/>
      <c r="R95" s="675"/>
      <c r="S95" s="830"/>
      <c r="T95" s="462"/>
      <c r="U95" s="1002"/>
      <c r="V95" s="1002"/>
      <c r="W95" s="1002"/>
      <c r="X95" s="1002"/>
      <c r="Y95" s="1002"/>
      <c r="Z95" s="1002"/>
      <c r="AA95" s="1003"/>
    </row>
    <row r="96" spans="2:27" s="19" customFormat="1" ht="25.5" hidden="1" x14ac:dyDescent="0.2">
      <c r="B96" s="580"/>
      <c r="C96" s="26"/>
      <c r="D96" s="27"/>
      <c r="E96" s="28"/>
      <c r="F96" s="29"/>
      <c r="G96" s="30"/>
      <c r="H96" s="29"/>
      <c r="I96" s="31"/>
      <c r="J96" s="32"/>
      <c r="K96" s="32"/>
      <c r="L96" s="825"/>
      <c r="M96" s="28"/>
      <c r="N96" s="32"/>
      <c r="O96" s="406"/>
      <c r="P96" s="32"/>
      <c r="Q96" s="33"/>
      <c r="R96" s="675"/>
      <c r="S96" s="830"/>
      <c r="T96" s="462"/>
      <c r="U96" s="1002"/>
      <c r="V96" s="1002"/>
      <c r="W96" s="1002"/>
      <c r="X96" s="1002"/>
      <c r="Y96" s="1002"/>
      <c r="Z96" s="1002"/>
      <c r="AA96" s="1003"/>
    </row>
    <row r="97" spans="2:27" s="19" customFormat="1" ht="25.5" hidden="1" x14ac:dyDescent="0.2">
      <c r="B97" s="580"/>
      <c r="C97" s="26"/>
      <c r="D97" s="27"/>
      <c r="E97" s="28"/>
      <c r="F97" s="29"/>
      <c r="G97" s="30"/>
      <c r="H97" s="29"/>
      <c r="I97" s="31"/>
      <c r="J97" s="32"/>
      <c r="K97" s="32"/>
      <c r="L97" s="825"/>
      <c r="M97" s="28"/>
      <c r="N97" s="32"/>
      <c r="O97" s="406"/>
      <c r="P97" s="32"/>
      <c r="Q97" s="33"/>
      <c r="R97" s="675"/>
      <c r="S97" s="830"/>
      <c r="T97" s="462"/>
      <c r="U97" s="1002"/>
      <c r="V97" s="1002"/>
      <c r="W97" s="1002"/>
      <c r="X97" s="1002"/>
      <c r="Y97" s="1002"/>
      <c r="Z97" s="1002"/>
      <c r="AA97" s="1003"/>
    </row>
    <row r="98" spans="2:27" s="19" customFormat="1" ht="25.5" hidden="1" x14ac:dyDescent="0.2">
      <c r="B98" s="580"/>
      <c r="C98" s="26"/>
      <c r="D98" s="27"/>
      <c r="E98" s="28"/>
      <c r="F98" s="29"/>
      <c r="G98" s="30"/>
      <c r="H98" s="29"/>
      <c r="I98" s="31"/>
      <c r="J98" s="32"/>
      <c r="K98" s="32"/>
      <c r="L98" s="825"/>
      <c r="M98" s="28"/>
      <c r="N98" s="32"/>
      <c r="O98" s="406"/>
      <c r="P98" s="32"/>
      <c r="Q98" s="33"/>
      <c r="R98" s="675"/>
      <c r="S98" s="830"/>
      <c r="T98" s="462"/>
      <c r="U98" s="1002"/>
      <c r="V98" s="1002"/>
      <c r="W98" s="1002"/>
      <c r="X98" s="1002"/>
      <c r="Y98" s="1002"/>
      <c r="Z98" s="1002"/>
      <c r="AA98" s="1003"/>
    </row>
    <row r="99" spans="2:27" s="19" customFormat="1" ht="18" hidden="1" customHeight="1" x14ac:dyDescent="0.2">
      <c r="B99" s="580"/>
      <c r="C99" s="26"/>
      <c r="D99" s="27"/>
      <c r="E99" s="28"/>
      <c r="F99" s="29"/>
      <c r="G99" s="30"/>
      <c r="H99" s="29"/>
      <c r="I99" s="31"/>
      <c r="J99" s="32"/>
      <c r="K99" s="32"/>
      <c r="L99" s="825"/>
      <c r="M99" s="28"/>
      <c r="N99" s="32"/>
      <c r="O99" s="406"/>
      <c r="P99" s="32"/>
      <c r="Q99" s="33"/>
      <c r="R99" s="675"/>
      <c r="S99" s="830"/>
      <c r="T99" s="462"/>
      <c r="U99" s="1002"/>
      <c r="V99" s="1002"/>
      <c r="W99" s="1002"/>
      <c r="X99" s="1002"/>
      <c r="Y99" s="1002"/>
      <c r="Z99" s="1002"/>
      <c r="AA99" s="1003"/>
    </row>
    <row r="100" spans="2:27" s="19" customFormat="1" ht="33" hidden="1" customHeight="1" x14ac:dyDescent="0.2">
      <c r="B100" s="580"/>
      <c r="C100" s="26"/>
      <c r="D100" s="27"/>
      <c r="E100" s="28"/>
      <c r="F100" s="29"/>
      <c r="G100" s="30"/>
      <c r="H100" s="29"/>
      <c r="I100" s="31"/>
      <c r="J100" s="32"/>
      <c r="K100" s="32"/>
      <c r="L100" s="825"/>
      <c r="M100" s="28"/>
      <c r="N100" s="32"/>
      <c r="O100" s="406"/>
      <c r="P100" s="32"/>
      <c r="Q100" s="33"/>
      <c r="R100" s="675"/>
      <c r="S100" s="830"/>
      <c r="T100" s="462"/>
      <c r="U100" s="1002"/>
      <c r="V100" s="1002"/>
      <c r="W100" s="1002"/>
      <c r="X100" s="1002"/>
      <c r="Y100" s="1002"/>
      <c r="Z100" s="1002"/>
      <c r="AA100" s="1003"/>
    </row>
    <row r="101" spans="2:27" s="19" customFormat="1" ht="26.25" hidden="1" customHeight="1" thickBot="1" x14ac:dyDescent="0.25">
      <c r="B101" s="580"/>
      <c r="C101" s="26"/>
      <c r="D101" s="27"/>
      <c r="E101" s="28"/>
      <c r="F101" s="29"/>
      <c r="G101" s="30"/>
      <c r="H101" s="29"/>
      <c r="I101" s="31"/>
      <c r="J101" s="32"/>
      <c r="K101" s="32"/>
      <c r="L101" s="825"/>
      <c r="M101" s="28"/>
      <c r="N101" s="32"/>
      <c r="O101" s="406"/>
      <c r="P101" s="32"/>
      <c r="Q101" s="33"/>
      <c r="R101" s="675"/>
      <c r="S101" s="830"/>
      <c r="T101" s="462"/>
      <c r="U101" s="1002"/>
      <c r="V101" s="1002"/>
      <c r="W101" s="1002"/>
      <c r="X101" s="1002"/>
      <c r="Y101" s="1002"/>
      <c r="Z101" s="1002"/>
      <c r="AA101" s="1003"/>
    </row>
    <row r="102" spans="2:27" s="19" customFormat="1" ht="21" hidden="1" thickBot="1" x14ac:dyDescent="0.25">
      <c r="B102" s="776"/>
      <c r="C102" s="75"/>
      <c r="D102" s="71"/>
      <c r="E102" s="28"/>
      <c r="F102" s="29"/>
      <c r="G102" s="30"/>
      <c r="H102" s="29"/>
      <c r="I102" s="31"/>
      <c r="J102" s="32"/>
      <c r="K102" s="32"/>
      <c r="L102" s="824"/>
      <c r="M102" s="828"/>
      <c r="N102" s="72"/>
      <c r="O102" s="829"/>
      <c r="P102" s="72"/>
      <c r="Q102" s="79"/>
      <c r="R102" s="675"/>
      <c r="S102" s="876"/>
      <c r="T102" s="559"/>
      <c r="U102" s="1076"/>
      <c r="V102" s="1076"/>
      <c r="W102" s="1076"/>
      <c r="X102" s="1076"/>
      <c r="Y102" s="1076"/>
      <c r="Z102" s="1076"/>
      <c r="AA102" s="1077"/>
    </row>
    <row r="103" spans="2:27" s="19" customFormat="1" ht="69.599999999999994" customHeight="1" thickBot="1" x14ac:dyDescent="0.25">
      <c r="B103" s="729" t="s">
        <v>3</v>
      </c>
      <c r="C103" s="730"/>
      <c r="D103" s="731">
        <f>SUM(D4:D102)</f>
        <v>119504</v>
      </c>
      <c r="E103" s="732">
        <f>AVERAGE(E4:E102)</f>
        <v>1.163966049382716</v>
      </c>
      <c r="F103" s="733">
        <f>SUM(F4:F102)</f>
        <v>6750.0094399999989</v>
      </c>
      <c r="G103" s="731">
        <f>SUM(G4:G102)</f>
        <v>99111</v>
      </c>
      <c r="H103" s="733">
        <f>SUM(H4:H102)</f>
        <v>6588.5688</v>
      </c>
      <c r="I103" s="734">
        <f>SUM(I4:I101)</f>
        <v>357</v>
      </c>
      <c r="J103" s="734">
        <f>G103/(L103/60)</f>
        <v>242.85959323695172</v>
      </c>
      <c r="K103" s="735">
        <f>SUM(K4:K102)</f>
        <v>17831</v>
      </c>
      <c r="L103" s="736">
        <f>SUM(L4:L102)</f>
        <v>24486</v>
      </c>
      <c r="M103" s="737">
        <f>AVERAGE(M4:M102)</f>
        <v>1.2181040051679586</v>
      </c>
      <c r="N103" s="731">
        <f>SUM(N4:N102)</f>
        <v>15022</v>
      </c>
      <c r="O103" s="734">
        <f>SUM(O4:O102)</f>
        <v>1295</v>
      </c>
      <c r="P103" s="734">
        <f>SUM(P4:P102)</f>
        <v>1659</v>
      </c>
      <c r="Q103" s="738">
        <f>(F103-H103)/F103</f>
        <v>2.3917098403346666E-2</v>
      </c>
      <c r="R103" s="875">
        <f>($G103)/(($L103/60)*AC$3*(1/24))</f>
        <v>0.34286060221687303</v>
      </c>
      <c r="S103" s="739">
        <f>(G103)*24/((K103)/60)/$AC$3</f>
        <v>0.47082523166857454</v>
      </c>
      <c r="T103" s="559">
        <f>(29557-((N103)-[2]Jan!$AC$61-[2]Jan!$AB$61-[2]Jan!$AA$61-[2]Jan!$Z$61-[2]Jan!$N$61-[2]Jan!$M$61-[2]Jan!$L$61-[2]Jan!$K$61-[2]Jan!$J$61-[2]Jan!$I$61-[2]Jan!$H$61))/29557</f>
        <v>0.66498629766214434</v>
      </c>
      <c r="U103" s="1011"/>
      <c r="V103" s="1011"/>
      <c r="W103" s="1011"/>
      <c r="X103" s="1011"/>
      <c r="Y103" s="1011"/>
      <c r="Z103" s="1011"/>
      <c r="AA103" s="1012"/>
    </row>
    <row r="104" spans="2:27" s="724" customFormat="1" ht="65.099999999999994" customHeight="1" thickTop="1" x14ac:dyDescent="0.2">
      <c r="B104" s="714" t="s">
        <v>861</v>
      </c>
      <c r="C104" s="715"/>
      <c r="D104" s="716"/>
      <c r="E104" s="717"/>
      <c r="F104" s="718"/>
      <c r="G104" s="716"/>
      <c r="H104" s="718"/>
      <c r="I104" s="722"/>
      <c r="J104" s="661">
        <v>350</v>
      </c>
      <c r="K104" s="641"/>
      <c r="L104" s="641"/>
      <c r="M104" s="642"/>
      <c r="N104" s="641"/>
      <c r="O104" s="643"/>
      <c r="P104" s="644"/>
      <c r="Q104" s="645">
        <v>1.7999999999999999E-2</v>
      </c>
      <c r="R104" s="646">
        <v>0.56000000000000005</v>
      </c>
      <c r="S104" s="646">
        <v>0.66</v>
      </c>
      <c r="T104" s="647">
        <v>0.8</v>
      </c>
      <c r="U104" s="723"/>
      <c r="V104" s="723"/>
      <c r="W104" s="723"/>
      <c r="X104" s="723"/>
      <c r="Y104" s="723"/>
      <c r="Z104" s="723"/>
      <c r="AA104" s="723"/>
    </row>
    <row r="105" spans="2:27" s="1" customFormat="1" x14ac:dyDescent="0.2">
      <c r="J105"/>
      <c r="K105"/>
      <c r="M105"/>
      <c r="N105"/>
      <c r="O105" s="392"/>
      <c r="P105" s="2"/>
      <c r="R105"/>
      <c r="S105"/>
      <c r="U105"/>
    </row>
    <row r="106" spans="2:27" s="1" customFormat="1" ht="23.25" x14ac:dyDescent="0.3">
      <c r="G106" s="470"/>
      <c r="H106" s="467"/>
      <c r="J106"/>
      <c r="K106"/>
      <c r="M106"/>
      <c r="N106"/>
      <c r="O106" s="392"/>
      <c r="P106" s="2"/>
      <c r="R106"/>
      <c r="S106"/>
      <c r="U106"/>
    </row>
    <row r="107" spans="2:27" s="478" customFormat="1" ht="24.75" customHeight="1" x14ac:dyDescent="0.35">
      <c r="B107" s="489"/>
      <c r="C107" s="469" t="s">
        <v>849</v>
      </c>
      <c r="D107" s="470">
        <v>109550</v>
      </c>
      <c r="E107" s="1010" t="s">
        <v>422</v>
      </c>
      <c r="F107" s="1010"/>
      <c r="G107" s="831">
        <f>D107-G103</f>
        <v>10439</v>
      </c>
      <c r="H107" s="469" t="s">
        <v>327</v>
      </c>
      <c r="I107" s="471">
        <f>G103/D107</f>
        <v>0.9047101780009128</v>
      </c>
      <c r="J107" s="472">
        <v>0</v>
      </c>
      <c r="K107" s="473"/>
      <c r="L107" s="473"/>
      <c r="M107" s="473"/>
      <c r="N107" s="473"/>
      <c r="O107" s="473"/>
      <c r="P107" s="490"/>
      <c r="Q107" s="491"/>
      <c r="R107" s="492"/>
      <c r="S107" s="493"/>
      <c r="T107" s="493"/>
      <c r="U107" s="494" t="s">
        <v>48</v>
      </c>
    </row>
    <row r="108" spans="2:27" s="478" customFormat="1" ht="20.25" customHeight="1" x14ac:dyDescent="0.35">
      <c r="B108" s="489"/>
      <c r="C108" s="469" t="s">
        <v>37</v>
      </c>
      <c r="D108" s="470">
        <f>D107</f>
        <v>109550</v>
      </c>
      <c r="E108" s="1010" t="s">
        <v>36</v>
      </c>
      <c r="F108" s="1010"/>
      <c r="G108" s="470">
        <f>G103</f>
        <v>99111</v>
      </c>
      <c r="H108" s="469" t="s">
        <v>326</v>
      </c>
      <c r="I108" s="474">
        <v>0</v>
      </c>
      <c r="J108" s="472"/>
      <c r="K108" s="473">
        <v>0</v>
      </c>
      <c r="L108" s="473"/>
      <c r="M108" s="473"/>
      <c r="N108" s="473"/>
      <c r="O108" s="473"/>
      <c r="P108" s="490"/>
      <c r="Q108" s="491"/>
      <c r="R108" s="492"/>
      <c r="S108" s="493"/>
      <c r="T108" s="493"/>
      <c r="U108" s="494"/>
    </row>
    <row r="109" spans="2:27" ht="24" thickBot="1" x14ac:dyDescent="0.4">
      <c r="C109" s="479"/>
      <c r="D109" s="470"/>
      <c r="E109" s="1010"/>
      <c r="F109" s="1010"/>
      <c r="G109" s="470"/>
      <c r="H109" s="476"/>
      <c r="I109" s="476"/>
      <c r="J109" s="472"/>
      <c r="K109" s="478"/>
      <c r="L109" s="1"/>
      <c r="P109"/>
      <c r="U109" s="17"/>
    </row>
    <row r="110" spans="2:27" ht="129" thickTop="1" thickBot="1" x14ac:dyDescent="0.4">
      <c r="B110" s="7"/>
      <c r="C110" s="479"/>
      <c r="D110" s="470"/>
      <c r="E110" s="1010"/>
      <c r="F110" s="1010"/>
      <c r="G110" s="470"/>
      <c r="H110" s="476"/>
      <c r="I110" s="476"/>
      <c r="J110" s="472"/>
      <c r="K110" s="478"/>
      <c r="L110" s="1"/>
      <c r="M110" s="473"/>
      <c r="N110" s="473"/>
      <c r="O110" s="473"/>
      <c r="P110" s="459"/>
      <c r="Q110" s="537" t="s">
        <v>325</v>
      </c>
      <c r="R110" s="538" t="s">
        <v>467</v>
      </c>
      <c r="S110" s="539" t="s">
        <v>324</v>
      </c>
      <c r="T110" s="524" t="s">
        <v>576</v>
      </c>
    </row>
    <row r="111" spans="2:27" ht="36" customHeight="1" thickBot="1" x14ac:dyDescent="0.4">
      <c r="B111" s="8"/>
      <c r="C111" s="479"/>
      <c r="D111" s="470"/>
      <c r="E111" s="1010"/>
      <c r="F111" s="1010"/>
      <c r="G111" s="470"/>
      <c r="H111" s="476"/>
      <c r="I111" s="476"/>
      <c r="J111" s="472"/>
      <c r="K111" s="478"/>
      <c r="L111" s="1"/>
      <c r="N111" s="473"/>
      <c r="P111"/>
      <c r="Q111" s="540">
        <f>Q103</f>
        <v>2.3917098403346666E-2</v>
      </c>
      <c r="R111" s="541">
        <f>R103</f>
        <v>0.34286060221687303</v>
      </c>
      <c r="S111" s="541">
        <f>S103</f>
        <v>0.47082523166857454</v>
      </c>
      <c r="T111" s="542">
        <f>T103</f>
        <v>0.66498629766214434</v>
      </c>
    </row>
    <row r="112" spans="2:27" s="1" customFormat="1" ht="23.25" x14ac:dyDescent="0.35">
      <c r="B112" s="8"/>
      <c r="C112" s="479"/>
      <c r="D112" s="470"/>
      <c r="E112" s="1010"/>
      <c r="F112" s="1010"/>
      <c r="G112" s="470"/>
      <c r="H112" s="476"/>
      <c r="I112" s="476"/>
      <c r="J112" s="472"/>
      <c r="K112" s="478"/>
      <c r="M112" s="473"/>
      <c r="N112" s="473"/>
      <c r="O112" s="473"/>
      <c r="P112" s="2"/>
      <c r="R112"/>
      <c r="S112"/>
      <c r="U112"/>
      <c r="Z112"/>
    </row>
    <row r="113" spans="2:26" s="1" customFormat="1" ht="23.25" x14ac:dyDescent="0.35">
      <c r="B113" s="8"/>
      <c r="C113" s="479"/>
      <c r="D113" s="470"/>
      <c r="E113" s="1010"/>
      <c r="F113" s="1010"/>
      <c r="G113" s="470"/>
      <c r="H113" s="476"/>
      <c r="I113" s="476"/>
      <c r="J113" s="472"/>
      <c r="K113" s="478"/>
      <c r="M113"/>
      <c r="N113"/>
      <c r="O113" s="392"/>
      <c r="P113" s="2"/>
      <c r="R113"/>
      <c r="S113"/>
      <c r="U113"/>
      <c r="Z113"/>
    </row>
    <row r="114" spans="2:26" s="1" customFormat="1" ht="23.25" hidden="1" x14ac:dyDescent="0.35">
      <c r="B114" s="8"/>
      <c r="C114" s="479"/>
      <c r="D114" s="470"/>
      <c r="E114" s="1010"/>
      <c r="F114" s="1010"/>
      <c r="G114" s="470"/>
      <c r="H114" s="476"/>
      <c r="I114" s="476"/>
      <c r="J114" s="472"/>
      <c r="K114" s="478"/>
      <c r="M114" s="473"/>
      <c r="N114" s="473"/>
      <c r="O114" s="473"/>
      <c r="P114" s="2"/>
      <c r="Q114" s="159"/>
      <c r="R114" s="160"/>
      <c r="S114" s="161"/>
      <c r="T114" s="234"/>
      <c r="U114"/>
    </row>
    <row r="115" spans="2:26" s="1" customFormat="1" ht="23.25" hidden="1" x14ac:dyDescent="0.35">
      <c r="B115" s="8"/>
      <c r="C115" s="479"/>
      <c r="D115" s="470"/>
      <c r="E115" s="1010"/>
      <c r="F115" s="1010"/>
      <c r="G115" s="470"/>
      <c r="H115" s="476"/>
      <c r="I115" s="476"/>
      <c r="J115" s="472"/>
      <c r="K115" s="478"/>
      <c r="M115"/>
      <c r="N115"/>
      <c r="O115" s="392"/>
      <c r="P115" s="2"/>
      <c r="Q115" s="159"/>
      <c r="R115"/>
      <c r="S115" s="6"/>
      <c r="T115" s="10"/>
      <c r="U115"/>
    </row>
    <row r="116" spans="2:26" s="1" customFormat="1" ht="23.25" hidden="1" x14ac:dyDescent="0.35">
      <c r="B116" s="8"/>
      <c r="C116" s="479"/>
      <c r="D116" s="470"/>
      <c r="E116" s="1010"/>
      <c r="F116" s="1010"/>
      <c r="G116" s="470"/>
      <c r="H116" s="476"/>
      <c r="I116" s="476"/>
      <c r="J116" s="472"/>
      <c r="K116" s="478"/>
      <c r="M116" s="473"/>
      <c r="N116" s="473"/>
      <c r="O116" s="473"/>
      <c r="P116" s="2"/>
      <c r="Q116" s="159"/>
      <c r="R116" s="465"/>
      <c r="S116" s="139"/>
      <c r="U116"/>
    </row>
    <row r="117" spans="2:26" s="1" customFormat="1" ht="23.25" hidden="1" x14ac:dyDescent="0.35">
      <c r="B117" s="8"/>
      <c r="C117" s="479"/>
      <c r="D117" s="470"/>
      <c r="E117" s="1010"/>
      <c r="F117" s="1010"/>
      <c r="G117" s="470"/>
      <c r="H117" s="476"/>
      <c r="I117" s="476"/>
      <c r="J117" s="472"/>
      <c r="K117" s="478"/>
      <c r="M117"/>
      <c r="N117"/>
      <c r="O117" s="392"/>
      <c r="P117" s="2"/>
      <c r="Q117" s="159"/>
      <c r="R117" s="465"/>
      <c r="S117" s="139"/>
      <c r="U117"/>
    </row>
    <row r="118" spans="2:26" s="1" customFormat="1" ht="23.25" hidden="1" x14ac:dyDescent="0.35">
      <c r="C118" s="479"/>
      <c r="D118" s="470"/>
      <c r="E118" s="1010"/>
      <c r="F118" s="1010"/>
      <c r="G118" s="470"/>
      <c r="H118" s="476"/>
      <c r="I118" s="476"/>
      <c r="J118" s="472"/>
      <c r="K118" s="478"/>
      <c r="M118" s="473"/>
      <c r="N118" s="473"/>
      <c r="O118" s="473"/>
      <c r="P118" s="139" t="s">
        <v>845</v>
      </c>
      <c r="Q118" s="159"/>
      <c r="R118"/>
      <c r="S118" s="465"/>
      <c r="U118"/>
    </row>
    <row r="119" spans="2:26" s="1" customFormat="1" ht="23.25" hidden="1" x14ac:dyDescent="0.35">
      <c r="C119" s="479"/>
      <c r="D119" s="470"/>
      <c r="E119" s="1010"/>
      <c r="F119" s="1010"/>
      <c r="G119" s="470"/>
      <c r="H119" s="476"/>
      <c r="I119" s="476"/>
      <c r="J119" s="472"/>
      <c r="K119" s="478"/>
      <c r="M119"/>
      <c r="N119"/>
      <c r="O119" s="392"/>
      <c r="P119" s="139"/>
      <c r="Q119" s="159"/>
      <c r="R119"/>
      <c r="S119"/>
      <c r="U119"/>
      <c r="V119" s="316"/>
      <c r="W119" s="317"/>
      <c r="X119" s="317"/>
      <c r="Y119" s="317"/>
    </row>
    <row r="120" spans="2:26" s="1" customFormat="1" ht="41.1" hidden="1" customHeight="1" x14ac:dyDescent="0.25">
      <c r="C120" s="311"/>
      <c r="D120" s="153"/>
      <c r="E120" s="312"/>
      <c r="F120" s="313"/>
      <c r="G120" s="314"/>
      <c r="H120" s="314"/>
      <c r="I120" s="315"/>
      <c r="J120" s="315"/>
      <c r="K120" s="315"/>
      <c r="L120" s="473"/>
      <c r="M120" s="473"/>
      <c r="N120" s="473"/>
      <c r="O120" s="473"/>
      <c r="P120" s="139"/>
      <c r="Q120" s="159"/>
      <c r="R120"/>
      <c r="S120"/>
      <c r="U120"/>
      <c r="V120" s="316"/>
      <c r="W120" s="317"/>
      <c r="X120" s="317"/>
      <c r="Y120" s="317"/>
    </row>
    <row r="121" spans="2:26" s="1" customFormat="1" ht="13.5" hidden="1" thickBot="1" x14ac:dyDescent="0.25">
      <c r="J121"/>
      <c r="K121"/>
      <c r="M121"/>
      <c r="N121"/>
      <c r="O121" s="392"/>
      <c r="P121" s="2"/>
      <c r="U121" s="9"/>
    </row>
    <row r="122" spans="2:26" s="1" customFormat="1" ht="27.75" hidden="1" customHeight="1" thickBot="1" x14ac:dyDescent="0.3">
      <c r="C122" s="528"/>
      <c r="D122" s="528"/>
      <c r="E122" s="528"/>
      <c r="F122" s="528"/>
      <c r="G122" s="528"/>
      <c r="H122" s="528"/>
      <c r="I122" s="528"/>
      <c r="J122" s="529"/>
      <c r="K122" s="529"/>
      <c r="L122" s="528"/>
      <c r="M122" s="529"/>
      <c r="N122" s="529"/>
      <c r="O122" s="529"/>
      <c r="P122" s="530"/>
      <c r="Q122" s="528"/>
      <c r="R122"/>
      <c r="S122" s="128">
        <f>($P$123)*24/($Q$123/60)/20000</f>
        <v>0.40020144691828835</v>
      </c>
      <c r="U122" s="9"/>
    </row>
    <row r="123" spans="2:26" s="1" customFormat="1" ht="21" hidden="1" customHeight="1" thickTop="1" thickBot="1" x14ac:dyDescent="0.3">
      <c r="C123" s="528"/>
      <c r="D123" s="528"/>
      <c r="E123" s="528"/>
      <c r="F123" s="528"/>
      <c r="G123" s="528"/>
      <c r="H123" s="528"/>
      <c r="I123" s="528"/>
      <c r="J123" s="529"/>
      <c r="K123" s="529"/>
      <c r="L123" s="528"/>
      <c r="M123" s="529"/>
      <c r="N123" s="529"/>
      <c r="O123" s="600" t="s">
        <v>36</v>
      </c>
      <c r="P123" s="530">
        <f>G108</f>
        <v>99111</v>
      </c>
      <c r="Q123" s="531">
        <f>K103</f>
        <v>17831</v>
      </c>
      <c r="R123" s="316" t="s">
        <v>858</v>
      </c>
      <c r="S123" s="128">
        <f>($P$123)*24/($Q$123/60)/17000</f>
        <v>0.47082523166857454</v>
      </c>
      <c r="U123" s="9"/>
    </row>
    <row r="124" spans="2:26" s="1" customFormat="1" ht="21" hidden="1" customHeight="1" thickTop="1" thickBot="1" x14ac:dyDescent="0.35">
      <c r="C124" s="528"/>
      <c r="D124" s="528"/>
      <c r="E124" s="528"/>
      <c r="F124" s="528"/>
      <c r="G124" s="528"/>
      <c r="H124" s="528"/>
      <c r="I124" s="528"/>
      <c r="J124" s="529"/>
      <c r="K124" s="529"/>
      <c r="L124" s="528"/>
      <c r="M124" s="529"/>
      <c r="N124" s="529"/>
      <c r="O124" s="600" t="s">
        <v>857</v>
      </c>
      <c r="P124" s="530">
        <f>SUM(F103)</f>
        <v>6750.0094399999989</v>
      </c>
      <c r="Q124" s="532">
        <f>SUM(H103)</f>
        <v>6588.5688</v>
      </c>
      <c r="R124" s="316" t="s">
        <v>859</v>
      </c>
      <c r="S124" s="87">
        <f>(P124-Q124)/P124</f>
        <v>2.3917098403346666E-2</v>
      </c>
      <c r="T124" s="463"/>
      <c r="U124" s="9"/>
    </row>
    <row r="125" spans="2:26" s="1" customFormat="1" ht="13.5" hidden="1" customHeight="1" thickTop="1" x14ac:dyDescent="0.25">
      <c r="C125" s="528"/>
      <c r="D125" s="528"/>
      <c r="E125" s="528"/>
      <c r="F125" s="528"/>
      <c r="G125" s="528"/>
      <c r="H125" s="528"/>
      <c r="I125" s="528"/>
      <c r="J125" s="529"/>
      <c r="K125" s="529"/>
      <c r="L125" s="528"/>
      <c r="M125" s="529"/>
      <c r="N125" s="529"/>
      <c r="O125" s="529"/>
      <c r="P125" s="530"/>
      <c r="Q125" s="528"/>
      <c r="R125"/>
      <c r="S125"/>
      <c r="U125" s="9"/>
    </row>
    <row r="126" spans="2:26" s="1" customFormat="1" hidden="1" x14ac:dyDescent="0.2">
      <c r="J126"/>
      <c r="K126"/>
      <c r="M126"/>
      <c r="N126"/>
      <c r="O126" s="392"/>
      <c r="P126" s="2"/>
      <c r="R126"/>
      <c r="S126"/>
      <c r="U126"/>
    </row>
    <row r="127" spans="2:26" s="1" customFormat="1" hidden="1" x14ac:dyDescent="0.2">
      <c r="J127"/>
      <c r="K127"/>
      <c r="M127"/>
      <c r="N127"/>
      <c r="O127" s="392"/>
      <c r="P127" s="2"/>
      <c r="R127"/>
      <c r="S127"/>
      <c r="U127"/>
    </row>
    <row r="128" spans="2:26" s="1" customFormat="1" hidden="1" x14ac:dyDescent="0.2">
      <c r="J128"/>
      <c r="K128"/>
      <c r="M128"/>
      <c r="N128"/>
      <c r="O128" s="392"/>
      <c r="P128" s="2"/>
      <c r="R128"/>
      <c r="S128"/>
      <c r="U128"/>
    </row>
    <row r="129" spans="10:21" s="1" customFormat="1" hidden="1" x14ac:dyDescent="0.2">
      <c r="J129"/>
      <c r="K129"/>
      <c r="M129"/>
      <c r="N129"/>
      <c r="O129" s="392"/>
      <c r="P129" s="2"/>
      <c r="R129"/>
      <c r="S129"/>
      <c r="U129"/>
    </row>
    <row r="130" spans="10:21" s="1" customFormat="1" hidden="1" x14ac:dyDescent="0.2">
      <c r="J130"/>
      <c r="K130"/>
      <c r="M130"/>
      <c r="N130"/>
      <c r="O130" s="392"/>
      <c r="P130" s="2"/>
      <c r="R130"/>
      <c r="S130"/>
      <c r="U130"/>
    </row>
    <row r="131" spans="10:21" s="1" customFormat="1" hidden="1" x14ac:dyDescent="0.2">
      <c r="J131"/>
      <c r="K131"/>
      <c r="M131"/>
      <c r="N131"/>
      <c r="O131" s="392"/>
      <c r="P131" s="2"/>
      <c r="R131"/>
      <c r="S131"/>
      <c r="U131"/>
    </row>
    <row r="132" spans="10:21" s="1" customFormat="1" hidden="1" x14ac:dyDescent="0.2">
      <c r="J132"/>
      <c r="K132"/>
      <c r="M132"/>
      <c r="N132"/>
      <c r="O132" s="392"/>
      <c r="P132" s="2"/>
      <c r="R132"/>
      <c r="S132"/>
      <c r="U132"/>
    </row>
    <row r="133" spans="10:21" s="1" customFormat="1" hidden="1" x14ac:dyDescent="0.2">
      <c r="J133"/>
      <c r="K133"/>
      <c r="M133"/>
      <c r="N133"/>
      <c r="O133" s="392"/>
      <c r="P133" s="2"/>
      <c r="R133"/>
      <c r="S133"/>
      <c r="U133"/>
    </row>
    <row r="134" spans="10:21" s="1" customFormat="1" hidden="1" x14ac:dyDescent="0.2">
      <c r="J134"/>
      <c r="K134"/>
      <c r="M134"/>
      <c r="N134"/>
      <c r="O134" s="392"/>
      <c r="P134" s="2"/>
      <c r="R134"/>
      <c r="S134"/>
      <c r="U134"/>
    </row>
    <row r="135" spans="10:21" s="1" customFormat="1" x14ac:dyDescent="0.2">
      <c r="J135"/>
      <c r="K135"/>
      <c r="M135"/>
      <c r="N135"/>
      <c r="O135" s="392"/>
      <c r="P135" s="2"/>
      <c r="R135"/>
      <c r="S135"/>
      <c r="U135"/>
    </row>
    <row r="136" spans="10:21" s="1" customFormat="1" x14ac:dyDescent="0.2">
      <c r="J136"/>
      <c r="K136"/>
      <c r="M136"/>
      <c r="N136"/>
      <c r="O136" s="392"/>
      <c r="P136" s="2"/>
      <c r="R136"/>
      <c r="S136"/>
      <c r="U136"/>
    </row>
    <row r="137" spans="10:21" s="1" customFormat="1" x14ac:dyDescent="0.2">
      <c r="J137"/>
      <c r="K137"/>
      <c r="M137"/>
      <c r="N137"/>
      <c r="O137" s="392"/>
      <c r="P137" s="2"/>
      <c r="R137"/>
      <c r="S137"/>
      <c r="U137"/>
    </row>
    <row r="138" spans="10:21" s="1" customFormat="1" x14ac:dyDescent="0.2">
      <c r="J138"/>
      <c r="K138"/>
      <c r="M138"/>
      <c r="N138"/>
      <c r="O138" s="392"/>
      <c r="P138" s="2"/>
      <c r="R138"/>
      <c r="S138"/>
      <c r="U138"/>
    </row>
    <row r="139" spans="10:21" s="1" customFormat="1" x14ac:dyDescent="0.2">
      <c r="J139"/>
      <c r="K139"/>
      <c r="M139"/>
      <c r="N139"/>
      <c r="O139" s="392"/>
      <c r="P139" s="2"/>
      <c r="R139"/>
      <c r="S139"/>
      <c r="U139"/>
    </row>
    <row r="140" spans="10:21" s="1" customFormat="1" x14ac:dyDescent="0.2">
      <c r="J140"/>
      <c r="K140"/>
      <c r="M140"/>
      <c r="N140"/>
      <c r="O140" s="392"/>
      <c r="P140" s="2"/>
      <c r="R140"/>
      <c r="S140"/>
      <c r="U140"/>
    </row>
    <row r="141" spans="10:21" s="1" customFormat="1" x14ac:dyDescent="0.2">
      <c r="J141"/>
      <c r="K141"/>
      <c r="M141"/>
      <c r="N141"/>
      <c r="O141" s="392"/>
      <c r="P141" s="2"/>
      <c r="R141"/>
      <c r="S141"/>
      <c r="U141"/>
    </row>
    <row r="142" spans="10:21" s="1" customFormat="1" x14ac:dyDescent="0.2">
      <c r="J142"/>
      <c r="K142"/>
      <c r="M142"/>
      <c r="N142"/>
      <c r="O142" s="392"/>
      <c r="P142" s="2"/>
      <c r="R142"/>
      <c r="S142"/>
      <c r="U142"/>
    </row>
    <row r="143" spans="10:21" s="1" customFormat="1" x14ac:dyDescent="0.2">
      <c r="J143"/>
      <c r="K143"/>
      <c r="M143"/>
      <c r="N143"/>
      <c r="O143" s="392"/>
      <c r="P143" s="2"/>
      <c r="R143"/>
      <c r="S143"/>
      <c r="U143"/>
    </row>
    <row r="144" spans="10:21" s="1" customFormat="1" x14ac:dyDescent="0.2">
      <c r="J144"/>
      <c r="K144"/>
      <c r="M144"/>
      <c r="N144"/>
      <c r="O144" s="392"/>
      <c r="P144" s="2"/>
      <c r="R144"/>
      <c r="S144"/>
      <c r="U144"/>
    </row>
    <row r="145" spans="10:21" s="1" customFormat="1" x14ac:dyDescent="0.2">
      <c r="J145"/>
      <c r="K145"/>
      <c r="M145"/>
      <c r="N145"/>
      <c r="O145" s="392"/>
      <c r="P145" s="2"/>
      <c r="R145"/>
      <c r="S145"/>
      <c r="U145"/>
    </row>
    <row r="146" spans="10:21" s="1" customFormat="1" x14ac:dyDescent="0.2">
      <c r="J146"/>
      <c r="K146"/>
      <c r="M146"/>
      <c r="N146"/>
      <c r="O146" s="392"/>
      <c r="P146" s="2"/>
      <c r="R146"/>
      <c r="S146"/>
      <c r="U146"/>
    </row>
    <row r="147" spans="10:21" s="1" customFormat="1" x14ac:dyDescent="0.2">
      <c r="J147"/>
      <c r="K147"/>
      <c r="M147"/>
      <c r="N147"/>
      <c r="O147" s="392"/>
      <c r="P147" s="2"/>
      <c r="R147"/>
      <c r="S147"/>
      <c r="U147"/>
    </row>
    <row r="148" spans="10:21" s="1" customFormat="1" x14ac:dyDescent="0.2">
      <c r="J148"/>
      <c r="K148"/>
      <c r="M148"/>
      <c r="N148"/>
      <c r="O148" s="392"/>
      <c r="P148" s="2"/>
      <c r="R148"/>
      <c r="S148"/>
      <c r="U148"/>
    </row>
    <row r="149" spans="10:21" s="1" customFormat="1" x14ac:dyDescent="0.2">
      <c r="J149"/>
      <c r="K149"/>
      <c r="M149"/>
      <c r="N149"/>
      <c r="O149" s="392"/>
      <c r="P149" s="2"/>
      <c r="R149"/>
      <c r="S149"/>
      <c r="U149"/>
    </row>
    <row r="150" spans="10:21" s="1" customFormat="1" x14ac:dyDescent="0.2">
      <c r="J150"/>
      <c r="K150"/>
      <c r="M150"/>
      <c r="N150"/>
      <c r="O150" s="392"/>
      <c r="P150" s="2"/>
      <c r="R150"/>
      <c r="S150"/>
      <c r="U150"/>
    </row>
    <row r="151" spans="10:21" s="1" customFormat="1" x14ac:dyDescent="0.2">
      <c r="J151"/>
      <c r="K151"/>
      <c r="M151"/>
      <c r="N151"/>
      <c r="O151" s="392"/>
      <c r="P151" s="2"/>
      <c r="R151"/>
      <c r="S151"/>
      <c r="U151"/>
    </row>
    <row r="152" spans="10:21" s="1" customFormat="1" x14ac:dyDescent="0.2">
      <c r="J152"/>
      <c r="K152"/>
      <c r="M152"/>
      <c r="N152"/>
      <c r="O152" s="392"/>
      <c r="P152" s="2"/>
      <c r="R152"/>
      <c r="S152"/>
      <c r="U152"/>
    </row>
    <row r="153" spans="10:21" s="1" customFormat="1" x14ac:dyDescent="0.2">
      <c r="J153"/>
      <c r="K153"/>
      <c r="M153"/>
      <c r="N153"/>
      <c r="O153" s="392"/>
      <c r="P153" s="2"/>
      <c r="R153"/>
      <c r="S153"/>
      <c r="U153"/>
    </row>
    <row r="154" spans="10:21" s="1" customFormat="1" x14ac:dyDescent="0.2">
      <c r="J154"/>
      <c r="K154"/>
      <c r="M154"/>
      <c r="N154"/>
      <c r="O154" s="392"/>
      <c r="P154" s="2"/>
      <c r="R154"/>
      <c r="S154"/>
      <c r="U154"/>
    </row>
    <row r="155" spans="10:21" s="1" customFormat="1" x14ac:dyDescent="0.2">
      <c r="J155"/>
      <c r="K155"/>
      <c r="M155"/>
      <c r="N155"/>
      <c r="O155" s="392"/>
      <c r="P155" s="2"/>
      <c r="R155"/>
      <c r="S155"/>
      <c r="U155"/>
    </row>
    <row r="156" spans="10:21" s="1" customFormat="1" x14ac:dyDescent="0.2">
      <c r="J156"/>
      <c r="K156"/>
      <c r="M156"/>
      <c r="N156"/>
      <c r="O156" s="392"/>
      <c r="P156" s="2"/>
      <c r="R156"/>
      <c r="S156"/>
      <c r="U156"/>
    </row>
    <row r="157" spans="10:21" s="1" customFormat="1" x14ac:dyDescent="0.2">
      <c r="J157"/>
      <c r="K157"/>
      <c r="M157"/>
      <c r="N157"/>
      <c r="O157" s="392"/>
      <c r="P157" s="2"/>
      <c r="R157"/>
      <c r="S157"/>
      <c r="U157"/>
    </row>
    <row r="158" spans="10:21" s="1" customFormat="1" x14ac:dyDescent="0.2">
      <c r="J158"/>
      <c r="K158"/>
      <c r="M158"/>
      <c r="N158"/>
      <c r="O158" s="392"/>
      <c r="P158" s="2"/>
      <c r="R158"/>
      <c r="S158"/>
      <c r="U158"/>
    </row>
    <row r="159" spans="10:21" s="1" customFormat="1" x14ac:dyDescent="0.2">
      <c r="J159"/>
      <c r="K159"/>
      <c r="M159"/>
      <c r="N159"/>
      <c r="O159" s="392"/>
      <c r="P159" s="2"/>
      <c r="R159"/>
      <c r="S159"/>
      <c r="U159"/>
    </row>
    <row r="160" spans="10:21" s="1" customFormat="1" x14ac:dyDescent="0.2">
      <c r="J160"/>
      <c r="K160"/>
      <c r="M160"/>
      <c r="N160"/>
      <c r="O160" s="392"/>
      <c r="P160" s="2"/>
      <c r="R160"/>
      <c r="S160"/>
      <c r="U160"/>
    </row>
    <row r="161" spans="10:21" s="1" customFormat="1" x14ac:dyDescent="0.2">
      <c r="J161"/>
      <c r="K161"/>
      <c r="M161"/>
      <c r="N161"/>
      <c r="O161" s="392"/>
      <c r="P161" s="2"/>
      <c r="R161"/>
      <c r="S161"/>
      <c r="U161"/>
    </row>
    <row r="162" spans="10:21" s="1" customFormat="1" x14ac:dyDescent="0.2">
      <c r="J162"/>
      <c r="K162"/>
      <c r="M162"/>
      <c r="N162"/>
      <c r="O162" s="392"/>
      <c r="P162" s="2"/>
      <c r="R162"/>
      <c r="S162"/>
      <c r="U162"/>
    </row>
    <row r="163" spans="10:21" s="1" customFormat="1" x14ac:dyDescent="0.2">
      <c r="J163"/>
      <c r="K163"/>
      <c r="M163"/>
      <c r="N163"/>
      <c r="O163" s="392"/>
      <c r="P163" s="2"/>
      <c r="R163"/>
      <c r="S163"/>
      <c r="U163"/>
    </row>
    <row r="164" spans="10:21" s="1" customFormat="1" x14ac:dyDescent="0.2">
      <c r="J164"/>
      <c r="K164"/>
      <c r="M164"/>
      <c r="N164"/>
      <c r="O164" s="392"/>
      <c r="P164" s="2"/>
      <c r="R164"/>
      <c r="S164"/>
      <c r="U164"/>
    </row>
    <row r="165" spans="10:21" s="1" customFormat="1" x14ac:dyDescent="0.2">
      <c r="J165"/>
      <c r="K165"/>
      <c r="M165"/>
      <c r="N165"/>
      <c r="O165" s="392"/>
      <c r="P165" s="2"/>
      <c r="R165"/>
      <c r="S165"/>
      <c r="U165"/>
    </row>
    <row r="166" spans="10:21" s="1" customFormat="1" x14ac:dyDescent="0.2">
      <c r="J166"/>
      <c r="K166"/>
      <c r="M166"/>
      <c r="N166"/>
      <c r="O166" s="392"/>
      <c r="P166" s="2"/>
      <c r="R166"/>
      <c r="S166"/>
      <c r="U166"/>
    </row>
    <row r="167" spans="10:21" s="1" customFormat="1" x14ac:dyDescent="0.2">
      <c r="J167"/>
      <c r="K167"/>
      <c r="M167"/>
      <c r="N167"/>
      <c r="O167" s="392"/>
      <c r="P167" s="2"/>
      <c r="R167"/>
      <c r="S167"/>
      <c r="U167"/>
    </row>
    <row r="168" spans="10:21" s="1" customFormat="1" x14ac:dyDescent="0.2">
      <c r="J168"/>
      <c r="K168"/>
      <c r="M168"/>
      <c r="N168"/>
      <c r="O168" s="392"/>
      <c r="P168" s="2"/>
      <c r="R168"/>
      <c r="S168"/>
      <c r="U168"/>
    </row>
    <row r="169" spans="10:21" s="1" customFormat="1" x14ac:dyDescent="0.2">
      <c r="J169"/>
      <c r="K169"/>
      <c r="M169"/>
      <c r="N169"/>
      <c r="O169" s="392"/>
      <c r="P169" s="2"/>
      <c r="R169"/>
      <c r="S169"/>
      <c r="U169"/>
    </row>
    <row r="170" spans="10:21" s="1" customFormat="1" x14ac:dyDescent="0.2">
      <c r="J170"/>
      <c r="K170"/>
      <c r="M170"/>
      <c r="N170"/>
      <c r="O170" s="392"/>
      <c r="P170" s="2"/>
      <c r="R170"/>
      <c r="S170"/>
      <c r="U170"/>
    </row>
    <row r="171" spans="10:21" s="1" customFormat="1" x14ac:dyDescent="0.2">
      <c r="J171"/>
      <c r="K171"/>
      <c r="M171"/>
      <c r="N171"/>
      <c r="O171" s="392"/>
      <c r="P171" s="2"/>
      <c r="R171"/>
      <c r="S171"/>
      <c r="U171"/>
    </row>
    <row r="172" spans="10:21" s="1" customFormat="1" x14ac:dyDescent="0.2">
      <c r="J172"/>
      <c r="K172"/>
      <c r="M172"/>
      <c r="N172"/>
      <c r="O172" s="392"/>
      <c r="P172" s="2"/>
      <c r="R172"/>
      <c r="S172"/>
      <c r="U172"/>
    </row>
    <row r="173" spans="10:21" s="1" customFormat="1" x14ac:dyDescent="0.2">
      <c r="J173"/>
      <c r="K173"/>
      <c r="M173"/>
      <c r="N173"/>
      <c r="O173" s="392"/>
      <c r="P173" s="2"/>
      <c r="R173"/>
      <c r="S173"/>
      <c r="U173"/>
    </row>
    <row r="174" spans="10:21" s="1" customFormat="1" x14ac:dyDescent="0.2">
      <c r="J174"/>
      <c r="K174"/>
      <c r="M174"/>
      <c r="N174"/>
      <c r="O174" s="392"/>
      <c r="P174" s="2"/>
      <c r="R174"/>
      <c r="S174"/>
      <c r="U174"/>
    </row>
    <row r="175" spans="10:21" s="1" customFormat="1" x14ac:dyDescent="0.2">
      <c r="J175"/>
      <c r="K175"/>
      <c r="M175"/>
      <c r="N175"/>
      <c r="O175" s="392"/>
      <c r="P175" s="2"/>
      <c r="R175"/>
      <c r="S175"/>
      <c r="U175"/>
    </row>
    <row r="176" spans="10:21" s="1" customFormat="1" x14ac:dyDescent="0.2">
      <c r="J176"/>
      <c r="K176"/>
      <c r="M176"/>
      <c r="N176"/>
      <c r="O176" s="392"/>
      <c r="P176" s="2"/>
      <c r="R176"/>
      <c r="S176"/>
      <c r="U176"/>
    </row>
    <row r="177" spans="10:21" s="1" customFormat="1" x14ac:dyDescent="0.2">
      <c r="J177"/>
      <c r="K177"/>
      <c r="M177"/>
      <c r="N177"/>
      <c r="O177" s="392"/>
      <c r="P177" s="2"/>
      <c r="R177"/>
      <c r="S177"/>
      <c r="U177"/>
    </row>
    <row r="178" spans="10:21" s="1" customFormat="1" x14ac:dyDescent="0.2">
      <c r="J178"/>
      <c r="K178"/>
      <c r="M178"/>
      <c r="N178"/>
      <c r="O178" s="392"/>
      <c r="P178" s="2"/>
      <c r="R178"/>
      <c r="S178"/>
      <c r="U178"/>
    </row>
    <row r="179" spans="10:21" s="1" customFormat="1" x14ac:dyDescent="0.2">
      <c r="J179"/>
      <c r="K179"/>
      <c r="M179"/>
      <c r="N179"/>
      <c r="O179" s="392"/>
      <c r="P179" s="2"/>
      <c r="R179"/>
      <c r="S179"/>
      <c r="U179"/>
    </row>
    <row r="180" spans="10:21" s="1" customFormat="1" x14ac:dyDescent="0.2">
      <c r="J180"/>
      <c r="K180"/>
      <c r="M180"/>
      <c r="N180"/>
      <c r="O180" s="392"/>
      <c r="P180" s="2"/>
      <c r="R180"/>
      <c r="S180"/>
      <c r="U180"/>
    </row>
    <row r="181" spans="10:21" s="1" customFormat="1" x14ac:dyDescent="0.2">
      <c r="J181"/>
      <c r="K181"/>
      <c r="M181"/>
      <c r="N181"/>
      <c r="O181" s="392"/>
      <c r="P181" s="2"/>
      <c r="R181"/>
      <c r="S181"/>
      <c r="U181"/>
    </row>
    <row r="182" spans="10:21" s="1" customFormat="1" x14ac:dyDescent="0.2">
      <c r="J182"/>
      <c r="K182"/>
      <c r="M182"/>
      <c r="N182"/>
      <c r="O182" s="392"/>
      <c r="P182" s="2"/>
      <c r="R182"/>
      <c r="S182"/>
      <c r="U182"/>
    </row>
    <row r="183" spans="10:21" s="1" customFormat="1" x14ac:dyDescent="0.2">
      <c r="J183"/>
      <c r="K183"/>
      <c r="M183"/>
      <c r="N183"/>
      <c r="O183" s="392"/>
      <c r="P183" s="2"/>
      <c r="R183"/>
      <c r="S183"/>
      <c r="U183"/>
    </row>
    <row r="184" spans="10:21" s="1" customFormat="1" x14ac:dyDescent="0.2">
      <c r="J184"/>
      <c r="K184"/>
      <c r="M184"/>
      <c r="N184"/>
      <c r="O184" s="392"/>
      <c r="P184" s="2"/>
      <c r="R184"/>
      <c r="S184"/>
      <c r="U184"/>
    </row>
    <row r="185" spans="10:21" s="1" customFormat="1" x14ac:dyDescent="0.2">
      <c r="J185"/>
      <c r="K185"/>
      <c r="M185"/>
      <c r="N185"/>
      <c r="O185" s="392"/>
      <c r="P185" s="2"/>
      <c r="R185"/>
      <c r="S185"/>
      <c r="U185"/>
    </row>
    <row r="186" spans="10:21" s="1" customFormat="1" x14ac:dyDescent="0.2">
      <c r="J186"/>
      <c r="K186"/>
      <c r="M186"/>
      <c r="N186"/>
      <c r="O186" s="392"/>
      <c r="P186" s="2"/>
      <c r="R186"/>
      <c r="S186"/>
      <c r="U186"/>
    </row>
    <row r="187" spans="10:21" s="1" customFormat="1" x14ac:dyDescent="0.2">
      <c r="J187"/>
      <c r="K187"/>
      <c r="M187"/>
      <c r="N187"/>
      <c r="O187" s="392"/>
      <c r="P187" s="2"/>
      <c r="R187"/>
      <c r="S187"/>
      <c r="U187"/>
    </row>
    <row r="188" spans="10:21" s="1" customFormat="1" x14ac:dyDescent="0.2">
      <c r="J188"/>
      <c r="K188"/>
      <c r="M188"/>
      <c r="N188"/>
      <c r="O188" s="392"/>
      <c r="P188" s="2"/>
      <c r="R188"/>
      <c r="S188"/>
      <c r="U188"/>
    </row>
    <row r="189" spans="10:21" s="1" customFormat="1" x14ac:dyDescent="0.2">
      <c r="J189"/>
      <c r="K189"/>
      <c r="M189"/>
      <c r="N189"/>
      <c r="O189" s="392"/>
      <c r="P189" s="2"/>
      <c r="R189"/>
      <c r="S189"/>
      <c r="U189"/>
    </row>
    <row r="190" spans="10:21" s="1" customFormat="1" x14ac:dyDescent="0.2">
      <c r="J190"/>
      <c r="K190"/>
      <c r="M190"/>
      <c r="N190"/>
      <c r="O190" s="392"/>
      <c r="P190" s="2"/>
      <c r="R190"/>
      <c r="S190"/>
      <c r="U190"/>
    </row>
    <row r="191" spans="10:21" s="1" customFormat="1" x14ac:dyDescent="0.2">
      <c r="J191"/>
      <c r="K191"/>
      <c r="M191"/>
      <c r="N191"/>
      <c r="O191" s="392"/>
      <c r="P191" s="2"/>
      <c r="R191"/>
      <c r="S191"/>
      <c r="U191"/>
    </row>
    <row r="192" spans="10:21" s="1" customFormat="1" x14ac:dyDescent="0.2">
      <c r="J192"/>
      <c r="K192"/>
      <c r="M192"/>
      <c r="N192"/>
      <c r="O192" s="392"/>
      <c r="P192" s="2"/>
      <c r="R192"/>
      <c r="S192"/>
      <c r="U192"/>
    </row>
    <row r="193" spans="10:21" s="1" customFormat="1" x14ac:dyDescent="0.2">
      <c r="J193"/>
      <c r="K193"/>
      <c r="M193"/>
      <c r="N193"/>
      <c r="O193" s="392"/>
      <c r="P193" s="2"/>
      <c r="R193"/>
      <c r="S193"/>
      <c r="U193"/>
    </row>
    <row r="194" spans="10:21" s="1" customFormat="1" x14ac:dyDescent="0.2">
      <c r="J194"/>
      <c r="K194"/>
      <c r="M194"/>
      <c r="N194"/>
      <c r="O194" s="392"/>
      <c r="P194" s="2"/>
      <c r="R194"/>
      <c r="S194"/>
      <c r="U194"/>
    </row>
    <row r="195" spans="10:21" s="1" customFormat="1" x14ac:dyDescent="0.2">
      <c r="J195"/>
      <c r="K195"/>
      <c r="M195"/>
      <c r="N195"/>
      <c r="O195" s="392"/>
      <c r="P195" s="2"/>
      <c r="R195"/>
      <c r="S195"/>
      <c r="U195"/>
    </row>
    <row r="196" spans="10:21" s="1" customFormat="1" x14ac:dyDescent="0.2">
      <c r="J196"/>
      <c r="K196"/>
      <c r="M196"/>
      <c r="N196"/>
      <c r="O196" s="392"/>
      <c r="P196" s="2"/>
      <c r="R196"/>
      <c r="S196"/>
      <c r="U196"/>
    </row>
    <row r="197" spans="10:21" s="1" customFormat="1" x14ac:dyDescent="0.2">
      <c r="J197"/>
      <c r="K197"/>
      <c r="M197"/>
      <c r="N197"/>
      <c r="O197" s="392"/>
      <c r="P197" s="2"/>
      <c r="R197"/>
      <c r="S197"/>
      <c r="U197"/>
    </row>
    <row r="198" spans="10:21" s="1" customFormat="1" x14ac:dyDescent="0.2">
      <c r="J198"/>
      <c r="K198"/>
      <c r="M198"/>
      <c r="N198"/>
      <c r="O198" s="392"/>
      <c r="P198" s="2"/>
      <c r="R198"/>
      <c r="S198"/>
      <c r="U198"/>
    </row>
    <row r="199" spans="10:21" s="1" customFormat="1" x14ac:dyDescent="0.2">
      <c r="J199"/>
      <c r="K199"/>
      <c r="M199"/>
      <c r="N199"/>
      <c r="O199" s="392"/>
      <c r="P199" s="2"/>
      <c r="R199"/>
      <c r="S199"/>
      <c r="U199"/>
    </row>
    <row r="200" spans="10:21" s="1" customFormat="1" x14ac:dyDescent="0.2">
      <c r="J200"/>
      <c r="K200"/>
      <c r="M200"/>
      <c r="N200"/>
      <c r="O200" s="392"/>
      <c r="P200" s="2"/>
      <c r="R200"/>
      <c r="S200"/>
      <c r="U200"/>
    </row>
    <row r="201" spans="10:21" s="1" customFormat="1" x14ac:dyDescent="0.2">
      <c r="J201"/>
      <c r="K201"/>
      <c r="M201"/>
      <c r="N201"/>
      <c r="O201" s="392"/>
      <c r="P201" s="2"/>
      <c r="R201"/>
      <c r="S201"/>
      <c r="U201"/>
    </row>
    <row r="202" spans="10:21" s="1" customFormat="1" x14ac:dyDescent="0.2">
      <c r="J202"/>
      <c r="K202"/>
      <c r="M202"/>
      <c r="N202"/>
      <c r="O202" s="392"/>
      <c r="P202" s="2"/>
      <c r="R202"/>
      <c r="S202"/>
      <c r="U202"/>
    </row>
    <row r="203" spans="10:21" s="1" customFormat="1" x14ac:dyDescent="0.2">
      <c r="J203"/>
      <c r="K203"/>
      <c r="M203"/>
      <c r="N203"/>
      <c r="O203" s="392"/>
      <c r="P203" s="2"/>
      <c r="R203"/>
      <c r="S203"/>
      <c r="U203"/>
    </row>
    <row r="204" spans="10:21" s="1" customFormat="1" x14ac:dyDescent="0.2">
      <c r="J204"/>
      <c r="K204"/>
      <c r="M204"/>
      <c r="N204"/>
      <c r="O204" s="392"/>
      <c r="P204" s="2"/>
      <c r="R204"/>
      <c r="S204"/>
      <c r="U204"/>
    </row>
    <row r="205" spans="10:21" s="1" customFormat="1" x14ac:dyDescent="0.2">
      <c r="J205"/>
      <c r="K205"/>
      <c r="M205"/>
      <c r="N205"/>
      <c r="O205" s="392"/>
      <c r="P205" s="2"/>
      <c r="R205"/>
      <c r="S205"/>
      <c r="U205"/>
    </row>
    <row r="206" spans="10:21" s="1" customFormat="1" x14ac:dyDescent="0.2">
      <c r="J206"/>
      <c r="K206"/>
      <c r="M206"/>
      <c r="N206"/>
      <c r="O206" s="392"/>
      <c r="P206" s="2"/>
      <c r="R206"/>
      <c r="S206"/>
      <c r="U206"/>
    </row>
    <row r="207" spans="10:21" s="1" customFormat="1" x14ac:dyDescent="0.2">
      <c r="J207"/>
      <c r="K207"/>
      <c r="M207"/>
      <c r="N207"/>
      <c r="O207" s="392"/>
      <c r="P207" s="2"/>
      <c r="R207"/>
      <c r="S207"/>
      <c r="U207"/>
    </row>
    <row r="208" spans="10:21" s="1" customFormat="1" x14ac:dyDescent="0.2">
      <c r="J208"/>
      <c r="K208"/>
      <c r="M208"/>
      <c r="N208"/>
      <c r="O208" s="392"/>
      <c r="P208" s="2"/>
      <c r="R208"/>
      <c r="S208"/>
      <c r="U208"/>
    </row>
    <row r="209" spans="10:21" s="1" customFormat="1" x14ac:dyDescent="0.2">
      <c r="J209"/>
      <c r="K209"/>
      <c r="M209"/>
      <c r="N209"/>
      <c r="O209" s="392"/>
      <c r="P209" s="2"/>
      <c r="R209"/>
      <c r="S209"/>
      <c r="U209"/>
    </row>
    <row r="210" spans="10:21" s="1" customFormat="1" x14ac:dyDescent="0.2">
      <c r="J210"/>
      <c r="K210"/>
      <c r="M210"/>
      <c r="N210"/>
      <c r="O210" s="392"/>
      <c r="P210" s="2"/>
      <c r="R210"/>
      <c r="S210"/>
      <c r="U210"/>
    </row>
    <row r="211" spans="10:21" s="1" customFormat="1" x14ac:dyDescent="0.2">
      <c r="J211"/>
      <c r="K211"/>
      <c r="M211"/>
      <c r="N211"/>
      <c r="O211" s="392"/>
      <c r="P211" s="2"/>
      <c r="R211"/>
      <c r="S211"/>
      <c r="U211"/>
    </row>
    <row r="212" spans="10:21" s="1" customFormat="1" x14ac:dyDescent="0.2">
      <c r="J212"/>
      <c r="K212"/>
      <c r="M212"/>
      <c r="N212"/>
      <c r="O212" s="392"/>
      <c r="P212" s="2"/>
      <c r="R212"/>
      <c r="S212"/>
      <c r="U212"/>
    </row>
    <row r="213" spans="10:21" s="1" customFormat="1" x14ac:dyDescent="0.2">
      <c r="J213"/>
      <c r="K213"/>
      <c r="M213"/>
      <c r="N213"/>
      <c r="O213" s="392"/>
      <c r="P213" s="2"/>
      <c r="R213"/>
      <c r="S213"/>
      <c r="U213"/>
    </row>
    <row r="214" spans="10:21" s="1" customFormat="1" x14ac:dyDescent="0.2">
      <c r="J214"/>
      <c r="K214"/>
      <c r="M214"/>
      <c r="N214"/>
      <c r="O214" s="392"/>
      <c r="P214" s="2"/>
      <c r="R214"/>
      <c r="S214"/>
      <c r="U214"/>
    </row>
    <row r="215" spans="10:21" s="1" customFormat="1" x14ac:dyDescent="0.2">
      <c r="J215"/>
      <c r="K215"/>
      <c r="M215"/>
      <c r="N215"/>
      <c r="O215" s="392"/>
      <c r="P215" s="2"/>
      <c r="R215"/>
      <c r="S215"/>
      <c r="U215"/>
    </row>
    <row r="216" spans="10:21" s="1" customFormat="1" x14ac:dyDescent="0.2">
      <c r="J216"/>
      <c r="K216"/>
      <c r="M216"/>
      <c r="N216"/>
      <c r="O216" s="392"/>
      <c r="P216" s="2"/>
      <c r="R216"/>
      <c r="S216"/>
      <c r="U216"/>
    </row>
    <row r="217" spans="10:21" s="1" customFormat="1" x14ac:dyDescent="0.2">
      <c r="J217"/>
      <c r="K217"/>
      <c r="M217"/>
      <c r="N217"/>
      <c r="O217" s="392"/>
      <c r="P217" s="2"/>
      <c r="R217"/>
      <c r="S217"/>
      <c r="U217"/>
    </row>
    <row r="218" spans="10:21" s="1" customFormat="1" x14ac:dyDescent="0.2">
      <c r="J218"/>
      <c r="K218"/>
      <c r="M218"/>
      <c r="N218"/>
      <c r="O218" s="392"/>
      <c r="P218" s="2"/>
      <c r="R218"/>
      <c r="S218"/>
      <c r="U218"/>
    </row>
    <row r="219" spans="10:21" s="1" customFormat="1" x14ac:dyDescent="0.2">
      <c r="J219"/>
      <c r="K219"/>
      <c r="M219"/>
      <c r="N219"/>
      <c r="O219" s="392"/>
      <c r="P219" s="2"/>
      <c r="R219"/>
      <c r="S219"/>
      <c r="U219"/>
    </row>
    <row r="220" spans="10:21" s="1" customFormat="1" x14ac:dyDescent="0.2">
      <c r="J220"/>
      <c r="K220"/>
      <c r="M220"/>
      <c r="N220"/>
      <c r="O220" s="392"/>
      <c r="P220" s="2"/>
      <c r="R220"/>
      <c r="S220"/>
      <c r="U220"/>
    </row>
    <row r="221" spans="10:21" s="1" customFormat="1" x14ac:dyDescent="0.2">
      <c r="J221"/>
      <c r="K221"/>
      <c r="M221"/>
      <c r="N221"/>
      <c r="O221" s="392"/>
      <c r="P221" s="2"/>
      <c r="R221"/>
      <c r="S221"/>
      <c r="U221"/>
    </row>
    <row r="222" spans="10:21" s="1" customFormat="1" x14ac:dyDescent="0.2">
      <c r="J222"/>
      <c r="K222"/>
      <c r="M222"/>
      <c r="N222"/>
      <c r="O222" s="392"/>
      <c r="P222" s="2"/>
      <c r="R222"/>
      <c r="S222"/>
      <c r="U222"/>
    </row>
    <row r="223" spans="10:21" s="1" customFormat="1" x14ac:dyDescent="0.2">
      <c r="J223"/>
      <c r="K223"/>
      <c r="M223"/>
      <c r="N223"/>
      <c r="O223" s="392"/>
      <c r="P223" s="2"/>
      <c r="R223"/>
      <c r="S223"/>
      <c r="U223"/>
    </row>
    <row r="224" spans="10:21" s="1" customFormat="1" x14ac:dyDescent="0.2">
      <c r="J224"/>
      <c r="K224"/>
      <c r="M224"/>
      <c r="N224"/>
      <c r="O224" s="392"/>
      <c r="P224" s="2"/>
      <c r="R224"/>
      <c r="S224"/>
      <c r="U224"/>
    </row>
    <row r="225" spans="10:21" s="1" customFormat="1" x14ac:dyDescent="0.2">
      <c r="J225"/>
      <c r="K225"/>
      <c r="M225"/>
      <c r="N225"/>
      <c r="O225" s="392"/>
      <c r="P225" s="2"/>
      <c r="R225"/>
      <c r="S225"/>
      <c r="U225"/>
    </row>
    <row r="226" spans="10:21" s="1" customFormat="1" x14ac:dyDescent="0.2">
      <c r="J226"/>
      <c r="K226"/>
      <c r="M226"/>
      <c r="N226"/>
      <c r="O226" s="392"/>
      <c r="P226" s="2"/>
      <c r="R226"/>
      <c r="S226"/>
      <c r="U226"/>
    </row>
    <row r="227" spans="10:21" s="1" customFormat="1" x14ac:dyDescent="0.2">
      <c r="J227"/>
      <c r="K227"/>
      <c r="M227"/>
      <c r="N227"/>
      <c r="O227" s="392"/>
      <c r="P227" s="2"/>
      <c r="R227"/>
      <c r="S227"/>
      <c r="U227"/>
    </row>
    <row r="228" spans="10:21" s="1" customFormat="1" x14ac:dyDescent="0.2">
      <c r="J228"/>
      <c r="K228"/>
      <c r="M228"/>
      <c r="N228"/>
      <c r="O228" s="392"/>
      <c r="P228" s="2"/>
      <c r="R228"/>
      <c r="S228"/>
      <c r="U228"/>
    </row>
    <row r="229" spans="10:21" s="1" customFormat="1" x14ac:dyDescent="0.2">
      <c r="J229"/>
      <c r="K229"/>
      <c r="M229"/>
      <c r="N229"/>
      <c r="O229" s="392"/>
      <c r="P229" s="2"/>
      <c r="R229"/>
      <c r="S229"/>
      <c r="U229"/>
    </row>
    <row r="230" spans="10:21" s="1" customFormat="1" x14ac:dyDescent="0.2">
      <c r="J230"/>
      <c r="K230"/>
      <c r="M230"/>
      <c r="N230"/>
      <c r="O230" s="392"/>
      <c r="P230" s="2"/>
      <c r="R230"/>
      <c r="S230"/>
      <c r="U230"/>
    </row>
    <row r="231" spans="10:21" s="1" customFormat="1" x14ac:dyDescent="0.2">
      <c r="J231"/>
      <c r="K231"/>
      <c r="M231"/>
      <c r="N231"/>
      <c r="O231" s="392"/>
      <c r="P231" s="2"/>
      <c r="R231"/>
      <c r="S231"/>
      <c r="U231"/>
    </row>
    <row r="232" spans="10:21" s="1" customFormat="1" x14ac:dyDescent="0.2">
      <c r="J232"/>
      <c r="K232"/>
      <c r="M232"/>
      <c r="N232"/>
      <c r="O232" s="392"/>
      <c r="P232" s="2"/>
      <c r="R232"/>
      <c r="S232"/>
      <c r="U232"/>
    </row>
    <row r="233" spans="10:21" s="1" customFormat="1" x14ac:dyDescent="0.2">
      <c r="J233"/>
      <c r="K233"/>
      <c r="M233"/>
      <c r="N233"/>
      <c r="O233" s="392"/>
      <c r="P233" s="2"/>
      <c r="R233"/>
      <c r="S233"/>
      <c r="U233"/>
    </row>
    <row r="234" spans="10:21" s="1" customFormat="1" x14ac:dyDescent="0.2">
      <c r="J234"/>
      <c r="K234"/>
      <c r="M234"/>
      <c r="N234"/>
      <c r="O234" s="392"/>
      <c r="P234" s="2"/>
      <c r="R234"/>
      <c r="S234"/>
      <c r="U234"/>
    </row>
    <row r="235" spans="10:21" s="1" customFormat="1" x14ac:dyDescent="0.2">
      <c r="J235"/>
      <c r="K235"/>
      <c r="M235"/>
      <c r="N235"/>
      <c r="O235" s="392"/>
      <c r="P235" s="2"/>
      <c r="R235"/>
      <c r="S235"/>
      <c r="U235"/>
    </row>
    <row r="236" spans="10:21" s="1" customFormat="1" x14ac:dyDescent="0.2">
      <c r="J236"/>
      <c r="K236"/>
      <c r="M236"/>
      <c r="N236"/>
      <c r="O236" s="392"/>
      <c r="P236" s="2"/>
      <c r="R236"/>
      <c r="S236"/>
      <c r="U236"/>
    </row>
    <row r="237" spans="10:21" s="1" customFormat="1" x14ac:dyDescent="0.2">
      <c r="J237"/>
      <c r="K237"/>
      <c r="M237"/>
      <c r="N237"/>
      <c r="O237" s="392"/>
      <c r="P237" s="2"/>
      <c r="R237"/>
      <c r="S237"/>
      <c r="U237"/>
    </row>
    <row r="238" spans="10:21" s="1" customFormat="1" x14ac:dyDescent="0.2">
      <c r="J238"/>
      <c r="K238"/>
      <c r="M238"/>
      <c r="N238"/>
      <c r="O238" s="392"/>
      <c r="P238" s="2"/>
      <c r="R238"/>
      <c r="S238"/>
      <c r="U238"/>
    </row>
    <row r="239" spans="10:21" s="1" customFormat="1" x14ac:dyDescent="0.2">
      <c r="J239"/>
      <c r="K239"/>
      <c r="M239"/>
      <c r="N239"/>
      <c r="O239" s="392"/>
      <c r="P239" s="2"/>
      <c r="R239"/>
      <c r="S239"/>
      <c r="U239"/>
    </row>
    <row r="240" spans="10:21" s="1" customFormat="1" x14ac:dyDescent="0.2">
      <c r="J240"/>
      <c r="K240"/>
      <c r="M240"/>
      <c r="N240"/>
      <c r="O240" s="392"/>
      <c r="P240" s="2"/>
      <c r="R240"/>
      <c r="S240"/>
      <c r="U240"/>
    </row>
    <row r="241" spans="10:21" s="1" customFormat="1" x14ac:dyDescent="0.2">
      <c r="J241"/>
      <c r="K241"/>
      <c r="M241"/>
      <c r="N241"/>
      <c r="O241" s="392"/>
      <c r="P241" s="2"/>
      <c r="R241"/>
      <c r="S241"/>
      <c r="U241"/>
    </row>
    <row r="242" spans="10:21" s="1" customFormat="1" x14ac:dyDescent="0.2">
      <c r="J242"/>
      <c r="K242"/>
      <c r="M242"/>
      <c r="N242"/>
      <c r="O242" s="392"/>
      <c r="P242" s="2"/>
      <c r="R242"/>
      <c r="S242"/>
      <c r="U242"/>
    </row>
    <row r="243" spans="10:21" s="1" customFormat="1" x14ac:dyDescent="0.2">
      <c r="J243"/>
      <c r="K243"/>
      <c r="M243"/>
      <c r="N243"/>
      <c r="O243" s="392"/>
      <c r="P243" s="2"/>
      <c r="R243"/>
      <c r="S243"/>
      <c r="U243"/>
    </row>
    <row r="244" spans="10:21" s="1" customFormat="1" x14ac:dyDescent="0.2">
      <c r="J244"/>
      <c r="K244"/>
      <c r="M244"/>
      <c r="N244"/>
      <c r="O244" s="392"/>
      <c r="P244" s="2"/>
      <c r="R244"/>
      <c r="S244"/>
      <c r="U244"/>
    </row>
    <row r="245" spans="10:21" s="1" customFormat="1" x14ac:dyDescent="0.2">
      <c r="J245"/>
      <c r="K245"/>
      <c r="M245"/>
      <c r="N245"/>
      <c r="O245" s="392"/>
      <c r="P245" s="2"/>
      <c r="R245"/>
      <c r="S245"/>
      <c r="U245"/>
    </row>
    <row r="246" spans="10:21" s="1" customFormat="1" x14ac:dyDescent="0.2">
      <c r="J246"/>
      <c r="K246"/>
      <c r="M246"/>
      <c r="N246"/>
      <c r="O246" s="392"/>
      <c r="P246" s="2"/>
      <c r="R246"/>
      <c r="S246"/>
      <c r="U246"/>
    </row>
    <row r="247" spans="10:21" s="1" customFormat="1" x14ac:dyDescent="0.2">
      <c r="J247"/>
      <c r="K247"/>
      <c r="M247"/>
      <c r="N247"/>
      <c r="O247" s="392"/>
      <c r="P247" s="2"/>
      <c r="R247"/>
      <c r="S247"/>
      <c r="U247"/>
    </row>
    <row r="248" spans="10:21" s="1" customFormat="1" x14ac:dyDescent="0.2">
      <c r="J248"/>
      <c r="K248"/>
      <c r="M248"/>
      <c r="N248"/>
      <c r="O248" s="392"/>
      <c r="P248" s="2"/>
      <c r="R248"/>
      <c r="S248"/>
      <c r="U248"/>
    </row>
    <row r="249" spans="10:21" s="1" customFormat="1" x14ac:dyDescent="0.2">
      <c r="J249"/>
      <c r="K249"/>
      <c r="M249"/>
      <c r="N249"/>
      <c r="O249" s="392"/>
      <c r="P249" s="2"/>
      <c r="R249"/>
      <c r="S249"/>
      <c r="U249"/>
    </row>
    <row r="250" spans="10:21" s="1" customFormat="1" x14ac:dyDescent="0.2">
      <c r="J250"/>
      <c r="K250"/>
      <c r="M250"/>
      <c r="N250"/>
      <c r="O250" s="392"/>
      <c r="P250" s="2"/>
      <c r="R250"/>
      <c r="S250"/>
      <c r="U250"/>
    </row>
    <row r="251" spans="10:21" s="1" customFormat="1" x14ac:dyDescent="0.2">
      <c r="J251"/>
      <c r="K251"/>
      <c r="M251"/>
      <c r="N251"/>
      <c r="O251" s="392"/>
      <c r="P251" s="2"/>
      <c r="R251"/>
      <c r="S251"/>
      <c r="U251"/>
    </row>
    <row r="252" spans="10:21" s="1" customFormat="1" x14ac:dyDescent="0.2">
      <c r="J252"/>
      <c r="K252"/>
      <c r="M252"/>
      <c r="N252"/>
      <c r="O252" s="392"/>
      <c r="P252" s="2"/>
      <c r="R252"/>
      <c r="S252"/>
      <c r="U252"/>
    </row>
    <row r="253" spans="10:21" s="1" customFormat="1" x14ac:dyDescent="0.2">
      <c r="J253"/>
      <c r="K253"/>
      <c r="M253"/>
      <c r="N253"/>
      <c r="O253" s="392"/>
      <c r="P253" s="2"/>
      <c r="R253"/>
      <c r="S253"/>
      <c r="U253"/>
    </row>
    <row r="254" spans="10:21" s="1" customFormat="1" x14ac:dyDescent="0.2">
      <c r="J254"/>
      <c r="K254"/>
      <c r="M254"/>
      <c r="N254"/>
      <c r="O254" s="392"/>
      <c r="P254" s="2"/>
      <c r="R254"/>
      <c r="S254"/>
      <c r="U254"/>
    </row>
    <row r="255" spans="10:21" s="1" customFormat="1" x14ac:dyDescent="0.2">
      <c r="J255"/>
      <c r="K255"/>
      <c r="M255"/>
      <c r="N255"/>
      <c r="O255" s="392"/>
      <c r="P255" s="2"/>
      <c r="R255"/>
      <c r="S255"/>
      <c r="U255"/>
    </row>
    <row r="256" spans="10:21" s="1" customFormat="1" x14ac:dyDescent="0.2">
      <c r="J256"/>
      <c r="K256"/>
      <c r="M256"/>
      <c r="N256"/>
      <c r="O256" s="392"/>
      <c r="P256" s="2"/>
      <c r="R256"/>
      <c r="S256"/>
      <c r="U256"/>
    </row>
    <row r="257" spans="10:21" s="1" customFormat="1" x14ac:dyDescent="0.2">
      <c r="J257"/>
      <c r="K257"/>
      <c r="M257"/>
      <c r="N257"/>
      <c r="O257" s="392"/>
      <c r="P257" s="2"/>
      <c r="R257"/>
      <c r="S257"/>
      <c r="U257"/>
    </row>
    <row r="258" spans="10:21" s="1" customFormat="1" x14ac:dyDescent="0.2">
      <c r="J258"/>
      <c r="K258"/>
      <c r="M258"/>
      <c r="N258"/>
      <c r="O258" s="392"/>
      <c r="P258" s="2"/>
      <c r="R258"/>
      <c r="S258"/>
      <c r="U258"/>
    </row>
    <row r="259" spans="10:21" s="1" customFormat="1" x14ac:dyDescent="0.2">
      <c r="J259"/>
      <c r="K259"/>
      <c r="M259"/>
      <c r="N259"/>
      <c r="O259" s="392"/>
      <c r="P259" s="2"/>
      <c r="R259"/>
      <c r="S259"/>
      <c r="U259"/>
    </row>
    <row r="260" spans="10:21" s="1" customFormat="1" x14ac:dyDescent="0.2">
      <c r="J260"/>
      <c r="K260"/>
      <c r="M260"/>
      <c r="N260"/>
      <c r="O260" s="392"/>
      <c r="P260" s="2"/>
      <c r="R260"/>
      <c r="S260"/>
      <c r="U260"/>
    </row>
    <row r="261" spans="10:21" s="1" customFormat="1" x14ac:dyDescent="0.2">
      <c r="J261"/>
      <c r="K261"/>
      <c r="M261"/>
      <c r="N261"/>
      <c r="O261" s="392"/>
      <c r="P261" s="2"/>
      <c r="R261"/>
      <c r="S261"/>
      <c r="U261"/>
    </row>
    <row r="262" spans="10:21" s="1" customFormat="1" x14ac:dyDescent="0.2">
      <c r="J262"/>
      <c r="K262"/>
      <c r="M262"/>
      <c r="N262"/>
      <c r="O262" s="392"/>
      <c r="P262" s="2"/>
      <c r="R262"/>
      <c r="S262"/>
      <c r="U262"/>
    </row>
    <row r="263" spans="10:21" s="1" customFormat="1" x14ac:dyDescent="0.2">
      <c r="J263"/>
      <c r="K263"/>
      <c r="M263"/>
      <c r="N263"/>
      <c r="O263" s="392"/>
      <c r="P263" s="2"/>
      <c r="R263"/>
      <c r="S263"/>
      <c r="U263"/>
    </row>
    <row r="264" spans="10:21" s="1" customFormat="1" x14ac:dyDescent="0.2">
      <c r="J264"/>
      <c r="K264"/>
      <c r="M264"/>
      <c r="N264"/>
      <c r="O264" s="392"/>
      <c r="P264" s="2"/>
      <c r="R264"/>
      <c r="S264"/>
      <c r="U264"/>
    </row>
    <row r="265" spans="10:21" s="1" customFormat="1" x14ac:dyDescent="0.2">
      <c r="J265"/>
      <c r="K265"/>
      <c r="M265"/>
      <c r="N265"/>
      <c r="O265" s="392"/>
      <c r="P265" s="2"/>
      <c r="R265"/>
      <c r="S265"/>
      <c r="U265"/>
    </row>
    <row r="266" spans="10:21" s="1" customFormat="1" x14ac:dyDescent="0.2">
      <c r="J266"/>
      <c r="K266"/>
      <c r="M266"/>
      <c r="N266"/>
      <c r="O266" s="392"/>
      <c r="P266" s="2"/>
      <c r="R266"/>
      <c r="S266"/>
      <c r="U266"/>
    </row>
    <row r="267" spans="10:21" s="1" customFormat="1" x14ac:dyDescent="0.2">
      <c r="J267"/>
      <c r="K267"/>
      <c r="M267"/>
      <c r="N267"/>
      <c r="O267" s="392"/>
      <c r="P267" s="2"/>
      <c r="R267"/>
      <c r="S267"/>
      <c r="U267"/>
    </row>
    <row r="268" spans="10:21" s="1" customFormat="1" x14ac:dyDescent="0.2">
      <c r="J268"/>
      <c r="K268"/>
      <c r="M268"/>
      <c r="N268"/>
      <c r="O268" s="392"/>
      <c r="P268" s="2"/>
      <c r="R268"/>
      <c r="S268"/>
      <c r="U268"/>
    </row>
    <row r="269" spans="10:21" s="1" customFormat="1" x14ac:dyDescent="0.2">
      <c r="J269"/>
      <c r="K269"/>
      <c r="M269"/>
      <c r="N269"/>
      <c r="O269" s="392"/>
      <c r="P269" s="2"/>
      <c r="R269"/>
      <c r="S269"/>
      <c r="U269"/>
    </row>
    <row r="270" spans="10:21" s="1" customFormat="1" x14ac:dyDescent="0.2">
      <c r="J270"/>
      <c r="K270"/>
      <c r="M270"/>
      <c r="N270"/>
      <c r="O270" s="392"/>
      <c r="P270" s="2"/>
      <c r="R270"/>
      <c r="S270"/>
      <c r="U270"/>
    </row>
    <row r="271" spans="10:21" s="1" customFormat="1" x14ac:dyDescent="0.2">
      <c r="J271"/>
      <c r="K271"/>
      <c r="M271"/>
      <c r="N271"/>
      <c r="O271" s="392"/>
      <c r="P271" s="2"/>
      <c r="R271"/>
      <c r="S271"/>
      <c r="U271"/>
    </row>
    <row r="272" spans="10:21" s="1" customFormat="1" x14ac:dyDescent="0.2">
      <c r="J272"/>
      <c r="K272"/>
      <c r="M272"/>
      <c r="N272"/>
      <c r="O272" s="392"/>
      <c r="P272" s="2"/>
      <c r="R272"/>
      <c r="S272"/>
      <c r="U272"/>
    </row>
    <row r="273" spans="10:21" s="1" customFormat="1" x14ac:dyDescent="0.2">
      <c r="J273"/>
      <c r="K273"/>
      <c r="M273"/>
      <c r="N273"/>
      <c r="O273" s="392"/>
      <c r="P273" s="2"/>
      <c r="R273"/>
      <c r="S273"/>
      <c r="U273"/>
    </row>
    <row r="274" spans="10:21" s="1" customFormat="1" x14ac:dyDescent="0.2">
      <c r="J274"/>
      <c r="K274"/>
      <c r="M274"/>
      <c r="N274"/>
      <c r="O274" s="392"/>
      <c r="P274" s="2"/>
      <c r="R274"/>
      <c r="S274"/>
      <c r="U274"/>
    </row>
    <row r="275" spans="10:21" s="1" customFormat="1" x14ac:dyDescent="0.2">
      <c r="J275"/>
      <c r="K275"/>
      <c r="M275"/>
      <c r="N275"/>
      <c r="O275" s="392"/>
      <c r="P275" s="2"/>
      <c r="R275"/>
      <c r="S275"/>
      <c r="U275"/>
    </row>
    <row r="276" spans="10:21" s="1" customFormat="1" x14ac:dyDescent="0.2">
      <c r="J276"/>
      <c r="K276"/>
      <c r="M276"/>
      <c r="N276"/>
      <c r="O276" s="392"/>
      <c r="P276" s="2"/>
      <c r="R276"/>
      <c r="S276"/>
      <c r="U276"/>
    </row>
    <row r="277" spans="10:21" s="1" customFormat="1" x14ac:dyDescent="0.2">
      <c r="J277"/>
      <c r="K277"/>
      <c r="M277"/>
      <c r="N277"/>
      <c r="O277" s="392"/>
      <c r="P277" s="2"/>
      <c r="R277"/>
      <c r="S277"/>
      <c r="U277"/>
    </row>
    <row r="278" spans="10:21" s="1" customFormat="1" x14ac:dyDescent="0.2">
      <c r="J278"/>
      <c r="K278"/>
      <c r="M278"/>
      <c r="N278"/>
      <c r="O278" s="392"/>
      <c r="P278" s="2"/>
      <c r="R278"/>
      <c r="S278"/>
      <c r="U278"/>
    </row>
    <row r="279" spans="10:21" s="1" customFormat="1" x14ac:dyDescent="0.2">
      <c r="J279"/>
      <c r="K279"/>
      <c r="M279"/>
      <c r="N279"/>
      <c r="O279" s="392"/>
      <c r="P279" s="2"/>
      <c r="R279"/>
      <c r="S279"/>
      <c r="U279"/>
    </row>
    <row r="280" spans="10:21" s="1" customFormat="1" x14ac:dyDescent="0.2">
      <c r="J280"/>
      <c r="K280"/>
      <c r="M280"/>
      <c r="N280"/>
      <c r="O280" s="392"/>
      <c r="P280" s="2"/>
      <c r="R280"/>
      <c r="S280"/>
      <c r="U280"/>
    </row>
    <row r="281" spans="10:21" s="1" customFormat="1" x14ac:dyDescent="0.2">
      <c r="J281"/>
      <c r="K281"/>
      <c r="M281"/>
      <c r="N281"/>
      <c r="O281" s="392"/>
      <c r="P281" s="2"/>
      <c r="R281"/>
      <c r="S281"/>
      <c r="U281"/>
    </row>
    <row r="282" spans="10:21" s="1" customFormat="1" x14ac:dyDescent="0.2">
      <c r="J282"/>
      <c r="K282"/>
      <c r="M282"/>
      <c r="N282"/>
      <c r="O282" s="392"/>
      <c r="P282" s="2"/>
      <c r="R282"/>
      <c r="S282"/>
      <c r="U282"/>
    </row>
    <row r="283" spans="10:21" s="1" customFormat="1" x14ac:dyDescent="0.2">
      <c r="J283"/>
      <c r="K283"/>
      <c r="M283"/>
      <c r="N283"/>
      <c r="O283" s="392"/>
      <c r="P283" s="2"/>
      <c r="R283"/>
      <c r="S283"/>
      <c r="U283"/>
    </row>
    <row r="284" spans="10:21" s="1" customFormat="1" x14ac:dyDescent="0.2">
      <c r="J284"/>
      <c r="K284"/>
      <c r="M284"/>
      <c r="N284"/>
      <c r="O284" s="392"/>
      <c r="P284" s="2"/>
      <c r="R284"/>
      <c r="S284"/>
      <c r="U284"/>
    </row>
    <row r="285" spans="10:21" s="1" customFormat="1" x14ac:dyDescent="0.2">
      <c r="J285"/>
      <c r="K285"/>
      <c r="M285"/>
      <c r="N285"/>
      <c r="O285" s="392"/>
      <c r="P285" s="2"/>
      <c r="R285"/>
      <c r="S285"/>
      <c r="U285"/>
    </row>
    <row r="286" spans="10:21" s="1" customFormat="1" x14ac:dyDescent="0.2">
      <c r="J286"/>
      <c r="K286"/>
      <c r="M286"/>
      <c r="N286"/>
      <c r="O286" s="392"/>
      <c r="P286" s="2"/>
      <c r="R286"/>
      <c r="S286"/>
      <c r="U286"/>
    </row>
    <row r="287" spans="10:21" s="1" customFormat="1" x14ac:dyDescent="0.2">
      <c r="J287"/>
      <c r="K287"/>
      <c r="M287"/>
      <c r="N287"/>
      <c r="O287" s="392"/>
      <c r="P287" s="2"/>
      <c r="R287"/>
      <c r="S287"/>
      <c r="U287"/>
    </row>
    <row r="288" spans="10:21" s="1" customFormat="1" x14ac:dyDescent="0.2">
      <c r="J288"/>
      <c r="K288"/>
      <c r="M288"/>
      <c r="N288"/>
      <c r="O288" s="392"/>
      <c r="P288" s="2"/>
      <c r="R288"/>
      <c r="S288"/>
      <c r="U288"/>
    </row>
    <row r="289" spans="10:21" s="1" customFormat="1" x14ac:dyDescent="0.2">
      <c r="J289"/>
      <c r="K289"/>
      <c r="M289"/>
      <c r="N289"/>
      <c r="O289" s="392"/>
      <c r="P289" s="2"/>
      <c r="R289"/>
      <c r="S289"/>
      <c r="U289"/>
    </row>
    <row r="290" spans="10:21" s="1" customFormat="1" x14ac:dyDescent="0.2">
      <c r="J290"/>
      <c r="K290"/>
      <c r="M290"/>
      <c r="N290"/>
      <c r="O290" s="392"/>
      <c r="P290" s="2"/>
      <c r="R290"/>
      <c r="S290"/>
      <c r="U290"/>
    </row>
    <row r="291" spans="10:21" s="1" customFormat="1" x14ac:dyDescent="0.2">
      <c r="J291"/>
      <c r="K291"/>
      <c r="M291"/>
      <c r="N291"/>
      <c r="O291" s="392"/>
      <c r="P291" s="2"/>
      <c r="R291"/>
      <c r="S291"/>
      <c r="U291"/>
    </row>
    <row r="292" spans="10:21" s="1" customFormat="1" x14ac:dyDescent="0.2">
      <c r="J292"/>
      <c r="K292"/>
      <c r="M292"/>
      <c r="N292"/>
      <c r="O292" s="392"/>
      <c r="P292" s="2"/>
      <c r="R292"/>
      <c r="S292"/>
      <c r="U292"/>
    </row>
    <row r="293" spans="10:21" s="1" customFormat="1" x14ac:dyDescent="0.2">
      <c r="J293"/>
      <c r="K293"/>
      <c r="M293"/>
      <c r="N293"/>
      <c r="O293" s="392"/>
      <c r="P293" s="2"/>
      <c r="R293"/>
      <c r="S293"/>
      <c r="U293"/>
    </row>
    <row r="294" spans="10:21" s="1" customFormat="1" x14ac:dyDescent="0.2">
      <c r="J294"/>
      <c r="K294"/>
      <c r="M294"/>
      <c r="N294"/>
      <c r="O294" s="392"/>
      <c r="P294" s="2"/>
      <c r="R294"/>
      <c r="S294"/>
      <c r="U294"/>
    </row>
    <row r="295" spans="10:21" s="1" customFormat="1" x14ac:dyDescent="0.2">
      <c r="J295"/>
      <c r="K295"/>
      <c r="M295"/>
      <c r="N295"/>
      <c r="O295" s="392"/>
      <c r="P295" s="2"/>
      <c r="R295"/>
      <c r="S295"/>
      <c r="U295"/>
    </row>
    <row r="296" spans="10:21" s="1" customFormat="1" x14ac:dyDescent="0.2">
      <c r="J296"/>
      <c r="K296"/>
      <c r="M296"/>
      <c r="N296"/>
      <c r="O296" s="392"/>
      <c r="P296" s="2"/>
      <c r="R296"/>
      <c r="S296"/>
      <c r="U296"/>
    </row>
    <row r="297" spans="10:21" s="1" customFormat="1" x14ac:dyDescent="0.2">
      <c r="J297"/>
      <c r="K297"/>
      <c r="M297"/>
      <c r="N297"/>
      <c r="O297" s="392"/>
      <c r="P297" s="2"/>
      <c r="R297"/>
      <c r="S297"/>
      <c r="U297"/>
    </row>
    <row r="298" spans="10:21" s="1" customFormat="1" x14ac:dyDescent="0.2">
      <c r="J298"/>
      <c r="K298"/>
      <c r="M298"/>
      <c r="N298"/>
      <c r="O298" s="392"/>
      <c r="P298" s="2"/>
      <c r="R298"/>
      <c r="S298"/>
      <c r="U298"/>
    </row>
    <row r="299" spans="10:21" s="1" customFormat="1" x14ac:dyDescent="0.2">
      <c r="J299"/>
      <c r="K299"/>
      <c r="M299"/>
      <c r="N299"/>
      <c r="O299" s="392"/>
      <c r="P299" s="2"/>
      <c r="R299"/>
      <c r="S299"/>
      <c r="U299"/>
    </row>
    <row r="300" spans="10:21" s="1" customFormat="1" x14ac:dyDescent="0.2">
      <c r="J300"/>
      <c r="K300"/>
      <c r="M300"/>
      <c r="N300"/>
      <c r="O300" s="392"/>
      <c r="P300" s="2"/>
      <c r="R300"/>
      <c r="S300"/>
      <c r="U300"/>
    </row>
    <row r="301" spans="10:21" s="1" customFormat="1" x14ac:dyDescent="0.2">
      <c r="J301"/>
      <c r="K301"/>
      <c r="M301"/>
      <c r="N301"/>
      <c r="O301" s="392"/>
      <c r="P301" s="2"/>
      <c r="R301"/>
      <c r="S301"/>
      <c r="U301"/>
    </row>
    <row r="302" spans="10:21" s="1" customFormat="1" x14ac:dyDescent="0.2">
      <c r="J302"/>
      <c r="K302"/>
      <c r="M302"/>
      <c r="N302"/>
      <c r="O302" s="392"/>
      <c r="P302" s="2"/>
      <c r="R302"/>
      <c r="S302"/>
      <c r="U302"/>
    </row>
    <row r="303" spans="10:21" s="1" customFormat="1" x14ac:dyDescent="0.2">
      <c r="J303"/>
      <c r="K303"/>
      <c r="M303"/>
      <c r="N303"/>
      <c r="O303" s="392"/>
      <c r="P303" s="2"/>
      <c r="R303"/>
      <c r="S303"/>
      <c r="U303"/>
    </row>
    <row r="304" spans="10:21" s="1" customFormat="1" x14ac:dyDescent="0.2">
      <c r="J304"/>
      <c r="K304"/>
      <c r="M304"/>
      <c r="N304"/>
      <c r="O304" s="392"/>
      <c r="P304" s="2"/>
      <c r="R304"/>
      <c r="S304"/>
      <c r="U304"/>
    </row>
    <row r="305" spans="10:21" s="1" customFormat="1" x14ac:dyDescent="0.2">
      <c r="J305"/>
      <c r="K305"/>
      <c r="M305"/>
      <c r="N305"/>
      <c r="O305" s="392"/>
      <c r="P305" s="2"/>
      <c r="R305"/>
      <c r="S305"/>
      <c r="U305"/>
    </row>
    <row r="306" spans="10:21" s="1" customFormat="1" x14ac:dyDescent="0.2">
      <c r="J306"/>
      <c r="K306"/>
      <c r="M306"/>
      <c r="N306"/>
      <c r="O306" s="392"/>
      <c r="P306" s="2"/>
      <c r="R306"/>
      <c r="S306"/>
      <c r="U306"/>
    </row>
    <row r="307" spans="10:21" s="1" customFormat="1" x14ac:dyDescent="0.2">
      <c r="J307"/>
      <c r="K307"/>
      <c r="M307"/>
      <c r="N307"/>
      <c r="O307" s="392"/>
      <c r="P307" s="2"/>
      <c r="R307"/>
      <c r="S307"/>
      <c r="U307"/>
    </row>
    <row r="308" spans="10:21" s="1" customFormat="1" x14ac:dyDescent="0.2">
      <c r="J308"/>
      <c r="K308"/>
      <c r="M308"/>
      <c r="N308"/>
      <c r="O308" s="392"/>
      <c r="P308" s="2"/>
      <c r="R308"/>
      <c r="S308"/>
      <c r="U308"/>
    </row>
    <row r="309" spans="10:21" s="1" customFormat="1" x14ac:dyDescent="0.2">
      <c r="J309"/>
      <c r="K309"/>
      <c r="M309"/>
      <c r="N309"/>
      <c r="O309" s="392"/>
      <c r="P309" s="2"/>
      <c r="R309"/>
      <c r="S309"/>
      <c r="U309"/>
    </row>
    <row r="310" spans="10:21" s="1" customFormat="1" x14ac:dyDescent="0.2">
      <c r="J310"/>
      <c r="K310"/>
      <c r="M310"/>
      <c r="N310"/>
      <c r="O310" s="392"/>
      <c r="P310" s="2"/>
      <c r="R310"/>
      <c r="S310"/>
      <c r="U310"/>
    </row>
    <row r="311" spans="10:21" s="1" customFormat="1" x14ac:dyDescent="0.2">
      <c r="J311"/>
      <c r="K311"/>
      <c r="M311"/>
      <c r="N311"/>
      <c r="O311" s="392"/>
      <c r="P311" s="2"/>
      <c r="R311"/>
      <c r="S311"/>
      <c r="U311"/>
    </row>
    <row r="312" spans="10:21" s="1" customFormat="1" x14ac:dyDescent="0.2">
      <c r="J312"/>
      <c r="K312"/>
      <c r="M312"/>
      <c r="N312"/>
      <c r="O312" s="392"/>
      <c r="P312" s="2"/>
      <c r="R312"/>
      <c r="S312"/>
      <c r="U312"/>
    </row>
    <row r="313" spans="10:21" s="1" customFormat="1" x14ac:dyDescent="0.2">
      <c r="J313"/>
      <c r="K313"/>
      <c r="M313"/>
      <c r="N313"/>
      <c r="O313" s="392"/>
      <c r="P313" s="2"/>
      <c r="R313"/>
      <c r="S313"/>
      <c r="U313"/>
    </row>
    <row r="314" spans="10:21" s="1" customFormat="1" x14ac:dyDescent="0.2">
      <c r="J314"/>
      <c r="K314"/>
      <c r="M314"/>
      <c r="N314"/>
      <c r="O314" s="392"/>
      <c r="P314" s="2"/>
      <c r="R314"/>
      <c r="S314"/>
      <c r="U314"/>
    </row>
    <row r="315" spans="10:21" s="1" customFormat="1" x14ac:dyDescent="0.2">
      <c r="J315"/>
      <c r="K315"/>
      <c r="M315"/>
      <c r="N315"/>
      <c r="O315" s="392"/>
      <c r="P315" s="2"/>
      <c r="R315"/>
      <c r="S315"/>
      <c r="U315"/>
    </row>
    <row r="316" spans="10:21" s="1" customFormat="1" x14ac:dyDescent="0.2">
      <c r="J316"/>
      <c r="K316"/>
      <c r="M316"/>
      <c r="N316"/>
      <c r="O316" s="392"/>
      <c r="P316" s="2"/>
      <c r="R316"/>
      <c r="S316"/>
      <c r="U316"/>
    </row>
    <row r="317" spans="10:21" s="1" customFormat="1" x14ac:dyDescent="0.2">
      <c r="J317"/>
      <c r="K317"/>
      <c r="M317"/>
      <c r="N317"/>
      <c r="O317" s="392"/>
      <c r="P317" s="2"/>
      <c r="R317"/>
      <c r="S317"/>
      <c r="U317"/>
    </row>
    <row r="318" spans="10:21" s="1" customFormat="1" x14ac:dyDescent="0.2">
      <c r="J318"/>
      <c r="K318"/>
      <c r="M318"/>
      <c r="N318"/>
      <c r="O318" s="392"/>
      <c r="P318" s="2"/>
      <c r="R318"/>
      <c r="S318"/>
      <c r="U318"/>
    </row>
    <row r="319" spans="10:21" s="1" customFormat="1" x14ac:dyDescent="0.2">
      <c r="J319"/>
      <c r="K319"/>
      <c r="M319"/>
      <c r="N319"/>
      <c r="O319" s="392"/>
      <c r="P319" s="2"/>
      <c r="R319"/>
      <c r="S319"/>
      <c r="U319"/>
    </row>
    <row r="320" spans="10:21" s="1" customFormat="1" x14ac:dyDescent="0.2">
      <c r="J320"/>
      <c r="K320"/>
      <c r="M320"/>
      <c r="N320"/>
      <c r="O320" s="392"/>
      <c r="P320" s="2"/>
      <c r="R320"/>
      <c r="S320"/>
      <c r="U320"/>
    </row>
    <row r="321" spans="10:21" s="1" customFormat="1" x14ac:dyDescent="0.2">
      <c r="J321"/>
      <c r="K321"/>
      <c r="M321"/>
      <c r="N321"/>
      <c r="O321" s="392"/>
      <c r="P321" s="2"/>
      <c r="R321"/>
      <c r="S321"/>
      <c r="U321"/>
    </row>
    <row r="322" spans="10:21" s="1" customFormat="1" x14ac:dyDescent="0.2">
      <c r="J322"/>
      <c r="K322"/>
      <c r="M322"/>
      <c r="N322"/>
      <c r="O322" s="392"/>
      <c r="P322" s="2"/>
      <c r="R322"/>
      <c r="S322"/>
      <c r="U322"/>
    </row>
    <row r="323" spans="10:21" s="1" customFormat="1" x14ac:dyDescent="0.2">
      <c r="J323"/>
      <c r="K323"/>
      <c r="M323"/>
      <c r="N323"/>
      <c r="O323" s="392"/>
      <c r="P323" s="2"/>
      <c r="R323"/>
      <c r="S323"/>
      <c r="U323"/>
    </row>
    <row r="324" spans="10:21" s="1" customFormat="1" x14ac:dyDescent="0.2">
      <c r="J324"/>
      <c r="K324"/>
      <c r="M324"/>
      <c r="N324"/>
      <c r="O324" s="392"/>
      <c r="P324" s="2"/>
      <c r="R324"/>
      <c r="S324"/>
      <c r="U324"/>
    </row>
    <row r="325" spans="10:21" s="1" customFormat="1" x14ac:dyDescent="0.2">
      <c r="J325"/>
      <c r="K325"/>
      <c r="M325"/>
      <c r="N325"/>
      <c r="O325" s="392"/>
      <c r="P325" s="2"/>
      <c r="R325"/>
      <c r="S325"/>
      <c r="U325"/>
    </row>
    <row r="326" spans="10:21" s="1" customFormat="1" x14ac:dyDescent="0.2">
      <c r="J326"/>
      <c r="K326"/>
      <c r="M326"/>
      <c r="N326"/>
      <c r="O326" s="392"/>
      <c r="P326" s="2"/>
      <c r="R326"/>
      <c r="S326"/>
      <c r="U326"/>
    </row>
    <row r="327" spans="10:21" s="1" customFormat="1" x14ac:dyDescent="0.2">
      <c r="J327"/>
      <c r="K327"/>
      <c r="M327"/>
      <c r="N327"/>
      <c r="O327" s="392"/>
      <c r="P327" s="2"/>
      <c r="R327"/>
      <c r="S327"/>
      <c r="U327"/>
    </row>
    <row r="328" spans="10:21" s="1" customFormat="1" x14ac:dyDescent="0.2">
      <c r="J328"/>
      <c r="K328"/>
      <c r="M328"/>
      <c r="N328"/>
      <c r="O328" s="392"/>
      <c r="P328" s="2"/>
      <c r="R328"/>
      <c r="S328"/>
      <c r="U328"/>
    </row>
    <row r="329" spans="10:21" s="1" customFormat="1" x14ac:dyDescent="0.2">
      <c r="J329"/>
      <c r="K329"/>
      <c r="M329"/>
      <c r="N329"/>
      <c r="O329" s="392"/>
      <c r="P329" s="2"/>
      <c r="R329"/>
      <c r="S329"/>
      <c r="U329"/>
    </row>
    <row r="330" spans="10:21" s="1" customFormat="1" x14ac:dyDescent="0.2">
      <c r="J330"/>
      <c r="K330"/>
      <c r="M330"/>
      <c r="N330"/>
      <c r="O330" s="392"/>
      <c r="P330" s="2"/>
      <c r="R330"/>
      <c r="S330"/>
      <c r="U330"/>
    </row>
    <row r="331" spans="10:21" s="1" customFormat="1" x14ac:dyDescent="0.2">
      <c r="J331"/>
      <c r="K331"/>
      <c r="M331"/>
      <c r="N331"/>
      <c r="O331" s="392"/>
      <c r="P331" s="2"/>
      <c r="R331"/>
      <c r="S331"/>
      <c r="U331"/>
    </row>
    <row r="332" spans="10:21" s="1" customFormat="1" x14ac:dyDescent="0.2">
      <c r="J332"/>
      <c r="K332"/>
      <c r="M332"/>
      <c r="N332"/>
      <c r="O332" s="392"/>
      <c r="P332" s="2"/>
      <c r="R332"/>
      <c r="S332"/>
      <c r="U332"/>
    </row>
    <row r="333" spans="10:21" s="1" customFormat="1" x14ac:dyDescent="0.2">
      <c r="J333"/>
      <c r="K333"/>
      <c r="M333"/>
      <c r="N333"/>
      <c r="O333" s="392"/>
      <c r="P333" s="2"/>
      <c r="R333"/>
      <c r="S333"/>
      <c r="U333"/>
    </row>
    <row r="334" spans="10:21" s="1" customFormat="1" x14ac:dyDescent="0.2">
      <c r="J334"/>
      <c r="K334"/>
      <c r="M334"/>
      <c r="N334"/>
      <c r="O334" s="392"/>
      <c r="P334" s="2"/>
      <c r="R334"/>
      <c r="S334"/>
      <c r="U334"/>
    </row>
    <row r="335" spans="10:21" s="1" customFormat="1" x14ac:dyDescent="0.2">
      <c r="J335"/>
      <c r="K335"/>
      <c r="M335"/>
      <c r="N335"/>
      <c r="O335" s="392"/>
      <c r="P335" s="2"/>
      <c r="R335"/>
      <c r="S335"/>
      <c r="U335"/>
    </row>
    <row r="336" spans="10:21" s="1" customFormat="1" x14ac:dyDescent="0.2">
      <c r="J336"/>
      <c r="K336"/>
      <c r="M336"/>
      <c r="N336"/>
      <c r="O336" s="392"/>
      <c r="P336" s="2"/>
      <c r="R336"/>
      <c r="S336"/>
      <c r="U336"/>
    </row>
    <row r="337" spans="10:21" s="1" customFormat="1" x14ac:dyDescent="0.2">
      <c r="J337"/>
      <c r="K337"/>
      <c r="M337"/>
      <c r="N337"/>
      <c r="O337" s="392"/>
      <c r="P337" s="2"/>
      <c r="R337"/>
      <c r="S337"/>
      <c r="U337"/>
    </row>
    <row r="338" spans="10:21" s="1" customFormat="1" x14ac:dyDescent="0.2">
      <c r="J338"/>
      <c r="K338"/>
      <c r="M338"/>
      <c r="N338"/>
      <c r="O338" s="392"/>
      <c r="P338" s="2"/>
      <c r="R338"/>
      <c r="S338"/>
      <c r="U338"/>
    </row>
    <row r="339" spans="10:21" s="1" customFormat="1" x14ac:dyDescent="0.2">
      <c r="J339"/>
      <c r="K339"/>
      <c r="M339"/>
      <c r="N339"/>
      <c r="O339" s="392"/>
      <c r="P339" s="2"/>
      <c r="R339"/>
      <c r="S339"/>
      <c r="U339"/>
    </row>
    <row r="340" spans="10:21" s="1" customFormat="1" x14ac:dyDescent="0.2">
      <c r="J340"/>
      <c r="K340"/>
      <c r="M340"/>
      <c r="N340"/>
      <c r="O340" s="392"/>
      <c r="P340" s="2"/>
      <c r="R340"/>
      <c r="S340"/>
      <c r="U340"/>
    </row>
    <row r="341" spans="10:21" s="1" customFormat="1" x14ac:dyDescent="0.2">
      <c r="J341"/>
      <c r="K341"/>
      <c r="M341"/>
      <c r="N341"/>
      <c r="O341" s="392"/>
      <c r="P341" s="2"/>
      <c r="R341"/>
      <c r="S341"/>
      <c r="U341"/>
    </row>
    <row r="342" spans="10:21" s="1" customFormat="1" x14ac:dyDescent="0.2">
      <c r="J342"/>
      <c r="K342"/>
      <c r="M342"/>
      <c r="N342"/>
      <c r="O342" s="392"/>
      <c r="P342" s="2"/>
      <c r="R342"/>
      <c r="S342"/>
      <c r="U342"/>
    </row>
    <row r="343" spans="10:21" s="1" customFormat="1" x14ac:dyDescent="0.2">
      <c r="J343"/>
      <c r="K343"/>
      <c r="M343"/>
      <c r="N343"/>
      <c r="O343" s="392"/>
      <c r="P343" s="2"/>
      <c r="R343"/>
      <c r="S343"/>
      <c r="U343"/>
    </row>
    <row r="344" spans="10:21" s="1" customFormat="1" x14ac:dyDescent="0.2">
      <c r="J344"/>
      <c r="K344"/>
      <c r="M344"/>
      <c r="N344"/>
      <c r="O344" s="392"/>
      <c r="P344" s="2"/>
      <c r="R344"/>
      <c r="S344"/>
      <c r="U344"/>
    </row>
    <row r="345" spans="10:21" s="1" customFormat="1" x14ac:dyDescent="0.2">
      <c r="J345"/>
      <c r="K345"/>
      <c r="M345"/>
      <c r="N345"/>
      <c r="O345" s="392"/>
      <c r="P345" s="2"/>
      <c r="R345"/>
      <c r="S345"/>
      <c r="U345"/>
    </row>
    <row r="346" spans="10:21" s="1" customFormat="1" x14ac:dyDescent="0.2">
      <c r="J346"/>
      <c r="K346"/>
      <c r="M346"/>
      <c r="N346"/>
      <c r="O346" s="392"/>
      <c r="P346" s="2"/>
      <c r="R346"/>
      <c r="S346"/>
      <c r="U346"/>
    </row>
    <row r="347" spans="10:21" s="1" customFormat="1" x14ac:dyDescent="0.2">
      <c r="J347"/>
      <c r="K347"/>
      <c r="M347"/>
      <c r="N347"/>
      <c r="O347" s="392"/>
      <c r="P347" s="2"/>
      <c r="R347"/>
      <c r="S347"/>
      <c r="U347"/>
    </row>
    <row r="348" spans="10:21" s="1" customFormat="1" x14ac:dyDescent="0.2">
      <c r="J348"/>
      <c r="K348"/>
      <c r="M348"/>
      <c r="N348"/>
      <c r="O348" s="392"/>
      <c r="P348" s="2"/>
      <c r="R348"/>
      <c r="S348"/>
      <c r="U348"/>
    </row>
    <row r="349" spans="10:21" s="1" customFormat="1" x14ac:dyDescent="0.2">
      <c r="J349"/>
      <c r="K349"/>
      <c r="M349"/>
      <c r="N349"/>
      <c r="O349" s="392"/>
      <c r="P349" s="2"/>
      <c r="R349"/>
      <c r="S349"/>
      <c r="U349"/>
    </row>
    <row r="350" spans="10:21" s="1" customFormat="1" x14ac:dyDescent="0.2">
      <c r="J350"/>
      <c r="K350"/>
      <c r="M350"/>
      <c r="N350"/>
      <c r="O350" s="392"/>
      <c r="P350" s="2"/>
      <c r="R350"/>
      <c r="S350"/>
      <c r="U350"/>
    </row>
    <row r="351" spans="10:21" s="1" customFormat="1" x14ac:dyDescent="0.2">
      <c r="J351"/>
      <c r="K351"/>
      <c r="M351"/>
      <c r="N351"/>
      <c r="O351" s="392"/>
      <c r="P351" s="2"/>
      <c r="R351"/>
      <c r="S351"/>
      <c r="U351"/>
    </row>
    <row r="352" spans="10:21" s="1" customFormat="1" x14ac:dyDescent="0.2">
      <c r="J352"/>
      <c r="K352"/>
      <c r="M352"/>
      <c r="N352"/>
      <c r="O352" s="392"/>
      <c r="P352" s="2"/>
      <c r="R352"/>
      <c r="S352"/>
      <c r="U352"/>
    </row>
    <row r="353" spans="10:21" s="1" customFormat="1" x14ac:dyDescent="0.2">
      <c r="J353"/>
      <c r="K353"/>
      <c r="M353"/>
      <c r="N353"/>
      <c r="O353" s="392"/>
      <c r="P353" s="2"/>
      <c r="R353"/>
      <c r="S353"/>
      <c r="U353"/>
    </row>
    <row r="354" spans="10:21" s="1" customFormat="1" x14ac:dyDescent="0.2">
      <c r="J354"/>
      <c r="K354"/>
      <c r="M354"/>
      <c r="N354"/>
      <c r="O354" s="392"/>
      <c r="P354" s="2"/>
      <c r="R354"/>
      <c r="S354"/>
      <c r="U354"/>
    </row>
    <row r="355" spans="10:21" s="1" customFormat="1" x14ac:dyDescent="0.2">
      <c r="J355"/>
      <c r="K355"/>
      <c r="M355"/>
      <c r="N355"/>
      <c r="O355" s="392"/>
      <c r="P355" s="2"/>
      <c r="R355"/>
      <c r="S355"/>
      <c r="U355"/>
    </row>
    <row r="356" spans="10:21" s="1" customFormat="1" x14ac:dyDescent="0.2">
      <c r="J356"/>
      <c r="K356"/>
      <c r="M356"/>
      <c r="N356"/>
      <c r="O356" s="392"/>
      <c r="P356" s="2"/>
      <c r="R356"/>
      <c r="S356"/>
      <c r="U356"/>
    </row>
    <row r="357" spans="10:21" s="1" customFormat="1" x14ac:dyDescent="0.2">
      <c r="J357"/>
      <c r="K357"/>
      <c r="M357"/>
      <c r="N357"/>
      <c r="O357" s="392"/>
      <c r="P357" s="2"/>
      <c r="R357"/>
      <c r="S357"/>
      <c r="U357"/>
    </row>
    <row r="358" spans="10:21" s="1" customFormat="1" x14ac:dyDescent="0.2">
      <c r="J358"/>
      <c r="K358"/>
      <c r="M358"/>
      <c r="N358"/>
      <c r="O358" s="392"/>
      <c r="P358" s="2"/>
      <c r="R358"/>
      <c r="S358"/>
      <c r="U358"/>
    </row>
    <row r="359" spans="10:21" s="1" customFormat="1" x14ac:dyDescent="0.2">
      <c r="J359"/>
      <c r="K359"/>
      <c r="M359"/>
      <c r="N359"/>
      <c r="O359" s="392"/>
      <c r="P359" s="2"/>
      <c r="R359"/>
      <c r="S359"/>
      <c r="U359"/>
    </row>
    <row r="360" spans="10:21" s="1" customFormat="1" x14ac:dyDescent="0.2">
      <c r="J360"/>
      <c r="K360"/>
      <c r="M360"/>
      <c r="N360"/>
      <c r="O360" s="392"/>
      <c r="P360" s="2"/>
      <c r="R360"/>
      <c r="S360"/>
      <c r="U360"/>
    </row>
    <row r="361" spans="10:21" s="1" customFormat="1" x14ac:dyDescent="0.2">
      <c r="J361"/>
      <c r="K361"/>
      <c r="M361"/>
      <c r="N361"/>
      <c r="O361" s="392"/>
      <c r="P361" s="2"/>
      <c r="R361"/>
      <c r="S361"/>
      <c r="U361"/>
    </row>
    <row r="362" spans="10:21" s="1" customFormat="1" x14ac:dyDescent="0.2">
      <c r="J362"/>
      <c r="K362"/>
      <c r="M362"/>
      <c r="N362"/>
      <c r="O362" s="392"/>
      <c r="P362" s="2"/>
      <c r="R362"/>
      <c r="S362"/>
      <c r="U362"/>
    </row>
    <row r="363" spans="10:21" s="1" customFormat="1" x14ac:dyDescent="0.2">
      <c r="J363"/>
      <c r="K363"/>
      <c r="M363"/>
      <c r="N363"/>
      <c r="O363" s="392"/>
      <c r="P363" s="2"/>
      <c r="R363"/>
      <c r="S363"/>
      <c r="U363"/>
    </row>
    <row r="364" spans="10:21" s="1" customFormat="1" x14ac:dyDescent="0.2">
      <c r="J364"/>
      <c r="K364"/>
      <c r="M364"/>
      <c r="N364"/>
      <c r="O364" s="392"/>
      <c r="P364" s="2"/>
      <c r="R364"/>
      <c r="S364"/>
      <c r="U364"/>
    </row>
    <row r="365" spans="10:21" s="1" customFormat="1" x14ac:dyDescent="0.2">
      <c r="J365"/>
      <c r="K365"/>
      <c r="M365"/>
      <c r="N365"/>
      <c r="O365" s="392"/>
      <c r="P365" s="2"/>
      <c r="R365"/>
      <c r="S365"/>
      <c r="U365"/>
    </row>
    <row r="366" spans="10:21" s="1" customFormat="1" x14ac:dyDescent="0.2">
      <c r="J366"/>
      <c r="K366"/>
      <c r="M366"/>
      <c r="N366"/>
      <c r="O366" s="392"/>
      <c r="P366" s="2"/>
      <c r="R366"/>
      <c r="S366"/>
      <c r="U366"/>
    </row>
    <row r="367" spans="10:21" s="1" customFormat="1" x14ac:dyDescent="0.2">
      <c r="J367"/>
      <c r="K367"/>
      <c r="M367"/>
      <c r="N367"/>
      <c r="O367" s="392"/>
      <c r="P367" s="2"/>
      <c r="R367"/>
      <c r="S367"/>
      <c r="U367"/>
    </row>
    <row r="368" spans="10:21" s="1" customFormat="1" x14ac:dyDescent="0.2">
      <c r="J368"/>
      <c r="K368"/>
      <c r="M368"/>
      <c r="N368"/>
      <c r="O368" s="392"/>
      <c r="P368" s="2"/>
      <c r="R368"/>
      <c r="S368"/>
      <c r="U368"/>
    </row>
    <row r="369" spans="10:21" s="1" customFormat="1" x14ac:dyDescent="0.2">
      <c r="J369"/>
      <c r="K369"/>
      <c r="M369"/>
      <c r="N369"/>
      <c r="O369" s="392"/>
      <c r="P369" s="2"/>
      <c r="R369"/>
      <c r="S369"/>
      <c r="U369"/>
    </row>
    <row r="370" spans="10:21" s="1" customFormat="1" x14ac:dyDescent="0.2">
      <c r="J370"/>
      <c r="K370"/>
      <c r="M370"/>
      <c r="N370"/>
      <c r="O370" s="392"/>
      <c r="P370" s="2"/>
      <c r="R370"/>
      <c r="S370"/>
      <c r="U370"/>
    </row>
    <row r="371" spans="10:21" s="1" customFormat="1" x14ac:dyDescent="0.2">
      <c r="J371"/>
      <c r="K371"/>
      <c r="M371"/>
      <c r="N371"/>
      <c r="O371" s="392"/>
      <c r="P371" s="2"/>
      <c r="R371"/>
      <c r="S371"/>
      <c r="U371"/>
    </row>
    <row r="372" spans="10:21" s="1" customFormat="1" x14ac:dyDescent="0.2">
      <c r="J372"/>
      <c r="K372"/>
      <c r="M372"/>
      <c r="N372"/>
      <c r="O372" s="392"/>
      <c r="P372" s="2"/>
      <c r="R372"/>
      <c r="S372"/>
      <c r="U372"/>
    </row>
    <row r="373" spans="10:21" s="1" customFormat="1" x14ac:dyDescent="0.2">
      <c r="J373"/>
      <c r="K373"/>
      <c r="M373"/>
      <c r="N373"/>
      <c r="O373" s="392"/>
      <c r="P373" s="2"/>
      <c r="R373"/>
      <c r="S373"/>
      <c r="U373"/>
    </row>
    <row r="374" spans="10:21" s="1" customFormat="1" x14ac:dyDescent="0.2">
      <c r="J374"/>
      <c r="K374"/>
      <c r="M374"/>
      <c r="N374"/>
      <c r="O374" s="392"/>
      <c r="P374" s="2"/>
      <c r="R374"/>
      <c r="S374"/>
      <c r="U374"/>
    </row>
    <row r="375" spans="10:21" s="1" customFormat="1" x14ac:dyDescent="0.2">
      <c r="J375"/>
      <c r="K375"/>
      <c r="M375"/>
      <c r="N375"/>
      <c r="O375" s="392"/>
      <c r="P375" s="2"/>
      <c r="R375"/>
      <c r="S375"/>
      <c r="U375"/>
    </row>
    <row r="376" spans="10:21" s="1" customFormat="1" x14ac:dyDescent="0.2">
      <c r="J376"/>
      <c r="K376"/>
      <c r="M376"/>
      <c r="N376"/>
      <c r="O376" s="392"/>
      <c r="P376" s="2"/>
      <c r="R376"/>
      <c r="S376"/>
      <c r="U376"/>
    </row>
    <row r="377" spans="10:21" s="1" customFormat="1" x14ac:dyDescent="0.2">
      <c r="J377"/>
      <c r="K377"/>
      <c r="M377"/>
      <c r="N377"/>
      <c r="O377" s="392"/>
      <c r="P377" s="2"/>
      <c r="R377"/>
      <c r="S377"/>
      <c r="U377"/>
    </row>
    <row r="378" spans="10:21" s="1" customFormat="1" x14ac:dyDescent="0.2">
      <c r="J378"/>
      <c r="K378"/>
      <c r="M378"/>
      <c r="N378"/>
      <c r="O378" s="392"/>
      <c r="P378" s="2"/>
      <c r="R378"/>
      <c r="S378"/>
      <c r="U378"/>
    </row>
    <row r="379" spans="10:21" s="1" customFormat="1" x14ac:dyDescent="0.2">
      <c r="J379"/>
      <c r="K379"/>
      <c r="M379"/>
      <c r="N379"/>
      <c r="O379" s="392"/>
      <c r="P379" s="2"/>
      <c r="R379"/>
      <c r="S379"/>
      <c r="U379"/>
    </row>
    <row r="380" spans="10:21" s="1" customFormat="1" x14ac:dyDescent="0.2">
      <c r="J380"/>
      <c r="K380"/>
      <c r="M380"/>
      <c r="N380"/>
      <c r="O380" s="392"/>
      <c r="P380" s="2"/>
      <c r="R380"/>
      <c r="S380"/>
      <c r="U380"/>
    </row>
    <row r="381" spans="10:21" s="1" customFormat="1" x14ac:dyDescent="0.2">
      <c r="J381"/>
      <c r="K381"/>
      <c r="M381"/>
      <c r="N381"/>
      <c r="O381" s="392"/>
      <c r="P381" s="2"/>
      <c r="R381"/>
      <c r="S381"/>
      <c r="U381"/>
    </row>
    <row r="382" spans="10:21" s="1" customFormat="1" x14ac:dyDescent="0.2">
      <c r="J382"/>
      <c r="K382"/>
      <c r="M382"/>
      <c r="N382"/>
      <c r="O382" s="392"/>
      <c r="P382" s="2"/>
      <c r="R382"/>
      <c r="S382"/>
      <c r="U382"/>
    </row>
    <row r="383" spans="10:21" s="1" customFormat="1" x14ac:dyDescent="0.2">
      <c r="J383"/>
      <c r="K383"/>
      <c r="M383"/>
      <c r="N383"/>
      <c r="O383" s="392"/>
      <c r="P383" s="2"/>
      <c r="R383"/>
      <c r="S383"/>
      <c r="U383"/>
    </row>
    <row r="384" spans="10:21" s="1" customFormat="1" x14ac:dyDescent="0.2">
      <c r="J384"/>
      <c r="K384"/>
      <c r="M384"/>
      <c r="N384"/>
      <c r="O384" s="392"/>
      <c r="P384" s="2"/>
      <c r="R384"/>
      <c r="S384"/>
      <c r="U384"/>
    </row>
    <row r="385" spans="10:21" s="1" customFormat="1" x14ac:dyDescent="0.2">
      <c r="J385"/>
      <c r="K385"/>
      <c r="M385"/>
      <c r="N385"/>
      <c r="O385" s="392"/>
      <c r="P385" s="2"/>
      <c r="R385"/>
      <c r="S385"/>
      <c r="U385"/>
    </row>
    <row r="386" spans="10:21" s="1" customFormat="1" x14ac:dyDescent="0.2">
      <c r="J386"/>
      <c r="K386"/>
      <c r="M386"/>
      <c r="N386"/>
      <c r="O386" s="392"/>
      <c r="P386" s="2"/>
      <c r="R386"/>
      <c r="S386"/>
      <c r="U386"/>
    </row>
    <row r="387" spans="10:21" s="1" customFormat="1" x14ac:dyDescent="0.2">
      <c r="J387"/>
      <c r="K387"/>
      <c r="M387"/>
      <c r="N387"/>
      <c r="O387" s="392"/>
      <c r="P387" s="2"/>
      <c r="R387"/>
      <c r="S387"/>
      <c r="U387"/>
    </row>
    <row r="388" spans="10:21" s="1" customFormat="1" x14ac:dyDescent="0.2">
      <c r="J388"/>
      <c r="K388"/>
      <c r="M388"/>
      <c r="N388"/>
      <c r="O388" s="392"/>
      <c r="P388" s="2"/>
      <c r="R388"/>
      <c r="S388"/>
      <c r="U388"/>
    </row>
    <row r="389" spans="10:21" s="1" customFormat="1" x14ac:dyDescent="0.2">
      <c r="J389"/>
      <c r="K389"/>
      <c r="M389"/>
      <c r="N389"/>
      <c r="O389" s="392"/>
      <c r="P389" s="2"/>
      <c r="R389"/>
      <c r="S389"/>
      <c r="U389"/>
    </row>
    <row r="390" spans="10:21" s="1" customFormat="1" x14ac:dyDescent="0.2">
      <c r="J390"/>
      <c r="K390"/>
      <c r="M390"/>
      <c r="N390"/>
      <c r="O390" s="392"/>
      <c r="P390" s="2"/>
      <c r="R390"/>
      <c r="S390"/>
      <c r="U390"/>
    </row>
    <row r="391" spans="10:21" s="1" customFormat="1" x14ac:dyDescent="0.2">
      <c r="J391"/>
      <c r="K391"/>
      <c r="M391"/>
      <c r="N391"/>
      <c r="O391" s="392"/>
      <c r="P391" s="2"/>
      <c r="R391"/>
      <c r="S391"/>
      <c r="U391"/>
    </row>
    <row r="392" spans="10:21" s="1" customFormat="1" x14ac:dyDescent="0.2">
      <c r="J392"/>
      <c r="K392"/>
      <c r="M392"/>
      <c r="N392"/>
      <c r="O392" s="392"/>
      <c r="P392" s="2"/>
      <c r="R392"/>
      <c r="S392"/>
      <c r="U392"/>
    </row>
    <row r="393" spans="10:21" s="1" customFormat="1" x14ac:dyDescent="0.2">
      <c r="J393"/>
      <c r="K393"/>
      <c r="M393"/>
      <c r="N393"/>
      <c r="O393" s="392"/>
      <c r="P393" s="2"/>
      <c r="R393"/>
      <c r="S393"/>
      <c r="U393"/>
    </row>
    <row r="394" spans="10:21" s="1" customFormat="1" x14ac:dyDescent="0.2">
      <c r="J394"/>
      <c r="K394"/>
      <c r="M394"/>
      <c r="N394"/>
      <c r="O394" s="392"/>
      <c r="P394" s="2"/>
      <c r="R394"/>
      <c r="S394"/>
      <c r="U394"/>
    </row>
    <row r="395" spans="10:21" s="1" customFormat="1" x14ac:dyDescent="0.2">
      <c r="J395"/>
      <c r="K395"/>
      <c r="M395"/>
      <c r="N395"/>
      <c r="O395" s="392"/>
      <c r="P395" s="2"/>
      <c r="R395"/>
      <c r="S395"/>
      <c r="U395"/>
    </row>
    <row r="396" spans="10:21" s="1" customFormat="1" x14ac:dyDescent="0.2">
      <c r="J396"/>
      <c r="K396"/>
      <c r="M396"/>
      <c r="N396"/>
      <c r="O396" s="392"/>
      <c r="P396" s="2"/>
      <c r="R396"/>
      <c r="S396"/>
      <c r="U396"/>
    </row>
    <row r="397" spans="10:21" s="1" customFormat="1" x14ac:dyDescent="0.2">
      <c r="J397"/>
      <c r="K397"/>
      <c r="M397"/>
      <c r="N397"/>
      <c r="O397" s="392"/>
      <c r="P397" s="2"/>
      <c r="R397"/>
      <c r="S397"/>
      <c r="U397"/>
    </row>
    <row r="398" spans="10:21" s="1" customFormat="1" x14ac:dyDescent="0.2">
      <c r="J398"/>
      <c r="K398"/>
      <c r="M398"/>
      <c r="N398"/>
      <c r="O398" s="392"/>
      <c r="P398" s="2"/>
      <c r="R398"/>
      <c r="S398"/>
      <c r="U398"/>
    </row>
    <row r="399" spans="10:21" s="1" customFormat="1" x14ac:dyDescent="0.2">
      <c r="J399"/>
      <c r="K399"/>
      <c r="M399"/>
      <c r="N399"/>
      <c r="O399" s="392"/>
      <c r="P399" s="2"/>
      <c r="R399"/>
      <c r="S399"/>
      <c r="U399"/>
    </row>
    <row r="400" spans="10:21" s="1" customFormat="1" x14ac:dyDescent="0.2">
      <c r="J400"/>
      <c r="K400"/>
      <c r="M400"/>
      <c r="N400"/>
      <c r="O400" s="392"/>
      <c r="P400" s="2"/>
      <c r="R400"/>
      <c r="S400"/>
      <c r="U400"/>
    </row>
    <row r="401" spans="10:21" s="1" customFormat="1" x14ac:dyDescent="0.2">
      <c r="J401"/>
      <c r="K401"/>
      <c r="M401"/>
      <c r="N401"/>
      <c r="O401" s="392"/>
      <c r="P401" s="2"/>
      <c r="R401"/>
      <c r="S401"/>
      <c r="U401"/>
    </row>
    <row r="402" spans="10:21" s="1" customFormat="1" x14ac:dyDescent="0.2">
      <c r="J402"/>
      <c r="K402"/>
      <c r="M402"/>
      <c r="N402"/>
      <c r="O402" s="392"/>
      <c r="P402" s="2"/>
      <c r="R402"/>
      <c r="S402"/>
      <c r="U402"/>
    </row>
    <row r="403" spans="10:21" s="1" customFormat="1" x14ac:dyDescent="0.2">
      <c r="J403"/>
      <c r="K403"/>
      <c r="M403"/>
      <c r="N403"/>
      <c r="O403" s="392"/>
      <c r="P403" s="2"/>
      <c r="R403"/>
      <c r="S403"/>
      <c r="U403"/>
    </row>
    <row r="404" spans="10:21" s="1" customFormat="1" x14ac:dyDescent="0.2">
      <c r="J404"/>
      <c r="K404"/>
      <c r="M404"/>
      <c r="N404"/>
      <c r="O404" s="392"/>
      <c r="P404" s="2"/>
      <c r="R404"/>
      <c r="S404"/>
      <c r="U404"/>
    </row>
    <row r="405" spans="10:21" s="1" customFormat="1" x14ac:dyDescent="0.2">
      <c r="J405"/>
      <c r="K405"/>
      <c r="M405"/>
      <c r="N405"/>
      <c r="O405" s="392"/>
      <c r="P405" s="2"/>
      <c r="R405"/>
      <c r="S405"/>
      <c r="U405"/>
    </row>
    <row r="406" spans="10:21" s="1" customFormat="1" x14ac:dyDescent="0.2">
      <c r="J406"/>
      <c r="K406"/>
      <c r="M406"/>
      <c r="N406"/>
      <c r="O406" s="392"/>
      <c r="P406" s="2"/>
      <c r="R406"/>
      <c r="S406"/>
      <c r="U406"/>
    </row>
    <row r="407" spans="10:21" s="1" customFormat="1" x14ac:dyDescent="0.2">
      <c r="J407"/>
      <c r="K407"/>
      <c r="M407"/>
      <c r="N407"/>
      <c r="O407" s="392"/>
      <c r="P407" s="2"/>
      <c r="R407"/>
      <c r="S407"/>
      <c r="U407"/>
    </row>
    <row r="408" spans="10:21" s="1" customFormat="1" x14ac:dyDescent="0.2">
      <c r="J408"/>
      <c r="K408"/>
      <c r="M408"/>
      <c r="N408"/>
      <c r="O408" s="392"/>
      <c r="P408" s="2"/>
      <c r="R408"/>
      <c r="S408"/>
      <c r="U408"/>
    </row>
    <row r="409" spans="10:21" s="1" customFormat="1" x14ac:dyDescent="0.2">
      <c r="J409"/>
      <c r="K409"/>
      <c r="M409"/>
      <c r="N409"/>
      <c r="O409" s="392"/>
      <c r="P409" s="2"/>
      <c r="R409"/>
      <c r="S409"/>
      <c r="U409"/>
    </row>
    <row r="410" spans="10:21" s="1" customFormat="1" x14ac:dyDescent="0.2">
      <c r="J410"/>
      <c r="K410"/>
      <c r="M410"/>
      <c r="N410"/>
      <c r="O410" s="392"/>
      <c r="P410" s="2"/>
      <c r="R410"/>
      <c r="S410"/>
      <c r="U410"/>
    </row>
    <row r="411" spans="10:21" s="1" customFormat="1" x14ac:dyDescent="0.2">
      <c r="J411"/>
      <c r="K411"/>
      <c r="M411"/>
      <c r="N411"/>
      <c r="O411" s="392"/>
      <c r="P411" s="2"/>
      <c r="R411"/>
      <c r="S411"/>
      <c r="U411"/>
    </row>
    <row r="412" spans="10:21" s="1" customFormat="1" x14ac:dyDescent="0.2">
      <c r="J412"/>
      <c r="K412"/>
      <c r="M412"/>
      <c r="N412"/>
      <c r="O412" s="392"/>
      <c r="P412" s="2"/>
      <c r="R412"/>
      <c r="S412"/>
      <c r="U412"/>
    </row>
    <row r="413" spans="10:21" s="1" customFormat="1" x14ac:dyDescent="0.2">
      <c r="J413"/>
      <c r="K413"/>
      <c r="M413"/>
      <c r="N413"/>
      <c r="O413" s="392"/>
      <c r="P413" s="2"/>
      <c r="R413"/>
      <c r="S413"/>
      <c r="U413"/>
    </row>
    <row r="414" spans="10:21" s="1" customFormat="1" x14ac:dyDescent="0.2">
      <c r="J414"/>
      <c r="K414"/>
      <c r="M414"/>
      <c r="N414"/>
      <c r="O414" s="392"/>
      <c r="P414" s="2"/>
      <c r="R414"/>
      <c r="S414"/>
      <c r="U414"/>
    </row>
    <row r="415" spans="10:21" s="1" customFormat="1" x14ac:dyDescent="0.2">
      <c r="J415"/>
      <c r="K415"/>
      <c r="M415"/>
      <c r="N415"/>
      <c r="O415" s="392"/>
      <c r="P415" s="2"/>
      <c r="R415"/>
      <c r="S415"/>
      <c r="U415"/>
    </row>
    <row r="416" spans="10:21" s="1" customFormat="1" x14ac:dyDescent="0.2">
      <c r="J416"/>
      <c r="K416"/>
      <c r="M416"/>
      <c r="N416"/>
      <c r="O416" s="392"/>
      <c r="P416" s="2"/>
      <c r="R416"/>
      <c r="S416"/>
      <c r="U416"/>
    </row>
    <row r="417" spans="10:21" s="1" customFormat="1" x14ac:dyDescent="0.2">
      <c r="J417"/>
      <c r="K417"/>
      <c r="M417"/>
      <c r="N417"/>
      <c r="O417" s="392"/>
      <c r="P417" s="2"/>
      <c r="R417"/>
      <c r="S417"/>
      <c r="U417"/>
    </row>
    <row r="418" spans="10:21" s="1" customFormat="1" x14ac:dyDescent="0.2">
      <c r="J418"/>
      <c r="K418"/>
      <c r="M418"/>
      <c r="N418"/>
      <c r="O418" s="392"/>
      <c r="P418" s="2"/>
      <c r="R418"/>
      <c r="S418"/>
      <c r="U418"/>
    </row>
    <row r="419" spans="10:21" s="1" customFormat="1" x14ac:dyDescent="0.2">
      <c r="J419"/>
      <c r="K419"/>
      <c r="M419"/>
      <c r="N419"/>
      <c r="O419" s="392"/>
      <c r="P419" s="2"/>
      <c r="R419"/>
      <c r="S419"/>
      <c r="U419"/>
    </row>
    <row r="420" spans="10:21" s="1" customFormat="1" x14ac:dyDescent="0.2">
      <c r="J420"/>
      <c r="K420"/>
      <c r="M420"/>
      <c r="N420"/>
      <c r="O420" s="392"/>
      <c r="P420" s="2"/>
      <c r="R420"/>
      <c r="S420"/>
      <c r="U420"/>
    </row>
    <row r="421" spans="10:21" s="1" customFormat="1" x14ac:dyDescent="0.2">
      <c r="J421"/>
      <c r="K421"/>
      <c r="M421"/>
      <c r="N421"/>
      <c r="O421" s="392"/>
      <c r="P421" s="2"/>
      <c r="R421"/>
      <c r="S421"/>
      <c r="U421"/>
    </row>
    <row r="422" spans="10:21" s="1" customFormat="1" x14ac:dyDescent="0.2">
      <c r="J422"/>
      <c r="K422"/>
      <c r="M422"/>
      <c r="N422"/>
      <c r="O422" s="392"/>
      <c r="P422" s="2"/>
      <c r="R422"/>
      <c r="S422"/>
      <c r="U422"/>
    </row>
    <row r="423" spans="10:21" s="1" customFormat="1" x14ac:dyDescent="0.2">
      <c r="J423"/>
      <c r="K423"/>
      <c r="M423"/>
      <c r="N423"/>
      <c r="O423" s="392"/>
      <c r="P423" s="2"/>
      <c r="R423"/>
      <c r="S423"/>
      <c r="U423"/>
    </row>
    <row r="424" spans="10:21" s="1" customFormat="1" x14ac:dyDescent="0.2">
      <c r="J424"/>
      <c r="K424"/>
      <c r="M424"/>
      <c r="N424"/>
      <c r="O424" s="392"/>
      <c r="P424" s="2"/>
      <c r="R424"/>
      <c r="S424"/>
      <c r="U424"/>
    </row>
    <row r="425" spans="10:21" s="1" customFormat="1" x14ac:dyDescent="0.2">
      <c r="J425"/>
      <c r="K425"/>
      <c r="L425" s="726"/>
      <c r="M425"/>
      <c r="N425"/>
      <c r="O425" s="392"/>
      <c r="P425" s="2"/>
      <c r="R425"/>
      <c r="S425"/>
      <c r="U425"/>
    </row>
    <row r="426" spans="10:21" s="1" customFormat="1" x14ac:dyDescent="0.2">
      <c r="J426"/>
      <c r="K426"/>
      <c r="L426" s="725"/>
      <c r="M426"/>
      <c r="N426"/>
      <c r="O426" s="392"/>
      <c r="P426" s="2"/>
      <c r="R426"/>
      <c r="S426"/>
      <c r="U426"/>
    </row>
    <row r="427" spans="10:21" s="1" customFormat="1" x14ac:dyDescent="0.2">
      <c r="J427"/>
      <c r="K427"/>
      <c r="L427" s="725"/>
      <c r="M427"/>
      <c r="N427"/>
      <c r="O427" s="392"/>
      <c r="P427" s="2"/>
      <c r="R427"/>
      <c r="S427"/>
      <c r="U427"/>
    </row>
    <row r="428" spans="10:21" s="1" customFormat="1" x14ac:dyDescent="0.2">
      <c r="J428"/>
      <c r="K428"/>
      <c r="L428" s="725"/>
      <c r="M428"/>
      <c r="N428"/>
      <c r="O428" s="392"/>
      <c r="P428" s="2"/>
      <c r="R428"/>
      <c r="S428"/>
      <c r="U428"/>
    </row>
    <row r="429" spans="10:21" s="1" customFormat="1" x14ac:dyDescent="0.2">
      <c r="J429"/>
      <c r="K429"/>
      <c r="L429" s="725"/>
      <c r="M429"/>
      <c r="N429"/>
      <c r="O429" s="392"/>
      <c r="P429" s="2"/>
      <c r="R429"/>
      <c r="S429"/>
      <c r="U429"/>
    </row>
    <row r="430" spans="10:21" s="1" customFormat="1" x14ac:dyDescent="0.2">
      <c r="J430"/>
      <c r="K430"/>
      <c r="L430" s="725"/>
      <c r="M430"/>
      <c r="N430"/>
      <c r="O430" s="392"/>
      <c r="P430" s="2"/>
      <c r="R430"/>
      <c r="S430"/>
      <c r="U430"/>
    </row>
    <row r="431" spans="10:21" s="1" customFormat="1" x14ac:dyDescent="0.2">
      <c r="J431"/>
      <c r="K431"/>
      <c r="L431" s="725"/>
      <c r="M431"/>
      <c r="N431"/>
      <c r="O431" s="392"/>
      <c r="P431" s="2"/>
      <c r="R431"/>
      <c r="S431"/>
      <c r="U431"/>
    </row>
    <row r="432" spans="10:21" s="1" customFormat="1" x14ac:dyDescent="0.2">
      <c r="J432"/>
      <c r="K432"/>
      <c r="L432" s="725"/>
      <c r="M432"/>
      <c r="N432"/>
      <c r="O432" s="392"/>
      <c r="P432" s="2"/>
      <c r="R432"/>
      <c r="S432"/>
      <c r="U432"/>
    </row>
    <row r="433" spans="10:21" s="1" customFormat="1" x14ac:dyDescent="0.2">
      <c r="J433"/>
      <c r="K433"/>
      <c r="L433" s="725"/>
      <c r="M433"/>
      <c r="N433"/>
      <c r="O433" s="392"/>
      <c r="P433" s="2"/>
      <c r="R433"/>
      <c r="S433"/>
      <c r="U433"/>
    </row>
    <row r="434" spans="10:21" s="1" customFormat="1" x14ac:dyDescent="0.2">
      <c r="J434"/>
      <c r="K434"/>
      <c r="L434" s="725"/>
      <c r="M434"/>
      <c r="N434"/>
      <c r="O434" s="392"/>
      <c r="P434" s="2"/>
      <c r="R434"/>
      <c r="S434"/>
      <c r="U434"/>
    </row>
    <row r="435" spans="10:21" s="1" customFormat="1" x14ac:dyDescent="0.2">
      <c r="J435"/>
      <c r="K435"/>
      <c r="L435" s="725"/>
      <c r="M435"/>
      <c r="N435"/>
      <c r="O435" s="392"/>
      <c r="P435" s="2"/>
      <c r="R435"/>
      <c r="S435"/>
      <c r="U435"/>
    </row>
    <row r="436" spans="10:21" s="1" customFormat="1" x14ac:dyDescent="0.2">
      <c r="J436"/>
      <c r="K436"/>
      <c r="L436" s="725"/>
      <c r="M436"/>
      <c r="N436"/>
      <c r="O436" s="392"/>
      <c r="P436" s="2"/>
      <c r="R436"/>
      <c r="S436"/>
      <c r="U436"/>
    </row>
    <row r="437" spans="10:21" s="1" customFormat="1" x14ac:dyDescent="0.2">
      <c r="J437"/>
      <c r="K437"/>
      <c r="L437" s="725"/>
      <c r="M437"/>
      <c r="N437"/>
      <c r="O437" s="392"/>
      <c r="P437" s="2"/>
      <c r="R437"/>
      <c r="S437"/>
      <c r="U437"/>
    </row>
    <row r="438" spans="10:21" s="1" customFormat="1" x14ac:dyDescent="0.2">
      <c r="J438"/>
      <c r="K438"/>
      <c r="L438" s="725"/>
      <c r="M438"/>
      <c r="N438"/>
      <c r="O438" s="392"/>
      <c r="P438" s="2"/>
      <c r="R438"/>
      <c r="S438"/>
      <c r="U438"/>
    </row>
    <row r="439" spans="10:21" s="1" customFormat="1" x14ac:dyDescent="0.2">
      <c r="J439"/>
      <c r="K439"/>
      <c r="L439" s="725"/>
      <c r="M439"/>
      <c r="N439"/>
      <c r="O439" s="392"/>
      <c r="P439" s="2"/>
      <c r="R439"/>
      <c r="S439"/>
      <c r="U439"/>
    </row>
    <row r="440" spans="10:21" s="1" customFormat="1" x14ac:dyDescent="0.2">
      <c r="J440"/>
      <c r="K440"/>
      <c r="L440" s="725"/>
      <c r="M440"/>
      <c r="N440"/>
      <c r="O440" s="392"/>
      <c r="P440" s="2"/>
      <c r="R440"/>
      <c r="S440"/>
      <c r="U440"/>
    </row>
    <row r="441" spans="10:21" s="1" customFormat="1" x14ac:dyDescent="0.2">
      <c r="J441"/>
      <c r="K441"/>
      <c r="L441" s="725"/>
      <c r="M441"/>
      <c r="N441"/>
      <c r="O441" s="392"/>
      <c r="P441" s="2"/>
      <c r="R441"/>
      <c r="S441"/>
      <c r="U441"/>
    </row>
    <row r="442" spans="10:21" s="1" customFormat="1" x14ac:dyDescent="0.2">
      <c r="J442"/>
      <c r="K442"/>
      <c r="L442" s="725"/>
      <c r="M442"/>
      <c r="N442"/>
      <c r="O442" s="392"/>
      <c r="P442" s="2"/>
      <c r="R442"/>
      <c r="S442"/>
      <c r="U442"/>
    </row>
    <row r="443" spans="10:21" s="1" customFormat="1" x14ac:dyDescent="0.2">
      <c r="J443"/>
      <c r="K443"/>
      <c r="L443" s="725"/>
      <c r="M443"/>
      <c r="N443"/>
      <c r="O443" s="392"/>
      <c r="P443" s="2"/>
      <c r="R443"/>
      <c r="S443"/>
      <c r="U443"/>
    </row>
    <row r="444" spans="10:21" s="1" customFormat="1" x14ac:dyDescent="0.2">
      <c r="J444"/>
      <c r="K444"/>
      <c r="L444" s="725"/>
      <c r="M444"/>
      <c r="N444"/>
      <c r="O444" s="392"/>
      <c r="P444" s="2"/>
      <c r="R444"/>
      <c r="S444"/>
      <c r="U444"/>
    </row>
    <row r="445" spans="10:21" s="1" customFormat="1" x14ac:dyDescent="0.2">
      <c r="J445"/>
      <c r="K445"/>
      <c r="L445" s="725"/>
      <c r="M445"/>
      <c r="N445"/>
      <c r="O445" s="392"/>
      <c r="P445" s="2"/>
      <c r="R445"/>
      <c r="S445"/>
      <c r="U445"/>
    </row>
    <row r="446" spans="10:21" s="1" customFormat="1" x14ac:dyDescent="0.2">
      <c r="J446"/>
      <c r="K446"/>
      <c r="L446" s="725"/>
      <c r="M446"/>
      <c r="N446"/>
      <c r="O446" s="392"/>
      <c r="P446" s="2"/>
      <c r="R446"/>
      <c r="S446"/>
      <c r="U446"/>
    </row>
    <row r="447" spans="10:21" s="1" customFormat="1" x14ac:dyDescent="0.2">
      <c r="J447"/>
      <c r="K447"/>
      <c r="L447" s="725"/>
      <c r="M447"/>
      <c r="N447"/>
      <c r="O447" s="392"/>
      <c r="P447" s="2"/>
      <c r="R447"/>
      <c r="S447"/>
      <c r="U447"/>
    </row>
    <row r="448" spans="10:21" s="1" customFormat="1" x14ac:dyDescent="0.2">
      <c r="J448"/>
      <c r="K448"/>
      <c r="L448" s="725"/>
      <c r="M448"/>
      <c r="N448"/>
      <c r="O448" s="392"/>
      <c r="P448" s="2"/>
      <c r="R448"/>
      <c r="S448"/>
      <c r="U448"/>
    </row>
    <row r="449" spans="10:21" s="1" customFormat="1" x14ac:dyDescent="0.2">
      <c r="J449"/>
      <c r="K449"/>
      <c r="L449" s="725"/>
      <c r="M449"/>
      <c r="N449"/>
      <c r="O449" s="392"/>
      <c r="P449" s="2"/>
      <c r="R449"/>
      <c r="S449"/>
      <c r="U449"/>
    </row>
    <row r="450" spans="10:21" s="1" customFormat="1" x14ac:dyDescent="0.2">
      <c r="J450"/>
      <c r="K450"/>
      <c r="L450" s="725"/>
      <c r="M450"/>
      <c r="N450"/>
      <c r="O450" s="392"/>
      <c r="P450" s="2"/>
      <c r="R450"/>
      <c r="S450"/>
      <c r="U450"/>
    </row>
    <row r="451" spans="10:21" s="1" customFormat="1" x14ac:dyDescent="0.2">
      <c r="J451"/>
      <c r="K451"/>
      <c r="L451" s="725"/>
      <c r="M451"/>
      <c r="N451"/>
      <c r="O451" s="392"/>
      <c r="P451" s="2"/>
      <c r="R451"/>
      <c r="S451"/>
      <c r="U451"/>
    </row>
    <row r="452" spans="10:21" s="1" customFormat="1" x14ac:dyDescent="0.2">
      <c r="J452"/>
      <c r="K452"/>
      <c r="L452" s="725"/>
      <c r="M452"/>
      <c r="N452"/>
      <c r="O452" s="392"/>
      <c r="P452" s="2"/>
      <c r="R452"/>
      <c r="S452"/>
      <c r="U452"/>
    </row>
    <row r="453" spans="10:21" s="1" customFormat="1" x14ac:dyDescent="0.2">
      <c r="J453"/>
      <c r="K453"/>
      <c r="L453" s="725"/>
      <c r="M453"/>
      <c r="N453"/>
      <c r="O453" s="392"/>
      <c r="P453" s="2"/>
      <c r="R453"/>
      <c r="S453"/>
      <c r="U453"/>
    </row>
    <row r="454" spans="10:21" s="1" customFormat="1" x14ac:dyDescent="0.2">
      <c r="J454"/>
      <c r="K454"/>
      <c r="L454" s="725"/>
      <c r="M454"/>
      <c r="N454"/>
      <c r="O454" s="392"/>
      <c r="P454" s="2"/>
      <c r="R454"/>
      <c r="S454"/>
      <c r="U454"/>
    </row>
    <row r="455" spans="10:21" s="1" customFormat="1" x14ac:dyDescent="0.2">
      <c r="J455"/>
      <c r="K455"/>
      <c r="L455" s="725"/>
      <c r="M455"/>
      <c r="N455"/>
      <c r="O455" s="392"/>
      <c r="P455" s="2"/>
      <c r="R455"/>
      <c r="S455"/>
      <c r="U455"/>
    </row>
    <row r="456" spans="10:21" s="1" customFormat="1" x14ac:dyDescent="0.2">
      <c r="J456"/>
      <c r="K456"/>
      <c r="L456" s="725"/>
      <c r="M456"/>
      <c r="N456"/>
      <c r="O456" s="392"/>
      <c r="P456" s="2"/>
      <c r="R456"/>
      <c r="S456"/>
      <c r="U456"/>
    </row>
    <row r="457" spans="10:21" s="1" customFormat="1" x14ac:dyDescent="0.2">
      <c r="J457"/>
      <c r="K457"/>
      <c r="L457" s="725"/>
      <c r="M457"/>
      <c r="N457"/>
      <c r="O457" s="392"/>
      <c r="P457" s="2"/>
      <c r="R457"/>
      <c r="S457"/>
      <c r="U457"/>
    </row>
    <row r="458" spans="10:21" s="1" customFormat="1" x14ac:dyDescent="0.2">
      <c r="J458"/>
      <c r="K458"/>
      <c r="L458" s="725"/>
      <c r="M458"/>
      <c r="N458"/>
      <c r="O458" s="392"/>
      <c r="P458" s="2"/>
      <c r="R458"/>
      <c r="S458"/>
      <c r="U458"/>
    </row>
    <row r="459" spans="10:21" s="1" customFormat="1" x14ac:dyDescent="0.2">
      <c r="J459"/>
      <c r="K459"/>
      <c r="L459" s="725"/>
      <c r="M459"/>
      <c r="N459"/>
      <c r="O459" s="392"/>
      <c r="P459" s="2"/>
      <c r="R459"/>
      <c r="S459"/>
      <c r="U459"/>
    </row>
    <row r="460" spans="10:21" s="1" customFormat="1" x14ac:dyDescent="0.2">
      <c r="J460"/>
      <c r="K460"/>
      <c r="L460" s="725"/>
      <c r="M460"/>
      <c r="N460"/>
      <c r="O460" s="392"/>
      <c r="P460" s="2"/>
      <c r="R460"/>
      <c r="S460"/>
      <c r="U460"/>
    </row>
    <row r="461" spans="10:21" s="1" customFormat="1" x14ac:dyDescent="0.2">
      <c r="J461"/>
      <c r="K461"/>
      <c r="L461" s="725"/>
      <c r="M461"/>
      <c r="N461"/>
      <c r="O461" s="392"/>
      <c r="P461" s="2"/>
      <c r="R461"/>
      <c r="S461"/>
      <c r="U461"/>
    </row>
    <row r="462" spans="10:21" s="1" customFormat="1" x14ac:dyDescent="0.2">
      <c r="J462"/>
      <c r="K462"/>
      <c r="L462" s="725"/>
      <c r="M462"/>
      <c r="N462"/>
      <c r="O462" s="392"/>
      <c r="P462" s="2"/>
      <c r="R462"/>
      <c r="S462"/>
      <c r="U462"/>
    </row>
    <row r="463" spans="10:21" s="1" customFormat="1" x14ac:dyDescent="0.2">
      <c r="J463"/>
      <c r="K463"/>
      <c r="L463" s="725"/>
      <c r="M463"/>
      <c r="N463"/>
      <c r="O463" s="392"/>
      <c r="P463" s="2"/>
      <c r="R463"/>
      <c r="S463"/>
      <c r="U463"/>
    </row>
    <row r="464" spans="10:21" s="1" customFormat="1" x14ac:dyDescent="0.2">
      <c r="J464"/>
      <c r="K464"/>
      <c r="L464" s="725"/>
      <c r="M464"/>
      <c r="N464"/>
      <c r="O464" s="392"/>
      <c r="P464" s="2"/>
      <c r="R464"/>
      <c r="S464"/>
      <c r="U464"/>
    </row>
    <row r="465" spans="10:21" s="1" customFormat="1" x14ac:dyDescent="0.2">
      <c r="J465"/>
      <c r="K465"/>
      <c r="L465" s="725"/>
      <c r="M465"/>
      <c r="N465"/>
      <c r="O465" s="392"/>
      <c r="P465" s="2"/>
      <c r="R465"/>
      <c r="S465"/>
      <c r="U465"/>
    </row>
    <row r="466" spans="10:21" s="1" customFormat="1" x14ac:dyDescent="0.2">
      <c r="J466"/>
      <c r="K466"/>
      <c r="L466" s="725"/>
      <c r="M466"/>
      <c r="N466"/>
      <c r="O466" s="392"/>
      <c r="P466" s="2"/>
      <c r="R466"/>
      <c r="S466"/>
      <c r="U466"/>
    </row>
    <row r="467" spans="10:21" s="1" customFormat="1" x14ac:dyDescent="0.2">
      <c r="J467"/>
      <c r="K467"/>
      <c r="L467" s="725"/>
      <c r="M467"/>
      <c r="N467"/>
      <c r="O467" s="392"/>
      <c r="P467" s="2"/>
      <c r="R467"/>
      <c r="S467"/>
      <c r="U467"/>
    </row>
    <row r="468" spans="10:21" s="1" customFormat="1" x14ac:dyDescent="0.2">
      <c r="J468"/>
      <c r="K468"/>
      <c r="L468" s="725"/>
      <c r="M468"/>
      <c r="N468"/>
      <c r="O468" s="392"/>
      <c r="P468" s="2"/>
      <c r="R468"/>
      <c r="S468"/>
      <c r="U468"/>
    </row>
    <row r="469" spans="10:21" s="1" customFormat="1" x14ac:dyDescent="0.2">
      <c r="J469"/>
      <c r="K469"/>
      <c r="L469" s="725"/>
      <c r="M469"/>
      <c r="N469"/>
      <c r="O469" s="392"/>
      <c r="P469" s="2"/>
      <c r="R469"/>
      <c r="S469"/>
      <c r="U469"/>
    </row>
    <row r="470" spans="10:21" s="1" customFormat="1" x14ac:dyDescent="0.2">
      <c r="J470"/>
      <c r="K470"/>
      <c r="L470" s="725"/>
      <c r="M470"/>
      <c r="N470"/>
      <c r="O470" s="392"/>
      <c r="P470" s="2"/>
      <c r="R470"/>
      <c r="S470"/>
      <c r="U470"/>
    </row>
    <row r="471" spans="10:21" s="1" customFormat="1" x14ac:dyDescent="0.2">
      <c r="J471"/>
      <c r="K471"/>
      <c r="L471" s="725"/>
      <c r="M471"/>
      <c r="N471"/>
      <c r="O471" s="392"/>
      <c r="P471" s="2"/>
      <c r="R471"/>
      <c r="S471"/>
      <c r="U471"/>
    </row>
    <row r="472" spans="10:21" s="1" customFormat="1" x14ac:dyDescent="0.2">
      <c r="J472"/>
      <c r="K472"/>
      <c r="L472" s="725"/>
      <c r="M472"/>
      <c r="N472"/>
      <c r="O472" s="392"/>
      <c r="P472" s="2"/>
      <c r="R472"/>
      <c r="S472"/>
      <c r="U472"/>
    </row>
    <row r="473" spans="10:21" s="1" customFormat="1" x14ac:dyDescent="0.2">
      <c r="J473"/>
      <c r="K473"/>
      <c r="L473" s="725"/>
      <c r="M473"/>
      <c r="N473"/>
      <c r="O473" s="392"/>
      <c r="P473" s="2"/>
      <c r="R473"/>
      <c r="S473"/>
      <c r="U473"/>
    </row>
    <row r="474" spans="10:21" s="1" customFormat="1" x14ac:dyDescent="0.2">
      <c r="J474"/>
      <c r="K474"/>
      <c r="L474" s="725"/>
      <c r="M474"/>
      <c r="N474"/>
      <c r="O474" s="392"/>
      <c r="P474" s="2"/>
      <c r="R474"/>
      <c r="S474"/>
      <c r="U474"/>
    </row>
    <row r="475" spans="10:21" s="1" customFormat="1" x14ac:dyDescent="0.2">
      <c r="J475"/>
      <c r="K475"/>
      <c r="L475" s="725"/>
      <c r="M475"/>
      <c r="N475"/>
      <c r="O475" s="392"/>
      <c r="P475" s="2"/>
      <c r="R475"/>
      <c r="S475"/>
      <c r="U475"/>
    </row>
    <row r="476" spans="10:21" s="1" customFormat="1" x14ac:dyDescent="0.2">
      <c r="J476"/>
      <c r="K476"/>
      <c r="L476" s="725"/>
      <c r="M476"/>
      <c r="N476"/>
      <c r="O476" s="392"/>
      <c r="P476" s="2"/>
      <c r="R476"/>
      <c r="S476"/>
      <c r="U476"/>
    </row>
    <row r="477" spans="10:21" s="1" customFormat="1" x14ac:dyDescent="0.2">
      <c r="J477"/>
      <c r="K477"/>
      <c r="L477" s="725"/>
      <c r="M477"/>
      <c r="N477"/>
      <c r="O477" s="392"/>
      <c r="P477" s="2"/>
      <c r="R477"/>
      <c r="S477"/>
      <c r="U477"/>
    </row>
    <row r="478" spans="10:21" s="1" customFormat="1" x14ac:dyDescent="0.2">
      <c r="J478"/>
      <c r="K478"/>
      <c r="L478" s="725"/>
      <c r="M478"/>
      <c r="N478"/>
      <c r="O478" s="392"/>
      <c r="P478" s="2"/>
      <c r="R478"/>
      <c r="S478"/>
      <c r="U478"/>
    </row>
    <row r="479" spans="10:21" s="1" customFormat="1" x14ac:dyDescent="0.2">
      <c r="J479"/>
      <c r="K479"/>
      <c r="L479" s="725"/>
      <c r="M479"/>
      <c r="N479"/>
      <c r="O479" s="392"/>
      <c r="P479" s="2"/>
      <c r="R479"/>
      <c r="S479"/>
      <c r="U479"/>
    </row>
    <row r="480" spans="10:21" s="1" customFormat="1" x14ac:dyDescent="0.2">
      <c r="J480"/>
      <c r="K480"/>
      <c r="L480" s="725"/>
      <c r="M480"/>
      <c r="N480"/>
      <c r="O480" s="392"/>
      <c r="P480" s="2"/>
      <c r="R480"/>
      <c r="S480"/>
      <c r="U480"/>
    </row>
    <row r="481" spans="10:21" s="1" customFormat="1" x14ac:dyDescent="0.2">
      <c r="J481"/>
      <c r="K481"/>
      <c r="L481" s="725"/>
      <c r="M481"/>
      <c r="N481"/>
      <c r="O481" s="392"/>
      <c r="P481" s="2"/>
      <c r="R481"/>
      <c r="S481"/>
      <c r="U481"/>
    </row>
    <row r="482" spans="10:21" s="1" customFormat="1" x14ac:dyDescent="0.2">
      <c r="J482"/>
      <c r="K482"/>
      <c r="L482" s="725"/>
      <c r="M482"/>
      <c r="N482"/>
      <c r="O482" s="392"/>
      <c r="P482" s="2"/>
      <c r="R482"/>
      <c r="S482"/>
      <c r="U482"/>
    </row>
    <row r="483" spans="10:21" s="1" customFormat="1" x14ac:dyDescent="0.2">
      <c r="J483"/>
      <c r="K483"/>
      <c r="L483" s="725"/>
      <c r="M483"/>
      <c r="N483"/>
      <c r="O483" s="392"/>
      <c r="P483" s="2"/>
      <c r="R483"/>
      <c r="S483"/>
      <c r="U483"/>
    </row>
    <row r="484" spans="10:21" s="1" customFormat="1" x14ac:dyDescent="0.2">
      <c r="J484"/>
      <c r="K484"/>
      <c r="L484" s="725"/>
      <c r="M484"/>
      <c r="N484"/>
      <c r="O484" s="392"/>
      <c r="P484" s="2"/>
      <c r="R484"/>
      <c r="S484"/>
      <c r="U484"/>
    </row>
    <row r="485" spans="10:21" s="1" customFormat="1" x14ac:dyDescent="0.2">
      <c r="J485"/>
      <c r="K485"/>
      <c r="L485" s="725"/>
      <c r="M485"/>
      <c r="N485"/>
      <c r="O485" s="392"/>
      <c r="P485" s="2"/>
      <c r="R485"/>
      <c r="S485"/>
      <c r="U485"/>
    </row>
    <row r="486" spans="10:21" s="1" customFormat="1" x14ac:dyDescent="0.2">
      <c r="J486"/>
      <c r="K486"/>
      <c r="L486" s="725"/>
      <c r="M486"/>
      <c r="N486"/>
      <c r="O486" s="392"/>
      <c r="P486" s="2"/>
      <c r="R486"/>
      <c r="S486"/>
      <c r="U486"/>
    </row>
    <row r="487" spans="10:21" s="1" customFormat="1" x14ac:dyDescent="0.2">
      <c r="J487"/>
      <c r="K487"/>
      <c r="L487" s="725"/>
      <c r="M487"/>
      <c r="N487"/>
      <c r="O487" s="392"/>
      <c r="P487" s="2"/>
      <c r="R487"/>
      <c r="S487"/>
      <c r="U487"/>
    </row>
    <row r="488" spans="10:21" s="1" customFormat="1" x14ac:dyDescent="0.2">
      <c r="J488"/>
      <c r="K488"/>
      <c r="L488" s="725"/>
      <c r="M488"/>
      <c r="N488"/>
      <c r="O488" s="392"/>
      <c r="P488" s="2"/>
      <c r="R488"/>
      <c r="S488"/>
      <c r="U488"/>
    </row>
    <row r="489" spans="10:21" s="1" customFormat="1" x14ac:dyDescent="0.2">
      <c r="J489"/>
      <c r="K489"/>
      <c r="L489" s="725"/>
      <c r="M489"/>
      <c r="N489"/>
      <c r="O489" s="392"/>
      <c r="P489" s="2"/>
      <c r="R489"/>
      <c r="S489"/>
      <c r="U489"/>
    </row>
    <row r="490" spans="10:21" s="1" customFormat="1" x14ac:dyDescent="0.2">
      <c r="J490"/>
      <c r="K490"/>
      <c r="L490" s="725"/>
      <c r="M490"/>
      <c r="N490"/>
      <c r="O490" s="392"/>
      <c r="P490" s="2"/>
      <c r="R490"/>
      <c r="S490"/>
      <c r="U490"/>
    </row>
    <row r="491" spans="10:21" s="1" customFormat="1" x14ac:dyDescent="0.2">
      <c r="J491"/>
      <c r="K491"/>
      <c r="L491" s="725"/>
      <c r="M491"/>
      <c r="N491"/>
      <c r="O491" s="392"/>
      <c r="P491" s="2"/>
      <c r="R491"/>
      <c r="S491"/>
      <c r="U491"/>
    </row>
    <row r="492" spans="10:21" s="1" customFormat="1" x14ac:dyDescent="0.2">
      <c r="J492"/>
      <c r="K492"/>
      <c r="L492" s="725"/>
      <c r="M492"/>
      <c r="N492"/>
      <c r="O492" s="392"/>
      <c r="P492" s="2"/>
      <c r="R492"/>
      <c r="S492"/>
      <c r="U492"/>
    </row>
    <row r="493" spans="10:21" s="1" customFormat="1" x14ac:dyDescent="0.2">
      <c r="J493"/>
      <c r="K493"/>
      <c r="L493" s="725"/>
      <c r="M493"/>
      <c r="N493"/>
      <c r="O493" s="392"/>
      <c r="P493" s="2"/>
      <c r="R493"/>
      <c r="S493"/>
      <c r="U493"/>
    </row>
    <row r="494" spans="10:21" s="1" customFormat="1" x14ac:dyDescent="0.2">
      <c r="J494"/>
      <c r="K494"/>
      <c r="L494" s="725"/>
      <c r="M494"/>
      <c r="N494"/>
      <c r="O494" s="392"/>
      <c r="P494" s="2"/>
      <c r="R494"/>
      <c r="S494"/>
      <c r="U494"/>
    </row>
    <row r="495" spans="10:21" s="1" customFormat="1" x14ac:dyDescent="0.2">
      <c r="J495"/>
      <c r="K495"/>
      <c r="L495" s="725"/>
      <c r="M495"/>
      <c r="N495"/>
      <c r="O495" s="392"/>
      <c r="P495" s="2"/>
      <c r="R495"/>
      <c r="S495"/>
      <c r="U495"/>
    </row>
    <row r="496" spans="10:21" s="1" customFormat="1" x14ac:dyDescent="0.2">
      <c r="J496"/>
      <c r="K496"/>
      <c r="L496" s="725"/>
      <c r="M496"/>
      <c r="N496"/>
      <c r="O496" s="392"/>
      <c r="P496" s="2"/>
      <c r="R496"/>
      <c r="S496"/>
      <c r="U496"/>
    </row>
    <row r="497" spans="10:21" s="1" customFormat="1" x14ac:dyDescent="0.2">
      <c r="J497"/>
      <c r="K497"/>
      <c r="L497" s="725"/>
      <c r="M497"/>
      <c r="N497"/>
      <c r="O497" s="392"/>
      <c r="P497" s="2"/>
      <c r="R497"/>
      <c r="S497"/>
      <c r="U497"/>
    </row>
    <row r="498" spans="10:21" s="1" customFormat="1" x14ac:dyDescent="0.2">
      <c r="J498"/>
      <c r="K498"/>
      <c r="L498" s="725"/>
      <c r="M498"/>
      <c r="N498"/>
      <c r="O498" s="392"/>
      <c r="P498" s="2"/>
      <c r="R498"/>
      <c r="S498"/>
      <c r="U498"/>
    </row>
    <row r="499" spans="10:21" s="1" customFormat="1" x14ac:dyDescent="0.2">
      <c r="J499"/>
      <c r="K499"/>
      <c r="L499" s="725"/>
      <c r="M499"/>
      <c r="N499"/>
      <c r="O499" s="392"/>
      <c r="P499" s="2"/>
      <c r="R499"/>
      <c r="S499"/>
      <c r="U499"/>
    </row>
    <row r="500" spans="10:21" s="1" customFormat="1" x14ac:dyDescent="0.2">
      <c r="J500"/>
      <c r="K500"/>
      <c r="L500" s="725"/>
      <c r="M500"/>
      <c r="N500"/>
      <c r="O500" s="392"/>
      <c r="P500" s="2"/>
      <c r="R500"/>
      <c r="S500"/>
      <c r="U500"/>
    </row>
    <row r="501" spans="10:21" s="1" customFormat="1" x14ac:dyDescent="0.2">
      <c r="J501"/>
      <c r="K501"/>
      <c r="L501" s="725"/>
      <c r="M501"/>
      <c r="N501"/>
      <c r="O501" s="392"/>
      <c r="P501" s="2"/>
      <c r="R501"/>
      <c r="S501"/>
      <c r="U501"/>
    </row>
    <row r="502" spans="10:21" s="1" customFormat="1" x14ac:dyDescent="0.2">
      <c r="J502"/>
      <c r="K502"/>
      <c r="L502" s="725"/>
      <c r="M502"/>
      <c r="N502"/>
      <c r="O502" s="392"/>
      <c r="P502" s="2"/>
      <c r="R502"/>
      <c r="S502"/>
      <c r="U502"/>
    </row>
    <row r="503" spans="10:21" s="1" customFormat="1" x14ac:dyDescent="0.2">
      <c r="J503"/>
      <c r="K503"/>
      <c r="L503" s="725"/>
      <c r="M503"/>
      <c r="N503"/>
      <c r="O503" s="392"/>
      <c r="P503" s="2"/>
      <c r="R503"/>
      <c r="S503"/>
      <c r="U503"/>
    </row>
    <row r="504" spans="10:21" s="1" customFormat="1" x14ac:dyDescent="0.2">
      <c r="J504"/>
      <c r="K504"/>
      <c r="L504" s="725"/>
      <c r="M504"/>
      <c r="N504"/>
      <c r="O504" s="392"/>
      <c r="P504" s="2"/>
      <c r="R504"/>
      <c r="S504"/>
      <c r="U504"/>
    </row>
    <row r="505" spans="10:21" s="1" customFormat="1" x14ac:dyDescent="0.2">
      <c r="J505"/>
      <c r="K505"/>
      <c r="L505" s="725"/>
      <c r="M505"/>
      <c r="N505"/>
      <c r="O505" s="392"/>
      <c r="P505" s="2"/>
      <c r="R505"/>
      <c r="S505"/>
      <c r="U505"/>
    </row>
    <row r="506" spans="10:21" s="1" customFormat="1" x14ac:dyDescent="0.2">
      <c r="J506"/>
      <c r="K506"/>
      <c r="L506" s="725"/>
      <c r="M506"/>
      <c r="N506"/>
      <c r="O506" s="392"/>
      <c r="P506" s="2"/>
      <c r="R506"/>
      <c r="S506"/>
      <c r="U506"/>
    </row>
    <row r="507" spans="10:21" s="1" customFormat="1" x14ac:dyDescent="0.2">
      <c r="J507"/>
      <c r="K507"/>
      <c r="L507" s="725"/>
      <c r="M507"/>
      <c r="N507"/>
      <c r="O507" s="392"/>
      <c r="P507" s="2"/>
      <c r="R507"/>
      <c r="S507"/>
      <c r="U507"/>
    </row>
    <row r="508" spans="10:21" s="1" customFormat="1" x14ac:dyDescent="0.2">
      <c r="J508"/>
      <c r="K508"/>
      <c r="L508" s="725"/>
      <c r="M508"/>
      <c r="N508"/>
      <c r="O508" s="392"/>
      <c r="P508" s="2"/>
      <c r="R508"/>
      <c r="S508"/>
      <c r="U508"/>
    </row>
    <row r="509" spans="10:21" s="1" customFormat="1" x14ac:dyDescent="0.2">
      <c r="J509"/>
      <c r="K509"/>
      <c r="L509" s="725"/>
      <c r="M509"/>
      <c r="N509"/>
      <c r="O509" s="392"/>
      <c r="P509" s="2"/>
      <c r="R509"/>
      <c r="S509"/>
      <c r="U509"/>
    </row>
    <row r="510" spans="10:21" s="1" customFormat="1" x14ac:dyDescent="0.2">
      <c r="J510"/>
      <c r="K510"/>
      <c r="L510" s="725"/>
      <c r="M510"/>
      <c r="N510"/>
      <c r="O510" s="392"/>
      <c r="P510" s="2"/>
      <c r="R510"/>
      <c r="S510"/>
      <c r="U510"/>
    </row>
    <row r="511" spans="10:21" s="1" customFormat="1" x14ac:dyDescent="0.2">
      <c r="J511"/>
      <c r="K511"/>
      <c r="L511" s="725"/>
      <c r="M511"/>
      <c r="N511"/>
      <c r="O511" s="392"/>
      <c r="P511" s="2"/>
      <c r="R511"/>
      <c r="S511"/>
      <c r="U511"/>
    </row>
    <row r="512" spans="10:21" s="1" customFormat="1" x14ac:dyDescent="0.2">
      <c r="J512"/>
      <c r="K512"/>
      <c r="L512" s="725"/>
      <c r="M512"/>
      <c r="N512"/>
      <c r="O512" s="392"/>
      <c r="P512" s="2"/>
      <c r="R512"/>
      <c r="S512"/>
      <c r="U512"/>
    </row>
    <row r="513" spans="10:21" s="1" customFormat="1" x14ac:dyDescent="0.2">
      <c r="J513"/>
      <c r="K513"/>
      <c r="L513" s="725"/>
      <c r="M513"/>
      <c r="N513"/>
      <c r="O513" s="392"/>
      <c r="P513" s="2"/>
      <c r="R513"/>
      <c r="S513"/>
      <c r="U513"/>
    </row>
    <row r="514" spans="10:21" s="1" customFormat="1" x14ac:dyDescent="0.2">
      <c r="J514"/>
      <c r="K514"/>
      <c r="L514" s="725"/>
      <c r="M514"/>
      <c r="N514"/>
      <c r="O514" s="392"/>
      <c r="P514" s="2"/>
      <c r="R514"/>
      <c r="S514"/>
      <c r="U514"/>
    </row>
    <row r="515" spans="10:21" s="1" customFormat="1" x14ac:dyDescent="0.2">
      <c r="J515"/>
      <c r="K515"/>
      <c r="L515" s="725"/>
      <c r="M515"/>
      <c r="N515"/>
      <c r="O515" s="392"/>
      <c r="P515" s="2"/>
      <c r="R515"/>
      <c r="S515"/>
      <c r="U515"/>
    </row>
    <row r="516" spans="10:21" s="1" customFormat="1" x14ac:dyDescent="0.2">
      <c r="J516"/>
      <c r="K516"/>
      <c r="L516" s="725"/>
      <c r="M516"/>
      <c r="N516"/>
      <c r="O516" s="392"/>
      <c r="P516" s="2"/>
      <c r="R516"/>
      <c r="S516"/>
      <c r="U516"/>
    </row>
    <row r="517" spans="10:21" s="1" customFormat="1" x14ac:dyDescent="0.2">
      <c r="J517"/>
      <c r="K517"/>
      <c r="L517" s="725"/>
      <c r="M517"/>
      <c r="N517"/>
      <c r="O517" s="392"/>
      <c r="P517" s="2"/>
      <c r="R517"/>
      <c r="S517"/>
      <c r="U517"/>
    </row>
    <row r="518" spans="10:21" s="1" customFormat="1" x14ac:dyDescent="0.2">
      <c r="J518"/>
      <c r="K518"/>
      <c r="L518" s="725"/>
      <c r="M518"/>
      <c r="N518"/>
      <c r="O518" s="392"/>
      <c r="P518" s="2"/>
      <c r="R518"/>
      <c r="S518"/>
      <c r="U518"/>
    </row>
    <row r="519" spans="10:21" s="1" customFormat="1" x14ac:dyDescent="0.2">
      <c r="J519"/>
      <c r="K519"/>
      <c r="L519" s="725"/>
      <c r="M519"/>
      <c r="N519"/>
      <c r="O519" s="392"/>
      <c r="P519" s="2"/>
      <c r="R519"/>
      <c r="S519"/>
      <c r="U519"/>
    </row>
    <row r="520" spans="10:21" s="1" customFormat="1" x14ac:dyDescent="0.2">
      <c r="J520"/>
      <c r="K520"/>
      <c r="L520" s="725"/>
      <c r="M520"/>
      <c r="N520"/>
      <c r="O520" s="392"/>
      <c r="P520" s="2"/>
      <c r="R520"/>
      <c r="S520"/>
      <c r="U520"/>
    </row>
    <row r="521" spans="10:21" s="1" customFormat="1" x14ac:dyDescent="0.2">
      <c r="J521"/>
      <c r="K521"/>
      <c r="L521" s="725"/>
      <c r="M521"/>
      <c r="N521"/>
      <c r="O521" s="392"/>
      <c r="P521" s="2"/>
      <c r="R521"/>
      <c r="S521"/>
      <c r="U521"/>
    </row>
    <row r="522" spans="10:21" s="1" customFormat="1" x14ac:dyDescent="0.2">
      <c r="J522"/>
      <c r="K522"/>
      <c r="L522" s="725"/>
      <c r="M522"/>
      <c r="N522"/>
      <c r="O522" s="392"/>
      <c r="P522" s="2"/>
      <c r="R522"/>
      <c r="S522"/>
      <c r="U522"/>
    </row>
    <row r="523" spans="10:21" s="1" customFormat="1" x14ac:dyDescent="0.2">
      <c r="J523"/>
      <c r="K523"/>
      <c r="L523" s="725"/>
      <c r="M523"/>
      <c r="N523"/>
      <c r="O523" s="392"/>
      <c r="P523" s="2"/>
      <c r="R523"/>
      <c r="S523"/>
      <c r="U523"/>
    </row>
    <row r="524" spans="10:21" s="1" customFormat="1" x14ac:dyDescent="0.2">
      <c r="J524"/>
      <c r="K524"/>
      <c r="L524" s="725"/>
      <c r="M524"/>
      <c r="N524"/>
      <c r="O524" s="392"/>
      <c r="P524" s="2"/>
      <c r="R524"/>
      <c r="S524"/>
      <c r="U524"/>
    </row>
    <row r="525" spans="10:21" s="1" customFormat="1" x14ac:dyDescent="0.2">
      <c r="J525"/>
      <c r="K525"/>
      <c r="L525" s="725"/>
      <c r="M525"/>
      <c r="N525"/>
      <c r="O525" s="392"/>
      <c r="P525" s="2"/>
      <c r="R525"/>
      <c r="S525"/>
      <c r="U525"/>
    </row>
    <row r="526" spans="10:21" s="1" customFormat="1" x14ac:dyDescent="0.2">
      <c r="J526"/>
      <c r="K526"/>
      <c r="L526" s="725"/>
      <c r="M526"/>
      <c r="N526"/>
      <c r="O526" s="392"/>
      <c r="P526" s="2"/>
      <c r="R526"/>
      <c r="S526"/>
      <c r="U526"/>
    </row>
    <row r="527" spans="10:21" s="1" customFormat="1" x14ac:dyDescent="0.2">
      <c r="J527"/>
      <c r="K527"/>
      <c r="L527" s="725"/>
      <c r="M527"/>
      <c r="N527"/>
      <c r="O527" s="392"/>
      <c r="P527" s="2"/>
      <c r="R527"/>
      <c r="S527"/>
      <c r="U527"/>
    </row>
    <row r="528" spans="10:21" s="1" customFormat="1" x14ac:dyDescent="0.2">
      <c r="J528"/>
      <c r="K528"/>
      <c r="L528" s="725"/>
      <c r="M528"/>
      <c r="N528"/>
      <c r="O528" s="392"/>
      <c r="P528" s="2"/>
      <c r="R528"/>
      <c r="S528"/>
      <c r="U528"/>
    </row>
    <row r="529" spans="10:21" s="1" customFormat="1" x14ac:dyDescent="0.2">
      <c r="J529"/>
      <c r="K529"/>
      <c r="L529" s="725"/>
      <c r="M529"/>
      <c r="N529"/>
      <c r="O529" s="392"/>
      <c r="P529" s="2"/>
      <c r="R529"/>
      <c r="S529"/>
      <c r="U529"/>
    </row>
    <row r="530" spans="10:21" s="1" customFormat="1" x14ac:dyDescent="0.2">
      <c r="J530"/>
      <c r="K530"/>
      <c r="L530" s="725"/>
      <c r="M530"/>
      <c r="N530"/>
      <c r="O530" s="392"/>
      <c r="P530" s="2"/>
      <c r="R530"/>
      <c r="S530"/>
      <c r="U530"/>
    </row>
    <row r="531" spans="10:21" s="1" customFormat="1" x14ac:dyDescent="0.2">
      <c r="J531"/>
      <c r="K531"/>
      <c r="L531" s="725"/>
      <c r="M531"/>
      <c r="N531"/>
      <c r="O531" s="392"/>
      <c r="P531" s="2"/>
      <c r="R531"/>
      <c r="S531"/>
      <c r="U531"/>
    </row>
    <row r="532" spans="10:21" s="1" customFormat="1" x14ac:dyDescent="0.2">
      <c r="J532"/>
      <c r="K532"/>
      <c r="L532" s="725"/>
      <c r="M532"/>
      <c r="N532"/>
      <c r="O532" s="392"/>
      <c r="P532" s="2"/>
      <c r="R532"/>
      <c r="S532"/>
      <c r="U532"/>
    </row>
    <row r="533" spans="10:21" s="1" customFormat="1" x14ac:dyDescent="0.2">
      <c r="J533"/>
      <c r="K533"/>
      <c r="L533" s="725"/>
      <c r="M533"/>
      <c r="N533"/>
      <c r="O533" s="392"/>
      <c r="P533" s="2"/>
      <c r="R533"/>
      <c r="S533"/>
      <c r="U533"/>
    </row>
    <row r="534" spans="10:21" s="1" customFormat="1" x14ac:dyDescent="0.2">
      <c r="J534"/>
      <c r="K534"/>
      <c r="L534" s="725"/>
      <c r="M534"/>
      <c r="N534"/>
      <c r="O534" s="392"/>
      <c r="P534" s="2"/>
      <c r="R534"/>
      <c r="S534"/>
      <c r="U534"/>
    </row>
    <row r="535" spans="10:21" s="1" customFormat="1" x14ac:dyDescent="0.2">
      <c r="J535"/>
      <c r="K535"/>
      <c r="L535" s="725"/>
      <c r="M535"/>
      <c r="N535"/>
      <c r="O535" s="392"/>
      <c r="P535" s="2"/>
      <c r="R535"/>
      <c r="S535"/>
      <c r="U535"/>
    </row>
    <row r="536" spans="10:21" s="1" customFormat="1" x14ac:dyDescent="0.2">
      <c r="J536"/>
      <c r="K536"/>
      <c r="L536" s="725"/>
      <c r="M536"/>
      <c r="N536"/>
      <c r="O536" s="392"/>
      <c r="P536" s="2"/>
      <c r="R536"/>
      <c r="S536"/>
      <c r="U536"/>
    </row>
    <row r="537" spans="10:21" s="1" customFormat="1" x14ac:dyDescent="0.2">
      <c r="J537"/>
      <c r="K537"/>
      <c r="L537" s="725"/>
      <c r="M537"/>
      <c r="N537"/>
      <c r="O537" s="392"/>
      <c r="P537" s="2"/>
      <c r="R537"/>
      <c r="S537"/>
      <c r="U537"/>
    </row>
    <row r="538" spans="10:21" s="1" customFormat="1" x14ac:dyDescent="0.2">
      <c r="J538"/>
      <c r="K538"/>
      <c r="L538" s="725"/>
      <c r="M538"/>
      <c r="N538"/>
      <c r="O538" s="392"/>
      <c r="P538" s="2"/>
      <c r="R538"/>
      <c r="S538"/>
      <c r="U538"/>
    </row>
    <row r="539" spans="10:21" s="1" customFormat="1" x14ac:dyDescent="0.2">
      <c r="J539"/>
      <c r="K539"/>
      <c r="L539" s="725"/>
      <c r="M539"/>
      <c r="N539"/>
      <c r="O539" s="392"/>
      <c r="P539" s="2"/>
      <c r="R539"/>
      <c r="S539"/>
      <c r="U539"/>
    </row>
    <row r="540" spans="10:21" s="1" customFormat="1" x14ac:dyDescent="0.2">
      <c r="J540"/>
      <c r="K540"/>
      <c r="L540" s="725"/>
      <c r="M540"/>
      <c r="N540"/>
      <c r="O540" s="392"/>
      <c r="P540" s="2"/>
      <c r="R540"/>
      <c r="S540"/>
      <c r="U540"/>
    </row>
    <row r="541" spans="10:21" s="1" customFormat="1" x14ac:dyDescent="0.2">
      <c r="J541"/>
      <c r="K541"/>
      <c r="L541" s="725"/>
      <c r="M541"/>
      <c r="N541"/>
      <c r="O541" s="392"/>
      <c r="P541" s="2"/>
      <c r="R541"/>
      <c r="S541"/>
      <c r="U541"/>
    </row>
    <row r="542" spans="10:21" s="1" customFormat="1" x14ac:dyDescent="0.2">
      <c r="J542"/>
      <c r="K542"/>
      <c r="L542" s="725"/>
      <c r="M542"/>
      <c r="N542"/>
      <c r="O542" s="392"/>
      <c r="P542" s="2"/>
      <c r="R542"/>
      <c r="S542"/>
      <c r="U542"/>
    </row>
    <row r="543" spans="10:21" s="1" customFormat="1" x14ac:dyDescent="0.2">
      <c r="J543"/>
      <c r="K543"/>
      <c r="L543" s="725"/>
      <c r="M543"/>
      <c r="N543"/>
      <c r="O543" s="392"/>
      <c r="P543" s="2"/>
      <c r="R543"/>
      <c r="S543"/>
      <c r="U543"/>
    </row>
    <row r="544" spans="10:21" s="1" customFormat="1" x14ac:dyDescent="0.2">
      <c r="J544"/>
      <c r="K544"/>
      <c r="L544" s="725"/>
      <c r="M544"/>
      <c r="N544"/>
      <c r="O544" s="392"/>
      <c r="P544" s="2"/>
      <c r="R544"/>
      <c r="S544"/>
      <c r="U544"/>
    </row>
    <row r="545" spans="10:21" s="1" customFormat="1" x14ac:dyDescent="0.2">
      <c r="J545"/>
      <c r="K545"/>
      <c r="L545" s="725"/>
      <c r="M545"/>
      <c r="N545"/>
      <c r="O545" s="392"/>
      <c r="P545" s="2"/>
      <c r="R545"/>
      <c r="S545"/>
      <c r="U545"/>
    </row>
    <row r="546" spans="10:21" s="1" customFormat="1" x14ac:dyDescent="0.2">
      <c r="J546"/>
      <c r="K546"/>
      <c r="L546" s="725"/>
      <c r="M546"/>
      <c r="N546"/>
      <c r="O546" s="392"/>
      <c r="P546" s="2"/>
      <c r="R546"/>
      <c r="S546"/>
      <c r="U546"/>
    </row>
    <row r="547" spans="10:21" s="1" customFormat="1" x14ac:dyDescent="0.2">
      <c r="J547"/>
      <c r="K547"/>
      <c r="L547" s="725"/>
      <c r="M547"/>
      <c r="N547"/>
      <c r="O547" s="392"/>
      <c r="P547" s="2"/>
      <c r="R547"/>
      <c r="S547"/>
      <c r="U547"/>
    </row>
    <row r="548" spans="10:21" s="1" customFormat="1" x14ac:dyDescent="0.2">
      <c r="J548"/>
      <c r="K548"/>
      <c r="L548" s="725"/>
      <c r="M548"/>
      <c r="N548"/>
      <c r="O548" s="392"/>
      <c r="P548" s="2"/>
      <c r="R548"/>
      <c r="S548"/>
      <c r="U548"/>
    </row>
    <row r="549" spans="10:21" s="1" customFormat="1" x14ac:dyDescent="0.2">
      <c r="J549"/>
      <c r="K549"/>
      <c r="L549" s="725"/>
      <c r="M549"/>
      <c r="N549"/>
      <c r="O549" s="392"/>
      <c r="P549" s="2"/>
      <c r="R549"/>
      <c r="S549"/>
      <c r="U549"/>
    </row>
    <row r="550" spans="10:21" s="1" customFormat="1" x14ac:dyDescent="0.2">
      <c r="J550"/>
      <c r="K550"/>
      <c r="L550" s="725"/>
      <c r="M550"/>
      <c r="N550"/>
      <c r="O550" s="392"/>
      <c r="P550" s="2"/>
      <c r="R550"/>
      <c r="S550"/>
      <c r="U550"/>
    </row>
    <row r="551" spans="10:21" s="1" customFormat="1" x14ac:dyDescent="0.2">
      <c r="J551"/>
      <c r="K551"/>
      <c r="L551" s="725"/>
      <c r="M551"/>
      <c r="N551"/>
      <c r="O551" s="392"/>
      <c r="P551" s="2"/>
      <c r="R551"/>
      <c r="S551"/>
      <c r="U551"/>
    </row>
    <row r="552" spans="10:21" s="1" customFormat="1" x14ac:dyDescent="0.2">
      <c r="J552"/>
      <c r="K552"/>
      <c r="L552" s="725"/>
      <c r="M552"/>
      <c r="N552"/>
      <c r="O552" s="392"/>
      <c r="P552" s="2"/>
      <c r="R552"/>
      <c r="S552"/>
      <c r="U552"/>
    </row>
    <row r="553" spans="10:21" s="1" customFormat="1" x14ac:dyDescent="0.2">
      <c r="J553"/>
      <c r="K553"/>
      <c r="L553" s="725"/>
      <c r="M553"/>
      <c r="N553"/>
      <c r="O553" s="392"/>
      <c r="P553" s="2"/>
      <c r="R553"/>
      <c r="S553"/>
      <c r="U553"/>
    </row>
    <row r="554" spans="10:21" s="1" customFormat="1" x14ac:dyDescent="0.2">
      <c r="J554"/>
      <c r="K554"/>
      <c r="L554" s="725"/>
      <c r="M554"/>
      <c r="N554"/>
      <c r="O554" s="392"/>
      <c r="P554" s="2"/>
      <c r="R554"/>
      <c r="S554"/>
      <c r="U554"/>
    </row>
    <row r="555" spans="10:21" s="1" customFormat="1" x14ac:dyDescent="0.2">
      <c r="J555"/>
      <c r="K555"/>
      <c r="L555" s="725"/>
      <c r="M555"/>
      <c r="N555"/>
      <c r="O555" s="392"/>
      <c r="P555" s="2"/>
      <c r="R555"/>
      <c r="S555"/>
      <c r="U555"/>
    </row>
    <row r="556" spans="10:21" s="1" customFormat="1" x14ac:dyDescent="0.2">
      <c r="J556"/>
      <c r="K556"/>
      <c r="L556" s="725"/>
      <c r="M556"/>
      <c r="N556"/>
      <c r="O556" s="392"/>
      <c r="P556" s="2"/>
      <c r="R556"/>
      <c r="S556"/>
      <c r="U556"/>
    </row>
    <row r="557" spans="10:21" s="1" customFormat="1" x14ac:dyDescent="0.2">
      <c r="J557"/>
      <c r="K557"/>
      <c r="L557" s="725"/>
      <c r="M557"/>
      <c r="N557"/>
      <c r="O557" s="392"/>
      <c r="P557" s="2"/>
      <c r="R557"/>
      <c r="S557"/>
      <c r="U557"/>
    </row>
    <row r="558" spans="10:21" s="1" customFormat="1" x14ac:dyDescent="0.2">
      <c r="J558"/>
      <c r="K558"/>
      <c r="L558" s="725"/>
      <c r="M558"/>
      <c r="N558"/>
      <c r="O558" s="392"/>
      <c r="P558" s="2"/>
      <c r="R558"/>
      <c r="S558"/>
      <c r="U558"/>
    </row>
    <row r="559" spans="10:21" s="1" customFormat="1" x14ac:dyDescent="0.2">
      <c r="J559"/>
      <c r="K559"/>
      <c r="L559" s="725"/>
      <c r="M559"/>
      <c r="N559"/>
      <c r="O559" s="392"/>
      <c r="P559" s="2"/>
      <c r="R559"/>
      <c r="S559"/>
      <c r="U559"/>
    </row>
    <row r="560" spans="10:21" s="1" customFormat="1" x14ac:dyDescent="0.2">
      <c r="J560"/>
      <c r="K560"/>
      <c r="L560" s="725"/>
      <c r="M560"/>
      <c r="N560"/>
      <c r="O560" s="392"/>
      <c r="P560" s="2"/>
      <c r="R560"/>
      <c r="S560"/>
      <c r="U560"/>
    </row>
    <row r="561" spans="10:21" s="1" customFormat="1" x14ac:dyDescent="0.2">
      <c r="J561"/>
      <c r="K561"/>
      <c r="L561" s="725"/>
      <c r="M561"/>
      <c r="N561"/>
      <c r="O561" s="392"/>
      <c r="P561" s="2"/>
      <c r="R561"/>
      <c r="S561"/>
      <c r="U561"/>
    </row>
    <row r="562" spans="10:21" s="1" customFormat="1" x14ac:dyDescent="0.2">
      <c r="J562"/>
      <c r="K562"/>
      <c r="L562" s="725"/>
      <c r="M562"/>
      <c r="N562"/>
      <c r="O562" s="392"/>
      <c r="P562" s="2"/>
      <c r="R562"/>
      <c r="S562"/>
      <c r="U562"/>
    </row>
    <row r="563" spans="10:21" s="1" customFormat="1" x14ac:dyDescent="0.2">
      <c r="J563"/>
      <c r="K563"/>
      <c r="L563" s="725"/>
      <c r="M563"/>
      <c r="N563"/>
      <c r="O563" s="392"/>
      <c r="P563" s="2"/>
      <c r="R563"/>
      <c r="S563"/>
      <c r="U563"/>
    </row>
    <row r="564" spans="10:21" s="1" customFormat="1" x14ac:dyDescent="0.2">
      <c r="J564"/>
      <c r="K564"/>
      <c r="L564" s="725"/>
      <c r="M564"/>
      <c r="N564"/>
      <c r="O564" s="392"/>
      <c r="P564" s="2"/>
      <c r="R564"/>
      <c r="S564"/>
      <c r="U564"/>
    </row>
    <row r="565" spans="10:21" s="1" customFormat="1" x14ac:dyDescent="0.2">
      <c r="J565"/>
      <c r="K565"/>
      <c r="L565" s="725"/>
      <c r="M565"/>
      <c r="N565"/>
      <c r="O565" s="392"/>
      <c r="P565" s="2"/>
      <c r="R565"/>
      <c r="S565"/>
      <c r="U565"/>
    </row>
    <row r="566" spans="10:21" s="1" customFormat="1" x14ac:dyDescent="0.2">
      <c r="J566"/>
      <c r="K566"/>
      <c r="L566" s="725"/>
      <c r="M566"/>
      <c r="N566"/>
      <c r="O566" s="392"/>
      <c r="P566" s="2"/>
      <c r="R566"/>
      <c r="S566"/>
      <c r="U566"/>
    </row>
    <row r="567" spans="10:21" s="1" customFormat="1" x14ac:dyDescent="0.2">
      <c r="J567"/>
      <c r="K567"/>
      <c r="L567" s="725"/>
      <c r="M567"/>
      <c r="N567"/>
      <c r="O567" s="392"/>
      <c r="P567" s="2"/>
      <c r="R567"/>
      <c r="S567"/>
      <c r="U567"/>
    </row>
    <row r="568" spans="10:21" s="1" customFormat="1" x14ac:dyDescent="0.2">
      <c r="J568"/>
      <c r="K568"/>
      <c r="L568" s="725"/>
      <c r="M568"/>
      <c r="N568"/>
      <c r="O568" s="392"/>
      <c r="P568" s="2"/>
      <c r="R568"/>
      <c r="S568"/>
      <c r="U568"/>
    </row>
    <row r="569" spans="10:21" s="1" customFormat="1" x14ac:dyDescent="0.2">
      <c r="J569"/>
      <c r="K569"/>
      <c r="L569" s="725"/>
      <c r="M569"/>
      <c r="N569"/>
      <c r="O569" s="392"/>
      <c r="P569" s="2"/>
      <c r="R569"/>
      <c r="S569"/>
      <c r="U569"/>
    </row>
    <row r="570" spans="10:21" s="1" customFormat="1" x14ac:dyDescent="0.2">
      <c r="J570"/>
      <c r="K570"/>
      <c r="L570" s="725"/>
      <c r="M570"/>
      <c r="N570"/>
      <c r="O570" s="392"/>
      <c r="P570" s="2"/>
      <c r="R570"/>
      <c r="S570"/>
      <c r="U570"/>
    </row>
    <row r="571" spans="10:21" s="1" customFormat="1" x14ac:dyDescent="0.2">
      <c r="J571"/>
      <c r="K571"/>
      <c r="L571" s="725"/>
      <c r="M571"/>
      <c r="N571"/>
      <c r="O571" s="392"/>
      <c r="P571" s="2"/>
      <c r="R571"/>
      <c r="S571"/>
      <c r="U571"/>
    </row>
    <row r="572" spans="10:21" s="1" customFormat="1" x14ac:dyDescent="0.2">
      <c r="J572"/>
      <c r="K572"/>
      <c r="L572" s="725"/>
      <c r="M572"/>
      <c r="N572"/>
      <c r="O572" s="392"/>
      <c r="P572" s="2"/>
      <c r="R572"/>
      <c r="S572"/>
      <c r="U572"/>
    </row>
    <row r="573" spans="10:21" s="1" customFormat="1" x14ac:dyDescent="0.2">
      <c r="J573"/>
      <c r="K573"/>
      <c r="L573" s="725"/>
      <c r="M573"/>
      <c r="N573"/>
      <c r="O573" s="392"/>
      <c r="P573" s="2"/>
      <c r="R573"/>
      <c r="S573"/>
      <c r="U573"/>
    </row>
    <row r="574" spans="10:21" s="1" customFormat="1" x14ac:dyDescent="0.2">
      <c r="J574"/>
      <c r="K574"/>
      <c r="L574" s="725"/>
      <c r="M574"/>
      <c r="N574"/>
      <c r="O574" s="392"/>
      <c r="P574" s="2"/>
      <c r="R574"/>
      <c r="S574"/>
      <c r="U574"/>
    </row>
    <row r="575" spans="10:21" s="1" customFormat="1" x14ac:dyDescent="0.2">
      <c r="J575"/>
      <c r="K575"/>
      <c r="L575" s="725"/>
      <c r="M575"/>
      <c r="N575"/>
      <c r="O575" s="392"/>
      <c r="P575" s="2"/>
      <c r="R575"/>
      <c r="S575"/>
      <c r="U575"/>
    </row>
    <row r="576" spans="10:21" s="1" customFormat="1" x14ac:dyDescent="0.2">
      <c r="J576"/>
      <c r="K576"/>
      <c r="L576" s="725"/>
      <c r="M576"/>
      <c r="N576"/>
      <c r="O576" s="392"/>
      <c r="P576" s="2"/>
      <c r="R576"/>
      <c r="S576"/>
      <c r="U576"/>
    </row>
    <row r="577" spans="10:21" s="1" customFormat="1" x14ac:dyDescent="0.2">
      <c r="J577"/>
      <c r="K577"/>
      <c r="L577" s="725"/>
      <c r="M577"/>
      <c r="N577"/>
      <c r="O577" s="392"/>
      <c r="P577" s="2"/>
      <c r="R577"/>
      <c r="S577"/>
      <c r="U577"/>
    </row>
    <row r="578" spans="10:21" s="1" customFormat="1" x14ac:dyDescent="0.2">
      <c r="J578"/>
      <c r="K578"/>
      <c r="L578" s="725"/>
      <c r="M578"/>
      <c r="N578"/>
      <c r="O578" s="392"/>
      <c r="P578" s="2"/>
      <c r="R578"/>
      <c r="S578"/>
      <c r="U578"/>
    </row>
    <row r="579" spans="10:21" s="1" customFormat="1" x14ac:dyDescent="0.2">
      <c r="J579"/>
      <c r="K579"/>
      <c r="L579" s="725"/>
      <c r="M579"/>
      <c r="N579"/>
      <c r="O579" s="392"/>
      <c r="P579" s="2"/>
      <c r="R579"/>
      <c r="S579"/>
      <c r="U579"/>
    </row>
    <row r="580" spans="10:21" s="1" customFormat="1" x14ac:dyDescent="0.2">
      <c r="J580"/>
      <c r="K580"/>
      <c r="L580" s="725"/>
      <c r="M580"/>
      <c r="N580"/>
      <c r="O580" s="392"/>
      <c r="P580" s="2"/>
      <c r="R580"/>
      <c r="S580"/>
      <c r="U580"/>
    </row>
    <row r="581" spans="10:21" s="1" customFormat="1" x14ac:dyDescent="0.2">
      <c r="J581"/>
      <c r="K581"/>
      <c r="L581" s="725"/>
      <c r="M581"/>
      <c r="N581"/>
      <c r="O581" s="392"/>
      <c r="P581" s="2"/>
      <c r="R581"/>
      <c r="S581"/>
      <c r="U581"/>
    </row>
    <row r="582" spans="10:21" s="1" customFormat="1" x14ac:dyDescent="0.2">
      <c r="J582"/>
      <c r="K582"/>
      <c r="L582" s="725"/>
      <c r="M582"/>
      <c r="N582"/>
      <c r="O582" s="392"/>
      <c r="P582" s="2"/>
      <c r="R582"/>
      <c r="S582"/>
      <c r="U582"/>
    </row>
    <row r="583" spans="10:21" s="1" customFormat="1" x14ac:dyDescent="0.2">
      <c r="J583"/>
      <c r="K583"/>
      <c r="L583" s="725"/>
      <c r="M583"/>
      <c r="N583"/>
      <c r="O583" s="392"/>
      <c r="P583" s="2"/>
      <c r="R583"/>
      <c r="S583"/>
      <c r="U583"/>
    </row>
    <row r="584" spans="10:21" s="1" customFormat="1" x14ac:dyDescent="0.2">
      <c r="J584"/>
      <c r="K584"/>
      <c r="L584" s="725"/>
      <c r="M584"/>
      <c r="N584"/>
      <c r="O584" s="392"/>
      <c r="P584" s="2"/>
      <c r="R584"/>
      <c r="S584"/>
      <c r="U584"/>
    </row>
    <row r="585" spans="10:21" s="1" customFormat="1" x14ac:dyDescent="0.2">
      <c r="J585"/>
      <c r="K585"/>
      <c r="L585" s="725"/>
      <c r="M585"/>
      <c r="N585"/>
      <c r="O585" s="392"/>
      <c r="P585" s="2"/>
      <c r="R585"/>
      <c r="S585"/>
      <c r="U585"/>
    </row>
    <row r="586" spans="10:21" s="1" customFormat="1" x14ac:dyDescent="0.2">
      <c r="J586"/>
      <c r="K586"/>
      <c r="L586" s="725"/>
      <c r="M586"/>
      <c r="N586"/>
      <c r="O586" s="392"/>
      <c r="P586" s="2"/>
      <c r="R586"/>
      <c r="S586"/>
      <c r="U586"/>
    </row>
    <row r="587" spans="10:21" s="1" customFormat="1" x14ac:dyDescent="0.2">
      <c r="J587"/>
      <c r="K587"/>
      <c r="L587" s="725"/>
      <c r="M587"/>
      <c r="N587"/>
      <c r="O587" s="392"/>
      <c r="P587" s="2"/>
      <c r="R587"/>
      <c r="S587"/>
      <c r="U587"/>
    </row>
    <row r="588" spans="10:21" s="1" customFormat="1" x14ac:dyDescent="0.2">
      <c r="J588"/>
      <c r="K588"/>
      <c r="L588" s="725"/>
      <c r="M588"/>
      <c r="N588"/>
      <c r="O588" s="392"/>
      <c r="P588" s="2"/>
      <c r="R588"/>
      <c r="S588"/>
      <c r="U588"/>
    </row>
    <row r="589" spans="10:21" s="1" customFormat="1" x14ac:dyDescent="0.2">
      <c r="J589"/>
      <c r="K589"/>
      <c r="L589" s="725"/>
      <c r="M589"/>
      <c r="N589"/>
      <c r="O589" s="392"/>
      <c r="P589" s="2"/>
      <c r="R589"/>
      <c r="S589"/>
      <c r="U589"/>
    </row>
    <row r="590" spans="10:21" s="1" customFormat="1" x14ac:dyDescent="0.2">
      <c r="J590"/>
      <c r="K590"/>
      <c r="L590" s="725"/>
      <c r="M590"/>
      <c r="N590"/>
      <c r="O590" s="392"/>
      <c r="P590" s="2"/>
      <c r="R590"/>
      <c r="S590"/>
      <c r="U590"/>
    </row>
    <row r="591" spans="10:21" s="1" customFormat="1" x14ac:dyDescent="0.2">
      <c r="J591"/>
      <c r="K591"/>
      <c r="L591" s="725"/>
      <c r="M591"/>
      <c r="N591"/>
      <c r="O591" s="392"/>
      <c r="P591" s="2"/>
      <c r="R591"/>
      <c r="S591"/>
      <c r="U591"/>
    </row>
    <row r="592" spans="10:21" s="1" customFormat="1" x14ac:dyDescent="0.2">
      <c r="J592"/>
      <c r="K592"/>
      <c r="L592" s="725"/>
      <c r="M592"/>
      <c r="N592"/>
      <c r="O592" s="392"/>
      <c r="P592" s="2"/>
      <c r="R592"/>
      <c r="S592"/>
      <c r="U592"/>
    </row>
    <row r="593" spans="10:21" s="1" customFormat="1" x14ac:dyDescent="0.2">
      <c r="J593"/>
      <c r="K593"/>
      <c r="L593" s="725"/>
      <c r="M593"/>
      <c r="N593"/>
      <c r="O593" s="392"/>
      <c r="P593" s="2"/>
      <c r="R593"/>
      <c r="S593"/>
      <c r="U593"/>
    </row>
    <row r="594" spans="10:21" s="1" customFormat="1" x14ac:dyDescent="0.2">
      <c r="J594"/>
      <c r="K594"/>
      <c r="L594" s="725"/>
      <c r="M594"/>
      <c r="N594"/>
      <c r="O594" s="392"/>
      <c r="P594" s="2"/>
      <c r="R594"/>
      <c r="S594"/>
      <c r="U594"/>
    </row>
    <row r="595" spans="10:21" s="1" customFormat="1" x14ac:dyDescent="0.2">
      <c r="J595"/>
      <c r="K595"/>
      <c r="L595" s="725"/>
      <c r="M595"/>
      <c r="N595"/>
      <c r="O595" s="392"/>
      <c r="P595" s="2"/>
      <c r="R595"/>
      <c r="S595"/>
      <c r="U595"/>
    </row>
    <row r="596" spans="10:21" s="1" customFormat="1" x14ac:dyDescent="0.2">
      <c r="J596"/>
      <c r="K596"/>
      <c r="L596" s="725"/>
      <c r="M596"/>
      <c r="N596"/>
      <c r="O596" s="392"/>
      <c r="P596" s="2"/>
      <c r="R596"/>
      <c r="S596"/>
      <c r="U596"/>
    </row>
    <row r="597" spans="10:21" s="1" customFormat="1" x14ac:dyDescent="0.2">
      <c r="J597"/>
      <c r="K597"/>
      <c r="L597" s="725"/>
      <c r="M597"/>
      <c r="N597"/>
      <c r="O597" s="392"/>
      <c r="P597" s="2"/>
      <c r="R597"/>
      <c r="S597"/>
      <c r="U597"/>
    </row>
    <row r="598" spans="10:21" s="1" customFormat="1" x14ac:dyDescent="0.2">
      <c r="J598"/>
      <c r="K598"/>
      <c r="L598" s="725"/>
      <c r="M598"/>
      <c r="N598"/>
      <c r="O598" s="392"/>
      <c r="P598" s="2"/>
      <c r="R598"/>
      <c r="S598"/>
      <c r="U598"/>
    </row>
    <row r="599" spans="10:21" s="1" customFormat="1" x14ac:dyDescent="0.2">
      <c r="J599"/>
      <c r="K599"/>
      <c r="L599" s="725"/>
      <c r="M599"/>
      <c r="N599"/>
      <c r="O599" s="392"/>
      <c r="P599" s="2"/>
      <c r="R599"/>
      <c r="S599"/>
      <c r="U599"/>
    </row>
    <row r="600" spans="10:21" s="1" customFormat="1" x14ac:dyDescent="0.2">
      <c r="J600"/>
      <c r="K600"/>
      <c r="L600" s="725"/>
      <c r="M600"/>
      <c r="N600"/>
      <c r="O600" s="392"/>
      <c r="P600" s="2"/>
      <c r="R600"/>
      <c r="S600"/>
      <c r="U600"/>
    </row>
    <row r="601" spans="10:21" s="1" customFormat="1" x14ac:dyDescent="0.2">
      <c r="J601"/>
      <c r="K601"/>
      <c r="L601" s="725"/>
      <c r="M601"/>
      <c r="N601"/>
      <c r="O601" s="392"/>
      <c r="P601" s="2"/>
      <c r="R601"/>
      <c r="S601"/>
      <c r="U601"/>
    </row>
    <row r="602" spans="10:21" s="1" customFormat="1" x14ac:dyDescent="0.2">
      <c r="J602"/>
      <c r="K602"/>
      <c r="L602" s="725"/>
      <c r="M602"/>
      <c r="N602"/>
      <c r="O602" s="392"/>
      <c r="P602" s="2"/>
      <c r="R602"/>
      <c r="S602"/>
      <c r="U602"/>
    </row>
    <row r="603" spans="10:21" s="1" customFormat="1" x14ac:dyDescent="0.2">
      <c r="J603"/>
      <c r="K603"/>
      <c r="L603" s="725"/>
      <c r="M603"/>
      <c r="N603"/>
      <c r="O603" s="392"/>
      <c r="P603" s="2"/>
      <c r="R603"/>
      <c r="S603"/>
      <c r="U603"/>
    </row>
    <row r="604" spans="10:21" s="1" customFormat="1" x14ac:dyDescent="0.2">
      <c r="J604"/>
      <c r="K604"/>
      <c r="L604" s="725"/>
      <c r="M604"/>
      <c r="N604"/>
      <c r="O604" s="392"/>
      <c r="P604" s="2"/>
      <c r="R604"/>
      <c r="S604"/>
      <c r="U604"/>
    </row>
    <row r="605" spans="10:21" s="1" customFormat="1" x14ac:dyDescent="0.2">
      <c r="J605"/>
      <c r="K605"/>
      <c r="L605" s="725"/>
      <c r="M605"/>
      <c r="N605"/>
      <c r="O605" s="392"/>
      <c r="P605" s="2"/>
      <c r="R605"/>
      <c r="S605"/>
      <c r="U605"/>
    </row>
    <row r="606" spans="10:21" s="1" customFormat="1" x14ac:dyDescent="0.2">
      <c r="J606"/>
      <c r="K606"/>
      <c r="L606" s="725"/>
      <c r="M606"/>
      <c r="N606"/>
      <c r="O606" s="392"/>
      <c r="P606" s="2"/>
      <c r="R606"/>
      <c r="S606"/>
      <c r="U606"/>
    </row>
    <row r="607" spans="10:21" s="1" customFormat="1" x14ac:dyDescent="0.2">
      <c r="J607"/>
      <c r="K607"/>
      <c r="L607" s="725"/>
      <c r="M607"/>
      <c r="N607"/>
      <c r="O607" s="392"/>
      <c r="P607" s="2"/>
      <c r="R607"/>
      <c r="S607"/>
      <c r="U607"/>
    </row>
    <row r="608" spans="10:21" s="1" customFormat="1" x14ac:dyDescent="0.2">
      <c r="J608"/>
      <c r="K608"/>
      <c r="L608" s="725"/>
      <c r="M608"/>
      <c r="N608"/>
      <c r="O608" s="392"/>
      <c r="P608" s="2"/>
      <c r="R608"/>
      <c r="S608"/>
      <c r="U608"/>
    </row>
    <row r="609" spans="10:21" s="1" customFormat="1" x14ac:dyDescent="0.2">
      <c r="J609"/>
      <c r="K609"/>
      <c r="L609" s="725"/>
      <c r="M609"/>
      <c r="N609"/>
      <c r="O609" s="392"/>
      <c r="P609" s="2"/>
      <c r="R609"/>
      <c r="S609"/>
      <c r="U609"/>
    </row>
    <row r="610" spans="10:21" s="1" customFormat="1" x14ac:dyDescent="0.2">
      <c r="J610"/>
      <c r="K610"/>
      <c r="L610" s="725"/>
      <c r="M610"/>
      <c r="N610"/>
      <c r="O610" s="392"/>
      <c r="P610" s="2"/>
      <c r="R610"/>
      <c r="S610"/>
      <c r="U610"/>
    </row>
    <row r="611" spans="10:21" s="1" customFormat="1" x14ac:dyDescent="0.2">
      <c r="J611"/>
      <c r="K611"/>
      <c r="L611" s="725"/>
      <c r="M611"/>
      <c r="N611"/>
      <c r="O611" s="392"/>
      <c r="P611" s="2"/>
      <c r="R611"/>
      <c r="S611"/>
      <c r="U611"/>
    </row>
    <row r="612" spans="10:21" s="1" customFormat="1" x14ac:dyDescent="0.2">
      <c r="J612"/>
      <c r="K612"/>
      <c r="L612" s="725"/>
      <c r="M612"/>
      <c r="N612"/>
      <c r="O612" s="392"/>
      <c r="P612" s="2"/>
      <c r="R612"/>
      <c r="S612"/>
      <c r="U612"/>
    </row>
    <row r="613" spans="10:21" s="1" customFormat="1" x14ac:dyDescent="0.2">
      <c r="J613"/>
      <c r="K613"/>
      <c r="L613" s="725"/>
      <c r="M613"/>
      <c r="N613"/>
      <c r="O613" s="392"/>
      <c r="P613" s="2"/>
      <c r="R613"/>
      <c r="S613"/>
      <c r="U613"/>
    </row>
    <row r="614" spans="10:21" s="1" customFormat="1" x14ac:dyDescent="0.2">
      <c r="J614"/>
      <c r="K614"/>
      <c r="L614" s="725"/>
      <c r="M614"/>
      <c r="N614"/>
      <c r="O614" s="392"/>
      <c r="P614" s="2"/>
      <c r="R614"/>
      <c r="S614"/>
      <c r="U614"/>
    </row>
    <row r="615" spans="10:21" s="1" customFormat="1" x14ac:dyDescent="0.2">
      <c r="J615"/>
      <c r="K615"/>
      <c r="L615" s="725"/>
      <c r="M615"/>
      <c r="N615"/>
      <c r="O615" s="392"/>
      <c r="P615" s="2"/>
      <c r="R615"/>
      <c r="S615"/>
      <c r="U615"/>
    </row>
    <row r="616" spans="10:21" s="1" customFormat="1" x14ac:dyDescent="0.2">
      <c r="J616"/>
      <c r="K616"/>
      <c r="L616" s="725"/>
      <c r="M616"/>
      <c r="N616"/>
      <c r="O616" s="392"/>
      <c r="P616" s="2"/>
      <c r="R616"/>
      <c r="S616"/>
      <c r="U616"/>
    </row>
    <row r="617" spans="10:21" s="1" customFormat="1" x14ac:dyDescent="0.2">
      <c r="J617"/>
      <c r="K617"/>
      <c r="L617" s="725"/>
      <c r="M617"/>
      <c r="N617"/>
      <c r="O617" s="392"/>
      <c r="P617" s="2"/>
      <c r="R617"/>
      <c r="S617"/>
      <c r="U617"/>
    </row>
    <row r="618" spans="10:21" s="1" customFormat="1" x14ac:dyDescent="0.2">
      <c r="J618"/>
      <c r="K618"/>
      <c r="L618" s="725"/>
      <c r="M618"/>
      <c r="N618"/>
      <c r="O618" s="392"/>
      <c r="P618" s="2"/>
      <c r="R618"/>
      <c r="S618"/>
      <c r="U618"/>
    </row>
    <row r="619" spans="10:21" s="1" customFormat="1" x14ac:dyDescent="0.2">
      <c r="J619"/>
      <c r="K619"/>
      <c r="L619" s="725"/>
      <c r="M619"/>
      <c r="N619"/>
      <c r="O619" s="392"/>
      <c r="P619" s="2"/>
      <c r="R619"/>
      <c r="S619"/>
      <c r="U619"/>
    </row>
    <row r="620" spans="10:21" s="1" customFormat="1" x14ac:dyDescent="0.2">
      <c r="J620"/>
      <c r="K620"/>
      <c r="L620" s="725"/>
      <c r="M620"/>
      <c r="N620"/>
      <c r="O620" s="392"/>
      <c r="P620" s="2"/>
      <c r="R620"/>
      <c r="S620"/>
      <c r="U620"/>
    </row>
    <row r="621" spans="10:21" s="1" customFormat="1" x14ac:dyDescent="0.2">
      <c r="J621"/>
      <c r="K621"/>
      <c r="L621" s="725"/>
      <c r="M621"/>
      <c r="N621"/>
      <c r="O621" s="392"/>
      <c r="P621" s="2"/>
      <c r="R621"/>
      <c r="S621"/>
      <c r="U621"/>
    </row>
    <row r="622" spans="10:21" s="1" customFormat="1" x14ac:dyDescent="0.2">
      <c r="J622"/>
      <c r="K622"/>
      <c r="L622" s="725"/>
      <c r="M622"/>
      <c r="N622"/>
      <c r="O622" s="392"/>
      <c r="P622" s="2"/>
      <c r="R622"/>
      <c r="S622"/>
      <c r="U622"/>
    </row>
    <row r="623" spans="10:21" s="1" customFormat="1" x14ac:dyDescent="0.2">
      <c r="J623"/>
      <c r="K623"/>
      <c r="L623" s="725"/>
      <c r="M623"/>
      <c r="N623"/>
      <c r="O623" s="392"/>
      <c r="P623" s="2"/>
      <c r="R623"/>
      <c r="S623"/>
      <c r="U623"/>
    </row>
    <row r="624" spans="10:21" s="1" customFormat="1" x14ac:dyDescent="0.2">
      <c r="J624"/>
      <c r="K624"/>
      <c r="L624" s="725"/>
      <c r="M624"/>
      <c r="N624"/>
      <c r="O624" s="392"/>
      <c r="P624" s="2"/>
      <c r="R624"/>
      <c r="S624"/>
      <c r="U624"/>
    </row>
    <row r="625" spans="10:21" s="1" customFormat="1" x14ac:dyDescent="0.2">
      <c r="J625"/>
      <c r="K625"/>
      <c r="L625" s="725"/>
      <c r="M625"/>
      <c r="N625"/>
      <c r="O625" s="392"/>
      <c r="P625" s="2"/>
      <c r="R625"/>
      <c r="S625"/>
      <c r="U625"/>
    </row>
    <row r="626" spans="10:21" s="1" customFormat="1" x14ac:dyDescent="0.2">
      <c r="J626"/>
      <c r="K626"/>
      <c r="L626" s="725"/>
      <c r="M626"/>
      <c r="N626"/>
      <c r="O626" s="392"/>
      <c r="P626" s="2"/>
      <c r="R626"/>
      <c r="S626"/>
      <c r="U626"/>
    </row>
    <row r="627" spans="10:21" s="1" customFormat="1" x14ac:dyDescent="0.2">
      <c r="J627"/>
      <c r="K627"/>
      <c r="L627" s="725"/>
      <c r="M627"/>
      <c r="N627"/>
      <c r="O627" s="392"/>
      <c r="P627" s="2"/>
      <c r="R627"/>
      <c r="S627"/>
      <c r="U627"/>
    </row>
    <row r="628" spans="10:21" s="1" customFormat="1" x14ac:dyDescent="0.2">
      <c r="J628"/>
      <c r="K628"/>
      <c r="L628" s="725"/>
      <c r="M628"/>
      <c r="N628"/>
      <c r="O628" s="392"/>
      <c r="P628" s="2"/>
      <c r="R628"/>
      <c r="S628"/>
      <c r="U628"/>
    </row>
    <row r="65357" spans="13:13" x14ac:dyDescent="0.2">
      <c r="M65357">
        <v>4</v>
      </c>
    </row>
  </sheetData>
  <mergeCells count="170">
    <mergeCell ref="L15:L16"/>
    <mergeCell ref="R15:R16"/>
    <mergeCell ref="T15:T16"/>
    <mergeCell ref="B2:U2"/>
    <mergeCell ref="U4:AA4"/>
    <mergeCell ref="U5:AA5"/>
    <mergeCell ref="U6:AA6"/>
    <mergeCell ref="U3:AA3"/>
    <mergeCell ref="U11:AA11"/>
    <mergeCell ref="U7:AA7"/>
    <mergeCell ref="U8:AA8"/>
    <mergeCell ref="U13:AA13"/>
    <mergeCell ref="T9:T10"/>
    <mergeCell ref="R9:R10"/>
    <mergeCell ref="L9:L10"/>
    <mergeCell ref="L12:L14"/>
    <mergeCell ref="T12:T14"/>
    <mergeCell ref="R12:R14"/>
    <mergeCell ref="U14:AA14"/>
    <mergeCell ref="U16:AA16"/>
    <mergeCell ref="U9:AA9"/>
    <mergeCell ref="U10:AA10"/>
    <mergeCell ref="U12:AA12"/>
    <mergeCell ref="U15:AA15"/>
    <mergeCell ref="U47:AA47"/>
    <mergeCell ref="U48:AA48"/>
    <mergeCell ref="U49:AA49"/>
    <mergeCell ref="U50:AA50"/>
    <mergeCell ref="U51:AA51"/>
    <mergeCell ref="U41:AA42"/>
    <mergeCell ref="U40:AA40"/>
    <mergeCell ref="U43:AA43"/>
    <mergeCell ref="U44:AA44"/>
    <mergeCell ref="U45:AA45"/>
    <mergeCell ref="U100:AA100"/>
    <mergeCell ref="U81:AA81"/>
    <mergeCell ref="U83:AA83"/>
    <mergeCell ref="U77:AA77"/>
    <mergeCell ref="U78:AA78"/>
    <mergeCell ref="U79:AA79"/>
    <mergeCell ref="U80:AA80"/>
    <mergeCell ref="U66:AA66"/>
    <mergeCell ref="U74:AA74"/>
    <mergeCell ref="U67:AA67"/>
    <mergeCell ref="U88:AA88"/>
    <mergeCell ref="U89:AA89"/>
    <mergeCell ref="U75:AA75"/>
    <mergeCell ref="U76:AA76"/>
    <mergeCell ref="U84:AA84"/>
    <mergeCell ref="U82:AA82"/>
    <mergeCell ref="U85:AA85"/>
    <mergeCell ref="U90:AA90"/>
    <mergeCell ref="U71:AA71"/>
    <mergeCell ref="U17:AA17"/>
    <mergeCell ref="U18:AA18"/>
    <mergeCell ref="U19:AA19"/>
    <mergeCell ref="U20:AA20"/>
    <mergeCell ref="U21:AA21"/>
    <mergeCell ref="E109:F109"/>
    <mergeCell ref="E108:F108"/>
    <mergeCell ref="U103:AA103"/>
    <mergeCell ref="E107:F107"/>
    <mergeCell ref="U92:AA92"/>
    <mergeCell ref="U93:AA93"/>
    <mergeCell ref="U94:AA94"/>
    <mergeCell ref="U95:AA95"/>
    <mergeCell ref="U97:AA97"/>
    <mergeCell ref="U99:AA99"/>
    <mergeCell ref="U86:AA86"/>
    <mergeCell ref="U87:AA87"/>
    <mergeCell ref="U101:AA101"/>
    <mergeCell ref="U102:AA102"/>
    <mergeCell ref="U98:AA98"/>
    <mergeCell ref="U96:AA96"/>
    <mergeCell ref="U72:AA72"/>
    <mergeCell ref="U73:AA73"/>
    <mergeCell ref="U91:AA91"/>
    <mergeCell ref="U28:AA28"/>
    <mergeCell ref="U29:AA29"/>
    <mergeCell ref="U30:AA30"/>
    <mergeCell ref="U31:AA31"/>
    <mergeCell ref="U32:AA32"/>
    <mergeCell ref="U33:AA33"/>
    <mergeCell ref="U22:AA22"/>
    <mergeCell ref="U23:AA23"/>
    <mergeCell ref="U24:AA24"/>
    <mergeCell ref="U25:AA25"/>
    <mergeCell ref="U26:AA26"/>
    <mergeCell ref="U27:AA27"/>
    <mergeCell ref="U34:AA34"/>
    <mergeCell ref="U35:AA35"/>
    <mergeCell ref="U36:AA36"/>
    <mergeCell ref="U37:AA37"/>
    <mergeCell ref="U70:AA70"/>
    <mergeCell ref="U65:AA65"/>
    <mergeCell ref="U68:AA68"/>
    <mergeCell ref="U69:AA69"/>
    <mergeCell ref="U64:AA64"/>
    <mergeCell ref="U61:AA61"/>
    <mergeCell ref="U60:AA60"/>
    <mergeCell ref="U63:AA63"/>
    <mergeCell ref="U62:AA62"/>
    <mergeCell ref="U38:AA38"/>
    <mergeCell ref="U39:AA39"/>
    <mergeCell ref="U58:AA58"/>
    <mergeCell ref="U59:AA59"/>
    <mergeCell ref="U52:AA52"/>
    <mergeCell ref="U53:AA53"/>
    <mergeCell ref="U54:AA54"/>
    <mergeCell ref="U55:AA55"/>
    <mergeCell ref="U56:AA56"/>
    <mergeCell ref="U57:AA57"/>
    <mergeCell ref="U46:AA46"/>
    <mergeCell ref="L23:L24"/>
    <mergeCell ref="R23:R24"/>
    <mergeCell ref="T23:T24"/>
    <mergeCell ref="R19:R20"/>
    <mergeCell ref="T19:T20"/>
    <mergeCell ref="L17:L18"/>
    <mergeCell ref="R17:R18"/>
    <mergeCell ref="T17:T18"/>
    <mergeCell ref="R21:R22"/>
    <mergeCell ref="T21:T22"/>
    <mergeCell ref="L21:L22"/>
    <mergeCell ref="L19:L20"/>
    <mergeCell ref="L36:L37"/>
    <mergeCell ref="R36:R37"/>
    <mergeCell ref="T36:T37"/>
    <mergeCell ref="E116:F116"/>
    <mergeCell ref="E117:F117"/>
    <mergeCell ref="E118:F118"/>
    <mergeCell ref="L25:L26"/>
    <mergeCell ref="R25:R26"/>
    <mergeCell ref="T25:T26"/>
    <mergeCell ref="L27:L30"/>
    <mergeCell ref="R27:R30"/>
    <mergeCell ref="T27:T30"/>
    <mergeCell ref="T32:T35"/>
    <mergeCell ref="R32:R35"/>
    <mergeCell ref="L32:L35"/>
    <mergeCell ref="T40:T43"/>
    <mergeCell ref="R40:R43"/>
    <mergeCell ref="L40:L43"/>
    <mergeCell ref="M41:M42"/>
    <mergeCell ref="S41:S42"/>
    <mergeCell ref="L44:L47"/>
    <mergeCell ref="R44:R47"/>
    <mergeCell ref="T44:T47"/>
    <mergeCell ref="T48:T49"/>
    <mergeCell ref="T38:T39"/>
    <mergeCell ref="E119:F119"/>
    <mergeCell ref="E110:F110"/>
    <mergeCell ref="E111:F111"/>
    <mergeCell ref="E112:F112"/>
    <mergeCell ref="E113:F113"/>
    <mergeCell ref="E114:F114"/>
    <mergeCell ref="E115:F115"/>
    <mergeCell ref="L38:L39"/>
    <mergeCell ref="R38:R39"/>
    <mergeCell ref="J41:J42"/>
    <mergeCell ref="K41:K42"/>
    <mergeCell ref="N41:N42"/>
    <mergeCell ref="Q41:Q42"/>
    <mergeCell ref="H41:H42"/>
    <mergeCell ref="I41:I42"/>
    <mergeCell ref="F41:F42"/>
    <mergeCell ref="E41:E42"/>
    <mergeCell ref="O41:O42"/>
    <mergeCell ref="L48:L49"/>
    <mergeCell ref="R48:R49"/>
  </mergeCells>
  <conditionalFormatting sqref="J3">
    <cfRule type="cellIs" dxfId="1327" priority="1447" stopIfTrue="1" operator="lessThan">
      <formula>456.25</formula>
    </cfRule>
    <cfRule type="cellIs" dxfId="1326" priority="1449" stopIfTrue="1" operator="lessThan">
      <formula>438</formula>
    </cfRule>
  </conditionalFormatting>
  <conditionalFormatting sqref="J4:J41 J43:J103">
    <cfRule type="cellIs" dxfId="1325" priority="1995" stopIfTrue="1" operator="lessThan">
      <formula>350</formula>
    </cfRule>
  </conditionalFormatting>
  <conditionalFormatting sqref="J104">
    <cfRule type="cellIs" dxfId="1324" priority="21" stopIfTrue="1" operator="lessThan">
      <formula>462</formula>
    </cfRule>
  </conditionalFormatting>
  <conditionalFormatting sqref="J105:J106 B2 J121:J65536">
    <cfRule type="cellIs" dxfId="1323" priority="2218" stopIfTrue="1" operator="lessThan">
      <formula>438</formula>
    </cfRule>
  </conditionalFormatting>
  <conditionalFormatting sqref="J106">
    <cfRule type="cellIs" dxfId="1322" priority="2213" stopIfTrue="1" operator="lessThan">
      <formula>462</formula>
    </cfRule>
  </conditionalFormatting>
  <conditionalFormatting sqref="J120:K120">
    <cfRule type="cellIs" dxfId="1321" priority="2169" stopIfTrue="1" operator="lessThan">
      <formula>73%</formula>
    </cfRule>
  </conditionalFormatting>
  <conditionalFormatting sqref="K4:K41 K43:K102">
    <cfRule type="cellIs" dxfId="1320" priority="1971" stopIfTrue="1" operator="lessThan">
      <formula>540</formula>
    </cfRule>
  </conditionalFormatting>
  <conditionalFormatting sqref="L4:L9 L11:L12 L60 L62 L64 L66 L68 L70 L72 L74 L76 L78 L80 L82 L84 L86 L88 L90 L92 L94 L96 L98 L100">
    <cfRule type="cellIs" dxfId="1319" priority="228" stopIfTrue="1" operator="lessThan">
      <formula>540</formula>
    </cfRule>
  </conditionalFormatting>
  <conditionalFormatting sqref="L15 L17 L19 L21 L23 L25 L27">
    <cfRule type="cellIs" dxfId="1318" priority="27" stopIfTrue="1" operator="lessThan">
      <formula>540</formula>
    </cfRule>
  </conditionalFormatting>
  <conditionalFormatting sqref="L32">
    <cfRule type="cellIs" dxfId="1317" priority="13" stopIfTrue="1" operator="lessThan">
      <formula>540</formula>
    </cfRule>
  </conditionalFormatting>
  <conditionalFormatting sqref="L36 L38">
    <cfRule type="cellIs" dxfId="1316" priority="9" stopIfTrue="1" operator="lessThan">
      <formula>540</formula>
    </cfRule>
  </conditionalFormatting>
  <conditionalFormatting sqref="L40 L44">
    <cfRule type="cellIs" dxfId="1315" priority="5" stopIfTrue="1" operator="lessThan">
      <formula>540</formula>
    </cfRule>
  </conditionalFormatting>
  <conditionalFormatting sqref="L48">
    <cfRule type="cellIs" dxfId="1314" priority="4" stopIfTrue="1" operator="lessThan">
      <formula>540</formula>
    </cfRule>
  </conditionalFormatting>
  <conditionalFormatting sqref="L102">
    <cfRule type="cellIs" dxfId="1313" priority="2179" stopIfTrue="1" operator="lessThan">
      <formula>540</formula>
    </cfRule>
  </conditionalFormatting>
  <conditionalFormatting sqref="Q4:Q41 Q43:Q101">
    <cfRule type="cellIs" dxfId="1312" priority="298" stopIfTrue="1" operator="greaterThan">
      <formula>1.8</formula>
    </cfRule>
  </conditionalFormatting>
  <conditionalFormatting sqref="Q102:Q103">
    <cfRule type="cellIs" dxfId="1311" priority="2174" stopIfTrue="1" operator="greaterThan">
      <formula>1.1</formula>
    </cfRule>
  </conditionalFormatting>
  <conditionalFormatting sqref="Q103">
    <cfRule type="cellIs" dxfId="1310" priority="1917" stopIfTrue="1" operator="greaterThan">
      <formula>0.011</formula>
    </cfRule>
  </conditionalFormatting>
  <conditionalFormatting sqref="Q104">
    <cfRule type="cellIs" dxfId="1309" priority="19" stopIfTrue="1" operator="greaterThan">
      <formula>1.1</formula>
    </cfRule>
  </conditionalFormatting>
  <conditionalFormatting sqref="Q106:Q107">
    <cfRule type="cellIs" dxfId="1308" priority="2209" stopIfTrue="1" operator="greaterThan">
      <formula>1.1</formula>
    </cfRule>
  </conditionalFormatting>
  <conditionalFormatting sqref="Q107:Q108 I120">
    <cfRule type="cellIs" dxfId="1307" priority="2215" stopIfTrue="1" operator="lessThan">
      <formula>0%</formula>
    </cfRule>
    <cfRule type="cellIs" dxfId="1306" priority="2214" stopIfTrue="1" operator="greaterThan">
      <formula>1.5%</formula>
    </cfRule>
  </conditionalFormatting>
  <conditionalFormatting sqref="Q111">
    <cfRule type="cellIs" dxfId="1305" priority="1610" stopIfTrue="1" operator="greaterThan">
      <formula>1.1</formula>
    </cfRule>
    <cfRule type="cellIs" dxfId="1304" priority="1609" stopIfTrue="1" operator="greaterThan">
      <formula>0.011</formula>
    </cfRule>
  </conditionalFormatting>
  <conditionalFormatting sqref="R4:R9 R11:R12">
    <cfRule type="cellIs" dxfId="1303" priority="84" stopIfTrue="1" operator="lessThan">
      <formula>0.94</formula>
    </cfRule>
    <cfRule type="cellIs" dxfId="1302" priority="83" stopIfTrue="1" operator="lessThan">
      <formula>0.95</formula>
    </cfRule>
  </conditionalFormatting>
  <conditionalFormatting sqref="R15 R17 R19 R21 R23 R25 R27">
    <cfRule type="cellIs" dxfId="1301" priority="25" stopIfTrue="1" operator="lessThan">
      <formula>0.95</formula>
    </cfRule>
    <cfRule type="cellIs" dxfId="1300" priority="26" stopIfTrue="1" operator="lessThan">
      <formula>0.94</formula>
    </cfRule>
  </conditionalFormatting>
  <conditionalFormatting sqref="R32">
    <cfRule type="cellIs" dxfId="1299" priority="14" stopIfTrue="1" operator="lessThan">
      <formula>0.95</formula>
    </cfRule>
    <cfRule type="cellIs" dxfId="1298" priority="15" stopIfTrue="1" operator="lessThan">
      <formula>0.94</formula>
    </cfRule>
  </conditionalFormatting>
  <conditionalFormatting sqref="R36 R38">
    <cfRule type="cellIs" dxfId="1297" priority="12" stopIfTrue="1" operator="lessThan">
      <formula>0.94</formula>
    </cfRule>
    <cfRule type="cellIs" dxfId="1296" priority="11" stopIfTrue="1" operator="lessThan">
      <formula>0.95</formula>
    </cfRule>
  </conditionalFormatting>
  <conditionalFormatting sqref="R40 R44">
    <cfRule type="cellIs" dxfId="1295" priority="6" stopIfTrue="1" operator="lessThan">
      <formula>0.95</formula>
    </cfRule>
    <cfRule type="cellIs" dxfId="1294" priority="7" stopIfTrue="1" operator="lessThan">
      <formula>0.94</formula>
    </cfRule>
  </conditionalFormatting>
  <conditionalFormatting sqref="R48">
    <cfRule type="cellIs" dxfId="1293" priority="3" stopIfTrue="1" operator="lessThan">
      <formula>0.94</formula>
    </cfRule>
    <cfRule type="cellIs" dxfId="1292" priority="2" stopIfTrue="1" operator="lessThan">
      <formula>0.95</formula>
    </cfRule>
  </conditionalFormatting>
  <conditionalFormatting sqref="R60 R62 R64 R66 R68 R70 R72 R74 R76 R78 R80 R82 R84 R86 R88 R90 R92">
    <cfRule type="cellIs" dxfId="1291" priority="111" stopIfTrue="1" operator="lessThan">
      <formula>0.95</formula>
    </cfRule>
    <cfRule type="cellIs" dxfId="1290" priority="112" stopIfTrue="1" operator="lessThan">
      <formula>0.94</formula>
    </cfRule>
  </conditionalFormatting>
  <conditionalFormatting sqref="R94 R96 R98 R100">
    <cfRule type="cellIs" dxfId="1289" priority="79" stopIfTrue="1" operator="lessThan">
      <formula>0.94</formula>
    </cfRule>
    <cfRule type="cellIs" dxfId="1288" priority="78" stopIfTrue="1" operator="lessThan">
      <formula>0.95</formula>
    </cfRule>
  </conditionalFormatting>
  <conditionalFormatting sqref="R103">
    <cfRule type="cellIs" dxfId="1287" priority="22" stopIfTrue="1" operator="lessThan">
      <formula>0.56</formula>
    </cfRule>
  </conditionalFormatting>
  <conditionalFormatting sqref="R104">
    <cfRule type="cellIs" dxfId="1286" priority="17" stopIfTrue="1" operator="lessThan">
      <formula>0.6</formula>
    </cfRule>
  </conditionalFormatting>
  <conditionalFormatting sqref="R106">
    <cfRule type="cellIs" dxfId="1285" priority="2177" stopIfTrue="1" operator="lessThan">
      <formula>0.6</formula>
    </cfRule>
  </conditionalFormatting>
  <conditionalFormatting sqref="R111:S111">
    <cfRule type="cellIs" dxfId="1284" priority="1730" stopIfTrue="1" operator="lessThan">
      <formula>0.74</formula>
    </cfRule>
  </conditionalFormatting>
  <conditionalFormatting sqref="S3">
    <cfRule type="cellIs" dxfId="1283" priority="1445" stopIfTrue="1" operator="lessThan">
      <formula>0.65</formula>
    </cfRule>
  </conditionalFormatting>
  <conditionalFormatting sqref="S4:S41 S43:S104">
    <cfRule type="cellIs" dxfId="1282" priority="20" stopIfTrue="1" operator="lessThan">
      <formula>0.74</formula>
    </cfRule>
  </conditionalFormatting>
  <conditionalFormatting sqref="S106">
    <cfRule type="cellIs" dxfId="1281" priority="2212" stopIfTrue="1" operator="lessThan">
      <formula>0.74</formula>
    </cfRule>
  </conditionalFormatting>
  <conditionalFormatting sqref="S122:S123">
    <cfRule type="cellIs" dxfId="1280" priority="2134" stopIfTrue="1" operator="lessThan">
      <formula>0.74</formula>
    </cfRule>
  </conditionalFormatting>
  <conditionalFormatting sqref="S124">
    <cfRule type="cellIs" dxfId="1279" priority="2133" stopIfTrue="1" operator="greaterThan">
      <formula>1.1</formula>
    </cfRule>
  </conditionalFormatting>
  <conditionalFormatting sqref="S107:T108">
    <cfRule type="cellIs" dxfId="1278" priority="2217" stopIfTrue="1" operator="lessThan">
      <formula>75%</formula>
    </cfRule>
  </conditionalFormatting>
  <conditionalFormatting sqref="T4:T9 T11:T12">
    <cfRule type="cellIs" dxfId="1277" priority="81" stopIfTrue="1" operator="lessThan">
      <formula>0.8</formula>
    </cfRule>
  </conditionalFormatting>
  <conditionalFormatting sqref="T15 T17 T19 T21 T23 T25 T27">
    <cfRule type="cellIs" dxfId="1276" priority="23" stopIfTrue="1" operator="lessThan">
      <formula>0.8</formula>
    </cfRule>
  </conditionalFormatting>
  <conditionalFormatting sqref="T32">
    <cfRule type="cellIs" dxfId="1275" priority="16" stopIfTrue="1" operator="lessThan">
      <formula>0.8</formula>
    </cfRule>
  </conditionalFormatting>
  <conditionalFormatting sqref="T36 T38">
    <cfRule type="cellIs" dxfId="1274" priority="10" stopIfTrue="1" operator="lessThan">
      <formula>0.8</formula>
    </cfRule>
  </conditionalFormatting>
  <conditionalFormatting sqref="T40 T44">
    <cfRule type="cellIs" dxfId="1273" priority="8" stopIfTrue="1" operator="lessThan">
      <formula>0.8</formula>
    </cfRule>
  </conditionalFormatting>
  <conditionalFormatting sqref="T48">
    <cfRule type="cellIs" dxfId="1272" priority="1" stopIfTrue="1" operator="lessThan">
      <formula>0.8</formula>
    </cfRule>
  </conditionalFormatting>
  <conditionalFormatting sqref="T60 T62 T64 T66 T68 T70 T72 T74 T76 T78 T80 T82 T84 T86 T88 T90 T92">
    <cfRule type="cellIs" dxfId="1271" priority="109" stopIfTrue="1" operator="lessThan">
      <formula>0.95</formula>
    </cfRule>
    <cfRule type="cellIs" dxfId="1270" priority="110" stopIfTrue="1" operator="lessThan">
      <formula>0.94</formula>
    </cfRule>
  </conditionalFormatting>
  <conditionalFormatting sqref="T94 T96 T98 T100:T101">
    <cfRule type="cellIs" dxfId="1269" priority="76" stopIfTrue="1" operator="lessThan">
      <formula>0.95</formula>
    </cfRule>
    <cfRule type="cellIs" dxfId="1268" priority="77" stopIfTrue="1" operator="lessThan">
      <formula>0.94</formula>
    </cfRule>
  </conditionalFormatting>
  <conditionalFormatting sqref="T102:T104">
    <cfRule type="cellIs" dxfId="1267" priority="18" stopIfTrue="1" operator="lessThan">
      <formula>0.95</formula>
    </cfRule>
  </conditionalFormatting>
  <conditionalFormatting sqref="T106">
    <cfRule type="cellIs" dxfId="1266" priority="2178" stopIfTrue="1" operator="lessThan">
      <formula>0.95</formula>
    </cfRule>
  </conditionalFormatting>
  <conditionalFormatting sqref="T110">
    <cfRule type="cellIs" dxfId="1265" priority="2170" stopIfTrue="1" operator="lessThan">
      <formula>0.65</formula>
    </cfRule>
  </conditionalFormatting>
  <conditionalFormatting sqref="T111">
    <cfRule type="cellIs" dxfId="1264" priority="2030" stopIfTrue="1" operator="lessThan">
      <formula>0.95</formula>
    </cfRule>
  </conditionalFormatting>
  <printOptions horizontalCentered="1"/>
  <pageMargins left="0.10312499999999999" right="0.5" top="0.25" bottom="0.27" header="0.25" footer="0.27"/>
  <pageSetup scale="24" fitToHeight="0" orientation="landscape"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B5972-8DE2-4B14-B2C6-07FF69A9A53E}">
  <sheetPr codeName="Sheet21">
    <pageSetUpPr fitToPage="1"/>
  </sheetPr>
  <dimension ref="B2:AD65417"/>
  <sheetViews>
    <sheetView showZeros="0" showWhiteSpace="0" zoomScale="60" zoomScaleNormal="60" zoomScaleSheetLayoutView="70" workbookViewId="0">
      <pane xSplit="3" ySplit="3" topLeftCell="D41" activePane="bottomRight" state="frozen"/>
      <selection pane="topRight" activeCell="D1" sqref="D1"/>
      <selection pane="bottomLeft" activeCell="A4" sqref="A4"/>
      <selection pane="bottomRight" activeCell="Q60" sqref="Q60"/>
    </sheetView>
  </sheetViews>
  <sheetFormatPr defaultColWidth="9.42578125" defaultRowHeight="12.75" outlineLevelCol="1" x14ac:dyDescent="0.2"/>
  <cols>
    <col min="1" max="1" width="3.42578125" customWidth="1"/>
    <col min="2" max="2" width="35.5703125" style="1" customWidth="1"/>
    <col min="3" max="3" width="52.85546875" style="1" bestFit="1" customWidth="1"/>
    <col min="4" max="5" width="16.140625" style="1" customWidth="1"/>
    <col min="6" max="6" width="21.5703125" style="1" customWidth="1" outlineLevel="1"/>
    <col min="7" max="7" width="26.42578125" customWidth="1"/>
    <col min="8" max="8" width="20.42578125" customWidth="1" outlineLevel="1"/>
    <col min="9" max="9" width="17.5703125" style="1" customWidth="1" outlineLevel="1"/>
    <col min="10" max="10" width="22.42578125" customWidth="1"/>
    <col min="11" max="11" width="23.42578125" customWidth="1" outlineLevel="1"/>
    <col min="12" max="12" width="17.42578125" customWidth="1" outlineLevel="1"/>
    <col min="13" max="13" width="17" customWidth="1" outlineLevel="1"/>
    <col min="14" max="14" width="18.5703125" customWidth="1" outlineLevel="1"/>
    <col min="15" max="15" width="17.5703125" style="392" customWidth="1" outlineLevel="1"/>
    <col min="16" max="16" width="16.140625" style="2" customWidth="1" outlineLevel="1"/>
    <col min="17" max="17" width="23.140625" style="1" customWidth="1"/>
    <col min="18" max="18" width="21.140625" customWidth="1"/>
    <col min="19" max="19" width="19.42578125" customWidth="1"/>
    <col min="20" max="21" width="20.5703125" style="1" customWidth="1"/>
    <col min="22" max="22" width="12" customWidth="1"/>
    <col min="23" max="23" width="17" customWidth="1"/>
    <col min="24" max="24" width="15.42578125" customWidth="1"/>
    <col min="25" max="25" width="15.5703125" customWidth="1"/>
    <col min="26" max="26" width="14" customWidth="1"/>
    <col min="27" max="27" width="25.5703125" customWidth="1"/>
    <col min="28" max="28" width="89.42578125" customWidth="1"/>
    <col min="29" max="29" width="13.42578125" bestFit="1" customWidth="1"/>
    <col min="30" max="30" width="15.5703125" bestFit="1" customWidth="1"/>
  </cols>
  <sheetData>
    <row r="2" spans="2:30" ht="24" thickBot="1" x14ac:dyDescent="0.4">
      <c r="B2" s="1022" t="s">
        <v>964</v>
      </c>
      <c r="C2" s="1022"/>
      <c r="D2" s="1022"/>
      <c r="E2" s="1022"/>
      <c r="F2" s="1022"/>
      <c r="G2" s="1022"/>
      <c r="H2" s="1022"/>
      <c r="I2" s="1022"/>
      <c r="J2" s="1022"/>
      <c r="K2" s="1022"/>
      <c r="L2" s="1022"/>
      <c r="M2" s="1022"/>
      <c r="N2" s="1022"/>
      <c r="O2" s="1022"/>
      <c r="P2" s="1022"/>
      <c r="Q2" s="1022"/>
      <c r="R2" s="1022"/>
      <c r="S2" s="1022"/>
      <c r="T2" s="1065"/>
      <c r="U2" s="1065"/>
      <c r="V2" s="1065"/>
    </row>
    <row r="3" spans="2:30" ht="135.75" customHeight="1" thickTop="1" thickBot="1" x14ac:dyDescent="0.25">
      <c r="B3" s="564" t="s">
        <v>0</v>
      </c>
      <c r="C3" s="565" t="s">
        <v>2</v>
      </c>
      <c r="D3" s="565" t="s">
        <v>12</v>
      </c>
      <c r="E3" s="565" t="s">
        <v>11</v>
      </c>
      <c r="F3" s="38" t="s">
        <v>15</v>
      </c>
      <c r="G3" s="565" t="s">
        <v>9</v>
      </c>
      <c r="H3" s="38" t="s">
        <v>17</v>
      </c>
      <c r="I3" s="38" t="s">
        <v>5</v>
      </c>
      <c r="J3" s="565" t="s">
        <v>958</v>
      </c>
      <c r="K3" s="38" t="s">
        <v>4</v>
      </c>
      <c r="L3" s="663" t="s">
        <v>843</v>
      </c>
      <c r="M3" s="664" t="s">
        <v>161</v>
      </c>
      <c r="N3" s="664" t="s">
        <v>10</v>
      </c>
      <c r="O3" s="38" t="s">
        <v>622</v>
      </c>
      <c r="P3" s="294" t="s">
        <v>863</v>
      </c>
      <c r="Q3" s="566" t="s">
        <v>864</v>
      </c>
      <c r="R3" s="584" t="s">
        <v>473</v>
      </c>
      <c r="S3" s="547" t="s">
        <v>860</v>
      </c>
      <c r="T3" s="584" t="s">
        <v>425</v>
      </c>
      <c r="U3" s="545" t="s">
        <v>1009</v>
      </c>
      <c r="V3" s="1023" t="s">
        <v>1</v>
      </c>
      <c r="W3" s="1024"/>
      <c r="X3" s="1024"/>
      <c r="Y3" s="1024"/>
      <c r="Z3" s="1024"/>
      <c r="AA3" s="1024"/>
      <c r="AB3" s="1025"/>
      <c r="AC3">
        <v>17000</v>
      </c>
      <c r="AD3">
        <v>17000</v>
      </c>
    </row>
    <row r="4" spans="2:30" s="19" customFormat="1" ht="90" customHeight="1" thickTop="1" thickBot="1" x14ac:dyDescent="0.25">
      <c r="B4" s="580">
        <f>[1]February_2026!$B8</f>
        <v>46055</v>
      </c>
      <c r="C4" s="26" t="str">
        <f>[1]February_2026!$D8</f>
        <v>STAG</v>
      </c>
      <c r="D4" s="27">
        <v>2530</v>
      </c>
      <c r="E4" s="28">
        <f>[2]Feb!$E8</f>
        <v>1.0791666666666666</v>
      </c>
      <c r="F4" s="29">
        <f>[1]February_2026!$J8</f>
        <v>177.39999999999998</v>
      </c>
      <c r="G4" s="30">
        <f>[1]February_2026!$G8</f>
        <v>2653</v>
      </c>
      <c r="H4" s="29">
        <f>[1]February_2026!$K8</f>
        <v>175.09800000000001</v>
      </c>
      <c r="I4" s="31">
        <f>[1]February_2026!$N8</f>
        <v>5</v>
      </c>
      <c r="J4" s="32">
        <f>[1]February_2026!$Q8</f>
        <v>115.34782608695652</v>
      </c>
      <c r="K4" s="32">
        <f>[1]February_2026!$F8</f>
        <v>354</v>
      </c>
      <c r="L4" s="1153">
        <f>[1]February_2026!$E8</f>
        <v>1380</v>
      </c>
      <c r="M4" s="28">
        <f>[2]Feb!$G8</f>
        <v>1.4722222222222223</v>
      </c>
      <c r="N4" s="32">
        <f>[1]February_2026!$M8</f>
        <v>221</v>
      </c>
      <c r="O4" s="406">
        <f>[2]Feb!$I8</f>
        <v>0</v>
      </c>
      <c r="P4" s="32">
        <f>[1]February_2026!$I8</f>
        <v>0</v>
      </c>
      <c r="Q4" s="33">
        <f>[1]February_2026!$P8</f>
        <v>1.2976324689965977</v>
      </c>
      <c r="R4" s="995">
        <f>($G4+G5)/(($L4/60)*AD$3*(1/24))</f>
        <v>0.48613810741687979</v>
      </c>
      <c r="S4" s="586">
        <f>($G4)*24/(($K4)/60)/$AD$3</f>
        <v>0.63481555333997997</v>
      </c>
      <c r="T4" s="995">
        <f>(1464-((N4+N5)-[2]Feb!$I$9-[2]Feb!$M$8-[2]Feb!$Z$8-[2]Feb!$Z$9-[2]Feb!$AA$9-[2]Feb!$AA$8-[2]Feb!$AB$9-[2]Feb!$J$9))/1464</f>
        <v>0.89344262295081966</v>
      </c>
      <c r="U4" s="903">
        <f>[1]February_2026!$S8</f>
        <v>1.1221556886227543E-2</v>
      </c>
      <c r="V4" s="1147" t="s">
        <v>1010</v>
      </c>
      <c r="W4" s="1002"/>
      <c r="X4" s="1002"/>
      <c r="Y4" s="1002"/>
      <c r="Z4" s="1002"/>
      <c r="AA4" s="1002"/>
      <c r="AB4" s="1003"/>
    </row>
    <row r="5" spans="2:30" s="19" customFormat="1" ht="131.25" customHeight="1" thickBot="1" x14ac:dyDescent="0.25">
      <c r="B5" s="580">
        <f>[1]February_2026!$B9</f>
        <v>46055</v>
      </c>
      <c r="C5" s="26" t="str">
        <f>[1]February_2026!$D9</f>
        <v>CARIB AMBER</v>
      </c>
      <c r="D5" s="27">
        <v>7000</v>
      </c>
      <c r="E5" s="28">
        <f>[2]Feb!$E9</f>
        <v>1.4513888888888888</v>
      </c>
      <c r="F5" s="29">
        <f>[1]February_2026!$J9</f>
        <v>354.59999999999997</v>
      </c>
      <c r="G5" s="30">
        <f>[1]February_2026!$G9</f>
        <v>5267</v>
      </c>
      <c r="H5" s="29">
        <f>[1]February_2026!$K9</f>
        <v>347.62200000000001</v>
      </c>
      <c r="I5" s="31">
        <f>[1]February_2026!$N9</f>
        <v>1</v>
      </c>
      <c r="J5" s="32">
        <f>[1]February_2026!$Q9</f>
        <v>114.3646408839779</v>
      </c>
      <c r="K5" s="32">
        <f>[1]February_2026!$F9</f>
        <v>724</v>
      </c>
      <c r="L5" s="1135"/>
      <c r="M5" s="28">
        <f>[2]Feb!$G9</f>
        <v>2.0375000000000001</v>
      </c>
      <c r="N5" s="32">
        <f>[1]February_2026!$M9</f>
        <v>166</v>
      </c>
      <c r="O5" s="406">
        <f>[2]Feb!$I9</f>
        <v>13</v>
      </c>
      <c r="P5" s="32">
        <f>[1]February_2026!$I9</f>
        <v>0</v>
      </c>
      <c r="Q5" s="33">
        <f>[1]February_2026!$P9</f>
        <v>1.9678510998307819</v>
      </c>
      <c r="R5" s="1146"/>
      <c r="S5" s="586">
        <f>($G5)*24/(($K5)/60)/$AD$3</f>
        <v>0.61622359441013974</v>
      </c>
      <c r="T5" s="1020"/>
      <c r="U5" s="903">
        <f>[1]February_2026!$S9</f>
        <v>1.5132428940568474E-2</v>
      </c>
      <c r="V5" s="1147" t="s">
        <v>1011</v>
      </c>
      <c r="W5" s="1002"/>
      <c r="X5" s="1002"/>
      <c r="Y5" s="1002"/>
      <c r="Z5" s="1002"/>
      <c r="AA5" s="1002"/>
      <c r="AB5" s="1003"/>
    </row>
    <row r="6" spans="2:30" s="19" customFormat="1" ht="131.25" customHeight="1" thickBot="1" x14ac:dyDescent="0.25">
      <c r="B6" s="580">
        <f>[1]February_2026!$B10</f>
        <v>46056</v>
      </c>
      <c r="C6" s="26" t="str">
        <f>[1]February_2026!$D10</f>
        <v>CARIB AMBER</v>
      </c>
      <c r="D6" s="27">
        <v>8400</v>
      </c>
      <c r="E6" s="28">
        <f>[2]Feb!$E10</f>
        <v>1.0083333333333333</v>
      </c>
      <c r="F6" s="29">
        <f>[1]February_2026!$J10</f>
        <v>574.30000000000007</v>
      </c>
      <c r="G6" s="30">
        <f>[1]February_2026!$G10</f>
        <v>8556</v>
      </c>
      <c r="H6" s="29">
        <f>[1]February_2026!$K10</f>
        <v>564.69600000000003</v>
      </c>
      <c r="I6" s="31">
        <f>[1]February_2026!$N10</f>
        <v>7</v>
      </c>
      <c r="J6" s="32">
        <f>[1]February_2026!$Q10</f>
        <v>356.5</v>
      </c>
      <c r="K6" s="32">
        <f>[1]February_2026!$F10</f>
        <v>1147</v>
      </c>
      <c r="L6" s="799">
        <f>[1]February_2026!$E10</f>
        <v>1440</v>
      </c>
      <c r="M6" s="28">
        <f>[2]Feb!$G10</f>
        <v>2.0631944444444446</v>
      </c>
      <c r="N6" s="32">
        <f>[1]February_2026!$M10</f>
        <v>433</v>
      </c>
      <c r="O6" s="406">
        <f>[2]Feb!$I10</f>
        <v>0</v>
      </c>
      <c r="P6" s="32">
        <f>[1]February_2026!$I10</f>
        <v>0</v>
      </c>
      <c r="Q6" s="33">
        <f>[1]February_2026!$P10</f>
        <v>1.6722967090370955</v>
      </c>
      <c r="R6" s="862">
        <f>($G6)/(($L6/60)*AC$3*(1/24))</f>
        <v>0.50329411764705878</v>
      </c>
      <c r="S6" s="586">
        <f>($G6)*24/(($K6)/60)/$AC$3</f>
        <v>0.63186009538950716</v>
      </c>
      <c r="T6" s="873">
        <f>(1531-((N6)-[2]Feb!$Z$10-[2]Feb!$AA$10-[2]Feb!$AB$10-[2]Feb!$L$10-[2]Feb!$J$10))/1531</f>
        <v>0.90071848465055515</v>
      </c>
      <c r="U6" s="903">
        <f>[1]February_2026!$S10</f>
        <v>4.5202835199968226E-2</v>
      </c>
      <c r="V6" s="1147" t="s">
        <v>1012</v>
      </c>
      <c r="W6" s="1002"/>
      <c r="X6" s="1002"/>
      <c r="Y6" s="1002"/>
      <c r="Z6" s="1002"/>
      <c r="AA6" s="1002"/>
      <c r="AB6" s="1003"/>
    </row>
    <row r="7" spans="2:30" s="19" customFormat="1" ht="162" customHeight="1" thickBot="1" x14ac:dyDescent="0.25">
      <c r="B7" s="580">
        <f>[1]February_2026!$B11</f>
        <v>46057</v>
      </c>
      <c r="C7" s="26" t="str">
        <f>[1]February_2026!$D11</f>
        <v>CARIB FLINT ( EXP)</v>
      </c>
      <c r="D7" s="27">
        <v>2200</v>
      </c>
      <c r="E7" s="28">
        <f>[2]Feb!$E11</f>
        <v>1.0125</v>
      </c>
      <c r="F7" s="29">
        <f>[1]February_2026!$J11</f>
        <v>186.8</v>
      </c>
      <c r="G7" s="30">
        <f>[1]February_2026!$G11</f>
        <v>2804</v>
      </c>
      <c r="H7" s="29">
        <f>[1]February_2026!$K11</f>
        <v>185.06400000000002</v>
      </c>
      <c r="I7" s="31">
        <f>[1]February_2026!$N11</f>
        <v>12</v>
      </c>
      <c r="J7" s="32">
        <f>[1]February_2026!$Q11</f>
        <v>118.31223628691984</v>
      </c>
      <c r="K7" s="32">
        <f>[1]February_2026!$F11</f>
        <v>711</v>
      </c>
      <c r="L7" s="1148">
        <f>[1]February_2026!$E11</f>
        <v>1422</v>
      </c>
      <c r="M7" s="28">
        <f>[2]Feb!$G11</f>
        <v>1.6034722222222222</v>
      </c>
      <c r="N7" s="32">
        <f>[1]February_2026!$M11</f>
        <v>342</v>
      </c>
      <c r="O7" s="406">
        <f>[2]Feb!$I11</f>
        <v>30</v>
      </c>
      <c r="P7" s="32">
        <f>[1]February_2026!$I11</f>
        <v>0</v>
      </c>
      <c r="Q7" s="33">
        <f>[1]February_2026!$P11</f>
        <v>0.92933618843682542</v>
      </c>
      <c r="R7" s="995">
        <f>($G7+G8)/(($L7/60)*AC$3*(1/24))</f>
        <v>0.26043186895011167</v>
      </c>
      <c r="S7" s="586">
        <f t="shared" ref="S7:S43" si="0">($G7)*24/(($K7)/60)/$AC$3</f>
        <v>0.33405807892777362</v>
      </c>
      <c r="T7" s="995">
        <f>(1560-((N7+N8)-[2]Feb!$I$11-[2]Feb!$I$12-[2]Feb!$Z$11-[2]Feb!$Z$12-[2]Feb!$AB$11))/1560</f>
        <v>0.66858974358974355</v>
      </c>
      <c r="U7" s="903">
        <f>[1]February_2026!$S11</f>
        <v>4.6256743333987591E-2</v>
      </c>
      <c r="V7" s="1147" t="s">
        <v>1013</v>
      </c>
      <c r="W7" s="1002"/>
      <c r="X7" s="1002"/>
      <c r="Y7" s="1002"/>
      <c r="Z7" s="1002"/>
      <c r="AA7" s="1002"/>
      <c r="AB7" s="1003"/>
    </row>
    <row r="8" spans="2:30" s="19" customFormat="1" ht="105.75" customHeight="1" thickBot="1" x14ac:dyDescent="0.25">
      <c r="B8" s="580">
        <f>[1]February_2026!$B12</f>
        <v>46057</v>
      </c>
      <c r="C8" s="26" t="str">
        <f>[1]February_2026!$D12</f>
        <v>CARIBE ROSE</v>
      </c>
      <c r="D8" s="27">
        <v>2200</v>
      </c>
      <c r="E8" s="28">
        <f>[2]Feb!$E12</f>
        <v>1.6493055555555556</v>
      </c>
      <c r="F8" s="29">
        <f>[1]February_2026!$J12</f>
        <v>112.89999999999999</v>
      </c>
      <c r="G8" s="30">
        <f>[1]February_2026!$G12</f>
        <v>1568</v>
      </c>
      <c r="H8" s="29">
        <f>[1]February_2026!$K12</f>
        <v>103.488</v>
      </c>
      <c r="I8" s="31">
        <f>[1]February_2026!$N12</f>
        <v>0</v>
      </c>
      <c r="J8" s="32">
        <f>[1]February_2026!$Q12</f>
        <v>66.160337552742618</v>
      </c>
      <c r="K8" s="32">
        <f>[1]February_2026!$F12</f>
        <v>489</v>
      </c>
      <c r="L8" s="999"/>
      <c r="M8" s="28">
        <f>[2]Feb!$G12</f>
        <v>2.0833333333333335</v>
      </c>
      <c r="N8" s="32">
        <f>[1]February_2026!$M12</f>
        <v>406</v>
      </c>
      <c r="O8" s="406">
        <f>[2]Feb!$I12</f>
        <v>135</v>
      </c>
      <c r="P8" s="32">
        <f>[1]February_2026!$I12</f>
        <v>0</v>
      </c>
      <c r="Q8" s="33">
        <f>[1]February_2026!$P12</f>
        <v>8.3365810451727125</v>
      </c>
      <c r="R8" s="1020"/>
      <c r="S8" s="586">
        <f t="shared" si="0"/>
        <v>0.2716131360519668</v>
      </c>
      <c r="T8" s="1020"/>
      <c r="U8" s="903">
        <f>[1]February_2026!$S12</f>
        <v>2.1540229885057469E-2</v>
      </c>
      <c r="V8" s="1147" t="s">
        <v>1014</v>
      </c>
      <c r="W8" s="1002"/>
      <c r="X8" s="1002"/>
      <c r="Y8" s="1002"/>
      <c r="Z8" s="1002"/>
      <c r="AA8" s="1002"/>
      <c r="AB8" s="1003"/>
    </row>
    <row r="9" spans="2:30" s="19" customFormat="1" ht="86.25" customHeight="1" thickBot="1" x14ac:dyDescent="0.25">
      <c r="B9" s="580">
        <f>[1]February_2026!$B13</f>
        <v>46058</v>
      </c>
      <c r="C9" s="26" t="str">
        <f>[1]February_2026!$D13</f>
        <v>CARIBE ROSE</v>
      </c>
      <c r="D9" s="27">
        <v>632</v>
      </c>
      <c r="E9" s="28">
        <f>[2]Feb!$E13</f>
        <v>1.0069444444444444</v>
      </c>
      <c r="F9" s="29">
        <f>[1]February_2026!$J13</f>
        <v>49.3</v>
      </c>
      <c r="G9" s="30">
        <f>[1]February_2026!$G13</f>
        <v>745</v>
      </c>
      <c r="H9" s="29">
        <f>[1]February_2026!$K13</f>
        <v>49.17</v>
      </c>
      <c r="I9" s="31">
        <f>[1]February_2026!$N13</f>
        <v>8</v>
      </c>
      <c r="J9" s="32">
        <f>[1]February_2026!$Q13</f>
        <v>31.25874125874126</v>
      </c>
      <c r="K9" s="32">
        <f>[1]February_2026!$F13</f>
        <v>144</v>
      </c>
      <c r="L9" s="1148">
        <f>[1]February_2026!$E13</f>
        <v>1430</v>
      </c>
      <c r="M9" s="28">
        <f>[2]Feb!$G13</f>
        <v>1.2</v>
      </c>
      <c r="N9" s="32">
        <f>[1]February_2026!$M13</f>
        <v>68</v>
      </c>
      <c r="O9" s="406">
        <f>[2]Feb!$I13</f>
        <v>0</v>
      </c>
      <c r="P9" s="32">
        <f>[1]February_2026!$I13</f>
        <v>0</v>
      </c>
      <c r="Q9" s="33">
        <f>[1]February_2026!$P13</f>
        <v>0.26369168356997053</v>
      </c>
      <c r="R9" s="995">
        <f>($G9+G10+G11)/(($L9/60)*AC$3*(1/24))</f>
        <v>0.32585109008638424</v>
      </c>
      <c r="S9" s="586">
        <f t="shared" si="0"/>
        <v>0.43823529411764706</v>
      </c>
      <c r="T9" s="995">
        <f>(1440-((N9+N10+N11)-[2]Feb!$Z$15-[2]Feb!$Z$13-[2]Feb!$J$15-[2]Feb!$J$14-[2]Feb!$I$14-[2]Feb!$I$15))/1440</f>
        <v>0.77777777777777779</v>
      </c>
      <c r="U9" s="903">
        <f>[1]February_2026!$S13</f>
        <v>1.6954161640530759E-2</v>
      </c>
      <c r="V9" s="1147" t="s">
        <v>1016</v>
      </c>
      <c r="W9" s="1002"/>
      <c r="X9" s="1002"/>
      <c r="Y9" s="1002"/>
      <c r="Z9" s="1002"/>
      <c r="AA9" s="1002"/>
      <c r="AB9" s="1003"/>
    </row>
    <row r="10" spans="2:30" s="19" customFormat="1" ht="148.5" customHeight="1" thickBot="1" x14ac:dyDescent="0.25">
      <c r="B10" s="580">
        <f>[1]February_2026!$B14</f>
        <v>46058</v>
      </c>
      <c r="C10" s="26" t="str">
        <f>[1]February_2026!$D14</f>
        <v>GUINNESS</v>
      </c>
      <c r="D10" s="27">
        <v>2800</v>
      </c>
      <c r="E10" s="28">
        <f>[2]Feb!$E14</f>
        <v>1.1875</v>
      </c>
      <c r="F10" s="29">
        <f>[1]February_2026!$J14</f>
        <v>186</v>
      </c>
      <c r="G10" s="30">
        <f>[1]February_2026!$G14</f>
        <v>2789</v>
      </c>
      <c r="H10" s="29">
        <f>[1]February_2026!$K14</f>
        <v>184.07400000000001</v>
      </c>
      <c r="I10" s="31">
        <f>[1]February_2026!$N14</f>
        <v>12</v>
      </c>
      <c r="J10" s="32">
        <f>[1]February_2026!$Q14</f>
        <v>117.02097902097903</v>
      </c>
      <c r="K10" s="32">
        <f>[1]February_2026!$F14</f>
        <v>718</v>
      </c>
      <c r="L10" s="1016"/>
      <c r="M10" s="28">
        <f>[2]Feb!$G14</f>
        <v>1.7166666666666666</v>
      </c>
      <c r="N10" s="32">
        <f>[1]February_2026!$M14</f>
        <v>312</v>
      </c>
      <c r="O10" s="406">
        <f>[2]Feb!$I14</f>
        <v>75</v>
      </c>
      <c r="P10" s="32">
        <f>[1]February_2026!$I14</f>
        <v>0</v>
      </c>
      <c r="Q10" s="33">
        <f>[1]February_2026!$P14</f>
        <v>1.0354838709677354</v>
      </c>
      <c r="R10" s="996"/>
      <c r="S10" s="586">
        <f t="shared" si="0"/>
        <v>0.32903162379157791</v>
      </c>
      <c r="T10" s="996"/>
      <c r="U10" s="903">
        <f>[1]February_2026!$S14</f>
        <v>2.3555865921787707E-2</v>
      </c>
      <c r="V10" s="1147" t="s">
        <v>1015</v>
      </c>
      <c r="W10" s="1002"/>
      <c r="X10" s="1002"/>
      <c r="Y10" s="1002"/>
      <c r="Z10" s="1002"/>
      <c r="AA10" s="1002"/>
      <c r="AB10" s="1003"/>
    </row>
    <row r="11" spans="2:30" s="19" customFormat="1" ht="81" customHeight="1" thickBot="1" x14ac:dyDescent="0.25">
      <c r="B11" s="580">
        <f>[1]February_2026!$B15</f>
        <v>46058</v>
      </c>
      <c r="C11" s="26" t="str">
        <f>[1]February_2026!$D15</f>
        <v>CARIB AMBER</v>
      </c>
      <c r="D11" s="27">
        <v>4200</v>
      </c>
      <c r="E11" s="28">
        <f>[2]Feb!$E15</f>
        <v>1.7638888888888888</v>
      </c>
      <c r="F11" s="29">
        <f>[1]February_2026!$J15</f>
        <v>133.60000000000002</v>
      </c>
      <c r="G11" s="30">
        <f>[1]February_2026!$G15</f>
        <v>1967</v>
      </c>
      <c r="H11" s="29">
        <f>[1]February_2026!$K15</f>
        <v>129.822</v>
      </c>
      <c r="I11" s="31">
        <f>[1]February_2026!$N15</f>
        <v>2</v>
      </c>
      <c r="J11" s="32">
        <f>[1]February_2026!$Q15</f>
        <v>82.531468531468533</v>
      </c>
      <c r="K11" s="32">
        <f>[1]February_2026!$F15</f>
        <v>276</v>
      </c>
      <c r="L11" s="1016"/>
      <c r="M11" s="28">
        <f>[2]Feb!$G15</f>
        <v>2</v>
      </c>
      <c r="N11" s="32">
        <f>[1]February_2026!$M15</f>
        <v>181</v>
      </c>
      <c r="O11" s="406">
        <f>[2]Feb!$I15</f>
        <v>57</v>
      </c>
      <c r="P11" s="32">
        <f>[1]February_2026!$I15</f>
        <v>0</v>
      </c>
      <c r="Q11" s="33">
        <f>[1]February_2026!$P15</f>
        <v>2.8278443113772598</v>
      </c>
      <c r="R11" s="1020"/>
      <c r="S11" s="586">
        <f t="shared" si="0"/>
        <v>0.60368286445012787</v>
      </c>
      <c r="T11" s="1020"/>
      <c r="U11" s="903">
        <f>[1]February_2026!$S15</f>
        <v>1.2453482190324295E-2</v>
      </c>
      <c r="V11" s="1147" t="s">
        <v>1017</v>
      </c>
      <c r="W11" s="1002"/>
      <c r="X11" s="1002"/>
      <c r="Y11" s="1002"/>
      <c r="Z11" s="1002"/>
      <c r="AA11" s="1002"/>
      <c r="AB11" s="1003"/>
    </row>
    <row r="12" spans="2:30" s="19" customFormat="1" ht="73.5" customHeight="1" thickBot="1" x14ac:dyDescent="0.25">
      <c r="B12" s="580">
        <f>[1]February_2026!$B16</f>
        <v>46059</v>
      </c>
      <c r="C12" s="26" t="str">
        <f>[1]February_2026!$D16</f>
        <v>CARIB AMBER</v>
      </c>
      <c r="D12" s="27">
        <v>4613</v>
      </c>
      <c r="E12" s="28">
        <f>[2]Feb!$E16</f>
        <v>1.0069444444444444</v>
      </c>
      <c r="F12" s="29">
        <f>[1]February_2026!$J16</f>
        <v>315.7</v>
      </c>
      <c r="G12" s="30">
        <f>[1]February_2026!$G16</f>
        <v>4736</v>
      </c>
      <c r="H12" s="29">
        <f>[1]February_2026!$K16</f>
        <v>312.57600000000002</v>
      </c>
      <c r="I12" s="31">
        <f>[1]February_2026!$N16</f>
        <v>4</v>
      </c>
      <c r="J12" s="32">
        <f>[1]February_2026!$Q16</f>
        <v>227.328</v>
      </c>
      <c r="K12" s="32">
        <f>[1]February_2026!$F16</f>
        <v>940</v>
      </c>
      <c r="L12" s="1148">
        <f>[1]February_2026!$E16</f>
        <v>1250</v>
      </c>
      <c r="M12" s="28">
        <f>[2]Feb!$G16</f>
        <v>1.7166666666666666</v>
      </c>
      <c r="N12" s="32">
        <f>[1]February_2026!$M16</f>
        <v>283</v>
      </c>
      <c r="O12" s="406">
        <f>[2]Feb!$I16</f>
        <v>0</v>
      </c>
      <c r="P12" s="32">
        <f>[1]February_2026!$I16</f>
        <v>0</v>
      </c>
      <c r="Q12" s="33">
        <f>[1]February_2026!$P16</f>
        <v>0.98954703832751567</v>
      </c>
      <c r="R12" s="995">
        <f>($G12+G13+G14)/(($L12/60)*AC$3*(1/24))</f>
        <v>0.47150682352941187</v>
      </c>
      <c r="S12" s="586">
        <f t="shared" si="0"/>
        <v>0.42677346683354195</v>
      </c>
      <c r="T12" s="995">
        <f>(1290-((N12+N13)-[2]Feb!$Z$16-[2]Feb!$I$17))/1290</f>
        <v>0.77209302325581397</v>
      </c>
      <c r="U12" s="903">
        <f>[1]February_2026!$S16</f>
        <v>3.4392808018522257E-2</v>
      </c>
      <c r="V12" s="1147" t="s">
        <v>1019</v>
      </c>
      <c r="W12" s="1002"/>
      <c r="X12" s="1002"/>
      <c r="Y12" s="1002"/>
      <c r="Z12" s="1002"/>
      <c r="AA12" s="1002"/>
      <c r="AB12" s="1003"/>
    </row>
    <row r="13" spans="2:30" s="19" customFormat="1" ht="77.25" customHeight="1" thickBot="1" x14ac:dyDescent="0.25">
      <c r="B13" s="580">
        <f>[1]February_2026!$B17</f>
        <v>46059</v>
      </c>
      <c r="C13" s="26" t="str">
        <f>[1]February_2026!$D17</f>
        <v>SHANDY GINGER</v>
      </c>
      <c r="D13" s="27">
        <v>1500</v>
      </c>
      <c r="E13" s="28">
        <f>[2]Feb!$E17</f>
        <v>1.7048611111111112</v>
      </c>
      <c r="F13" s="29">
        <f>[1]February_2026!$J17</f>
        <v>87.5</v>
      </c>
      <c r="G13" s="30">
        <f>[1]February_2026!$G17</f>
        <v>1262</v>
      </c>
      <c r="H13" s="29">
        <f>[1]February_2026!$K17</f>
        <v>83.292000000000002</v>
      </c>
      <c r="I13" s="31">
        <f>[1]February_2026!$N17</f>
        <v>5</v>
      </c>
      <c r="J13" s="32">
        <f>[1]February_2026!$Q17</f>
        <v>60.576000000000001</v>
      </c>
      <c r="K13" s="32">
        <f>[1]February_2026!$F17</f>
        <v>200</v>
      </c>
      <c r="L13" s="999"/>
      <c r="M13" s="28">
        <f>[2]Feb!$G17</f>
        <v>1.8958333333333333</v>
      </c>
      <c r="N13" s="32">
        <f>[1]February_2026!$M17</f>
        <v>76</v>
      </c>
      <c r="O13" s="406">
        <f>[2]Feb!$I17</f>
        <v>40</v>
      </c>
      <c r="P13" s="32">
        <f>[1]February_2026!$I17</f>
        <v>8</v>
      </c>
      <c r="Q13" s="33">
        <f>[1]February_2026!$P17</f>
        <v>4.8091428571428558</v>
      </c>
      <c r="R13" s="1020"/>
      <c r="S13" s="586">
        <f t="shared" si="0"/>
        <v>0.53449411764705879</v>
      </c>
      <c r="T13" s="1020"/>
      <c r="U13" s="903">
        <f>[1]February_2026!$S17</f>
        <v>1.7362569487337862E-2</v>
      </c>
      <c r="V13" s="1147" t="s">
        <v>1018</v>
      </c>
      <c r="W13" s="1002"/>
      <c r="X13" s="1002"/>
      <c r="Y13" s="1002"/>
      <c r="Z13" s="1002"/>
      <c r="AA13" s="1002"/>
      <c r="AB13" s="1003"/>
    </row>
    <row r="14" spans="2:30" s="19" customFormat="1" ht="76.5" customHeight="1" thickBot="1" x14ac:dyDescent="0.25">
      <c r="B14" s="580">
        <f>[1]February_2026!$B18</f>
        <v>46062</v>
      </c>
      <c r="C14" s="26" t="str">
        <f>[1]February_2026!$D18</f>
        <v>SHANDY GINGER ( LOCAL)</v>
      </c>
      <c r="D14" s="27">
        <v>838</v>
      </c>
      <c r="E14" s="28">
        <f>[2]Feb!$E18</f>
        <v>0.12152777777777778</v>
      </c>
      <c r="F14" s="989">
        <f>[1]February_2026!$J18</f>
        <v>109.4</v>
      </c>
      <c r="G14" s="30">
        <f>[1]February_2026!$G18</f>
        <v>960</v>
      </c>
      <c r="H14" s="989">
        <f>[1]February_2026!$K18</f>
        <v>106.65600000000001</v>
      </c>
      <c r="I14" s="1004">
        <f>[1]February_2026!$N18</f>
        <v>7</v>
      </c>
      <c r="J14" s="32">
        <f>[1]February_2026!$Q18</f>
        <v>41.739130434782609</v>
      </c>
      <c r="K14" s="32">
        <f>[1]February_2026!$F18</f>
        <v>165</v>
      </c>
      <c r="L14" s="1148">
        <f>[1]February_2026!$E18</f>
        <v>1380</v>
      </c>
      <c r="M14" s="28">
        <f>[2]Feb!$G18</f>
        <v>0.32222222222222224</v>
      </c>
      <c r="N14" s="32">
        <f>[1]February_2026!$M18</f>
        <v>176</v>
      </c>
      <c r="O14" s="406">
        <f>[2]Feb!$I18</f>
        <v>0</v>
      </c>
      <c r="P14" s="32">
        <f>[1]February_2026!$I18</f>
        <v>0</v>
      </c>
      <c r="Q14" s="1000">
        <f>[1]February_2026!$P18</f>
        <v>2.5082266910420472</v>
      </c>
      <c r="R14" s="995">
        <f>($G14+G15+G16)/(($L14/60)*AC$3*(1/24))</f>
        <v>0.27240920716112532</v>
      </c>
      <c r="S14" s="586">
        <f t="shared" si="0"/>
        <v>0.49283422459893045</v>
      </c>
      <c r="T14" s="995">
        <f>(1280-((N14+N15+N16)-[2]Feb!$J$20-[2]Feb!$I$20-[2]Feb!$L$18-[2]Feb!$Z$18))/1280</f>
        <v>0.75390625</v>
      </c>
      <c r="U14" s="1154">
        <f>[1]February_2026!$S18</f>
        <v>3.7372016365054127E-2</v>
      </c>
      <c r="V14" s="1147" t="s">
        <v>1021</v>
      </c>
      <c r="W14" s="1002"/>
      <c r="X14" s="1002"/>
      <c r="Y14" s="1002"/>
      <c r="Z14" s="1002"/>
      <c r="AA14" s="1002"/>
      <c r="AB14" s="1003"/>
    </row>
    <row r="15" spans="2:30" s="19" customFormat="1" ht="42.75" customHeight="1" thickBot="1" x14ac:dyDescent="0.25">
      <c r="B15" s="580">
        <f>[1]February_2026!$B19</f>
        <v>46062</v>
      </c>
      <c r="C15" s="26" t="str">
        <f>[1]February_2026!$D19</f>
        <v>SHANDY GINGER (EXPORT)</v>
      </c>
      <c r="D15" s="27">
        <v>700</v>
      </c>
      <c r="E15" s="28">
        <f>[2]Feb!$E19</f>
        <v>0.29236111111111113</v>
      </c>
      <c r="F15" s="990"/>
      <c r="G15" s="30">
        <f>[1]February_2026!$G19</f>
        <v>656</v>
      </c>
      <c r="H15" s="990"/>
      <c r="I15" s="1005"/>
      <c r="J15" s="32">
        <f>[1]February_2026!$Q19</f>
        <v>28.521739130434781</v>
      </c>
      <c r="K15" s="32">
        <f>[1]February_2026!$F19</f>
        <v>139</v>
      </c>
      <c r="L15" s="1016"/>
      <c r="M15" s="28">
        <f>[2]Feb!$G19</f>
        <v>0.4375</v>
      </c>
      <c r="N15" s="32">
        <f>[1]February_2026!$M19</f>
        <v>36</v>
      </c>
      <c r="O15" s="406">
        <f>[2]Feb!$I19</f>
        <v>0</v>
      </c>
      <c r="P15" s="32">
        <f>[1]February_2026!$I19</f>
        <v>0</v>
      </c>
      <c r="Q15" s="1001"/>
      <c r="R15" s="996"/>
      <c r="S15" s="586">
        <f t="shared" si="0"/>
        <v>0.3997630131189166</v>
      </c>
      <c r="T15" s="996"/>
      <c r="U15" s="1155"/>
      <c r="V15" s="1147" t="s">
        <v>1020</v>
      </c>
      <c r="W15" s="1002"/>
      <c r="X15" s="1002"/>
      <c r="Y15" s="1002"/>
      <c r="Z15" s="1002"/>
      <c r="AA15" s="1002"/>
      <c r="AB15" s="1003"/>
    </row>
    <row r="16" spans="2:30" s="19" customFormat="1" ht="102.75" customHeight="1" thickBot="1" x14ac:dyDescent="0.25">
      <c r="B16" s="580">
        <f>[1]February_2026!$B20</f>
        <v>46062</v>
      </c>
      <c r="C16" s="26" t="str">
        <f>[1]February_2026!$D20</f>
        <v>STAG</v>
      </c>
      <c r="D16" s="27">
        <v>2800</v>
      </c>
      <c r="E16" s="28">
        <f>[2]Feb!$E20</f>
        <v>0.52916666666666667</v>
      </c>
      <c r="F16" s="29">
        <f>[1]February_2026!$J20</f>
        <v>188.10000000000002</v>
      </c>
      <c r="G16" s="30">
        <f>[1]February_2026!$G20</f>
        <v>2822</v>
      </c>
      <c r="H16" s="29">
        <f>[1]February_2026!$K20</f>
        <v>186.25200000000001</v>
      </c>
      <c r="I16" s="31">
        <f>[1]February_2026!$N20</f>
        <v>1</v>
      </c>
      <c r="J16" s="32">
        <f>[1]February_2026!$Q20</f>
        <v>122.69565217391305</v>
      </c>
      <c r="K16" s="32">
        <f>[1]February_2026!$F20</f>
        <v>384</v>
      </c>
      <c r="L16" s="1016"/>
      <c r="M16" s="28">
        <f>[2]Feb!$G20</f>
        <v>0.93055555555555558</v>
      </c>
      <c r="N16" s="32">
        <f>[1]February_2026!$M20</f>
        <v>363</v>
      </c>
      <c r="O16" s="406">
        <f>[2]Feb!$I20</f>
        <v>50</v>
      </c>
      <c r="P16" s="32">
        <f>[1]February_2026!$I20</f>
        <v>0</v>
      </c>
      <c r="Q16" s="33">
        <f>[1]February_2026!$P20</f>
        <v>0.98245614035088413</v>
      </c>
      <c r="R16" s="996"/>
      <c r="S16" s="586">
        <f t="shared" si="0"/>
        <v>0.62250000000000005</v>
      </c>
      <c r="T16" s="1020"/>
      <c r="U16" s="903">
        <f>[1]February_2026!$S20</f>
        <v>2.3003273322422257E-2</v>
      </c>
      <c r="V16" s="1147" t="s">
        <v>1022</v>
      </c>
      <c r="W16" s="1002"/>
      <c r="X16" s="1002"/>
      <c r="Y16" s="1002"/>
      <c r="Z16" s="1002"/>
      <c r="AA16" s="1002"/>
      <c r="AB16" s="1003"/>
    </row>
    <row r="17" spans="2:28" s="19" customFormat="1" ht="106.35" customHeight="1" thickBot="1" x14ac:dyDescent="0.25">
      <c r="B17" s="580">
        <f>[1]February_2026!$B21</f>
        <v>46063</v>
      </c>
      <c r="C17" s="26" t="str">
        <f>[1]February_2026!$D21</f>
        <v>PINK TING</v>
      </c>
      <c r="D17" s="27">
        <v>3200</v>
      </c>
      <c r="E17" s="28">
        <f>[2]Feb!$E21</f>
        <v>1.0277777777777777</v>
      </c>
      <c r="F17" s="29">
        <f>[1]February_2026!$J21</f>
        <v>224.4</v>
      </c>
      <c r="G17" s="30">
        <f>[1]February_2026!$G21</f>
        <v>3371</v>
      </c>
      <c r="H17" s="29">
        <f>[1]February_2026!$K21</f>
        <v>222.48600000000002</v>
      </c>
      <c r="I17" s="31">
        <f>[1]February_2026!$N21</f>
        <v>4</v>
      </c>
      <c r="J17" s="32">
        <f>[1]February_2026!$Q21</f>
        <v>141.44055944055944</v>
      </c>
      <c r="K17" s="32">
        <f>[1]February_2026!$F21</f>
        <v>429</v>
      </c>
      <c r="L17" s="1148">
        <f>[1]February_2026!$E21</f>
        <v>1430</v>
      </c>
      <c r="M17" s="28">
        <f>[2]Feb!$G21</f>
        <v>1.4527777777777777</v>
      </c>
      <c r="N17" s="32">
        <f>[1]February_2026!$M21</f>
        <v>294</v>
      </c>
      <c r="O17" s="406">
        <f>[2]Feb!$I21</f>
        <v>104</v>
      </c>
      <c r="P17" s="32">
        <f>[1]February_2026!$I21</f>
        <v>0</v>
      </c>
      <c r="Q17" s="33">
        <f>[1]February_2026!$P21</f>
        <v>0.85294117647058254</v>
      </c>
      <c r="R17" s="995">
        <f>($G17+G18+G19)/(($L17/60)*AC$3*(1/24))</f>
        <v>0.41553270259152619</v>
      </c>
      <c r="S17" s="586">
        <f t="shared" si="0"/>
        <v>0.66560263266145614</v>
      </c>
      <c r="T17" s="995">
        <f>(1485-((N17+N18+N19)-[2]Feb!$I$21-[2]Feb!$I$22-[2]Feb!$J$21-[2]Feb!$J$22-[2]Feb!$M$21-[2]Feb!$Z$21-[2]Feb!$Z$22-[2]Feb!$Z$23-[2]Feb!$AB$21-[2]Feb!$AB$23))/1485</f>
        <v>0.86464646464646466</v>
      </c>
      <c r="U17" s="903">
        <f>[1]February_2026!$S21</f>
        <v>1.9419689119170983E-2</v>
      </c>
      <c r="V17" s="1147" t="s">
        <v>1024</v>
      </c>
      <c r="W17" s="1002"/>
      <c r="X17" s="1002"/>
      <c r="Y17" s="1002"/>
      <c r="Z17" s="1002"/>
      <c r="AA17" s="1002"/>
      <c r="AB17" s="1003"/>
    </row>
    <row r="18" spans="2:28" s="19" customFormat="1" ht="53.45" customHeight="1" thickBot="1" x14ac:dyDescent="0.25">
      <c r="B18" s="580">
        <f>[1]February_2026!$B22</f>
        <v>46063</v>
      </c>
      <c r="C18" s="26" t="str">
        <f>[1]February_2026!$D22</f>
        <v xml:space="preserve">GREEN TING </v>
      </c>
      <c r="D18" s="27">
        <v>3600</v>
      </c>
      <c r="E18" s="28">
        <f>[2]Feb!$E22</f>
        <v>1.5194444444444444</v>
      </c>
      <c r="F18" s="29">
        <f>[1]February_2026!$J22</f>
        <v>118.80000000000001</v>
      </c>
      <c r="G18" s="30">
        <f>[1]February_2026!$G22</f>
        <v>1790</v>
      </c>
      <c r="H18" s="29">
        <f>[1]February_2026!$K22</f>
        <v>118.14</v>
      </c>
      <c r="I18" s="31">
        <f>[1]February_2026!$N22</f>
        <v>5</v>
      </c>
      <c r="J18" s="32">
        <f>[1]February_2026!$Q22</f>
        <v>75.104895104895107</v>
      </c>
      <c r="K18" s="32">
        <f>[1]February_2026!$F22</f>
        <v>272</v>
      </c>
      <c r="L18" s="1016"/>
      <c r="M18" s="28">
        <f>[2]Feb!$G22</f>
        <v>0</v>
      </c>
      <c r="N18" s="32">
        <f>[1]February_2026!$M22</f>
        <v>190</v>
      </c>
      <c r="O18" s="406">
        <f>[2]Feb!$I22</f>
        <v>19</v>
      </c>
      <c r="P18" s="32">
        <f>[1]February_2026!$I22</f>
        <v>0</v>
      </c>
      <c r="Q18" s="33">
        <f>[1]February_2026!$P22</f>
        <v>0.55555555555556457</v>
      </c>
      <c r="R18" s="996"/>
      <c r="S18" s="586">
        <f>($G18)*24/(($K18)/60)/$AC$3</f>
        <v>0.557439446366782</v>
      </c>
      <c r="T18" s="996"/>
      <c r="U18" s="903">
        <f>[1]February_2026!$S22</f>
        <v>2.2426998563906172E-2</v>
      </c>
      <c r="V18" s="1147" t="s">
        <v>1023</v>
      </c>
      <c r="W18" s="1002"/>
      <c r="X18" s="1002"/>
      <c r="Y18" s="1002"/>
      <c r="Z18" s="1002"/>
      <c r="AA18" s="1002"/>
      <c r="AB18" s="1003"/>
    </row>
    <row r="19" spans="2:28" s="19" customFormat="1" ht="75.75" customHeight="1" thickBot="1" x14ac:dyDescent="0.25">
      <c r="B19" s="580">
        <f>[1]February_2026!$B23</f>
        <v>46063</v>
      </c>
      <c r="C19" s="26" t="str">
        <f>[1]February_2026!$D23</f>
        <v>CARIB AMBER</v>
      </c>
      <c r="D19" s="27">
        <v>3000</v>
      </c>
      <c r="E19" s="28">
        <f>[2]Feb!$E23</f>
        <v>1.7625</v>
      </c>
      <c r="F19" s="29">
        <f>[1]February_2026!$J23</f>
        <v>127.19999999999999</v>
      </c>
      <c r="G19" s="30">
        <f>[1]February_2026!$G23</f>
        <v>1854</v>
      </c>
      <c r="H19" s="29">
        <f>[1]February_2026!$K23</f>
        <v>122.364</v>
      </c>
      <c r="I19" s="31">
        <f>[1]February_2026!$N23</f>
        <v>3</v>
      </c>
      <c r="J19" s="32">
        <f>[1]February_2026!$Q23</f>
        <v>77.790209790209801</v>
      </c>
      <c r="K19" s="32">
        <f>[1]February_2026!$F23</f>
        <v>332</v>
      </c>
      <c r="L19" s="999"/>
      <c r="M19" s="28">
        <f>[2]Feb!$G23</f>
        <v>2.03125</v>
      </c>
      <c r="N19" s="32">
        <f>[1]February_2026!$M23</f>
        <v>117</v>
      </c>
      <c r="O19" s="406">
        <f>[2]Feb!$I23</f>
        <v>77</v>
      </c>
      <c r="P19" s="32">
        <f>[1]February_2026!$I23</f>
        <v>0</v>
      </c>
      <c r="Q19" s="33">
        <f>[1]February_2026!$P23</f>
        <v>3.8018867924528181</v>
      </c>
      <c r="R19" s="1020"/>
      <c r="S19" s="586">
        <f t="shared" si="0"/>
        <v>0.47302622253720766</v>
      </c>
      <c r="T19" s="1020"/>
      <c r="U19" s="903">
        <f>[1]February_2026!$S23</f>
        <v>2.8641921397379907E-2</v>
      </c>
      <c r="V19" s="1147" t="s">
        <v>1025</v>
      </c>
      <c r="W19" s="1002"/>
      <c r="X19" s="1002"/>
      <c r="Y19" s="1002"/>
      <c r="Z19" s="1002"/>
      <c r="AA19" s="1002"/>
      <c r="AB19" s="1003"/>
    </row>
    <row r="20" spans="2:28" s="19" customFormat="1" ht="88.5" customHeight="1" thickBot="1" x14ac:dyDescent="0.25">
      <c r="B20" s="580">
        <f>[1]February_2026!$B24</f>
        <v>46064</v>
      </c>
      <c r="C20" s="26" t="str">
        <f>[1]February_2026!$D24</f>
        <v>CARIB AMBER</v>
      </c>
      <c r="D20" s="27">
        <v>3326</v>
      </c>
      <c r="E20" s="28">
        <f>[2]Feb!$E24</f>
        <v>1.0034722222222223</v>
      </c>
      <c r="F20" s="29">
        <f>[1]February_2026!$J24</f>
        <v>248.6</v>
      </c>
      <c r="G20" s="30">
        <f>[1]February_2026!$G24</f>
        <v>3521</v>
      </c>
      <c r="H20" s="29">
        <f>[1]February_2026!$K24</f>
        <v>240.36600000000001</v>
      </c>
      <c r="I20" s="31">
        <f>[1]February_2026!$N24</f>
        <v>4</v>
      </c>
      <c r="J20" s="32">
        <f>[1]February_2026!$Q24</f>
        <v>147.21951219512195</v>
      </c>
      <c r="K20" s="32">
        <f>[1]February_2026!$F24</f>
        <v>557</v>
      </c>
      <c r="L20" s="1148">
        <f>[1]February_2026!$E24</f>
        <v>1435</v>
      </c>
      <c r="M20" s="28">
        <f>[2]Feb!$G24</f>
        <v>0</v>
      </c>
      <c r="N20" s="32">
        <f>[1]February_2026!$M24</f>
        <v>119</v>
      </c>
      <c r="O20" s="406">
        <f>[2]Feb!$I24</f>
        <v>0</v>
      </c>
      <c r="P20" s="32">
        <f>[1]February_2026!$I24</f>
        <v>0</v>
      </c>
      <c r="Q20" s="33">
        <f>[1]February_2026!$P24</f>
        <v>3.3121480289621807</v>
      </c>
      <c r="R20" s="995">
        <f>($G20+G21+G22)/(($L20/60)*AC$3*(1/24))</f>
        <v>0.76807870465259276</v>
      </c>
      <c r="S20" s="586">
        <f t="shared" si="0"/>
        <v>0.53545675361706624</v>
      </c>
      <c r="T20" s="995">
        <f>(1290-((N20+N21)-[2]Feb!$Z$16-[2]Feb!$I$17))/1290</f>
        <v>0.6472868217054264</v>
      </c>
      <c r="U20" s="903">
        <f>[1]February_2026!$S24</f>
        <v>1.5627084723148763E-2</v>
      </c>
      <c r="V20" s="1147" t="s">
        <v>1027</v>
      </c>
      <c r="W20" s="1002"/>
      <c r="X20" s="1002"/>
      <c r="Y20" s="1002"/>
      <c r="Z20" s="1002"/>
      <c r="AA20" s="1002"/>
      <c r="AB20" s="1003"/>
    </row>
    <row r="21" spans="2:28" s="19" customFormat="1" ht="161.25" customHeight="1" thickBot="1" x14ac:dyDescent="0.25">
      <c r="B21" s="580">
        <f>[1]February_2026!$B25</f>
        <v>46064</v>
      </c>
      <c r="C21" s="26" t="str">
        <f>[1]February_2026!$D25</f>
        <v>STAG</v>
      </c>
      <c r="D21" s="27">
        <v>5600</v>
      </c>
      <c r="E21" s="28">
        <f>[2]Feb!$E25</f>
        <v>1.4652777777777777</v>
      </c>
      <c r="F21" s="29">
        <f>[1]February_2026!$J25</f>
        <v>235.9</v>
      </c>
      <c r="G21" s="30">
        <f>[1]February_2026!$G25</f>
        <v>3377</v>
      </c>
      <c r="H21" s="29">
        <f>[1]February_2026!$K25</f>
        <v>229.15200000000002</v>
      </c>
      <c r="I21" s="31">
        <f>[1]February_2026!$N25</f>
        <v>0</v>
      </c>
      <c r="J21" s="32">
        <f>[1]February_2026!$Q25</f>
        <v>141.19860627177701</v>
      </c>
      <c r="K21" s="32">
        <f>[1]February_2026!$F25</f>
        <v>659</v>
      </c>
      <c r="L21" s="999"/>
      <c r="M21" s="28">
        <f>[2]Feb!$G25</f>
        <v>2.0215277777777776</v>
      </c>
      <c r="N21" s="32">
        <f>[1]February_2026!$M25</f>
        <v>401</v>
      </c>
      <c r="O21" s="406">
        <f>[2]Feb!$I25</f>
        <v>48</v>
      </c>
      <c r="P21" s="32">
        <f>[1]February_2026!$I25</f>
        <v>25</v>
      </c>
      <c r="Q21" s="33">
        <f>[1]February_2026!$P25</f>
        <v>2.8605341246290763</v>
      </c>
      <c r="R21" s="1020"/>
      <c r="S21" s="586">
        <f t="shared" si="0"/>
        <v>0.43406944568419176</v>
      </c>
      <c r="T21" s="1020"/>
      <c r="U21" s="903">
        <f>[1]February_2026!$S25</f>
        <v>3.4268547544409611E-2</v>
      </c>
      <c r="V21" s="1147" t="s">
        <v>1026</v>
      </c>
      <c r="W21" s="1002"/>
      <c r="X21" s="1002"/>
      <c r="Y21" s="1002"/>
      <c r="Z21" s="1002"/>
      <c r="AA21" s="1002"/>
      <c r="AB21" s="1003"/>
    </row>
    <row r="22" spans="2:28" s="19" customFormat="1" ht="201.75" customHeight="1" thickBot="1" x14ac:dyDescent="0.25">
      <c r="B22" s="580">
        <f>[1]February_2026!$B26</f>
        <v>46065</v>
      </c>
      <c r="C22" s="26" t="str">
        <f>[1]February_2026!$D26</f>
        <v>STAG</v>
      </c>
      <c r="D22" s="27">
        <v>7823</v>
      </c>
      <c r="E22" s="28">
        <f>[2]Feb!$E26</f>
        <v>1.0069444444444444</v>
      </c>
      <c r="F22" s="29">
        <f>[1]February_2026!$J26</f>
        <v>408.09999999999997</v>
      </c>
      <c r="G22" s="30">
        <f>[1]February_2026!$G26</f>
        <v>6114</v>
      </c>
      <c r="H22" s="29">
        <f>[1]February_2026!$K26</f>
        <v>403.524</v>
      </c>
      <c r="I22" s="31">
        <f>[1]February_2026!$N26</f>
        <v>32</v>
      </c>
      <c r="J22" s="32">
        <f>[1]February_2026!$Q26</f>
        <v>256.53146853146853</v>
      </c>
      <c r="K22" s="32">
        <f>[1]February_2026!$F26</f>
        <v>1320</v>
      </c>
      <c r="L22" s="799">
        <f>[1]February_2026!$E26</f>
        <v>1430</v>
      </c>
      <c r="M22" s="28">
        <f>[2]Feb!$G26</f>
        <v>2.0305555555555554</v>
      </c>
      <c r="N22" s="32">
        <f>[1]February_2026!$M26</f>
        <v>580</v>
      </c>
      <c r="O22" s="406">
        <f>[2]Feb!$I26</f>
        <v>0</v>
      </c>
      <c r="P22" s="32">
        <f>[1]February_2026!$I26</f>
        <v>0</v>
      </c>
      <c r="Q22" s="33">
        <f>[1]February_2026!$P26</f>
        <v>1.1212938005390751</v>
      </c>
      <c r="R22" s="653">
        <f>($G22+G23+G24)/(($L22/60)*AC$3*(1/24))</f>
        <v>0.53133689839572207</v>
      </c>
      <c r="S22" s="586">
        <f t="shared" si="0"/>
        <v>0.39234224598930484</v>
      </c>
      <c r="T22" s="653">
        <f>(1290-((N22+N23)-[2]Feb!$Z$16-[2]Feb!$I$17))/1290</f>
        <v>0.56279069767441858</v>
      </c>
      <c r="U22" s="903">
        <f>[1]February_2026!$S26</f>
        <v>6.8275709011965988E-2</v>
      </c>
      <c r="V22" s="1147" t="s">
        <v>1028</v>
      </c>
      <c r="W22" s="1002"/>
      <c r="X22" s="1002"/>
      <c r="Y22" s="1002"/>
      <c r="Z22" s="1002"/>
      <c r="AA22" s="1002"/>
      <c r="AB22" s="1003"/>
    </row>
    <row r="23" spans="2:28" s="19" customFormat="1" ht="46.5" customHeight="1" thickBot="1" x14ac:dyDescent="0.25">
      <c r="B23" s="580">
        <f>[1]February_2026!$B27</f>
        <v>46066</v>
      </c>
      <c r="C23" s="26" t="str">
        <f>[1]February_2026!$D27</f>
        <v>STAG</v>
      </c>
      <c r="D23" s="27"/>
      <c r="E23" s="28">
        <f>[2]Feb!$E27</f>
        <v>1.0069444444444444</v>
      </c>
      <c r="F23" s="29">
        <f>[1]February_2026!$J27</f>
        <v>92.7</v>
      </c>
      <c r="G23" s="30">
        <f>[1]February_2026!$G27</f>
        <v>1392</v>
      </c>
      <c r="H23" s="29">
        <f>[1]February_2026!$K27</f>
        <v>91.872</v>
      </c>
      <c r="I23" s="31">
        <f>[1]February_2026!$N27</f>
        <v>2</v>
      </c>
      <c r="J23" s="32">
        <f>[1]February_2026!$Q27</f>
        <v>66.285714285714292</v>
      </c>
      <c r="K23" s="32">
        <f>[1]February_2026!$F27</f>
        <v>236</v>
      </c>
      <c r="L23" s="1148">
        <f>[1]February_2026!$E27</f>
        <v>1260</v>
      </c>
      <c r="M23" s="28">
        <f>[2]Feb!$G27</f>
        <v>0.22708333333333333</v>
      </c>
      <c r="N23" s="32">
        <f>[1]February_2026!$M27</f>
        <v>49</v>
      </c>
      <c r="O23" s="406">
        <f>[2]Feb!$I27</f>
        <v>0</v>
      </c>
      <c r="P23" s="32">
        <f>[1]February_2026!$I27</f>
        <v>0</v>
      </c>
      <c r="Q23" s="33">
        <f>[1]February_2026!$P27</f>
        <v>0.89320388349514879</v>
      </c>
      <c r="R23" s="995">
        <f>($G23+G24)/(($L23/60)*AC$3*(1/24))</f>
        <v>0.192</v>
      </c>
      <c r="S23" s="586">
        <f t="shared" si="0"/>
        <v>0.49962113659022939</v>
      </c>
      <c r="T23" s="995">
        <f>(1244-((N23+N24)-[2]Feb!$Z$28-[2]Feb!$I$28))/1244</f>
        <v>0.91318327974276525</v>
      </c>
      <c r="U23" s="903">
        <f>[1]February_2026!$S27</f>
        <v>2.4451983298538617E-2</v>
      </c>
      <c r="V23" s="1147" t="s">
        <v>1029</v>
      </c>
      <c r="W23" s="1002"/>
      <c r="X23" s="1002"/>
      <c r="Y23" s="1002"/>
      <c r="Z23" s="1002"/>
      <c r="AA23" s="1002"/>
      <c r="AB23" s="1003"/>
    </row>
    <row r="24" spans="2:28" s="19" customFormat="1" ht="55.5" customHeight="1" thickBot="1" x14ac:dyDescent="0.25">
      <c r="B24" s="580">
        <f>[1]February_2026!$B28</f>
        <v>46066</v>
      </c>
      <c r="C24" s="26" t="str">
        <f>[1]February_2026!$D28</f>
        <v>SHANDY SORREL</v>
      </c>
      <c r="D24" s="27">
        <v>2800</v>
      </c>
      <c r="E24" s="28">
        <f>[2]Feb!$E28</f>
        <v>1.6770833333333333</v>
      </c>
      <c r="F24" s="29">
        <f>[1]February_2026!$J28</f>
        <v>98.300000000000011</v>
      </c>
      <c r="G24" s="30">
        <f>[1]February_2026!$G28</f>
        <v>1464</v>
      </c>
      <c r="H24" s="29">
        <f>[1]February_2026!$K28</f>
        <v>96.624000000000009</v>
      </c>
      <c r="I24" s="31">
        <f>[1]February_2026!$N28</f>
        <v>6</v>
      </c>
      <c r="J24" s="32">
        <f>[1]February_2026!$Q28</f>
        <v>69.714285714285708</v>
      </c>
      <c r="K24" s="32">
        <f>[1]February_2026!$F28</f>
        <v>229</v>
      </c>
      <c r="L24" s="999"/>
      <c r="M24" s="28">
        <f>[2]Feb!$G28</f>
        <v>1.8638888888888889</v>
      </c>
      <c r="N24" s="32">
        <f>[1]February_2026!$M28</f>
        <v>794</v>
      </c>
      <c r="O24" s="406">
        <f>[2]Feb!$I28</f>
        <v>60</v>
      </c>
      <c r="P24" s="32">
        <f>[1]February_2026!$I28</f>
        <v>0</v>
      </c>
      <c r="Q24" s="33">
        <f>[1]February_2026!$P28</f>
        <v>1.7049847405900325</v>
      </c>
      <c r="R24" s="1020"/>
      <c r="S24" s="586">
        <f t="shared" si="0"/>
        <v>0.54152581556640123</v>
      </c>
      <c r="T24" s="1020"/>
      <c r="U24" s="906"/>
      <c r="V24" s="1147" t="s">
        <v>1030</v>
      </c>
      <c r="W24" s="1002"/>
      <c r="X24" s="1002"/>
      <c r="Y24" s="1002"/>
      <c r="Z24" s="1002"/>
      <c r="AA24" s="1002"/>
      <c r="AB24" s="1003"/>
    </row>
    <row r="25" spans="2:28" s="19" customFormat="1" ht="161.25" customHeight="1" thickBot="1" x14ac:dyDescent="0.25">
      <c r="B25" s="580">
        <f>[1]February_2026!$B29</f>
        <v>46069</v>
      </c>
      <c r="C25" s="26" t="str">
        <f>[1]February_2026!$D29</f>
        <v>CARIB AMBER</v>
      </c>
      <c r="D25" s="27">
        <v>5180</v>
      </c>
      <c r="E25" s="28">
        <f>[2]Feb!$E29</f>
        <v>1.4895833333333333</v>
      </c>
      <c r="F25" s="29">
        <f>[1]February_2026!$J29</f>
        <v>313</v>
      </c>
      <c r="G25" s="30">
        <f>[1]February_2026!$G29</f>
        <v>4596</v>
      </c>
      <c r="H25" s="29">
        <f>[1]February_2026!$K29</f>
        <v>308.08600000000001</v>
      </c>
      <c r="I25" s="31">
        <f>[1]February_2026!$N29</f>
        <v>10</v>
      </c>
      <c r="J25" s="32">
        <f>[1]February_2026!$Q29</f>
        <v>199.82608695652175</v>
      </c>
      <c r="K25" s="32">
        <f>[1]February_2026!$F29</f>
        <v>711</v>
      </c>
      <c r="L25" s="654">
        <f>[1]February_2026!$E29</f>
        <v>1380</v>
      </c>
      <c r="M25" s="28">
        <f>[2]Feb!$G29</f>
        <v>2.0347222222222223</v>
      </c>
      <c r="N25" s="32">
        <f>[1]February_2026!$M29</f>
        <v>736</v>
      </c>
      <c r="O25" s="406">
        <f>[2]Feb!$I29</f>
        <v>0</v>
      </c>
      <c r="P25" s="32">
        <f>[1]February_2026!$I29</f>
        <v>0</v>
      </c>
      <c r="Q25" s="33">
        <f>[1]February_2026!$P29</f>
        <v>1.569968051118207</v>
      </c>
      <c r="R25" s="653">
        <f>($G25)/(($L25/60)*AC$3*(1/24))</f>
        <v>0.2821074168797954</v>
      </c>
      <c r="S25" s="586">
        <f t="shared" si="0"/>
        <v>0.54755026061057344</v>
      </c>
      <c r="T25" s="653">
        <f>(1490-((N25)-[2]Feb!$Z$29-[2]Feb!$I$29-[2]Feb!$J$29))/1490</f>
        <v>0.67449664429530198</v>
      </c>
      <c r="U25" s="903">
        <f>[1]February_2026!$S29</f>
        <v>3.6233572945482989E-2</v>
      </c>
      <c r="V25" s="1147" t="s">
        <v>1031</v>
      </c>
      <c r="W25" s="1002"/>
      <c r="X25" s="1002"/>
      <c r="Y25" s="1002"/>
      <c r="Z25" s="1002"/>
      <c r="AA25" s="1002"/>
      <c r="AB25" s="1003"/>
    </row>
    <row r="26" spans="2:28" s="19" customFormat="1" ht="140.25" customHeight="1" thickBot="1" x14ac:dyDescent="0.25">
      <c r="B26" s="580">
        <f>[1]February_2026!$B30</f>
        <v>46070</v>
      </c>
      <c r="C26" s="26" t="str">
        <f>[1]February_2026!$D30</f>
        <v>CARIB AMBER</v>
      </c>
      <c r="D26" s="27">
        <v>6184</v>
      </c>
      <c r="E26" s="28">
        <f>[2]Feb!$E30</f>
        <v>1.0118055555555556</v>
      </c>
      <c r="F26" s="29">
        <f>[1]February_2026!$J30</f>
        <v>196.6</v>
      </c>
      <c r="G26" s="30">
        <f>[1]February_2026!$G30</f>
        <v>2895</v>
      </c>
      <c r="H26" s="29">
        <f>[1]February_2026!$K30</f>
        <v>191.07000000000002</v>
      </c>
      <c r="I26" s="31">
        <f>[1]February_2026!$N30</f>
        <v>13</v>
      </c>
      <c r="J26" s="32">
        <f>[1]February_2026!$Q30</f>
        <v>120.625</v>
      </c>
      <c r="K26" s="32">
        <f>[1]February_2026!$F30</f>
        <v>528</v>
      </c>
      <c r="L26" s="464">
        <f>[1]February_2026!$E30</f>
        <v>1440</v>
      </c>
      <c r="M26" s="28">
        <f>[2]Feb!$G30</f>
        <v>2</v>
      </c>
      <c r="N26" s="32">
        <f>[1]February_2026!$M30</f>
        <v>1019</v>
      </c>
      <c r="O26" s="406">
        <f>[2]Feb!$I30</f>
        <v>17</v>
      </c>
      <c r="P26" s="32">
        <f>[1]February_2026!$I30</f>
        <v>0</v>
      </c>
      <c r="Q26" s="33">
        <f>[1]February_2026!$P30</f>
        <v>2.8128179043743504</v>
      </c>
      <c r="R26" s="653">
        <f>($G26)/(($L26/60)*AC$3*(1/24))</f>
        <v>0.17029411764705882</v>
      </c>
      <c r="S26" s="586">
        <f t="shared" si="0"/>
        <v>0.46443850267379677</v>
      </c>
      <c r="T26" s="653">
        <f>(1440-((N26)-[2]Feb!$I$30-[2]Feb!$J$30))/1440</f>
        <v>0.32569444444444445</v>
      </c>
      <c r="U26" s="903">
        <f>[1]February_2026!$S30</f>
        <v>3.7881578147828179E-2</v>
      </c>
      <c r="V26" s="1147" t="s">
        <v>1032</v>
      </c>
      <c r="W26" s="1002"/>
      <c r="X26" s="1002"/>
      <c r="Y26" s="1002"/>
      <c r="Z26" s="1002"/>
      <c r="AA26" s="1002"/>
      <c r="AB26" s="1003"/>
    </row>
    <row r="27" spans="2:28" s="888" customFormat="1" ht="77.45" customHeight="1" thickBot="1" x14ac:dyDescent="0.25">
      <c r="B27" s="877">
        <f>[1]February_2026!$B31</f>
        <v>46071</v>
      </c>
      <c r="C27" s="878" t="str">
        <f>[1]February_2026!$D31</f>
        <v>WASHER BREAKDOWN</v>
      </c>
      <c r="D27" s="879"/>
      <c r="E27" s="880"/>
      <c r="F27" s="881"/>
      <c r="G27" s="882"/>
      <c r="H27" s="881"/>
      <c r="I27" s="883"/>
      <c r="J27" s="884"/>
      <c r="K27" s="884"/>
      <c r="L27" s="884"/>
      <c r="M27" s="907"/>
      <c r="N27" s="884">
        <f>[1]February_2026!$M31</f>
        <v>1440</v>
      </c>
      <c r="O27" s="886"/>
      <c r="P27" s="884"/>
      <c r="Q27" s="908"/>
      <c r="R27" s="909"/>
      <c r="S27" s="910"/>
      <c r="T27" s="911"/>
      <c r="U27" s="912"/>
      <c r="V27" s="1149" t="s">
        <v>1033</v>
      </c>
      <c r="W27" s="1137"/>
      <c r="X27" s="1137"/>
      <c r="Y27" s="1137"/>
      <c r="Z27" s="1137"/>
      <c r="AA27" s="1137"/>
      <c r="AB27" s="1138"/>
    </row>
    <row r="28" spans="2:28" s="19" customFormat="1" ht="111" customHeight="1" thickBot="1" x14ac:dyDescent="0.25">
      <c r="B28" s="580">
        <f>[1]February_2026!$B32</f>
        <v>46072</v>
      </c>
      <c r="C28" s="26" t="str">
        <f>[1]February_2026!$D32</f>
        <v>CARIB AMBER</v>
      </c>
      <c r="D28" s="27">
        <v>3200</v>
      </c>
      <c r="E28" s="28">
        <f>[2]Feb!$E32</f>
        <v>1.0833333333333333</v>
      </c>
      <c r="F28" s="29">
        <f>[1]February_2026!$J32</f>
        <v>211.7</v>
      </c>
      <c r="G28" s="30">
        <f>[1]February_2026!$G32</f>
        <v>3122</v>
      </c>
      <c r="H28" s="29">
        <f>[1]February_2026!$K32</f>
        <v>209.47200000000001</v>
      </c>
      <c r="I28" s="31">
        <f>[1]February_2026!$N32</f>
        <v>3</v>
      </c>
      <c r="J28" s="32">
        <f>[1]February_2026!$Q32</f>
        <v>130.08333333333334</v>
      </c>
      <c r="K28" s="32">
        <f>[1]February_2026!$F32</f>
        <v>749</v>
      </c>
      <c r="L28" s="1148">
        <f>[1]February_2026!$E32</f>
        <v>1440</v>
      </c>
      <c r="M28" s="28">
        <f>[2]Feb!$G32</f>
        <v>0.65208333333333335</v>
      </c>
      <c r="N28" s="32">
        <f>[1]February_2026!$M32</f>
        <v>461</v>
      </c>
      <c r="O28" s="406">
        <f>[2]Feb!$I32</f>
        <v>0</v>
      </c>
      <c r="P28" s="32">
        <f>[1]February_2026!$I32</f>
        <v>0</v>
      </c>
      <c r="Q28" s="33">
        <f>[1]February_2026!$P32</f>
        <v>1.0524326877656969</v>
      </c>
      <c r="R28" s="995">
        <f>($G28+G29+G30)/(($L28/60)*AC$3*(1/24))</f>
        <v>0.2752941176470588</v>
      </c>
      <c r="S28" s="586">
        <f t="shared" si="0"/>
        <v>0.35307311709730621</v>
      </c>
      <c r="T28" s="995">
        <f>(1485-((N28+N29+N30)-[2]Feb!$I$33-[2]Feb!$I$34-[2]Feb!$J$34-[2]Feb!$Z$33-[2]Feb!$AB$32))/1485</f>
        <v>0.59461279461279459</v>
      </c>
      <c r="U28" s="903">
        <f>[1]February_2026!$S32</f>
        <v>3.8471951071550686E-2</v>
      </c>
      <c r="V28" s="1147" t="s">
        <v>1036</v>
      </c>
      <c r="W28" s="1002"/>
      <c r="X28" s="1002"/>
      <c r="Y28" s="1002"/>
      <c r="Z28" s="1002"/>
      <c r="AA28" s="1002"/>
      <c r="AB28" s="1003"/>
    </row>
    <row r="29" spans="2:28" s="19" customFormat="1" ht="66" customHeight="1" thickBot="1" x14ac:dyDescent="0.25">
      <c r="B29" s="580">
        <f>[1]February_2026!$B33</f>
        <v>46072</v>
      </c>
      <c r="C29" s="26" t="str">
        <f>[1]February_2026!$D33</f>
        <v>SHANDY SORREL ( LOCAL )</v>
      </c>
      <c r="D29" s="27">
        <v>1150</v>
      </c>
      <c r="E29" s="28">
        <f>[2]Feb!$E33</f>
        <v>1.648611111111111</v>
      </c>
      <c r="F29" s="29">
        <f>[1]February_2026!$J33</f>
        <v>75.5</v>
      </c>
      <c r="G29" s="30">
        <f>[1]February_2026!$G33</f>
        <v>1121</v>
      </c>
      <c r="H29" s="29">
        <f>[1]February_2026!$K33</f>
        <v>73.986000000000004</v>
      </c>
      <c r="I29" s="31">
        <f>[1]February_2026!$N33</f>
        <v>4</v>
      </c>
      <c r="J29" s="32">
        <f>[1]February_2026!$Q33</f>
        <v>46.708333333333336</v>
      </c>
      <c r="K29" s="32">
        <f>[1]February_2026!$F33</f>
        <v>243</v>
      </c>
      <c r="L29" s="1016"/>
      <c r="M29" s="28">
        <f>[2]Feb!$G33</f>
        <v>0</v>
      </c>
      <c r="N29" s="32">
        <f>[1]February_2026!$M33</f>
        <v>116</v>
      </c>
      <c r="O29" s="406">
        <f>[2]Feb!$I33</f>
        <v>34</v>
      </c>
      <c r="P29" s="32">
        <f>[1]February_2026!$I33</f>
        <v>0</v>
      </c>
      <c r="Q29" s="33">
        <f>[1]February_2026!$P33</f>
        <v>2.0052980132450275</v>
      </c>
      <c r="R29" s="996"/>
      <c r="S29" s="586">
        <f t="shared" si="0"/>
        <v>0.3907625272331155</v>
      </c>
      <c r="T29" s="996"/>
      <c r="U29" s="903">
        <f>[1]February_2026!$S33</f>
        <v>8.9579349904397709E-3</v>
      </c>
      <c r="V29" s="1147" t="s">
        <v>1035</v>
      </c>
      <c r="W29" s="1002"/>
      <c r="X29" s="1002"/>
      <c r="Y29" s="1002"/>
      <c r="Z29" s="1002"/>
      <c r="AA29" s="1002"/>
      <c r="AB29" s="1003"/>
    </row>
    <row r="30" spans="2:28" s="19" customFormat="1" ht="48" customHeight="1" thickBot="1" x14ac:dyDescent="0.25">
      <c r="B30" s="580">
        <f>[1]February_2026!$B34</f>
        <v>46072</v>
      </c>
      <c r="C30" s="26" t="str">
        <f>[1]February_2026!$D34</f>
        <v>TING ORIGINAL</v>
      </c>
      <c r="D30" s="27">
        <v>1800</v>
      </c>
      <c r="E30" s="28">
        <f>[2]Feb!$E34</f>
        <v>1.8819444444444444</v>
      </c>
      <c r="F30" s="29">
        <f>[1]February_2026!$J34</f>
        <v>29.700000000000003</v>
      </c>
      <c r="G30" s="30">
        <f>[1]February_2026!$G34</f>
        <v>437</v>
      </c>
      <c r="H30" s="29">
        <f>[1]February_2026!$K34</f>
        <v>28.842000000000002</v>
      </c>
      <c r="I30" s="31">
        <f>[1]February_2026!$N34</f>
        <v>3</v>
      </c>
      <c r="J30" s="32">
        <f>[1]February_2026!$Q34</f>
        <v>18.208333333333332</v>
      </c>
      <c r="K30" s="32">
        <f>[1]February_2026!$F34</f>
        <v>154</v>
      </c>
      <c r="L30" s="999"/>
      <c r="M30" s="28">
        <f>[2]Feb!$G34</f>
        <v>2.03125</v>
      </c>
      <c r="N30" s="32">
        <f>[1]February_2026!$M34</f>
        <v>180</v>
      </c>
      <c r="O30" s="406">
        <f>[2]Feb!$I34</f>
        <v>69</v>
      </c>
      <c r="P30" s="32">
        <f>[1]February_2026!$I34</f>
        <v>0</v>
      </c>
      <c r="Q30" s="33">
        <f>[1]February_2026!$P34</f>
        <v>2.8888888888888906</v>
      </c>
      <c r="R30" s="1020"/>
      <c r="S30" s="586">
        <f t="shared" si="0"/>
        <v>0.240366692131398</v>
      </c>
      <c r="T30" s="1020"/>
      <c r="U30" s="903">
        <f>[1]February_2026!$S34</f>
        <v>8.9579349904397709E-3</v>
      </c>
      <c r="V30" s="1147" t="s">
        <v>1034</v>
      </c>
      <c r="W30" s="1002"/>
      <c r="X30" s="1002"/>
      <c r="Y30" s="1002"/>
      <c r="Z30" s="1002"/>
      <c r="AA30" s="1002"/>
      <c r="AB30" s="1003"/>
    </row>
    <row r="31" spans="2:28" s="19" customFormat="1" ht="81.75" customHeight="1" thickBot="1" x14ac:dyDescent="0.25">
      <c r="B31" s="580">
        <f>[1]February_2026!$B35</f>
        <v>46073</v>
      </c>
      <c r="C31" s="26" t="str">
        <f>[1]February_2026!$D35</f>
        <v>TING ORIGINAL</v>
      </c>
      <c r="D31" s="27">
        <v>1363</v>
      </c>
      <c r="E31" s="28">
        <f>[2]Feb!$E35</f>
        <v>1.0062500000000001</v>
      </c>
      <c r="F31" s="29">
        <f>[1]February_2026!$J35</f>
        <v>89.100000000000009</v>
      </c>
      <c r="G31" s="30">
        <f>[1]February_2026!$G35</f>
        <v>1334</v>
      </c>
      <c r="H31" s="29">
        <f>[1]February_2026!$K35</f>
        <v>88.044000000000011</v>
      </c>
      <c r="I31" s="31">
        <f>[1]February_2026!$N35</f>
        <v>1</v>
      </c>
      <c r="J31" s="32">
        <f>[1]February_2026!$Q35</f>
        <v>63.523809523809526</v>
      </c>
      <c r="K31" s="32">
        <f>[1]February_2026!$F35</f>
        <v>439</v>
      </c>
      <c r="L31" s="1148">
        <f>[1]February_2026!$E35</f>
        <v>1260</v>
      </c>
      <c r="M31" s="28">
        <f>[2]Feb!$G35</f>
        <v>0.42152777777777778</v>
      </c>
      <c r="N31" s="32">
        <f>[1]February_2026!$M35</f>
        <v>178</v>
      </c>
      <c r="O31" s="406">
        <f>[2]Feb!$I35</f>
        <v>0</v>
      </c>
      <c r="P31" s="32">
        <f>[1]February_2026!$I35</f>
        <v>0</v>
      </c>
      <c r="Q31" s="33">
        <f>[1]February_2026!$P35</f>
        <v>1.1851851851851822</v>
      </c>
      <c r="R31" s="995">
        <f>($G31+G32)/(($L31/60)*AC$3*(1/24))</f>
        <v>0.25465546218487395</v>
      </c>
      <c r="S31" s="586">
        <f t="shared" si="0"/>
        <v>0.25739782929116978</v>
      </c>
      <c r="T31" s="995">
        <f>(1255-((N31+N32)-[2]Feb!$AB$36-[2]Feb!$AA$36-[2]Feb!$Z$35-[2]Feb!$M$36-[2]Feb!$M$35-[2]Feb!$I$36))/1255</f>
        <v>0.67091633466135459</v>
      </c>
      <c r="U31" s="903">
        <f>[1]February_2026!$S35</f>
        <v>1.7384044526901669E-2</v>
      </c>
      <c r="V31" s="1147" t="s">
        <v>1037</v>
      </c>
      <c r="W31" s="1002"/>
      <c r="X31" s="1002"/>
      <c r="Y31" s="1002"/>
      <c r="Z31" s="1002"/>
      <c r="AA31" s="1002"/>
      <c r="AB31" s="1003"/>
    </row>
    <row r="32" spans="2:28" s="19" customFormat="1" ht="135.75" customHeight="1" thickBot="1" x14ac:dyDescent="0.25">
      <c r="B32" s="580">
        <f>[1]February_2026!$B36</f>
        <v>46073</v>
      </c>
      <c r="C32" s="26" t="str">
        <f>[1]February_2026!$D36</f>
        <v>CARIB AMBER</v>
      </c>
      <c r="D32" s="27">
        <v>4200</v>
      </c>
      <c r="E32" s="28">
        <f>[2]Feb!$E36</f>
        <v>1.4090277777777778</v>
      </c>
      <c r="F32" s="29">
        <f>[1]February_2026!$J36</f>
        <v>168</v>
      </c>
      <c r="G32" s="30">
        <f>[1]February_2026!$G36</f>
        <v>2454</v>
      </c>
      <c r="H32" s="29">
        <f>[1]February_2026!$K36</f>
        <v>161.964</v>
      </c>
      <c r="I32" s="31">
        <f>[1]February_2026!$N36</f>
        <v>5</v>
      </c>
      <c r="J32" s="32">
        <f>[1]February_2026!$Q36</f>
        <v>116.85714285714286</v>
      </c>
      <c r="K32" s="32">
        <f>[1]February_2026!$F36</f>
        <v>557</v>
      </c>
      <c r="L32" s="1016"/>
      <c r="M32" s="28">
        <f>[2]Feb!$G36</f>
        <v>1.8715277777777777</v>
      </c>
      <c r="N32" s="32">
        <f>[1]February_2026!$M36</f>
        <v>394</v>
      </c>
      <c r="O32" s="406">
        <f>[2]Feb!$I36</f>
        <v>79</v>
      </c>
      <c r="P32" s="32">
        <f>[1]February_2026!$I36</f>
        <v>0</v>
      </c>
      <c r="Q32" s="33">
        <f>[1]February_2026!$P36</f>
        <v>3.5928571428571434</v>
      </c>
      <c r="R32" s="996"/>
      <c r="S32" s="586">
        <f t="shared" si="0"/>
        <v>0.37319252296969058</v>
      </c>
      <c r="T32" s="1020"/>
      <c r="U32" s="903">
        <f>[1]February_2026!$S36</f>
        <v>1.6099656357388317E-2</v>
      </c>
      <c r="V32" s="1147" t="s">
        <v>1038</v>
      </c>
      <c r="W32" s="1002"/>
      <c r="X32" s="1002"/>
      <c r="Y32" s="1002"/>
      <c r="Z32" s="1002"/>
      <c r="AA32" s="1002"/>
      <c r="AB32" s="1003"/>
    </row>
    <row r="33" spans="2:28" s="19" customFormat="1" ht="202.5" customHeight="1" thickBot="1" x14ac:dyDescent="0.25">
      <c r="B33" s="580">
        <f>[1]February_2026!$B37</f>
        <v>46076</v>
      </c>
      <c r="C33" s="26" t="str">
        <f>[1]February_2026!$D37</f>
        <v>CARIB AMBER</v>
      </c>
      <c r="D33" s="27">
        <v>3146</v>
      </c>
      <c r="E33" s="28">
        <f>[2]Feb!$E37</f>
        <v>1.4423611111111112</v>
      </c>
      <c r="F33" s="29">
        <f>[1]February_2026!$J37</f>
        <v>235.60000000000002</v>
      </c>
      <c r="G33" s="30">
        <f>[1]February_2026!$G37</f>
        <v>3491</v>
      </c>
      <c r="H33" s="29">
        <f>[1]February_2026!$K37</f>
        <v>230.40600000000001</v>
      </c>
      <c r="I33" s="31">
        <f>[1]February_2026!$N37</f>
        <v>4</v>
      </c>
      <c r="J33" s="32">
        <f>[1]February_2026!$Q37</f>
        <v>151.78260869565219</v>
      </c>
      <c r="K33" s="32">
        <f>[1]February_2026!$F37</f>
        <v>703</v>
      </c>
      <c r="L33" s="464">
        <f>[1]February_2026!$E37</f>
        <v>1380</v>
      </c>
      <c r="M33" s="28">
        <f>[2]Feb!$G37</f>
        <v>2.0298611111111109</v>
      </c>
      <c r="N33" s="32">
        <f>[1]February_2026!$M37</f>
        <v>876</v>
      </c>
      <c r="O33" s="406">
        <f>[2]Feb!$I37</f>
        <v>0</v>
      </c>
      <c r="P33" s="32">
        <f>[1]February_2026!$I37</f>
        <v>0</v>
      </c>
      <c r="Q33" s="33">
        <f>[1]February_2026!$P37</f>
        <v>2.2045840407470356</v>
      </c>
      <c r="R33" s="653">
        <f>($G33)/(($L33/60)*AC$3*(1/24))</f>
        <v>0.21428132992327367</v>
      </c>
      <c r="S33" s="586">
        <f t="shared" si="0"/>
        <v>0.42063760354782026</v>
      </c>
      <c r="T33" s="653">
        <f>(1483-((N33)-[2]Feb!$J$37-[2]Feb!$Z$37-[2]Feb!$AB$37))/1483</f>
        <v>0.47673634524612274</v>
      </c>
      <c r="U33" s="903">
        <f>[1]February_2026!$S37</f>
        <v>4.2270613317021387E-2</v>
      </c>
      <c r="V33" s="1147" t="s">
        <v>1039</v>
      </c>
      <c r="W33" s="1002"/>
      <c r="X33" s="1002"/>
      <c r="Y33" s="1002"/>
      <c r="Z33" s="1002"/>
      <c r="AA33" s="1002"/>
      <c r="AB33" s="1003"/>
    </row>
    <row r="34" spans="2:28" s="19" customFormat="1" ht="64.349999999999994" customHeight="1" thickBot="1" x14ac:dyDescent="0.25">
      <c r="B34" s="580">
        <f>[1]February_2026!$B38</f>
        <v>46077</v>
      </c>
      <c r="C34" s="26" t="str">
        <f>[1]February_2026!$D38</f>
        <v>CARIB AMBER</v>
      </c>
      <c r="D34" s="27">
        <v>2728</v>
      </c>
      <c r="E34" s="28">
        <f>[2]Feb!$E38</f>
        <v>1.0083333333333333</v>
      </c>
      <c r="F34" s="29">
        <f>[1]February_2026!$J38</f>
        <v>149.5</v>
      </c>
      <c r="G34" s="30">
        <f>[1]February_2026!$G38</f>
        <v>2250</v>
      </c>
      <c r="H34" s="29">
        <f>[1]February_2026!$K38</f>
        <v>148.5</v>
      </c>
      <c r="I34" s="31">
        <f>[1]February_2026!$N38</f>
        <v>11</v>
      </c>
      <c r="J34" s="32">
        <f>[1]February_2026!$Q38</f>
        <v>94.537815126050418</v>
      </c>
      <c r="K34" s="32">
        <f>[1]February_2026!$F38</f>
        <v>335</v>
      </c>
      <c r="L34" s="1148">
        <f>[1]February_2026!$E38</f>
        <v>1428</v>
      </c>
      <c r="M34" s="28">
        <f>[2]Feb!$G38</f>
        <v>1.3347222222222221</v>
      </c>
      <c r="N34" s="32">
        <f>[1]February_2026!$M38</f>
        <v>88</v>
      </c>
      <c r="O34" s="406">
        <f>[2]Feb!$I38</f>
        <v>0</v>
      </c>
      <c r="P34" s="32">
        <f>[1]February_2026!$I38</f>
        <v>0</v>
      </c>
      <c r="Q34" s="33">
        <f>[1]February_2026!$P38</f>
        <v>0.66889632107023411</v>
      </c>
      <c r="R34" s="995">
        <f>($G34+G35)/(($L34/60)*AC$3*(1/24))</f>
        <v>0.30501235788433023</v>
      </c>
      <c r="S34" s="586">
        <f t="shared" si="0"/>
        <v>0.56892010535557502</v>
      </c>
      <c r="T34" s="995">
        <f>(1430-((N34+N35)-[2]Feb!$AB$39-[2]Feb!$AB$38-[2]Feb!$Z$38-[2]Feb!$I$39-[2]Feb!$J$38))/1430</f>
        <v>0.59090909090909094</v>
      </c>
      <c r="U34" s="903">
        <f>[1]February_2026!$S38</f>
        <v>1.2021627565982403E-2</v>
      </c>
      <c r="V34" s="1147" t="s">
        <v>1040</v>
      </c>
      <c r="W34" s="1002"/>
      <c r="X34" s="1002"/>
      <c r="Y34" s="1002"/>
      <c r="Z34" s="1002"/>
      <c r="AA34" s="1002"/>
      <c r="AB34" s="1003"/>
    </row>
    <row r="35" spans="2:28" s="19" customFormat="1" ht="102" customHeight="1" thickBot="1" x14ac:dyDescent="0.25">
      <c r="B35" s="580">
        <f>[1]February_2026!$B39</f>
        <v>46077</v>
      </c>
      <c r="C35" s="26" t="str">
        <f>[1]February_2026!$D39</f>
        <v>GUINNESS</v>
      </c>
      <c r="D35" s="27">
        <v>2800</v>
      </c>
      <c r="E35" s="28">
        <f>[2]Feb!$E39</f>
        <v>1.2826388888888889</v>
      </c>
      <c r="F35" s="29">
        <f>[1]February_2026!$J39</f>
        <v>191.10000000000002</v>
      </c>
      <c r="G35" s="30">
        <f>[1]February_2026!$G39</f>
        <v>2892</v>
      </c>
      <c r="H35" s="29">
        <f>[1]February_2026!$K39</f>
        <v>190.87200000000001</v>
      </c>
      <c r="I35" s="31">
        <f>[1]February_2026!$N39</f>
        <v>4</v>
      </c>
      <c r="J35" s="32">
        <f>[1]February_2026!$Q39</f>
        <v>121.5126050420168</v>
      </c>
      <c r="K35" s="32">
        <f>[1]February_2026!$F39</f>
        <v>962</v>
      </c>
      <c r="L35" s="999"/>
      <c r="M35" s="28">
        <f>[2]Feb!$G39</f>
        <v>1.9930555555555556</v>
      </c>
      <c r="N35" s="32">
        <f>[1]February_2026!$M39</f>
        <v>550</v>
      </c>
      <c r="O35" s="406">
        <f>[2]Feb!$I39</f>
        <v>12</v>
      </c>
      <c r="P35" s="32">
        <f>[1]February_2026!$I39</f>
        <v>0</v>
      </c>
      <c r="Q35" s="33">
        <f>[1]February_2026!$P39</f>
        <v>0.11930926216640954</v>
      </c>
      <c r="R35" s="1020"/>
      <c r="S35" s="586">
        <f t="shared" si="0"/>
        <v>0.25464595817536989</v>
      </c>
      <c r="T35" s="1020"/>
      <c r="U35" s="903">
        <f>[1]February_2026!$S39</f>
        <v>1.6887229660144179E-2</v>
      </c>
      <c r="V35" s="1147" t="s">
        <v>1041</v>
      </c>
      <c r="W35" s="1002"/>
      <c r="X35" s="1002"/>
      <c r="Y35" s="1002"/>
      <c r="Z35" s="1002"/>
      <c r="AA35" s="1002"/>
      <c r="AB35" s="1003"/>
    </row>
    <row r="36" spans="2:28" s="19" customFormat="1" ht="260.25" customHeight="1" thickBot="1" x14ac:dyDescent="0.25">
      <c r="B36" s="580">
        <f>[1]February_2026!$B40</f>
        <v>46078</v>
      </c>
      <c r="C36" s="26" t="str">
        <f>[1]February_2026!$D40</f>
        <v>STAG</v>
      </c>
      <c r="D36" s="27">
        <v>5600</v>
      </c>
      <c r="E36" s="28">
        <f>[2]Feb!$E40</f>
        <v>1.0173611111111112</v>
      </c>
      <c r="F36" s="29">
        <f>[1]February_2026!$J40</f>
        <v>267.10000000000002</v>
      </c>
      <c r="G36" s="30">
        <f>[1]February_2026!$G40</f>
        <v>4008</v>
      </c>
      <c r="H36" s="29">
        <f>[1]February_2026!$K40</f>
        <v>264.52800000000002</v>
      </c>
      <c r="I36" s="31">
        <f>[1]February_2026!$N40</f>
        <v>12</v>
      </c>
      <c r="J36" s="32">
        <f>[1]February_2026!$Q40</f>
        <v>167</v>
      </c>
      <c r="K36" s="32">
        <f>[1]February_2026!$F40</f>
        <v>1415</v>
      </c>
      <c r="L36" s="464">
        <f>[1]February_2026!$E40</f>
        <v>1440</v>
      </c>
      <c r="M36" s="28">
        <f>[2]Feb!$G40</f>
        <v>2.0319444444444446</v>
      </c>
      <c r="N36" s="32">
        <f>[1]February_2026!$M40</f>
        <v>810</v>
      </c>
      <c r="O36" s="406">
        <f>[2]Feb!$I40</f>
        <v>31</v>
      </c>
      <c r="P36" s="32">
        <f>[1]February_2026!$I40</f>
        <v>140</v>
      </c>
      <c r="Q36" s="33">
        <f>[1]February_2026!$P40</f>
        <v>0.96293523025084338</v>
      </c>
      <c r="R36" s="653">
        <f>($G36)/(($L36/60)*AC$3*(1/24))</f>
        <v>0.23576470588235293</v>
      </c>
      <c r="S36" s="586">
        <f t="shared" si="0"/>
        <v>0.23993016004988571</v>
      </c>
      <c r="T36" s="653">
        <f>(1486-((N36)-[2]Feb!$I$40))/1486</f>
        <v>0.47577388963660833</v>
      </c>
      <c r="U36" s="903">
        <f>[1]February_2026!$S40</f>
        <v>4.8644260248232207E-2</v>
      </c>
      <c r="V36" s="1147" t="s">
        <v>1042</v>
      </c>
      <c r="W36" s="1002"/>
      <c r="X36" s="1002"/>
      <c r="Y36" s="1002"/>
      <c r="Z36" s="1002"/>
      <c r="AA36" s="1002"/>
      <c r="AB36" s="1003"/>
    </row>
    <row r="37" spans="2:28" s="19" customFormat="1" ht="111.75" customHeight="1" thickBot="1" x14ac:dyDescent="0.25">
      <c r="B37" s="580">
        <f>[1]February_2026!$B41</f>
        <v>46079</v>
      </c>
      <c r="C37" s="26" t="str">
        <f>[1]February_2026!$D41</f>
        <v>STAG</v>
      </c>
      <c r="D37" s="27"/>
      <c r="E37" s="28">
        <f>[2]Feb!$E41</f>
        <v>1.0097222222222222</v>
      </c>
      <c r="F37" s="29">
        <f>[1]February_2026!$J41</f>
        <v>107</v>
      </c>
      <c r="G37" s="30">
        <f>[1]February_2026!$G41</f>
        <v>1613</v>
      </c>
      <c r="H37" s="29">
        <f>[1]February_2026!$K41</f>
        <v>106.458</v>
      </c>
      <c r="I37" s="31">
        <f>[1]February_2026!$N41</f>
        <v>6</v>
      </c>
      <c r="J37" s="32">
        <f>[1]February_2026!$Q41</f>
        <v>67.208333333333329</v>
      </c>
      <c r="K37" s="32">
        <f>[1]February_2026!$F41</f>
        <v>1027</v>
      </c>
      <c r="L37" s="1148">
        <f>[1]February_2026!$E41</f>
        <v>1440</v>
      </c>
      <c r="M37" s="28">
        <f>[2]Feb!$G41</f>
        <v>1.7569444444444444</v>
      </c>
      <c r="N37" s="32">
        <f>[1]February_2026!$M41</f>
        <v>815</v>
      </c>
      <c r="O37" s="406">
        <f>[2]Feb!$I41</f>
        <v>0</v>
      </c>
      <c r="P37" s="32">
        <f>[1]February_2026!$I41</f>
        <v>0</v>
      </c>
      <c r="Q37" s="33">
        <f>[1]February_2026!$P41</f>
        <v>0.50654205607476788</v>
      </c>
      <c r="R37" s="995">
        <f>($G37+G38)/(($L37/60)*AC$3*(1/24))</f>
        <v>0.192</v>
      </c>
      <c r="S37" s="586">
        <f t="shared" si="0"/>
        <v>0.13303854745403518</v>
      </c>
      <c r="T37" s="995">
        <f>(1491-((N37+N38)-[2]Feb!$I$42-[2]Feb!$AB$41))/1491</f>
        <v>0.37894030851777333</v>
      </c>
      <c r="U37" s="903">
        <f>[1]February_2026!$S41</f>
        <v>6.1097818943563614E-2</v>
      </c>
      <c r="V37" s="1147" t="s">
        <v>1043</v>
      </c>
      <c r="W37" s="1002"/>
      <c r="X37" s="1002"/>
      <c r="Y37" s="1002"/>
      <c r="Z37" s="1002"/>
      <c r="AA37" s="1002"/>
      <c r="AB37" s="1003"/>
    </row>
    <row r="38" spans="2:28" s="19" customFormat="1" ht="120" customHeight="1" thickBot="1" x14ac:dyDescent="0.25">
      <c r="B38" s="580">
        <f>[1]February_2026!$B42</f>
        <v>46079</v>
      </c>
      <c r="C38" s="26" t="str">
        <f>[1]February_2026!$D42</f>
        <v>CARIB AMBER</v>
      </c>
      <c r="D38" s="27">
        <v>2800</v>
      </c>
      <c r="E38" s="28">
        <f>[2]Feb!$E42</f>
        <v>1.7326388888888888</v>
      </c>
      <c r="F38" s="29">
        <f>[1]February_2026!$J42</f>
        <v>111.5</v>
      </c>
      <c r="G38" s="30">
        <f>[1]February_2026!$G42</f>
        <v>1651</v>
      </c>
      <c r="H38" s="29">
        <f>[1]February_2026!$K42</f>
        <v>108.96600000000001</v>
      </c>
      <c r="I38" s="31">
        <f>[1]February_2026!$N42</f>
        <v>1</v>
      </c>
      <c r="J38" s="32">
        <f>[1]February_2026!$Q42</f>
        <v>68.791666666666671</v>
      </c>
      <c r="K38" s="32">
        <f>[1]February_2026!$F42</f>
        <v>385</v>
      </c>
      <c r="L38" s="1016"/>
      <c r="M38" s="28">
        <f>[2]Feb!$G42</f>
        <v>2.0354166666666669</v>
      </c>
      <c r="N38" s="32">
        <f>[1]February_2026!$M42</f>
        <v>137</v>
      </c>
      <c r="O38" s="406">
        <f>[2]Feb!$I42</f>
        <v>23</v>
      </c>
      <c r="P38" s="32">
        <f>[1]February_2026!$I42</f>
        <v>0</v>
      </c>
      <c r="Q38" s="33">
        <f>[1]February_2026!$P42</f>
        <v>2.2726457399103066</v>
      </c>
      <c r="R38" s="996"/>
      <c r="S38" s="586">
        <f t="shared" si="0"/>
        <v>0.3632452253628724</v>
      </c>
      <c r="T38" s="1020"/>
      <c r="U38" s="903">
        <f>[1]February_2026!$S42</f>
        <v>2.04982984929509E-2</v>
      </c>
      <c r="V38" s="1147" t="s">
        <v>1044</v>
      </c>
      <c r="W38" s="1002"/>
      <c r="X38" s="1002"/>
      <c r="Y38" s="1002"/>
      <c r="Z38" s="1002"/>
      <c r="AA38" s="1002"/>
      <c r="AB38" s="1003"/>
    </row>
    <row r="39" spans="2:28" s="19" customFormat="1" ht="69.599999999999994" customHeight="1" thickBot="1" x14ac:dyDescent="0.25">
      <c r="B39" s="580">
        <f>[1]February_2026!$B43</f>
        <v>46080</v>
      </c>
      <c r="C39" s="26" t="str">
        <f>[1]February_2026!$D43</f>
        <v>CARIB AMBER</v>
      </c>
      <c r="D39" s="27">
        <v>4127</v>
      </c>
      <c r="E39" s="28">
        <f>[2]Feb!$E43</f>
        <v>1.0069444444444444</v>
      </c>
      <c r="F39" s="29">
        <f>[1]February_2026!$J43</f>
        <v>90.1</v>
      </c>
      <c r="G39" s="30">
        <f>[1]February_2026!$G43</f>
        <v>1327</v>
      </c>
      <c r="H39" s="29">
        <f>[1]February_2026!$K43</f>
        <v>87.582000000000008</v>
      </c>
      <c r="I39" s="31">
        <f>[1]February_2026!$N43</f>
        <v>6</v>
      </c>
      <c r="J39" s="32">
        <f>[1]February_2026!$Q43</f>
        <v>63.696000000000005</v>
      </c>
      <c r="K39" s="32">
        <f>[1]February_2026!$F43</f>
        <v>211</v>
      </c>
      <c r="L39" s="1148">
        <f>[1]February_2026!$E43</f>
        <v>1250</v>
      </c>
      <c r="M39" s="28">
        <f>[2]Feb!$G43</f>
        <v>0</v>
      </c>
      <c r="N39" s="32">
        <f>[1]February_2026!$M43</f>
        <v>54</v>
      </c>
      <c r="O39" s="406">
        <f>[2]Feb!$I43</f>
        <v>0</v>
      </c>
      <c r="P39" s="32">
        <f>[1]February_2026!$I43</f>
        <v>0</v>
      </c>
      <c r="Q39" s="33">
        <f>[1]February_2026!$P43</f>
        <v>2.7946725860155235</v>
      </c>
      <c r="R39" s="995">
        <f>($G39+G40+G41)/(($L39/60)*AC$3*(1/24))</f>
        <v>0.41139952941176477</v>
      </c>
      <c r="S39" s="586">
        <f t="shared" si="0"/>
        <v>0.53272372456091444</v>
      </c>
      <c r="T39" s="995">
        <f>(1250-((N39+N40+N41)-[2]Feb!$Z$43-[2]Feb!$Z$44-[2]Feb!$AA$44-[2]Feb!$J$45-[2]Feb!$I$45-[2]Feb!$I$44-[2]Feb!$H$43))/1250</f>
        <v>0.80159999999999998</v>
      </c>
      <c r="U39" s="903">
        <f>[1]February_2026!$S43</f>
        <v>1.7005444646098003E-2</v>
      </c>
      <c r="V39" s="1147" t="s">
        <v>1045</v>
      </c>
      <c r="W39" s="1002"/>
      <c r="X39" s="1002"/>
      <c r="Y39" s="1002"/>
      <c r="Z39" s="1002"/>
      <c r="AA39" s="1002"/>
      <c r="AB39" s="1003"/>
    </row>
    <row r="40" spans="2:28" s="19" customFormat="1" ht="84.75" customHeight="1" thickBot="1" x14ac:dyDescent="0.25">
      <c r="B40" s="580">
        <f>[1]February_2026!$B44</f>
        <v>46080</v>
      </c>
      <c r="C40" s="26" t="str">
        <f>[1]February_2026!$D44</f>
        <v>STAR MALT</v>
      </c>
      <c r="D40" s="27">
        <v>2800</v>
      </c>
      <c r="E40" s="28">
        <f>[2]Feb!$E44</f>
        <v>1.2166666666666666</v>
      </c>
      <c r="F40" s="29">
        <f>[1]February_2026!$J44</f>
        <v>200.1</v>
      </c>
      <c r="G40" s="30">
        <f>[1]February_2026!$G44</f>
        <v>2952</v>
      </c>
      <c r="H40" s="29">
        <f>[1]February_2026!$K44</f>
        <v>194.83200000000002</v>
      </c>
      <c r="I40" s="31">
        <f>[1]February_2026!$N44</f>
        <v>1</v>
      </c>
      <c r="J40" s="32">
        <f>[1]February_2026!$Q44</f>
        <v>141.696</v>
      </c>
      <c r="K40" s="32">
        <f>[1]February_2026!$F44</f>
        <v>530</v>
      </c>
      <c r="L40" s="1016"/>
      <c r="M40" s="28">
        <f>[2]Feb!$G44</f>
        <v>0.625</v>
      </c>
      <c r="N40" s="32">
        <f>[1]February_2026!$M44</f>
        <v>205</v>
      </c>
      <c r="O40" s="406">
        <f>[2]Feb!$I44</f>
        <v>23</v>
      </c>
      <c r="P40" s="32">
        <f>[1]February_2026!$I44</f>
        <v>7</v>
      </c>
      <c r="Q40" s="33">
        <f>[1]February_2026!$P44</f>
        <v>2.6326836581709006</v>
      </c>
      <c r="R40" s="996"/>
      <c r="S40" s="586">
        <f t="shared" si="0"/>
        <v>0.47179578246392895</v>
      </c>
      <c r="T40" s="996"/>
      <c r="U40" s="903">
        <f>[1]February_2026!$S44</f>
        <v>7.4331368993653659E-3</v>
      </c>
      <c r="V40" s="1147" t="s">
        <v>1046</v>
      </c>
      <c r="W40" s="1002"/>
      <c r="X40" s="1002"/>
      <c r="Y40" s="1002"/>
      <c r="Z40" s="1002"/>
      <c r="AA40" s="1002"/>
      <c r="AB40" s="1003"/>
    </row>
    <row r="41" spans="2:28" s="19" customFormat="1" ht="107.45" customHeight="1" thickBot="1" x14ac:dyDescent="0.25">
      <c r="B41" s="580">
        <f>[1]February_2026!$B45</f>
        <v>46080</v>
      </c>
      <c r="C41" s="26" t="str">
        <f>[1]February_2026!$D45</f>
        <v>CARIB AMBER</v>
      </c>
      <c r="D41" s="27"/>
      <c r="E41" s="28">
        <f>[2]Feb!$E45</f>
        <v>1.6388888888888888</v>
      </c>
      <c r="F41" s="29">
        <f>[1]February_2026!$J45</f>
        <v>121.20000000000002</v>
      </c>
      <c r="G41" s="30">
        <f>[1]February_2026!$G45</f>
        <v>1792</v>
      </c>
      <c r="H41" s="29">
        <f>[1]February_2026!$K45</f>
        <v>118.27200000000001</v>
      </c>
      <c r="I41" s="31">
        <f>[1]February_2026!$N45</f>
        <v>0</v>
      </c>
      <c r="J41" s="32">
        <f>[1]February_2026!$Q45</f>
        <v>86.016000000000005</v>
      </c>
      <c r="K41" s="32">
        <f>[1]February_2026!$F45</f>
        <v>285</v>
      </c>
      <c r="L41" s="999"/>
      <c r="M41" s="28">
        <f>[2]Feb!$G45</f>
        <v>1.8680555555555556</v>
      </c>
      <c r="N41" s="32">
        <f>[1]February_2026!$M45</f>
        <v>114</v>
      </c>
      <c r="O41" s="406">
        <f>[2]Feb!$I45</f>
        <v>50</v>
      </c>
      <c r="P41" s="32">
        <f>[1]February_2026!$I45</f>
        <v>0</v>
      </c>
      <c r="Q41" s="33">
        <f>[1]February_2026!$P45</f>
        <v>2.4158415841584251</v>
      </c>
      <c r="R41" s="1020"/>
      <c r="S41" s="586">
        <f t="shared" si="0"/>
        <v>0.53260681114551089</v>
      </c>
      <c r="T41" s="1020"/>
      <c r="U41" s="903">
        <f>[1]February_2026!$S45</f>
        <v>7.4331368993653659E-3</v>
      </c>
      <c r="V41" s="1147" t="s">
        <v>1047</v>
      </c>
      <c r="W41" s="1002"/>
      <c r="X41" s="1002"/>
      <c r="Y41" s="1002"/>
      <c r="Z41" s="1002"/>
      <c r="AA41" s="1002"/>
      <c r="AB41" s="1003"/>
    </row>
    <row r="42" spans="2:28" s="19" customFormat="1" ht="72.75" customHeight="1" thickBot="1" x14ac:dyDescent="0.25">
      <c r="B42" s="580">
        <f>[1]February_2026!$B46</f>
        <v>46081</v>
      </c>
      <c r="C42" s="26" t="str">
        <f>[1]February_2026!$D46</f>
        <v>STAR MALT</v>
      </c>
      <c r="D42" s="27">
        <v>2800</v>
      </c>
      <c r="E42" s="28">
        <f>[2]Feb!$E46</f>
        <v>0.34375</v>
      </c>
      <c r="F42" s="29">
        <f>[1]February_2026!$J46</f>
        <v>100</v>
      </c>
      <c r="G42" s="30">
        <f>[1]February_2026!$G46</f>
        <v>1476</v>
      </c>
      <c r="H42" s="29">
        <f>[1]February_2026!$K46</f>
        <v>97.416000000000011</v>
      </c>
      <c r="I42" s="31">
        <f>[1]February_2026!$N46</f>
        <v>0</v>
      </c>
      <c r="J42" s="32">
        <f>[1]February_2026!$Q46</f>
        <v>97.318681318681328</v>
      </c>
      <c r="K42" s="32">
        <f>[1]February_2026!$F46</f>
        <v>255</v>
      </c>
      <c r="L42" s="1148">
        <f>[1]February_2026!$E46</f>
        <v>910</v>
      </c>
      <c r="M42" s="28">
        <f>[2]Feb!$G46</f>
        <v>0</v>
      </c>
      <c r="N42" s="32">
        <f>[1]February_2026!$M46</f>
        <v>97</v>
      </c>
      <c r="O42" s="406">
        <f>[2]Feb!$I46</f>
        <v>0</v>
      </c>
      <c r="P42" s="32">
        <f>[1]February_2026!$I46</f>
        <v>0</v>
      </c>
      <c r="Q42" s="33">
        <f>[1]February_2026!$P46</f>
        <v>2.583999999999989</v>
      </c>
      <c r="R42" s="995">
        <f>($G42+G43)/(($L42/60)*AC$3*(1/24))</f>
        <v>0.37130963154492569</v>
      </c>
      <c r="S42" s="586">
        <f t="shared" si="0"/>
        <v>0.49029757785467132</v>
      </c>
      <c r="T42" s="995">
        <f>(980-((N42+N43)-[2]Feb!$J$46-[2]Feb!$I$47-[2]Feb!$Z$46))/980</f>
        <v>0.76428571428571423</v>
      </c>
      <c r="U42" s="906">
        <f>[1]February_2026!$S46</f>
        <v>0</v>
      </c>
      <c r="V42" s="1147" t="s">
        <v>1049</v>
      </c>
      <c r="W42" s="1002"/>
      <c r="X42" s="1002"/>
      <c r="Y42" s="1002"/>
      <c r="Z42" s="1002"/>
      <c r="AA42" s="1002"/>
      <c r="AB42" s="1003"/>
    </row>
    <row r="43" spans="2:28" s="19" customFormat="1" ht="82.5" customHeight="1" thickBot="1" x14ac:dyDescent="0.25">
      <c r="B43" s="580">
        <f>[1]February_2026!$B47</f>
        <v>46081</v>
      </c>
      <c r="C43" s="26" t="str">
        <f>[1]February_2026!$D47</f>
        <v>CARIB AMBER</v>
      </c>
      <c r="D43" s="27">
        <v>2800</v>
      </c>
      <c r="E43" s="28">
        <f>[2]Feb!$E47</f>
        <v>0.57291666666666663</v>
      </c>
      <c r="F43" s="29">
        <f>[1]February_2026!$J47</f>
        <v>167.99999999999997</v>
      </c>
      <c r="G43" s="30">
        <f>[1]February_2026!$G47</f>
        <v>2513</v>
      </c>
      <c r="H43" s="29">
        <f>[1]February_2026!$K47</f>
        <v>165.858</v>
      </c>
      <c r="I43" s="31">
        <f>[1]February_2026!$N47</f>
        <v>2</v>
      </c>
      <c r="J43" s="32">
        <f>[1]February_2026!$Q47</f>
        <v>165.69230769230771</v>
      </c>
      <c r="K43" s="32">
        <f>[1]February_2026!$F47</f>
        <v>531</v>
      </c>
      <c r="L43" s="999"/>
      <c r="M43" s="28">
        <f>[2]Feb!$G47</f>
        <v>0.97222222222222221</v>
      </c>
      <c r="N43" s="32">
        <f>[1]February_2026!$M47</f>
        <v>209</v>
      </c>
      <c r="O43" s="406">
        <f>[2]Feb!$I47</f>
        <v>50</v>
      </c>
      <c r="P43" s="32">
        <f>[1]February_2026!$I47</f>
        <v>0</v>
      </c>
      <c r="Q43" s="33">
        <f>[1]February_2026!$P47</f>
        <v>1.2749999999999808</v>
      </c>
      <c r="R43" s="996"/>
      <c r="S43" s="586">
        <f t="shared" si="0"/>
        <v>0.40087736789631107</v>
      </c>
      <c r="T43" s="1020"/>
      <c r="U43" s="903">
        <f>[1]February_2026!$S47</f>
        <v>1.6872749099639855E-2</v>
      </c>
      <c r="V43" s="1147" t="s">
        <v>1048</v>
      </c>
      <c r="W43" s="1002"/>
      <c r="X43" s="1002"/>
      <c r="Y43" s="1002"/>
      <c r="Z43" s="1002"/>
      <c r="AA43" s="1002"/>
      <c r="AB43" s="1003"/>
    </row>
    <row r="44" spans="2:28" s="19" customFormat="1" ht="77.45" hidden="1" customHeight="1" thickBot="1" x14ac:dyDescent="0.25">
      <c r="B44" s="580"/>
      <c r="C44" s="26"/>
      <c r="D44" s="27"/>
      <c r="E44" s="28"/>
      <c r="F44" s="29"/>
      <c r="G44" s="30"/>
      <c r="H44" s="29"/>
      <c r="I44" s="31"/>
      <c r="J44" s="32"/>
      <c r="K44" s="32"/>
      <c r="L44" s="1148"/>
      <c r="M44" s="169"/>
      <c r="N44" s="32"/>
      <c r="O44" s="406"/>
      <c r="P44" s="32"/>
      <c r="Q44" s="33"/>
      <c r="R44" s="891"/>
      <c r="S44" s="586"/>
      <c r="T44" s="892"/>
      <c r="U44" s="898"/>
      <c r="V44" s="1147"/>
      <c r="W44" s="1002"/>
      <c r="X44" s="1002"/>
      <c r="Y44" s="1002"/>
      <c r="Z44" s="1002"/>
      <c r="AA44" s="1002"/>
      <c r="AB44" s="1003"/>
    </row>
    <row r="45" spans="2:28" s="19" customFormat="1" ht="114" hidden="1" customHeight="1" thickBot="1" x14ac:dyDescent="0.25">
      <c r="B45" s="168"/>
      <c r="C45" s="26"/>
      <c r="D45" s="27"/>
      <c r="E45" s="28"/>
      <c r="F45" s="29"/>
      <c r="G45" s="30"/>
      <c r="H45" s="29"/>
      <c r="I45" s="31"/>
      <c r="J45" s="32"/>
      <c r="K45" s="32"/>
      <c r="L45" s="1016"/>
      <c r="M45" s="169"/>
      <c r="N45" s="32"/>
      <c r="O45" s="406"/>
      <c r="P45" s="32"/>
      <c r="Q45" s="33"/>
      <c r="R45" s="841"/>
      <c r="S45" s="586"/>
      <c r="T45" s="893"/>
      <c r="U45" s="899"/>
      <c r="V45" s="1147"/>
      <c r="W45" s="1002"/>
      <c r="X45" s="1002"/>
      <c r="Y45" s="1002"/>
      <c r="Z45" s="1002"/>
      <c r="AA45" s="1002"/>
      <c r="AB45" s="1003"/>
    </row>
    <row r="46" spans="2:28" s="19" customFormat="1" ht="164.1" hidden="1" customHeight="1" thickBot="1" x14ac:dyDescent="0.25">
      <c r="B46" s="168"/>
      <c r="C46" s="26"/>
      <c r="D46" s="27"/>
      <c r="E46" s="28"/>
      <c r="F46" s="29"/>
      <c r="G46" s="30"/>
      <c r="H46" s="29"/>
      <c r="I46" s="31"/>
      <c r="J46" s="32"/>
      <c r="K46" s="650"/>
      <c r="L46" s="464"/>
      <c r="M46" s="836"/>
      <c r="N46" s="32"/>
      <c r="O46" s="406"/>
      <c r="P46" s="32"/>
      <c r="Q46" s="33"/>
      <c r="R46" s="653"/>
      <c r="S46" s="586"/>
      <c r="T46" s="653"/>
      <c r="U46" s="607"/>
      <c r="V46" s="1002"/>
      <c r="W46" s="1002"/>
      <c r="X46" s="1002"/>
      <c r="Y46" s="1002"/>
      <c r="Z46" s="1002"/>
      <c r="AA46" s="1002"/>
      <c r="AB46" s="1003"/>
    </row>
    <row r="47" spans="2:28" s="19" customFormat="1" ht="84" hidden="1" customHeight="1" thickBot="1" x14ac:dyDescent="0.25">
      <c r="B47" s="168"/>
      <c r="C47" s="26"/>
      <c r="D47" s="27"/>
      <c r="E47" s="28"/>
      <c r="F47" s="29"/>
      <c r="G47" s="30"/>
      <c r="H47" s="29"/>
      <c r="I47" s="31"/>
      <c r="J47" s="32"/>
      <c r="K47" s="32"/>
      <c r="L47" s="1148"/>
      <c r="M47" s="169"/>
      <c r="N47" s="32"/>
      <c r="O47" s="406"/>
      <c r="P47" s="32"/>
      <c r="Q47" s="33"/>
      <c r="R47" s="895"/>
      <c r="S47" s="586"/>
      <c r="T47" s="892"/>
      <c r="U47" s="898"/>
      <c r="V47" s="1147"/>
      <c r="W47" s="1002"/>
      <c r="X47" s="1002"/>
      <c r="Y47" s="1002"/>
      <c r="Z47" s="1002"/>
      <c r="AA47" s="1002"/>
      <c r="AB47" s="1003"/>
    </row>
    <row r="48" spans="2:28" s="19" customFormat="1" ht="111" hidden="1" customHeight="1" thickBot="1" x14ac:dyDescent="0.25">
      <c r="B48" s="168"/>
      <c r="C48" s="26"/>
      <c r="D48" s="27"/>
      <c r="E48" s="28"/>
      <c r="F48" s="29"/>
      <c r="G48" s="30"/>
      <c r="H48" s="29"/>
      <c r="I48" s="31"/>
      <c r="J48" s="32"/>
      <c r="K48" s="32"/>
      <c r="L48" s="1016"/>
      <c r="M48" s="169"/>
      <c r="N48" s="32"/>
      <c r="O48" s="406"/>
      <c r="P48" s="32"/>
      <c r="Q48" s="33"/>
      <c r="R48" s="896"/>
      <c r="S48" s="586"/>
      <c r="T48" s="894"/>
      <c r="U48" s="898"/>
      <c r="V48" s="1147"/>
      <c r="W48" s="1002"/>
      <c r="X48" s="1002"/>
      <c r="Y48" s="1002"/>
      <c r="Z48" s="1002"/>
      <c r="AA48" s="1002"/>
      <c r="AB48" s="1003"/>
    </row>
    <row r="49" spans="2:28" s="19" customFormat="1" ht="105.6" hidden="1" customHeight="1" thickBot="1" x14ac:dyDescent="0.25">
      <c r="B49" s="168"/>
      <c r="C49" s="26"/>
      <c r="D49" s="27"/>
      <c r="E49" s="28"/>
      <c r="F49" s="29"/>
      <c r="G49" s="30"/>
      <c r="H49" s="29"/>
      <c r="I49" s="31"/>
      <c r="J49" s="32"/>
      <c r="K49" s="32"/>
      <c r="L49" s="999"/>
      <c r="M49" s="169"/>
      <c r="N49" s="32"/>
      <c r="O49" s="406"/>
      <c r="P49" s="32"/>
      <c r="Q49" s="33"/>
      <c r="R49" s="897"/>
      <c r="S49" s="586"/>
      <c r="T49" s="893"/>
      <c r="U49" s="899"/>
      <c r="V49" s="1147"/>
      <c r="W49" s="1002"/>
      <c r="X49" s="1002"/>
      <c r="Y49" s="1002"/>
      <c r="Z49" s="1002"/>
      <c r="AA49" s="1002"/>
      <c r="AB49" s="1003"/>
    </row>
    <row r="50" spans="2:28" s="19" customFormat="1" ht="93" hidden="1" customHeight="1" thickBot="1" x14ac:dyDescent="0.25">
      <c r="B50" s="168"/>
      <c r="C50" s="26"/>
      <c r="D50" s="27"/>
      <c r="E50" s="28"/>
      <c r="F50" s="989"/>
      <c r="G50" s="30"/>
      <c r="H50" s="989"/>
      <c r="I50" s="31"/>
      <c r="J50" s="32"/>
      <c r="K50" s="32"/>
      <c r="L50" s="1148"/>
      <c r="M50" s="169"/>
      <c r="N50" s="32"/>
      <c r="O50" s="406"/>
      <c r="P50" s="32"/>
      <c r="Q50" s="1045"/>
      <c r="R50" s="895"/>
      <c r="S50" s="586"/>
      <c r="T50" s="892"/>
      <c r="U50" s="898"/>
      <c r="V50" s="1147"/>
      <c r="W50" s="1002"/>
      <c r="X50" s="1002"/>
      <c r="Y50" s="1002"/>
      <c r="Z50" s="1002"/>
      <c r="AA50" s="1002"/>
      <c r="AB50" s="1003"/>
    </row>
    <row r="51" spans="2:28" s="19" customFormat="1" ht="132.6" hidden="1" customHeight="1" thickBot="1" x14ac:dyDescent="0.25">
      <c r="B51" s="168"/>
      <c r="C51" s="26"/>
      <c r="D51" s="27"/>
      <c r="E51" s="28"/>
      <c r="F51" s="990"/>
      <c r="G51" s="30"/>
      <c r="H51" s="990"/>
      <c r="I51" s="31"/>
      <c r="J51" s="32"/>
      <c r="K51" s="32"/>
      <c r="L51" s="1016"/>
      <c r="M51" s="169"/>
      <c r="N51" s="32"/>
      <c r="O51" s="406"/>
      <c r="P51" s="32"/>
      <c r="Q51" s="1046"/>
      <c r="R51" s="896"/>
      <c r="S51" s="586"/>
      <c r="T51" s="894"/>
      <c r="U51" s="898"/>
      <c r="V51" s="1147"/>
      <c r="W51" s="1002"/>
      <c r="X51" s="1002"/>
      <c r="Y51" s="1002"/>
      <c r="Z51" s="1002"/>
      <c r="AA51" s="1002"/>
      <c r="AB51" s="1003"/>
    </row>
    <row r="52" spans="2:28" s="19" customFormat="1" ht="140.1" hidden="1" customHeight="1" thickBot="1" x14ac:dyDescent="0.25">
      <c r="B52" s="168"/>
      <c r="C52" s="26"/>
      <c r="D52" s="27"/>
      <c r="E52" s="28"/>
      <c r="F52" s="29"/>
      <c r="G52" s="30"/>
      <c r="H52" s="29"/>
      <c r="I52" s="31"/>
      <c r="J52" s="32"/>
      <c r="K52" s="32"/>
      <c r="L52" s="999"/>
      <c r="M52" s="169"/>
      <c r="N52" s="32"/>
      <c r="O52" s="406"/>
      <c r="P52" s="32"/>
      <c r="Q52" s="33"/>
      <c r="R52" s="897"/>
      <c r="S52" s="586"/>
      <c r="T52" s="893"/>
      <c r="U52" s="899"/>
      <c r="V52" s="1147"/>
      <c r="W52" s="1002"/>
      <c r="X52" s="1002"/>
      <c r="Y52" s="1002"/>
      <c r="Z52" s="1002"/>
      <c r="AA52" s="1002"/>
      <c r="AB52" s="1003"/>
    </row>
    <row r="53" spans="2:28" s="19" customFormat="1" ht="21" hidden="1" customHeight="1" thickBot="1" x14ac:dyDescent="0.25">
      <c r="B53" s="168"/>
      <c r="C53" s="26"/>
      <c r="D53" s="27"/>
      <c r="E53" s="28"/>
      <c r="F53" s="29"/>
      <c r="G53" s="30"/>
      <c r="H53" s="29"/>
      <c r="I53" s="31"/>
      <c r="J53" s="32"/>
      <c r="K53" s="32"/>
      <c r="L53" s="464"/>
      <c r="M53" s="169"/>
      <c r="N53" s="32"/>
      <c r="O53" s="406"/>
      <c r="P53" s="32"/>
      <c r="Q53" s="33"/>
      <c r="R53" s="462"/>
      <c r="S53" s="586"/>
      <c r="T53" s="640"/>
      <c r="U53" s="900"/>
      <c r="V53" s="1147"/>
      <c r="W53" s="1002"/>
      <c r="X53" s="1002"/>
      <c r="Y53" s="1002"/>
      <c r="Z53" s="1002"/>
      <c r="AA53" s="1002"/>
      <c r="AB53" s="1003"/>
    </row>
    <row r="54" spans="2:28" s="19" customFormat="1" ht="21" hidden="1" customHeight="1" thickBot="1" x14ac:dyDescent="0.25">
      <c r="B54" s="168"/>
      <c r="C54" s="26"/>
      <c r="D54" s="27"/>
      <c r="E54" s="28"/>
      <c r="F54" s="29"/>
      <c r="G54" s="30"/>
      <c r="H54" s="29"/>
      <c r="I54" s="31"/>
      <c r="J54" s="32"/>
      <c r="K54" s="32"/>
      <c r="L54" s="464"/>
      <c r="M54" s="169"/>
      <c r="N54" s="32"/>
      <c r="O54" s="406"/>
      <c r="P54" s="32"/>
      <c r="Q54" s="33"/>
      <c r="R54" s="462"/>
      <c r="S54" s="586"/>
      <c r="T54" s="640"/>
      <c r="U54" s="900"/>
      <c r="V54" s="1147"/>
      <c r="W54" s="1002"/>
      <c r="X54" s="1002"/>
      <c r="Y54" s="1002"/>
      <c r="Z54" s="1002"/>
      <c r="AA54" s="1002"/>
      <c r="AB54" s="1003"/>
    </row>
    <row r="55" spans="2:28" s="19" customFormat="1" ht="22.5" hidden="1" customHeight="1" thickBot="1" x14ac:dyDescent="0.25">
      <c r="B55" s="168"/>
      <c r="C55" s="26"/>
      <c r="D55" s="27"/>
      <c r="E55" s="28"/>
      <c r="F55" s="29"/>
      <c r="G55" s="30"/>
      <c r="H55" s="29"/>
      <c r="I55" s="31"/>
      <c r="J55" s="32"/>
      <c r="K55" s="32"/>
      <c r="L55" s="464"/>
      <c r="M55" s="169"/>
      <c r="N55" s="32"/>
      <c r="O55" s="406"/>
      <c r="P55" s="32"/>
      <c r="Q55" s="33"/>
      <c r="R55" s="462"/>
      <c r="S55" s="586"/>
      <c r="T55" s="640"/>
      <c r="U55" s="900"/>
      <c r="V55" s="1147"/>
      <c r="W55" s="1002"/>
      <c r="X55" s="1002"/>
      <c r="Y55" s="1002"/>
      <c r="Z55" s="1002"/>
      <c r="AA55" s="1002"/>
      <c r="AB55" s="1003"/>
    </row>
    <row r="56" spans="2:28" s="19" customFormat="1" ht="21" hidden="1" customHeight="1" thickBot="1" x14ac:dyDescent="0.25">
      <c r="B56" s="168"/>
      <c r="C56" s="26"/>
      <c r="D56" s="27"/>
      <c r="E56" s="28"/>
      <c r="F56" s="29"/>
      <c r="G56" s="30"/>
      <c r="H56" s="29"/>
      <c r="I56" s="31"/>
      <c r="J56" s="32"/>
      <c r="K56" s="32"/>
      <c r="L56" s="464"/>
      <c r="M56" s="169"/>
      <c r="N56" s="32"/>
      <c r="O56" s="406"/>
      <c r="P56" s="32"/>
      <c r="Q56" s="33"/>
      <c r="R56" s="462"/>
      <c r="S56" s="586"/>
      <c r="T56" s="640"/>
      <c r="U56" s="900"/>
      <c r="V56" s="1147"/>
      <c r="W56" s="1002"/>
      <c r="X56" s="1002"/>
      <c r="Y56" s="1002"/>
      <c r="Z56" s="1002"/>
      <c r="AA56" s="1002"/>
      <c r="AB56" s="1003"/>
    </row>
    <row r="57" spans="2:28" s="19" customFormat="1" ht="48.75" hidden="1" customHeight="1" thickBot="1" x14ac:dyDescent="0.25">
      <c r="B57" s="168"/>
      <c r="C57" s="26"/>
      <c r="D57" s="27"/>
      <c r="E57" s="28"/>
      <c r="F57" s="29"/>
      <c r="G57" s="30"/>
      <c r="H57" s="29"/>
      <c r="I57" s="31"/>
      <c r="J57" s="32"/>
      <c r="K57" s="32"/>
      <c r="L57" s="464"/>
      <c r="M57" s="169"/>
      <c r="N57" s="32"/>
      <c r="O57" s="406"/>
      <c r="P57" s="32"/>
      <c r="Q57" s="33"/>
      <c r="R57" s="462"/>
      <c r="S57" s="586"/>
      <c r="T57" s="640"/>
      <c r="U57" s="900"/>
      <c r="V57" s="1147"/>
      <c r="W57" s="1002"/>
      <c r="X57" s="1002"/>
      <c r="Y57" s="1002"/>
      <c r="Z57" s="1002"/>
      <c r="AA57" s="1002"/>
      <c r="AB57" s="1003"/>
    </row>
    <row r="58" spans="2:28" s="19" customFormat="1" ht="52.5" hidden="1" customHeight="1" thickBot="1" x14ac:dyDescent="0.25">
      <c r="B58" s="168"/>
      <c r="C58" s="26"/>
      <c r="D58" s="27"/>
      <c r="E58" s="28"/>
      <c r="F58" s="29"/>
      <c r="G58" s="30"/>
      <c r="H58" s="29"/>
      <c r="I58" s="31"/>
      <c r="J58" s="32"/>
      <c r="K58" s="32"/>
      <c r="L58" s="464"/>
      <c r="M58" s="169"/>
      <c r="N58" s="32"/>
      <c r="O58" s="406"/>
      <c r="P58" s="32"/>
      <c r="Q58" s="33"/>
      <c r="R58" s="462"/>
      <c r="S58" s="586"/>
      <c r="T58" s="640"/>
      <c r="U58" s="900"/>
      <c r="V58" s="1147"/>
      <c r="W58" s="1002"/>
      <c r="X58" s="1002"/>
      <c r="Y58" s="1002"/>
      <c r="Z58" s="1002"/>
      <c r="AA58" s="1002"/>
      <c r="AB58" s="1003"/>
    </row>
    <row r="59" spans="2:28" s="19" customFormat="1" ht="26.25" hidden="1" thickBot="1" x14ac:dyDescent="0.25">
      <c r="B59" s="168"/>
      <c r="C59" s="26"/>
      <c r="D59" s="27"/>
      <c r="E59" s="28"/>
      <c r="F59" s="29"/>
      <c r="G59" s="30"/>
      <c r="H59" s="29"/>
      <c r="I59" s="31"/>
      <c r="J59" s="32"/>
      <c r="K59" s="32"/>
      <c r="L59" s="464"/>
      <c r="M59" s="169"/>
      <c r="N59" s="32"/>
      <c r="O59" s="406"/>
      <c r="P59" s="32"/>
      <c r="Q59" s="33"/>
      <c r="R59" s="129"/>
      <c r="S59" s="586"/>
      <c r="T59" s="904"/>
      <c r="U59" s="559"/>
      <c r="V59" s="1151"/>
      <c r="W59" s="1151"/>
      <c r="X59" s="1151"/>
      <c r="Y59" s="1151"/>
      <c r="Z59" s="1151"/>
      <c r="AA59" s="1151"/>
      <c r="AB59" s="1152"/>
    </row>
    <row r="60" spans="2:28" s="19" customFormat="1" ht="62.25" customHeight="1" thickBot="1" x14ac:dyDescent="0.25">
      <c r="B60" s="240" t="s">
        <v>3</v>
      </c>
      <c r="C60" s="241"/>
      <c r="D60" s="242">
        <f>SUM(D4:D58)</f>
        <v>122440</v>
      </c>
      <c r="E60" s="243">
        <f>AVERAGE(E4:E58)</f>
        <v>1.1816951566951563</v>
      </c>
      <c r="F60" s="244">
        <f>SUM(F4:F59)</f>
        <v>6854.4000000000024</v>
      </c>
      <c r="G60" s="242">
        <f>SUM(G4:G58)</f>
        <v>101592</v>
      </c>
      <c r="H60" s="244">
        <f>SUM(H4:H59)</f>
        <v>6727.4920000000002</v>
      </c>
      <c r="I60" s="245">
        <f>SUM(I4:I58)</f>
        <v>206</v>
      </c>
      <c r="J60" s="245">
        <f>G60/(L60/60)</f>
        <v>223.89421487603306</v>
      </c>
      <c r="K60" s="242">
        <f>SUM(K4:K58)</f>
        <v>20445</v>
      </c>
      <c r="L60" s="466">
        <f>SUM(L4:L58)</f>
        <v>27225</v>
      </c>
      <c r="M60" s="246">
        <f>AVERAGE(M4:M59)</f>
        <v>1.3529380341880339</v>
      </c>
      <c r="N60" s="242">
        <f>SUM(N4:N58)</f>
        <v>14086</v>
      </c>
      <c r="O60" s="245">
        <f>SUM(O4:O59)</f>
        <v>1096</v>
      </c>
      <c r="P60" s="245">
        <f>SUM(P4:P59)</f>
        <v>180</v>
      </c>
      <c r="Q60" s="292">
        <f>(F60-H60)/F60</f>
        <v>1.851482259570526E-2</v>
      </c>
      <c r="R60" s="875">
        <f>($G60)/(($L60/60)*AD$3*(1/24))</f>
        <v>0.31608595041322313</v>
      </c>
      <c r="S60" s="739">
        <f>(G60)*24/((K60)/60)/$AD$3</f>
        <v>0.42090682318415262</v>
      </c>
      <c r="T60" s="559">
        <f>(28039-((N60)-[2]Feb!$H$60-[2]Feb!$I$60-[2]Feb!$J$60-[2]Feb!$K$60-[2]Feb!$L$60-[2]Feb!$M$60-[2]Feb!$N$60-[2]Feb!$Z$60-[2]Feb!$AA$60-[2]Feb!$AB$60-[2]Feb!$AC$60))/28039</f>
        <v>0.64774064695602551</v>
      </c>
      <c r="U60" s="905">
        <f>SUM(U4:U59)</f>
        <v>0.93171089365270321</v>
      </c>
      <c r="V60" s="1011"/>
      <c r="W60" s="1011"/>
      <c r="X60" s="1011"/>
      <c r="Y60" s="1011"/>
      <c r="Z60" s="1011"/>
      <c r="AA60" s="1011"/>
      <c r="AB60" s="1012"/>
    </row>
    <row r="61" spans="2:28" s="724" customFormat="1" ht="65.099999999999994" customHeight="1" thickTop="1" x14ac:dyDescent="0.2">
      <c r="B61" s="714" t="s">
        <v>861</v>
      </c>
      <c r="C61" s="715"/>
      <c r="D61" s="716"/>
      <c r="E61" s="717"/>
      <c r="F61" s="718"/>
      <c r="G61" s="716"/>
      <c r="H61" s="718"/>
      <c r="I61" s="719"/>
      <c r="J61" s="807">
        <v>350</v>
      </c>
      <c r="K61" s="804"/>
      <c r="L61" s="804"/>
      <c r="M61" s="808"/>
      <c r="N61" s="804"/>
      <c r="O61" s="809"/>
      <c r="P61" s="810"/>
      <c r="Q61" s="811">
        <v>1.7999999999999999E-2</v>
      </c>
      <c r="R61" s="812">
        <v>0.56000000000000005</v>
      </c>
      <c r="S61" s="812">
        <v>0.66</v>
      </c>
      <c r="T61" s="813">
        <v>0.8</v>
      </c>
      <c r="U61" s="728"/>
      <c r="V61" s="1150"/>
      <c r="W61" s="1150"/>
      <c r="X61" s="1150"/>
      <c r="Y61" s="1150"/>
      <c r="Z61" s="1150"/>
      <c r="AA61" s="1150"/>
      <c r="AB61" s="1150"/>
    </row>
    <row r="62" spans="2:28" s="1" customFormat="1" ht="20.25" x14ac:dyDescent="0.3">
      <c r="G62" s="467"/>
      <c r="H62" s="467"/>
      <c r="J62"/>
      <c r="K62"/>
      <c r="L62"/>
      <c r="M62"/>
      <c r="N62"/>
      <c r="O62" s="392"/>
      <c r="P62" s="2"/>
      <c r="R62"/>
      <c r="S62"/>
      <c r="V62"/>
    </row>
    <row r="63" spans="2:28" s="1" customFormat="1" ht="23.25" x14ac:dyDescent="0.3">
      <c r="G63" s="470"/>
      <c r="H63" s="467"/>
      <c r="J63"/>
      <c r="K63"/>
      <c r="L63" s="473"/>
      <c r="M63"/>
      <c r="N63"/>
      <c r="O63" s="392"/>
      <c r="P63" s="2"/>
      <c r="R63"/>
      <c r="S63"/>
      <c r="V63"/>
    </row>
    <row r="64" spans="2:28" s="478" customFormat="1" ht="35.450000000000003" customHeight="1" thickBot="1" x14ac:dyDescent="0.4">
      <c r="B64" s="489"/>
      <c r="C64" s="469" t="s">
        <v>849</v>
      </c>
      <c r="D64" s="818">
        <v>118575</v>
      </c>
      <c r="E64" s="1010" t="s">
        <v>444</v>
      </c>
      <c r="F64" s="1010"/>
      <c r="G64" s="470">
        <f>D64-G60</f>
        <v>16983</v>
      </c>
      <c r="H64" s="469" t="s">
        <v>327</v>
      </c>
      <c r="I64" s="471">
        <f>G60/D64</f>
        <v>0.85677419354838713</v>
      </c>
      <c r="J64" s="472">
        <v>0</v>
      </c>
      <c r="K64" s="473"/>
      <c r="L64" s="473"/>
      <c r="M64" s="473"/>
      <c r="N64" s="473"/>
      <c r="O64" s="473"/>
      <c r="P64" s="490"/>
      <c r="Q64" s="491"/>
      <c r="R64" s="492"/>
      <c r="S64" s="493"/>
      <c r="T64" s="493"/>
      <c r="U64" s="493"/>
      <c r="V64" s="494" t="s">
        <v>48</v>
      </c>
    </row>
    <row r="65" spans="2:27" s="478" customFormat="1" ht="66.599999999999994" customHeight="1" thickTop="1" thickBot="1" x14ac:dyDescent="0.4">
      <c r="B65" s="489"/>
      <c r="C65" s="469" t="s">
        <v>37</v>
      </c>
      <c r="D65" s="470">
        <f>SUM(January_26!D107,February_26!D64)</f>
        <v>228125</v>
      </c>
      <c r="E65" s="1010" t="s">
        <v>36</v>
      </c>
      <c r="F65" s="1010"/>
      <c r="G65" s="470">
        <f>SUM(January_26!G103,February_26!G60)</f>
        <v>200703</v>
      </c>
      <c r="H65" s="469" t="s">
        <v>326</v>
      </c>
      <c r="I65" s="474">
        <v>0</v>
      </c>
      <c r="J65" s="472"/>
      <c r="K65" s="473">
        <v>0</v>
      </c>
      <c r="L65"/>
      <c r="M65" s="473"/>
      <c r="N65" s="473"/>
      <c r="O65" s="473"/>
      <c r="P65" s="490"/>
      <c r="Q65" s="537" t="s">
        <v>325</v>
      </c>
      <c r="R65" s="538" t="s">
        <v>467</v>
      </c>
      <c r="S65" s="539" t="s">
        <v>324</v>
      </c>
      <c r="T65" s="524" t="s">
        <v>576</v>
      </c>
      <c r="U65" s="901"/>
      <c r="V65" s="494"/>
    </row>
    <row r="66" spans="2:27" ht="29.1" customHeight="1" thickBot="1" x14ac:dyDescent="0.4">
      <c r="C66" s="475"/>
      <c r="D66" s="470"/>
      <c r="E66" s="1010"/>
      <c r="F66" s="1010"/>
      <c r="G66" s="470"/>
      <c r="H66" s="476"/>
      <c r="I66" s="476"/>
      <c r="J66" s="473"/>
      <c r="K66" s="478"/>
      <c r="L66" s="596"/>
      <c r="M66" s="596"/>
      <c r="N66" s="596"/>
      <c r="O66" s="596"/>
      <c r="P66" s="596"/>
      <c r="Q66" s="540">
        <f>S80</f>
        <v>2.1195233888814946E-2</v>
      </c>
      <c r="R66" s="558">
        <f>((January_26!R103*January_26!G103)+(February_26!R60*February_26!G60))/G65</f>
        <v>0.32930778822786239</v>
      </c>
      <c r="S66" s="558">
        <f>S79</f>
        <v>0.4441614773195306</v>
      </c>
      <c r="T66" s="542">
        <f>AVERAGE(January_26!T103,T60)</f>
        <v>0.65636347230908498</v>
      </c>
      <c r="U66" s="902"/>
      <c r="V66" s="17"/>
    </row>
    <row r="67" spans="2:27" ht="84" hidden="1" customHeight="1" thickTop="1" x14ac:dyDescent="0.2">
      <c r="B67" s="7"/>
      <c r="C67" s="495" t="s">
        <v>19</v>
      </c>
      <c r="D67" s="496" t="s">
        <v>14</v>
      </c>
      <c r="E67" s="496" t="s">
        <v>23</v>
      </c>
      <c r="F67" s="496" t="s">
        <v>24</v>
      </c>
      <c r="G67" s="497" t="s">
        <v>15</v>
      </c>
      <c r="H67" s="496" t="s">
        <v>17</v>
      </c>
      <c r="I67" s="496" t="s">
        <v>16</v>
      </c>
      <c r="J67" s="498" t="s">
        <v>600</v>
      </c>
      <c r="K67" s="499" t="s">
        <v>599</v>
      </c>
      <c r="L67" s="596"/>
      <c r="M67" s="596"/>
      <c r="N67" s="596"/>
      <c r="O67" s="596"/>
      <c r="P67" s="596"/>
    </row>
    <row r="68" spans="2:27" ht="36" hidden="1" customHeight="1" x14ac:dyDescent="0.4">
      <c r="B68" s="8"/>
      <c r="C68" s="500">
        <v>1</v>
      </c>
      <c r="D68" s="501" t="s">
        <v>20</v>
      </c>
      <c r="E68" s="502"/>
      <c r="F68" s="502"/>
      <c r="G68" s="502"/>
      <c r="H68" s="502"/>
      <c r="I68" s="552" t="e">
        <f>(G68-H68)/G68</f>
        <v>#DIV/0!</v>
      </c>
      <c r="J68" s="543" t="e">
        <f>(E68)*24/(F68/60)/17000</f>
        <v>#DIV/0!</v>
      </c>
      <c r="K68" s="544" t="e">
        <f>AVERAGE(January_26!J111,J68)</f>
        <v>#DIV/0!</v>
      </c>
      <c r="L68" s="596"/>
      <c r="M68" s="596"/>
      <c r="N68" s="596"/>
      <c r="O68" s="596"/>
      <c r="P68" s="596"/>
    </row>
    <row r="69" spans="2:27" s="1" customFormat="1" ht="28.5" hidden="1" thickTop="1" x14ac:dyDescent="0.4">
      <c r="B69" s="8"/>
      <c r="C69" s="505">
        <v>2</v>
      </c>
      <c r="D69" s="506" t="s">
        <v>21</v>
      </c>
      <c r="E69" s="502"/>
      <c r="F69" s="502"/>
      <c r="G69" s="502"/>
      <c r="H69" s="502"/>
      <c r="I69" s="552" t="e">
        <f t="shared" ref="I69:I75" si="1">(G69-H69)/G69</f>
        <v>#DIV/0!</v>
      </c>
      <c r="J69" s="543" t="e">
        <f t="shared" ref="J69:J75" si="2">(E69)*24/(F69/60)/17000</f>
        <v>#DIV/0!</v>
      </c>
      <c r="K69" s="544" t="e">
        <f>AVERAGE(January_26!J112,J69)</f>
        <v>#DIV/0!</v>
      </c>
      <c r="L69" s="596"/>
      <c r="M69" s="596"/>
      <c r="N69" s="596"/>
      <c r="O69" s="596"/>
      <c r="P69" s="596"/>
      <c r="R69"/>
      <c r="S69"/>
      <c r="V69"/>
      <c r="AA69"/>
    </row>
    <row r="70" spans="2:27" s="1" customFormat="1" ht="28.5" hidden="1" thickTop="1" x14ac:dyDescent="0.4">
      <c r="B70" s="8"/>
      <c r="C70" s="500">
        <v>3</v>
      </c>
      <c r="D70" s="506" t="s">
        <v>846</v>
      </c>
      <c r="E70" s="502"/>
      <c r="F70" s="502"/>
      <c r="G70" s="502"/>
      <c r="H70" s="502"/>
      <c r="I70" s="552" t="e">
        <f t="shared" si="1"/>
        <v>#DIV/0!</v>
      </c>
      <c r="J70" s="543" t="e">
        <f t="shared" si="2"/>
        <v>#DIV/0!</v>
      </c>
      <c r="K70" s="544" t="e">
        <f>AVERAGE(January_26!J113,J70)</f>
        <v>#DIV/0!</v>
      </c>
      <c r="L70" s="596"/>
      <c r="M70" s="596"/>
      <c r="N70" s="596"/>
      <c r="O70" s="596"/>
      <c r="P70" s="596"/>
      <c r="R70"/>
      <c r="S70"/>
      <c r="V70"/>
      <c r="AA70"/>
    </row>
    <row r="71" spans="2:27" s="1" customFormat="1" ht="28.5" hidden="1" thickTop="1" x14ac:dyDescent="0.4">
      <c r="B71" s="8"/>
      <c r="C71" s="505">
        <v>4</v>
      </c>
      <c r="D71" s="506" t="s">
        <v>18</v>
      </c>
      <c r="E71" s="510"/>
      <c r="F71" s="510"/>
      <c r="G71" s="510"/>
      <c r="H71" s="510"/>
      <c r="I71" s="552" t="e">
        <f t="shared" si="1"/>
        <v>#DIV/0!</v>
      </c>
      <c r="J71" s="543" t="e">
        <f t="shared" si="2"/>
        <v>#DIV/0!</v>
      </c>
      <c r="K71" s="544" t="e">
        <f>AVERAGE(January_26!J114,J71)</f>
        <v>#DIV/0!</v>
      </c>
      <c r="L71" s="596"/>
      <c r="M71" s="596"/>
      <c r="N71" s="596"/>
      <c r="O71" s="596"/>
      <c r="P71" s="596"/>
      <c r="Q71" s="159"/>
      <c r="R71" s="160"/>
      <c r="S71" s="161"/>
      <c r="T71" s="234"/>
      <c r="U71" s="234"/>
      <c r="V71"/>
    </row>
    <row r="72" spans="2:27" s="1" customFormat="1" ht="28.5" hidden="1" thickTop="1" x14ac:dyDescent="0.4">
      <c r="B72" s="8"/>
      <c r="C72" s="500">
        <v>5</v>
      </c>
      <c r="D72" s="509" t="s">
        <v>26</v>
      </c>
      <c r="E72" s="510"/>
      <c r="F72" s="510"/>
      <c r="G72" s="510"/>
      <c r="H72" s="510"/>
      <c r="I72" s="552" t="e">
        <f t="shared" si="1"/>
        <v>#DIV/0!</v>
      </c>
      <c r="J72" s="543" t="e">
        <f t="shared" si="2"/>
        <v>#DIV/0!</v>
      </c>
      <c r="K72" s="544" t="e">
        <f>AVERAGE(January_26!J115,J72)</f>
        <v>#DIV/0!</v>
      </c>
      <c r="L72" s="596"/>
      <c r="M72" s="596"/>
      <c r="N72" s="596"/>
      <c r="O72" s="596"/>
      <c r="P72" s="596"/>
      <c r="Q72" s="159"/>
      <c r="R72"/>
      <c r="S72" s="6"/>
      <c r="T72" s="10"/>
      <c r="U72" s="10"/>
      <c r="V72"/>
    </row>
    <row r="73" spans="2:27" s="1" customFormat="1" ht="28.5" hidden="1" thickTop="1" x14ac:dyDescent="0.4">
      <c r="B73" s="8"/>
      <c r="C73" s="505">
        <v>6</v>
      </c>
      <c r="D73" s="506" t="s">
        <v>25</v>
      </c>
      <c r="E73" s="510"/>
      <c r="F73" s="510"/>
      <c r="G73" s="510"/>
      <c r="H73" s="510"/>
      <c r="I73" s="552" t="e">
        <f t="shared" si="1"/>
        <v>#DIV/0!</v>
      </c>
      <c r="J73" s="543" t="e">
        <f t="shared" si="2"/>
        <v>#DIV/0!</v>
      </c>
      <c r="K73" s="544" t="e">
        <f>AVERAGE(January_26!J116,J73)</f>
        <v>#DIV/0!</v>
      </c>
      <c r="L73" s="596"/>
      <c r="M73" s="596"/>
      <c r="N73" s="596"/>
      <c r="O73" s="596"/>
      <c r="P73" s="596"/>
      <c r="Q73" s="159"/>
      <c r="R73" s="465"/>
      <c r="S73" s="139"/>
      <c r="V73"/>
    </row>
    <row r="74" spans="2:27" s="1" customFormat="1" ht="28.5" hidden="1" thickTop="1" x14ac:dyDescent="0.4">
      <c r="B74" s="8"/>
      <c r="C74" s="526">
        <v>7</v>
      </c>
      <c r="D74" s="509" t="s">
        <v>847</v>
      </c>
      <c r="E74" s="510"/>
      <c r="F74" s="510"/>
      <c r="G74" s="510"/>
      <c r="H74" s="510"/>
      <c r="I74" s="552" t="e">
        <f t="shared" si="1"/>
        <v>#DIV/0!</v>
      </c>
      <c r="J74" s="543" t="e">
        <f t="shared" si="2"/>
        <v>#DIV/0!</v>
      </c>
      <c r="K74" s="544" t="e">
        <f>AVERAGE(January_26!J117,J74)</f>
        <v>#DIV/0!</v>
      </c>
      <c r="L74" s="596"/>
      <c r="M74" s="596"/>
      <c r="N74" s="596"/>
      <c r="O74" s="596"/>
      <c r="P74" s="596"/>
      <c r="Q74" s="159"/>
      <c r="R74" s="465"/>
      <c r="S74" s="139"/>
      <c r="V74"/>
    </row>
    <row r="75" spans="2:27" s="1" customFormat="1" ht="28.5" hidden="1" thickTop="1" x14ac:dyDescent="0.4">
      <c r="C75" s="526">
        <v>8</v>
      </c>
      <c r="D75" s="598" t="s">
        <v>856</v>
      </c>
      <c r="E75" s="599"/>
      <c r="F75" s="599"/>
      <c r="G75" s="599"/>
      <c r="H75" s="599"/>
      <c r="I75" s="552" t="e">
        <f t="shared" si="1"/>
        <v>#DIV/0!</v>
      </c>
      <c r="J75" s="543" t="e">
        <f t="shared" si="2"/>
        <v>#DIV/0!</v>
      </c>
      <c r="K75" s="544" t="e">
        <f>AVERAGE(January_26!J118,J75)</f>
        <v>#DIV/0!</v>
      </c>
      <c r="L75" s="596"/>
      <c r="M75" s="596"/>
      <c r="N75" s="596"/>
      <c r="O75" s="596"/>
      <c r="P75" s="596"/>
      <c r="Q75" s="159"/>
      <c r="R75"/>
      <c r="S75" s="465"/>
      <c r="V75"/>
    </row>
    <row r="76" spans="2:27" s="1" customFormat="1" ht="29.25" hidden="1" thickTop="1" thickBot="1" x14ac:dyDescent="0.45">
      <c r="C76" s="511"/>
      <c r="D76" s="512" t="s">
        <v>22</v>
      </c>
      <c r="E76" s="513">
        <f>SUM(E68:E75)</f>
        <v>0</v>
      </c>
      <c r="F76" s="513">
        <f>SUM(F68:F74)</f>
        <v>0</v>
      </c>
      <c r="G76" s="513">
        <f>SUM(G68:G75)</f>
        <v>0</v>
      </c>
      <c r="H76" s="513">
        <f>SUM(H68:H75)</f>
        <v>0</v>
      </c>
      <c r="I76" s="551" t="e">
        <f>((G76)-(H76))/(G76)</f>
        <v>#DIV/0!</v>
      </c>
      <c r="J76" s="514" t="e">
        <f>E76*24/((F76)/60)/17000</f>
        <v>#DIV/0!</v>
      </c>
      <c r="K76" s="515">
        <f>S66</f>
        <v>0.4441614773195306</v>
      </c>
      <c r="L76" s="596"/>
      <c r="M76" s="596"/>
      <c r="N76" s="596"/>
      <c r="O76" s="596"/>
      <c r="P76" s="596"/>
      <c r="Q76" s="159"/>
      <c r="R76"/>
      <c r="S76"/>
      <c r="V76"/>
      <c r="W76" s="316"/>
      <c r="X76" s="317"/>
      <c r="Y76" s="317"/>
      <c r="Z76" s="317"/>
    </row>
    <row r="77" spans="2:27" s="1" customFormat="1" ht="29.25" thickTop="1" thickBot="1" x14ac:dyDescent="0.45">
      <c r="C77" s="832"/>
      <c r="D77" s="833"/>
      <c r="E77" s="834"/>
      <c r="F77" s="834"/>
      <c r="G77" s="834"/>
      <c r="H77" s="834"/>
      <c r="I77" s="835"/>
      <c r="J77" s="606"/>
      <c r="K77" s="606"/>
      <c r="L77" s="596"/>
      <c r="M77" s="596"/>
      <c r="N77" s="596"/>
      <c r="O77" s="596"/>
      <c r="P77" s="596"/>
      <c r="Q77" s="159"/>
      <c r="R77"/>
      <c r="S77"/>
      <c r="V77"/>
      <c r="W77" s="316"/>
      <c r="X77" s="317"/>
      <c r="Y77" s="317"/>
      <c r="Z77" s="317"/>
    </row>
    <row r="78" spans="2:27" s="1" customFormat="1" ht="37.5" customHeight="1" thickBot="1" x14ac:dyDescent="0.3">
      <c r="C78" s="528"/>
      <c r="D78" s="528"/>
      <c r="E78" s="528"/>
      <c r="F78" s="528"/>
      <c r="G78" s="528"/>
      <c r="H78" s="528"/>
      <c r="I78" s="528"/>
      <c r="J78" s="529"/>
      <c r="K78" s="529"/>
      <c r="L78" s="596"/>
      <c r="M78" s="596"/>
      <c r="N78" s="596"/>
      <c r="O78" s="596"/>
      <c r="P78" s="596"/>
      <c r="Q78" s="528"/>
      <c r="R78"/>
      <c r="S78" s="128">
        <f>($P$79)*24/($Q$79/60)/17000</f>
        <v>0.4441614773195306</v>
      </c>
      <c r="V78" s="9"/>
    </row>
    <row r="79" spans="2:27" s="1" customFormat="1" ht="29.25" customHeight="1" thickTop="1" thickBot="1" x14ac:dyDescent="0.3">
      <c r="C79" s="528"/>
      <c r="D79" s="528"/>
      <c r="E79" s="528"/>
      <c r="F79" s="528"/>
      <c r="G79" s="528"/>
      <c r="H79" s="528"/>
      <c r="I79" s="528"/>
      <c r="J79" s="529"/>
      <c r="K79" s="529"/>
      <c r="L79" s="529"/>
      <c r="M79" s="529"/>
      <c r="N79" s="529"/>
      <c r="O79" s="600" t="s">
        <v>36</v>
      </c>
      <c r="P79" s="530">
        <f>G65</f>
        <v>200703</v>
      </c>
      <c r="Q79" s="531">
        <f>January_26!K103+K60</f>
        <v>38276</v>
      </c>
      <c r="R79" s="316" t="s">
        <v>858</v>
      </c>
      <c r="S79" s="128">
        <f>($P$79)*24/($Q$79/60)/17000</f>
        <v>0.4441614773195306</v>
      </c>
      <c r="V79" s="9"/>
    </row>
    <row r="80" spans="2:27" s="1" customFormat="1" ht="21.75" thickTop="1" thickBot="1" x14ac:dyDescent="0.35">
      <c r="C80" s="528"/>
      <c r="D80" s="528"/>
      <c r="E80" s="528"/>
      <c r="F80" s="528"/>
      <c r="G80" s="528"/>
      <c r="H80" s="528"/>
      <c r="I80" s="528"/>
      <c r="J80" s="529"/>
      <c r="K80" s="529"/>
      <c r="L80" s="529"/>
      <c r="M80" s="529"/>
      <c r="N80" s="529"/>
      <c r="O80" s="600" t="s">
        <v>857</v>
      </c>
      <c r="P80" s="530">
        <f>January_26!F103+F60</f>
        <v>13604.409440000001</v>
      </c>
      <c r="Q80" s="532">
        <f>January_26!H103+H60</f>
        <v>13316.060799999999</v>
      </c>
      <c r="R80" s="316" t="s">
        <v>859</v>
      </c>
      <c r="S80" s="87">
        <f>(P80-Q80)/P80</f>
        <v>2.1195233888814946E-2</v>
      </c>
      <c r="T80" s="463"/>
      <c r="U80" s="463"/>
      <c r="V80" s="9"/>
    </row>
    <row r="81" spans="10:22" s="1" customFormat="1" ht="13.5" thickTop="1" x14ac:dyDescent="0.2">
      <c r="J81"/>
      <c r="K81"/>
      <c r="L81"/>
      <c r="M81"/>
      <c r="N81"/>
      <c r="O81" s="392"/>
      <c r="P81" s="2"/>
      <c r="R81"/>
      <c r="S81"/>
      <c r="V81"/>
    </row>
    <row r="82" spans="10:22" s="1" customFormat="1" x14ac:dyDescent="0.2">
      <c r="J82"/>
      <c r="K82"/>
      <c r="L82"/>
      <c r="M82"/>
      <c r="N82"/>
      <c r="O82" s="392"/>
      <c r="P82" s="2"/>
      <c r="R82"/>
      <c r="S82"/>
      <c r="V82"/>
    </row>
    <row r="83" spans="10:22" s="1" customFormat="1" x14ac:dyDescent="0.2">
      <c r="J83"/>
      <c r="K83"/>
      <c r="L83"/>
      <c r="M83"/>
      <c r="N83"/>
      <c r="O83" s="392"/>
      <c r="P83" s="2"/>
      <c r="R83"/>
      <c r="S83"/>
      <c r="V83"/>
    </row>
    <row r="84" spans="10:22" s="1" customFormat="1" x14ac:dyDescent="0.2">
      <c r="J84"/>
      <c r="K84"/>
      <c r="L84"/>
      <c r="M84"/>
      <c r="N84"/>
      <c r="O84" s="392"/>
      <c r="P84" s="2"/>
      <c r="R84"/>
      <c r="S84"/>
      <c r="V84"/>
    </row>
    <row r="85" spans="10:22" s="1" customFormat="1" x14ac:dyDescent="0.2">
      <c r="J85"/>
      <c r="K85"/>
      <c r="L85"/>
      <c r="M85"/>
      <c r="N85"/>
      <c r="O85" s="392"/>
      <c r="P85" s="2"/>
      <c r="R85"/>
      <c r="S85"/>
      <c r="V85"/>
    </row>
    <row r="86" spans="10:22" s="1" customFormat="1" x14ac:dyDescent="0.2">
      <c r="J86"/>
      <c r="K86"/>
      <c r="L86"/>
      <c r="M86"/>
      <c r="N86"/>
      <c r="O86" s="392"/>
      <c r="P86" s="2"/>
      <c r="R86"/>
      <c r="S86"/>
      <c r="V86"/>
    </row>
    <row r="87" spans="10:22" s="1" customFormat="1" x14ac:dyDescent="0.2">
      <c r="J87"/>
      <c r="K87"/>
      <c r="L87"/>
      <c r="M87"/>
      <c r="N87"/>
      <c r="O87" s="392"/>
      <c r="P87" s="2"/>
      <c r="R87"/>
      <c r="S87"/>
      <c r="V87"/>
    </row>
    <row r="88" spans="10:22" s="1" customFormat="1" x14ac:dyDescent="0.2">
      <c r="J88"/>
      <c r="K88"/>
      <c r="L88"/>
      <c r="M88"/>
      <c r="N88"/>
      <c r="O88" s="392"/>
      <c r="P88" s="2"/>
      <c r="R88"/>
      <c r="S88"/>
      <c r="V88"/>
    </row>
    <row r="89" spans="10:22" s="1" customFormat="1" x14ac:dyDescent="0.2">
      <c r="J89"/>
      <c r="K89"/>
      <c r="L89"/>
      <c r="M89"/>
      <c r="N89"/>
      <c r="O89" s="392"/>
      <c r="P89" s="2"/>
      <c r="R89"/>
      <c r="S89"/>
      <c r="V89"/>
    </row>
    <row r="90" spans="10:22" s="1" customFormat="1" x14ac:dyDescent="0.2">
      <c r="J90"/>
      <c r="K90"/>
      <c r="L90"/>
      <c r="M90"/>
      <c r="N90"/>
      <c r="O90" s="392"/>
      <c r="P90" s="2"/>
      <c r="R90"/>
      <c r="S90"/>
      <c r="V90"/>
    </row>
    <row r="91" spans="10:22" s="1" customFormat="1" x14ac:dyDescent="0.2">
      <c r="J91"/>
      <c r="K91"/>
      <c r="L91"/>
      <c r="M91"/>
      <c r="N91"/>
      <c r="O91" s="392"/>
      <c r="P91" s="2"/>
      <c r="R91"/>
      <c r="S91"/>
      <c r="V91"/>
    </row>
    <row r="92" spans="10:22" s="1" customFormat="1" x14ac:dyDescent="0.2">
      <c r="J92"/>
      <c r="K92"/>
      <c r="L92"/>
      <c r="M92"/>
      <c r="N92"/>
      <c r="O92" s="392"/>
      <c r="P92" s="2"/>
      <c r="R92"/>
      <c r="S92"/>
      <c r="V92"/>
    </row>
    <row r="93" spans="10:22" s="1" customFormat="1" x14ac:dyDescent="0.2">
      <c r="J93"/>
      <c r="K93"/>
      <c r="L93"/>
      <c r="M93"/>
      <c r="N93"/>
      <c r="O93" s="392"/>
      <c r="P93" s="2"/>
      <c r="R93"/>
      <c r="S93"/>
      <c r="V93"/>
    </row>
    <row r="94" spans="10:22" s="1" customFormat="1" x14ac:dyDescent="0.2">
      <c r="J94"/>
      <c r="K94"/>
      <c r="L94"/>
      <c r="M94"/>
      <c r="N94"/>
      <c r="O94" s="392"/>
      <c r="P94" s="2"/>
      <c r="R94"/>
      <c r="S94"/>
      <c r="V94"/>
    </row>
    <row r="95" spans="10:22" s="1" customFormat="1" x14ac:dyDescent="0.2">
      <c r="J95"/>
      <c r="K95"/>
      <c r="L95"/>
      <c r="M95"/>
      <c r="N95"/>
      <c r="O95" s="392"/>
      <c r="P95" s="2"/>
      <c r="R95"/>
      <c r="S95"/>
      <c r="V95"/>
    </row>
    <row r="96" spans="10:22" s="1" customFormat="1" x14ac:dyDescent="0.2">
      <c r="J96"/>
      <c r="K96"/>
      <c r="L96"/>
      <c r="M96"/>
      <c r="N96"/>
      <c r="O96" s="392"/>
      <c r="P96" s="2"/>
      <c r="R96"/>
      <c r="S96"/>
      <c r="V96"/>
    </row>
    <row r="97" spans="10:22" s="1" customFormat="1" x14ac:dyDescent="0.2">
      <c r="J97"/>
      <c r="K97"/>
      <c r="L97"/>
      <c r="M97"/>
      <c r="N97"/>
      <c r="O97" s="392"/>
      <c r="P97" s="2"/>
      <c r="R97"/>
      <c r="S97"/>
      <c r="V97"/>
    </row>
    <row r="98" spans="10:22" s="1" customFormat="1" x14ac:dyDescent="0.2">
      <c r="J98"/>
      <c r="K98"/>
      <c r="L98"/>
      <c r="M98"/>
      <c r="N98"/>
      <c r="O98" s="392"/>
      <c r="P98" s="2"/>
      <c r="R98"/>
      <c r="S98"/>
      <c r="V98"/>
    </row>
    <row r="99" spans="10:22" s="1" customFormat="1" x14ac:dyDescent="0.2">
      <c r="J99"/>
      <c r="K99"/>
      <c r="L99"/>
      <c r="M99"/>
      <c r="N99"/>
      <c r="O99" s="392"/>
      <c r="P99" s="2"/>
      <c r="R99"/>
      <c r="S99"/>
      <c r="V99"/>
    </row>
    <row r="100" spans="10:22" s="1" customFormat="1" x14ac:dyDescent="0.2">
      <c r="J100"/>
      <c r="K100"/>
      <c r="L100"/>
      <c r="M100"/>
      <c r="N100"/>
      <c r="O100" s="392"/>
      <c r="P100" s="2"/>
      <c r="R100"/>
      <c r="S100"/>
      <c r="V100"/>
    </row>
    <row r="101" spans="10:22" s="1" customFormat="1" x14ac:dyDescent="0.2">
      <c r="J101"/>
      <c r="K101"/>
      <c r="L101"/>
      <c r="M101"/>
      <c r="N101"/>
      <c r="O101" s="392"/>
      <c r="P101" s="2"/>
      <c r="R101"/>
      <c r="S101"/>
      <c r="V101"/>
    </row>
    <row r="102" spans="10:22" s="1" customFormat="1" x14ac:dyDescent="0.2">
      <c r="J102"/>
      <c r="K102"/>
      <c r="L102"/>
      <c r="M102"/>
      <c r="N102"/>
      <c r="O102" s="392"/>
      <c r="P102" s="2"/>
      <c r="R102"/>
      <c r="S102"/>
      <c r="V102"/>
    </row>
    <row r="103" spans="10:22" s="1" customFormat="1" x14ac:dyDescent="0.2">
      <c r="J103"/>
      <c r="K103"/>
      <c r="L103"/>
      <c r="M103"/>
      <c r="N103"/>
      <c r="O103" s="392"/>
      <c r="P103" s="2"/>
      <c r="R103"/>
      <c r="S103"/>
      <c r="V103"/>
    </row>
    <row r="104" spans="10:22" s="1" customFormat="1" x14ac:dyDescent="0.2">
      <c r="J104"/>
      <c r="K104"/>
      <c r="L104"/>
      <c r="M104"/>
      <c r="N104"/>
      <c r="O104" s="392"/>
      <c r="P104" s="2"/>
      <c r="R104"/>
      <c r="S104"/>
      <c r="V104"/>
    </row>
    <row r="105" spans="10:22" s="1" customFormat="1" x14ac:dyDescent="0.2">
      <c r="J105"/>
      <c r="K105"/>
      <c r="L105"/>
      <c r="M105"/>
      <c r="N105"/>
      <c r="O105" s="392"/>
      <c r="P105" s="2"/>
      <c r="R105"/>
      <c r="S105"/>
      <c r="V105"/>
    </row>
    <row r="106" spans="10:22" s="1" customFormat="1" x14ac:dyDescent="0.2">
      <c r="J106"/>
      <c r="K106"/>
      <c r="L106"/>
      <c r="M106"/>
      <c r="N106"/>
      <c r="O106" s="392"/>
      <c r="P106" s="2"/>
      <c r="R106"/>
      <c r="S106"/>
      <c r="V106"/>
    </row>
    <row r="107" spans="10:22" s="1" customFormat="1" x14ac:dyDescent="0.2">
      <c r="J107"/>
      <c r="K107"/>
      <c r="L107"/>
      <c r="M107"/>
      <c r="N107"/>
      <c r="O107" s="392"/>
      <c r="P107" s="2"/>
      <c r="R107"/>
      <c r="S107"/>
      <c r="V107"/>
    </row>
    <row r="108" spans="10:22" s="1" customFormat="1" x14ac:dyDescent="0.2">
      <c r="J108"/>
      <c r="K108"/>
      <c r="L108"/>
      <c r="M108"/>
      <c r="N108"/>
      <c r="O108" s="392"/>
      <c r="P108" s="2"/>
      <c r="R108"/>
      <c r="S108"/>
      <c r="V108"/>
    </row>
    <row r="109" spans="10:22" s="1" customFormat="1" x14ac:dyDescent="0.2">
      <c r="J109"/>
      <c r="K109"/>
      <c r="L109"/>
      <c r="M109"/>
      <c r="N109"/>
      <c r="O109" s="392"/>
      <c r="P109" s="2"/>
      <c r="R109"/>
      <c r="S109"/>
      <c r="V109"/>
    </row>
    <row r="110" spans="10:22" s="1" customFormat="1" x14ac:dyDescent="0.2">
      <c r="J110"/>
      <c r="K110"/>
      <c r="L110"/>
      <c r="M110"/>
      <c r="N110"/>
      <c r="O110" s="392"/>
      <c r="P110" s="2"/>
      <c r="R110"/>
      <c r="S110"/>
      <c r="V110"/>
    </row>
    <row r="111" spans="10:22" s="1" customFormat="1" x14ac:dyDescent="0.2">
      <c r="J111"/>
      <c r="K111"/>
      <c r="L111"/>
      <c r="M111"/>
      <c r="N111"/>
      <c r="O111" s="392"/>
      <c r="P111" s="2"/>
      <c r="R111"/>
      <c r="S111"/>
      <c r="V111"/>
    </row>
    <row r="112" spans="10:22" s="1" customFormat="1" x14ac:dyDescent="0.2">
      <c r="J112"/>
      <c r="K112"/>
      <c r="L112"/>
      <c r="M112"/>
      <c r="N112"/>
      <c r="O112" s="392"/>
      <c r="P112" s="2"/>
      <c r="R112"/>
      <c r="S112"/>
      <c r="V112"/>
    </row>
    <row r="113" spans="10:22" s="1" customFormat="1" x14ac:dyDescent="0.2">
      <c r="J113"/>
      <c r="K113"/>
      <c r="L113"/>
      <c r="M113"/>
      <c r="N113"/>
      <c r="O113" s="392"/>
      <c r="P113" s="2"/>
      <c r="R113"/>
      <c r="S113"/>
      <c r="V113"/>
    </row>
    <row r="114" spans="10:22" s="1" customFormat="1" x14ac:dyDescent="0.2">
      <c r="J114"/>
      <c r="K114"/>
      <c r="L114"/>
      <c r="M114"/>
      <c r="N114"/>
      <c r="O114" s="392"/>
      <c r="P114" s="2"/>
      <c r="R114"/>
      <c r="S114"/>
      <c r="V114"/>
    </row>
    <row r="115" spans="10:22" s="1" customFormat="1" x14ac:dyDescent="0.2">
      <c r="J115"/>
      <c r="K115"/>
      <c r="L115"/>
      <c r="M115"/>
      <c r="N115"/>
      <c r="O115" s="392"/>
      <c r="P115" s="2"/>
      <c r="R115"/>
      <c r="S115"/>
      <c r="V115"/>
    </row>
    <row r="116" spans="10:22" s="1" customFormat="1" x14ac:dyDescent="0.2">
      <c r="J116"/>
      <c r="K116"/>
      <c r="L116"/>
      <c r="M116"/>
      <c r="N116"/>
      <c r="O116" s="392"/>
      <c r="P116" s="2"/>
      <c r="R116"/>
      <c r="S116"/>
      <c r="V116"/>
    </row>
    <row r="117" spans="10:22" s="1" customFormat="1" x14ac:dyDescent="0.2">
      <c r="J117"/>
      <c r="K117"/>
      <c r="L117"/>
      <c r="M117"/>
      <c r="N117"/>
      <c r="O117" s="392"/>
      <c r="P117" s="2"/>
      <c r="R117"/>
      <c r="S117"/>
      <c r="V117"/>
    </row>
    <row r="118" spans="10:22" s="1" customFormat="1" x14ac:dyDescent="0.2">
      <c r="J118"/>
      <c r="K118"/>
      <c r="L118"/>
      <c r="M118"/>
      <c r="N118"/>
      <c r="O118" s="392"/>
      <c r="P118" s="2"/>
      <c r="R118"/>
      <c r="S118"/>
      <c r="V118"/>
    </row>
    <row r="119" spans="10:22" s="1" customFormat="1" x14ac:dyDescent="0.2">
      <c r="J119"/>
      <c r="K119"/>
      <c r="L119"/>
      <c r="M119"/>
      <c r="N119"/>
      <c r="O119" s="392"/>
      <c r="P119" s="2"/>
      <c r="R119"/>
      <c r="S119"/>
      <c r="V119"/>
    </row>
    <row r="120" spans="10:22" s="1" customFormat="1" x14ac:dyDescent="0.2">
      <c r="J120"/>
      <c r="K120"/>
      <c r="L120"/>
      <c r="M120"/>
      <c r="N120"/>
      <c r="O120" s="392"/>
      <c r="P120" s="2"/>
      <c r="R120"/>
      <c r="S120"/>
      <c r="V120"/>
    </row>
    <row r="121" spans="10:22" s="1" customFormat="1" x14ac:dyDescent="0.2">
      <c r="J121"/>
      <c r="K121"/>
      <c r="L121"/>
      <c r="M121"/>
      <c r="N121"/>
      <c r="O121" s="392"/>
      <c r="P121" s="2"/>
      <c r="R121"/>
      <c r="S121"/>
      <c r="V121"/>
    </row>
    <row r="122" spans="10:22" s="1" customFormat="1" x14ac:dyDescent="0.2">
      <c r="J122"/>
      <c r="K122"/>
      <c r="L122"/>
      <c r="M122"/>
      <c r="N122"/>
      <c r="O122" s="392"/>
      <c r="P122" s="2"/>
      <c r="R122"/>
      <c r="S122"/>
      <c r="V122"/>
    </row>
    <row r="123" spans="10:22" s="1" customFormat="1" x14ac:dyDescent="0.2">
      <c r="J123"/>
      <c r="K123"/>
      <c r="L123"/>
      <c r="M123"/>
      <c r="N123"/>
      <c r="O123" s="392"/>
      <c r="P123" s="2"/>
      <c r="R123"/>
      <c r="S123"/>
      <c r="V123"/>
    </row>
    <row r="124" spans="10:22" s="1" customFormat="1" x14ac:dyDescent="0.2">
      <c r="J124"/>
      <c r="K124"/>
      <c r="L124"/>
      <c r="M124"/>
      <c r="N124"/>
      <c r="O124" s="392"/>
      <c r="P124" s="2"/>
      <c r="R124"/>
      <c r="S124"/>
      <c r="V124"/>
    </row>
    <row r="125" spans="10:22" s="1" customFormat="1" x14ac:dyDescent="0.2">
      <c r="J125"/>
      <c r="K125"/>
      <c r="L125"/>
      <c r="M125"/>
      <c r="N125"/>
      <c r="O125" s="392"/>
      <c r="P125" s="2"/>
      <c r="R125"/>
      <c r="S125"/>
      <c r="V125"/>
    </row>
    <row r="126" spans="10:22" s="1" customFormat="1" x14ac:dyDescent="0.2">
      <c r="J126"/>
      <c r="K126"/>
      <c r="L126"/>
      <c r="M126"/>
      <c r="N126"/>
      <c r="O126" s="392"/>
      <c r="P126" s="2"/>
      <c r="R126"/>
      <c r="S126"/>
      <c r="V126"/>
    </row>
    <row r="127" spans="10:22" s="1" customFormat="1" x14ac:dyDescent="0.2">
      <c r="J127"/>
      <c r="K127"/>
      <c r="L127"/>
      <c r="M127"/>
      <c r="N127"/>
      <c r="O127" s="392"/>
      <c r="P127" s="2"/>
      <c r="R127"/>
      <c r="S127"/>
      <c r="V127"/>
    </row>
    <row r="128" spans="10:22" s="1" customFormat="1" x14ac:dyDescent="0.2">
      <c r="J128"/>
      <c r="K128"/>
      <c r="L128"/>
      <c r="M128"/>
      <c r="N128"/>
      <c r="O128" s="392"/>
      <c r="P128" s="2"/>
      <c r="R128"/>
      <c r="S128"/>
      <c r="V128"/>
    </row>
    <row r="129" spans="10:22" s="1" customFormat="1" x14ac:dyDescent="0.2">
      <c r="J129"/>
      <c r="K129"/>
      <c r="L129"/>
      <c r="M129"/>
      <c r="N129"/>
      <c r="O129" s="392"/>
      <c r="P129" s="2"/>
      <c r="R129"/>
      <c r="S129"/>
      <c r="V129"/>
    </row>
    <row r="130" spans="10:22" s="1" customFormat="1" x14ac:dyDescent="0.2">
      <c r="J130"/>
      <c r="K130"/>
      <c r="L130"/>
      <c r="M130"/>
      <c r="N130"/>
      <c r="O130" s="392"/>
      <c r="P130" s="2"/>
      <c r="R130"/>
      <c r="S130"/>
      <c r="V130"/>
    </row>
    <row r="131" spans="10:22" s="1" customFormat="1" x14ac:dyDescent="0.2">
      <c r="J131"/>
      <c r="K131"/>
      <c r="L131"/>
      <c r="M131"/>
      <c r="N131"/>
      <c r="O131" s="392"/>
      <c r="P131" s="2"/>
      <c r="R131"/>
      <c r="S131"/>
      <c r="V131"/>
    </row>
    <row r="132" spans="10:22" s="1" customFormat="1" x14ac:dyDescent="0.2">
      <c r="J132"/>
      <c r="K132"/>
      <c r="L132"/>
      <c r="M132"/>
      <c r="N132"/>
      <c r="O132" s="392"/>
      <c r="P132" s="2"/>
      <c r="R132"/>
      <c r="S132"/>
      <c r="V132"/>
    </row>
    <row r="133" spans="10:22" s="1" customFormat="1" x14ac:dyDescent="0.2">
      <c r="J133"/>
      <c r="K133"/>
      <c r="L133"/>
      <c r="M133"/>
      <c r="N133"/>
      <c r="O133" s="392"/>
      <c r="P133" s="2"/>
      <c r="R133"/>
      <c r="S133"/>
      <c r="V133"/>
    </row>
    <row r="134" spans="10:22" s="1" customFormat="1" x14ac:dyDescent="0.2">
      <c r="J134"/>
      <c r="K134"/>
      <c r="L134"/>
      <c r="M134"/>
      <c r="N134"/>
      <c r="O134" s="392"/>
      <c r="P134" s="2"/>
      <c r="R134"/>
      <c r="S134"/>
      <c r="V134"/>
    </row>
    <row r="135" spans="10:22" s="1" customFormat="1" x14ac:dyDescent="0.2">
      <c r="J135"/>
      <c r="K135"/>
      <c r="L135"/>
      <c r="M135"/>
      <c r="N135"/>
      <c r="O135" s="392"/>
      <c r="P135" s="2"/>
      <c r="R135"/>
      <c r="S135"/>
      <c r="V135"/>
    </row>
    <row r="136" spans="10:22" s="1" customFormat="1" x14ac:dyDescent="0.2">
      <c r="J136"/>
      <c r="K136"/>
      <c r="L136"/>
      <c r="M136"/>
      <c r="N136"/>
      <c r="O136" s="392"/>
      <c r="P136" s="2"/>
      <c r="R136"/>
      <c r="S136"/>
      <c r="V136"/>
    </row>
    <row r="137" spans="10:22" s="1" customFormat="1" x14ac:dyDescent="0.2">
      <c r="J137"/>
      <c r="K137"/>
      <c r="L137"/>
      <c r="M137"/>
      <c r="N137"/>
      <c r="O137" s="392"/>
      <c r="P137" s="2"/>
      <c r="R137"/>
      <c r="S137"/>
      <c r="V137"/>
    </row>
    <row r="138" spans="10:22" s="1" customFormat="1" x14ac:dyDescent="0.2">
      <c r="J138"/>
      <c r="K138"/>
      <c r="L138"/>
      <c r="M138"/>
      <c r="N138"/>
      <c r="O138" s="392"/>
      <c r="P138" s="2"/>
      <c r="R138"/>
      <c r="S138"/>
      <c r="V138"/>
    </row>
    <row r="139" spans="10:22" s="1" customFormat="1" x14ac:dyDescent="0.2">
      <c r="J139"/>
      <c r="K139"/>
      <c r="L139"/>
      <c r="M139"/>
      <c r="N139"/>
      <c r="O139" s="392"/>
      <c r="P139" s="2"/>
      <c r="R139"/>
      <c r="S139"/>
      <c r="V139"/>
    </row>
    <row r="140" spans="10:22" s="1" customFormat="1" x14ac:dyDescent="0.2">
      <c r="J140"/>
      <c r="K140"/>
      <c r="L140"/>
      <c r="M140"/>
      <c r="N140"/>
      <c r="O140" s="392"/>
      <c r="P140" s="2"/>
      <c r="R140"/>
      <c r="S140"/>
      <c r="V140"/>
    </row>
    <row r="141" spans="10:22" s="1" customFormat="1" x14ac:dyDescent="0.2">
      <c r="J141"/>
      <c r="K141"/>
      <c r="L141"/>
      <c r="M141"/>
      <c r="N141"/>
      <c r="O141" s="392"/>
      <c r="P141" s="2"/>
      <c r="R141"/>
      <c r="S141"/>
      <c r="V141"/>
    </row>
    <row r="142" spans="10:22" s="1" customFormat="1" x14ac:dyDescent="0.2">
      <c r="J142"/>
      <c r="K142"/>
      <c r="L142"/>
      <c r="M142"/>
      <c r="N142"/>
      <c r="O142" s="392"/>
      <c r="P142" s="2"/>
      <c r="R142"/>
      <c r="S142"/>
      <c r="V142"/>
    </row>
    <row r="143" spans="10:22" s="1" customFormat="1" x14ac:dyDescent="0.2">
      <c r="J143"/>
      <c r="K143"/>
      <c r="L143"/>
      <c r="M143"/>
      <c r="N143"/>
      <c r="O143" s="392"/>
      <c r="P143" s="2"/>
      <c r="R143"/>
      <c r="S143"/>
      <c r="V143"/>
    </row>
    <row r="144" spans="10:22" s="1" customFormat="1" x14ac:dyDescent="0.2">
      <c r="J144"/>
      <c r="K144"/>
      <c r="L144"/>
      <c r="M144"/>
      <c r="N144"/>
      <c r="O144" s="392"/>
      <c r="P144" s="2"/>
      <c r="R144"/>
      <c r="S144"/>
      <c r="V144"/>
    </row>
    <row r="145" spans="10:22" s="1" customFormat="1" x14ac:dyDescent="0.2">
      <c r="J145"/>
      <c r="K145"/>
      <c r="L145"/>
      <c r="M145"/>
      <c r="N145"/>
      <c r="O145" s="392"/>
      <c r="P145" s="2"/>
      <c r="R145"/>
      <c r="S145"/>
      <c r="V145"/>
    </row>
    <row r="146" spans="10:22" s="1" customFormat="1" x14ac:dyDescent="0.2">
      <c r="J146"/>
      <c r="K146"/>
      <c r="L146"/>
      <c r="M146"/>
      <c r="N146"/>
      <c r="O146" s="392"/>
      <c r="P146" s="2"/>
      <c r="R146"/>
      <c r="S146"/>
      <c r="V146"/>
    </row>
    <row r="147" spans="10:22" s="1" customFormat="1" x14ac:dyDescent="0.2">
      <c r="J147"/>
      <c r="K147"/>
      <c r="L147"/>
      <c r="M147"/>
      <c r="N147"/>
      <c r="O147" s="392"/>
      <c r="P147" s="2"/>
      <c r="R147"/>
      <c r="S147"/>
      <c r="V147"/>
    </row>
    <row r="148" spans="10:22" s="1" customFormat="1" x14ac:dyDescent="0.2">
      <c r="J148"/>
      <c r="K148"/>
      <c r="L148"/>
      <c r="M148"/>
      <c r="N148"/>
      <c r="O148" s="392"/>
      <c r="P148" s="2"/>
      <c r="R148"/>
      <c r="S148"/>
      <c r="V148"/>
    </row>
    <row r="149" spans="10:22" s="1" customFormat="1" x14ac:dyDescent="0.2">
      <c r="J149"/>
      <c r="K149"/>
      <c r="L149"/>
      <c r="M149"/>
      <c r="N149"/>
      <c r="O149" s="392"/>
      <c r="P149" s="2"/>
      <c r="R149"/>
      <c r="S149"/>
      <c r="V149"/>
    </row>
    <row r="150" spans="10:22" s="1" customFormat="1" x14ac:dyDescent="0.2">
      <c r="J150"/>
      <c r="K150"/>
      <c r="L150"/>
      <c r="M150"/>
      <c r="N150"/>
      <c r="O150" s="392"/>
      <c r="P150" s="2"/>
      <c r="R150"/>
      <c r="S150"/>
      <c r="V150"/>
    </row>
    <row r="151" spans="10:22" s="1" customFormat="1" x14ac:dyDescent="0.2">
      <c r="J151"/>
      <c r="K151"/>
      <c r="L151"/>
      <c r="M151"/>
      <c r="N151"/>
      <c r="O151" s="392"/>
      <c r="P151" s="2"/>
      <c r="R151"/>
      <c r="S151"/>
      <c r="V151"/>
    </row>
    <row r="152" spans="10:22" s="1" customFormat="1" x14ac:dyDescent="0.2">
      <c r="J152"/>
      <c r="K152"/>
      <c r="L152"/>
      <c r="M152"/>
      <c r="N152"/>
      <c r="O152" s="392"/>
      <c r="P152" s="2"/>
      <c r="R152"/>
      <c r="S152"/>
      <c r="V152"/>
    </row>
    <row r="153" spans="10:22" s="1" customFormat="1" x14ac:dyDescent="0.2">
      <c r="J153"/>
      <c r="K153"/>
      <c r="L153"/>
      <c r="M153"/>
      <c r="N153"/>
      <c r="O153" s="392"/>
      <c r="P153" s="2"/>
      <c r="R153"/>
      <c r="S153"/>
      <c r="V153"/>
    </row>
    <row r="154" spans="10:22" s="1" customFormat="1" x14ac:dyDescent="0.2">
      <c r="J154"/>
      <c r="K154"/>
      <c r="L154"/>
      <c r="M154"/>
      <c r="N154"/>
      <c r="O154" s="392"/>
      <c r="P154" s="2"/>
      <c r="R154"/>
      <c r="S154"/>
      <c r="V154"/>
    </row>
    <row r="155" spans="10:22" s="1" customFormat="1" x14ac:dyDescent="0.2">
      <c r="J155"/>
      <c r="K155"/>
      <c r="L155"/>
      <c r="M155"/>
      <c r="N155"/>
      <c r="O155" s="392"/>
      <c r="P155" s="2"/>
      <c r="R155"/>
      <c r="S155"/>
      <c r="V155"/>
    </row>
    <row r="156" spans="10:22" s="1" customFormat="1" x14ac:dyDescent="0.2">
      <c r="J156"/>
      <c r="K156"/>
      <c r="L156"/>
      <c r="M156"/>
      <c r="N156"/>
      <c r="O156" s="392"/>
      <c r="P156" s="2"/>
      <c r="R156"/>
      <c r="S156"/>
      <c r="V156"/>
    </row>
    <row r="157" spans="10:22" s="1" customFormat="1" x14ac:dyDescent="0.2">
      <c r="J157"/>
      <c r="K157"/>
      <c r="L157"/>
      <c r="M157"/>
      <c r="N157"/>
      <c r="O157" s="392"/>
      <c r="P157" s="2"/>
      <c r="R157"/>
      <c r="S157"/>
      <c r="V157"/>
    </row>
    <row r="158" spans="10:22" s="1" customFormat="1" x14ac:dyDescent="0.2">
      <c r="J158"/>
      <c r="K158"/>
      <c r="L158"/>
      <c r="M158"/>
      <c r="N158"/>
      <c r="O158" s="392"/>
      <c r="P158" s="2"/>
      <c r="R158"/>
      <c r="S158"/>
      <c r="V158"/>
    </row>
    <row r="159" spans="10:22" s="1" customFormat="1" x14ac:dyDescent="0.2">
      <c r="J159"/>
      <c r="K159"/>
      <c r="L159"/>
      <c r="M159"/>
      <c r="N159"/>
      <c r="O159" s="392"/>
      <c r="P159" s="2"/>
      <c r="R159"/>
      <c r="S159"/>
      <c r="V159"/>
    </row>
    <row r="160" spans="10:22" s="1" customFormat="1" x14ac:dyDescent="0.2">
      <c r="J160"/>
      <c r="K160"/>
      <c r="L160"/>
      <c r="M160"/>
      <c r="N160"/>
      <c r="O160" s="392"/>
      <c r="P160" s="2"/>
      <c r="R160"/>
      <c r="S160"/>
      <c r="V160"/>
    </row>
    <row r="161" spans="10:22" s="1" customFormat="1" x14ac:dyDescent="0.2">
      <c r="J161"/>
      <c r="K161"/>
      <c r="L161"/>
      <c r="M161"/>
      <c r="N161"/>
      <c r="O161" s="392"/>
      <c r="P161" s="2"/>
      <c r="R161"/>
      <c r="S161"/>
      <c r="V161"/>
    </row>
    <row r="162" spans="10:22" s="1" customFormat="1" x14ac:dyDescent="0.2">
      <c r="J162"/>
      <c r="K162"/>
      <c r="L162"/>
      <c r="M162"/>
      <c r="N162"/>
      <c r="O162" s="392"/>
      <c r="P162" s="2"/>
      <c r="R162"/>
      <c r="S162"/>
      <c r="V162"/>
    </row>
    <row r="163" spans="10:22" s="1" customFormat="1" x14ac:dyDescent="0.2">
      <c r="J163"/>
      <c r="K163"/>
      <c r="L163"/>
      <c r="M163"/>
      <c r="N163"/>
      <c r="O163" s="392"/>
      <c r="P163" s="2"/>
      <c r="R163"/>
      <c r="S163"/>
      <c r="V163"/>
    </row>
    <row r="164" spans="10:22" s="1" customFormat="1" x14ac:dyDescent="0.2">
      <c r="J164"/>
      <c r="K164"/>
      <c r="L164"/>
      <c r="M164"/>
      <c r="N164"/>
      <c r="O164" s="392"/>
      <c r="P164" s="2"/>
      <c r="R164"/>
      <c r="S164"/>
      <c r="V164"/>
    </row>
    <row r="165" spans="10:22" s="1" customFormat="1" x14ac:dyDescent="0.2">
      <c r="J165"/>
      <c r="K165"/>
      <c r="L165"/>
      <c r="M165"/>
      <c r="N165"/>
      <c r="O165" s="392"/>
      <c r="P165" s="2"/>
      <c r="R165"/>
      <c r="S165"/>
      <c r="V165"/>
    </row>
    <row r="166" spans="10:22" s="1" customFormat="1" x14ac:dyDescent="0.2">
      <c r="J166"/>
      <c r="K166"/>
      <c r="L166"/>
      <c r="M166"/>
      <c r="N166"/>
      <c r="O166" s="392"/>
      <c r="P166" s="2"/>
      <c r="R166"/>
      <c r="S166"/>
      <c r="V166"/>
    </row>
    <row r="167" spans="10:22" s="1" customFormat="1" x14ac:dyDescent="0.2">
      <c r="J167"/>
      <c r="K167"/>
      <c r="L167"/>
      <c r="M167"/>
      <c r="N167"/>
      <c r="O167" s="392"/>
      <c r="P167" s="2"/>
      <c r="R167"/>
      <c r="S167"/>
      <c r="V167"/>
    </row>
    <row r="168" spans="10:22" s="1" customFormat="1" x14ac:dyDescent="0.2">
      <c r="J168"/>
      <c r="K168"/>
      <c r="L168"/>
      <c r="M168"/>
      <c r="N168"/>
      <c r="O168" s="392"/>
      <c r="P168" s="2"/>
      <c r="R168"/>
      <c r="S168"/>
      <c r="V168"/>
    </row>
    <row r="169" spans="10:22" s="1" customFormat="1" x14ac:dyDescent="0.2">
      <c r="J169"/>
      <c r="K169"/>
      <c r="L169"/>
      <c r="M169"/>
      <c r="N169"/>
      <c r="O169" s="392"/>
      <c r="P169" s="2"/>
      <c r="R169"/>
      <c r="S169"/>
      <c r="V169"/>
    </row>
    <row r="170" spans="10:22" s="1" customFormat="1" x14ac:dyDescent="0.2">
      <c r="J170"/>
      <c r="K170"/>
      <c r="L170"/>
      <c r="M170"/>
      <c r="N170"/>
      <c r="O170" s="392"/>
      <c r="P170" s="2"/>
      <c r="R170"/>
      <c r="S170"/>
      <c r="V170"/>
    </row>
    <row r="171" spans="10:22" s="1" customFormat="1" x14ac:dyDescent="0.2">
      <c r="J171"/>
      <c r="K171"/>
      <c r="L171"/>
      <c r="M171"/>
      <c r="N171"/>
      <c r="O171" s="392"/>
      <c r="P171" s="2"/>
      <c r="R171"/>
      <c r="S171"/>
      <c r="V171"/>
    </row>
    <row r="172" spans="10:22" s="1" customFormat="1" x14ac:dyDescent="0.2">
      <c r="J172"/>
      <c r="K172"/>
      <c r="L172"/>
      <c r="M172"/>
      <c r="N172"/>
      <c r="O172" s="392"/>
      <c r="P172" s="2"/>
      <c r="R172"/>
      <c r="S172"/>
      <c r="V172"/>
    </row>
    <row r="173" spans="10:22" s="1" customFormat="1" x14ac:dyDescent="0.2">
      <c r="J173"/>
      <c r="K173"/>
      <c r="L173"/>
      <c r="M173"/>
      <c r="N173"/>
      <c r="O173" s="392"/>
      <c r="P173" s="2"/>
      <c r="R173"/>
      <c r="S173"/>
      <c r="V173"/>
    </row>
    <row r="174" spans="10:22" s="1" customFormat="1" x14ac:dyDescent="0.2">
      <c r="J174"/>
      <c r="K174"/>
      <c r="L174"/>
      <c r="M174"/>
      <c r="N174"/>
      <c r="O174" s="392"/>
      <c r="P174" s="2"/>
      <c r="R174"/>
      <c r="S174"/>
      <c r="V174"/>
    </row>
    <row r="175" spans="10:22" s="1" customFormat="1" x14ac:dyDescent="0.2">
      <c r="J175"/>
      <c r="K175"/>
      <c r="L175"/>
      <c r="M175"/>
      <c r="N175"/>
      <c r="O175" s="392"/>
      <c r="P175" s="2"/>
      <c r="R175"/>
      <c r="S175"/>
      <c r="V175"/>
    </row>
    <row r="176" spans="10:22" s="1" customFormat="1" x14ac:dyDescent="0.2">
      <c r="J176"/>
      <c r="K176"/>
      <c r="L176"/>
      <c r="M176"/>
      <c r="N176"/>
      <c r="O176" s="392"/>
      <c r="P176" s="2"/>
      <c r="R176"/>
      <c r="S176"/>
      <c r="V176"/>
    </row>
    <row r="177" spans="10:22" s="1" customFormat="1" x14ac:dyDescent="0.2">
      <c r="J177"/>
      <c r="K177"/>
      <c r="L177"/>
      <c r="M177"/>
      <c r="N177"/>
      <c r="O177" s="392"/>
      <c r="P177" s="2"/>
      <c r="R177"/>
      <c r="S177"/>
      <c r="V177"/>
    </row>
    <row r="178" spans="10:22" s="1" customFormat="1" x14ac:dyDescent="0.2">
      <c r="J178"/>
      <c r="K178"/>
      <c r="L178"/>
      <c r="M178"/>
      <c r="N178"/>
      <c r="O178" s="392"/>
      <c r="P178" s="2"/>
      <c r="R178"/>
      <c r="S178"/>
      <c r="V178"/>
    </row>
    <row r="179" spans="10:22" s="1" customFormat="1" x14ac:dyDescent="0.2">
      <c r="J179"/>
      <c r="K179"/>
      <c r="L179"/>
      <c r="M179"/>
      <c r="N179"/>
      <c r="O179" s="392"/>
      <c r="P179" s="2"/>
      <c r="R179"/>
      <c r="S179"/>
      <c r="V179"/>
    </row>
    <row r="180" spans="10:22" s="1" customFormat="1" x14ac:dyDescent="0.2">
      <c r="J180"/>
      <c r="K180"/>
      <c r="L180"/>
      <c r="M180"/>
      <c r="N180"/>
      <c r="O180" s="392"/>
      <c r="P180" s="2"/>
      <c r="R180"/>
      <c r="S180"/>
      <c r="V180"/>
    </row>
    <row r="181" spans="10:22" s="1" customFormat="1" x14ac:dyDescent="0.2">
      <c r="J181"/>
      <c r="K181"/>
      <c r="L181"/>
      <c r="M181"/>
      <c r="N181"/>
      <c r="O181" s="392"/>
      <c r="P181" s="2"/>
      <c r="R181"/>
      <c r="S181"/>
      <c r="V181"/>
    </row>
    <row r="182" spans="10:22" s="1" customFormat="1" x14ac:dyDescent="0.2">
      <c r="J182"/>
      <c r="K182"/>
      <c r="L182"/>
      <c r="M182"/>
      <c r="N182"/>
      <c r="O182" s="392"/>
      <c r="P182" s="2"/>
      <c r="R182"/>
      <c r="S182"/>
      <c r="V182"/>
    </row>
    <row r="183" spans="10:22" s="1" customFormat="1" x14ac:dyDescent="0.2">
      <c r="J183"/>
      <c r="K183"/>
      <c r="L183"/>
      <c r="M183"/>
      <c r="N183"/>
      <c r="O183" s="392"/>
      <c r="P183" s="2"/>
      <c r="R183"/>
      <c r="S183"/>
      <c r="V183"/>
    </row>
    <row r="184" spans="10:22" s="1" customFormat="1" x14ac:dyDescent="0.2">
      <c r="J184"/>
      <c r="K184"/>
      <c r="L184"/>
      <c r="M184"/>
      <c r="N184"/>
      <c r="O184" s="392"/>
      <c r="P184" s="2"/>
      <c r="R184"/>
      <c r="S184"/>
      <c r="V184"/>
    </row>
    <row r="185" spans="10:22" s="1" customFormat="1" x14ac:dyDescent="0.2">
      <c r="J185"/>
      <c r="K185"/>
      <c r="L185"/>
      <c r="M185"/>
      <c r="N185"/>
      <c r="O185" s="392"/>
      <c r="P185" s="2"/>
      <c r="R185"/>
      <c r="S185"/>
      <c r="V185"/>
    </row>
    <row r="186" spans="10:22" s="1" customFormat="1" x14ac:dyDescent="0.2">
      <c r="J186"/>
      <c r="K186"/>
      <c r="L186"/>
      <c r="M186"/>
      <c r="N186"/>
      <c r="O186" s="392"/>
      <c r="P186" s="2"/>
      <c r="R186"/>
      <c r="S186"/>
      <c r="V186"/>
    </row>
    <row r="187" spans="10:22" s="1" customFormat="1" x14ac:dyDescent="0.2">
      <c r="J187"/>
      <c r="K187"/>
      <c r="L187"/>
      <c r="M187"/>
      <c r="N187"/>
      <c r="O187" s="392"/>
      <c r="P187" s="2"/>
      <c r="R187"/>
      <c r="S187"/>
      <c r="V187"/>
    </row>
    <row r="188" spans="10:22" s="1" customFormat="1" x14ac:dyDescent="0.2">
      <c r="J188"/>
      <c r="K188"/>
      <c r="L188"/>
      <c r="M188"/>
      <c r="N188"/>
      <c r="O188" s="392"/>
      <c r="P188" s="2"/>
      <c r="R188"/>
      <c r="S188"/>
      <c r="V188"/>
    </row>
    <row r="189" spans="10:22" s="1" customFormat="1" x14ac:dyDescent="0.2">
      <c r="J189"/>
      <c r="K189"/>
      <c r="L189"/>
      <c r="M189"/>
      <c r="N189"/>
      <c r="O189" s="392"/>
      <c r="P189" s="2"/>
      <c r="R189"/>
      <c r="S189"/>
      <c r="V189"/>
    </row>
    <row r="190" spans="10:22" s="1" customFormat="1" x14ac:dyDescent="0.2">
      <c r="J190"/>
      <c r="K190"/>
      <c r="L190"/>
      <c r="M190"/>
      <c r="N190"/>
      <c r="O190" s="392"/>
      <c r="P190" s="2"/>
      <c r="R190"/>
      <c r="S190"/>
      <c r="V190"/>
    </row>
    <row r="191" spans="10:22" s="1" customFormat="1" x14ac:dyDescent="0.2">
      <c r="J191"/>
      <c r="K191"/>
      <c r="L191"/>
      <c r="M191"/>
      <c r="N191"/>
      <c r="O191" s="392"/>
      <c r="P191" s="2"/>
      <c r="R191"/>
      <c r="S191"/>
      <c r="V191"/>
    </row>
    <row r="192" spans="10:22" s="1" customFormat="1" x14ac:dyDescent="0.2">
      <c r="J192"/>
      <c r="K192"/>
      <c r="L192"/>
      <c r="M192"/>
      <c r="N192"/>
      <c r="O192" s="392"/>
      <c r="P192" s="2"/>
      <c r="R192"/>
      <c r="S192"/>
      <c r="V192"/>
    </row>
    <row r="193" spans="10:22" s="1" customFormat="1" x14ac:dyDescent="0.2">
      <c r="J193"/>
      <c r="K193"/>
      <c r="L193"/>
      <c r="M193"/>
      <c r="N193"/>
      <c r="O193" s="392"/>
      <c r="P193" s="2"/>
      <c r="R193"/>
      <c r="S193"/>
      <c r="V193"/>
    </row>
    <row r="194" spans="10:22" s="1" customFormat="1" x14ac:dyDescent="0.2">
      <c r="J194"/>
      <c r="K194"/>
      <c r="L194"/>
      <c r="M194"/>
      <c r="N194"/>
      <c r="O194" s="392"/>
      <c r="P194" s="2"/>
      <c r="R194"/>
      <c r="S194"/>
      <c r="V194"/>
    </row>
    <row r="195" spans="10:22" s="1" customFormat="1" x14ac:dyDescent="0.2">
      <c r="J195"/>
      <c r="K195"/>
      <c r="L195"/>
      <c r="M195"/>
      <c r="N195"/>
      <c r="O195" s="392"/>
      <c r="P195" s="2"/>
      <c r="R195"/>
      <c r="S195"/>
      <c r="V195"/>
    </row>
    <row r="196" spans="10:22" s="1" customFormat="1" x14ac:dyDescent="0.2">
      <c r="J196"/>
      <c r="K196"/>
      <c r="L196"/>
      <c r="M196"/>
      <c r="N196"/>
      <c r="O196" s="392"/>
      <c r="P196" s="2"/>
      <c r="R196"/>
      <c r="S196"/>
      <c r="V196"/>
    </row>
    <row r="197" spans="10:22" s="1" customFormat="1" x14ac:dyDescent="0.2">
      <c r="J197"/>
      <c r="K197"/>
      <c r="L197"/>
      <c r="M197"/>
      <c r="N197"/>
      <c r="O197" s="392"/>
      <c r="P197" s="2"/>
      <c r="R197"/>
      <c r="S197"/>
      <c r="V197"/>
    </row>
    <row r="198" spans="10:22" s="1" customFormat="1" x14ac:dyDescent="0.2">
      <c r="J198"/>
      <c r="K198"/>
      <c r="L198"/>
      <c r="M198"/>
      <c r="N198"/>
      <c r="O198" s="392"/>
      <c r="P198" s="2"/>
      <c r="R198"/>
      <c r="S198"/>
      <c r="V198"/>
    </row>
    <row r="199" spans="10:22" s="1" customFormat="1" x14ac:dyDescent="0.2">
      <c r="J199"/>
      <c r="K199"/>
      <c r="L199"/>
      <c r="M199"/>
      <c r="N199"/>
      <c r="O199" s="392"/>
      <c r="P199" s="2"/>
      <c r="R199"/>
      <c r="S199"/>
      <c r="V199"/>
    </row>
    <row r="200" spans="10:22" s="1" customFormat="1" x14ac:dyDescent="0.2">
      <c r="J200"/>
      <c r="K200"/>
      <c r="L200"/>
      <c r="M200"/>
      <c r="N200"/>
      <c r="O200" s="392"/>
      <c r="P200" s="2"/>
      <c r="R200"/>
      <c r="S200"/>
      <c r="V200"/>
    </row>
    <row r="201" spans="10:22" s="1" customFormat="1" x14ac:dyDescent="0.2">
      <c r="J201"/>
      <c r="K201"/>
      <c r="L201"/>
      <c r="M201"/>
      <c r="N201"/>
      <c r="O201" s="392"/>
      <c r="P201" s="2"/>
      <c r="R201"/>
      <c r="S201"/>
      <c r="V201"/>
    </row>
    <row r="202" spans="10:22" s="1" customFormat="1" x14ac:dyDescent="0.2">
      <c r="J202"/>
      <c r="K202"/>
      <c r="L202"/>
      <c r="M202"/>
      <c r="N202"/>
      <c r="O202" s="392"/>
      <c r="P202" s="2"/>
      <c r="R202"/>
      <c r="S202"/>
      <c r="V202"/>
    </row>
    <row r="203" spans="10:22" s="1" customFormat="1" x14ac:dyDescent="0.2">
      <c r="J203"/>
      <c r="K203"/>
      <c r="L203"/>
      <c r="M203"/>
      <c r="N203"/>
      <c r="O203" s="392"/>
      <c r="P203" s="2"/>
      <c r="R203"/>
      <c r="S203"/>
      <c r="V203"/>
    </row>
    <row r="204" spans="10:22" s="1" customFormat="1" x14ac:dyDescent="0.2">
      <c r="J204"/>
      <c r="K204"/>
      <c r="L204"/>
      <c r="M204"/>
      <c r="N204"/>
      <c r="O204" s="392"/>
      <c r="P204" s="2"/>
      <c r="R204"/>
      <c r="S204"/>
      <c r="V204"/>
    </row>
    <row r="205" spans="10:22" s="1" customFormat="1" x14ac:dyDescent="0.2">
      <c r="J205"/>
      <c r="K205"/>
      <c r="L205"/>
      <c r="M205"/>
      <c r="N205"/>
      <c r="O205" s="392"/>
      <c r="P205" s="2"/>
      <c r="R205"/>
      <c r="S205"/>
      <c r="V205"/>
    </row>
    <row r="206" spans="10:22" s="1" customFormat="1" x14ac:dyDescent="0.2">
      <c r="J206"/>
      <c r="K206"/>
      <c r="L206"/>
      <c r="M206"/>
      <c r="N206"/>
      <c r="O206" s="392"/>
      <c r="P206" s="2"/>
      <c r="R206"/>
      <c r="S206"/>
      <c r="V206"/>
    </row>
    <row r="207" spans="10:22" s="1" customFormat="1" x14ac:dyDescent="0.2">
      <c r="J207"/>
      <c r="K207"/>
      <c r="L207"/>
      <c r="M207"/>
      <c r="N207"/>
      <c r="O207" s="392"/>
      <c r="P207" s="2"/>
      <c r="R207"/>
      <c r="S207"/>
      <c r="V207"/>
    </row>
    <row r="208" spans="10:22" s="1" customFormat="1" x14ac:dyDescent="0.2">
      <c r="J208"/>
      <c r="K208"/>
      <c r="L208"/>
      <c r="M208"/>
      <c r="N208"/>
      <c r="O208" s="392"/>
      <c r="P208" s="2"/>
      <c r="R208"/>
      <c r="S208"/>
      <c r="V208"/>
    </row>
    <row r="209" spans="10:22" s="1" customFormat="1" x14ac:dyDescent="0.2">
      <c r="J209"/>
      <c r="K209"/>
      <c r="L209"/>
      <c r="M209"/>
      <c r="N209"/>
      <c r="O209" s="392"/>
      <c r="P209" s="2"/>
      <c r="R209"/>
      <c r="S209"/>
      <c r="V209"/>
    </row>
    <row r="210" spans="10:22" s="1" customFormat="1" x14ac:dyDescent="0.2">
      <c r="J210"/>
      <c r="K210"/>
      <c r="L210"/>
      <c r="M210"/>
      <c r="N210"/>
      <c r="O210" s="392"/>
      <c r="P210" s="2"/>
      <c r="R210"/>
      <c r="S210"/>
      <c r="V210"/>
    </row>
    <row r="211" spans="10:22" s="1" customFormat="1" x14ac:dyDescent="0.2">
      <c r="J211"/>
      <c r="K211"/>
      <c r="L211"/>
      <c r="M211"/>
      <c r="N211"/>
      <c r="O211" s="392"/>
      <c r="P211" s="2"/>
      <c r="R211"/>
      <c r="S211"/>
      <c r="V211"/>
    </row>
    <row r="212" spans="10:22" s="1" customFormat="1" x14ac:dyDescent="0.2">
      <c r="J212"/>
      <c r="K212"/>
      <c r="L212"/>
      <c r="M212"/>
      <c r="N212"/>
      <c r="O212" s="392"/>
      <c r="P212" s="2"/>
      <c r="R212"/>
      <c r="S212"/>
      <c r="V212"/>
    </row>
    <row r="213" spans="10:22" s="1" customFormat="1" x14ac:dyDescent="0.2">
      <c r="J213"/>
      <c r="K213"/>
      <c r="L213"/>
      <c r="M213"/>
      <c r="N213"/>
      <c r="O213" s="392"/>
      <c r="P213" s="2"/>
      <c r="R213"/>
      <c r="S213"/>
      <c r="V213"/>
    </row>
    <row r="214" spans="10:22" s="1" customFormat="1" x14ac:dyDescent="0.2">
      <c r="J214"/>
      <c r="K214"/>
      <c r="L214"/>
      <c r="M214"/>
      <c r="N214"/>
      <c r="O214" s="392"/>
      <c r="P214" s="2"/>
      <c r="R214"/>
      <c r="S214"/>
      <c r="V214"/>
    </row>
    <row r="215" spans="10:22" s="1" customFormat="1" x14ac:dyDescent="0.2">
      <c r="J215"/>
      <c r="K215"/>
      <c r="L215"/>
      <c r="M215"/>
      <c r="N215"/>
      <c r="O215" s="392"/>
      <c r="P215" s="2"/>
      <c r="R215"/>
      <c r="S215"/>
      <c r="V215"/>
    </row>
    <row r="216" spans="10:22" s="1" customFormat="1" x14ac:dyDescent="0.2">
      <c r="J216"/>
      <c r="K216"/>
      <c r="L216"/>
      <c r="M216"/>
      <c r="N216"/>
      <c r="O216" s="392"/>
      <c r="P216" s="2"/>
      <c r="R216"/>
      <c r="S216"/>
      <c r="V216"/>
    </row>
    <row r="217" spans="10:22" s="1" customFormat="1" x14ac:dyDescent="0.2">
      <c r="J217"/>
      <c r="K217"/>
      <c r="L217"/>
      <c r="M217"/>
      <c r="N217"/>
      <c r="O217" s="392"/>
      <c r="P217" s="2"/>
      <c r="R217"/>
      <c r="S217"/>
      <c r="V217"/>
    </row>
    <row r="218" spans="10:22" s="1" customFormat="1" x14ac:dyDescent="0.2">
      <c r="J218"/>
      <c r="K218"/>
      <c r="L218"/>
      <c r="M218"/>
      <c r="N218"/>
      <c r="O218" s="392"/>
      <c r="P218" s="2"/>
      <c r="R218"/>
      <c r="S218"/>
      <c r="V218"/>
    </row>
    <row r="219" spans="10:22" s="1" customFormat="1" x14ac:dyDescent="0.2">
      <c r="J219"/>
      <c r="K219"/>
      <c r="L219"/>
      <c r="M219"/>
      <c r="N219"/>
      <c r="O219" s="392"/>
      <c r="P219" s="2"/>
      <c r="R219"/>
      <c r="S219"/>
      <c r="V219"/>
    </row>
    <row r="220" spans="10:22" s="1" customFormat="1" x14ac:dyDescent="0.2">
      <c r="J220"/>
      <c r="K220"/>
      <c r="L220"/>
      <c r="M220"/>
      <c r="N220"/>
      <c r="O220" s="392"/>
      <c r="P220" s="2"/>
      <c r="R220"/>
      <c r="S220"/>
      <c r="V220"/>
    </row>
    <row r="221" spans="10:22" s="1" customFormat="1" x14ac:dyDescent="0.2">
      <c r="J221"/>
      <c r="K221"/>
      <c r="L221"/>
      <c r="M221"/>
      <c r="N221"/>
      <c r="O221" s="392"/>
      <c r="P221" s="2"/>
      <c r="R221"/>
      <c r="S221"/>
      <c r="V221"/>
    </row>
    <row r="222" spans="10:22" s="1" customFormat="1" x14ac:dyDescent="0.2">
      <c r="J222"/>
      <c r="K222"/>
      <c r="L222"/>
      <c r="M222"/>
      <c r="N222"/>
      <c r="O222" s="392"/>
      <c r="P222" s="2"/>
      <c r="R222"/>
      <c r="S222"/>
      <c r="V222"/>
    </row>
    <row r="223" spans="10:22" s="1" customFormat="1" x14ac:dyDescent="0.2">
      <c r="J223"/>
      <c r="K223"/>
      <c r="L223"/>
      <c r="M223"/>
      <c r="N223"/>
      <c r="O223" s="392"/>
      <c r="P223" s="2"/>
      <c r="R223"/>
      <c r="S223"/>
      <c r="V223"/>
    </row>
    <row r="224" spans="10:22" s="1" customFormat="1" x14ac:dyDescent="0.2">
      <c r="J224"/>
      <c r="K224"/>
      <c r="L224"/>
      <c r="M224"/>
      <c r="N224"/>
      <c r="O224" s="392"/>
      <c r="P224" s="2"/>
      <c r="R224"/>
      <c r="S224"/>
      <c r="V224"/>
    </row>
    <row r="225" spans="10:22" s="1" customFormat="1" x14ac:dyDescent="0.2">
      <c r="J225"/>
      <c r="K225"/>
      <c r="L225"/>
      <c r="M225"/>
      <c r="N225"/>
      <c r="O225" s="392"/>
      <c r="P225" s="2"/>
      <c r="R225"/>
      <c r="S225"/>
      <c r="V225"/>
    </row>
    <row r="226" spans="10:22" s="1" customFormat="1" x14ac:dyDescent="0.2">
      <c r="J226"/>
      <c r="K226"/>
      <c r="L226"/>
      <c r="M226"/>
      <c r="N226"/>
      <c r="O226" s="392"/>
      <c r="P226" s="2"/>
      <c r="R226"/>
      <c r="S226"/>
      <c r="V226"/>
    </row>
    <row r="227" spans="10:22" s="1" customFormat="1" x14ac:dyDescent="0.2">
      <c r="J227"/>
      <c r="K227"/>
      <c r="L227"/>
      <c r="M227"/>
      <c r="N227"/>
      <c r="O227" s="392"/>
      <c r="P227" s="2"/>
      <c r="R227"/>
      <c r="S227"/>
      <c r="V227"/>
    </row>
    <row r="228" spans="10:22" s="1" customFormat="1" x14ac:dyDescent="0.2">
      <c r="J228"/>
      <c r="K228"/>
      <c r="L228"/>
      <c r="M228"/>
      <c r="N228"/>
      <c r="O228" s="392"/>
      <c r="P228" s="2"/>
      <c r="R228"/>
      <c r="S228"/>
      <c r="V228"/>
    </row>
    <row r="229" spans="10:22" s="1" customFormat="1" x14ac:dyDescent="0.2">
      <c r="J229"/>
      <c r="K229"/>
      <c r="L229"/>
      <c r="M229"/>
      <c r="N229"/>
      <c r="O229" s="392"/>
      <c r="P229" s="2"/>
      <c r="R229"/>
      <c r="S229"/>
      <c r="V229"/>
    </row>
    <row r="230" spans="10:22" s="1" customFormat="1" x14ac:dyDescent="0.2">
      <c r="J230"/>
      <c r="K230"/>
      <c r="L230"/>
      <c r="M230"/>
      <c r="N230"/>
      <c r="O230" s="392"/>
      <c r="P230" s="2"/>
      <c r="R230"/>
      <c r="S230"/>
      <c r="V230"/>
    </row>
    <row r="231" spans="10:22" s="1" customFormat="1" x14ac:dyDescent="0.2">
      <c r="J231"/>
      <c r="K231"/>
      <c r="L231"/>
      <c r="M231"/>
      <c r="N231"/>
      <c r="O231" s="392"/>
      <c r="P231" s="2"/>
      <c r="R231"/>
      <c r="S231"/>
      <c r="V231"/>
    </row>
    <row r="232" spans="10:22" s="1" customFormat="1" x14ac:dyDescent="0.2">
      <c r="J232"/>
      <c r="K232"/>
      <c r="L232"/>
      <c r="M232"/>
      <c r="N232"/>
      <c r="O232" s="392"/>
      <c r="P232" s="2"/>
      <c r="R232"/>
      <c r="S232"/>
      <c r="V232"/>
    </row>
    <row r="233" spans="10:22" s="1" customFormat="1" x14ac:dyDescent="0.2">
      <c r="J233"/>
      <c r="K233"/>
      <c r="L233"/>
      <c r="M233"/>
      <c r="N233"/>
      <c r="O233" s="392"/>
      <c r="P233" s="2"/>
      <c r="R233"/>
      <c r="S233"/>
      <c r="V233"/>
    </row>
    <row r="234" spans="10:22" s="1" customFormat="1" x14ac:dyDescent="0.2">
      <c r="J234"/>
      <c r="K234"/>
      <c r="L234"/>
      <c r="M234"/>
      <c r="N234"/>
      <c r="O234" s="392"/>
      <c r="P234" s="2"/>
      <c r="R234"/>
      <c r="S234"/>
      <c r="V234"/>
    </row>
    <row r="235" spans="10:22" s="1" customFormat="1" x14ac:dyDescent="0.2">
      <c r="J235"/>
      <c r="K235"/>
      <c r="L235"/>
      <c r="M235"/>
      <c r="N235"/>
      <c r="O235" s="392"/>
      <c r="P235" s="2"/>
      <c r="R235"/>
      <c r="S235"/>
      <c r="V235"/>
    </row>
    <row r="236" spans="10:22" s="1" customFormat="1" x14ac:dyDescent="0.2">
      <c r="J236"/>
      <c r="K236"/>
      <c r="L236"/>
      <c r="M236"/>
      <c r="N236"/>
      <c r="O236" s="392"/>
      <c r="P236" s="2"/>
      <c r="R236"/>
      <c r="S236"/>
      <c r="V236"/>
    </row>
    <row r="237" spans="10:22" s="1" customFormat="1" x14ac:dyDescent="0.2">
      <c r="J237"/>
      <c r="K237"/>
      <c r="L237"/>
      <c r="M237"/>
      <c r="N237"/>
      <c r="O237" s="392"/>
      <c r="P237" s="2"/>
      <c r="R237"/>
      <c r="S237"/>
      <c r="V237"/>
    </row>
    <row r="238" spans="10:22" s="1" customFormat="1" x14ac:dyDescent="0.2">
      <c r="J238"/>
      <c r="K238"/>
      <c r="L238"/>
      <c r="M238"/>
      <c r="N238"/>
      <c r="O238" s="392"/>
      <c r="P238" s="2"/>
      <c r="R238"/>
      <c r="S238"/>
      <c r="V238"/>
    </row>
    <row r="239" spans="10:22" s="1" customFormat="1" x14ac:dyDescent="0.2">
      <c r="J239"/>
      <c r="K239"/>
      <c r="L239"/>
      <c r="M239"/>
      <c r="N239"/>
      <c r="O239" s="392"/>
      <c r="P239" s="2"/>
      <c r="R239"/>
      <c r="S239"/>
      <c r="V239"/>
    </row>
    <row r="240" spans="10:22" s="1" customFormat="1" x14ac:dyDescent="0.2">
      <c r="J240"/>
      <c r="K240"/>
      <c r="L240"/>
      <c r="M240"/>
      <c r="N240"/>
      <c r="O240" s="392"/>
      <c r="P240" s="2"/>
      <c r="R240"/>
      <c r="S240"/>
      <c r="V240"/>
    </row>
    <row r="241" spans="10:22" s="1" customFormat="1" x14ac:dyDescent="0.2">
      <c r="J241"/>
      <c r="K241"/>
      <c r="L241"/>
      <c r="M241"/>
      <c r="N241"/>
      <c r="O241" s="392"/>
      <c r="P241" s="2"/>
      <c r="R241"/>
      <c r="S241"/>
      <c r="V241"/>
    </row>
    <row r="242" spans="10:22" s="1" customFormat="1" x14ac:dyDescent="0.2">
      <c r="J242"/>
      <c r="K242"/>
      <c r="L242"/>
      <c r="M242"/>
      <c r="N242"/>
      <c r="O242" s="392"/>
      <c r="P242" s="2"/>
      <c r="R242"/>
      <c r="S242"/>
      <c r="V242"/>
    </row>
    <row r="243" spans="10:22" s="1" customFormat="1" x14ac:dyDescent="0.2">
      <c r="J243"/>
      <c r="K243"/>
      <c r="L243"/>
      <c r="M243"/>
      <c r="N243"/>
      <c r="O243" s="392"/>
      <c r="P243" s="2"/>
      <c r="R243"/>
      <c r="S243"/>
      <c r="V243"/>
    </row>
    <row r="244" spans="10:22" s="1" customFormat="1" x14ac:dyDescent="0.2">
      <c r="J244"/>
      <c r="K244"/>
      <c r="L244"/>
      <c r="M244"/>
      <c r="N244"/>
      <c r="O244" s="392"/>
      <c r="P244" s="2"/>
      <c r="R244"/>
      <c r="S244"/>
      <c r="V244"/>
    </row>
    <row r="245" spans="10:22" s="1" customFormat="1" x14ac:dyDescent="0.2">
      <c r="J245"/>
      <c r="K245"/>
      <c r="L245"/>
      <c r="M245"/>
      <c r="N245"/>
      <c r="O245" s="392"/>
      <c r="P245" s="2"/>
      <c r="R245"/>
      <c r="S245"/>
      <c r="V245"/>
    </row>
    <row r="246" spans="10:22" s="1" customFormat="1" x14ac:dyDescent="0.2">
      <c r="J246"/>
      <c r="K246"/>
      <c r="L246"/>
      <c r="M246"/>
      <c r="N246"/>
      <c r="O246" s="392"/>
      <c r="P246" s="2"/>
      <c r="R246"/>
      <c r="S246"/>
      <c r="V246"/>
    </row>
    <row r="247" spans="10:22" s="1" customFormat="1" x14ac:dyDescent="0.2">
      <c r="J247"/>
      <c r="K247"/>
      <c r="L247"/>
      <c r="M247"/>
      <c r="N247"/>
      <c r="O247" s="392"/>
      <c r="P247" s="2"/>
      <c r="R247"/>
      <c r="S247"/>
      <c r="V247"/>
    </row>
    <row r="248" spans="10:22" s="1" customFormat="1" x14ac:dyDescent="0.2">
      <c r="J248"/>
      <c r="K248"/>
      <c r="L248"/>
      <c r="M248"/>
      <c r="N248"/>
      <c r="O248" s="392"/>
      <c r="P248" s="2"/>
      <c r="R248"/>
      <c r="S248"/>
      <c r="V248"/>
    </row>
    <row r="249" spans="10:22" s="1" customFormat="1" x14ac:dyDescent="0.2">
      <c r="J249"/>
      <c r="K249"/>
      <c r="L249"/>
      <c r="M249"/>
      <c r="N249"/>
      <c r="O249" s="392"/>
      <c r="P249" s="2"/>
      <c r="R249"/>
      <c r="S249"/>
      <c r="V249"/>
    </row>
    <row r="250" spans="10:22" s="1" customFormat="1" x14ac:dyDescent="0.2">
      <c r="J250"/>
      <c r="K250"/>
      <c r="L250"/>
      <c r="M250"/>
      <c r="N250"/>
      <c r="O250" s="392"/>
      <c r="P250" s="2"/>
      <c r="R250"/>
      <c r="S250"/>
      <c r="V250"/>
    </row>
    <row r="251" spans="10:22" s="1" customFormat="1" x14ac:dyDescent="0.2">
      <c r="J251"/>
      <c r="K251"/>
      <c r="L251"/>
      <c r="M251"/>
      <c r="N251"/>
      <c r="O251" s="392"/>
      <c r="P251" s="2"/>
      <c r="R251"/>
      <c r="S251"/>
      <c r="V251"/>
    </row>
    <row r="252" spans="10:22" s="1" customFormat="1" x14ac:dyDescent="0.2">
      <c r="J252"/>
      <c r="K252"/>
      <c r="L252"/>
      <c r="M252"/>
      <c r="N252"/>
      <c r="O252" s="392"/>
      <c r="P252" s="2"/>
      <c r="R252"/>
      <c r="S252"/>
      <c r="V252"/>
    </row>
    <row r="253" spans="10:22" s="1" customFormat="1" x14ac:dyDescent="0.2">
      <c r="J253"/>
      <c r="K253"/>
      <c r="L253"/>
      <c r="M253"/>
      <c r="N253"/>
      <c r="O253" s="392"/>
      <c r="P253" s="2"/>
      <c r="R253"/>
      <c r="S253"/>
      <c r="V253"/>
    </row>
    <row r="254" spans="10:22" s="1" customFormat="1" x14ac:dyDescent="0.2">
      <c r="J254"/>
      <c r="K254"/>
      <c r="L254"/>
      <c r="M254"/>
      <c r="N254"/>
      <c r="O254" s="392"/>
      <c r="P254" s="2"/>
      <c r="R254"/>
      <c r="S254"/>
      <c r="V254"/>
    </row>
    <row r="255" spans="10:22" s="1" customFormat="1" x14ac:dyDescent="0.2">
      <c r="J255"/>
      <c r="K255"/>
      <c r="L255"/>
      <c r="M255"/>
      <c r="N255"/>
      <c r="O255" s="392"/>
      <c r="P255" s="2"/>
      <c r="R255"/>
      <c r="S255"/>
      <c r="V255"/>
    </row>
    <row r="256" spans="10:22" s="1" customFormat="1" x14ac:dyDescent="0.2">
      <c r="J256"/>
      <c r="K256"/>
      <c r="L256"/>
      <c r="M256"/>
      <c r="N256"/>
      <c r="O256" s="392"/>
      <c r="P256" s="2"/>
      <c r="R256"/>
      <c r="S256"/>
      <c r="V256"/>
    </row>
    <row r="257" spans="10:22" s="1" customFormat="1" x14ac:dyDescent="0.2">
      <c r="J257"/>
      <c r="K257"/>
      <c r="L257"/>
      <c r="M257"/>
      <c r="N257"/>
      <c r="O257" s="392"/>
      <c r="P257" s="2"/>
      <c r="R257"/>
      <c r="S257"/>
      <c r="V257"/>
    </row>
    <row r="258" spans="10:22" s="1" customFormat="1" x14ac:dyDescent="0.2">
      <c r="J258"/>
      <c r="K258"/>
      <c r="L258"/>
      <c r="M258"/>
      <c r="N258"/>
      <c r="O258" s="392"/>
      <c r="P258" s="2"/>
      <c r="R258"/>
      <c r="S258"/>
      <c r="V258"/>
    </row>
    <row r="259" spans="10:22" s="1" customFormat="1" x14ac:dyDescent="0.2">
      <c r="J259"/>
      <c r="K259"/>
      <c r="L259"/>
      <c r="M259"/>
      <c r="N259"/>
      <c r="O259" s="392"/>
      <c r="P259" s="2"/>
      <c r="R259"/>
      <c r="S259"/>
      <c r="V259"/>
    </row>
    <row r="260" spans="10:22" s="1" customFormat="1" x14ac:dyDescent="0.2">
      <c r="J260"/>
      <c r="K260"/>
      <c r="L260"/>
      <c r="M260"/>
      <c r="N260"/>
      <c r="O260" s="392"/>
      <c r="P260" s="2"/>
      <c r="R260"/>
      <c r="S260"/>
      <c r="V260"/>
    </row>
    <row r="261" spans="10:22" s="1" customFormat="1" x14ac:dyDescent="0.2">
      <c r="J261"/>
      <c r="K261"/>
      <c r="L261"/>
      <c r="M261"/>
      <c r="N261"/>
      <c r="O261" s="392"/>
      <c r="P261" s="2"/>
      <c r="R261"/>
      <c r="S261"/>
      <c r="V261"/>
    </row>
    <row r="262" spans="10:22" s="1" customFormat="1" x14ac:dyDescent="0.2">
      <c r="J262"/>
      <c r="K262"/>
      <c r="L262"/>
      <c r="M262"/>
      <c r="N262"/>
      <c r="O262" s="392"/>
      <c r="P262" s="2"/>
      <c r="R262"/>
      <c r="S262"/>
      <c r="V262"/>
    </row>
    <row r="263" spans="10:22" s="1" customFormat="1" x14ac:dyDescent="0.2">
      <c r="J263"/>
      <c r="K263"/>
      <c r="L263"/>
      <c r="M263"/>
      <c r="N263"/>
      <c r="O263" s="392"/>
      <c r="P263" s="2"/>
      <c r="R263"/>
      <c r="S263"/>
      <c r="V263"/>
    </row>
    <row r="264" spans="10:22" s="1" customFormat="1" x14ac:dyDescent="0.2">
      <c r="J264"/>
      <c r="K264"/>
      <c r="L264"/>
      <c r="M264"/>
      <c r="N264"/>
      <c r="O264" s="392"/>
      <c r="P264" s="2"/>
      <c r="R264"/>
      <c r="S264"/>
      <c r="V264"/>
    </row>
    <row r="265" spans="10:22" s="1" customFormat="1" x14ac:dyDescent="0.2">
      <c r="J265"/>
      <c r="K265"/>
      <c r="L265"/>
      <c r="M265"/>
      <c r="N265"/>
      <c r="O265" s="392"/>
      <c r="P265" s="2"/>
      <c r="R265"/>
      <c r="S265"/>
      <c r="V265"/>
    </row>
    <row r="266" spans="10:22" s="1" customFormat="1" x14ac:dyDescent="0.2">
      <c r="J266"/>
      <c r="K266"/>
      <c r="L266"/>
      <c r="M266"/>
      <c r="N266"/>
      <c r="O266" s="392"/>
      <c r="P266" s="2"/>
      <c r="R266"/>
      <c r="S266"/>
      <c r="V266"/>
    </row>
    <row r="267" spans="10:22" s="1" customFormat="1" x14ac:dyDescent="0.2">
      <c r="J267"/>
      <c r="K267"/>
      <c r="L267"/>
      <c r="M267"/>
      <c r="N267"/>
      <c r="O267" s="392"/>
      <c r="P267" s="2"/>
      <c r="R267"/>
      <c r="S267"/>
      <c r="V267"/>
    </row>
    <row r="268" spans="10:22" s="1" customFormat="1" x14ac:dyDescent="0.2">
      <c r="J268"/>
      <c r="K268"/>
      <c r="L268"/>
      <c r="M268"/>
      <c r="N268"/>
      <c r="O268" s="392"/>
      <c r="P268" s="2"/>
      <c r="R268"/>
      <c r="S268"/>
      <c r="V268"/>
    </row>
    <row r="269" spans="10:22" s="1" customFormat="1" x14ac:dyDescent="0.2">
      <c r="J269"/>
      <c r="K269"/>
      <c r="L269"/>
      <c r="M269"/>
      <c r="N269"/>
      <c r="O269" s="392"/>
      <c r="P269" s="2"/>
      <c r="R269"/>
      <c r="S269"/>
      <c r="V269"/>
    </row>
    <row r="270" spans="10:22" s="1" customFormat="1" x14ac:dyDescent="0.2">
      <c r="J270"/>
      <c r="K270"/>
      <c r="L270"/>
      <c r="M270"/>
      <c r="N270"/>
      <c r="O270" s="392"/>
      <c r="P270" s="2"/>
      <c r="R270"/>
      <c r="S270"/>
      <c r="V270"/>
    </row>
    <row r="271" spans="10:22" s="1" customFormat="1" x14ac:dyDescent="0.2">
      <c r="J271"/>
      <c r="K271"/>
      <c r="L271"/>
      <c r="M271"/>
      <c r="N271"/>
      <c r="O271" s="392"/>
      <c r="P271" s="2"/>
      <c r="R271"/>
      <c r="S271"/>
      <c r="V271"/>
    </row>
    <row r="272" spans="10:22" s="1" customFormat="1" x14ac:dyDescent="0.2">
      <c r="J272"/>
      <c r="K272"/>
      <c r="L272"/>
      <c r="M272"/>
      <c r="N272"/>
      <c r="O272" s="392"/>
      <c r="P272" s="2"/>
      <c r="R272"/>
      <c r="S272"/>
      <c r="V272"/>
    </row>
    <row r="273" spans="10:22" s="1" customFormat="1" x14ac:dyDescent="0.2">
      <c r="J273"/>
      <c r="K273"/>
      <c r="L273"/>
      <c r="M273"/>
      <c r="N273"/>
      <c r="O273" s="392"/>
      <c r="P273" s="2"/>
      <c r="R273"/>
      <c r="S273"/>
      <c r="V273"/>
    </row>
    <row r="274" spans="10:22" s="1" customFormat="1" x14ac:dyDescent="0.2">
      <c r="J274"/>
      <c r="K274"/>
      <c r="L274"/>
      <c r="M274"/>
      <c r="N274"/>
      <c r="O274" s="392"/>
      <c r="P274" s="2"/>
      <c r="R274"/>
      <c r="S274"/>
      <c r="V274"/>
    </row>
    <row r="275" spans="10:22" s="1" customFormat="1" x14ac:dyDescent="0.2">
      <c r="J275"/>
      <c r="K275"/>
      <c r="L275"/>
      <c r="M275"/>
      <c r="N275"/>
      <c r="O275" s="392"/>
      <c r="P275" s="2"/>
      <c r="R275"/>
      <c r="S275"/>
      <c r="V275"/>
    </row>
    <row r="276" spans="10:22" s="1" customFormat="1" x14ac:dyDescent="0.2">
      <c r="J276"/>
      <c r="K276"/>
      <c r="L276"/>
      <c r="M276"/>
      <c r="N276"/>
      <c r="O276" s="392"/>
      <c r="P276" s="2"/>
      <c r="R276"/>
      <c r="S276"/>
      <c r="V276"/>
    </row>
    <row r="277" spans="10:22" s="1" customFormat="1" x14ac:dyDescent="0.2">
      <c r="J277"/>
      <c r="K277"/>
      <c r="L277"/>
      <c r="M277"/>
      <c r="N277"/>
      <c r="O277" s="392"/>
      <c r="P277" s="2"/>
      <c r="R277"/>
      <c r="S277"/>
      <c r="V277"/>
    </row>
    <row r="278" spans="10:22" s="1" customFormat="1" x14ac:dyDescent="0.2">
      <c r="J278"/>
      <c r="K278"/>
      <c r="L278"/>
      <c r="M278"/>
      <c r="N278"/>
      <c r="O278" s="392"/>
      <c r="P278" s="2"/>
      <c r="R278"/>
      <c r="S278"/>
      <c r="V278"/>
    </row>
    <row r="279" spans="10:22" s="1" customFormat="1" x14ac:dyDescent="0.2">
      <c r="J279"/>
      <c r="K279"/>
      <c r="L279"/>
      <c r="M279"/>
      <c r="N279"/>
      <c r="O279" s="392"/>
      <c r="P279" s="2"/>
      <c r="R279"/>
      <c r="S279"/>
      <c r="V279"/>
    </row>
    <row r="280" spans="10:22" s="1" customFormat="1" x14ac:dyDescent="0.2">
      <c r="J280"/>
      <c r="K280"/>
      <c r="L280"/>
      <c r="M280"/>
      <c r="N280"/>
      <c r="O280" s="392"/>
      <c r="P280" s="2"/>
      <c r="R280"/>
      <c r="S280"/>
      <c r="V280"/>
    </row>
    <row r="281" spans="10:22" s="1" customFormat="1" x14ac:dyDescent="0.2">
      <c r="J281"/>
      <c r="K281"/>
      <c r="L281"/>
      <c r="M281"/>
      <c r="N281"/>
      <c r="O281" s="392"/>
      <c r="P281" s="2"/>
      <c r="R281"/>
      <c r="S281"/>
      <c r="V281"/>
    </row>
    <row r="282" spans="10:22" s="1" customFormat="1" x14ac:dyDescent="0.2">
      <c r="J282"/>
      <c r="K282"/>
      <c r="L282"/>
      <c r="M282"/>
      <c r="N282"/>
      <c r="O282" s="392"/>
      <c r="P282" s="2"/>
      <c r="R282"/>
      <c r="S282"/>
      <c r="V282"/>
    </row>
    <row r="283" spans="10:22" s="1" customFormat="1" x14ac:dyDescent="0.2">
      <c r="J283"/>
      <c r="K283"/>
      <c r="L283"/>
      <c r="M283"/>
      <c r="N283"/>
      <c r="O283" s="392"/>
      <c r="P283" s="2"/>
      <c r="R283"/>
      <c r="S283"/>
      <c r="V283"/>
    </row>
    <row r="284" spans="10:22" s="1" customFormat="1" x14ac:dyDescent="0.2">
      <c r="J284"/>
      <c r="K284"/>
      <c r="L284"/>
      <c r="M284"/>
      <c r="N284"/>
      <c r="O284" s="392"/>
      <c r="P284" s="2"/>
      <c r="R284"/>
      <c r="S284"/>
      <c r="V284"/>
    </row>
    <row r="285" spans="10:22" s="1" customFormat="1" x14ac:dyDescent="0.2">
      <c r="J285"/>
      <c r="K285"/>
      <c r="L285"/>
      <c r="M285"/>
      <c r="N285"/>
      <c r="O285" s="392"/>
      <c r="P285" s="2"/>
      <c r="R285"/>
      <c r="S285"/>
      <c r="V285"/>
    </row>
    <row r="286" spans="10:22" s="1" customFormat="1" x14ac:dyDescent="0.2">
      <c r="J286"/>
      <c r="K286"/>
      <c r="L286"/>
      <c r="M286"/>
      <c r="N286"/>
      <c r="O286" s="392"/>
      <c r="P286" s="2"/>
      <c r="R286"/>
      <c r="S286"/>
      <c r="V286"/>
    </row>
    <row r="287" spans="10:22" s="1" customFormat="1" x14ac:dyDescent="0.2">
      <c r="J287"/>
      <c r="K287"/>
      <c r="L287"/>
      <c r="M287"/>
      <c r="N287"/>
      <c r="O287" s="392"/>
      <c r="P287" s="2"/>
      <c r="R287"/>
      <c r="S287"/>
      <c r="V287"/>
    </row>
    <row r="288" spans="10:22" s="1" customFormat="1" x14ac:dyDescent="0.2">
      <c r="J288"/>
      <c r="K288"/>
      <c r="L288"/>
      <c r="M288"/>
      <c r="N288"/>
      <c r="O288" s="392"/>
      <c r="P288" s="2"/>
      <c r="R288"/>
      <c r="S288"/>
      <c r="V288"/>
    </row>
    <row r="289" spans="10:22" s="1" customFormat="1" x14ac:dyDescent="0.2">
      <c r="J289"/>
      <c r="K289"/>
      <c r="L289"/>
      <c r="M289"/>
      <c r="N289"/>
      <c r="O289" s="392"/>
      <c r="P289" s="2"/>
      <c r="R289"/>
      <c r="S289"/>
      <c r="V289"/>
    </row>
    <row r="290" spans="10:22" s="1" customFormat="1" x14ac:dyDescent="0.2">
      <c r="J290"/>
      <c r="K290"/>
      <c r="L290"/>
      <c r="M290"/>
      <c r="N290"/>
      <c r="O290" s="392"/>
      <c r="P290" s="2"/>
      <c r="R290"/>
      <c r="S290"/>
      <c r="V290"/>
    </row>
    <row r="291" spans="10:22" s="1" customFormat="1" x14ac:dyDescent="0.2">
      <c r="J291"/>
      <c r="K291"/>
      <c r="L291"/>
      <c r="M291"/>
      <c r="N291"/>
      <c r="O291" s="392"/>
      <c r="P291" s="2"/>
      <c r="R291"/>
      <c r="S291"/>
      <c r="V291"/>
    </row>
    <row r="292" spans="10:22" s="1" customFormat="1" x14ac:dyDescent="0.2">
      <c r="J292"/>
      <c r="K292"/>
      <c r="L292"/>
      <c r="M292"/>
      <c r="N292"/>
      <c r="O292" s="392"/>
      <c r="P292" s="2"/>
      <c r="R292"/>
      <c r="S292"/>
      <c r="V292"/>
    </row>
    <row r="293" spans="10:22" s="1" customFormat="1" x14ac:dyDescent="0.2">
      <c r="J293"/>
      <c r="K293"/>
      <c r="L293"/>
      <c r="M293"/>
      <c r="N293"/>
      <c r="O293" s="392"/>
      <c r="P293" s="2"/>
      <c r="R293"/>
      <c r="S293"/>
      <c r="V293"/>
    </row>
    <row r="294" spans="10:22" s="1" customFormat="1" x14ac:dyDescent="0.2">
      <c r="J294"/>
      <c r="K294"/>
      <c r="L294"/>
      <c r="M294"/>
      <c r="N294"/>
      <c r="O294" s="392"/>
      <c r="P294" s="2"/>
      <c r="R294"/>
      <c r="S294"/>
      <c r="V294"/>
    </row>
    <row r="295" spans="10:22" s="1" customFormat="1" x14ac:dyDescent="0.2">
      <c r="J295"/>
      <c r="K295"/>
      <c r="L295"/>
      <c r="M295"/>
      <c r="N295"/>
      <c r="O295" s="392"/>
      <c r="P295" s="2"/>
      <c r="R295"/>
      <c r="S295"/>
      <c r="V295"/>
    </row>
    <row r="296" spans="10:22" s="1" customFormat="1" x14ac:dyDescent="0.2">
      <c r="J296"/>
      <c r="K296"/>
      <c r="L296"/>
      <c r="M296"/>
      <c r="N296"/>
      <c r="O296" s="392"/>
      <c r="P296" s="2"/>
      <c r="R296"/>
      <c r="S296"/>
      <c r="V296"/>
    </row>
    <row r="297" spans="10:22" s="1" customFormat="1" x14ac:dyDescent="0.2">
      <c r="J297"/>
      <c r="K297"/>
      <c r="L297"/>
      <c r="M297"/>
      <c r="N297"/>
      <c r="O297" s="392"/>
      <c r="P297" s="2"/>
      <c r="R297"/>
      <c r="S297"/>
      <c r="V297"/>
    </row>
    <row r="298" spans="10:22" s="1" customFormat="1" x14ac:dyDescent="0.2">
      <c r="J298"/>
      <c r="K298"/>
      <c r="L298"/>
      <c r="M298"/>
      <c r="N298"/>
      <c r="O298" s="392"/>
      <c r="P298" s="2"/>
      <c r="R298"/>
      <c r="S298"/>
      <c r="V298"/>
    </row>
    <row r="299" spans="10:22" s="1" customFormat="1" x14ac:dyDescent="0.2">
      <c r="J299"/>
      <c r="K299"/>
      <c r="L299"/>
      <c r="M299"/>
      <c r="N299"/>
      <c r="O299" s="392"/>
      <c r="P299" s="2"/>
      <c r="R299"/>
      <c r="S299"/>
      <c r="V299"/>
    </row>
    <row r="300" spans="10:22" s="1" customFormat="1" x14ac:dyDescent="0.2">
      <c r="J300"/>
      <c r="K300"/>
      <c r="L300"/>
      <c r="M300"/>
      <c r="N300"/>
      <c r="O300" s="392"/>
      <c r="P300" s="2"/>
      <c r="R300"/>
      <c r="S300"/>
      <c r="V300"/>
    </row>
    <row r="301" spans="10:22" s="1" customFormat="1" x14ac:dyDescent="0.2">
      <c r="J301"/>
      <c r="K301"/>
      <c r="L301"/>
      <c r="M301"/>
      <c r="N301"/>
      <c r="O301" s="392"/>
      <c r="P301" s="2"/>
      <c r="R301"/>
      <c r="S301"/>
      <c r="V301"/>
    </row>
    <row r="302" spans="10:22" s="1" customFormat="1" x14ac:dyDescent="0.2">
      <c r="J302"/>
      <c r="K302"/>
      <c r="L302"/>
      <c r="M302"/>
      <c r="N302"/>
      <c r="O302" s="392"/>
      <c r="P302" s="2"/>
      <c r="R302"/>
      <c r="S302"/>
      <c r="V302"/>
    </row>
    <row r="303" spans="10:22" s="1" customFormat="1" x14ac:dyDescent="0.2">
      <c r="J303"/>
      <c r="K303"/>
      <c r="L303"/>
      <c r="M303"/>
      <c r="N303"/>
      <c r="O303" s="392"/>
      <c r="P303" s="2"/>
      <c r="R303"/>
      <c r="S303"/>
      <c r="V303"/>
    </row>
    <row r="304" spans="10:22" s="1" customFormat="1" x14ac:dyDescent="0.2">
      <c r="J304"/>
      <c r="K304"/>
      <c r="L304"/>
      <c r="M304"/>
      <c r="N304"/>
      <c r="O304" s="392"/>
      <c r="P304" s="2"/>
      <c r="R304"/>
      <c r="S304"/>
      <c r="V304"/>
    </row>
    <row r="305" spans="10:22" s="1" customFormat="1" x14ac:dyDescent="0.2">
      <c r="J305"/>
      <c r="K305"/>
      <c r="L305"/>
      <c r="M305"/>
      <c r="N305"/>
      <c r="O305" s="392"/>
      <c r="P305" s="2"/>
      <c r="R305"/>
      <c r="S305"/>
      <c r="V305"/>
    </row>
    <row r="306" spans="10:22" s="1" customFormat="1" x14ac:dyDescent="0.2">
      <c r="J306"/>
      <c r="K306"/>
      <c r="L306"/>
      <c r="M306"/>
      <c r="N306"/>
      <c r="O306" s="392"/>
      <c r="P306" s="2"/>
      <c r="R306"/>
      <c r="S306"/>
      <c r="V306"/>
    </row>
    <row r="307" spans="10:22" s="1" customFormat="1" x14ac:dyDescent="0.2">
      <c r="J307"/>
      <c r="K307"/>
      <c r="L307"/>
      <c r="M307"/>
      <c r="N307"/>
      <c r="O307" s="392"/>
      <c r="P307" s="2"/>
      <c r="R307"/>
      <c r="S307"/>
      <c r="V307"/>
    </row>
    <row r="308" spans="10:22" s="1" customFormat="1" x14ac:dyDescent="0.2">
      <c r="J308"/>
      <c r="K308"/>
      <c r="L308"/>
      <c r="M308"/>
      <c r="N308"/>
      <c r="O308" s="392"/>
      <c r="P308" s="2"/>
      <c r="R308"/>
      <c r="S308"/>
      <c r="V308"/>
    </row>
    <row r="309" spans="10:22" s="1" customFormat="1" x14ac:dyDescent="0.2">
      <c r="J309"/>
      <c r="K309"/>
      <c r="L309"/>
      <c r="M309"/>
      <c r="N309"/>
      <c r="O309" s="392"/>
      <c r="P309" s="2"/>
      <c r="R309"/>
      <c r="S309"/>
      <c r="V309"/>
    </row>
    <row r="310" spans="10:22" s="1" customFormat="1" x14ac:dyDescent="0.2">
      <c r="J310"/>
      <c r="K310"/>
      <c r="L310"/>
      <c r="M310"/>
      <c r="N310"/>
      <c r="O310" s="392"/>
      <c r="P310" s="2"/>
      <c r="R310"/>
      <c r="S310"/>
      <c r="V310"/>
    </row>
    <row r="311" spans="10:22" s="1" customFormat="1" x14ac:dyDescent="0.2">
      <c r="J311"/>
      <c r="K311"/>
      <c r="L311"/>
      <c r="M311"/>
      <c r="N311"/>
      <c r="O311" s="392"/>
      <c r="P311" s="2"/>
      <c r="R311"/>
      <c r="S311"/>
      <c r="V311"/>
    </row>
    <row r="312" spans="10:22" s="1" customFormat="1" x14ac:dyDescent="0.2">
      <c r="J312"/>
      <c r="K312"/>
      <c r="L312"/>
      <c r="M312"/>
      <c r="N312"/>
      <c r="O312" s="392"/>
      <c r="P312" s="2"/>
      <c r="R312"/>
      <c r="S312"/>
      <c r="V312"/>
    </row>
    <row r="313" spans="10:22" s="1" customFormat="1" x14ac:dyDescent="0.2">
      <c r="J313"/>
      <c r="K313"/>
      <c r="L313"/>
      <c r="M313"/>
      <c r="N313"/>
      <c r="O313" s="392"/>
      <c r="P313" s="2"/>
      <c r="R313"/>
      <c r="S313"/>
      <c r="V313"/>
    </row>
    <row r="314" spans="10:22" s="1" customFormat="1" x14ac:dyDescent="0.2">
      <c r="J314"/>
      <c r="K314"/>
      <c r="L314"/>
      <c r="M314"/>
      <c r="N314"/>
      <c r="O314" s="392"/>
      <c r="P314" s="2"/>
      <c r="R314"/>
      <c r="S314"/>
      <c r="V314"/>
    </row>
    <row r="315" spans="10:22" s="1" customFormat="1" x14ac:dyDescent="0.2">
      <c r="J315"/>
      <c r="K315"/>
      <c r="L315"/>
      <c r="M315"/>
      <c r="N315"/>
      <c r="O315" s="392"/>
      <c r="P315" s="2"/>
      <c r="R315"/>
      <c r="S315"/>
      <c r="V315"/>
    </row>
    <row r="316" spans="10:22" s="1" customFormat="1" x14ac:dyDescent="0.2">
      <c r="J316"/>
      <c r="K316"/>
      <c r="L316"/>
      <c r="M316"/>
      <c r="N316"/>
      <c r="O316" s="392"/>
      <c r="P316" s="2"/>
      <c r="R316"/>
      <c r="S316"/>
      <c r="V316"/>
    </row>
    <row r="317" spans="10:22" s="1" customFormat="1" x14ac:dyDescent="0.2">
      <c r="J317"/>
      <c r="K317"/>
      <c r="L317"/>
      <c r="M317"/>
      <c r="N317"/>
      <c r="O317" s="392"/>
      <c r="P317" s="2"/>
      <c r="R317"/>
      <c r="S317"/>
      <c r="V317"/>
    </row>
    <row r="318" spans="10:22" s="1" customFormat="1" x14ac:dyDescent="0.2">
      <c r="J318"/>
      <c r="K318"/>
      <c r="L318"/>
      <c r="M318"/>
      <c r="N318"/>
      <c r="O318" s="392"/>
      <c r="P318" s="2"/>
      <c r="R318"/>
      <c r="S318"/>
      <c r="V318"/>
    </row>
    <row r="319" spans="10:22" s="1" customFormat="1" x14ac:dyDescent="0.2">
      <c r="J319"/>
      <c r="K319"/>
      <c r="L319"/>
      <c r="M319"/>
      <c r="N319"/>
      <c r="O319" s="392"/>
      <c r="P319" s="2"/>
      <c r="R319"/>
      <c r="S319"/>
      <c r="V319"/>
    </row>
    <row r="320" spans="10:22" s="1" customFormat="1" x14ac:dyDescent="0.2">
      <c r="J320"/>
      <c r="K320"/>
      <c r="L320"/>
      <c r="M320"/>
      <c r="N320"/>
      <c r="O320" s="392"/>
      <c r="P320" s="2"/>
      <c r="R320"/>
      <c r="S320"/>
      <c r="V320"/>
    </row>
    <row r="321" spans="10:22" s="1" customFormat="1" x14ac:dyDescent="0.2">
      <c r="J321"/>
      <c r="K321"/>
      <c r="L321"/>
      <c r="M321"/>
      <c r="N321"/>
      <c r="O321" s="392"/>
      <c r="P321" s="2"/>
      <c r="R321"/>
      <c r="S321"/>
      <c r="V321"/>
    </row>
    <row r="322" spans="10:22" s="1" customFormat="1" x14ac:dyDescent="0.2">
      <c r="J322"/>
      <c r="K322"/>
      <c r="L322"/>
      <c r="M322"/>
      <c r="N322"/>
      <c r="O322" s="392"/>
      <c r="P322" s="2"/>
      <c r="R322"/>
      <c r="S322"/>
      <c r="V322"/>
    </row>
    <row r="323" spans="10:22" s="1" customFormat="1" x14ac:dyDescent="0.2">
      <c r="J323"/>
      <c r="K323"/>
      <c r="L323"/>
      <c r="M323"/>
      <c r="N323"/>
      <c r="O323" s="392"/>
      <c r="P323" s="2"/>
      <c r="R323"/>
      <c r="S323"/>
      <c r="V323"/>
    </row>
    <row r="324" spans="10:22" s="1" customFormat="1" x14ac:dyDescent="0.2">
      <c r="J324"/>
      <c r="K324"/>
      <c r="L324"/>
      <c r="M324"/>
      <c r="N324"/>
      <c r="O324" s="392"/>
      <c r="P324" s="2"/>
      <c r="R324"/>
      <c r="S324"/>
      <c r="V324"/>
    </row>
    <row r="325" spans="10:22" s="1" customFormat="1" x14ac:dyDescent="0.2">
      <c r="J325"/>
      <c r="K325"/>
      <c r="L325"/>
      <c r="M325"/>
      <c r="N325"/>
      <c r="O325" s="392"/>
      <c r="P325" s="2"/>
      <c r="R325"/>
      <c r="S325"/>
      <c r="V325"/>
    </row>
    <row r="326" spans="10:22" s="1" customFormat="1" x14ac:dyDescent="0.2">
      <c r="J326"/>
      <c r="K326"/>
      <c r="L326"/>
      <c r="M326"/>
      <c r="N326"/>
      <c r="O326" s="392"/>
      <c r="P326" s="2"/>
      <c r="R326"/>
      <c r="S326"/>
      <c r="V326"/>
    </row>
    <row r="327" spans="10:22" s="1" customFormat="1" x14ac:dyDescent="0.2">
      <c r="J327"/>
      <c r="K327"/>
      <c r="L327"/>
      <c r="M327"/>
      <c r="N327"/>
      <c r="O327" s="392"/>
      <c r="P327" s="2"/>
      <c r="R327"/>
      <c r="S327"/>
      <c r="V327"/>
    </row>
    <row r="328" spans="10:22" s="1" customFormat="1" x14ac:dyDescent="0.2">
      <c r="J328"/>
      <c r="K328"/>
      <c r="L328"/>
      <c r="M328"/>
      <c r="N328"/>
      <c r="O328" s="392"/>
      <c r="P328" s="2"/>
      <c r="R328"/>
      <c r="S328"/>
      <c r="V328"/>
    </row>
    <row r="329" spans="10:22" s="1" customFormat="1" x14ac:dyDescent="0.2">
      <c r="J329"/>
      <c r="K329"/>
      <c r="L329"/>
      <c r="M329"/>
      <c r="N329"/>
      <c r="O329" s="392"/>
      <c r="P329" s="2"/>
      <c r="R329"/>
      <c r="S329"/>
      <c r="V329"/>
    </row>
    <row r="330" spans="10:22" s="1" customFormat="1" x14ac:dyDescent="0.2">
      <c r="J330"/>
      <c r="K330"/>
      <c r="L330"/>
      <c r="M330"/>
      <c r="N330"/>
      <c r="O330" s="392"/>
      <c r="P330" s="2"/>
      <c r="R330"/>
      <c r="S330"/>
      <c r="V330"/>
    </row>
    <row r="331" spans="10:22" s="1" customFormat="1" x14ac:dyDescent="0.2">
      <c r="J331"/>
      <c r="K331"/>
      <c r="L331"/>
      <c r="M331"/>
      <c r="N331"/>
      <c r="O331" s="392"/>
      <c r="P331" s="2"/>
      <c r="R331"/>
      <c r="S331"/>
      <c r="V331"/>
    </row>
    <row r="332" spans="10:22" s="1" customFormat="1" x14ac:dyDescent="0.2">
      <c r="J332"/>
      <c r="K332"/>
      <c r="L332"/>
      <c r="M332"/>
      <c r="N332"/>
      <c r="O332" s="392"/>
      <c r="P332" s="2"/>
      <c r="R332"/>
      <c r="S332"/>
      <c r="V332"/>
    </row>
    <row r="333" spans="10:22" s="1" customFormat="1" x14ac:dyDescent="0.2">
      <c r="J333"/>
      <c r="K333"/>
      <c r="L333"/>
      <c r="M333"/>
      <c r="N333"/>
      <c r="O333" s="392"/>
      <c r="P333" s="2"/>
      <c r="R333"/>
      <c r="S333"/>
      <c r="V333"/>
    </row>
    <row r="334" spans="10:22" s="1" customFormat="1" x14ac:dyDescent="0.2">
      <c r="J334"/>
      <c r="K334"/>
      <c r="L334"/>
      <c r="M334"/>
      <c r="N334"/>
      <c r="O334" s="392"/>
      <c r="P334" s="2"/>
      <c r="R334"/>
      <c r="S334"/>
      <c r="V334"/>
    </row>
    <row r="335" spans="10:22" s="1" customFormat="1" x14ac:dyDescent="0.2">
      <c r="J335"/>
      <c r="K335"/>
      <c r="L335"/>
      <c r="M335"/>
      <c r="N335"/>
      <c r="O335" s="392"/>
      <c r="P335" s="2"/>
      <c r="R335"/>
      <c r="S335"/>
      <c r="V335"/>
    </row>
    <row r="336" spans="10:22" s="1" customFormat="1" x14ac:dyDescent="0.2">
      <c r="J336"/>
      <c r="K336"/>
      <c r="L336"/>
      <c r="M336"/>
      <c r="N336"/>
      <c r="O336" s="392"/>
      <c r="P336" s="2"/>
      <c r="R336"/>
      <c r="S336"/>
      <c r="V336"/>
    </row>
    <row r="337" spans="10:22" s="1" customFormat="1" x14ac:dyDescent="0.2">
      <c r="J337"/>
      <c r="K337"/>
      <c r="L337"/>
      <c r="M337"/>
      <c r="N337"/>
      <c r="O337" s="392"/>
      <c r="P337" s="2"/>
      <c r="R337"/>
      <c r="S337"/>
      <c r="V337"/>
    </row>
    <row r="338" spans="10:22" s="1" customFormat="1" x14ac:dyDescent="0.2">
      <c r="J338"/>
      <c r="K338"/>
      <c r="L338"/>
      <c r="M338"/>
      <c r="N338"/>
      <c r="O338" s="392"/>
      <c r="P338" s="2"/>
      <c r="R338"/>
      <c r="S338"/>
      <c r="V338"/>
    </row>
    <row r="339" spans="10:22" s="1" customFormat="1" x14ac:dyDescent="0.2">
      <c r="J339"/>
      <c r="K339"/>
      <c r="L339"/>
      <c r="M339"/>
      <c r="N339"/>
      <c r="O339" s="392"/>
      <c r="P339" s="2"/>
      <c r="R339"/>
      <c r="S339"/>
      <c r="V339"/>
    </row>
    <row r="340" spans="10:22" s="1" customFormat="1" x14ac:dyDescent="0.2">
      <c r="J340"/>
      <c r="K340"/>
      <c r="L340"/>
      <c r="M340"/>
      <c r="N340"/>
      <c r="O340" s="392"/>
      <c r="P340" s="2"/>
      <c r="R340"/>
      <c r="S340"/>
      <c r="V340"/>
    </row>
    <row r="341" spans="10:22" s="1" customFormat="1" x14ac:dyDescent="0.2">
      <c r="J341"/>
      <c r="K341"/>
      <c r="L341"/>
      <c r="M341"/>
      <c r="N341"/>
      <c r="O341" s="392"/>
      <c r="P341" s="2"/>
      <c r="R341"/>
      <c r="S341"/>
      <c r="V341"/>
    </row>
    <row r="342" spans="10:22" s="1" customFormat="1" x14ac:dyDescent="0.2">
      <c r="J342"/>
      <c r="K342"/>
      <c r="L342"/>
      <c r="M342"/>
      <c r="N342"/>
      <c r="O342" s="392"/>
      <c r="P342" s="2"/>
      <c r="R342"/>
      <c r="S342"/>
      <c r="V342"/>
    </row>
    <row r="343" spans="10:22" s="1" customFormat="1" x14ac:dyDescent="0.2">
      <c r="J343"/>
      <c r="K343"/>
      <c r="L343"/>
      <c r="M343"/>
      <c r="N343"/>
      <c r="O343" s="392"/>
      <c r="P343" s="2"/>
      <c r="R343"/>
      <c r="S343"/>
      <c r="V343"/>
    </row>
    <row r="344" spans="10:22" s="1" customFormat="1" x14ac:dyDescent="0.2">
      <c r="J344"/>
      <c r="K344"/>
      <c r="L344"/>
      <c r="M344"/>
      <c r="N344"/>
      <c r="O344" s="392"/>
      <c r="P344" s="2"/>
      <c r="R344"/>
      <c r="S344"/>
      <c r="V344"/>
    </row>
    <row r="345" spans="10:22" s="1" customFormat="1" x14ac:dyDescent="0.2">
      <c r="J345"/>
      <c r="K345"/>
      <c r="L345"/>
      <c r="M345"/>
      <c r="N345"/>
      <c r="O345" s="392"/>
      <c r="P345" s="2"/>
      <c r="R345"/>
      <c r="S345"/>
      <c r="V345"/>
    </row>
    <row r="346" spans="10:22" s="1" customFormat="1" x14ac:dyDescent="0.2">
      <c r="J346"/>
      <c r="K346"/>
      <c r="L346"/>
      <c r="M346"/>
      <c r="N346"/>
      <c r="O346" s="392"/>
      <c r="P346" s="2"/>
      <c r="R346"/>
      <c r="S346"/>
      <c r="V346"/>
    </row>
    <row r="347" spans="10:22" s="1" customFormat="1" x14ac:dyDescent="0.2">
      <c r="J347"/>
      <c r="K347"/>
      <c r="L347"/>
      <c r="M347"/>
      <c r="N347"/>
      <c r="O347" s="392"/>
      <c r="P347" s="2"/>
      <c r="R347"/>
      <c r="S347"/>
      <c r="V347"/>
    </row>
    <row r="348" spans="10:22" s="1" customFormat="1" x14ac:dyDescent="0.2">
      <c r="J348"/>
      <c r="K348"/>
      <c r="L348"/>
      <c r="M348"/>
      <c r="N348"/>
      <c r="O348" s="392"/>
      <c r="P348" s="2"/>
      <c r="R348"/>
      <c r="S348"/>
      <c r="V348"/>
    </row>
    <row r="349" spans="10:22" s="1" customFormat="1" x14ac:dyDescent="0.2">
      <c r="J349"/>
      <c r="K349"/>
      <c r="L349"/>
      <c r="M349"/>
      <c r="N349"/>
      <c r="O349" s="392"/>
      <c r="P349" s="2"/>
      <c r="R349"/>
      <c r="S349"/>
      <c r="V349"/>
    </row>
    <row r="350" spans="10:22" s="1" customFormat="1" x14ac:dyDescent="0.2">
      <c r="J350"/>
      <c r="K350"/>
      <c r="L350"/>
      <c r="M350"/>
      <c r="N350"/>
      <c r="O350" s="392"/>
      <c r="P350" s="2"/>
      <c r="R350"/>
      <c r="S350"/>
      <c r="V350"/>
    </row>
    <row r="351" spans="10:22" s="1" customFormat="1" x14ac:dyDescent="0.2">
      <c r="J351"/>
      <c r="K351"/>
      <c r="L351"/>
      <c r="M351"/>
      <c r="N351"/>
      <c r="O351" s="392"/>
      <c r="P351" s="2"/>
      <c r="R351"/>
      <c r="S351"/>
      <c r="V351"/>
    </row>
    <row r="352" spans="10:22" s="1" customFormat="1" x14ac:dyDescent="0.2">
      <c r="J352"/>
      <c r="K352"/>
      <c r="L352"/>
      <c r="M352"/>
      <c r="N352"/>
      <c r="O352" s="392"/>
      <c r="P352" s="2"/>
      <c r="R352"/>
      <c r="S352"/>
      <c r="V352"/>
    </row>
    <row r="353" spans="10:22" s="1" customFormat="1" x14ac:dyDescent="0.2">
      <c r="J353"/>
      <c r="K353"/>
      <c r="L353"/>
      <c r="M353"/>
      <c r="N353"/>
      <c r="O353" s="392"/>
      <c r="P353" s="2"/>
      <c r="R353"/>
      <c r="S353"/>
      <c r="V353"/>
    </row>
    <row r="354" spans="10:22" s="1" customFormat="1" x14ac:dyDescent="0.2">
      <c r="J354"/>
      <c r="K354"/>
      <c r="L354"/>
      <c r="M354"/>
      <c r="N354"/>
      <c r="O354" s="392"/>
      <c r="P354" s="2"/>
      <c r="R354"/>
      <c r="S354"/>
      <c r="V354"/>
    </row>
    <row r="355" spans="10:22" s="1" customFormat="1" x14ac:dyDescent="0.2">
      <c r="J355"/>
      <c r="K355"/>
      <c r="L355"/>
      <c r="M355"/>
      <c r="N355"/>
      <c r="O355" s="392"/>
      <c r="P355" s="2"/>
      <c r="R355"/>
      <c r="S355"/>
      <c r="V355"/>
    </row>
    <row r="356" spans="10:22" s="1" customFormat="1" x14ac:dyDescent="0.2">
      <c r="J356"/>
      <c r="K356"/>
      <c r="L356"/>
      <c r="M356"/>
      <c r="N356"/>
      <c r="O356" s="392"/>
      <c r="P356" s="2"/>
      <c r="R356"/>
      <c r="S356"/>
      <c r="V356"/>
    </row>
    <row r="357" spans="10:22" s="1" customFormat="1" x14ac:dyDescent="0.2">
      <c r="J357"/>
      <c r="K357"/>
      <c r="L357"/>
      <c r="M357"/>
      <c r="N357"/>
      <c r="O357" s="392"/>
      <c r="P357" s="2"/>
      <c r="R357"/>
      <c r="S357"/>
      <c r="V357"/>
    </row>
    <row r="358" spans="10:22" s="1" customFormat="1" x14ac:dyDescent="0.2">
      <c r="J358"/>
      <c r="K358"/>
      <c r="L358"/>
      <c r="M358"/>
      <c r="N358"/>
      <c r="O358" s="392"/>
      <c r="P358" s="2"/>
      <c r="R358"/>
      <c r="S358"/>
      <c r="V358"/>
    </row>
    <row r="359" spans="10:22" s="1" customFormat="1" x14ac:dyDescent="0.2">
      <c r="J359"/>
      <c r="K359"/>
      <c r="L359"/>
      <c r="M359"/>
      <c r="N359"/>
      <c r="O359" s="392"/>
      <c r="P359" s="2"/>
      <c r="R359"/>
      <c r="S359"/>
      <c r="V359"/>
    </row>
    <row r="360" spans="10:22" s="1" customFormat="1" x14ac:dyDescent="0.2">
      <c r="J360"/>
      <c r="K360"/>
      <c r="L360"/>
      <c r="M360"/>
      <c r="N360"/>
      <c r="O360" s="392"/>
      <c r="P360" s="2"/>
      <c r="R360"/>
      <c r="S360"/>
      <c r="V360"/>
    </row>
    <row r="361" spans="10:22" s="1" customFormat="1" x14ac:dyDescent="0.2">
      <c r="J361"/>
      <c r="K361"/>
      <c r="L361"/>
      <c r="M361"/>
      <c r="N361"/>
      <c r="O361" s="392"/>
      <c r="P361" s="2"/>
      <c r="R361"/>
      <c r="S361"/>
      <c r="V361"/>
    </row>
    <row r="362" spans="10:22" s="1" customFormat="1" x14ac:dyDescent="0.2">
      <c r="J362"/>
      <c r="K362"/>
      <c r="L362"/>
      <c r="M362"/>
      <c r="N362"/>
      <c r="O362" s="392"/>
      <c r="P362" s="2"/>
      <c r="R362"/>
      <c r="S362"/>
      <c r="V362"/>
    </row>
    <row r="363" spans="10:22" s="1" customFormat="1" x14ac:dyDescent="0.2">
      <c r="J363"/>
      <c r="K363"/>
      <c r="L363"/>
      <c r="M363"/>
      <c r="N363"/>
      <c r="O363" s="392"/>
      <c r="P363" s="2"/>
      <c r="R363"/>
      <c r="S363"/>
      <c r="V363"/>
    </row>
    <row r="364" spans="10:22" s="1" customFormat="1" x14ac:dyDescent="0.2">
      <c r="J364"/>
      <c r="K364"/>
      <c r="L364"/>
      <c r="M364"/>
      <c r="N364"/>
      <c r="O364" s="392"/>
      <c r="P364" s="2"/>
      <c r="R364"/>
      <c r="S364"/>
      <c r="V364"/>
    </row>
    <row r="365" spans="10:22" s="1" customFormat="1" x14ac:dyDescent="0.2">
      <c r="J365"/>
      <c r="K365"/>
      <c r="L365"/>
      <c r="M365"/>
      <c r="N365"/>
      <c r="O365" s="392"/>
      <c r="P365" s="2"/>
      <c r="R365"/>
      <c r="S365"/>
      <c r="V365"/>
    </row>
    <row r="366" spans="10:22" s="1" customFormat="1" x14ac:dyDescent="0.2">
      <c r="J366"/>
      <c r="K366"/>
      <c r="L366"/>
      <c r="M366"/>
      <c r="N366"/>
      <c r="O366" s="392"/>
      <c r="P366" s="2"/>
      <c r="R366"/>
      <c r="S366"/>
      <c r="V366"/>
    </row>
    <row r="367" spans="10:22" s="1" customFormat="1" x14ac:dyDescent="0.2">
      <c r="J367"/>
      <c r="K367"/>
      <c r="L367"/>
      <c r="M367"/>
      <c r="N367"/>
      <c r="O367" s="392"/>
      <c r="P367" s="2"/>
      <c r="R367"/>
      <c r="S367"/>
      <c r="V367"/>
    </row>
    <row r="368" spans="10:22" s="1" customFormat="1" x14ac:dyDescent="0.2">
      <c r="J368"/>
      <c r="K368"/>
      <c r="L368"/>
      <c r="M368"/>
      <c r="N368"/>
      <c r="O368" s="392"/>
      <c r="P368" s="2"/>
      <c r="R368"/>
      <c r="S368"/>
      <c r="V368"/>
    </row>
    <row r="369" spans="10:22" s="1" customFormat="1" x14ac:dyDescent="0.2">
      <c r="J369"/>
      <c r="K369"/>
      <c r="L369"/>
      <c r="M369"/>
      <c r="N369"/>
      <c r="O369" s="392"/>
      <c r="P369" s="2"/>
      <c r="R369"/>
      <c r="S369"/>
      <c r="V369"/>
    </row>
    <row r="370" spans="10:22" s="1" customFormat="1" x14ac:dyDescent="0.2">
      <c r="J370"/>
      <c r="K370"/>
      <c r="L370"/>
      <c r="M370"/>
      <c r="N370"/>
      <c r="O370" s="392"/>
      <c r="P370" s="2"/>
      <c r="R370"/>
      <c r="S370"/>
      <c r="V370"/>
    </row>
    <row r="371" spans="10:22" s="1" customFormat="1" x14ac:dyDescent="0.2">
      <c r="J371"/>
      <c r="K371"/>
      <c r="L371"/>
      <c r="M371"/>
      <c r="N371"/>
      <c r="O371" s="392"/>
      <c r="P371" s="2"/>
      <c r="R371"/>
      <c r="S371"/>
      <c r="V371"/>
    </row>
    <row r="372" spans="10:22" s="1" customFormat="1" x14ac:dyDescent="0.2">
      <c r="J372"/>
      <c r="K372"/>
      <c r="L372"/>
      <c r="M372"/>
      <c r="N372"/>
      <c r="O372" s="392"/>
      <c r="P372" s="2"/>
      <c r="R372"/>
      <c r="S372"/>
      <c r="V372"/>
    </row>
    <row r="373" spans="10:22" s="1" customFormat="1" x14ac:dyDescent="0.2">
      <c r="J373"/>
      <c r="K373"/>
      <c r="L373"/>
      <c r="M373"/>
      <c r="N373"/>
      <c r="O373" s="392"/>
      <c r="P373" s="2"/>
      <c r="R373"/>
      <c r="S373"/>
      <c r="V373"/>
    </row>
    <row r="374" spans="10:22" s="1" customFormat="1" x14ac:dyDescent="0.2">
      <c r="J374"/>
      <c r="K374"/>
      <c r="L374"/>
      <c r="M374"/>
      <c r="N374"/>
      <c r="O374" s="392"/>
      <c r="P374" s="2"/>
      <c r="R374"/>
      <c r="S374"/>
      <c r="V374"/>
    </row>
    <row r="375" spans="10:22" s="1" customFormat="1" x14ac:dyDescent="0.2">
      <c r="J375"/>
      <c r="K375"/>
      <c r="L375"/>
      <c r="M375"/>
      <c r="N375"/>
      <c r="O375" s="392"/>
      <c r="P375" s="2"/>
      <c r="R375"/>
      <c r="S375"/>
      <c r="V375"/>
    </row>
    <row r="376" spans="10:22" s="1" customFormat="1" x14ac:dyDescent="0.2">
      <c r="J376"/>
      <c r="K376"/>
      <c r="L376"/>
      <c r="M376"/>
      <c r="N376"/>
      <c r="O376" s="392"/>
      <c r="P376" s="2"/>
      <c r="R376"/>
      <c r="S376"/>
      <c r="V376"/>
    </row>
    <row r="377" spans="10:22" s="1" customFormat="1" x14ac:dyDescent="0.2">
      <c r="J377"/>
      <c r="K377"/>
      <c r="L377"/>
      <c r="M377"/>
      <c r="N377"/>
      <c r="O377" s="392"/>
      <c r="P377" s="2"/>
      <c r="R377"/>
      <c r="S377"/>
      <c r="V377"/>
    </row>
    <row r="378" spans="10:22" s="1" customFormat="1" x14ac:dyDescent="0.2">
      <c r="J378"/>
      <c r="K378"/>
      <c r="L378"/>
      <c r="M378"/>
      <c r="N378"/>
      <c r="O378" s="392"/>
      <c r="P378" s="2"/>
      <c r="R378"/>
      <c r="S378"/>
      <c r="V378"/>
    </row>
    <row r="379" spans="10:22" s="1" customFormat="1" x14ac:dyDescent="0.2">
      <c r="J379"/>
      <c r="K379"/>
      <c r="L379"/>
      <c r="M379"/>
      <c r="N379"/>
      <c r="O379" s="392"/>
      <c r="P379" s="2"/>
      <c r="R379"/>
      <c r="S379"/>
      <c r="V379"/>
    </row>
    <row r="380" spans="10:22" s="1" customFormat="1" x14ac:dyDescent="0.2">
      <c r="J380"/>
      <c r="K380"/>
      <c r="L380"/>
      <c r="M380"/>
      <c r="N380"/>
      <c r="O380" s="392"/>
      <c r="P380" s="2"/>
      <c r="R380"/>
      <c r="S380"/>
      <c r="V380"/>
    </row>
    <row r="381" spans="10:22" s="1" customFormat="1" x14ac:dyDescent="0.2">
      <c r="J381"/>
      <c r="K381"/>
      <c r="L381"/>
      <c r="M381"/>
      <c r="N381"/>
      <c r="O381" s="392"/>
      <c r="P381" s="2"/>
      <c r="R381"/>
      <c r="S381"/>
      <c r="V381"/>
    </row>
    <row r="382" spans="10:22" s="1" customFormat="1" x14ac:dyDescent="0.2">
      <c r="J382"/>
      <c r="K382"/>
      <c r="L382"/>
      <c r="M382"/>
      <c r="N382"/>
      <c r="O382" s="392"/>
      <c r="P382" s="2"/>
      <c r="R382"/>
      <c r="S382"/>
      <c r="V382"/>
    </row>
    <row r="383" spans="10:22" s="1" customFormat="1" x14ac:dyDescent="0.2">
      <c r="J383"/>
      <c r="K383"/>
      <c r="L383"/>
      <c r="M383"/>
      <c r="N383"/>
      <c r="O383" s="392"/>
      <c r="P383" s="2"/>
      <c r="R383"/>
      <c r="S383"/>
      <c r="V383"/>
    </row>
    <row r="384" spans="10:22" s="1" customFormat="1" x14ac:dyDescent="0.2">
      <c r="J384"/>
      <c r="K384"/>
      <c r="L384"/>
      <c r="M384"/>
      <c r="N384"/>
      <c r="O384" s="392"/>
      <c r="P384" s="2"/>
      <c r="R384"/>
      <c r="S384"/>
      <c r="V384"/>
    </row>
    <row r="385" spans="10:22" s="1" customFormat="1" x14ac:dyDescent="0.2">
      <c r="J385"/>
      <c r="K385"/>
      <c r="L385"/>
      <c r="M385"/>
      <c r="N385"/>
      <c r="O385" s="392"/>
      <c r="P385" s="2"/>
      <c r="R385"/>
      <c r="S385"/>
      <c r="V385"/>
    </row>
    <row r="386" spans="10:22" s="1" customFormat="1" x14ac:dyDescent="0.2">
      <c r="J386"/>
      <c r="K386"/>
      <c r="L386"/>
      <c r="M386"/>
      <c r="N386"/>
      <c r="O386" s="392"/>
      <c r="P386" s="2"/>
      <c r="R386"/>
      <c r="S386"/>
      <c r="V386"/>
    </row>
    <row r="387" spans="10:22" s="1" customFormat="1" x14ac:dyDescent="0.2">
      <c r="J387"/>
      <c r="K387"/>
      <c r="L387"/>
      <c r="M387"/>
      <c r="N387"/>
      <c r="O387" s="392"/>
      <c r="P387" s="2"/>
      <c r="R387"/>
      <c r="S387"/>
      <c r="V387"/>
    </row>
    <row r="388" spans="10:22" s="1" customFormat="1" x14ac:dyDescent="0.2">
      <c r="J388"/>
      <c r="K388"/>
      <c r="L388"/>
      <c r="M388"/>
      <c r="N388"/>
      <c r="O388" s="392"/>
      <c r="P388" s="2"/>
      <c r="R388"/>
      <c r="S388"/>
      <c r="V388"/>
    </row>
    <row r="389" spans="10:22" s="1" customFormat="1" x14ac:dyDescent="0.2">
      <c r="J389"/>
      <c r="K389"/>
      <c r="L389"/>
      <c r="M389"/>
      <c r="N389"/>
      <c r="O389" s="392"/>
      <c r="P389" s="2"/>
      <c r="R389"/>
      <c r="S389"/>
      <c r="V389"/>
    </row>
    <row r="390" spans="10:22" s="1" customFormat="1" x14ac:dyDescent="0.2">
      <c r="J390"/>
      <c r="K390"/>
      <c r="L390"/>
      <c r="M390"/>
      <c r="N390"/>
      <c r="O390" s="392"/>
      <c r="P390" s="2"/>
      <c r="R390"/>
      <c r="S390"/>
      <c r="V390"/>
    </row>
    <row r="391" spans="10:22" s="1" customFormat="1" x14ac:dyDescent="0.2">
      <c r="J391"/>
      <c r="K391"/>
      <c r="L391"/>
      <c r="M391"/>
      <c r="N391"/>
      <c r="O391" s="392"/>
      <c r="P391" s="2"/>
      <c r="R391"/>
      <c r="S391"/>
      <c r="V391"/>
    </row>
    <row r="392" spans="10:22" s="1" customFormat="1" x14ac:dyDescent="0.2">
      <c r="J392"/>
      <c r="K392"/>
      <c r="L392"/>
      <c r="M392"/>
      <c r="N392"/>
      <c r="O392" s="392"/>
      <c r="P392" s="2"/>
      <c r="R392"/>
      <c r="S392"/>
      <c r="V392"/>
    </row>
    <row r="393" spans="10:22" s="1" customFormat="1" x14ac:dyDescent="0.2">
      <c r="J393"/>
      <c r="K393"/>
      <c r="L393"/>
      <c r="M393"/>
      <c r="N393"/>
      <c r="O393" s="392"/>
      <c r="P393" s="2"/>
      <c r="R393"/>
      <c r="S393"/>
      <c r="V393"/>
    </row>
    <row r="394" spans="10:22" s="1" customFormat="1" x14ac:dyDescent="0.2">
      <c r="J394"/>
      <c r="K394"/>
      <c r="L394"/>
      <c r="M394"/>
      <c r="N394"/>
      <c r="O394" s="392"/>
      <c r="P394" s="2"/>
      <c r="R394"/>
      <c r="S394"/>
      <c r="V394"/>
    </row>
    <row r="395" spans="10:22" s="1" customFormat="1" x14ac:dyDescent="0.2">
      <c r="J395"/>
      <c r="K395"/>
      <c r="L395"/>
      <c r="M395"/>
      <c r="N395"/>
      <c r="O395" s="392"/>
      <c r="P395" s="2"/>
      <c r="R395"/>
      <c r="S395"/>
      <c r="V395"/>
    </row>
    <row r="396" spans="10:22" s="1" customFormat="1" x14ac:dyDescent="0.2">
      <c r="J396"/>
      <c r="K396"/>
      <c r="L396"/>
      <c r="M396"/>
      <c r="N396"/>
      <c r="O396" s="392"/>
      <c r="P396" s="2"/>
      <c r="R396"/>
      <c r="S396"/>
      <c r="V396"/>
    </row>
    <row r="397" spans="10:22" s="1" customFormat="1" x14ac:dyDescent="0.2">
      <c r="J397"/>
      <c r="K397"/>
      <c r="L397"/>
      <c r="M397"/>
      <c r="N397"/>
      <c r="O397" s="392"/>
      <c r="P397" s="2"/>
      <c r="R397"/>
      <c r="S397"/>
      <c r="V397"/>
    </row>
    <row r="398" spans="10:22" s="1" customFormat="1" x14ac:dyDescent="0.2">
      <c r="J398"/>
      <c r="K398"/>
      <c r="L398"/>
      <c r="M398"/>
      <c r="N398"/>
      <c r="O398" s="392"/>
      <c r="P398" s="2"/>
      <c r="R398"/>
      <c r="S398"/>
      <c r="V398"/>
    </row>
    <row r="399" spans="10:22" s="1" customFormat="1" x14ac:dyDescent="0.2">
      <c r="J399"/>
      <c r="K399"/>
      <c r="L399"/>
      <c r="M399"/>
      <c r="N399"/>
      <c r="O399" s="392"/>
      <c r="P399" s="2"/>
      <c r="R399"/>
      <c r="S399"/>
      <c r="V399"/>
    </row>
    <row r="400" spans="10:22" s="1" customFormat="1" x14ac:dyDescent="0.2">
      <c r="J400"/>
      <c r="K400"/>
      <c r="L400"/>
      <c r="M400"/>
      <c r="N400"/>
      <c r="O400" s="392"/>
      <c r="P400" s="2"/>
      <c r="R400"/>
      <c r="S400"/>
      <c r="V400"/>
    </row>
    <row r="401" spans="10:22" s="1" customFormat="1" x14ac:dyDescent="0.2">
      <c r="J401"/>
      <c r="K401"/>
      <c r="L401"/>
      <c r="M401"/>
      <c r="N401"/>
      <c r="O401" s="392"/>
      <c r="P401" s="2"/>
      <c r="R401"/>
      <c r="S401"/>
      <c r="V401"/>
    </row>
    <row r="402" spans="10:22" s="1" customFormat="1" x14ac:dyDescent="0.2">
      <c r="J402"/>
      <c r="K402"/>
      <c r="L402"/>
      <c r="M402"/>
      <c r="N402"/>
      <c r="O402" s="392"/>
      <c r="P402" s="2"/>
      <c r="R402"/>
      <c r="S402"/>
      <c r="V402"/>
    </row>
    <row r="403" spans="10:22" s="1" customFormat="1" x14ac:dyDescent="0.2">
      <c r="J403"/>
      <c r="K403"/>
      <c r="L403"/>
      <c r="M403"/>
      <c r="N403"/>
      <c r="O403" s="392"/>
      <c r="P403" s="2"/>
      <c r="R403"/>
      <c r="S403"/>
      <c r="V403"/>
    </row>
    <row r="404" spans="10:22" s="1" customFormat="1" x14ac:dyDescent="0.2">
      <c r="J404"/>
      <c r="K404"/>
      <c r="L404"/>
      <c r="M404"/>
      <c r="N404"/>
      <c r="O404" s="392"/>
      <c r="P404" s="2"/>
      <c r="R404"/>
      <c r="S404"/>
      <c r="V404"/>
    </row>
    <row r="405" spans="10:22" s="1" customFormat="1" x14ac:dyDescent="0.2">
      <c r="J405"/>
      <c r="K405"/>
      <c r="L405"/>
      <c r="M405"/>
      <c r="N405"/>
      <c r="O405" s="392"/>
      <c r="P405" s="2"/>
      <c r="R405"/>
      <c r="S405"/>
      <c r="V405"/>
    </row>
    <row r="406" spans="10:22" s="1" customFormat="1" x14ac:dyDescent="0.2">
      <c r="J406"/>
      <c r="K406"/>
      <c r="L406"/>
      <c r="M406"/>
      <c r="N406"/>
      <c r="O406" s="392"/>
      <c r="P406" s="2"/>
      <c r="R406"/>
      <c r="S406"/>
      <c r="V406"/>
    </row>
    <row r="407" spans="10:22" s="1" customFormat="1" x14ac:dyDescent="0.2">
      <c r="J407"/>
      <c r="K407"/>
      <c r="L407"/>
      <c r="M407"/>
      <c r="N407"/>
      <c r="O407" s="392"/>
      <c r="P407" s="2"/>
      <c r="R407"/>
      <c r="S407"/>
      <c r="V407"/>
    </row>
    <row r="408" spans="10:22" s="1" customFormat="1" x14ac:dyDescent="0.2">
      <c r="J408"/>
      <c r="K408"/>
      <c r="L408"/>
      <c r="M408"/>
      <c r="N408"/>
      <c r="O408" s="392"/>
      <c r="P408" s="2"/>
      <c r="R408"/>
      <c r="S408"/>
      <c r="V408"/>
    </row>
    <row r="409" spans="10:22" s="1" customFormat="1" x14ac:dyDescent="0.2">
      <c r="J409"/>
      <c r="K409"/>
      <c r="L409"/>
      <c r="M409"/>
      <c r="N409"/>
      <c r="O409" s="392"/>
      <c r="P409" s="2"/>
      <c r="R409"/>
      <c r="S409"/>
      <c r="V409"/>
    </row>
    <row r="410" spans="10:22" s="1" customFormat="1" x14ac:dyDescent="0.2">
      <c r="J410"/>
      <c r="K410"/>
      <c r="L410"/>
      <c r="M410"/>
      <c r="N410"/>
      <c r="O410" s="392"/>
      <c r="P410" s="2"/>
      <c r="R410"/>
      <c r="S410"/>
      <c r="V410"/>
    </row>
    <row r="411" spans="10:22" s="1" customFormat="1" x14ac:dyDescent="0.2">
      <c r="J411"/>
      <c r="K411"/>
      <c r="L411"/>
      <c r="M411"/>
      <c r="N411"/>
      <c r="O411" s="392"/>
      <c r="P411" s="2"/>
      <c r="R411"/>
      <c r="S411"/>
      <c r="V411"/>
    </row>
    <row r="412" spans="10:22" s="1" customFormat="1" x14ac:dyDescent="0.2">
      <c r="J412"/>
      <c r="K412"/>
      <c r="L412"/>
      <c r="M412"/>
      <c r="N412"/>
      <c r="O412" s="392"/>
      <c r="P412" s="2"/>
      <c r="R412"/>
      <c r="S412"/>
      <c r="V412"/>
    </row>
    <row r="413" spans="10:22" s="1" customFormat="1" x14ac:dyDescent="0.2">
      <c r="J413"/>
      <c r="K413"/>
      <c r="L413"/>
      <c r="M413"/>
      <c r="N413"/>
      <c r="O413" s="392"/>
      <c r="P413" s="2"/>
      <c r="R413"/>
      <c r="S413"/>
      <c r="V413"/>
    </row>
    <row r="414" spans="10:22" s="1" customFormat="1" x14ac:dyDescent="0.2">
      <c r="J414"/>
      <c r="K414"/>
      <c r="L414"/>
      <c r="M414"/>
      <c r="N414"/>
      <c r="O414" s="392"/>
      <c r="P414" s="2"/>
      <c r="R414"/>
      <c r="S414"/>
      <c r="V414"/>
    </row>
    <row r="415" spans="10:22" s="1" customFormat="1" x14ac:dyDescent="0.2">
      <c r="J415"/>
      <c r="K415"/>
      <c r="L415"/>
      <c r="M415"/>
      <c r="N415"/>
      <c r="O415" s="392"/>
      <c r="P415" s="2"/>
      <c r="R415"/>
      <c r="S415"/>
      <c r="V415"/>
    </row>
    <row r="416" spans="10:22" s="1" customFormat="1" x14ac:dyDescent="0.2">
      <c r="J416"/>
      <c r="K416"/>
      <c r="L416"/>
      <c r="M416"/>
      <c r="N416"/>
      <c r="O416" s="392"/>
      <c r="P416" s="2"/>
      <c r="R416"/>
      <c r="S416"/>
      <c r="V416"/>
    </row>
    <row r="417" spans="10:22" s="1" customFormat="1" x14ac:dyDescent="0.2">
      <c r="J417"/>
      <c r="K417"/>
      <c r="L417"/>
      <c r="M417"/>
      <c r="N417"/>
      <c r="O417" s="392"/>
      <c r="P417" s="2"/>
      <c r="R417"/>
      <c r="S417"/>
      <c r="V417"/>
    </row>
    <row r="418" spans="10:22" s="1" customFormat="1" x14ac:dyDescent="0.2">
      <c r="J418"/>
      <c r="K418"/>
      <c r="L418"/>
      <c r="M418"/>
      <c r="N418"/>
      <c r="O418" s="392"/>
      <c r="P418" s="2"/>
      <c r="R418"/>
      <c r="S418"/>
      <c r="V418"/>
    </row>
    <row r="419" spans="10:22" s="1" customFormat="1" x14ac:dyDescent="0.2">
      <c r="J419"/>
      <c r="K419"/>
      <c r="L419"/>
      <c r="M419"/>
      <c r="N419"/>
      <c r="O419" s="392"/>
      <c r="P419" s="2"/>
      <c r="R419"/>
      <c r="S419"/>
      <c r="V419"/>
    </row>
    <row r="420" spans="10:22" s="1" customFormat="1" x14ac:dyDescent="0.2">
      <c r="J420"/>
      <c r="K420"/>
      <c r="L420"/>
      <c r="M420"/>
      <c r="N420"/>
      <c r="O420" s="392"/>
      <c r="P420" s="2"/>
      <c r="R420"/>
      <c r="S420"/>
      <c r="V420"/>
    </row>
    <row r="421" spans="10:22" s="1" customFormat="1" x14ac:dyDescent="0.2">
      <c r="J421"/>
      <c r="K421"/>
      <c r="L421"/>
      <c r="M421"/>
      <c r="N421"/>
      <c r="O421" s="392"/>
      <c r="P421" s="2"/>
      <c r="R421"/>
      <c r="S421"/>
      <c r="V421"/>
    </row>
    <row r="422" spans="10:22" s="1" customFormat="1" x14ac:dyDescent="0.2">
      <c r="J422"/>
      <c r="K422"/>
      <c r="L422"/>
      <c r="M422"/>
      <c r="N422"/>
      <c r="O422" s="392"/>
      <c r="P422" s="2"/>
      <c r="R422"/>
      <c r="S422"/>
      <c r="V422"/>
    </row>
    <row r="423" spans="10:22" s="1" customFormat="1" x14ac:dyDescent="0.2">
      <c r="J423"/>
      <c r="K423"/>
      <c r="L423"/>
      <c r="M423"/>
      <c r="N423"/>
      <c r="O423" s="392"/>
      <c r="P423" s="2"/>
      <c r="R423"/>
      <c r="S423"/>
      <c r="V423"/>
    </row>
    <row r="424" spans="10:22" s="1" customFormat="1" x14ac:dyDescent="0.2">
      <c r="J424"/>
      <c r="K424"/>
      <c r="L424"/>
      <c r="M424"/>
      <c r="N424"/>
      <c r="O424" s="392"/>
      <c r="P424" s="2"/>
      <c r="R424"/>
      <c r="S424"/>
      <c r="V424"/>
    </row>
    <row r="425" spans="10:22" s="1" customFormat="1" x14ac:dyDescent="0.2">
      <c r="J425"/>
      <c r="K425"/>
      <c r="L425"/>
      <c r="M425"/>
      <c r="N425"/>
      <c r="O425" s="392"/>
      <c r="P425" s="2"/>
      <c r="R425"/>
      <c r="S425"/>
      <c r="V425"/>
    </row>
    <row r="426" spans="10:22" s="1" customFormat="1" x14ac:dyDescent="0.2">
      <c r="J426"/>
      <c r="K426"/>
      <c r="L426"/>
      <c r="M426"/>
      <c r="N426"/>
      <c r="O426" s="392"/>
      <c r="P426" s="2"/>
      <c r="R426"/>
      <c r="S426"/>
      <c r="V426"/>
    </row>
    <row r="427" spans="10:22" s="1" customFormat="1" x14ac:dyDescent="0.2">
      <c r="J427"/>
      <c r="K427"/>
      <c r="L427"/>
      <c r="M427"/>
      <c r="N427"/>
      <c r="O427" s="392"/>
      <c r="P427" s="2"/>
      <c r="R427"/>
      <c r="S427"/>
      <c r="V427"/>
    </row>
    <row r="428" spans="10:22" s="1" customFormat="1" x14ac:dyDescent="0.2">
      <c r="J428"/>
      <c r="K428"/>
      <c r="L428"/>
      <c r="M428"/>
      <c r="N428"/>
      <c r="O428" s="392"/>
      <c r="P428" s="2"/>
      <c r="R428"/>
      <c r="S428"/>
      <c r="V428"/>
    </row>
    <row r="429" spans="10:22" s="1" customFormat="1" x14ac:dyDescent="0.2">
      <c r="J429"/>
      <c r="K429"/>
      <c r="L429"/>
      <c r="M429"/>
      <c r="N429"/>
      <c r="O429" s="392"/>
      <c r="P429" s="2"/>
      <c r="R429"/>
      <c r="S429"/>
      <c r="V429"/>
    </row>
    <row r="430" spans="10:22" s="1" customFormat="1" x14ac:dyDescent="0.2">
      <c r="J430"/>
      <c r="K430"/>
      <c r="L430"/>
      <c r="M430"/>
      <c r="N430"/>
      <c r="O430" s="392"/>
      <c r="P430" s="2"/>
      <c r="R430"/>
      <c r="S430"/>
      <c r="V430"/>
    </row>
    <row r="431" spans="10:22" s="1" customFormat="1" x14ac:dyDescent="0.2">
      <c r="J431"/>
      <c r="K431"/>
      <c r="L431"/>
      <c r="M431"/>
      <c r="N431"/>
      <c r="O431" s="392"/>
      <c r="P431" s="2"/>
      <c r="R431"/>
      <c r="S431"/>
      <c r="V431"/>
    </row>
    <row r="432" spans="10:22" s="1" customFormat="1" x14ac:dyDescent="0.2">
      <c r="J432"/>
      <c r="K432"/>
      <c r="L432"/>
      <c r="M432"/>
      <c r="N432"/>
      <c r="O432" s="392"/>
      <c r="P432" s="2"/>
      <c r="R432"/>
      <c r="S432"/>
      <c r="V432"/>
    </row>
    <row r="433" spans="10:22" s="1" customFormat="1" x14ac:dyDescent="0.2">
      <c r="J433"/>
      <c r="K433"/>
      <c r="L433"/>
      <c r="M433"/>
      <c r="N433"/>
      <c r="O433" s="392"/>
      <c r="P433" s="2"/>
      <c r="R433"/>
      <c r="S433"/>
      <c r="V433"/>
    </row>
    <row r="434" spans="10:22" s="1" customFormat="1" x14ac:dyDescent="0.2">
      <c r="J434"/>
      <c r="K434"/>
      <c r="L434"/>
      <c r="M434"/>
      <c r="N434"/>
      <c r="O434" s="392"/>
      <c r="P434" s="2"/>
      <c r="R434"/>
      <c r="S434"/>
      <c r="V434"/>
    </row>
    <row r="435" spans="10:22" s="1" customFormat="1" x14ac:dyDescent="0.2">
      <c r="J435"/>
      <c r="K435"/>
      <c r="L435"/>
      <c r="M435"/>
      <c r="N435"/>
      <c r="O435" s="392"/>
      <c r="P435" s="2"/>
      <c r="R435"/>
      <c r="S435"/>
      <c r="V435"/>
    </row>
    <row r="436" spans="10:22" s="1" customFormat="1" x14ac:dyDescent="0.2">
      <c r="J436"/>
      <c r="K436"/>
      <c r="L436"/>
      <c r="M436"/>
      <c r="N436"/>
      <c r="O436" s="392"/>
      <c r="P436" s="2"/>
      <c r="R436"/>
      <c r="S436"/>
      <c r="V436"/>
    </row>
    <row r="437" spans="10:22" s="1" customFormat="1" x14ac:dyDescent="0.2">
      <c r="J437"/>
      <c r="K437"/>
      <c r="L437"/>
      <c r="M437"/>
      <c r="N437"/>
      <c r="O437" s="392"/>
      <c r="P437" s="2"/>
      <c r="R437"/>
      <c r="S437"/>
      <c r="V437"/>
    </row>
    <row r="438" spans="10:22" s="1" customFormat="1" x14ac:dyDescent="0.2">
      <c r="J438"/>
      <c r="K438"/>
      <c r="L438"/>
      <c r="M438"/>
      <c r="N438"/>
      <c r="O438" s="392"/>
      <c r="P438" s="2"/>
      <c r="R438"/>
      <c r="S438"/>
      <c r="V438"/>
    </row>
    <row r="439" spans="10:22" s="1" customFormat="1" x14ac:dyDescent="0.2">
      <c r="J439"/>
      <c r="K439"/>
      <c r="L439"/>
      <c r="M439"/>
      <c r="N439"/>
      <c r="O439" s="392"/>
      <c r="P439" s="2"/>
      <c r="R439"/>
      <c r="S439"/>
      <c r="V439"/>
    </row>
    <row r="440" spans="10:22" s="1" customFormat="1" x14ac:dyDescent="0.2">
      <c r="J440"/>
      <c r="K440"/>
      <c r="L440"/>
      <c r="M440"/>
      <c r="N440"/>
      <c r="O440" s="392"/>
      <c r="P440" s="2"/>
      <c r="R440"/>
      <c r="S440"/>
      <c r="V440"/>
    </row>
    <row r="441" spans="10:22" s="1" customFormat="1" x14ac:dyDescent="0.2">
      <c r="J441"/>
      <c r="K441"/>
      <c r="L441"/>
      <c r="M441"/>
      <c r="N441"/>
      <c r="O441" s="392"/>
      <c r="P441" s="2"/>
      <c r="R441"/>
      <c r="S441"/>
      <c r="V441"/>
    </row>
    <row r="442" spans="10:22" s="1" customFormat="1" x14ac:dyDescent="0.2">
      <c r="J442"/>
      <c r="K442"/>
      <c r="L442"/>
      <c r="M442"/>
      <c r="N442"/>
      <c r="O442" s="392"/>
      <c r="P442" s="2"/>
      <c r="R442"/>
      <c r="S442"/>
      <c r="V442"/>
    </row>
    <row r="443" spans="10:22" s="1" customFormat="1" x14ac:dyDescent="0.2">
      <c r="J443"/>
      <c r="K443"/>
      <c r="L443"/>
      <c r="M443"/>
      <c r="N443"/>
      <c r="O443" s="392"/>
      <c r="P443" s="2"/>
      <c r="R443"/>
      <c r="S443"/>
      <c r="V443"/>
    </row>
    <row r="444" spans="10:22" s="1" customFormat="1" x14ac:dyDescent="0.2">
      <c r="J444"/>
      <c r="K444"/>
      <c r="L444"/>
      <c r="M444"/>
      <c r="N444"/>
      <c r="O444" s="392"/>
      <c r="P444" s="2"/>
      <c r="R444"/>
      <c r="S444"/>
      <c r="V444"/>
    </row>
    <row r="445" spans="10:22" s="1" customFormat="1" x14ac:dyDescent="0.2">
      <c r="J445"/>
      <c r="K445"/>
      <c r="L445"/>
      <c r="M445"/>
      <c r="N445"/>
      <c r="O445" s="392"/>
      <c r="P445" s="2"/>
      <c r="R445"/>
      <c r="S445"/>
      <c r="V445"/>
    </row>
    <row r="446" spans="10:22" s="1" customFormat="1" x14ac:dyDescent="0.2">
      <c r="J446"/>
      <c r="K446"/>
      <c r="L446"/>
      <c r="M446"/>
      <c r="N446"/>
      <c r="O446" s="392"/>
      <c r="P446" s="2"/>
      <c r="R446"/>
      <c r="S446"/>
      <c r="V446"/>
    </row>
    <row r="447" spans="10:22" s="1" customFormat="1" x14ac:dyDescent="0.2">
      <c r="J447"/>
      <c r="K447"/>
      <c r="L447"/>
      <c r="M447"/>
      <c r="N447"/>
      <c r="O447" s="392"/>
      <c r="P447" s="2"/>
      <c r="R447"/>
      <c r="S447"/>
      <c r="V447"/>
    </row>
    <row r="448" spans="10:22" s="1" customFormat="1" x14ac:dyDescent="0.2">
      <c r="J448"/>
      <c r="K448"/>
      <c r="L448"/>
      <c r="M448"/>
      <c r="N448"/>
      <c r="O448" s="392"/>
      <c r="P448" s="2"/>
      <c r="R448"/>
      <c r="S448"/>
      <c r="V448"/>
    </row>
    <row r="449" spans="10:22" s="1" customFormat="1" x14ac:dyDescent="0.2">
      <c r="J449"/>
      <c r="K449"/>
      <c r="L449"/>
      <c r="M449"/>
      <c r="N449"/>
      <c r="O449" s="392"/>
      <c r="P449" s="2"/>
      <c r="R449"/>
      <c r="S449"/>
      <c r="V449"/>
    </row>
    <row r="450" spans="10:22" s="1" customFormat="1" x14ac:dyDescent="0.2">
      <c r="J450"/>
      <c r="K450"/>
      <c r="L450"/>
      <c r="M450"/>
      <c r="N450"/>
      <c r="O450" s="392"/>
      <c r="P450" s="2"/>
      <c r="R450"/>
      <c r="S450"/>
      <c r="V450"/>
    </row>
    <row r="451" spans="10:22" s="1" customFormat="1" x14ac:dyDescent="0.2">
      <c r="J451"/>
      <c r="K451"/>
      <c r="L451"/>
      <c r="M451"/>
      <c r="N451"/>
      <c r="O451" s="392"/>
      <c r="P451" s="2"/>
      <c r="R451"/>
      <c r="S451"/>
      <c r="V451"/>
    </row>
    <row r="452" spans="10:22" s="1" customFormat="1" x14ac:dyDescent="0.2">
      <c r="J452"/>
      <c r="K452"/>
      <c r="L452"/>
      <c r="M452"/>
      <c r="N452"/>
      <c r="O452" s="392"/>
      <c r="P452" s="2"/>
      <c r="R452"/>
      <c r="S452"/>
      <c r="V452"/>
    </row>
    <row r="453" spans="10:22" s="1" customFormat="1" x14ac:dyDescent="0.2">
      <c r="J453"/>
      <c r="K453"/>
      <c r="L453"/>
      <c r="M453"/>
      <c r="N453"/>
      <c r="O453" s="392"/>
      <c r="P453" s="2"/>
      <c r="R453"/>
      <c r="S453"/>
      <c r="V453"/>
    </row>
    <row r="454" spans="10:22" s="1" customFormat="1" x14ac:dyDescent="0.2">
      <c r="J454"/>
      <c r="K454"/>
      <c r="L454"/>
      <c r="M454"/>
      <c r="N454"/>
      <c r="O454" s="392"/>
      <c r="P454" s="2"/>
      <c r="R454"/>
      <c r="S454"/>
      <c r="V454"/>
    </row>
    <row r="455" spans="10:22" s="1" customFormat="1" x14ac:dyDescent="0.2">
      <c r="J455"/>
      <c r="K455"/>
      <c r="L455"/>
      <c r="M455"/>
      <c r="N455"/>
      <c r="O455" s="392"/>
      <c r="P455" s="2"/>
      <c r="R455"/>
      <c r="S455"/>
      <c r="V455"/>
    </row>
    <row r="456" spans="10:22" s="1" customFormat="1" x14ac:dyDescent="0.2">
      <c r="J456"/>
      <c r="K456"/>
      <c r="L456"/>
      <c r="M456"/>
      <c r="N456"/>
      <c r="O456" s="392"/>
      <c r="P456" s="2"/>
      <c r="R456"/>
      <c r="S456"/>
      <c r="V456"/>
    </row>
    <row r="457" spans="10:22" s="1" customFormat="1" x14ac:dyDescent="0.2">
      <c r="J457"/>
      <c r="K457"/>
      <c r="L457"/>
      <c r="M457"/>
      <c r="N457"/>
      <c r="O457" s="392"/>
      <c r="P457" s="2"/>
      <c r="R457"/>
      <c r="S457"/>
      <c r="V457"/>
    </row>
    <row r="458" spans="10:22" s="1" customFormat="1" x14ac:dyDescent="0.2">
      <c r="J458"/>
      <c r="K458"/>
      <c r="L458"/>
      <c r="M458"/>
      <c r="N458"/>
      <c r="O458" s="392"/>
      <c r="P458" s="2"/>
      <c r="R458"/>
      <c r="S458"/>
      <c r="V458"/>
    </row>
    <row r="459" spans="10:22" s="1" customFormat="1" x14ac:dyDescent="0.2">
      <c r="J459"/>
      <c r="K459"/>
      <c r="L459"/>
      <c r="M459"/>
      <c r="N459"/>
      <c r="O459" s="392"/>
      <c r="P459" s="2"/>
      <c r="R459"/>
      <c r="S459"/>
      <c r="V459"/>
    </row>
    <row r="460" spans="10:22" s="1" customFormat="1" x14ac:dyDescent="0.2">
      <c r="J460"/>
      <c r="K460"/>
      <c r="L460"/>
      <c r="M460"/>
      <c r="N460"/>
      <c r="O460" s="392"/>
      <c r="P460" s="2"/>
      <c r="R460"/>
      <c r="S460"/>
      <c r="V460"/>
    </row>
    <row r="461" spans="10:22" s="1" customFormat="1" x14ac:dyDescent="0.2">
      <c r="J461"/>
      <c r="K461"/>
      <c r="L461"/>
      <c r="M461"/>
      <c r="N461"/>
      <c r="O461" s="392"/>
      <c r="P461" s="2"/>
      <c r="R461"/>
      <c r="S461"/>
      <c r="V461"/>
    </row>
    <row r="462" spans="10:22" s="1" customFormat="1" x14ac:dyDescent="0.2">
      <c r="J462"/>
      <c r="K462"/>
      <c r="L462"/>
      <c r="M462"/>
      <c r="N462"/>
      <c r="O462" s="392"/>
      <c r="P462" s="2"/>
      <c r="R462"/>
      <c r="S462"/>
      <c r="V462"/>
    </row>
    <row r="463" spans="10:22" s="1" customFormat="1" x14ac:dyDescent="0.2">
      <c r="J463"/>
      <c r="K463"/>
      <c r="L463"/>
      <c r="M463"/>
      <c r="N463"/>
      <c r="O463" s="392"/>
      <c r="P463" s="2"/>
      <c r="R463"/>
      <c r="S463"/>
      <c r="V463"/>
    </row>
    <row r="464" spans="10:22" s="1" customFormat="1" x14ac:dyDescent="0.2">
      <c r="J464"/>
      <c r="K464"/>
      <c r="L464"/>
      <c r="M464"/>
      <c r="N464"/>
      <c r="O464" s="392"/>
      <c r="P464" s="2"/>
      <c r="R464"/>
      <c r="S464"/>
      <c r="V464"/>
    </row>
    <row r="465" spans="10:22" s="1" customFormat="1" x14ac:dyDescent="0.2">
      <c r="J465"/>
      <c r="K465"/>
      <c r="L465"/>
      <c r="M465"/>
      <c r="N465"/>
      <c r="O465" s="392"/>
      <c r="P465" s="2"/>
      <c r="R465"/>
      <c r="S465"/>
      <c r="V465"/>
    </row>
    <row r="466" spans="10:22" s="1" customFormat="1" x14ac:dyDescent="0.2">
      <c r="J466"/>
      <c r="K466"/>
      <c r="L466"/>
      <c r="M466"/>
      <c r="N466"/>
      <c r="O466" s="392"/>
      <c r="P466" s="2"/>
      <c r="R466"/>
      <c r="S466"/>
      <c r="V466"/>
    </row>
    <row r="467" spans="10:22" s="1" customFormat="1" x14ac:dyDescent="0.2">
      <c r="J467"/>
      <c r="K467"/>
      <c r="L467"/>
      <c r="M467"/>
      <c r="N467"/>
      <c r="O467" s="392"/>
      <c r="P467" s="2"/>
      <c r="R467"/>
      <c r="S467"/>
      <c r="V467"/>
    </row>
    <row r="468" spans="10:22" s="1" customFormat="1" x14ac:dyDescent="0.2">
      <c r="J468"/>
      <c r="K468"/>
      <c r="L468"/>
      <c r="M468"/>
      <c r="N468"/>
      <c r="O468" s="392"/>
      <c r="P468" s="2"/>
      <c r="R468"/>
      <c r="S468"/>
      <c r="V468"/>
    </row>
    <row r="469" spans="10:22" s="1" customFormat="1" x14ac:dyDescent="0.2">
      <c r="J469"/>
      <c r="K469"/>
      <c r="L469"/>
      <c r="M469"/>
      <c r="N469"/>
      <c r="O469" s="392"/>
      <c r="P469" s="2"/>
      <c r="R469"/>
      <c r="S469"/>
      <c r="V469"/>
    </row>
    <row r="470" spans="10:22" s="1" customFormat="1" x14ac:dyDescent="0.2">
      <c r="J470"/>
      <c r="K470"/>
      <c r="L470"/>
      <c r="M470"/>
      <c r="N470"/>
      <c r="O470" s="392"/>
      <c r="P470" s="2"/>
      <c r="R470"/>
      <c r="S470"/>
      <c r="V470"/>
    </row>
    <row r="471" spans="10:22" s="1" customFormat="1" x14ac:dyDescent="0.2">
      <c r="J471"/>
      <c r="K471"/>
      <c r="L471"/>
      <c r="M471"/>
      <c r="N471"/>
      <c r="O471" s="392"/>
      <c r="P471" s="2"/>
      <c r="R471"/>
      <c r="S471"/>
      <c r="V471"/>
    </row>
    <row r="472" spans="10:22" s="1" customFormat="1" x14ac:dyDescent="0.2">
      <c r="J472"/>
      <c r="K472"/>
      <c r="L472"/>
      <c r="M472"/>
      <c r="N472"/>
      <c r="O472" s="392"/>
      <c r="P472" s="2"/>
      <c r="R472"/>
      <c r="S472"/>
      <c r="V472"/>
    </row>
    <row r="473" spans="10:22" s="1" customFormat="1" x14ac:dyDescent="0.2">
      <c r="J473"/>
      <c r="K473"/>
      <c r="L473"/>
      <c r="M473"/>
      <c r="N473"/>
      <c r="O473" s="392"/>
      <c r="P473" s="2"/>
      <c r="R473"/>
      <c r="S473"/>
      <c r="V473"/>
    </row>
    <row r="474" spans="10:22" s="1" customFormat="1" x14ac:dyDescent="0.2">
      <c r="J474"/>
      <c r="K474"/>
      <c r="L474"/>
      <c r="M474"/>
      <c r="N474"/>
      <c r="O474" s="392"/>
      <c r="P474" s="2"/>
      <c r="R474"/>
      <c r="S474"/>
      <c r="V474"/>
    </row>
    <row r="475" spans="10:22" s="1" customFormat="1" x14ac:dyDescent="0.2">
      <c r="J475"/>
      <c r="K475"/>
      <c r="L475"/>
      <c r="M475"/>
      <c r="N475"/>
      <c r="O475" s="392"/>
      <c r="P475" s="2"/>
      <c r="R475"/>
      <c r="S475"/>
      <c r="V475"/>
    </row>
    <row r="476" spans="10:22" s="1" customFormat="1" x14ac:dyDescent="0.2">
      <c r="J476"/>
      <c r="K476"/>
      <c r="L476"/>
      <c r="M476"/>
      <c r="N476"/>
      <c r="O476" s="392"/>
      <c r="P476" s="2"/>
      <c r="R476"/>
      <c r="S476"/>
      <c r="V476"/>
    </row>
    <row r="477" spans="10:22" s="1" customFormat="1" x14ac:dyDescent="0.2">
      <c r="J477"/>
      <c r="K477"/>
      <c r="L477"/>
      <c r="M477"/>
      <c r="N477"/>
      <c r="O477" s="392"/>
      <c r="P477" s="2"/>
      <c r="R477"/>
      <c r="S477"/>
      <c r="V477"/>
    </row>
    <row r="478" spans="10:22" s="1" customFormat="1" x14ac:dyDescent="0.2">
      <c r="J478"/>
      <c r="K478"/>
      <c r="L478"/>
      <c r="M478"/>
      <c r="N478"/>
      <c r="O478" s="392"/>
      <c r="P478" s="2"/>
      <c r="R478"/>
      <c r="S478"/>
      <c r="V478"/>
    </row>
    <row r="479" spans="10:22" s="1" customFormat="1" x14ac:dyDescent="0.2">
      <c r="J479"/>
      <c r="K479"/>
      <c r="L479"/>
      <c r="M479"/>
      <c r="N479"/>
      <c r="O479" s="392"/>
      <c r="P479" s="2"/>
      <c r="R479"/>
      <c r="S479"/>
      <c r="V479"/>
    </row>
    <row r="480" spans="10:22" s="1" customFormat="1" x14ac:dyDescent="0.2">
      <c r="J480"/>
      <c r="K480"/>
      <c r="L480"/>
      <c r="M480"/>
      <c r="N480"/>
      <c r="O480" s="392"/>
      <c r="P480" s="2"/>
      <c r="R480"/>
      <c r="S480"/>
      <c r="V480"/>
    </row>
    <row r="481" spans="10:22" s="1" customFormat="1" x14ac:dyDescent="0.2">
      <c r="J481"/>
      <c r="K481"/>
      <c r="L481"/>
      <c r="M481"/>
      <c r="N481"/>
      <c r="O481" s="392"/>
      <c r="P481" s="2"/>
      <c r="R481"/>
      <c r="S481"/>
      <c r="V481"/>
    </row>
    <row r="482" spans="10:22" s="1" customFormat="1" x14ac:dyDescent="0.2">
      <c r="J482"/>
      <c r="K482"/>
      <c r="L482"/>
      <c r="M482"/>
      <c r="N482"/>
      <c r="O482" s="392"/>
      <c r="P482" s="2"/>
      <c r="R482"/>
      <c r="S482"/>
      <c r="V482"/>
    </row>
    <row r="483" spans="10:22" s="1" customFormat="1" x14ac:dyDescent="0.2">
      <c r="J483"/>
      <c r="K483"/>
      <c r="L483"/>
      <c r="M483"/>
      <c r="N483"/>
      <c r="O483" s="392"/>
      <c r="P483" s="2"/>
      <c r="R483"/>
      <c r="S483"/>
      <c r="V483"/>
    </row>
    <row r="484" spans="10:22" s="1" customFormat="1" x14ac:dyDescent="0.2">
      <c r="J484"/>
      <c r="K484"/>
      <c r="L484"/>
      <c r="M484"/>
      <c r="N484"/>
      <c r="O484" s="392"/>
      <c r="P484" s="2"/>
      <c r="R484"/>
      <c r="S484"/>
      <c r="V484"/>
    </row>
    <row r="485" spans="10:22" s="1" customFormat="1" x14ac:dyDescent="0.2">
      <c r="J485"/>
      <c r="K485"/>
      <c r="L485"/>
      <c r="M485"/>
      <c r="N485"/>
      <c r="O485" s="392"/>
      <c r="P485" s="2"/>
      <c r="R485"/>
      <c r="S485"/>
      <c r="V485"/>
    </row>
    <row r="486" spans="10:22" s="1" customFormat="1" x14ac:dyDescent="0.2">
      <c r="J486"/>
      <c r="K486"/>
      <c r="L486"/>
      <c r="M486"/>
      <c r="N486"/>
      <c r="O486" s="392"/>
      <c r="P486" s="2"/>
      <c r="R486"/>
      <c r="S486"/>
      <c r="V486"/>
    </row>
    <row r="487" spans="10:22" s="1" customFormat="1" x14ac:dyDescent="0.2">
      <c r="J487"/>
      <c r="K487"/>
      <c r="L487"/>
      <c r="M487"/>
      <c r="N487"/>
      <c r="O487" s="392"/>
      <c r="P487" s="2"/>
      <c r="R487"/>
      <c r="S487"/>
      <c r="V487"/>
    </row>
    <row r="488" spans="10:22" s="1" customFormat="1" x14ac:dyDescent="0.2">
      <c r="J488"/>
      <c r="K488"/>
      <c r="L488"/>
      <c r="M488"/>
      <c r="N488"/>
      <c r="O488" s="392"/>
      <c r="P488" s="2"/>
      <c r="R488"/>
      <c r="S488"/>
      <c r="V488"/>
    </row>
    <row r="489" spans="10:22" s="1" customFormat="1" x14ac:dyDescent="0.2">
      <c r="J489"/>
      <c r="K489"/>
      <c r="L489"/>
      <c r="M489"/>
      <c r="N489"/>
      <c r="O489" s="392"/>
      <c r="P489" s="2"/>
      <c r="R489"/>
      <c r="S489"/>
      <c r="V489"/>
    </row>
    <row r="490" spans="10:22" s="1" customFormat="1" x14ac:dyDescent="0.2">
      <c r="J490"/>
      <c r="K490"/>
      <c r="L490"/>
      <c r="M490"/>
      <c r="N490"/>
      <c r="O490" s="392"/>
      <c r="P490" s="2"/>
      <c r="R490"/>
      <c r="S490"/>
      <c r="V490"/>
    </row>
    <row r="491" spans="10:22" s="1" customFormat="1" x14ac:dyDescent="0.2">
      <c r="J491"/>
      <c r="K491"/>
      <c r="L491"/>
      <c r="M491"/>
      <c r="N491"/>
      <c r="O491" s="392"/>
      <c r="P491" s="2"/>
      <c r="R491"/>
      <c r="S491"/>
      <c r="V491"/>
    </row>
    <row r="492" spans="10:22" s="1" customFormat="1" x14ac:dyDescent="0.2">
      <c r="J492"/>
      <c r="K492"/>
      <c r="L492"/>
      <c r="M492"/>
      <c r="N492"/>
      <c r="O492" s="392"/>
      <c r="P492" s="2"/>
      <c r="R492"/>
      <c r="S492"/>
      <c r="V492"/>
    </row>
    <row r="493" spans="10:22" s="1" customFormat="1" x14ac:dyDescent="0.2">
      <c r="J493"/>
      <c r="K493"/>
      <c r="L493"/>
      <c r="M493"/>
      <c r="N493"/>
      <c r="O493" s="392"/>
      <c r="P493" s="2"/>
      <c r="R493"/>
      <c r="S493"/>
      <c r="V493"/>
    </row>
    <row r="494" spans="10:22" s="1" customFormat="1" x14ac:dyDescent="0.2">
      <c r="J494"/>
      <c r="K494"/>
      <c r="L494"/>
      <c r="M494"/>
      <c r="N494"/>
      <c r="O494" s="392"/>
      <c r="P494" s="2"/>
      <c r="R494"/>
      <c r="S494"/>
      <c r="V494"/>
    </row>
    <row r="495" spans="10:22" s="1" customFormat="1" x14ac:dyDescent="0.2">
      <c r="J495"/>
      <c r="K495"/>
      <c r="L495"/>
      <c r="M495"/>
      <c r="N495"/>
      <c r="O495" s="392"/>
      <c r="P495" s="2"/>
      <c r="R495"/>
      <c r="S495"/>
      <c r="V495"/>
    </row>
    <row r="496" spans="10:22" s="1" customFormat="1" x14ac:dyDescent="0.2">
      <c r="J496"/>
      <c r="K496"/>
      <c r="L496"/>
      <c r="M496"/>
      <c r="N496"/>
      <c r="O496" s="392"/>
      <c r="P496" s="2"/>
      <c r="R496"/>
      <c r="S496"/>
      <c r="V496"/>
    </row>
    <row r="497" spans="10:22" s="1" customFormat="1" x14ac:dyDescent="0.2">
      <c r="J497"/>
      <c r="K497"/>
      <c r="L497"/>
      <c r="M497"/>
      <c r="N497"/>
      <c r="O497" s="392"/>
      <c r="P497" s="2"/>
      <c r="R497"/>
      <c r="S497"/>
      <c r="V497"/>
    </row>
    <row r="498" spans="10:22" s="1" customFormat="1" x14ac:dyDescent="0.2">
      <c r="J498"/>
      <c r="K498"/>
      <c r="L498"/>
      <c r="M498"/>
      <c r="N498"/>
      <c r="O498" s="392"/>
      <c r="P498" s="2"/>
      <c r="R498"/>
      <c r="S498"/>
      <c r="V498"/>
    </row>
    <row r="499" spans="10:22" s="1" customFormat="1" x14ac:dyDescent="0.2">
      <c r="J499"/>
      <c r="K499"/>
      <c r="L499"/>
      <c r="M499"/>
      <c r="N499"/>
      <c r="O499" s="392"/>
      <c r="P499" s="2"/>
      <c r="R499"/>
      <c r="S499"/>
      <c r="V499"/>
    </row>
    <row r="500" spans="10:22" s="1" customFormat="1" x14ac:dyDescent="0.2">
      <c r="J500"/>
      <c r="K500"/>
      <c r="L500"/>
      <c r="M500"/>
      <c r="N500"/>
      <c r="O500" s="392"/>
      <c r="P500" s="2"/>
      <c r="R500"/>
      <c r="S500"/>
      <c r="V500"/>
    </row>
    <row r="501" spans="10:22" s="1" customFormat="1" x14ac:dyDescent="0.2">
      <c r="J501"/>
      <c r="K501"/>
      <c r="L501"/>
      <c r="M501"/>
      <c r="N501"/>
      <c r="O501" s="392"/>
      <c r="P501" s="2"/>
      <c r="R501"/>
      <c r="S501"/>
      <c r="V501"/>
    </row>
    <row r="502" spans="10:22" s="1" customFormat="1" x14ac:dyDescent="0.2">
      <c r="J502"/>
      <c r="K502"/>
      <c r="L502"/>
      <c r="M502"/>
      <c r="N502"/>
      <c r="O502" s="392"/>
      <c r="P502" s="2"/>
      <c r="R502"/>
      <c r="S502"/>
      <c r="V502"/>
    </row>
    <row r="503" spans="10:22" s="1" customFormat="1" x14ac:dyDescent="0.2">
      <c r="J503"/>
      <c r="K503"/>
      <c r="L503"/>
      <c r="M503"/>
      <c r="N503"/>
      <c r="O503" s="392"/>
      <c r="P503" s="2"/>
      <c r="R503"/>
      <c r="S503"/>
      <c r="V503"/>
    </row>
    <row r="504" spans="10:22" s="1" customFormat="1" x14ac:dyDescent="0.2">
      <c r="J504"/>
      <c r="K504"/>
      <c r="L504"/>
      <c r="M504"/>
      <c r="N504"/>
      <c r="O504" s="392"/>
      <c r="P504" s="2"/>
      <c r="R504"/>
      <c r="S504"/>
      <c r="V504"/>
    </row>
    <row r="505" spans="10:22" s="1" customFormat="1" x14ac:dyDescent="0.2">
      <c r="J505"/>
      <c r="K505"/>
      <c r="L505"/>
      <c r="M505"/>
      <c r="N505"/>
      <c r="O505" s="392"/>
      <c r="P505" s="2"/>
      <c r="R505"/>
      <c r="S505"/>
      <c r="V505"/>
    </row>
    <row r="506" spans="10:22" s="1" customFormat="1" x14ac:dyDescent="0.2">
      <c r="J506"/>
      <c r="K506"/>
      <c r="L506"/>
      <c r="M506"/>
      <c r="N506"/>
      <c r="O506" s="392"/>
      <c r="P506" s="2"/>
      <c r="R506"/>
      <c r="S506"/>
      <c r="V506"/>
    </row>
    <row r="507" spans="10:22" s="1" customFormat="1" x14ac:dyDescent="0.2">
      <c r="J507"/>
      <c r="K507"/>
      <c r="L507"/>
      <c r="M507"/>
      <c r="N507"/>
      <c r="O507" s="392"/>
      <c r="P507" s="2"/>
      <c r="R507"/>
      <c r="S507"/>
      <c r="V507"/>
    </row>
    <row r="508" spans="10:22" s="1" customFormat="1" x14ac:dyDescent="0.2">
      <c r="J508"/>
      <c r="K508"/>
      <c r="L508"/>
      <c r="M508"/>
      <c r="N508"/>
      <c r="O508" s="392"/>
      <c r="P508" s="2"/>
      <c r="R508"/>
      <c r="S508"/>
      <c r="V508"/>
    </row>
    <row r="509" spans="10:22" s="1" customFormat="1" x14ac:dyDescent="0.2">
      <c r="J509"/>
      <c r="K509"/>
      <c r="L509"/>
      <c r="M509"/>
      <c r="N509"/>
      <c r="O509" s="392"/>
      <c r="P509" s="2"/>
      <c r="R509"/>
      <c r="S509"/>
      <c r="V509"/>
    </row>
    <row r="510" spans="10:22" s="1" customFormat="1" x14ac:dyDescent="0.2">
      <c r="J510"/>
      <c r="K510"/>
      <c r="L510"/>
      <c r="M510"/>
      <c r="N510"/>
      <c r="O510" s="392"/>
      <c r="P510" s="2"/>
      <c r="R510"/>
      <c r="S510"/>
      <c r="V510"/>
    </row>
    <row r="511" spans="10:22" s="1" customFormat="1" x14ac:dyDescent="0.2">
      <c r="J511"/>
      <c r="K511"/>
      <c r="L511"/>
      <c r="M511"/>
      <c r="N511"/>
      <c r="O511" s="392"/>
      <c r="P511" s="2"/>
      <c r="R511"/>
      <c r="S511"/>
      <c r="V511"/>
    </row>
    <row r="512" spans="10:22" s="1" customFormat="1" x14ac:dyDescent="0.2">
      <c r="J512"/>
      <c r="K512"/>
      <c r="L512"/>
      <c r="M512"/>
      <c r="N512"/>
      <c r="O512" s="392"/>
      <c r="P512" s="2"/>
      <c r="R512"/>
      <c r="S512"/>
      <c r="V512"/>
    </row>
    <row r="513" spans="10:22" s="1" customFormat="1" x14ac:dyDescent="0.2">
      <c r="J513"/>
      <c r="K513"/>
      <c r="L513"/>
      <c r="M513"/>
      <c r="N513"/>
      <c r="O513" s="392"/>
      <c r="P513" s="2"/>
      <c r="R513"/>
      <c r="S513"/>
      <c r="V513"/>
    </row>
    <row r="514" spans="10:22" s="1" customFormat="1" x14ac:dyDescent="0.2">
      <c r="J514"/>
      <c r="K514"/>
      <c r="L514"/>
      <c r="M514"/>
      <c r="N514"/>
      <c r="O514" s="392"/>
      <c r="P514" s="2"/>
      <c r="R514"/>
      <c r="S514"/>
      <c r="V514"/>
    </row>
    <row r="515" spans="10:22" s="1" customFormat="1" x14ac:dyDescent="0.2">
      <c r="J515"/>
      <c r="K515"/>
      <c r="L515"/>
      <c r="M515"/>
      <c r="N515"/>
      <c r="O515" s="392"/>
      <c r="P515" s="2"/>
      <c r="R515"/>
      <c r="S515"/>
      <c r="V515"/>
    </row>
    <row r="516" spans="10:22" s="1" customFormat="1" x14ac:dyDescent="0.2">
      <c r="J516"/>
      <c r="K516"/>
      <c r="L516"/>
      <c r="M516"/>
      <c r="N516"/>
      <c r="O516" s="392"/>
      <c r="P516" s="2"/>
      <c r="R516"/>
      <c r="S516"/>
      <c r="V516"/>
    </row>
    <row r="517" spans="10:22" s="1" customFormat="1" x14ac:dyDescent="0.2">
      <c r="J517"/>
      <c r="K517"/>
      <c r="L517"/>
      <c r="M517"/>
      <c r="N517"/>
      <c r="O517" s="392"/>
      <c r="P517" s="2"/>
      <c r="R517"/>
      <c r="S517"/>
      <c r="V517"/>
    </row>
    <row r="518" spans="10:22" s="1" customFormat="1" x14ac:dyDescent="0.2">
      <c r="J518"/>
      <c r="K518"/>
      <c r="L518"/>
      <c r="M518"/>
      <c r="N518"/>
      <c r="O518" s="392"/>
      <c r="P518" s="2"/>
      <c r="R518"/>
      <c r="S518"/>
      <c r="V518"/>
    </row>
    <row r="519" spans="10:22" s="1" customFormat="1" x14ac:dyDescent="0.2">
      <c r="J519"/>
      <c r="K519"/>
      <c r="L519"/>
      <c r="M519"/>
      <c r="N519"/>
      <c r="O519" s="392"/>
      <c r="P519" s="2"/>
      <c r="R519"/>
      <c r="S519"/>
      <c r="V519"/>
    </row>
    <row r="520" spans="10:22" s="1" customFormat="1" x14ac:dyDescent="0.2">
      <c r="J520"/>
      <c r="K520"/>
      <c r="L520"/>
      <c r="M520"/>
      <c r="N520"/>
      <c r="O520" s="392"/>
      <c r="P520" s="2"/>
      <c r="R520"/>
      <c r="S520"/>
      <c r="V520"/>
    </row>
    <row r="521" spans="10:22" s="1" customFormat="1" x14ac:dyDescent="0.2">
      <c r="J521"/>
      <c r="K521"/>
      <c r="L521"/>
      <c r="M521"/>
      <c r="N521"/>
      <c r="O521" s="392"/>
      <c r="P521" s="2"/>
      <c r="R521"/>
      <c r="S521"/>
      <c r="V521"/>
    </row>
    <row r="522" spans="10:22" s="1" customFormat="1" x14ac:dyDescent="0.2">
      <c r="J522"/>
      <c r="K522"/>
      <c r="L522"/>
      <c r="M522"/>
      <c r="N522"/>
      <c r="O522" s="392"/>
      <c r="P522" s="2"/>
      <c r="R522"/>
      <c r="S522"/>
      <c r="V522"/>
    </row>
    <row r="523" spans="10:22" s="1" customFormat="1" x14ac:dyDescent="0.2">
      <c r="J523"/>
      <c r="K523"/>
      <c r="L523"/>
      <c r="M523"/>
      <c r="N523"/>
      <c r="O523" s="392"/>
      <c r="P523" s="2"/>
      <c r="R523"/>
      <c r="S523"/>
      <c r="V523"/>
    </row>
    <row r="524" spans="10:22" s="1" customFormat="1" x14ac:dyDescent="0.2">
      <c r="J524"/>
      <c r="K524"/>
      <c r="L524"/>
      <c r="M524"/>
      <c r="N524"/>
      <c r="O524" s="392"/>
      <c r="P524" s="2"/>
      <c r="R524"/>
      <c r="S524"/>
      <c r="V524"/>
    </row>
    <row r="525" spans="10:22" s="1" customFormat="1" x14ac:dyDescent="0.2">
      <c r="J525"/>
      <c r="K525"/>
      <c r="L525"/>
      <c r="M525"/>
      <c r="N525"/>
      <c r="O525" s="392"/>
      <c r="P525" s="2"/>
      <c r="R525"/>
      <c r="S525"/>
      <c r="V525"/>
    </row>
    <row r="526" spans="10:22" s="1" customFormat="1" x14ac:dyDescent="0.2">
      <c r="J526"/>
      <c r="K526"/>
      <c r="L526"/>
      <c r="M526"/>
      <c r="N526"/>
      <c r="O526" s="392"/>
      <c r="P526" s="2"/>
      <c r="R526"/>
      <c r="S526"/>
      <c r="V526"/>
    </row>
    <row r="527" spans="10:22" s="1" customFormat="1" x14ac:dyDescent="0.2">
      <c r="J527"/>
      <c r="K527"/>
      <c r="L527"/>
      <c r="M527"/>
      <c r="N527"/>
      <c r="O527" s="392"/>
      <c r="P527" s="2"/>
      <c r="R527"/>
      <c r="S527"/>
      <c r="V527"/>
    </row>
    <row r="528" spans="10:22" s="1" customFormat="1" x14ac:dyDescent="0.2">
      <c r="J528"/>
      <c r="K528"/>
      <c r="L528"/>
      <c r="M528"/>
      <c r="N528"/>
      <c r="O528" s="392"/>
      <c r="P528" s="2"/>
      <c r="R528"/>
      <c r="S528"/>
      <c r="V528"/>
    </row>
    <row r="529" spans="10:22" s="1" customFormat="1" x14ac:dyDescent="0.2">
      <c r="J529"/>
      <c r="K529"/>
      <c r="L529"/>
      <c r="M529"/>
      <c r="N529"/>
      <c r="O529" s="392"/>
      <c r="P529" s="2"/>
      <c r="R529"/>
      <c r="S529"/>
      <c r="V529"/>
    </row>
    <row r="530" spans="10:22" s="1" customFormat="1" x14ac:dyDescent="0.2">
      <c r="J530"/>
      <c r="K530"/>
      <c r="L530"/>
      <c r="M530"/>
      <c r="N530"/>
      <c r="O530" s="392"/>
      <c r="P530" s="2"/>
      <c r="R530"/>
      <c r="S530"/>
      <c r="V530"/>
    </row>
    <row r="531" spans="10:22" s="1" customFormat="1" x14ac:dyDescent="0.2">
      <c r="J531"/>
      <c r="K531"/>
      <c r="L531"/>
      <c r="M531"/>
      <c r="N531"/>
      <c r="O531" s="392"/>
      <c r="P531" s="2"/>
      <c r="R531"/>
      <c r="S531"/>
      <c r="V531"/>
    </row>
    <row r="532" spans="10:22" s="1" customFormat="1" x14ac:dyDescent="0.2">
      <c r="J532"/>
      <c r="K532"/>
      <c r="L532"/>
      <c r="M532"/>
      <c r="N532"/>
      <c r="O532" s="392"/>
      <c r="P532" s="2"/>
      <c r="R532"/>
      <c r="S532"/>
      <c r="V532"/>
    </row>
    <row r="533" spans="10:22" s="1" customFormat="1" x14ac:dyDescent="0.2">
      <c r="J533"/>
      <c r="K533"/>
      <c r="L533"/>
      <c r="M533"/>
      <c r="N533"/>
      <c r="O533" s="392"/>
      <c r="P533" s="2"/>
      <c r="R533"/>
      <c r="S533"/>
      <c r="V533"/>
    </row>
    <row r="534" spans="10:22" s="1" customFormat="1" x14ac:dyDescent="0.2">
      <c r="J534"/>
      <c r="K534"/>
      <c r="L534"/>
      <c r="M534"/>
      <c r="N534"/>
      <c r="O534" s="392"/>
      <c r="P534" s="2"/>
      <c r="R534"/>
      <c r="S534"/>
      <c r="V534"/>
    </row>
    <row r="535" spans="10:22" s="1" customFormat="1" x14ac:dyDescent="0.2">
      <c r="J535"/>
      <c r="K535"/>
      <c r="L535"/>
      <c r="M535"/>
      <c r="N535"/>
      <c r="O535" s="392"/>
      <c r="P535" s="2"/>
      <c r="R535"/>
      <c r="S535"/>
      <c r="V535"/>
    </row>
    <row r="536" spans="10:22" s="1" customFormat="1" x14ac:dyDescent="0.2">
      <c r="J536"/>
      <c r="K536"/>
      <c r="L536"/>
      <c r="M536"/>
      <c r="N536"/>
      <c r="O536" s="392"/>
      <c r="P536" s="2"/>
      <c r="R536"/>
      <c r="S536"/>
      <c r="V536"/>
    </row>
    <row r="537" spans="10:22" s="1" customFormat="1" x14ac:dyDescent="0.2">
      <c r="J537"/>
      <c r="K537"/>
      <c r="L537"/>
      <c r="M537"/>
      <c r="N537"/>
      <c r="O537" s="392"/>
      <c r="P537" s="2"/>
      <c r="R537"/>
      <c r="S537"/>
      <c r="V537"/>
    </row>
    <row r="538" spans="10:22" s="1" customFormat="1" x14ac:dyDescent="0.2">
      <c r="J538"/>
      <c r="K538"/>
      <c r="L538"/>
      <c r="M538"/>
      <c r="N538"/>
      <c r="O538" s="392"/>
      <c r="P538" s="2"/>
      <c r="R538"/>
      <c r="S538"/>
      <c r="V538"/>
    </row>
    <row r="539" spans="10:22" s="1" customFormat="1" x14ac:dyDescent="0.2">
      <c r="J539"/>
      <c r="K539"/>
      <c r="L539"/>
      <c r="M539"/>
      <c r="N539"/>
      <c r="O539" s="392"/>
      <c r="P539" s="2"/>
      <c r="R539"/>
      <c r="S539"/>
      <c r="V539"/>
    </row>
    <row r="540" spans="10:22" s="1" customFormat="1" x14ac:dyDescent="0.2">
      <c r="J540"/>
      <c r="K540"/>
      <c r="L540"/>
      <c r="M540"/>
      <c r="N540"/>
      <c r="O540" s="392"/>
      <c r="P540" s="2"/>
      <c r="R540"/>
      <c r="S540"/>
      <c r="V540"/>
    </row>
    <row r="541" spans="10:22" s="1" customFormat="1" x14ac:dyDescent="0.2">
      <c r="J541"/>
      <c r="K541"/>
      <c r="L541"/>
      <c r="M541"/>
      <c r="N541"/>
      <c r="O541" s="392"/>
      <c r="P541" s="2"/>
      <c r="R541"/>
      <c r="S541"/>
      <c r="V541"/>
    </row>
    <row r="542" spans="10:22" s="1" customFormat="1" x14ac:dyDescent="0.2">
      <c r="J542"/>
      <c r="K542"/>
      <c r="L542"/>
      <c r="M542"/>
      <c r="N542"/>
      <c r="O542" s="392"/>
      <c r="P542" s="2"/>
      <c r="R542"/>
      <c r="S542"/>
      <c r="V542"/>
    </row>
    <row r="543" spans="10:22" s="1" customFormat="1" x14ac:dyDescent="0.2">
      <c r="J543"/>
      <c r="K543"/>
      <c r="L543"/>
      <c r="M543"/>
      <c r="N543"/>
      <c r="O543" s="392"/>
      <c r="P543" s="2"/>
      <c r="R543"/>
      <c r="S543"/>
      <c r="V543"/>
    </row>
    <row r="544" spans="10:22" s="1" customFormat="1" x14ac:dyDescent="0.2">
      <c r="J544"/>
      <c r="K544"/>
      <c r="L544"/>
      <c r="M544"/>
      <c r="N544"/>
      <c r="O544" s="392"/>
      <c r="P544" s="2"/>
      <c r="R544"/>
      <c r="S544"/>
      <c r="V544"/>
    </row>
    <row r="545" spans="10:22" s="1" customFormat="1" x14ac:dyDescent="0.2">
      <c r="J545"/>
      <c r="K545"/>
      <c r="L545"/>
      <c r="M545"/>
      <c r="N545"/>
      <c r="O545" s="392"/>
      <c r="P545" s="2"/>
      <c r="R545"/>
      <c r="S545"/>
      <c r="V545"/>
    </row>
    <row r="546" spans="10:22" s="1" customFormat="1" x14ac:dyDescent="0.2">
      <c r="J546"/>
      <c r="K546"/>
      <c r="L546"/>
      <c r="M546"/>
      <c r="N546"/>
      <c r="O546" s="392"/>
      <c r="P546" s="2"/>
      <c r="R546"/>
      <c r="S546"/>
      <c r="V546"/>
    </row>
    <row r="547" spans="10:22" s="1" customFormat="1" x14ac:dyDescent="0.2">
      <c r="J547"/>
      <c r="K547"/>
      <c r="L547"/>
      <c r="M547"/>
      <c r="N547"/>
      <c r="O547" s="392"/>
      <c r="P547" s="2"/>
      <c r="R547"/>
      <c r="S547"/>
      <c r="V547"/>
    </row>
    <row r="548" spans="10:22" s="1" customFormat="1" x14ac:dyDescent="0.2">
      <c r="J548"/>
      <c r="K548"/>
      <c r="L548"/>
      <c r="M548"/>
      <c r="N548"/>
      <c r="O548" s="392"/>
      <c r="P548" s="2"/>
      <c r="R548"/>
      <c r="S548"/>
      <c r="V548"/>
    </row>
    <row r="549" spans="10:22" s="1" customFormat="1" x14ac:dyDescent="0.2">
      <c r="J549"/>
      <c r="K549"/>
      <c r="L549"/>
      <c r="M549"/>
      <c r="N549"/>
      <c r="O549" s="392"/>
      <c r="P549" s="2"/>
      <c r="R549"/>
      <c r="S549"/>
      <c r="V549"/>
    </row>
    <row r="550" spans="10:22" s="1" customFormat="1" x14ac:dyDescent="0.2">
      <c r="J550"/>
      <c r="K550"/>
      <c r="L550"/>
      <c r="M550"/>
      <c r="N550"/>
      <c r="O550" s="392"/>
      <c r="P550" s="2"/>
      <c r="R550"/>
      <c r="S550"/>
      <c r="V550"/>
    </row>
    <row r="551" spans="10:22" s="1" customFormat="1" x14ac:dyDescent="0.2">
      <c r="J551"/>
      <c r="K551"/>
      <c r="L551"/>
      <c r="M551"/>
      <c r="N551"/>
      <c r="O551" s="392"/>
      <c r="P551" s="2"/>
      <c r="R551"/>
      <c r="S551"/>
      <c r="V551"/>
    </row>
    <row r="552" spans="10:22" s="1" customFormat="1" x14ac:dyDescent="0.2">
      <c r="J552"/>
      <c r="K552"/>
      <c r="L552"/>
      <c r="M552"/>
      <c r="N552"/>
      <c r="O552" s="392"/>
      <c r="P552" s="2"/>
      <c r="R552"/>
      <c r="S552"/>
      <c r="V552"/>
    </row>
    <row r="553" spans="10:22" s="1" customFormat="1" x14ac:dyDescent="0.2">
      <c r="J553"/>
      <c r="K553"/>
      <c r="L553"/>
      <c r="M553"/>
      <c r="N553"/>
      <c r="O553" s="392"/>
      <c r="P553" s="2"/>
      <c r="R553"/>
      <c r="S553"/>
      <c r="V553"/>
    </row>
    <row r="554" spans="10:22" s="1" customFormat="1" x14ac:dyDescent="0.2">
      <c r="J554"/>
      <c r="K554"/>
      <c r="L554"/>
      <c r="M554"/>
      <c r="N554"/>
      <c r="O554" s="392"/>
      <c r="P554" s="2"/>
      <c r="R554"/>
      <c r="S554"/>
      <c r="V554"/>
    </row>
    <row r="555" spans="10:22" s="1" customFormat="1" x14ac:dyDescent="0.2">
      <c r="J555"/>
      <c r="K555"/>
      <c r="L555"/>
      <c r="M555"/>
      <c r="N555"/>
      <c r="O555" s="392"/>
      <c r="P555" s="2"/>
      <c r="R555"/>
      <c r="S555"/>
      <c r="V555"/>
    </row>
    <row r="556" spans="10:22" s="1" customFormat="1" x14ac:dyDescent="0.2">
      <c r="J556"/>
      <c r="K556"/>
      <c r="L556"/>
      <c r="M556"/>
      <c r="N556"/>
      <c r="O556" s="392"/>
      <c r="P556" s="2"/>
      <c r="R556"/>
      <c r="S556"/>
      <c r="V556"/>
    </row>
    <row r="557" spans="10:22" s="1" customFormat="1" x14ac:dyDescent="0.2">
      <c r="J557"/>
      <c r="K557"/>
      <c r="L557"/>
      <c r="M557"/>
      <c r="N557"/>
      <c r="O557" s="392"/>
      <c r="P557" s="2"/>
      <c r="R557"/>
      <c r="S557"/>
      <c r="V557"/>
    </row>
    <row r="558" spans="10:22" s="1" customFormat="1" x14ac:dyDescent="0.2">
      <c r="J558"/>
      <c r="K558"/>
      <c r="L558"/>
      <c r="M558"/>
      <c r="N558"/>
      <c r="O558" s="392"/>
      <c r="P558" s="2"/>
      <c r="R558"/>
      <c r="S558"/>
      <c r="V558"/>
    </row>
    <row r="559" spans="10:22" s="1" customFormat="1" x14ac:dyDescent="0.2">
      <c r="J559"/>
      <c r="K559"/>
      <c r="L559"/>
      <c r="M559"/>
      <c r="N559"/>
      <c r="O559" s="392"/>
      <c r="P559" s="2"/>
      <c r="R559"/>
      <c r="S559"/>
      <c r="V559"/>
    </row>
    <row r="560" spans="10:22" s="1" customFormat="1" x14ac:dyDescent="0.2">
      <c r="J560"/>
      <c r="K560"/>
      <c r="L560"/>
      <c r="M560"/>
      <c r="N560"/>
      <c r="O560" s="392"/>
      <c r="P560" s="2"/>
      <c r="R560"/>
      <c r="S560"/>
      <c r="V560"/>
    </row>
    <row r="561" spans="10:22" s="1" customFormat="1" x14ac:dyDescent="0.2">
      <c r="J561"/>
      <c r="K561"/>
      <c r="L561"/>
      <c r="M561"/>
      <c r="N561"/>
      <c r="O561" s="392"/>
      <c r="P561" s="2"/>
      <c r="R561"/>
      <c r="S561"/>
      <c r="V561"/>
    </row>
    <row r="562" spans="10:22" s="1" customFormat="1" x14ac:dyDescent="0.2">
      <c r="J562"/>
      <c r="K562"/>
      <c r="L562"/>
      <c r="M562"/>
      <c r="N562"/>
      <c r="O562" s="392"/>
      <c r="P562" s="2"/>
      <c r="R562"/>
      <c r="S562"/>
      <c r="V562"/>
    </row>
    <row r="563" spans="10:22" s="1" customFormat="1" x14ac:dyDescent="0.2">
      <c r="J563"/>
      <c r="K563"/>
      <c r="L563"/>
      <c r="M563"/>
      <c r="N563"/>
      <c r="O563" s="392"/>
      <c r="P563" s="2"/>
      <c r="R563"/>
      <c r="S563"/>
      <c r="V563"/>
    </row>
    <row r="564" spans="10:22" s="1" customFormat="1" x14ac:dyDescent="0.2">
      <c r="J564"/>
      <c r="K564"/>
      <c r="L564"/>
      <c r="M564"/>
      <c r="N564"/>
      <c r="O564" s="392"/>
      <c r="P564" s="2"/>
      <c r="R564"/>
      <c r="S564"/>
      <c r="V564"/>
    </row>
    <row r="565" spans="10:22" s="1" customFormat="1" x14ac:dyDescent="0.2">
      <c r="J565"/>
      <c r="K565"/>
      <c r="L565"/>
      <c r="M565"/>
      <c r="N565"/>
      <c r="O565" s="392"/>
      <c r="P565" s="2"/>
      <c r="R565"/>
      <c r="S565"/>
      <c r="V565"/>
    </row>
    <row r="566" spans="10:22" s="1" customFormat="1" x14ac:dyDescent="0.2">
      <c r="J566"/>
      <c r="K566"/>
      <c r="L566"/>
      <c r="M566"/>
      <c r="N566"/>
      <c r="O566" s="392"/>
      <c r="P566" s="2"/>
      <c r="R566"/>
      <c r="S566"/>
      <c r="V566"/>
    </row>
    <row r="567" spans="10:22" s="1" customFormat="1" x14ac:dyDescent="0.2">
      <c r="J567"/>
      <c r="K567"/>
      <c r="L567"/>
      <c r="M567"/>
      <c r="N567"/>
      <c r="O567" s="392"/>
      <c r="P567" s="2"/>
      <c r="R567"/>
      <c r="S567"/>
      <c r="V567"/>
    </row>
    <row r="568" spans="10:22" s="1" customFormat="1" x14ac:dyDescent="0.2">
      <c r="J568"/>
      <c r="K568"/>
      <c r="L568"/>
      <c r="M568"/>
      <c r="N568"/>
      <c r="O568" s="392"/>
      <c r="P568" s="2"/>
      <c r="R568"/>
      <c r="S568"/>
      <c r="V568"/>
    </row>
    <row r="569" spans="10:22" s="1" customFormat="1" x14ac:dyDescent="0.2">
      <c r="J569"/>
      <c r="K569"/>
      <c r="L569"/>
      <c r="M569"/>
      <c r="N569"/>
      <c r="O569" s="392"/>
      <c r="P569" s="2"/>
      <c r="R569"/>
      <c r="S569"/>
      <c r="V569"/>
    </row>
    <row r="570" spans="10:22" s="1" customFormat="1" x14ac:dyDescent="0.2">
      <c r="J570"/>
      <c r="K570"/>
      <c r="L570"/>
      <c r="M570"/>
      <c r="N570"/>
      <c r="O570" s="392"/>
      <c r="P570" s="2"/>
      <c r="R570"/>
      <c r="S570"/>
      <c r="V570"/>
    </row>
    <row r="571" spans="10:22" s="1" customFormat="1" x14ac:dyDescent="0.2">
      <c r="J571"/>
      <c r="K571"/>
      <c r="L571"/>
      <c r="M571"/>
      <c r="N571"/>
      <c r="O571" s="392"/>
      <c r="P571" s="2"/>
      <c r="R571"/>
      <c r="S571"/>
      <c r="V571"/>
    </row>
    <row r="572" spans="10:22" s="1" customFormat="1" x14ac:dyDescent="0.2">
      <c r="J572"/>
      <c r="K572"/>
      <c r="L572"/>
      <c r="M572"/>
      <c r="N572"/>
      <c r="O572" s="392"/>
      <c r="P572" s="2"/>
      <c r="R572"/>
      <c r="S572"/>
      <c r="V572"/>
    </row>
    <row r="573" spans="10:22" s="1" customFormat="1" x14ac:dyDescent="0.2">
      <c r="J573"/>
      <c r="K573"/>
      <c r="L573"/>
      <c r="M573"/>
      <c r="N573"/>
      <c r="O573" s="392"/>
      <c r="P573" s="2"/>
      <c r="R573"/>
      <c r="S573"/>
      <c r="V573"/>
    </row>
    <row r="574" spans="10:22" s="1" customFormat="1" x14ac:dyDescent="0.2">
      <c r="J574"/>
      <c r="K574"/>
      <c r="L574"/>
      <c r="M574"/>
      <c r="N574"/>
      <c r="O574" s="392"/>
      <c r="P574" s="2"/>
      <c r="R574"/>
      <c r="S574"/>
      <c r="V574"/>
    </row>
    <row r="575" spans="10:22" s="1" customFormat="1" x14ac:dyDescent="0.2">
      <c r="J575"/>
      <c r="K575"/>
      <c r="L575"/>
      <c r="M575"/>
      <c r="N575"/>
      <c r="O575" s="392"/>
      <c r="P575" s="2"/>
      <c r="R575"/>
      <c r="S575"/>
      <c r="V575"/>
    </row>
    <row r="576" spans="10:22" s="1" customFormat="1" x14ac:dyDescent="0.2">
      <c r="J576"/>
      <c r="K576"/>
      <c r="L576"/>
      <c r="M576"/>
      <c r="N576"/>
      <c r="O576" s="392"/>
      <c r="P576" s="2"/>
      <c r="R576"/>
      <c r="S576"/>
      <c r="V576"/>
    </row>
    <row r="577" spans="10:22" s="1" customFormat="1" x14ac:dyDescent="0.2">
      <c r="J577"/>
      <c r="K577"/>
      <c r="L577"/>
      <c r="M577"/>
      <c r="N577"/>
      <c r="O577" s="392"/>
      <c r="P577" s="2"/>
      <c r="R577"/>
      <c r="S577"/>
      <c r="V577"/>
    </row>
    <row r="578" spans="10:22" s="1" customFormat="1" x14ac:dyDescent="0.2">
      <c r="J578"/>
      <c r="K578"/>
      <c r="L578"/>
      <c r="M578"/>
      <c r="N578"/>
      <c r="O578" s="392"/>
      <c r="P578" s="2"/>
      <c r="R578"/>
      <c r="S578"/>
      <c r="V578"/>
    </row>
    <row r="579" spans="10:22" s="1" customFormat="1" x14ac:dyDescent="0.2">
      <c r="J579"/>
      <c r="K579"/>
      <c r="L579"/>
      <c r="M579"/>
      <c r="N579"/>
      <c r="O579" s="392"/>
      <c r="P579" s="2"/>
      <c r="R579"/>
      <c r="S579"/>
      <c r="V579"/>
    </row>
    <row r="580" spans="10:22" s="1" customFormat="1" x14ac:dyDescent="0.2">
      <c r="J580"/>
      <c r="K580"/>
      <c r="L580"/>
      <c r="M580"/>
      <c r="N580"/>
      <c r="O580" s="392"/>
      <c r="P580" s="2"/>
      <c r="R580"/>
      <c r="S580"/>
      <c r="V580"/>
    </row>
    <row r="581" spans="10:22" s="1" customFormat="1" x14ac:dyDescent="0.2">
      <c r="J581"/>
      <c r="K581"/>
      <c r="L581"/>
      <c r="M581"/>
      <c r="N581"/>
      <c r="O581" s="392"/>
      <c r="P581" s="2"/>
      <c r="R581"/>
      <c r="S581"/>
      <c r="V581"/>
    </row>
    <row r="582" spans="10:22" s="1" customFormat="1" x14ac:dyDescent="0.2">
      <c r="J582"/>
      <c r="K582"/>
      <c r="L582"/>
      <c r="M582"/>
      <c r="N582"/>
      <c r="O582" s="392"/>
      <c r="P582" s="2"/>
      <c r="R582"/>
      <c r="S582"/>
      <c r="V582"/>
    </row>
    <row r="583" spans="10:22" s="1" customFormat="1" x14ac:dyDescent="0.2">
      <c r="J583"/>
      <c r="K583"/>
      <c r="L583"/>
      <c r="M583"/>
      <c r="N583"/>
      <c r="O583" s="392"/>
      <c r="P583" s="2"/>
      <c r="R583"/>
      <c r="S583"/>
      <c r="V583"/>
    </row>
    <row r="584" spans="10:22" s="1" customFormat="1" x14ac:dyDescent="0.2">
      <c r="J584"/>
      <c r="K584"/>
      <c r="L584"/>
      <c r="M584"/>
      <c r="N584"/>
      <c r="O584" s="392"/>
      <c r="P584" s="2"/>
      <c r="R584"/>
      <c r="S584"/>
      <c r="V584"/>
    </row>
    <row r="585" spans="10:22" s="1" customFormat="1" x14ac:dyDescent="0.2">
      <c r="J585"/>
      <c r="K585"/>
      <c r="L585"/>
      <c r="M585"/>
      <c r="N585"/>
      <c r="O585" s="392"/>
      <c r="P585" s="2"/>
      <c r="R585"/>
      <c r="S585"/>
      <c r="V585"/>
    </row>
    <row r="586" spans="10:22" s="1" customFormat="1" x14ac:dyDescent="0.2">
      <c r="J586"/>
      <c r="K586"/>
      <c r="L586"/>
      <c r="M586"/>
      <c r="N586"/>
      <c r="O586" s="392"/>
      <c r="P586" s="2"/>
      <c r="R586"/>
      <c r="S586"/>
      <c r="V586"/>
    </row>
    <row r="587" spans="10:22" s="1" customFormat="1" x14ac:dyDescent="0.2">
      <c r="J587"/>
      <c r="K587"/>
      <c r="L587"/>
      <c r="M587"/>
      <c r="N587"/>
      <c r="O587" s="392"/>
      <c r="P587" s="2"/>
      <c r="R587"/>
      <c r="S587"/>
      <c r="V587"/>
    </row>
    <row r="588" spans="10:22" s="1" customFormat="1" x14ac:dyDescent="0.2">
      <c r="J588"/>
      <c r="K588"/>
      <c r="L588"/>
      <c r="M588"/>
      <c r="N588"/>
      <c r="O588" s="392"/>
      <c r="P588" s="2"/>
      <c r="R588"/>
      <c r="S588"/>
      <c r="V588"/>
    </row>
    <row r="589" spans="10:22" s="1" customFormat="1" x14ac:dyDescent="0.2">
      <c r="J589"/>
      <c r="K589"/>
      <c r="L589"/>
      <c r="M589"/>
      <c r="N589"/>
      <c r="O589" s="392"/>
      <c r="P589" s="2"/>
      <c r="R589"/>
      <c r="S589"/>
      <c r="V589"/>
    </row>
    <row r="590" spans="10:22" s="1" customFormat="1" x14ac:dyDescent="0.2">
      <c r="J590"/>
      <c r="K590"/>
      <c r="L590"/>
      <c r="M590"/>
      <c r="N590"/>
      <c r="O590" s="392"/>
      <c r="P590" s="2"/>
      <c r="R590"/>
      <c r="S590"/>
      <c r="V590"/>
    </row>
    <row r="591" spans="10:22" s="1" customFormat="1" x14ac:dyDescent="0.2">
      <c r="J591"/>
      <c r="K591"/>
      <c r="L591"/>
      <c r="M591"/>
      <c r="N591"/>
      <c r="O591" s="392"/>
      <c r="P591" s="2"/>
      <c r="R591"/>
      <c r="S591"/>
      <c r="V591"/>
    </row>
    <row r="592" spans="10:22" s="1" customFormat="1" x14ac:dyDescent="0.2">
      <c r="J592"/>
      <c r="K592"/>
      <c r="L592"/>
      <c r="M592"/>
      <c r="N592"/>
      <c r="O592" s="392"/>
      <c r="P592" s="2"/>
      <c r="R592"/>
      <c r="S592"/>
      <c r="V592"/>
    </row>
    <row r="593" spans="10:22" s="1" customFormat="1" x14ac:dyDescent="0.2">
      <c r="J593"/>
      <c r="K593"/>
      <c r="L593"/>
      <c r="M593"/>
      <c r="N593"/>
      <c r="O593" s="392"/>
      <c r="P593" s="2"/>
      <c r="R593"/>
      <c r="S593"/>
      <c r="V593"/>
    </row>
    <row r="594" spans="10:22" s="1" customFormat="1" x14ac:dyDescent="0.2">
      <c r="J594"/>
      <c r="K594"/>
      <c r="L594"/>
      <c r="M594"/>
      <c r="N594"/>
      <c r="O594" s="392"/>
      <c r="P594" s="2"/>
      <c r="R594"/>
      <c r="S594"/>
      <c r="V594"/>
    </row>
    <row r="595" spans="10:22" s="1" customFormat="1" x14ac:dyDescent="0.2">
      <c r="J595"/>
      <c r="K595"/>
      <c r="L595"/>
      <c r="M595"/>
      <c r="N595"/>
      <c r="O595" s="392"/>
      <c r="P595" s="2"/>
      <c r="R595"/>
      <c r="S595"/>
      <c r="V595"/>
    </row>
    <row r="596" spans="10:22" s="1" customFormat="1" x14ac:dyDescent="0.2">
      <c r="J596"/>
      <c r="K596"/>
      <c r="L596"/>
      <c r="M596"/>
      <c r="N596"/>
      <c r="O596" s="392"/>
      <c r="P596" s="2"/>
      <c r="R596"/>
      <c r="S596"/>
      <c r="V596"/>
    </row>
    <row r="597" spans="10:22" s="1" customFormat="1" x14ac:dyDescent="0.2">
      <c r="J597"/>
      <c r="K597"/>
      <c r="L597"/>
      <c r="M597"/>
      <c r="N597"/>
      <c r="O597" s="392"/>
      <c r="P597" s="2"/>
      <c r="R597"/>
      <c r="S597"/>
      <c r="V597"/>
    </row>
    <row r="598" spans="10:22" s="1" customFormat="1" x14ac:dyDescent="0.2">
      <c r="J598"/>
      <c r="K598"/>
      <c r="L598"/>
      <c r="M598"/>
      <c r="N598"/>
      <c r="O598" s="392"/>
      <c r="P598" s="2"/>
      <c r="R598"/>
      <c r="S598"/>
      <c r="V598"/>
    </row>
    <row r="599" spans="10:22" s="1" customFormat="1" x14ac:dyDescent="0.2">
      <c r="J599"/>
      <c r="K599"/>
      <c r="L599"/>
      <c r="M599"/>
      <c r="N599"/>
      <c r="O599" s="392"/>
      <c r="P599" s="2"/>
      <c r="R599"/>
      <c r="S599"/>
      <c r="V599"/>
    </row>
    <row r="600" spans="10:22" s="1" customFormat="1" x14ac:dyDescent="0.2">
      <c r="J600"/>
      <c r="K600"/>
      <c r="L600"/>
      <c r="M600"/>
      <c r="N600"/>
      <c r="O600" s="392"/>
      <c r="P600" s="2"/>
      <c r="R600"/>
      <c r="S600"/>
      <c r="V600"/>
    </row>
    <row r="601" spans="10:22" s="1" customFormat="1" x14ac:dyDescent="0.2">
      <c r="J601"/>
      <c r="K601"/>
      <c r="L601"/>
      <c r="M601"/>
      <c r="N601"/>
      <c r="O601" s="392"/>
      <c r="P601" s="2"/>
      <c r="R601"/>
      <c r="S601"/>
      <c r="V601"/>
    </row>
    <row r="602" spans="10:22" s="1" customFormat="1" x14ac:dyDescent="0.2">
      <c r="J602"/>
      <c r="K602"/>
      <c r="L602"/>
      <c r="M602"/>
      <c r="N602"/>
      <c r="O602" s="392"/>
      <c r="P602" s="2"/>
      <c r="R602"/>
      <c r="S602"/>
      <c r="V602"/>
    </row>
    <row r="603" spans="10:22" s="1" customFormat="1" x14ac:dyDescent="0.2">
      <c r="J603"/>
      <c r="K603"/>
      <c r="L603"/>
      <c r="M603"/>
      <c r="N603"/>
      <c r="O603" s="392"/>
      <c r="P603" s="2"/>
      <c r="R603"/>
      <c r="S603"/>
      <c r="V603"/>
    </row>
    <row r="604" spans="10:22" s="1" customFormat="1" x14ac:dyDescent="0.2">
      <c r="J604"/>
      <c r="K604"/>
      <c r="L604"/>
      <c r="M604"/>
      <c r="N604"/>
      <c r="O604" s="392"/>
      <c r="P604" s="2"/>
      <c r="R604"/>
      <c r="S604"/>
      <c r="V604"/>
    </row>
    <row r="605" spans="10:22" s="1" customFormat="1" x14ac:dyDescent="0.2">
      <c r="J605"/>
      <c r="K605"/>
      <c r="L605"/>
      <c r="M605"/>
      <c r="N605"/>
      <c r="O605" s="392"/>
      <c r="P605" s="2"/>
      <c r="R605"/>
      <c r="S605"/>
      <c r="V605"/>
    </row>
    <row r="606" spans="10:22" s="1" customFormat="1" x14ac:dyDescent="0.2">
      <c r="J606"/>
      <c r="K606"/>
      <c r="L606"/>
      <c r="M606"/>
      <c r="N606"/>
      <c r="O606" s="392"/>
      <c r="P606" s="2"/>
      <c r="R606"/>
      <c r="S606"/>
      <c r="V606"/>
    </row>
    <row r="607" spans="10:22" s="1" customFormat="1" x14ac:dyDescent="0.2">
      <c r="J607"/>
      <c r="K607"/>
      <c r="L607"/>
      <c r="M607"/>
      <c r="N607"/>
      <c r="O607" s="392"/>
      <c r="P607" s="2"/>
      <c r="R607"/>
      <c r="S607"/>
      <c r="V607"/>
    </row>
    <row r="608" spans="10:22" s="1" customFormat="1" x14ac:dyDescent="0.2">
      <c r="J608"/>
      <c r="K608"/>
      <c r="L608"/>
      <c r="M608"/>
      <c r="N608"/>
      <c r="O608" s="392"/>
      <c r="P608" s="2"/>
      <c r="R608"/>
      <c r="S608"/>
      <c r="V608"/>
    </row>
    <row r="609" spans="10:22" s="1" customFormat="1" x14ac:dyDescent="0.2">
      <c r="J609"/>
      <c r="K609"/>
      <c r="L609"/>
      <c r="M609"/>
      <c r="N609"/>
      <c r="O609" s="392"/>
      <c r="P609" s="2"/>
      <c r="R609"/>
      <c r="S609"/>
      <c r="V609"/>
    </row>
    <row r="610" spans="10:22" s="1" customFormat="1" x14ac:dyDescent="0.2">
      <c r="J610"/>
      <c r="K610"/>
      <c r="L610"/>
      <c r="M610"/>
      <c r="N610"/>
      <c r="O610" s="392"/>
      <c r="P610" s="2"/>
      <c r="R610"/>
      <c r="S610"/>
      <c r="V610"/>
    </row>
    <row r="611" spans="10:22" s="1" customFormat="1" x14ac:dyDescent="0.2">
      <c r="J611"/>
      <c r="K611"/>
      <c r="L611"/>
      <c r="M611"/>
      <c r="N611"/>
      <c r="O611" s="392"/>
      <c r="P611" s="2"/>
      <c r="R611"/>
      <c r="S611"/>
      <c r="V611"/>
    </row>
    <row r="612" spans="10:22" s="1" customFormat="1" x14ac:dyDescent="0.2">
      <c r="J612"/>
      <c r="K612"/>
      <c r="L612"/>
      <c r="M612"/>
      <c r="N612"/>
      <c r="O612" s="392"/>
      <c r="P612" s="2"/>
      <c r="R612"/>
      <c r="S612"/>
      <c r="V612"/>
    </row>
    <row r="613" spans="10:22" s="1" customFormat="1" x14ac:dyDescent="0.2">
      <c r="J613"/>
      <c r="K613"/>
      <c r="L613"/>
      <c r="M613"/>
      <c r="N613"/>
      <c r="O613" s="392"/>
      <c r="P613" s="2"/>
      <c r="R613"/>
      <c r="S613"/>
      <c r="V613"/>
    </row>
    <row r="614" spans="10:22" s="1" customFormat="1" x14ac:dyDescent="0.2">
      <c r="J614"/>
      <c r="K614"/>
      <c r="L614"/>
      <c r="M614"/>
      <c r="N614"/>
      <c r="O614" s="392"/>
      <c r="P614" s="2"/>
      <c r="R614"/>
      <c r="S614"/>
      <c r="V614"/>
    </row>
    <row r="615" spans="10:22" s="1" customFormat="1" x14ac:dyDescent="0.2">
      <c r="J615"/>
      <c r="K615"/>
      <c r="L615"/>
      <c r="M615"/>
      <c r="N615"/>
      <c r="O615" s="392"/>
      <c r="P615" s="2"/>
      <c r="R615"/>
      <c r="S615"/>
      <c r="V615"/>
    </row>
    <row r="616" spans="10:22" s="1" customFormat="1" x14ac:dyDescent="0.2">
      <c r="J616"/>
      <c r="K616"/>
      <c r="L616"/>
      <c r="M616"/>
      <c r="N616"/>
      <c r="O616" s="392"/>
      <c r="P616" s="2"/>
      <c r="R616"/>
      <c r="S616"/>
      <c r="V616"/>
    </row>
    <row r="617" spans="10:22" s="1" customFormat="1" x14ac:dyDescent="0.2">
      <c r="J617"/>
      <c r="K617"/>
      <c r="L617"/>
      <c r="M617"/>
      <c r="N617"/>
      <c r="O617" s="392"/>
      <c r="P617" s="2"/>
      <c r="R617"/>
      <c r="S617"/>
      <c r="V617"/>
    </row>
    <row r="618" spans="10:22" s="1" customFormat="1" x14ac:dyDescent="0.2">
      <c r="J618"/>
      <c r="K618"/>
      <c r="L618"/>
      <c r="M618"/>
      <c r="N618"/>
      <c r="O618" s="392"/>
      <c r="P618" s="2"/>
      <c r="R618"/>
      <c r="S618"/>
      <c r="V618"/>
    </row>
    <row r="619" spans="10:22" s="1" customFormat="1" x14ac:dyDescent="0.2">
      <c r="J619"/>
      <c r="K619"/>
      <c r="L619"/>
      <c r="M619"/>
      <c r="N619"/>
      <c r="O619" s="392"/>
      <c r="P619" s="2"/>
      <c r="R619"/>
      <c r="S619"/>
      <c r="V619"/>
    </row>
    <row r="620" spans="10:22" s="1" customFormat="1" x14ac:dyDescent="0.2">
      <c r="J620"/>
      <c r="K620"/>
      <c r="L620"/>
      <c r="M620"/>
      <c r="N620"/>
      <c r="O620" s="392"/>
      <c r="P620" s="2"/>
      <c r="R620"/>
      <c r="S620"/>
      <c r="V620"/>
    </row>
    <row r="621" spans="10:22" s="1" customFormat="1" x14ac:dyDescent="0.2">
      <c r="J621"/>
      <c r="K621"/>
      <c r="L621"/>
      <c r="M621"/>
      <c r="N621"/>
      <c r="O621" s="392"/>
      <c r="P621" s="2"/>
      <c r="R621"/>
      <c r="S621"/>
      <c r="V621"/>
    </row>
    <row r="622" spans="10:22" s="1" customFormat="1" x14ac:dyDescent="0.2">
      <c r="J622"/>
      <c r="K622"/>
      <c r="L622"/>
      <c r="M622"/>
      <c r="N622"/>
      <c r="O622" s="392"/>
      <c r="P622" s="2"/>
      <c r="R622"/>
      <c r="S622"/>
      <c r="V622"/>
    </row>
    <row r="623" spans="10:22" s="1" customFormat="1" x14ac:dyDescent="0.2">
      <c r="J623"/>
      <c r="K623"/>
      <c r="L623"/>
      <c r="M623"/>
      <c r="N623"/>
      <c r="O623" s="392"/>
      <c r="P623" s="2"/>
      <c r="R623"/>
      <c r="S623"/>
      <c r="V623"/>
    </row>
    <row r="624" spans="10:22" s="1" customFormat="1" x14ac:dyDescent="0.2">
      <c r="J624"/>
      <c r="K624"/>
      <c r="L624"/>
      <c r="M624"/>
      <c r="N624"/>
      <c r="O624" s="392"/>
      <c r="P624" s="2"/>
      <c r="R624"/>
      <c r="S624"/>
      <c r="V624"/>
    </row>
    <row r="625" spans="10:22" s="1" customFormat="1" x14ac:dyDescent="0.2">
      <c r="J625"/>
      <c r="K625"/>
      <c r="L625"/>
      <c r="M625"/>
      <c r="N625"/>
      <c r="O625" s="392"/>
      <c r="P625" s="2"/>
      <c r="R625"/>
      <c r="S625"/>
      <c r="V625"/>
    </row>
    <row r="626" spans="10:22" s="1" customFormat="1" x14ac:dyDescent="0.2">
      <c r="J626"/>
      <c r="K626"/>
      <c r="L626"/>
      <c r="M626"/>
      <c r="N626"/>
      <c r="O626" s="392"/>
      <c r="P626" s="2"/>
      <c r="R626"/>
      <c r="S626"/>
      <c r="V626"/>
    </row>
    <row r="627" spans="10:22" s="1" customFormat="1" x14ac:dyDescent="0.2">
      <c r="J627"/>
      <c r="K627"/>
      <c r="L627"/>
      <c r="M627"/>
      <c r="N627"/>
      <c r="O627" s="392"/>
      <c r="P627" s="2"/>
      <c r="R627"/>
      <c r="S627"/>
      <c r="V627"/>
    </row>
    <row r="628" spans="10:22" s="1" customFormat="1" x14ac:dyDescent="0.2">
      <c r="J628"/>
      <c r="K628"/>
      <c r="L628"/>
      <c r="M628"/>
      <c r="N628"/>
      <c r="O628" s="392"/>
      <c r="P628" s="2"/>
      <c r="R628"/>
      <c r="S628"/>
      <c r="V628"/>
    </row>
    <row r="629" spans="10:22" s="1" customFormat="1" x14ac:dyDescent="0.2">
      <c r="J629"/>
      <c r="K629"/>
      <c r="L629"/>
      <c r="M629"/>
      <c r="N629"/>
      <c r="O629" s="392"/>
      <c r="P629" s="2"/>
      <c r="R629"/>
      <c r="S629"/>
      <c r="V629"/>
    </row>
    <row r="630" spans="10:22" s="1" customFormat="1" x14ac:dyDescent="0.2">
      <c r="J630"/>
      <c r="K630"/>
      <c r="L630"/>
      <c r="M630"/>
      <c r="N630"/>
      <c r="O630" s="392"/>
      <c r="P630" s="2"/>
      <c r="R630"/>
      <c r="S630"/>
      <c r="V630"/>
    </row>
    <row r="631" spans="10:22" s="1" customFormat="1" x14ac:dyDescent="0.2">
      <c r="J631"/>
      <c r="K631"/>
      <c r="L631"/>
      <c r="M631"/>
      <c r="N631"/>
      <c r="O631" s="392"/>
      <c r="P631" s="2"/>
      <c r="R631"/>
      <c r="S631"/>
      <c r="V631"/>
    </row>
    <row r="632" spans="10:22" s="1" customFormat="1" x14ac:dyDescent="0.2">
      <c r="J632"/>
      <c r="K632"/>
      <c r="L632"/>
      <c r="M632"/>
      <c r="N632"/>
      <c r="O632" s="392"/>
      <c r="P632" s="2"/>
      <c r="R632"/>
      <c r="S632"/>
      <c r="V632"/>
    </row>
    <row r="633" spans="10:22" s="1" customFormat="1" x14ac:dyDescent="0.2">
      <c r="J633"/>
      <c r="K633"/>
      <c r="L633"/>
      <c r="M633"/>
      <c r="N633"/>
      <c r="O633" s="392"/>
      <c r="P633" s="2"/>
      <c r="R633"/>
      <c r="S633"/>
      <c r="V633"/>
    </row>
    <row r="634" spans="10:22" s="1" customFormat="1" x14ac:dyDescent="0.2">
      <c r="J634"/>
      <c r="K634"/>
      <c r="L634"/>
      <c r="M634"/>
      <c r="N634"/>
      <c r="O634" s="392"/>
      <c r="P634" s="2"/>
      <c r="R634"/>
      <c r="S634"/>
      <c r="V634"/>
    </row>
    <row r="635" spans="10:22" s="1" customFormat="1" x14ac:dyDescent="0.2">
      <c r="J635"/>
      <c r="K635"/>
      <c r="L635"/>
      <c r="M635"/>
      <c r="N635"/>
      <c r="O635" s="392"/>
      <c r="P635" s="2"/>
      <c r="R635"/>
      <c r="S635"/>
      <c r="V635"/>
    </row>
    <row r="636" spans="10:22" s="1" customFormat="1" x14ac:dyDescent="0.2">
      <c r="J636"/>
      <c r="K636"/>
      <c r="L636"/>
      <c r="M636"/>
      <c r="N636"/>
      <c r="O636" s="392"/>
      <c r="P636" s="2"/>
      <c r="R636"/>
      <c r="S636"/>
      <c r="V636"/>
    </row>
    <row r="637" spans="10:22" s="1" customFormat="1" x14ac:dyDescent="0.2">
      <c r="J637"/>
      <c r="K637"/>
      <c r="L637"/>
      <c r="M637"/>
      <c r="N637"/>
      <c r="O637" s="392"/>
      <c r="P637" s="2"/>
      <c r="R637"/>
      <c r="S637"/>
      <c r="V637"/>
    </row>
    <row r="638" spans="10:22" s="1" customFormat="1" x14ac:dyDescent="0.2">
      <c r="J638"/>
      <c r="K638"/>
      <c r="L638"/>
      <c r="M638"/>
      <c r="N638"/>
      <c r="O638" s="392"/>
      <c r="P638" s="2"/>
      <c r="R638"/>
      <c r="S638"/>
      <c r="V638"/>
    </row>
    <row r="639" spans="10:22" s="1" customFormat="1" x14ac:dyDescent="0.2">
      <c r="J639"/>
      <c r="K639"/>
      <c r="L639"/>
      <c r="M639"/>
      <c r="N639"/>
      <c r="O639" s="392"/>
      <c r="P639" s="2"/>
      <c r="R639"/>
      <c r="S639"/>
      <c r="V639"/>
    </row>
    <row r="640" spans="10:22" s="1" customFormat="1" x14ac:dyDescent="0.2">
      <c r="J640"/>
      <c r="K640"/>
      <c r="L640"/>
      <c r="M640"/>
      <c r="N640"/>
      <c r="O640" s="392"/>
      <c r="P640" s="2"/>
      <c r="R640"/>
      <c r="S640"/>
      <c r="V640"/>
    </row>
    <row r="641" spans="10:22" s="1" customFormat="1" x14ac:dyDescent="0.2">
      <c r="J641"/>
      <c r="K641"/>
      <c r="L641"/>
      <c r="M641"/>
      <c r="N641"/>
      <c r="O641" s="392"/>
      <c r="P641" s="2"/>
      <c r="R641"/>
      <c r="S641"/>
      <c r="V641"/>
    </row>
    <row r="642" spans="10:22" s="1" customFormat="1" x14ac:dyDescent="0.2">
      <c r="J642"/>
      <c r="K642"/>
      <c r="L642"/>
      <c r="M642"/>
      <c r="N642"/>
      <c r="O642" s="392"/>
      <c r="P642" s="2"/>
      <c r="R642"/>
      <c r="S642"/>
      <c r="V642"/>
    </row>
    <row r="643" spans="10:22" s="1" customFormat="1" x14ac:dyDescent="0.2">
      <c r="J643"/>
      <c r="K643"/>
      <c r="L643"/>
      <c r="M643"/>
      <c r="N643"/>
      <c r="O643" s="392"/>
      <c r="P643" s="2"/>
      <c r="R643"/>
      <c r="S643"/>
      <c r="V643"/>
    </row>
    <row r="644" spans="10:22" s="1" customFormat="1" x14ac:dyDescent="0.2">
      <c r="J644"/>
      <c r="K644"/>
      <c r="L644"/>
      <c r="M644"/>
      <c r="N644"/>
      <c r="O644" s="392"/>
      <c r="P644" s="2"/>
      <c r="R644"/>
      <c r="S644"/>
      <c r="V644"/>
    </row>
    <row r="645" spans="10:22" s="1" customFormat="1" x14ac:dyDescent="0.2">
      <c r="J645"/>
      <c r="K645"/>
      <c r="L645"/>
      <c r="M645"/>
      <c r="N645"/>
      <c r="O645" s="392"/>
      <c r="P645" s="2"/>
      <c r="R645"/>
      <c r="S645"/>
      <c r="V645"/>
    </row>
    <row r="646" spans="10:22" s="1" customFormat="1" x14ac:dyDescent="0.2">
      <c r="J646"/>
      <c r="K646"/>
      <c r="L646"/>
      <c r="M646"/>
      <c r="N646"/>
      <c r="O646" s="392"/>
      <c r="P646" s="2"/>
      <c r="R646"/>
      <c r="S646"/>
      <c r="V646"/>
    </row>
    <row r="647" spans="10:22" s="1" customFormat="1" x14ac:dyDescent="0.2">
      <c r="J647"/>
      <c r="K647"/>
      <c r="L647"/>
      <c r="M647"/>
      <c r="N647"/>
      <c r="O647" s="392"/>
      <c r="P647" s="2"/>
      <c r="R647"/>
      <c r="S647"/>
      <c r="V647"/>
    </row>
    <row r="648" spans="10:22" s="1" customFormat="1" x14ac:dyDescent="0.2">
      <c r="J648"/>
      <c r="K648"/>
      <c r="L648"/>
      <c r="M648"/>
      <c r="N648"/>
      <c r="O648" s="392"/>
      <c r="P648" s="2"/>
      <c r="R648"/>
      <c r="S648"/>
      <c r="V648"/>
    </row>
    <row r="649" spans="10:22" s="1" customFormat="1" x14ac:dyDescent="0.2">
      <c r="J649"/>
      <c r="K649"/>
      <c r="L649"/>
      <c r="M649"/>
      <c r="N649"/>
      <c r="O649" s="392"/>
      <c r="P649" s="2"/>
      <c r="R649"/>
      <c r="S649"/>
      <c r="V649"/>
    </row>
    <row r="650" spans="10:22" s="1" customFormat="1" x14ac:dyDescent="0.2">
      <c r="J650"/>
      <c r="K650"/>
      <c r="L650"/>
      <c r="M650"/>
      <c r="N650"/>
      <c r="O650" s="392"/>
      <c r="P650" s="2"/>
      <c r="R650"/>
      <c r="S650"/>
      <c r="V650"/>
    </row>
    <row r="651" spans="10:22" s="1" customFormat="1" x14ac:dyDescent="0.2">
      <c r="J651"/>
      <c r="K651"/>
      <c r="L651"/>
      <c r="M651"/>
      <c r="N651"/>
      <c r="O651" s="392"/>
      <c r="P651" s="2"/>
      <c r="R651"/>
      <c r="S651"/>
      <c r="V651"/>
    </row>
    <row r="652" spans="10:22" s="1" customFormat="1" x14ac:dyDescent="0.2">
      <c r="J652"/>
      <c r="K652"/>
      <c r="L652"/>
      <c r="M652"/>
      <c r="N652"/>
      <c r="O652" s="392"/>
      <c r="P652" s="2"/>
      <c r="R652"/>
      <c r="S652"/>
      <c r="V652"/>
    </row>
    <row r="653" spans="10:22" s="1" customFormat="1" x14ac:dyDescent="0.2">
      <c r="J653"/>
      <c r="K653"/>
      <c r="L653"/>
      <c r="M653"/>
      <c r="N653"/>
      <c r="O653" s="392"/>
      <c r="P653" s="2"/>
      <c r="R653"/>
      <c r="S653"/>
      <c r="V653"/>
    </row>
    <row r="654" spans="10:22" s="1" customFormat="1" x14ac:dyDescent="0.2">
      <c r="J654"/>
      <c r="K654"/>
      <c r="L654"/>
      <c r="M654"/>
      <c r="N654"/>
      <c r="O654" s="392"/>
      <c r="P654" s="2"/>
      <c r="R654"/>
      <c r="S654"/>
      <c r="V654"/>
    </row>
    <row r="655" spans="10:22" s="1" customFormat="1" x14ac:dyDescent="0.2">
      <c r="J655"/>
      <c r="K655"/>
      <c r="L655"/>
      <c r="M655"/>
      <c r="N655"/>
      <c r="O655" s="392"/>
      <c r="P655" s="2"/>
      <c r="R655"/>
      <c r="S655"/>
      <c r="V655"/>
    </row>
    <row r="656" spans="10:22" s="1" customFormat="1" x14ac:dyDescent="0.2">
      <c r="J656"/>
      <c r="K656"/>
      <c r="L656"/>
      <c r="M656"/>
      <c r="N656"/>
      <c r="O656" s="392"/>
      <c r="P656" s="2"/>
      <c r="R656"/>
      <c r="S656"/>
      <c r="V656"/>
    </row>
    <row r="657" spans="10:22" s="1" customFormat="1" x14ac:dyDescent="0.2">
      <c r="J657"/>
      <c r="K657"/>
      <c r="L657"/>
      <c r="M657"/>
      <c r="N657"/>
      <c r="O657" s="392"/>
      <c r="P657" s="2"/>
      <c r="R657"/>
      <c r="S657"/>
      <c r="V657"/>
    </row>
    <row r="658" spans="10:22" s="1" customFormat="1" x14ac:dyDescent="0.2">
      <c r="J658"/>
      <c r="K658"/>
      <c r="L658"/>
      <c r="M658"/>
      <c r="N658"/>
      <c r="O658" s="392"/>
      <c r="P658" s="2"/>
      <c r="R658"/>
      <c r="S658"/>
      <c r="V658"/>
    </row>
    <row r="659" spans="10:22" s="1" customFormat="1" x14ac:dyDescent="0.2">
      <c r="J659"/>
      <c r="K659"/>
      <c r="L659"/>
      <c r="M659"/>
      <c r="N659"/>
      <c r="O659" s="392"/>
      <c r="P659" s="2"/>
      <c r="R659"/>
      <c r="S659"/>
      <c r="V659"/>
    </row>
    <row r="660" spans="10:22" s="1" customFormat="1" x14ac:dyDescent="0.2">
      <c r="J660"/>
      <c r="K660"/>
      <c r="L660"/>
      <c r="M660"/>
      <c r="N660"/>
      <c r="O660" s="392"/>
      <c r="P660" s="2"/>
      <c r="R660"/>
      <c r="S660"/>
      <c r="V660"/>
    </row>
    <row r="661" spans="10:22" s="1" customFormat="1" x14ac:dyDescent="0.2">
      <c r="J661"/>
      <c r="K661"/>
      <c r="L661"/>
      <c r="M661"/>
      <c r="N661"/>
      <c r="O661" s="392"/>
      <c r="P661" s="2"/>
      <c r="R661"/>
      <c r="S661"/>
      <c r="V661"/>
    </row>
    <row r="662" spans="10:22" s="1" customFormat="1" x14ac:dyDescent="0.2">
      <c r="J662"/>
      <c r="K662"/>
      <c r="L662"/>
      <c r="M662"/>
      <c r="N662"/>
      <c r="O662" s="392"/>
      <c r="P662" s="2"/>
      <c r="R662"/>
      <c r="S662"/>
      <c r="V662"/>
    </row>
    <row r="663" spans="10:22" s="1" customFormat="1" x14ac:dyDescent="0.2">
      <c r="J663"/>
      <c r="K663"/>
      <c r="L663"/>
      <c r="M663"/>
      <c r="N663"/>
      <c r="O663" s="392"/>
      <c r="P663" s="2"/>
      <c r="R663"/>
      <c r="S663"/>
      <c r="V663"/>
    </row>
    <row r="664" spans="10:22" s="1" customFormat="1" x14ac:dyDescent="0.2">
      <c r="J664"/>
      <c r="K664"/>
      <c r="L664"/>
      <c r="M664"/>
      <c r="N664"/>
      <c r="O664" s="392"/>
      <c r="P664" s="2"/>
      <c r="R664"/>
      <c r="S664"/>
      <c r="V664"/>
    </row>
    <row r="665" spans="10:22" s="1" customFormat="1" x14ac:dyDescent="0.2">
      <c r="J665"/>
      <c r="K665"/>
      <c r="L665"/>
      <c r="M665"/>
      <c r="N665"/>
      <c r="O665" s="392"/>
      <c r="P665" s="2"/>
      <c r="R665"/>
      <c r="S665"/>
      <c r="V665"/>
    </row>
    <row r="666" spans="10:22" s="1" customFormat="1" x14ac:dyDescent="0.2">
      <c r="J666"/>
      <c r="K666"/>
      <c r="L666"/>
      <c r="M666"/>
      <c r="N666"/>
      <c r="O666" s="392"/>
      <c r="P666" s="2"/>
      <c r="R666"/>
      <c r="S666"/>
      <c r="V666"/>
    </row>
    <row r="667" spans="10:22" s="1" customFormat="1" x14ac:dyDescent="0.2">
      <c r="J667"/>
      <c r="K667"/>
      <c r="L667"/>
      <c r="M667"/>
      <c r="N667"/>
      <c r="O667" s="392"/>
      <c r="P667" s="2"/>
      <c r="R667"/>
      <c r="S667"/>
      <c r="V667"/>
    </row>
    <row r="668" spans="10:22" s="1" customFormat="1" x14ac:dyDescent="0.2">
      <c r="J668"/>
      <c r="K668"/>
      <c r="L668"/>
      <c r="M668"/>
      <c r="N668"/>
      <c r="O668" s="392"/>
      <c r="P668" s="2"/>
      <c r="R668"/>
      <c r="S668"/>
      <c r="V668"/>
    </row>
    <row r="669" spans="10:22" s="1" customFormat="1" x14ac:dyDescent="0.2">
      <c r="J669"/>
      <c r="K669"/>
      <c r="L669"/>
      <c r="M669"/>
      <c r="N669"/>
      <c r="O669" s="392"/>
      <c r="P669" s="2"/>
      <c r="R669"/>
      <c r="S669"/>
      <c r="V669"/>
    </row>
    <row r="670" spans="10:22" s="1" customFormat="1" x14ac:dyDescent="0.2">
      <c r="J670"/>
      <c r="K670"/>
      <c r="L670"/>
      <c r="M670"/>
      <c r="N670"/>
      <c r="O670" s="392"/>
      <c r="P670" s="2"/>
      <c r="R670"/>
      <c r="S670"/>
      <c r="V670"/>
    </row>
    <row r="671" spans="10:22" s="1" customFormat="1" x14ac:dyDescent="0.2">
      <c r="J671"/>
      <c r="K671"/>
      <c r="L671"/>
      <c r="M671"/>
      <c r="N671"/>
      <c r="O671" s="392"/>
      <c r="P671" s="2"/>
      <c r="R671"/>
      <c r="S671"/>
      <c r="V671"/>
    </row>
    <row r="672" spans="10:22" s="1" customFormat="1" x14ac:dyDescent="0.2">
      <c r="J672"/>
      <c r="K672"/>
      <c r="L672"/>
      <c r="M672"/>
      <c r="N672"/>
      <c r="O672" s="392"/>
      <c r="P672" s="2"/>
      <c r="R672"/>
      <c r="S672"/>
      <c r="V672"/>
    </row>
    <row r="673" spans="10:22" s="1" customFormat="1" x14ac:dyDescent="0.2">
      <c r="J673"/>
      <c r="K673"/>
      <c r="L673"/>
      <c r="M673"/>
      <c r="N673"/>
      <c r="O673" s="392"/>
      <c r="P673" s="2"/>
      <c r="R673"/>
      <c r="S673"/>
      <c r="V673"/>
    </row>
    <row r="674" spans="10:22" s="1" customFormat="1" x14ac:dyDescent="0.2">
      <c r="J674"/>
      <c r="K674"/>
      <c r="L674"/>
      <c r="M674"/>
      <c r="N674"/>
      <c r="O674" s="392"/>
      <c r="P674" s="2"/>
      <c r="R674"/>
      <c r="S674"/>
      <c r="V674"/>
    </row>
    <row r="675" spans="10:22" s="1" customFormat="1" x14ac:dyDescent="0.2">
      <c r="J675"/>
      <c r="K675"/>
      <c r="L675"/>
      <c r="M675"/>
      <c r="N675"/>
      <c r="O675" s="392"/>
      <c r="P675" s="2"/>
      <c r="R675"/>
      <c r="S675"/>
      <c r="V675"/>
    </row>
    <row r="676" spans="10:22" s="1" customFormat="1" x14ac:dyDescent="0.2">
      <c r="J676"/>
      <c r="K676"/>
      <c r="L676"/>
      <c r="M676"/>
      <c r="N676"/>
      <c r="O676" s="392"/>
      <c r="P676" s="2"/>
      <c r="R676"/>
      <c r="S676"/>
      <c r="V676"/>
    </row>
    <row r="677" spans="10:22" s="1" customFormat="1" x14ac:dyDescent="0.2">
      <c r="J677"/>
      <c r="K677"/>
      <c r="L677"/>
      <c r="M677"/>
      <c r="N677"/>
      <c r="O677" s="392"/>
      <c r="P677" s="2"/>
      <c r="R677"/>
      <c r="S677"/>
      <c r="V677"/>
    </row>
    <row r="678" spans="10:22" s="1" customFormat="1" x14ac:dyDescent="0.2">
      <c r="J678"/>
      <c r="K678"/>
      <c r="L678"/>
      <c r="M678"/>
      <c r="N678"/>
      <c r="O678" s="392"/>
      <c r="P678" s="2"/>
      <c r="R678"/>
      <c r="S678"/>
      <c r="V678"/>
    </row>
    <row r="679" spans="10:22" s="1" customFormat="1" x14ac:dyDescent="0.2">
      <c r="J679"/>
      <c r="K679"/>
      <c r="L679"/>
      <c r="M679"/>
      <c r="N679"/>
      <c r="O679" s="392"/>
      <c r="P679" s="2"/>
      <c r="R679"/>
      <c r="S679"/>
      <c r="V679"/>
    </row>
    <row r="680" spans="10:22" s="1" customFormat="1" x14ac:dyDescent="0.2">
      <c r="J680"/>
      <c r="K680"/>
      <c r="L680"/>
      <c r="M680"/>
      <c r="N680"/>
      <c r="O680" s="392"/>
      <c r="P680" s="2"/>
      <c r="R680"/>
      <c r="S680"/>
      <c r="V680"/>
    </row>
    <row r="681" spans="10:22" s="1" customFormat="1" x14ac:dyDescent="0.2">
      <c r="J681"/>
      <c r="K681"/>
      <c r="L681"/>
      <c r="M681"/>
      <c r="N681"/>
      <c r="O681" s="392"/>
      <c r="P681" s="2"/>
      <c r="R681"/>
      <c r="S681"/>
      <c r="V681"/>
    </row>
    <row r="682" spans="10:22" s="1" customFormat="1" x14ac:dyDescent="0.2">
      <c r="J682"/>
      <c r="K682"/>
      <c r="L682"/>
      <c r="M682"/>
      <c r="N682"/>
      <c r="O682" s="392"/>
      <c r="P682" s="2"/>
      <c r="R682"/>
      <c r="S682"/>
      <c r="V682"/>
    </row>
    <row r="683" spans="10:22" s="1" customFormat="1" x14ac:dyDescent="0.2">
      <c r="J683"/>
      <c r="K683"/>
      <c r="L683"/>
      <c r="M683"/>
      <c r="N683"/>
      <c r="O683" s="392"/>
      <c r="P683" s="2"/>
      <c r="R683"/>
      <c r="S683"/>
      <c r="V683"/>
    </row>
    <row r="684" spans="10:22" s="1" customFormat="1" x14ac:dyDescent="0.2">
      <c r="J684"/>
      <c r="K684"/>
      <c r="L684"/>
      <c r="M684"/>
      <c r="N684"/>
      <c r="O684" s="392"/>
      <c r="P684" s="2"/>
      <c r="R684"/>
      <c r="S684"/>
      <c r="V684"/>
    </row>
    <row r="685" spans="10:22" s="1" customFormat="1" x14ac:dyDescent="0.2">
      <c r="J685"/>
      <c r="K685"/>
      <c r="L685"/>
      <c r="M685"/>
      <c r="N685"/>
      <c r="O685" s="392"/>
      <c r="P685" s="2"/>
      <c r="R685"/>
      <c r="S685"/>
      <c r="V685"/>
    </row>
    <row r="686" spans="10:22" s="1" customFormat="1" x14ac:dyDescent="0.2">
      <c r="J686"/>
      <c r="K686"/>
      <c r="L686"/>
      <c r="M686"/>
      <c r="N686"/>
      <c r="O686" s="392"/>
      <c r="P686" s="2"/>
      <c r="R686"/>
      <c r="S686"/>
      <c r="V686"/>
    </row>
    <row r="687" spans="10:22" s="1" customFormat="1" x14ac:dyDescent="0.2">
      <c r="J687"/>
      <c r="K687"/>
      <c r="L687"/>
      <c r="M687"/>
      <c r="N687"/>
      <c r="O687" s="392"/>
      <c r="P687" s="2"/>
      <c r="R687"/>
      <c r="S687"/>
      <c r="V687"/>
    </row>
    <row r="688" spans="10:22" s="1" customFormat="1" x14ac:dyDescent="0.2">
      <c r="J688"/>
      <c r="K688"/>
      <c r="L688"/>
      <c r="M688"/>
      <c r="N688"/>
      <c r="O688" s="392"/>
      <c r="P688" s="2"/>
      <c r="R688"/>
      <c r="S688"/>
      <c r="V688"/>
    </row>
    <row r="65417" spans="13:13" x14ac:dyDescent="0.2">
      <c r="M65417">
        <v>4</v>
      </c>
    </row>
  </sheetData>
  <mergeCells count="116">
    <mergeCell ref="R12:R13"/>
    <mergeCell ref="U14:U15"/>
    <mergeCell ref="Q14:Q15"/>
    <mergeCell ref="T12:T13"/>
    <mergeCell ref="R37:R38"/>
    <mergeCell ref="L37:L38"/>
    <mergeCell ref="T37:T38"/>
    <mergeCell ref="T31:T32"/>
    <mergeCell ref="R31:R32"/>
    <mergeCell ref="L31:L32"/>
    <mergeCell ref="L23:L24"/>
    <mergeCell ref="R23:R24"/>
    <mergeCell ref="T34:T35"/>
    <mergeCell ref="R34:R35"/>
    <mergeCell ref="T23:T24"/>
    <mergeCell ref="L28:L30"/>
    <mergeCell ref="R28:R30"/>
    <mergeCell ref="T28:T30"/>
    <mergeCell ref="L34:L35"/>
    <mergeCell ref="Q50:Q51"/>
    <mergeCell ref="V46:AB46"/>
    <mergeCell ref="V44:AB44"/>
    <mergeCell ref="V15:AB15"/>
    <mergeCell ref="V13:AB13"/>
    <mergeCell ref="V11:AB11"/>
    <mergeCell ref="V14:AB14"/>
    <mergeCell ref="V12:AB12"/>
    <mergeCell ref="L20:L21"/>
    <mergeCell ref="T20:T21"/>
    <mergeCell ref="R20:R21"/>
    <mergeCell ref="V29:AB29"/>
    <mergeCell ref="V19:AB19"/>
    <mergeCell ref="V30:AB30"/>
    <mergeCell ref="V26:AB26"/>
    <mergeCell ref="V24:AB24"/>
    <mergeCell ref="V25:AB25"/>
    <mergeCell ref="T39:T41"/>
    <mergeCell ref="R39:R41"/>
    <mergeCell ref="T42:T43"/>
    <mergeCell ref="R42:R43"/>
    <mergeCell ref="L39:L41"/>
    <mergeCell ref="T9:T11"/>
    <mergeCell ref="L9:L11"/>
    <mergeCell ref="V42:AB42"/>
    <mergeCell ref="V39:AB39"/>
    <mergeCell ref="V41:AB41"/>
    <mergeCell ref="V38:AB38"/>
    <mergeCell ref="B2:V2"/>
    <mergeCell ref="V3:AB3"/>
    <mergeCell ref="V4:AB4"/>
    <mergeCell ref="V7:AB7"/>
    <mergeCell ref="V5:AB5"/>
    <mergeCell ref="V6:AB6"/>
    <mergeCell ref="L7:L8"/>
    <mergeCell ref="V8:AB8"/>
    <mergeCell ref="T4:T5"/>
    <mergeCell ref="R4:R5"/>
    <mergeCell ref="L4:L5"/>
    <mergeCell ref="R7:R8"/>
    <mergeCell ref="T7:T8"/>
    <mergeCell ref="V17:AB17"/>
    <mergeCell ref="V18:AB18"/>
    <mergeCell ref="V16:AB16"/>
    <mergeCell ref="L12:L13"/>
    <mergeCell ref="R9:R11"/>
    <mergeCell ref="V9:AB9"/>
    <mergeCell ref="V10:AB10"/>
    <mergeCell ref="V56:AB56"/>
    <mergeCell ref="V47:AB47"/>
    <mergeCell ref="V49:AB49"/>
    <mergeCell ref="V53:AB53"/>
    <mergeCell ref="V58:AB58"/>
    <mergeCell ref="V55:AB55"/>
    <mergeCell ref="V52:AB52"/>
    <mergeCell ref="V48:AB48"/>
    <mergeCell ref="V43:AB43"/>
    <mergeCell ref="V45:AB45"/>
    <mergeCell ref="V36:AB36"/>
    <mergeCell ref="V32:AB32"/>
    <mergeCell ref="V34:AB34"/>
    <mergeCell ref="V22:AB22"/>
    <mergeCell ref="V27:AB27"/>
    <mergeCell ref="V33:AB33"/>
    <mergeCell ref="E66:F66"/>
    <mergeCell ref="E64:F64"/>
    <mergeCell ref="E65:F65"/>
    <mergeCell ref="L47:L49"/>
    <mergeCell ref="L44:L45"/>
    <mergeCell ref="H50:H51"/>
    <mergeCell ref="F50:F51"/>
    <mergeCell ref="L50:L52"/>
    <mergeCell ref="L42:L43"/>
    <mergeCell ref="V61:AB61"/>
    <mergeCell ref="V60:AB60"/>
    <mergeCell ref="V57:AB57"/>
    <mergeCell ref="V37:AB37"/>
    <mergeCell ref="V40:AB40"/>
    <mergeCell ref="V54:AB54"/>
    <mergeCell ref="V50:AB50"/>
    <mergeCell ref="V51:AB51"/>
    <mergeCell ref="V59:AB59"/>
    <mergeCell ref="V23:AB23"/>
    <mergeCell ref="V28:AB28"/>
    <mergeCell ref="V31:AB31"/>
    <mergeCell ref="V35:AB35"/>
    <mergeCell ref="V21:AB21"/>
    <mergeCell ref="V20:AB20"/>
    <mergeCell ref="F14:F15"/>
    <mergeCell ref="I14:I15"/>
    <mergeCell ref="H14:H15"/>
    <mergeCell ref="R14:R16"/>
    <mergeCell ref="T14:T16"/>
    <mergeCell ref="L14:L16"/>
    <mergeCell ref="R17:R19"/>
    <mergeCell ref="L17:L19"/>
    <mergeCell ref="T17:T19"/>
  </mergeCells>
  <conditionalFormatting sqref="I68:I75">
    <cfRule type="cellIs" dxfId="1263" priority="1256" stopIfTrue="1" operator="lessThan">
      <formula>0%</formula>
    </cfRule>
    <cfRule type="cellIs" dxfId="1262" priority="1255" stopIfTrue="1" operator="greaterThan">
      <formula>1.5%</formula>
    </cfRule>
  </conditionalFormatting>
  <conditionalFormatting sqref="I76:I77">
    <cfRule type="cellIs" dxfId="1261" priority="1253" stopIfTrue="1" operator="greaterThan">
      <formula>1.1</formula>
    </cfRule>
    <cfRule type="cellIs" dxfId="1260" priority="1252" stopIfTrue="1" operator="greaterThan">
      <formula>0.011</formula>
    </cfRule>
  </conditionalFormatting>
  <conditionalFormatting sqref="J3">
    <cfRule type="cellIs" dxfId="1259" priority="2354" stopIfTrue="1" operator="lessThan">
      <formula>438</formula>
    </cfRule>
    <cfRule type="cellIs" dxfId="1258" priority="2352" stopIfTrue="1" operator="lessThan">
      <formula>456.25</formula>
    </cfRule>
  </conditionalFormatting>
  <conditionalFormatting sqref="J4:J60">
    <cfRule type="cellIs" dxfId="1257" priority="43" stopIfTrue="1" operator="lessThan">
      <formula>350</formula>
    </cfRule>
  </conditionalFormatting>
  <conditionalFormatting sqref="J61:J63">
    <cfRule type="cellIs" dxfId="1256" priority="27" stopIfTrue="1" operator="lessThan">
      <formula>462</formula>
    </cfRule>
  </conditionalFormatting>
  <conditionalFormatting sqref="J62:J63 B2 J78:J65536">
    <cfRule type="cellIs" dxfId="1255" priority="3111" stopIfTrue="1" operator="lessThan">
      <formula>438</formula>
    </cfRule>
  </conditionalFormatting>
  <conditionalFormatting sqref="J68:K77">
    <cfRule type="cellIs" dxfId="1254" priority="1251" stopIfTrue="1" operator="lessThan">
      <formula>73%</formula>
    </cfRule>
  </conditionalFormatting>
  <conditionalFormatting sqref="K4:K52">
    <cfRule type="cellIs" dxfId="1253" priority="42" stopIfTrue="1" operator="lessThan">
      <formula>540</formula>
    </cfRule>
  </conditionalFormatting>
  <conditionalFormatting sqref="K53:L59">
    <cfRule type="cellIs" dxfId="1252" priority="1083" stopIfTrue="1" operator="lessThan">
      <formula>540</formula>
    </cfRule>
  </conditionalFormatting>
  <conditionalFormatting sqref="L4">
    <cfRule type="cellIs" dxfId="1251" priority="40" stopIfTrue="1" operator="lessThan">
      <formula>540</formula>
    </cfRule>
  </conditionalFormatting>
  <conditionalFormatting sqref="L44 L46:L47 L50">
    <cfRule type="cellIs" dxfId="1250" priority="48" stopIfTrue="1" operator="lessThan">
      <formula>540</formula>
    </cfRule>
  </conditionalFormatting>
  <conditionalFormatting sqref="Q4:Q14 Q16:Q50">
    <cfRule type="cellIs" dxfId="1249" priority="41" stopIfTrue="1" operator="greaterThan">
      <formula>1.8</formula>
    </cfRule>
  </conditionalFormatting>
  <conditionalFormatting sqref="Q52:Q57">
    <cfRule type="cellIs" dxfId="1248" priority="218" stopIfTrue="1" operator="greaterThan">
      <formula>1.8</formula>
    </cfRule>
  </conditionalFormatting>
  <conditionalFormatting sqref="Q58:Q60">
    <cfRule type="cellIs" dxfId="1247" priority="3057" stopIfTrue="1" operator="greaterThan">
      <formula>1.8</formula>
    </cfRule>
  </conditionalFormatting>
  <conditionalFormatting sqref="Q60">
    <cfRule type="cellIs" dxfId="1246" priority="2831" stopIfTrue="1" operator="greaterThan">
      <formula>0.018</formula>
    </cfRule>
  </conditionalFormatting>
  <conditionalFormatting sqref="Q61:Q64">
    <cfRule type="cellIs" dxfId="1245" priority="25" stopIfTrue="1" operator="greaterThan">
      <formula>1.1</formula>
    </cfRule>
  </conditionalFormatting>
  <conditionalFormatting sqref="Q64">
    <cfRule type="cellIs" dxfId="1244" priority="3108" stopIfTrue="1" operator="lessThan">
      <formula>0%</formula>
    </cfRule>
    <cfRule type="cellIs" dxfId="1243" priority="3107" stopIfTrue="1" operator="greaterThan">
      <formula>1.5%</formula>
    </cfRule>
  </conditionalFormatting>
  <conditionalFormatting sqref="Q66">
    <cfRule type="cellIs" dxfId="1242" priority="2708" stopIfTrue="1" operator="greaterThan">
      <formula>1.1</formula>
    </cfRule>
    <cfRule type="cellIs" dxfId="1241" priority="2707" stopIfTrue="1" operator="greaterThan">
      <formula>0.011</formula>
    </cfRule>
  </conditionalFormatting>
  <conditionalFormatting sqref="R4">
    <cfRule type="cellIs" dxfId="1240" priority="39" stopIfTrue="1" operator="lessThan">
      <formula>0.94</formula>
    </cfRule>
    <cfRule type="cellIs" dxfId="1239" priority="38" stopIfTrue="1" operator="lessThan">
      <formula>0.95</formula>
    </cfRule>
  </conditionalFormatting>
  <conditionalFormatting sqref="R6:R7 R9 R12 R14 R17">
    <cfRule type="cellIs" dxfId="1238" priority="31" stopIfTrue="1" operator="lessThan">
      <formula>0.94</formula>
    </cfRule>
    <cfRule type="cellIs" dxfId="1237" priority="30" stopIfTrue="1" operator="lessThan">
      <formula>0.95</formula>
    </cfRule>
  </conditionalFormatting>
  <conditionalFormatting sqref="R20 R22:R23">
    <cfRule type="cellIs" dxfId="1236" priority="17" stopIfTrue="1" operator="lessThan">
      <formula>0.95</formula>
    </cfRule>
    <cfRule type="cellIs" dxfId="1235" priority="18" stopIfTrue="1" operator="lessThan">
      <formula>0.94</formula>
    </cfRule>
  </conditionalFormatting>
  <conditionalFormatting sqref="R25:R28">
    <cfRule type="cellIs" dxfId="1234" priority="15" stopIfTrue="1" operator="lessThan">
      <formula>0.94</formula>
    </cfRule>
    <cfRule type="cellIs" dxfId="1233" priority="14" stopIfTrue="1" operator="lessThan">
      <formula>0.95</formula>
    </cfRule>
  </conditionalFormatting>
  <conditionalFormatting sqref="R31">
    <cfRule type="cellIs" dxfId="1232" priority="11" stopIfTrue="1" operator="lessThan">
      <formula>0.94</formula>
    </cfRule>
    <cfRule type="cellIs" dxfId="1231" priority="10" stopIfTrue="1" operator="lessThan">
      <formula>0.95</formula>
    </cfRule>
  </conditionalFormatting>
  <conditionalFormatting sqref="R33:R34">
    <cfRule type="cellIs" dxfId="1230" priority="7" stopIfTrue="1" operator="lessThan">
      <formula>0.95</formula>
    </cfRule>
    <cfRule type="cellIs" dxfId="1229" priority="8" stopIfTrue="1" operator="lessThan">
      <formula>0.94</formula>
    </cfRule>
  </conditionalFormatting>
  <conditionalFormatting sqref="R36:R37 R39">
    <cfRule type="cellIs" dxfId="1228" priority="4" stopIfTrue="1" operator="lessThan">
      <formula>0.95</formula>
    </cfRule>
    <cfRule type="cellIs" dxfId="1227" priority="5" stopIfTrue="1" operator="lessThan">
      <formula>0.94</formula>
    </cfRule>
  </conditionalFormatting>
  <conditionalFormatting sqref="R42">
    <cfRule type="cellIs" dxfId="1226" priority="2" stopIfTrue="1" operator="lessThan">
      <formula>0.94</formula>
    </cfRule>
    <cfRule type="cellIs" dxfId="1225" priority="1" stopIfTrue="1" operator="lessThan">
      <formula>0.95</formula>
    </cfRule>
  </conditionalFormatting>
  <conditionalFormatting sqref="R44 R46:R47 R50">
    <cfRule type="cellIs" dxfId="1224" priority="44" stopIfTrue="1" operator="lessThan">
      <formula>0.95</formula>
    </cfRule>
    <cfRule type="cellIs" dxfId="1223" priority="45" stopIfTrue="1" operator="lessThan">
      <formula>0.94</formula>
    </cfRule>
  </conditionalFormatting>
  <conditionalFormatting sqref="R53:R59">
    <cfRule type="cellIs" dxfId="1222" priority="1082" stopIfTrue="1" operator="lessThan">
      <formula>0.67</formula>
    </cfRule>
  </conditionalFormatting>
  <conditionalFormatting sqref="R60">
    <cfRule type="cellIs" dxfId="1221" priority="35" stopIfTrue="1" operator="lessThan">
      <formula>0.56</formula>
    </cfRule>
  </conditionalFormatting>
  <conditionalFormatting sqref="R61:R63">
    <cfRule type="cellIs" dxfId="1220" priority="23" stopIfTrue="1" operator="lessThan">
      <formula>0.6</formula>
    </cfRule>
  </conditionalFormatting>
  <conditionalFormatting sqref="R66:S66">
    <cfRule type="cellIs" dxfId="1219" priority="2828" stopIfTrue="1" operator="lessThan">
      <formula>0.74</formula>
    </cfRule>
  </conditionalFormatting>
  <conditionalFormatting sqref="S3">
    <cfRule type="cellIs" dxfId="1218" priority="2355" stopIfTrue="1" operator="lessThan">
      <formula>0.65</formula>
    </cfRule>
  </conditionalFormatting>
  <conditionalFormatting sqref="S4:S63">
    <cfRule type="cellIs" dxfId="1217" priority="26" stopIfTrue="1" operator="lessThan">
      <formula>0.74</formula>
    </cfRule>
  </conditionalFormatting>
  <conditionalFormatting sqref="S78:S79">
    <cfRule type="cellIs" dxfId="1216" priority="3027" stopIfTrue="1" operator="lessThan">
      <formula>0.74</formula>
    </cfRule>
  </conditionalFormatting>
  <conditionalFormatting sqref="S80">
    <cfRule type="cellIs" dxfId="1215" priority="3026" stopIfTrue="1" operator="greaterThan">
      <formula>1.1</formula>
    </cfRule>
  </conditionalFormatting>
  <conditionalFormatting sqref="S64:U64">
    <cfRule type="cellIs" dxfId="1214" priority="3110" stopIfTrue="1" operator="lessThan">
      <formula>75%</formula>
    </cfRule>
  </conditionalFormatting>
  <conditionalFormatting sqref="T4:T6 T27 T44:T59">
    <cfRule type="cellIs" dxfId="1213" priority="22" operator="greaterThan">
      <formula>80</formula>
    </cfRule>
  </conditionalFormatting>
  <conditionalFormatting sqref="T7 T9 T12 T14 T17">
    <cfRule type="cellIs" dxfId="1212" priority="21" stopIfTrue="1" operator="lessThan">
      <formula>0.8</formula>
    </cfRule>
  </conditionalFormatting>
  <conditionalFormatting sqref="T20 T22:T23">
    <cfRule type="cellIs" dxfId="1211" priority="19" stopIfTrue="1" operator="lessThan">
      <formula>0.8</formula>
    </cfRule>
  </conditionalFormatting>
  <conditionalFormatting sqref="T25:T26">
    <cfRule type="cellIs" dxfId="1210" priority="16" stopIfTrue="1" operator="lessThan">
      <formula>0.8</formula>
    </cfRule>
  </conditionalFormatting>
  <conditionalFormatting sqref="T28">
    <cfRule type="cellIs" dxfId="1209" priority="13" stopIfTrue="1" operator="lessThan">
      <formula>0.8</formula>
    </cfRule>
  </conditionalFormatting>
  <conditionalFormatting sqref="T31">
    <cfRule type="cellIs" dxfId="1208" priority="12" stopIfTrue="1" operator="lessThan">
      <formula>0.8</formula>
    </cfRule>
  </conditionalFormatting>
  <conditionalFormatting sqref="T33:T34">
    <cfRule type="cellIs" dxfId="1207" priority="9" stopIfTrue="1" operator="lessThan">
      <formula>0.8</formula>
    </cfRule>
  </conditionalFormatting>
  <conditionalFormatting sqref="T36:T37 T39">
    <cfRule type="cellIs" dxfId="1206" priority="6" stopIfTrue="1" operator="lessThan">
      <formula>0.8</formula>
    </cfRule>
  </conditionalFormatting>
  <conditionalFormatting sqref="T42">
    <cfRule type="cellIs" dxfId="1205" priority="3" stopIfTrue="1" operator="lessThan">
      <formula>0.8</formula>
    </cfRule>
  </conditionalFormatting>
  <conditionalFormatting sqref="T60">
    <cfRule type="cellIs" dxfId="1204" priority="20" stopIfTrue="1" operator="lessThan">
      <formula>0.8</formula>
    </cfRule>
  </conditionalFormatting>
  <conditionalFormatting sqref="T65:U65">
    <cfRule type="cellIs" dxfId="1203" priority="3063" stopIfTrue="1" operator="lessThan">
      <formula>0.65</formula>
    </cfRule>
  </conditionalFormatting>
  <conditionalFormatting sqref="T66:U66">
    <cfRule type="cellIs" dxfId="1202" priority="2924" stopIfTrue="1" operator="lessThan">
      <formula>0.95</formula>
    </cfRule>
  </conditionalFormatting>
  <conditionalFormatting sqref="U4">
    <cfRule type="cellIs" dxfId="1201" priority="32" stopIfTrue="1" operator="greaterThan">
      <formula>1.8</formula>
    </cfRule>
  </conditionalFormatting>
  <printOptions horizontalCentered="1"/>
  <pageMargins left="0.10312499999999999" right="0.5" top="0.25" bottom="0.27" header="0.25" footer="0.27"/>
  <pageSetup scale="23" fitToHeight="0" orientation="landscape"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FC1AD-29A2-45F4-A884-A7B02A80F300}">
  <sheetPr codeName="Sheet22">
    <pageSetUpPr fitToPage="1"/>
  </sheetPr>
  <dimension ref="B2:X65350"/>
  <sheetViews>
    <sheetView showZeros="0" showWhiteSpace="0" zoomScale="55" zoomScaleNormal="55" zoomScaleSheetLayoutView="70" workbookViewId="0">
      <pane xSplit="3" ySplit="3" topLeftCell="D53" activePane="bottomRight" state="frozen"/>
      <selection pane="topRight" activeCell="D1" sqref="D1"/>
      <selection pane="bottomLeft" activeCell="A4" sqref="A4"/>
      <selection pane="bottomRight" activeCell="Q66" sqref="Q66"/>
    </sheetView>
  </sheetViews>
  <sheetFormatPr defaultColWidth="9.42578125" defaultRowHeight="12.75" outlineLevelCol="2" x14ac:dyDescent="0.2"/>
  <cols>
    <col min="1" max="1" width="3.42578125" customWidth="1"/>
    <col min="2" max="2" width="29.140625" style="1" customWidth="1"/>
    <col min="3" max="3" width="53.42578125" style="1" bestFit="1" customWidth="1"/>
    <col min="4" max="4" width="32.42578125" style="1" customWidth="1"/>
    <col min="5" max="5" width="25" style="1" customWidth="1"/>
    <col min="6" max="6" width="21.5703125" style="1" customWidth="1" outlineLevel="1"/>
    <col min="7" max="7" width="26.42578125" customWidth="1"/>
    <col min="8" max="8" width="20.42578125" customWidth="1" outlineLevel="1"/>
    <col min="9" max="9" width="17.5703125" style="1" customWidth="1" outlineLevel="1"/>
    <col min="10" max="10" width="22.42578125" customWidth="1"/>
    <col min="11" max="11" width="23.42578125" customWidth="1" outlineLevel="2"/>
    <col min="12" max="12" width="17.42578125" customWidth="1" outlineLevel="2"/>
    <col min="13" max="13" width="20.42578125" customWidth="1" outlineLevel="2"/>
    <col min="14" max="14" width="20" customWidth="1" outlineLevel="2"/>
    <col min="15" max="15" width="17.5703125" style="392" customWidth="1" outlineLevel="2"/>
    <col min="16" max="16" width="15" style="2" customWidth="1" outlineLevel="2"/>
    <col min="17" max="17" width="14.42578125" style="1" customWidth="1"/>
    <col min="18" max="18" width="24.42578125" bestFit="1" customWidth="1"/>
    <col min="19" max="19" width="19.42578125" customWidth="1"/>
    <col min="20" max="21" width="20.5703125" style="1" customWidth="1"/>
    <col min="22" max="22" width="213.5703125" style="941" customWidth="1"/>
    <col min="23" max="23" width="13.42578125" bestFit="1" customWidth="1"/>
    <col min="24" max="24" width="15.5703125" bestFit="1" customWidth="1"/>
  </cols>
  <sheetData>
    <row r="2" spans="2:24" ht="24" thickBot="1" x14ac:dyDescent="0.4">
      <c r="B2" s="935" t="s">
        <v>964</v>
      </c>
      <c r="C2" s="935"/>
      <c r="D2" s="935"/>
      <c r="E2" s="935"/>
      <c r="F2" s="935"/>
      <c r="G2" s="935"/>
      <c r="H2" s="935"/>
      <c r="I2" s="935"/>
      <c r="J2" s="935"/>
      <c r="K2" s="935"/>
      <c r="L2" s="935"/>
      <c r="M2" s="935"/>
      <c r="N2" s="935"/>
      <c r="O2" s="935"/>
      <c r="P2" s="935"/>
      <c r="Q2" s="935"/>
      <c r="R2" s="935"/>
      <c r="S2" s="935"/>
      <c r="T2" s="936"/>
      <c r="U2" s="936"/>
      <c r="V2" s="939"/>
    </row>
    <row r="3" spans="2:24" ht="81.75" customHeight="1" thickTop="1" thickBot="1" x14ac:dyDescent="0.25">
      <c r="B3" s="564" t="s">
        <v>0</v>
      </c>
      <c r="C3" s="565" t="s">
        <v>2</v>
      </c>
      <c r="D3" s="565" t="s">
        <v>12</v>
      </c>
      <c r="E3" s="565" t="s">
        <v>11</v>
      </c>
      <c r="F3" s="38" t="s">
        <v>15</v>
      </c>
      <c r="G3" s="565" t="s">
        <v>9</v>
      </c>
      <c r="H3" s="38" t="s">
        <v>17</v>
      </c>
      <c r="I3" s="38" t="s">
        <v>5</v>
      </c>
      <c r="J3" s="565" t="s">
        <v>958</v>
      </c>
      <c r="K3" s="38" t="s">
        <v>4</v>
      </c>
      <c r="L3" s="663" t="s">
        <v>843</v>
      </c>
      <c r="M3" s="664" t="s">
        <v>161</v>
      </c>
      <c r="N3" s="664" t="s">
        <v>10</v>
      </c>
      <c r="O3" s="38" t="s">
        <v>622</v>
      </c>
      <c r="P3" s="294" t="s">
        <v>863</v>
      </c>
      <c r="Q3" s="566" t="s">
        <v>957</v>
      </c>
      <c r="R3" s="584" t="s">
        <v>473</v>
      </c>
      <c r="S3" s="639" t="s">
        <v>860</v>
      </c>
      <c r="T3" s="584" t="s">
        <v>862</v>
      </c>
      <c r="U3" s="545" t="s">
        <v>1009</v>
      </c>
      <c r="V3" s="937" t="s">
        <v>1</v>
      </c>
      <c r="W3">
        <v>17000</v>
      </c>
      <c r="X3">
        <v>17000</v>
      </c>
    </row>
    <row r="4" spans="2:24" s="19" customFormat="1" ht="81.75" customHeight="1" thickTop="1" thickBot="1" x14ac:dyDescent="0.25">
      <c r="B4" s="168">
        <f>[1]March_2026!$B8</f>
        <v>46083</v>
      </c>
      <c r="C4" s="602" t="str">
        <f>[1]March_2026!$D8</f>
        <v>CARIB AMBER</v>
      </c>
      <c r="D4" s="27">
        <v>2800</v>
      </c>
      <c r="E4" s="28">
        <f>[2]Mar!$E8</f>
        <v>1.0527777777777778</v>
      </c>
      <c r="F4" s="29">
        <f>[1]March_2026!$J8</f>
        <v>88</v>
      </c>
      <c r="G4" s="30">
        <f>[1]March_2026!$G8</f>
        <v>1308</v>
      </c>
      <c r="H4" s="29">
        <f>[1]March_2026!$K8</f>
        <v>86.328000000000003</v>
      </c>
      <c r="I4" s="31">
        <f>[1]March_2026!$N8</f>
        <v>8</v>
      </c>
      <c r="J4" s="32">
        <f>[1]March_2026!$Q8</f>
        <v>56.869565217391305</v>
      </c>
      <c r="K4" s="32">
        <f>[1]March_2026!$F8</f>
        <v>297</v>
      </c>
      <c r="L4" s="938">
        <f>[1]March_2026!$E8</f>
        <v>1380</v>
      </c>
      <c r="M4" s="169">
        <f>[2]Mar!$G8</f>
        <v>0.3</v>
      </c>
      <c r="N4" s="32">
        <f>[1]March_2026!$M8</f>
        <v>154</v>
      </c>
      <c r="O4" s="406">
        <f>[2]Mar!$I8</f>
        <v>0</v>
      </c>
      <c r="P4" s="32">
        <f>[1]March_2026!$I8</f>
        <v>0</v>
      </c>
      <c r="Q4" s="837">
        <f>[1]March_2026!$P8</f>
        <v>1.8999999999999966</v>
      </c>
      <c r="R4" s="727">
        <f>($G4+G5)/(($L4/60)*X$3*(1/24))</f>
        <v>0.40431713554987214</v>
      </c>
      <c r="S4" s="586">
        <f t="shared" ref="S4:S25" si="0">($G4)*24/(($K4)/60)/$W$3</f>
        <v>0.37304812834224599</v>
      </c>
      <c r="T4" s="727">
        <f>(1478-((N4+N5)-[2]Mar!$AB$9-[2]Mar!$AB$8-[2]Mar!$Z$8-[2]Mar!$I$9-[2]Mar!$Z$9))/1478</f>
        <v>0.72327469553450607</v>
      </c>
      <c r="U4" s="903">
        <f>[1]March_2026!$S8</f>
        <v>1.4283536585365852E-2</v>
      </c>
      <c r="V4" s="926" t="s">
        <v>1050</v>
      </c>
    </row>
    <row r="5" spans="2:24" s="19" customFormat="1" ht="128.25" thickBot="1" x14ac:dyDescent="0.25">
      <c r="B5" s="168">
        <f>[1]March_2026!$B9</f>
        <v>46083</v>
      </c>
      <c r="C5" s="602" t="str">
        <f>[1]March_2026!$D9</f>
        <v>STAG</v>
      </c>
      <c r="D5" s="27">
        <v>4200</v>
      </c>
      <c r="E5" s="28">
        <f>[2]Mar!$E9</f>
        <v>1.2958333333333334</v>
      </c>
      <c r="F5" s="29">
        <f>[1]March_2026!$J9</f>
        <v>354.1</v>
      </c>
      <c r="G5" s="30">
        <f>[1]March_2026!$G9</f>
        <v>5279</v>
      </c>
      <c r="H5" s="29">
        <f>[1]March_2026!$K9</f>
        <v>348.41400000000004</v>
      </c>
      <c r="I5" s="31">
        <f>[1]March_2026!$N9</f>
        <v>1</v>
      </c>
      <c r="J5" s="32">
        <f>[1]March_2026!$Q9</f>
        <v>229.52173913043478</v>
      </c>
      <c r="K5" s="32">
        <f>[1]March_2026!$F9</f>
        <v>976</v>
      </c>
      <c r="L5" s="799"/>
      <c r="M5" s="169">
        <f>[2]Mar!$G9</f>
        <v>2.0319444444444446</v>
      </c>
      <c r="N5" s="32">
        <f>[1]March_2026!$M9</f>
        <v>327</v>
      </c>
      <c r="O5" s="406">
        <f>[2]Mar!$I9</f>
        <v>9</v>
      </c>
      <c r="P5" s="32">
        <f>[1]March_2026!$I9</f>
        <v>0</v>
      </c>
      <c r="Q5" s="837">
        <f>[1]March_2026!$P9</f>
        <v>1.6057610844394177</v>
      </c>
      <c r="R5" s="924"/>
      <c r="S5" s="586">
        <f t="shared" si="0"/>
        <v>0.45815814850530379</v>
      </c>
      <c r="T5" s="924"/>
      <c r="U5" s="903">
        <f>[1]March_2026!$S9</f>
        <v>4.0099105166051661E-2</v>
      </c>
      <c r="V5" s="926" t="s">
        <v>1051</v>
      </c>
    </row>
    <row r="6" spans="2:24" s="19" customFormat="1" ht="179.25" thickBot="1" x14ac:dyDescent="0.25">
      <c r="B6" s="168">
        <f>[1]March_2026!$B10</f>
        <v>46084</v>
      </c>
      <c r="C6" s="602" t="str">
        <f>[1]March_2026!$D10</f>
        <v>STAG</v>
      </c>
      <c r="D6" s="27">
        <v>9800</v>
      </c>
      <c r="E6" s="28">
        <f>[2]Mar!$E10</f>
        <v>1.0034722222222223</v>
      </c>
      <c r="F6" s="29">
        <f>[1]March_2026!$J10</f>
        <v>415</v>
      </c>
      <c r="G6" s="30">
        <f>[1]March_2026!$G10</f>
        <v>6137</v>
      </c>
      <c r="H6" s="29">
        <f>[1]March_2026!$K10</f>
        <v>409.03200000000004</v>
      </c>
      <c r="I6" s="31">
        <f>[1]March_2026!$N10</f>
        <v>14.5</v>
      </c>
      <c r="J6" s="32">
        <f>[1]March_2026!$Q10</f>
        <v>255.70833333333334</v>
      </c>
      <c r="K6" s="32">
        <f>[1]March_2026!$F10</f>
        <v>1338</v>
      </c>
      <c r="L6" s="464">
        <f>[1]March_2026!$E10</f>
        <v>1440</v>
      </c>
      <c r="M6" s="169">
        <f>[2]Mar!$G10</f>
        <v>2.026388888888889</v>
      </c>
      <c r="N6" s="32">
        <f>[1]March_2026!$M10</f>
        <v>513</v>
      </c>
      <c r="O6" s="406">
        <f>[2]Mar!$I10</f>
        <v>0</v>
      </c>
      <c r="P6" s="32">
        <f>[1]March_2026!$I10</f>
        <v>0</v>
      </c>
      <c r="Q6" s="837">
        <f>[1]March_2026!$P10</f>
        <v>1.4380722891566171</v>
      </c>
      <c r="R6" s="653">
        <f>($G6)/(($L6/60)*W$3*(1/24))</f>
        <v>0.36099999999999999</v>
      </c>
      <c r="S6" s="586">
        <f t="shared" si="0"/>
        <v>0.38852017937219735</v>
      </c>
      <c r="T6" s="653">
        <f>(1476-((N6)-[2]Mar!$Z$10-[2]Mar!$AB$10-[2]Mar!$J$10))/1476</f>
        <v>0.70596205962059622</v>
      </c>
      <c r="U6" s="903">
        <f>[1]March_2026!$S10</f>
        <v>3.2425381437417578E-2</v>
      </c>
      <c r="V6" s="926" t="s">
        <v>1052</v>
      </c>
    </row>
    <row r="7" spans="2:24" s="19" customFormat="1" ht="77.25" thickBot="1" x14ac:dyDescent="0.25">
      <c r="B7" s="168">
        <f>[1]March_2026!$B11</f>
        <v>46085</v>
      </c>
      <c r="C7" s="602" t="str">
        <f>[1]March_2026!$D11</f>
        <v>STAG</v>
      </c>
      <c r="D7" s="27"/>
      <c r="E7" s="28">
        <f>[2]Mar!$E11</f>
        <v>1.0138888888888888</v>
      </c>
      <c r="F7" s="29">
        <f>[1]March_2026!$J11</f>
        <v>176.3</v>
      </c>
      <c r="G7" s="30">
        <f>[1]March_2026!$G11</f>
        <v>2653</v>
      </c>
      <c r="H7" s="29">
        <f>[1]March_2026!$K11</f>
        <v>175.09800000000001</v>
      </c>
      <c r="I7" s="31">
        <f>[1]March_2026!$N11</f>
        <v>4</v>
      </c>
      <c r="J7" s="32">
        <f>[1]March_2026!$Q11</f>
        <v>110.54166666666667</v>
      </c>
      <c r="K7" s="32">
        <f>[1]March_2026!$F11</f>
        <v>509</v>
      </c>
      <c r="L7" s="654">
        <f>[1]March_2026!$E11</f>
        <v>1440</v>
      </c>
      <c r="M7" s="169">
        <f>[2]Mar!$G11</f>
        <v>0</v>
      </c>
      <c r="N7" s="32">
        <f>[1]March_2026!$M11</f>
        <v>187</v>
      </c>
      <c r="O7" s="406">
        <f>[2]Mar!$I11</f>
        <v>0</v>
      </c>
      <c r="P7" s="32">
        <f>[1]March_2026!$I11</f>
        <v>0</v>
      </c>
      <c r="Q7" s="837">
        <f>[1]March_2026!$P11</f>
        <v>0.68179239931934099</v>
      </c>
      <c r="R7" s="727">
        <f>($G7+G8)/(($L7/60)*W$3*(1/24))</f>
        <v>0.37376470588235294</v>
      </c>
      <c r="S7" s="586">
        <f t="shared" si="0"/>
        <v>0.44150236912053625</v>
      </c>
      <c r="T7" s="727">
        <f>(1481-((N7+N8)-[2]Mar!$AB$12-[2]Mar!$AB$11-[2]Mar!$AA$12-[2]Mar!$Z$11-[2]Mar!$Z$12-[2]Mar!$I$12-[2]Mar!$J$11-[2]Mar!$H$11))/1481</f>
        <v>0.72653612424037817</v>
      </c>
      <c r="U7" s="903">
        <f>[1]March_2026!$S11</f>
        <v>1.301991662806855E-2</v>
      </c>
      <c r="V7" s="926" t="s">
        <v>1053</v>
      </c>
    </row>
    <row r="8" spans="2:24" s="19" customFormat="1" ht="179.25" thickBot="1" x14ac:dyDescent="0.25">
      <c r="B8" s="168">
        <f>[1]March_2026!$B12</f>
        <v>46085</v>
      </c>
      <c r="C8" s="602" t="str">
        <f>[1]March_2026!$D12</f>
        <v>CARIB AMBER</v>
      </c>
      <c r="D8" s="27"/>
      <c r="E8" s="28">
        <f>[2]Mar!$E12</f>
        <v>1.4270833333333333</v>
      </c>
      <c r="F8" s="29">
        <f>[1]March_2026!$J12</f>
        <v>254.70000000000002</v>
      </c>
      <c r="G8" s="30">
        <f>[1]March_2026!$G12</f>
        <v>3701</v>
      </c>
      <c r="H8" s="29">
        <f>[1]March_2026!$K12</f>
        <v>249.39600000000002</v>
      </c>
      <c r="I8" s="31">
        <f>[1]March_2026!$N12</f>
        <v>0</v>
      </c>
      <c r="J8" s="32">
        <f>[1]March_2026!$Q12</f>
        <v>154.20833333333334</v>
      </c>
      <c r="K8" s="32">
        <f>[1]March_2026!$F12</f>
        <v>751</v>
      </c>
      <c r="L8" s="824"/>
      <c r="M8" s="169">
        <f>[2]Mar!$G12</f>
        <v>2.0284722222222222</v>
      </c>
      <c r="N8" s="32">
        <f>[1]March_2026!$M12</f>
        <v>332</v>
      </c>
      <c r="O8" s="406">
        <f>[2]Mar!$I12</f>
        <v>9</v>
      </c>
      <c r="P8" s="32">
        <f>[1]March_2026!$I12</f>
        <v>140</v>
      </c>
      <c r="Q8" s="837">
        <f>[1]March_2026!$P12</f>
        <v>2.0824499411071855</v>
      </c>
      <c r="R8" s="924"/>
      <c r="S8" s="586">
        <f t="shared" si="0"/>
        <v>0.4174387091720842</v>
      </c>
      <c r="T8" s="924"/>
      <c r="U8" s="903">
        <f>[1]March_2026!$S12</f>
        <v>9.0400385914134098E-3</v>
      </c>
      <c r="V8" s="926" t="s">
        <v>1054</v>
      </c>
    </row>
    <row r="9" spans="2:24" s="19" customFormat="1" ht="26.25" thickBot="1" x14ac:dyDescent="0.25">
      <c r="B9" s="168">
        <f>[1]March_2026!$B13</f>
        <v>46086</v>
      </c>
      <c r="C9" s="602" t="str">
        <f>[1]March_2026!$D13</f>
        <v>CARIB AMBER</v>
      </c>
      <c r="D9" s="27">
        <v>4200</v>
      </c>
      <c r="E9" s="28">
        <f>[2]Mar!$E13</f>
        <v>1.0034722222222223</v>
      </c>
      <c r="F9" s="29">
        <f>[1]March_2026!$J13</f>
        <v>32.1</v>
      </c>
      <c r="G9" s="30">
        <f>[1]March_2026!$G13</f>
        <v>481</v>
      </c>
      <c r="H9" s="29">
        <f>[1]March_2026!$K13</f>
        <v>31.746000000000002</v>
      </c>
      <c r="I9" s="31">
        <f>[1]March_2026!$N13</f>
        <v>4</v>
      </c>
      <c r="J9" s="32">
        <f>[1]March_2026!$Q13</f>
        <v>20.11149825783972</v>
      </c>
      <c r="K9" s="32">
        <f>[1]March_2026!$F13</f>
        <v>96</v>
      </c>
      <c r="L9" s="654">
        <f>[1]March_2026!$E13</f>
        <v>1435</v>
      </c>
      <c r="M9" s="169">
        <f>[2]Mar!$G13</f>
        <v>1.0986111111111112</v>
      </c>
      <c r="N9" s="32">
        <f>[1]March_2026!$M13</f>
        <v>19</v>
      </c>
      <c r="O9" s="406">
        <f>[2]Mar!$I13</f>
        <v>0</v>
      </c>
      <c r="P9" s="32">
        <f>[1]March_2026!$I13</f>
        <v>0</v>
      </c>
      <c r="Q9" s="837">
        <f>[1]March_2026!$P13</f>
        <v>1.1028037383177545</v>
      </c>
      <c r="R9" s="727">
        <f>($G9+G10)/(($L9/60)*W$3*(1/24))</f>
        <v>0.23428407460545192</v>
      </c>
      <c r="S9" s="913">
        <f t="shared" si="0"/>
        <v>0.42441176470588238</v>
      </c>
      <c r="T9" s="727">
        <f>(1440-((N9+N10)-[2]Mar!$AB$14-[2]Mar!$Z$14-[2]Mar!$J$14-[2]Mar!$I$14))/1440</f>
        <v>0.67569444444444449</v>
      </c>
      <c r="U9" s="903">
        <f>[1]March_2026!$S13</f>
        <v>1.3752446183953033E-2</v>
      </c>
      <c r="V9" s="926" t="s">
        <v>1055</v>
      </c>
    </row>
    <row r="10" spans="2:24" s="19" customFormat="1" ht="128.25" thickBot="1" x14ac:dyDescent="0.25">
      <c r="B10" s="168">
        <f>[1]March_2026!$B14</f>
        <v>46086</v>
      </c>
      <c r="C10" s="602" t="str">
        <f>[1]March_2026!$D14</f>
        <v>VITA MALT CLASSIC</v>
      </c>
      <c r="D10" s="27">
        <v>4900</v>
      </c>
      <c r="E10" s="28">
        <f>[2]Mar!$E14</f>
        <v>1.3013888888888889</v>
      </c>
      <c r="F10" s="29">
        <f>[1]March_2026!$J14</f>
        <v>249.1</v>
      </c>
      <c r="G10" s="30">
        <f>[1]March_2026!$G14</f>
        <v>3488</v>
      </c>
      <c r="H10" s="29">
        <f>[1]March_2026!$K14</f>
        <v>246.9504</v>
      </c>
      <c r="I10" s="31">
        <f>[1]March_2026!$N14</f>
        <v>13</v>
      </c>
      <c r="J10" s="32">
        <f>[1]March_2026!$Q14</f>
        <v>145.8397212543554</v>
      </c>
      <c r="K10" s="32">
        <f>[1]March_2026!$F14</f>
        <v>825</v>
      </c>
      <c r="L10" s="824"/>
      <c r="M10" s="169">
        <f>[2]Mar!$G14</f>
        <v>2</v>
      </c>
      <c r="N10" s="32">
        <f>[1]March_2026!$M14</f>
        <v>710</v>
      </c>
      <c r="O10" s="406">
        <f>[2]Mar!$I14</f>
        <v>81</v>
      </c>
      <c r="P10" s="32">
        <f>[1]March_2026!$I14</f>
        <v>0</v>
      </c>
      <c r="Q10" s="837">
        <f>[1]March_2026!$P14</f>
        <v>0.862946607788034</v>
      </c>
      <c r="R10" s="924"/>
      <c r="S10" s="586">
        <f t="shared" si="0"/>
        <v>0.35812620320855615</v>
      </c>
      <c r="T10" s="924"/>
      <c r="U10" s="903">
        <f>[1]March_2026!$S14</f>
        <v>3.1214123228048698E-2</v>
      </c>
      <c r="V10" s="926" t="s">
        <v>1056</v>
      </c>
    </row>
    <row r="11" spans="2:24" s="19" customFormat="1" ht="51.75" thickBot="1" x14ac:dyDescent="0.25">
      <c r="B11" s="168">
        <f>[1]March_2026!$B15</f>
        <v>46087</v>
      </c>
      <c r="C11" s="602" t="str">
        <f>[1]March_2026!$D15</f>
        <v>VITA MALT CLASSIC</v>
      </c>
      <c r="D11" s="27">
        <v>1015</v>
      </c>
      <c r="E11" s="28">
        <f>[2]Mar!$E15</f>
        <v>1</v>
      </c>
      <c r="F11" s="29">
        <f>[1]March_2026!$J15</f>
        <v>72.900000000000006</v>
      </c>
      <c r="G11" s="30">
        <f>[1]March_2026!$G15</f>
        <v>1015</v>
      </c>
      <c r="H11" s="29">
        <f>[1]March_2026!$K15</f>
        <v>71.861999999999995</v>
      </c>
      <c r="I11" s="31">
        <f>[1]March_2026!$N15</f>
        <v>3</v>
      </c>
      <c r="J11" s="32">
        <f>[1]March_2026!$Q15</f>
        <v>48.333333333333336</v>
      </c>
      <c r="K11" s="32">
        <f>[1]March_2026!$F15</f>
        <v>366</v>
      </c>
      <c r="L11" s="654">
        <f>[1]March_2026!$E15</f>
        <v>1260</v>
      </c>
      <c r="M11" s="169">
        <f>[2]Mar!$G15</f>
        <v>1.2875000000000001</v>
      </c>
      <c r="N11" s="32">
        <f>[1]March_2026!$M15</f>
        <v>194</v>
      </c>
      <c r="O11" s="406">
        <f>[2]Mar!$I15</f>
        <v>0</v>
      </c>
      <c r="P11" s="32">
        <f>[1]March_2026!$I15</f>
        <v>0</v>
      </c>
      <c r="Q11" s="837">
        <f>[1]March_2026!$P15</f>
        <v>1.4238683127572165</v>
      </c>
      <c r="R11" s="727">
        <f>($G11+G12+G13)/(($L11/60)*W$3*(1/24))</f>
        <v>0.3034621848739496</v>
      </c>
      <c r="S11" s="586">
        <f t="shared" si="0"/>
        <v>0.23490838958534235</v>
      </c>
      <c r="T11" s="727">
        <f>(1230-((N11+N12)-[2]Mar!$I$16-[2]Mar!$I$17-[2]Mar!$Z$17))/1230</f>
        <v>0.8878048780487805</v>
      </c>
      <c r="U11" s="903">
        <f>[1]March_2026!$S15</f>
        <v>2.9232529118136435E-2</v>
      </c>
      <c r="V11" s="926" t="s">
        <v>1057</v>
      </c>
    </row>
    <row r="12" spans="2:24" s="19" customFormat="1" ht="51.75" thickBot="1" x14ac:dyDescent="0.25">
      <c r="B12" s="168">
        <f>[1]March_2026!$B16</f>
        <v>46087</v>
      </c>
      <c r="C12" s="602" t="str">
        <f>[1]March_2026!$D16</f>
        <v>VITA MALT GINGER</v>
      </c>
      <c r="D12" s="27">
        <v>700</v>
      </c>
      <c r="E12" s="28">
        <f>[2]Mar!$E16</f>
        <v>1.2673611111111112</v>
      </c>
      <c r="F12" s="29">
        <f>[1]March_2026!$J16</f>
        <v>50</v>
      </c>
      <c r="G12" s="30">
        <f>[1]March_2026!$G16</f>
        <v>704</v>
      </c>
      <c r="H12" s="29">
        <f>[1]March_2026!$K16</f>
        <v>49.843200000000003</v>
      </c>
      <c r="I12" s="31">
        <f>[1]March_2026!$N16</f>
        <v>1</v>
      </c>
      <c r="J12" s="32">
        <f>[1]March_2026!$Q16</f>
        <v>33.523809523809526</v>
      </c>
      <c r="K12" s="32">
        <f>[1]March_2026!$F16</f>
        <v>163</v>
      </c>
      <c r="L12" s="824"/>
      <c r="M12" s="169">
        <f>[2]Mar!$G16</f>
        <v>1.4076388888888889</v>
      </c>
      <c r="N12" s="32">
        <f>[1]March_2026!$M16</f>
        <v>80</v>
      </c>
      <c r="O12" s="406">
        <f>[2]Mar!$I16</f>
        <v>9</v>
      </c>
      <c r="P12" s="32">
        <f>[1]March_2026!$I16</f>
        <v>0</v>
      </c>
      <c r="Q12" s="837">
        <f>[1]March_2026!$P16</f>
        <v>0.31359999999999388</v>
      </c>
      <c r="R12" s="858"/>
      <c r="S12" s="586">
        <f t="shared" si="0"/>
        <v>0.3658462648863226</v>
      </c>
      <c r="T12" s="858"/>
      <c r="U12" s="903">
        <f>[1]March_2026!$S16</f>
        <v>2.1649722735674674E-2</v>
      </c>
      <c r="V12" s="926" t="s">
        <v>1059</v>
      </c>
    </row>
    <row r="13" spans="2:24" s="19" customFormat="1" ht="77.25" thickBot="1" x14ac:dyDescent="0.25">
      <c r="B13" s="168">
        <f>[1]March_2026!$B17</f>
        <v>46087</v>
      </c>
      <c r="C13" s="602" t="str">
        <f>[1]March_2026!$D17</f>
        <v>GUINNESS</v>
      </c>
      <c r="D13" s="27">
        <v>2800</v>
      </c>
      <c r="E13" s="28">
        <f>[2]Mar!$E17</f>
        <v>1.4638888888888888</v>
      </c>
      <c r="F13" s="29">
        <f>[1]March_2026!$J17</f>
        <v>184.6</v>
      </c>
      <c r="G13" s="30">
        <f>[1]March_2026!$G17</f>
        <v>2795</v>
      </c>
      <c r="H13" s="29">
        <f>[1]March_2026!$K17</f>
        <v>184.47</v>
      </c>
      <c r="I13" s="31">
        <f>[1]March_2026!$N17</f>
        <v>2</v>
      </c>
      <c r="J13" s="32">
        <f>[1]March_2026!$Q17</f>
        <v>133.0952380952381</v>
      </c>
      <c r="K13" s="32">
        <f>[1]March_2026!$F17</f>
        <v>512</v>
      </c>
      <c r="L13" s="799"/>
      <c r="M13" s="169">
        <f>[2]Mar!$G17</f>
        <v>1.8541666666666667</v>
      </c>
      <c r="N13" s="32">
        <f>[1]March_2026!$M17</f>
        <v>229</v>
      </c>
      <c r="O13" s="406">
        <f>[2]Mar!$I17</f>
        <v>120</v>
      </c>
      <c r="P13" s="32">
        <f>[1]March_2026!$I17</f>
        <v>0</v>
      </c>
      <c r="Q13" s="837">
        <f>[1]March_2026!$P17</f>
        <v>7.0422535211265153E-2</v>
      </c>
      <c r="R13" s="924"/>
      <c r="S13" s="586">
        <f t="shared" si="0"/>
        <v>0.46240808823529411</v>
      </c>
      <c r="T13" s="924"/>
      <c r="U13" s="903">
        <f>[1]March_2026!$S17</f>
        <v>9.7118573797678256E-3</v>
      </c>
      <c r="V13" s="926" t="s">
        <v>1058</v>
      </c>
    </row>
    <row r="14" spans="2:24" s="19" customFormat="1" ht="102.75" thickBot="1" x14ac:dyDescent="0.25">
      <c r="B14" s="168">
        <f>[1]March_2026!$B18</f>
        <v>46089</v>
      </c>
      <c r="C14" s="602" t="str">
        <f>[1]March_2026!$D18</f>
        <v>CARIB AMBER</v>
      </c>
      <c r="D14" s="27">
        <v>8400</v>
      </c>
      <c r="E14" s="28">
        <f>[2]Mar!$E18</f>
        <v>0.44444444444444442</v>
      </c>
      <c r="F14" s="29">
        <f>[1]March_2026!$J18</f>
        <v>248.2</v>
      </c>
      <c r="G14" s="30">
        <f>[1]March_2026!$G18</f>
        <v>3630</v>
      </c>
      <c r="H14" s="29">
        <f>[1]March_2026!$K18</f>
        <v>239.58</v>
      </c>
      <c r="I14" s="31">
        <f>[1]March_2026!$N18</f>
        <v>8</v>
      </c>
      <c r="J14" s="32">
        <f>[1]March_2026!$Q18</f>
        <v>224.53608247422679</v>
      </c>
      <c r="K14" s="32">
        <f>[1]March_2026!$F18</f>
        <v>621</v>
      </c>
      <c r="L14" s="464">
        <f>[1]March_2026!$E18</f>
        <v>970</v>
      </c>
      <c r="M14" s="169">
        <f>[2]Mar!$G18</f>
        <v>1.0333333333333334</v>
      </c>
      <c r="N14" s="32">
        <f>[1]March_2026!$M18</f>
        <v>417</v>
      </c>
      <c r="O14" s="406">
        <f>[2]Mar!$I18</f>
        <v>0</v>
      </c>
      <c r="P14" s="32">
        <f>[1]March_2026!$I18</f>
        <v>0</v>
      </c>
      <c r="Q14" s="837">
        <f>[1]March_2026!$P18</f>
        <v>3.4730056406123997</v>
      </c>
      <c r="R14" s="653">
        <f>($G14+G15)/(($L14/60)*W$3*(1/24))</f>
        <v>0.79055912674348083</v>
      </c>
      <c r="S14" s="586">
        <f t="shared" si="0"/>
        <v>0.49514066496163683</v>
      </c>
      <c r="T14" s="653">
        <f>(1018-((N14)-[2]Mar!$AB$18-[2]Mar!$Z$18-[2]Mar!$J$18))/1018</f>
        <v>0.76620825147347738</v>
      </c>
      <c r="U14" s="903">
        <f>[1]March_2026!$S18</f>
        <v>4.6600172252661672E-2</v>
      </c>
      <c r="V14" s="926" t="s">
        <v>1060</v>
      </c>
    </row>
    <row r="15" spans="2:24" s="19" customFormat="1" ht="153.75" thickBot="1" x14ac:dyDescent="0.25">
      <c r="B15" s="168">
        <f>[1]March_2026!$B19</f>
        <v>46090</v>
      </c>
      <c r="C15" s="602" t="str">
        <f>[1]March_2026!$D19</f>
        <v>CARIB AMBER</v>
      </c>
      <c r="D15" s="27">
        <v>1400</v>
      </c>
      <c r="E15" s="28">
        <f>[2]Mar!$E19</f>
        <v>1.007638888888889</v>
      </c>
      <c r="F15" s="29">
        <f>[1]March_2026!$J19</f>
        <v>365.4</v>
      </c>
      <c r="G15" s="30">
        <f>[1]March_2026!$G19</f>
        <v>5423</v>
      </c>
      <c r="H15" s="29">
        <f>[1]March_2026!$K19</f>
        <v>357.91800000000001</v>
      </c>
      <c r="I15" s="31">
        <f>[1]March_2026!$N19</f>
        <v>5</v>
      </c>
      <c r="J15" s="32">
        <f>[1]March_2026!$Q19</f>
        <v>225.95833333333334</v>
      </c>
      <c r="K15" s="32">
        <f>[1]March_2026!$F19</f>
        <v>936</v>
      </c>
      <c r="L15" s="464">
        <f>[1]March_2026!$E19</f>
        <v>1440</v>
      </c>
      <c r="M15" s="169">
        <f>[2]Mar!$G19</f>
        <v>2.0381944444444446</v>
      </c>
      <c r="N15" s="32">
        <f>[1]March_2026!$M19</f>
        <v>682</v>
      </c>
      <c r="O15" s="406">
        <f>[2]Mar!$I19</f>
        <v>0</v>
      </c>
      <c r="P15" s="32">
        <f>[1]March_2026!$I19</f>
        <v>0</v>
      </c>
      <c r="Q15" s="837">
        <f>[1]March_2026!$P19</f>
        <v>2.0476190476190399</v>
      </c>
      <c r="R15" s="653">
        <f>($G15)/(($L15/60)*W$3*(1/24))</f>
        <v>0.31900000000000001</v>
      </c>
      <c r="S15" s="586">
        <f t="shared" si="0"/>
        <v>0.49076923076923079</v>
      </c>
      <c r="T15" s="653">
        <f>(1495-((N15)-[2]Mar!$Z$19-[2]Mar!$N$19-[2]Mar!$J$19))/1495</f>
        <v>0.87357859531772575</v>
      </c>
      <c r="U15" s="903">
        <f>[1]March_2026!$S19</f>
        <v>6.8556181629116517E-2</v>
      </c>
      <c r="V15" s="926" t="s">
        <v>1061</v>
      </c>
    </row>
    <row r="16" spans="2:24" s="19" customFormat="1" ht="128.25" thickBot="1" x14ac:dyDescent="0.25">
      <c r="B16" s="168">
        <f>[1]March_2026!$B20</f>
        <v>46091</v>
      </c>
      <c r="C16" s="602" t="str">
        <f>[1]March_2026!$D20</f>
        <v>CARIB AMBER</v>
      </c>
      <c r="D16" s="27"/>
      <c r="E16" s="28">
        <f>[2]Mar!$E20</f>
        <v>1.007638888888889</v>
      </c>
      <c r="F16" s="29">
        <f>[1]March_2026!$J20</f>
        <v>387.7</v>
      </c>
      <c r="G16" s="30">
        <f>[1]March_2026!$G20</f>
        <v>5844</v>
      </c>
      <c r="H16" s="29">
        <f>[1]March_2026!$K20</f>
        <v>385.70400000000001</v>
      </c>
      <c r="I16" s="31">
        <f>[1]March_2026!$N20</f>
        <v>21</v>
      </c>
      <c r="J16" s="32">
        <f>[1]March_2026!$Q20</f>
        <v>245.37438768369489</v>
      </c>
      <c r="K16" s="32">
        <f>[1]March_2026!$F20</f>
        <v>974</v>
      </c>
      <c r="L16" s="654">
        <f>[1]March_2026!$E20</f>
        <v>1429</v>
      </c>
      <c r="M16" s="169">
        <f>[2]Mar!$G20</f>
        <v>1.7604166666666667</v>
      </c>
      <c r="N16" s="32">
        <f>[1]March_2026!$M20</f>
        <v>235</v>
      </c>
      <c r="O16" s="406">
        <f>[2]Mar!$I20</f>
        <v>0</v>
      </c>
      <c r="P16" s="32">
        <f>[1]March_2026!$I20</f>
        <v>0</v>
      </c>
      <c r="Q16" s="837">
        <f>[1]March_2026!$P20</f>
        <v>0.51483105493938119</v>
      </c>
      <c r="R16" s="727">
        <f>($G16+G17)/(($L16/60)*W$3*(1/24))</f>
        <v>0.41232618449759195</v>
      </c>
      <c r="S16" s="586">
        <f t="shared" si="0"/>
        <v>0.50823529411764701</v>
      </c>
      <c r="T16" s="727">
        <f>(1485-((N16+N17)-[2]Mar!$Z$20-[2]Mar!$AB$20-[2]Mar!$AB$21-[2]Mar!$J$21-[2]Mar!$I$21-[2]Mar!$J$20))/1485</f>
        <v>0.80740740740740746</v>
      </c>
      <c r="U16" s="903">
        <f>[1]March_2026!$S20</f>
        <v>3.3044630981786595E-2</v>
      </c>
      <c r="V16" s="926" t="s">
        <v>1062</v>
      </c>
    </row>
    <row r="17" spans="2:22" s="19" customFormat="1" ht="77.25" thickBot="1" x14ac:dyDescent="0.25">
      <c r="B17" s="168">
        <f>[1]March_2026!$B21</f>
        <v>46091</v>
      </c>
      <c r="C17" s="602" t="str">
        <f>[1]March_2026!$D21</f>
        <v>CARIBE PERSSECO (LOCAL )</v>
      </c>
      <c r="D17" s="27">
        <v>2000</v>
      </c>
      <c r="E17" s="28">
        <f>[2]Mar!$E21</f>
        <v>1.8</v>
      </c>
      <c r="F17" s="29">
        <f>[1]March_2026!$J21</f>
        <v>79</v>
      </c>
      <c r="G17" s="30">
        <f>[1]March_2026!$G21</f>
        <v>1112</v>
      </c>
      <c r="H17" s="29">
        <f>[1]March_2026!$K21</f>
        <v>73.39200000000001</v>
      </c>
      <c r="I17" s="31">
        <f>[1]March_2026!$N21</f>
        <v>1</v>
      </c>
      <c r="J17" s="32">
        <f>[1]March_2026!$Q21</f>
        <v>46.689993002099371</v>
      </c>
      <c r="K17" s="32">
        <f>[1]March_2026!$F21</f>
        <v>248</v>
      </c>
      <c r="L17" s="799"/>
      <c r="M17" s="169">
        <f>[2]Mar!$G21</f>
        <v>2.03125</v>
      </c>
      <c r="N17" s="32">
        <f>[1]March_2026!$M21</f>
        <v>226</v>
      </c>
      <c r="O17" s="406">
        <f>[2]Mar!$I21</f>
        <v>80</v>
      </c>
      <c r="P17" s="32">
        <f>[1]March_2026!$I21</f>
        <v>0</v>
      </c>
      <c r="Q17" s="837">
        <f>[1]March_2026!$P21</f>
        <v>7.0987341772151771</v>
      </c>
      <c r="R17" s="858"/>
      <c r="S17" s="586">
        <f t="shared" si="0"/>
        <v>0.37981024667931684</v>
      </c>
      <c r="T17" s="924"/>
      <c r="U17" s="903">
        <f>[1]March_2026!$S21</f>
        <v>1.4531637717121586E-2</v>
      </c>
      <c r="V17" s="926" t="s">
        <v>1063</v>
      </c>
    </row>
    <row r="18" spans="2:22" s="19" customFormat="1" ht="51.75" thickBot="1" x14ac:dyDescent="0.25">
      <c r="B18" s="168">
        <f>[1]March_2026!$B22</f>
        <v>46092</v>
      </c>
      <c r="C18" s="602" t="str">
        <f>[1]March_2026!$D22</f>
        <v>CARIBE PERSSECO (LOCAL )</v>
      </c>
      <c r="D18" s="27"/>
      <c r="E18" s="28">
        <f>[2]Mar!$E22</f>
        <v>1.0104166666666667</v>
      </c>
      <c r="F18" s="29">
        <f>[1]March_2026!$J22</f>
        <v>76</v>
      </c>
      <c r="G18" s="30">
        <f>[1]March_2026!$G22</f>
        <v>1118</v>
      </c>
      <c r="H18" s="29">
        <f>[1]March_2026!$K22</f>
        <v>73.787999999999997</v>
      </c>
      <c r="I18" s="31">
        <f>[1]March_2026!$N22</f>
        <v>0</v>
      </c>
      <c r="J18" s="32">
        <f>[1]March_2026!$Q22</f>
        <v>46.583333333333336</v>
      </c>
      <c r="K18" s="32">
        <f>[1]March_2026!$F22</f>
        <v>261</v>
      </c>
      <c r="L18" s="654">
        <f>[1]March_2026!$E22</f>
        <v>1440</v>
      </c>
      <c r="M18" s="169">
        <f>[2]Mar!$G22</f>
        <v>0</v>
      </c>
      <c r="N18" s="32">
        <f>[1]March_2026!$M22</f>
        <v>74</v>
      </c>
      <c r="O18" s="406">
        <f>[2]Mar!$I22</f>
        <v>0</v>
      </c>
      <c r="P18" s="32">
        <f>[1]March_2026!$I22</f>
        <v>0</v>
      </c>
      <c r="Q18" s="837">
        <f>[1]March_2026!$P22</f>
        <v>2.9105263157894781</v>
      </c>
      <c r="R18" s="727">
        <f>($G18+G19+G20)/(($L18/60)*W$3*(1/24))</f>
        <v>0.37147058823529411</v>
      </c>
      <c r="S18" s="586">
        <f t="shared" si="0"/>
        <v>0.36283975659229212</v>
      </c>
      <c r="T18" s="727">
        <f>(1482-((N18+N19+N20)-[2]Mar!$I$24-[2]Mar!$H$24-[2]Mar!$I$23-[2]Mar!$Z$23-[2]Mar!$Z$24-[2]Mar!$AA$24-[2]Mar!$AB$23))/1482</f>
        <v>0.73954116059379216</v>
      </c>
      <c r="U18" s="903">
        <f>[1]March_2026!$S22</f>
        <v>2.4503138075313805E-2</v>
      </c>
      <c r="V18" s="926" t="s">
        <v>1064</v>
      </c>
    </row>
    <row r="19" spans="2:22" s="19" customFormat="1" ht="102.75" thickBot="1" x14ac:dyDescent="0.25">
      <c r="B19" s="168">
        <f>[1]March_2026!$B23</f>
        <v>46092</v>
      </c>
      <c r="C19" s="602" t="str">
        <f>[1]March_2026!$D23</f>
        <v>CARIBE ROSE (LOCAL)</v>
      </c>
      <c r="D19" s="27">
        <v>2000</v>
      </c>
      <c r="E19" s="28">
        <f>[2]Mar!$E23</f>
        <v>1.2124999999999999</v>
      </c>
      <c r="F19" s="29">
        <f>[1]March_2026!$J23</f>
        <v>150</v>
      </c>
      <c r="G19" s="30">
        <f>[1]March_2026!$G23</f>
        <v>2182</v>
      </c>
      <c r="H19" s="29">
        <f>[1]March_2026!$K23</f>
        <v>144.012</v>
      </c>
      <c r="I19" s="31">
        <f>[1]March_2026!$N23</f>
        <v>11</v>
      </c>
      <c r="J19" s="32">
        <f>[1]March_2026!$Q23</f>
        <v>90.916666666666671</v>
      </c>
      <c r="K19" s="32">
        <f>[1]March_2026!$F23</f>
        <v>462</v>
      </c>
      <c r="L19" s="824"/>
      <c r="M19" s="169">
        <f>[2]Mar!$G23</f>
        <v>0.61597222222222225</v>
      </c>
      <c r="N19" s="32">
        <f>[1]March_2026!$M23</f>
        <v>178</v>
      </c>
      <c r="O19" s="406">
        <f>[2]Mar!$I23</f>
        <v>28</v>
      </c>
      <c r="P19" s="32">
        <f>[1]March_2026!$I23</f>
        <v>0</v>
      </c>
      <c r="Q19" s="837">
        <f>[1]March_2026!$P23</f>
        <v>3.9919999999999995</v>
      </c>
      <c r="R19" s="858"/>
      <c r="S19" s="586">
        <f t="shared" si="0"/>
        <v>0.40006111535523303</v>
      </c>
      <c r="T19" s="858"/>
      <c r="U19" s="903">
        <f>[1]March_2026!$S23</f>
        <v>3.794546436285097E-2</v>
      </c>
      <c r="V19" s="926" t="s">
        <v>1065</v>
      </c>
    </row>
    <row r="20" spans="2:22" s="19" customFormat="1" ht="128.25" thickBot="1" x14ac:dyDescent="0.25">
      <c r="B20" s="168">
        <f>[1]March_2026!$B24</f>
        <v>46092</v>
      </c>
      <c r="C20" s="602" t="str">
        <f>[1]March_2026!$D24</f>
        <v>STAG</v>
      </c>
      <c r="D20" s="27">
        <v>8400</v>
      </c>
      <c r="E20" s="28">
        <f>[2]Mar!$E24</f>
        <v>1.6375</v>
      </c>
      <c r="F20" s="29">
        <f>[1]March_2026!$J24</f>
        <v>205.90000000000003</v>
      </c>
      <c r="G20" s="30">
        <f>[1]March_2026!$G24</f>
        <v>3015</v>
      </c>
      <c r="H20" s="29">
        <f>[1]March_2026!$K24</f>
        <v>202.60000000000002</v>
      </c>
      <c r="I20" s="31">
        <f>[1]March_2026!$N24</f>
        <v>0</v>
      </c>
      <c r="J20" s="32">
        <f>[1]March_2026!$Q24</f>
        <v>125.625</v>
      </c>
      <c r="K20" s="32">
        <f>[1]March_2026!$F24</f>
        <v>493</v>
      </c>
      <c r="L20" s="799"/>
      <c r="M20" s="169">
        <f>[2]Mar!$G24</f>
        <v>2.0291666666666668</v>
      </c>
      <c r="N20" s="32">
        <f>[1]March_2026!$M24</f>
        <v>272</v>
      </c>
      <c r="O20" s="406">
        <f>[2]Mar!$I24</f>
        <v>62</v>
      </c>
      <c r="P20" s="32">
        <f>[1]March_2026!$I24</f>
        <v>0</v>
      </c>
      <c r="Q20" s="837">
        <f>[1]March_2026!$P24</f>
        <v>1.6027197668771302</v>
      </c>
      <c r="R20" s="924"/>
      <c r="S20" s="586">
        <f t="shared" si="0"/>
        <v>0.51802887483593851</v>
      </c>
      <c r="T20" s="924"/>
      <c r="U20" s="903">
        <f>[1]March_2026!$S24</f>
        <v>1.4991999999999998E-2</v>
      </c>
      <c r="V20" s="926" t="s">
        <v>1066</v>
      </c>
    </row>
    <row r="21" spans="2:22" s="19" customFormat="1" ht="128.25" thickBot="1" x14ac:dyDescent="0.25">
      <c r="B21" s="168">
        <f>[1]March_2026!$B25</f>
        <v>46093</v>
      </c>
      <c r="C21" s="602" t="str">
        <f>[1]March_2026!$D25</f>
        <v>STAG</v>
      </c>
      <c r="D21" s="27"/>
      <c r="E21" s="28">
        <f>[2]Mar!$E25</f>
        <v>1.0083333333333333</v>
      </c>
      <c r="F21" s="29">
        <f>[1]March_2026!$J25</f>
        <v>351.1</v>
      </c>
      <c r="G21" s="30">
        <f>[1]March_2026!$G25</f>
        <v>5260</v>
      </c>
      <c r="H21" s="29">
        <f>[1]March_2026!$K25</f>
        <v>347.16</v>
      </c>
      <c r="I21" s="31">
        <f>[1]March_2026!$N25</f>
        <v>9</v>
      </c>
      <c r="J21" s="32">
        <f>[1]March_2026!$Q25</f>
        <v>221.00840336134453</v>
      </c>
      <c r="K21" s="32">
        <f>[1]March_2026!$F25</f>
        <v>811</v>
      </c>
      <c r="L21" s="654">
        <f>[1]March_2026!$E25</f>
        <v>1428</v>
      </c>
      <c r="M21" s="169">
        <f>[2]Mar!$G25</f>
        <v>1.6381944444444445</v>
      </c>
      <c r="N21" s="32">
        <f>[1]March_2026!$M25</f>
        <v>152</v>
      </c>
      <c r="O21" s="406">
        <f>[2]Mar!$I25</f>
        <v>0</v>
      </c>
      <c r="P21" s="32">
        <f>[1]March_2026!$I25</f>
        <v>0</v>
      </c>
      <c r="Q21" s="837">
        <f>[1]March_2026!$P25</f>
        <v>1.122187410994018</v>
      </c>
      <c r="R21" s="727">
        <f>($G21+G22)/(($L21/60)*W$3*(1/24))</f>
        <v>0.46315373208106775</v>
      </c>
      <c r="S21" s="586">
        <f t="shared" si="0"/>
        <v>0.54938710379342859</v>
      </c>
      <c r="T21" s="727">
        <f>(1480-((N21+N22)-[2]Mar!$AB$25-[2]Mar!$AA$25-[2]Mar!$Z$25-[2]Mar!$I$26))/1480</f>
        <v>0.79324324324324325</v>
      </c>
      <c r="U21" s="903">
        <f>[1]March_2026!$S25</f>
        <v>4.5389626415505847E-2</v>
      </c>
      <c r="V21" s="926" t="s">
        <v>1068</v>
      </c>
    </row>
    <row r="22" spans="2:22" s="19" customFormat="1" ht="77.25" thickBot="1" x14ac:dyDescent="0.25">
      <c r="B22" s="168">
        <f>[1]March_2026!$B26</f>
        <v>46093</v>
      </c>
      <c r="C22" s="602" t="str">
        <f>[1]March_2026!$D26</f>
        <v>STAR MALT</v>
      </c>
      <c r="D22" s="27">
        <v>5600</v>
      </c>
      <c r="E22" s="28">
        <f>[2]Mar!$E26</f>
        <v>1.6666666666666667</v>
      </c>
      <c r="F22" s="29">
        <f>[1]March_2026!$J26</f>
        <v>170.40000000000003</v>
      </c>
      <c r="G22" s="30">
        <f>[1]March_2026!$G26</f>
        <v>2548</v>
      </c>
      <c r="H22" s="29">
        <f>[1]March_2026!$K26</f>
        <v>168.16800000000001</v>
      </c>
      <c r="I22" s="31">
        <f>[1]March_2026!$N26</f>
        <v>3</v>
      </c>
      <c r="J22" s="32">
        <f>[1]March_2026!$Q26</f>
        <v>107.05882352941177</v>
      </c>
      <c r="K22" s="32">
        <f>[1]March_2026!$F26</f>
        <v>480</v>
      </c>
      <c r="L22" s="799"/>
      <c r="M22" s="169">
        <f>[2]Mar!$G26</f>
        <v>2.0277777777777777</v>
      </c>
      <c r="N22" s="32">
        <f>[1]March_2026!$M26</f>
        <v>218</v>
      </c>
      <c r="O22" s="406">
        <f>[2]Mar!$I26</f>
        <v>32</v>
      </c>
      <c r="P22" s="32">
        <f>[1]March_2026!$I26</f>
        <v>0</v>
      </c>
      <c r="Q22" s="837">
        <f>[1]March_2026!$P26</f>
        <v>1.3098591549295935</v>
      </c>
      <c r="R22" s="858"/>
      <c r="S22" s="586">
        <f t="shared" si="0"/>
        <v>0.4496470588235294</v>
      </c>
      <c r="T22" s="858"/>
      <c r="U22" s="903">
        <f>[1]March_2026!$S26</f>
        <v>1.2930082796688133E-2</v>
      </c>
      <c r="V22" s="926" t="s">
        <v>1067</v>
      </c>
    </row>
    <row r="23" spans="2:22" s="19" customFormat="1" ht="102.75" thickBot="1" x14ac:dyDescent="0.25">
      <c r="B23" s="168">
        <f>[1]March_2026!$B27</f>
        <v>46094</v>
      </c>
      <c r="C23" s="602" t="str">
        <f>[1]March_2026!$D27</f>
        <v>STAR MALT</v>
      </c>
      <c r="D23" s="27"/>
      <c r="E23" s="28">
        <f>[2]Mar!$E27</f>
        <v>1.0069444444444444</v>
      </c>
      <c r="F23" s="29">
        <f>[1]March_2026!$J27</f>
        <v>219.8</v>
      </c>
      <c r="G23" s="30">
        <f>[1]March_2026!$G27</f>
        <v>3232</v>
      </c>
      <c r="H23" s="29">
        <f>[1]March_2026!$K27</f>
        <v>213.31200000000001</v>
      </c>
      <c r="I23" s="31">
        <f>[1]March_2026!$N27</f>
        <v>7</v>
      </c>
      <c r="J23" s="32">
        <f>[1]March_2026!$Q27</f>
        <v>155.136</v>
      </c>
      <c r="K23" s="32">
        <f>[1]March_2026!$F27</f>
        <v>665</v>
      </c>
      <c r="L23" s="654">
        <f>[1]March_2026!$E27</f>
        <v>1250</v>
      </c>
      <c r="M23" s="169">
        <f>[2]Mar!$G27</f>
        <v>0.52013888888888893</v>
      </c>
      <c r="N23" s="32">
        <f>[1]March_2026!$M27</f>
        <v>244</v>
      </c>
      <c r="O23" s="406">
        <f>[2]Mar!$I27</f>
        <v>0</v>
      </c>
      <c r="P23" s="32">
        <f>[1]March_2026!$I27</f>
        <v>0</v>
      </c>
      <c r="Q23" s="837">
        <f>[1]March_2026!$P27</f>
        <v>2.9517743403093717</v>
      </c>
      <c r="R23" s="727">
        <f>($G23+G24)/(($L23/60)*W$3*(1/24))</f>
        <v>0.31808752941176477</v>
      </c>
      <c r="S23" s="586">
        <f t="shared" si="0"/>
        <v>0.41168332596196366</v>
      </c>
      <c r="T23" s="727">
        <f>(1242-((N23+N24)-[2]Mar!$Z$27-[2]Mar!$AB$27-[2]Mar!$Z$28-[2]Mar!$I$28))/1242</f>
        <v>0.7342995169082126</v>
      </c>
      <c r="U23" s="903">
        <f>[1]March_2026!$S27</f>
        <v>1.1791107382550335E-2</v>
      </c>
      <c r="V23" s="926" t="s">
        <v>1070</v>
      </c>
    </row>
    <row r="24" spans="2:22" s="19" customFormat="1" ht="77.25" thickBot="1" x14ac:dyDescent="0.25">
      <c r="B24" s="168">
        <f>[1]March_2026!$B28</f>
        <v>46094</v>
      </c>
      <c r="C24" s="602" t="str">
        <f>[1]March_2026!$D28</f>
        <v>GUINNESS</v>
      </c>
      <c r="D24" s="27">
        <v>5600</v>
      </c>
      <c r="E24" s="28">
        <f>[2]Mar!$E28</f>
        <v>1.6527777777777777</v>
      </c>
      <c r="F24" s="29">
        <f>[1]March_2026!$J28</f>
        <v>96.5</v>
      </c>
      <c r="G24" s="30">
        <f>[1]March_2026!$G28</f>
        <v>1462</v>
      </c>
      <c r="H24" s="29">
        <f>[1]March_2026!$K28</f>
        <v>96.492000000000004</v>
      </c>
      <c r="I24" s="31">
        <f>[1]March_2026!$N28</f>
        <v>5</v>
      </c>
      <c r="J24" s="32">
        <f>[1]March_2026!$Q28</f>
        <v>70.176000000000002</v>
      </c>
      <c r="K24" s="32">
        <f>[1]March_2026!$F28</f>
        <v>250</v>
      </c>
      <c r="L24" s="799"/>
      <c r="M24" s="169">
        <f>[2]Mar!$G28</f>
        <v>1.8625</v>
      </c>
      <c r="N24" s="32">
        <f>[1]March_2026!$M28</f>
        <v>350</v>
      </c>
      <c r="O24" s="406">
        <f>[2]Mar!$I28</f>
        <v>43</v>
      </c>
      <c r="P24" s="32">
        <f>[1]March_2026!$I28</f>
        <v>0</v>
      </c>
      <c r="Q24" s="837">
        <f>[1]March_2026!$P28</f>
        <v>8.2901554404099138E-3</v>
      </c>
      <c r="R24" s="858"/>
      <c r="S24" s="586">
        <f t="shared" si="0"/>
        <v>0.49535999999999997</v>
      </c>
      <c r="T24" s="858"/>
      <c r="U24" s="903">
        <f>[1]March_2026!$S28</f>
        <v>1.9227086183310534E-2</v>
      </c>
      <c r="V24" s="926" t="s">
        <v>1069</v>
      </c>
    </row>
    <row r="25" spans="2:22" s="19" customFormat="1" ht="77.25" thickBot="1" x14ac:dyDescent="0.25">
      <c r="B25" s="168">
        <f>[1]March_2026!$B29</f>
        <v>46097</v>
      </c>
      <c r="C25" s="602" t="str">
        <f>[1]March_2026!$D29</f>
        <v>GUINNESS</v>
      </c>
      <c r="D25" s="27"/>
      <c r="E25" s="28">
        <f>[2]Mar!$E29</f>
        <v>1.0555555555555556</v>
      </c>
      <c r="F25" s="29">
        <f>[1]March_2026!$J29</f>
        <v>114.6</v>
      </c>
      <c r="G25" s="30">
        <f>[1]March_2026!$G29</f>
        <v>1735</v>
      </c>
      <c r="H25" s="29">
        <f>[1]March_2026!$K29</f>
        <v>114.51</v>
      </c>
      <c r="I25" s="31">
        <f>[1]March_2026!$N29</f>
        <v>6</v>
      </c>
      <c r="J25" s="32">
        <f>[1]March_2026!$Q29</f>
        <v>75.434782608695656</v>
      </c>
      <c r="K25" s="32">
        <f>[1]March_2026!$F29</f>
        <v>286</v>
      </c>
      <c r="L25" s="464">
        <f>[1]March_2026!$E29</f>
        <v>1380</v>
      </c>
      <c r="M25" s="169">
        <f>[2]Mar!$G29</f>
        <v>2.03125</v>
      </c>
      <c r="N25" s="32">
        <f>[1]March_2026!$M29</f>
        <v>1109</v>
      </c>
      <c r="O25" s="406">
        <f>[2]Mar!$I29</f>
        <v>0</v>
      </c>
      <c r="P25" s="32">
        <f>[1]March_2026!$I29</f>
        <v>0</v>
      </c>
      <c r="Q25" s="837">
        <f>[1]March_2026!$P29</f>
        <v>7.8534031413603142E-2</v>
      </c>
      <c r="R25" s="653">
        <f>($G25)/(($L25/60)*W$3*(1/24))</f>
        <v>0.10649616368286445</v>
      </c>
      <c r="S25" s="586">
        <f t="shared" si="0"/>
        <v>0.51386260798025507</v>
      </c>
      <c r="T25" s="653">
        <f>(1485-((N25)-[2]Mar!$Z$29-[2]Mar!$AB$29-[2]Mar!$K$29))/1485</f>
        <v>0.41885521885521887</v>
      </c>
      <c r="U25" s="903">
        <f>[1]March_2026!$S29</f>
        <v>2.2578313253012048E-2</v>
      </c>
      <c r="V25" s="926" t="s">
        <v>1071</v>
      </c>
    </row>
    <row r="26" spans="2:22" s="854" customFormat="1" ht="26.25" thickBot="1" x14ac:dyDescent="0.25">
      <c r="B26" s="844">
        <f>[1]March_2026!$B30</f>
        <v>46098</v>
      </c>
      <c r="C26" s="914" t="str">
        <f>[1]March_2026!$D30</f>
        <v>WASHER BREAKDOWN</v>
      </c>
      <c r="D26" s="845"/>
      <c r="E26" s="846">
        <f>[2]Mar!$E30</f>
        <v>0</v>
      </c>
      <c r="F26" s="847">
        <f>[1]March_2026!$J30</f>
        <v>0</v>
      </c>
      <c r="G26" s="848">
        <f>[1]March_2026!$G30</f>
        <v>0</v>
      </c>
      <c r="H26" s="847">
        <f>[1]March_2026!$K30</f>
        <v>0</v>
      </c>
      <c r="I26" s="849">
        <f>[1]March_2026!$N30</f>
        <v>0</v>
      </c>
      <c r="J26" s="850" t="e">
        <f>[1]March_2026!$Q30</f>
        <v>#DIV/0!</v>
      </c>
      <c r="K26" s="850">
        <f>[1]March_2026!$F30</f>
        <v>0</v>
      </c>
      <c r="L26" s="850">
        <f>[1]March_2026!$E30</f>
        <v>0</v>
      </c>
      <c r="M26" s="851"/>
      <c r="N26" s="850">
        <f>[1]March_2026!$M30</f>
        <v>1440</v>
      </c>
      <c r="O26" s="852"/>
      <c r="P26" s="32">
        <f>[1]March_2026!$I30</f>
        <v>0</v>
      </c>
      <c r="Q26" s="915"/>
      <c r="R26" s="917"/>
      <c r="S26" s="853"/>
      <c r="T26" s="918"/>
      <c r="U26" s="916"/>
      <c r="V26" s="932" t="s">
        <v>1072</v>
      </c>
    </row>
    <row r="27" spans="2:22" s="19" customFormat="1" ht="77.25" thickBot="1" x14ac:dyDescent="0.25">
      <c r="B27" s="168">
        <f>[1]March_2026!$B31</f>
        <v>46099</v>
      </c>
      <c r="C27" s="602" t="str">
        <f>[1]March_2026!$D31</f>
        <v>GUINNESS</v>
      </c>
      <c r="D27" s="27"/>
      <c r="E27" s="28">
        <f>[2]Mar!$E31</f>
        <v>1.3333333333333333</v>
      </c>
      <c r="F27" s="29">
        <f>[1]March_2026!$J31</f>
        <v>155.6</v>
      </c>
      <c r="G27" s="30">
        <f>[1]March_2026!$G31</f>
        <v>2353</v>
      </c>
      <c r="H27" s="29">
        <f>[1]March_2026!$K31</f>
        <v>155.298</v>
      </c>
      <c r="I27" s="31">
        <f>[1]March_2026!$N31</f>
        <v>4</v>
      </c>
      <c r="J27" s="32">
        <f>[1]March_2026!$Q31</f>
        <v>98.041666666666671</v>
      </c>
      <c r="K27" s="32">
        <f>[1]March_2026!$F31</f>
        <v>427</v>
      </c>
      <c r="L27" s="654">
        <f>[1]March_2026!$E31</f>
        <v>1440</v>
      </c>
      <c r="M27" s="169">
        <f>[2]Mar!$G31</f>
        <v>0.69861111111111107</v>
      </c>
      <c r="N27" s="32">
        <f>[1]March_2026!$M31</f>
        <v>605</v>
      </c>
      <c r="O27" s="406">
        <f>[2]Mar!$I31</f>
        <v>0</v>
      </c>
      <c r="P27" s="32">
        <f>[1]March_2026!$I31</f>
        <v>0</v>
      </c>
      <c r="Q27" s="837">
        <f>[1]March_2026!$P31</f>
        <v>0.19408740359896692</v>
      </c>
      <c r="R27" s="727">
        <f>($G27+G28)/(($L27/60)*W$3*(1/24))</f>
        <v>0.32494117647058823</v>
      </c>
      <c r="S27" s="586">
        <f t="shared" ref="S27:S36" si="1">($G27)*24/(($K27)/60)/$W$3</f>
        <v>0.46677503788400609</v>
      </c>
      <c r="T27" s="727">
        <f>(1486-((N27+N28)-[2]Mar!$I$32-[2]Mar!$K$31-[2]Mar!$N$31-[2]Mar!$AB$31))/1486</f>
        <v>0.57133243606998652</v>
      </c>
      <c r="U27" s="906">
        <f>[1]March_2026!$S31</f>
        <v>0</v>
      </c>
      <c r="V27" s="926" t="s">
        <v>1073</v>
      </c>
    </row>
    <row r="28" spans="2:22" s="19" customFormat="1" ht="77.25" thickBot="1" x14ac:dyDescent="0.25">
      <c r="B28" s="168">
        <f>[1]March_2026!$B32</f>
        <v>46099</v>
      </c>
      <c r="C28" s="602" t="str">
        <f>[1]March_2026!$D32</f>
        <v>CARIB AMBER</v>
      </c>
      <c r="D28" s="27">
        <v>4200</v>
      </c>
      <c r="E28" s="28">
        <f>[2]Mar!$E32</f>
        <v>1.6979166666666667</v>
      </c>
      <c r="F28" s="29">
        <f>[1]March_2026!$J32</f>
        <v>214</v>
      </c>
      <c r="G28" s="30">
        <f>[1]March_2026!$G32</f>
        <v>3171</v>
      </c>
      <c r="H28" s="29">
        <f>[1]March_2026!$K32</f>
        <v>209.286</v>
      </c>
      <c r="I28" s="31">
        <f>[1]March_2026!$N32</f>
        <v>6</v>
      </c>
      <c r="J28" s="32">
        <f>[1]March_2026!$Q32</f>
        <v>132.125</v>
      </c>
      <c r="K28" s="32">
        <f>[1]March_2026!$F32</f>
        <v>435</v>
      </c>
      <c r="L28" s="799"/>
      <c r="M28" s="169">
        <f>[2]Mar!$G32</f>
        <v>2.0319444444444446</v>
      </c>
      <c r="N28" s="32">
        <f>[1]March_2026!$M32</f>
        <v>133</v>
      </c>
      <c r="O28" s="406">
        <f>[2]Mar!$I32</f>
        <v>66</v>
      </c>
      <c r="P28" s="32">
        <f>[1]March_2026!$I32</f>
        <v>0</v>
      </c>
      <c r="Q28" s="837">
        <f>[1]March_2026!$P32</f>
        <v>2.2028037383177561</v>
      </c>
      <c r="R28" s="924"/>
      <c r="S28" s="586">
        <f t="shared" si="1"/>
        <v>0.61747667342799195</v>
      </c>
      <c r="T28" s="924"/>
      <c r="U28" s="903">
        <f>[1]March_2026!$S32</f>
        <v>1.5865221808330509E-2</v>
      </c>
      <c r="V28" s="926" t="s">
        <v>1074</v>
      </c>
    </row>
    <row r="29" spans="2:22" s="19" customFormat="1" ht="77.25" thickBot="1" x14ac:dyDescent="0.25">
      <c r="B29" s="168">
        <f>[1]March_2026!$B33</f>
        <v>46100</v>
      </c>
      <c r="C29" s="602" t="str">
        <f>[1]March_2026!$D33</f>
        <v>CARIB AMBER</v>
      </c>
      <c r="D29" s="27">
        <v>6808</v>
      </c>
      <c r="E29" s="28">
        <f>[2]Mar!$E33</f>
        <v>1.0069444444444444</v>
      </c>
      <c r="F29" s="369">
        <f>[1]March_2026!$J33</f>
        <v>738.2</v>
      </c>
      <c r="G29" s="30">
        <f>[1]March_2026!$G33</f>
        <v>7581</v>
      </c>
      <c r="H29" s="369">
        <f>[1]March_2026!$K33</f>
        <v>726.52800000000002</v>
      </c>
      <c r="I29" s="370">
        <f>[1]March_2026!$N33</f>
        <v>12</v>
      </c>
      <c r="J29" s="32">
        <f>[1]March_2026!$Q33</f>
        <v>318.08391608391611</v>
      </c>
      <c r="K29" s="32">
        <f>[1]March_2026!$F33</f>
        <v>938</v>
      </c>
      <c r="L29" s="654">
        <f>[1]March_2026!$E33</f>
        <v>1430</v>
      </c>
      <c r="M29" s="169">
        <f>[2]Mar!$G33</f>
        <v>0.72013888888888888</v>
      </c>
      <c r="N29" s="32">
        <f>[1]March_2026!$M33</f>
        <v>129</v>
      </c>
      <c r="O29" s="406">
        <f>[2]Mar!$I33</f>
        <v>0</v>
      </c>
      <c r="P29" s="32">
        <f>[1]March_2026!$I33</f>
        <v>0</v>
      </c>
      <c r="Q29" s="927">
        <f>[1]March_2026!$P33</f>
        <v>1.5811433215930677</v>
      </c>
      <c r="R29" s="727">
        <f>($G29+G30+G31)/(($L29/60)*W$3*(1/24))</f>
        <v>0.65205758946935433</v>
      </c>
      <c r="S29" s="586">
        <f t="shared" si="1"/>
        <v>0.68460052677787542</v>
      </c>
      <c r="T29" s="727">
        <f>(1509-((N29+N30+N31)-[2]Mar!$Z$35-[2]Mar!$AB$34-[2]Mar!$Z$34-[2]Mar!$Z$33-[2]Mar!$I$34-[2]Mar!$I$35-[2]Mar!$J$33))/1509</f>
        <v>0.89927104042412198</v>
      </c>
      <c r="U29" s="903">
        <f>[1]March_2026!$S33</f>
        <v>1.1107744994731297E-2</v>
      </c>
      <c r="V29" s="926" t="s">
        <v>1075</v>
      </c>
    </row>
    <row r="30" spans="2:22" s="19" customFormat="1" ht="51.75" thickBot="1" x14ac:dyDescent="0.25">
      <c r="B30" s="168">
        <f>[1]March_2026!$B34</f>
        <v>46100</v>
      </c>
      <c r="C30" s="602" t="str">
        <f>[1]March_2026!$D34</f>
        <v>CARIB FLINT (LOC)</v>
      </c>
      <c r="D30" s="27">
        <v>1400</v>
      </c>
      <c r="E30" s="28">
        <f>[2]Mar!$E34</f>
        <v>1.6916666666666667</v>
      </c>
      <c r="F30" s="76"/>
      <c r="G30" s="30">
        <f>[1]March_2026!$G34</f>
        <v>1529</v>
      </c>
      <c r="H30" s="76"/>
      <c r="I30" s="78"/>
      <c r="J30" s="32">
        <f>[1]March_2026!$Q34</f>
        <v>64.15384615384616</v>
      </c>
      <c r="K30" s="32">
        <f>[1]March_2026!$F34</f>
        <v>190</v>
      </c>
      <c r="L30" s="824"/>
      <c r="M30" s="169">
        <f>[2]Mar!$G34</f>
        <v>0.86805555555555558</v>
      </c>
      <c r="N30" s="32">
        <f>[1]March_2026!$M34</f>
        <v>58</v>
      </c>
      <c r="O30" s="406">
        <f>[2]Mar!$I34</f>
        <v>10</v>
      </c>
      <c r="P30" s="32">
        <f>[1]March_2026!$I34</f>
        <v>0</v>
      </c>
      <c r="Q30" s="931"/>
      <c r="R30" s="858"/>
      <c r="S30" s="586">
        <f t="shared" si="1"/>
        <v>0.68165944272445822</v>
      </c>
      <c r="T30" s="858"/>
      <c r="U30" s="919">
        <f>[1]March_2026!$S34</f>
        <v>2.1760928961748634E-2</v>
      </c>
      <c r="V30" s="926" t="s">
        <v>1076</v>
      </c>
    </row>
    <row r="31" spans="2:22" s="19" customFormat="1" ht="26.25" thickBot="1" x14ac:dyDescent="0.25">
      <c r="B31" s="168">
        <f>[1]March_2026!$B35</f>
        <v>46100</v>
      </c>
      <c r="C31" s="602" t="str">
        <f>[1]March_2026!$D35</f>
        <v>CARIB AMBER</v>
      </c>
      <c r="D31" s="27"/>
      <c r="E31" s="28">
        <f>[2]Mar!$E35</f>
        <v>1.8333333333333333</v>
      </c>
      <c r="F31" s="773"/>
      <c r="G31" s="30">
        <f>[1]March_2026!$G35</f>
        <v>1898</v>
      </c>
      <c r="H31" s="773"/>
      <c r="I31" s="774"/>
      <c r="J31" s="32">
        <f>[1]March_2026!$Q35</f>
        <v>79.63636363636364</v>
      </c>
      <c r="K31" s="32">
        <f>[1]March_2026!$F35</f>
        <v>221</v>
      </c>
      <c r="L31" s="799"/>
      <c r="M31" s="169">
        <f>[2]Mar!$G35</f>
        <v>2.0479166666666666</v>
      </c>
      <c r="N31" s="32">
        <f>[1]March_2026!$M35</f>
        <v>53</v>
      </c>
      <c r="O31" s="406">
        <f>[2]Mar!$I35</f>
        <v>4</v>
      </c>
      <c r="P31" s="32">
        <f>[1]March_2026!$I35</f>
        <v>0</v>
      </c>
      <c r="Q31" s="928"/>
      <c r="R31" s="924"/>
      <c r="S31" s="586">
        <f t="shared" si="1"/>
        <v>0.72747404844290664</v>
      </c>
      <c r="T31" s="924"/>
      <c r="U31" s="923"/>
      <c r="V31" s="926" t="s">
        <v>1077</v>
      </c>
    </row>
    <row r="32" spans="2:22" s="19" customFormat="1" ht="128.25" thickBot="1" x14ac:dyDescent="0.25">
      <c r="B32" s="168">
        <f>[1]March_2026!$B36</f>
        <v>46101</v>
      </c>
      <c r="C32" s="602" t="str">
        <f>[1]March_2026!$D36</f>
        <v>CARIB AMBER</v>
      </c>
      <c r="D32" s="27">
        <v>5421</v>
      </c>
      <c r="E32" s="28">
        <f>[2]Mar!$E36</f>
        <v>1.0069444444444444</v>
      </c>
      <c r="F32" s="29">
        <f>[1]March_2026!$J36</f>
        <v>337.7</v>
      </c>
      <c r="G32" s="30">
        <f>[1]March_2026!$G36</f>
        <v>5065</v>
      </c>
      <c r="H32" s="29">
        <f>[1]March_2026!$K36</f>
        <v>334.29</v>
      </c>
      <c r="I32" s="31">
        <f>[1]March_2026!$N36</f>
        <v>7</v>
      </c>
      <c r="J32" s="32">
        <f>[1]March_2026!$Q36</f>
        <v>243.12</v>
      </c>
      <c r="K32" s="32">
        <f>[1]March_2026!$F36</f>
        <v>696</v>
      </c>
      <c r="L32" s="654">
        <f>[1]March_2026!$E36</f>
        <v>1250</v>
      </c>
      <c r="M32" s="169">
        <f>[2]Mar!$G36</f>
        <v>0.59930555555555554</v>
      </c>
      <c r="N32" s="32">
        <f>[1]March_2026!$M36</f>
        <v>160</v>
      </c>
      <c r="O32" s="406">
        <f>[2]Mar!$I36</f>
        <v>0</v>
      </c>
      <c r="P32" s="32">
        <f>[1]March_2026!$I36</f>
        <v>0</v>
      </c>
      <c r="Q32" s="837">
        <f>[1]March_2026!$P36</f>
        <v>1.0097719869706745</v>
      </c>
      <c r="R32" s="995">
        <f>($G32+G33)/(($L32/60)*W$3*(1/24))</f>
        <v>0.50078117647058829</v>
      </c>
      <c r="S32" s="586">
        <f t="shared" si="1"/>
        <v>0.61643002028397575</v>
      </c>
      <c r="T32" s="995">
        <f>(1288-((N32+N33)-[2]Mar!$H$36-[2]Mar!$H$37-[2]Mar!$I$37-[2]Mar!$J$37-[2]Mar!$L$36-[2]Mar!$Z$36-[2]Mar!$Z$37-[2]Mar!$AB$36))/1288</f>
        <v>0.87732919254658381</v>
      </c>
      <c r="U32" s="919">
        <f>[1]March_2026!$S36</f>
        <v>4.6303005631982183E-2</v>
      </c>
      <c r="V32" s="926" t="s">
        <v>1079</v>
      </c>
    </row>
    <row r="33" spans="2:22" s="19" customFormat="1" ht="77.25" thickBot="1" x14ac:dyDescent="0.25">
      <c r="B33" s="168">
        <f>[1]March_2026!$B37</f>
        <v>46101</v>
      </c>
      <c r="C33" s="602" t="str">
        <f>[1]March_2026!$D37</f>
        <v>STAG</v>
      </c>
      <c r="D33" s="27">
        <v>2800</v>
      </c>
      <c r="E33" s="28">
        <f>[2]Mar!$E37</f>
        <v>1.5958333333333334</v>
      </c>
      <c r="F33" s="29">
        <f>[1]March_2026!$J37</f>
        <v>155.79999999999998</v>
      </c>
      <c r="G33" s="30">
        <f>[1]March_2026!$G37</f>
        <v>2325</v>
      </c>
      <c r="H33" s="29">
        <f>[1]March_2026!$K37</f>
        <v>153.45000000000002</v>
      </c>
      <c r="I33" s="31">
        <f>[1]March_2026!$N37</f>
        <v>11</v>
      </c>
      <c r="J33" s="32">
        <f>[1]March_2026!$Q37</f>
        <v>111.60000000000001</v>
      </c>
      <c r="K33" s="32">
        <f>[1]March_2026!$F37</f>
        <v>322</v>
      </c>
      <c r="L33" s="824"/>
      <c r="M33" s="169">
        <f>[2]Mar!$G37</f>
        <v>1.8944444444444444</v>
      </c>
      <c r="N33" s="32">
        <f>[1]March_2026!$M37</f>
        <v>163</v>
      </c>
      <c r="O33" s="406">
        <f>[2]Mar!$I37</f>
        <v>17</v>
      </c>
      <c r="P33" s="32">
        <f>[1]March_2026!$I37</f>
        <v>398</v>
      </c>
      <c r="Q33" s="837">
        <f>[1]March_2026!$P37</f>
        <v>1.5083440308087075</v>
      </c>
      <c r="R33" s="1020"/>
      <c r="S33" s="586">
        <f t="shared" si="1"/>
        <v>0.61161856046766527</v>
      </c>
      <c r="T33" s="1020"/>
      <c r="U33" s="920">
        <f>[1]March_2026!$S37</f>
        <v>2.6426269137792099E-2</v>
      </c>
      <c r="V33" s="926" t="s">
        <v>1078</v>
      </c>
    </row>
    <row r="34" spans="2:22" s="19" customFormat="1" ht="77.25" thickBot="1" x14ac:dyDescent="0.25">
      <c r="B34" s="168">
        <f>[1]March_2026!$B38</f>
        <v>46104</v>
      </c>
      <c r="C34" s="602" t="str">
        <f>[1]March_2026!$D38</f>
        <v>STAG</v>
      </c>
      <c r="D34" s="27">
        <v>0</v>
      </c>
      <c r="E34" s="28">
        <f>[2]Mar!$E38</f>
        <v>1.0729166666666667</v>
      </c>
      <c r="F34" s="29">
        <f>[1]March_2026!$J38</f>
        <v>285.60000000000002</v>
      </c>
      <c r="G34" s="30">
        <f>[1]March_2026!$G38</f>
        <v>4172</v>
      </c>
      <c r="H34" s="29">
        <f>[1]March_2026!$K38</f>
        <v>279.15200000000004</v>
      </c>
      <c r="I34" s="31">
        <f>[1]March_2026!$N38</f>
        <v>10</v>
      </c>
      <c r="J34" s="32">
        <f>[1]March_2026!$Q38</f>
        <v>181.39130434782609</v>
      </c>
      <c r="K34" s="32">
        <f>[1]March_2026!$F38</f>
        <v>533</v>
      </c>
      <c r="L34" s="654">
        <f>[1]March_2026!$E38</f>
        <v>1380</v>
      </c>
      <c r="M34" s="169">
        <f>[2]Mar!$G38</f>
        <v>0</v>
      </c>
      <c r="N34" s="32">
        <f>[1]March_2026!$M38</f>
        <v>127</v>
      </c>
      <c r="O34" s="406">
        <f>[2]Mar!$I38</f>
        <v>0</v>
      </c>
      <c r="P34" s="32">
        <f>[1]March_2026!$I38</f>
        <v>0</v>
      </c>
      <c r="Q34" s="837">
        <f>[1]March_2026!$P38</f>
        <v>2.2577030812324854</v>
      </c>
      <c r="R34" s="995">
        <f>($G34+G35+G36)/(($L34/60)*W$3*(1/24))</f>
        <v>0.57016879795396425</v>
      </c>
      <c r="S34" s="586">
        <f t="shared" si="1"/>
        <v>0.66302615605341586</v>
      </c>
      <c r="T34" s="995">
        <f>(1585-((N34+N35+N36)-[2]Mar!$J$38-[2]Mar!$I$39-[2]Mar!$J$39-[2]Mar!$I$40-[2]Mar!$Z$38-[2]Mar!$Z$39-[2]Mar!$Z$40-[2]Mar!$AA$39-[2]Mar!$AB$40-[2]Mar!$AB$38))/1585</f>
        <v>0.89905362776025233</v>
      </c>
      <c r="U34" s="920">
        <f>[1]March_2026!$S38</f>
        <v>2.4631966351209251E-2</v>
      </c>
      <c r="V34" s="926" t="s">
        <v>1082</v>
      </c>
    </row>
    <row r="35" spans="2:22" s="19" customFormat="1" ht="51.75" thickBot="1" x14ac:dyDescent="0.25">
      <c r="B35" s="168">
        <f>[1]March_2026!$B39</f>
        <v>46104</v>
      </c>
      <c r="C35" s="602" t="str">
        <f>[1]March_2026!$D39</f>
        <v>CARIB AMBER</v>
      </c>
      <c r="D35" s="27">
        <v>8180</v>
      </c>
      <c r="E35" s="28">
        <f>[2]Mar!$E39</f>
        <v>1.4951388888888888</v>
      </c>
      <c r="F35" s="369">
        <f>[1]March_2026!$J39</f>
        <v>361.6</v>
      </c>
      <c r="G35" s="30">
        <f>[1]March_2026!$G39</f>
        <v>2915</v>
      </c>
      <c r="H35" s="369">
        <f>[1]March_2026!$K39</f>
        <v>352.73200000000003</v>
      </c>
      <c r="I35" s="31">
        <f>[1]March_2026!$N39</f>
        <v>15</v>
      </c>
      <c r="J35" s="32">
        <f>[1]March_2026!$Q39</f>
        <v>126.73913043478261</v>
      </c>
      <c r="K35" s="32">
        <f>[1]March_2026!$F39</f>
        <v>378</v>
      </c>
      <c r="L35" s="824"/>
      <c r="M35" s="169">
        <f>[2]Mar!$G39</f>
        <v>0</v>
      </c>
      <c r="N35" s="32">
        <f>[1]March_2026!$M39</f>
        <v>72</v>
      </c>
      <c r="O35" s="406">
        <f>[2]Mar!$I39</f>
        <v>19</v>
      </c>
      <c r="P35" s="32">
        <f>[1]March_2026!$I39</f>
        <v>0</v>
      </c>
      <c r="Q35" s="927">
        <f>[1]March_2026!$P39</f>
        <v>2.4524336283185826</v>
      </c>
      <c r="R35" s="996"/>
      <c r="S35" s="586">
        <f t="shared" si="1"/>
        <v>0.65322128851540617</v>
      </c>
      <c r="T35" s="996"/>
      <c r="U35" s="921">
        <f>[1]March_2026!$S39</f>
        <v>0</v>
      </c>
      <c r="V35" s="926" t="s">
        <v>1080</v>
      </c>
    </row>
    <row r="36" spans="2:22" s="19" customFormat="1" ht="51.75" thickBot="1" x14ac:dyDescent="0.25">
      <c r="B36" s="168">
        <f>[1]March_2026!$B40</f>
        <v>46104</v>
      </c>
      <c r="C36" s="602" t="str">
        <f>[1]March_2026!$D40</f>
        <v>CARIB FLINT (LOC)</v>
      </c>
      <c r="D36" s="27"/>
      <c r="E36" s="28">
        <f>[2]Mar!$E40</f>
        <v>1.7722222222222221</v>
      </c>
      <c r="F36" s="773"/>
      <c r="G36" s="30">
        <f>[1]March_2026!$G40</f>
        <v>2202</v>
      </c>
      <c r="H36" s="773"/>
      <c r="I36" s="31">
        <f>[1]March_2026!$N40</f>
        <v>5</v>
      </c>
      <c r="J36" s="32">
        <f>[1]March_2026!$Q40</f>
        <v>95.739130434782609</v>
      </c>
      <c r="K36" s="32">
        <f>[1]March_2026!$F40</f>
        <v>312</v>
      </c>
      <c r="L36" s="799"/>
      <c r="M36" s="169">
        <f>[2]Mar!$G40</f>
        <v>2.1006944444444446</v>
      </c>
      <c r="N36" s="32">
        <f>[1]March_2026!$M40</f>
        <v>74</v>
      </c>
      <c r="O36" s="406">
        <f>[2]Mar!$I40</f>
        <v>9</v>
      </c>
      <c r="P36" s="32">
        <f>[1]March_2026!$I40</f>
        <v>0</v>
      </c>
      <c r="Q36" s="928"/>
      <c r="R36" s="1020"/>
      <c r="S36" s="586">
        <f t="shared" si="1"/>
        <v>0.5978280542986425</v>
      </c>
      <c r="T36" s="1020"/>
      <c r="U36" s="921">
        <f>[1]March_2026!$S40</f>
        <v>0</v>
      </c>
      <c r="V36" s="926" t="s">
        <v>1081</v>
      </c>
    </row>
    <row r="37" spans="2:22" s="19" customFormat="1" ht="110.25" customHeight="1" x14ac:dyDescent="0.2">
      <c r="B37" s="168">
        <f>[1]March_2026!$B41</f>
        <v>46105</v>
      </c>
      <c r="C37" s="602" t="str">
        <f>[1]March_2026!$D41</f>
        <v>SHANDY CARIB GINGER (EXPORT)</v>
      </c>
      <c r="D37" s="27">
        <v>200</v>
      </c>
      <c r="E37" s="388">
        <f>[2]Mar!$E41</f>
        <v>1.0874999999999999</v>
      </c>
      <c r="F37" s="369">
        <f>[1]March_2026!$J41</f>
        <v>96.5</v>
      </c>
      <c r="G37" s="30">
        <f>[1]March_2026!$G41</f>
        <v>230</v>
      </c>
      <c r="H37" s="369">
        <f>[1]March_2026!$K41</f>
        <v>92.796000000000006</v>
      </c>
      <c r="I37" s="31">
        <f>[1]March_2026!$N41</f>
        <v>10</v>
      </c>
      <c r="J37" s="32">
        <f>[1]March_2026!$Q41</f>
        <v>9.5833333333333339</v>
      </c>
      <c r="K37" s="285">
        <f>[1]March_2026!$F41</f>
        <v>243</v>
      </c>
      <c r="L37" s="654">
        <f>[1]March_2026!$E41</f>
        <v>1440</v>
      </c>
      <c r="M37" s="169">
        <f>[2]Mar!$G41</f>
        <v>0</v>
      </c>
      <c r="N37" s="285">
        <f>[1]March_2026!$M41</f>
        <v>356</v>
      </c>
      <c r="O37" s="406">
        <f>[2]Mar!$I41</f>
        <v>42</v>
      </c>
      <c r="P37" s="32">
        <f>[1]March_2026!$I41</f>
        <v>0</v>
      </c>
      <c r="Q37" s="927">
        <f>[1]March_2026!$P41</f>
        <v>3.8383419689119105</v>
      </c>
      <c r="R37" s="995">
        <f>($G37+G38+G39)/(($L37/60)*W$3*(1/24))</f>
        <v>0.34958823529411764</v>
      </c>
      <c r="S37" s="925">
        <f>($G37+G38)*24/(($K37)/60)/$W$3</f>
        <v>0.49010893246187365</v>
      </c>
      <c r="T37" s="995">
        <f>(1482-((N37+N38+N39)-[2]Mar!$Z$42-[2]Mar!$AA$42-[2]Mar!$AB$42-[2]Mar!$Z$41-[2]Mar!$I$42-[2]Mar!$I$41))/1482</f>
        <v>0.72874493927125505</v>
      </c>
      <c r="U37" s="929">
        <f>[1]March_2026!$S41</f>
        <v>4.9230064520170369E-2</v>
      </c>
      <c r="V37" s="933" t="s">
        <v>1084</v>
      </c>
    </row>
    <row r="38" spans="2:22" s="19" customFormat="1" ht="26.25" thickBot="1" x14ac:dyDescent="0.25">
      <c r="B38" s="168">
        <f>[1]March_2026!$B42</f>
        <v>46105</v>
      </c>
      <c r="C38" s="602" t="str">
        <f>[1]March_2026!$D42</f>
        <v>SHANDY CARIB GINGER LOCAL</v>
      </c>
      <c r="D38" s="27">
        <v>1200</v>
      </c>
      <c r="E38" s="775"/>
      <c r="F38" s="773"/>
      <c r="G38" s="30">
        <f>[1]March_2026!$G42</f>
        <v>1176</v>
      </c>
      <c r="H38" s="773"/>
      <c r="I38" s="31">
        <f>[1]March_2026!$N42</f>
        <v>0</v>
      </c>
      <c r="J38" s="32">
        <f>[1]March_2026!$Q42</f>
        <v>49</v>
      </c>
      <c r="K38" s="172"/>
      <c r="L38" s="824"/>
      <c r="M38" s="169"/>
      <c r="N38" s="172"/>
      <c r="O38" s="406">
        <f>[2]Mar!$I42</f>
        <v>24</v>
      </c>
      <c r="P38" s="32">
        <f>[1]March_2026!$I42</f>
        <v>0</v>
      </c>
      <c r="Q38" s="928"/>
      <c r="R38" s="996"/>
      <c r="S38" s="913"/>
      <c r="T38" s="996"/>
      <c r="U38" s="930"/>
      <c r="V38" s="934"/>
    </row>
    <row r="39" spans="2:22" s="19" customFormat="1" ht="102.75" thickBot="1" x14ac:dyDescent="0.25">
      <c r="B39" s="168">
        <f>[1]March_2026!$B43</f>
        <v>46105</v>
      </c>
      <c r="C39" s="602" t="str">
        <f>[1]March_2026!$D43</f>
        <v>STAR MALT</v>
      </c>
      <c r="D39" s="27">
        <v>7000</v>
      </c>
      <c r="E39" s="28">
        <f>[2]Mar!$E42</f>
        <v>1.5569444444444445</v>
      </c>
      <c r="F39" s="29">
        <f>[1]March_2026!$J43</f>
        <v>308.70000000000005</v>
      </c>
      <c r="G39" s="30">
        <f>[1]March_2026!$G43</f>
        <v>4537</v>
      </c>
      <c r="H39" s="29">
        <f>[1]March_2026!$K43</f>
        <v>299.44200000000001</v>
      </c>
      <c r="I39" s="31">
        <f>[1]March_2026!$N43</f>
        <v>6</v>
      </c>
      <c r="J39" s="32">
        <f>[1]March_2026!$Q43</f>
        <v>189.04166666666666</v>
      </c>
      <c r="K39" s="32">
        <f>[1]March_2026!$F43</f>
        <v>617</v>
      </c>
      <c r="L39" s="799"/>
      <c r="M39" s="169">
        <f>[2]Mar!$G42</f>
        <v>2.0291666666666668</v>
      </c>
      <c r="N39" s="32">
        <f>[1]March_2026!$M43</f>
        <v>370</v>
      </c>
      <c r="O39" s="406">
        <f>[2]Mar!$I42</f>
        <v>24</v>
      </c>
      <c r="P39" s="32">
        <f>[1]March_2026!$I43</f>
        <v>0</v>
      </c>
      <c r="Q39" s="837">
        <f>[1]March_2026!$P43</f>
        <v>2.999028182701664</v>
      </c>
      <c r="R39" s="1020"/>
      <c r="S39" s="586">
        <f t="shared" ref="S39:S49" si="2">($G39)*24/(($K39)/60)/$W$3</f>
        <v>0.62286967299075224</v>
      </c>
      <c r="T39" s="1020"/>
      <c r="U39" s="920">
        <f>[1]March_2026!$S43</f>
        <v>2.2309523809523807E-2</v>
      </c>
      <c r="V39" s="926" t="s">
        <v>1083</v>
      </c>
    </row>
    <row r="40" spans="2:22" s="19" customFormat="1" ht="77.25" thickBot="1" x14ac:dyDescent="0.25">
      <c r="B40" s="168">
        <f>[1]March_2026!$B44</f>
        <v>46106</v>
      </c>
      <c r="C40" s="602" t="str">
        <f>[1]March_2026!$D44</f>
        <v>STAR MALT</v>
      </c>
      <c r="D40" s="27"/>
      <c r="E40" s="28">
        <f>[2]Mar!$E43</f>
        <v>1.0020833333333334</v>
      </c>
      <c r="F40" s="29">
        <f>[1]March_2026!$J44</f>
        <v>186.4</v>
      </c>
      <c r="G40" s="30">
        <f>[1]March_2026!$G44</f>
        <v>2779</v>
      </c>
      <c r="H40" s="29">
        <f>[1]March_2026!$K44</f>
        <v>183.41400000000002</v>
      </c>
      <c r="I40" s="31">
        <f>[1]March_2026!$N44</f>
        <v>9</v>
      </c>
      <c r="J40" s="32">
        <f>[1]March_2026!$Q44</f>
        <v>115.79166666666667</v>
      </c>
      <c r="K40" s="32">
        <f>[1]March_2026!$F44</f>
        <v>382</v>
      </c>
      <c r="L40" s="654">
        <f>[1]March_2026!$E44</f>
        <v>1440</v>
      </c>
      <c r="M40" s="169">
        <f>[2]Mar!$G43</f>
        <v>1.3604166666666666</v>
      </c>
      <c r="N40" s="32">
        <f>[1]March_2026!$M44</f>
        <v>142</v>
      </c>
      <c r="O40" s="406">
        <f>[2]Mar!$I43</f>
        <v>0</v>
      </c>
      <c r="P40" s="32">
        <f>[1]March_2026!$I44</f>
        <v>0</v>
      </c>
      <c r="Q40" s="837">
        <f>[1]March_2026!$P44</f>
        <v>1.6019313304720975</v>
      </c>
      <c r="R40" s="995">
        <f>($G40+G41+G42+G43)/(($L40/60)*W$3*(1/24))</f>
        <v>0.29035294117647059</v>
      </c>
      <c r="S40" s="586">
        <f t="shared" si="2"/>
        <v>0.61622420696027103</v>
      </c>
      <c r="T40" s="995">
        <f>(1684-((N40+N41+N42+N43)-[2]Mar!$Z$46-[2]Mar!$AA$46-[2]Mar!$AB$46-[2]Mar!$J$45-[2]Mar!$I$44-[2]Mar!$I$45-[2]Mar!$I$46))/1684</f>
        <v>0.6769596199524941</v>
      </c>
      <c r="U40" s="920">
        <f>[1]March_2026!$S44</f>
        <v>1.3623586429725363E-2</v>
      </c>
      <c r="V40" s="926" t="s">
        <v>1085</v>
      </c>
    </row>
    <row r="41" spans="2:22" s="19" customFormat="1" ht="26.25" thickBot="1" x14ac:dyDescent="0.25">
      <c r="B41" s="168">
        <f>[1]March_2026!$B45</f>
        <v>46106</v>
      </c>
      <c r="C41" s="602" t="str">
        <f>[1]March_2026!$D45</f>
        <v>CLUB SODA</v>
      </c>
      <c r="D41" s="27">
        <v>300</v>
      </c>
      <c r="E41" s="28">
        <f>[2]Mar!$E44</f>
        <v>1.4305555555555556</v>
      </c>
      <c r="F41" s="29">
        <f>[1]March_2026!$J45</f>
        <v>9.636000000000001</v>
      </c>
      <c r="G41" s="30">
        <f>[1]March_2026!$G45</f>
        <v>146</v>
      </c>
      <c r="H41" s="29">
        <f>[1]March_2026!$K45</f>
        <v>9.636000000000001</v>
      </c>
      <c r="I41" s="31">
        <f>[1]March_2026!$N45</f>
        <v>0</v>
      </c>
      <c r="J41" s="32">
        <f>[1]March_2026!$Q45</f>
        <v>6.083333333333333</v>
      </c>
      <c r="K41" s="32">
        <f>[1]March_2026!$F45</f>
        <v>30</v>
      </c>
      <c r="L41" s="824"/>
      <c r="M41" s="169">
        <f>[2]Mar!$G44</f>
        <v>1.4791666666666667</v>
      </c>
      <c r="N41" s="32">
        <f>[1]March_2026!$M45</f>
        <v>200</v>
      </c>
      <c r="O41" s="406">
        <f>[2]Mar!$I44</f>
        <v>120</v>
      </c>
      <c r="P41" s="32">
        <f>[1]March_2026!$I45</f>
        <v>0</v>
      </c>
      <c r="Q41" s="837">
        <f>[1]March_2026!$P45</f>
        <v>0</v>
      </c>
      <c r="R41" s="996"/>
      <c r="S41" s="586">
        <f t="shared" si="2"/>
        <v>0.41223529411764703</v>
      </c>
      <c r="T41" s="996"/>
      <c r="U41" s="919">
        <f>[1]March_2026!$S45</f>
        <v>1.5774410774410774E-2</v>
      </c>
      <c r="V41" s="926" t="s">
        <v>1092</v>
      </c>
    </row>
    <row r="42" spans="2:22" s="19" customFormat="1" ht="51.75" thickBot="1" x14ac:dyDescent="0.25">
      <c r="B42" s="168">
        <f>[1]March_2026!$B46</f>
        <v>46106</v>
      </c>
      <c r="C42" s="602" t="str">
        <f>[1]March_2026!$D46</f>
        <v>KOLA CHAMPAGNE (EXPORT)</v>
      </c>
      <c r="D42" s="27">
        <v>800</v>
      </c>
      <c r="E42" s="28">
        <f>[2]Mar!$E45</f>
        <v>1.4743055555555555</v>
      </c>
      <c r="F42" s="29">
        <f>[1]March_2026!$J46</f>
        <v>46.2</v>
      </c>
      <c r="G42" s="30">
        <f>[1]March_2026!$G46</f>
        <v>642</v>
      </c>
      <c r="H42" s="29">
        <f>[1]March_2026!$K46</f>
        <v>42.372</v>
      </c>
      <c r="I42" s="31">
        <f>[1]March_2026!$N46</f>
        <v>12</v>
      </c>
      <c r="J42" s="32">
        <f>[1]March_2026!$Q46</f>
        <v>26.75</v>
      </c>
      <c r="K42" s="32">
        <f>[1]March_2026!$F46</f>
        <v>191</v>
      </c>
      <c r="L42" s="824"/>
      <c r="M42" s="169">
        <f>[2]Mar!$G45</f>
        <v>0.8041666666666667</v>
      </c>
      <c r="N42" s="32">
        <f>[1]March_2026!$M46</f>
        <v>73</v>
      </c>
      <c r="O42" s="406">
        <f>[2]Mar!$I45</f>
        <v>10</v>
      </c>
      <c r="P42" s="32">
        <f>[1]March_2026!$I46</f>
        <v>0</v>
      </c>
      <c r="Q42" s="837">
        <f>[1]March_2026!$P46</f>
        <v>8.2857142857142918</v>
      </c>
      <c r="R42" s="996"/>
      <c r="S42" s="586">
        <f t="shared" si="2"/>
        <v>0.28471820141669235</v>
      </c>
      <c r="T42" s="996"/>
      <c r="U42" s="922"/>
      <c r="V42" s="926" t="s">
        <v>1087</v>
      </c>
    </row>
    <row r="43" spans="2:22" s="19" customFormat="1" ht="77.25" thickBot="1" x14ac:dyDescent="0.25">
      <c r="B43" s="168">
        <f>[1]March_2026!$B47</f>
        <v>46106</v>
      </c>
      <c r="C43" s="602" t="str">
        <f>[1]March_2026!$D47</f>
        <v>CREAM SODA (EXPORT)</v>
      </c>
      <c r="D43" s="27">
        <v>1400</v>
      </c>
      <c r="E43" s="28">
        <f>[2]Mar!$E46</f>
        <v>1.663888888888889</v>
      </c>
      <c r="F43" s="29">
        <f>[1]March_2026!$J47</f>
        <v>92.4</v>
      </c>
      <c r="G43" s="30">
        <f>[1]March_2026!$G47</f>
        <v>1369</v>
      </c>
      <c r="H43" s="29">
        <f>[1]March_2026!$K47</f>
        <v>90.353999999999999</v>
      </c>
      <c r="I43" s="31">
        <f>[1]March_2026!$N47</f>
        <v>2</v>
      </c>
      <c r="J43" s="32">
        <f>[1]March_2026!$Q47</f>
        <v>57.041666666666664</v>
      </c>
      <c r="K43" s="32">
        <f>[1]March_2026!$F47</f>
        <v>466</v>
      </c>
      <c r="L43" s="799"/>
      <c r="M43" s="169">
        <f>[2]Mar!$G46</f>
        <v>2.1694444444444443</v>
      </c>
      <c r="N43" s="32">
        <f>[1]March_2026!$M47</f>
        <v>359</v>
      </c>
      <c r="O43" s="406">
        <f>[2]Mar!$I46</f>
        <v>59</v>
      </c>
      <c r="P43" s="32">
        <f>[1]March_2026!$I47</f>
        <v>0</v>
      </c>
      <c r="Q43" s="837">
        <f>[1]March_2026!$P47</f>
        <v>2.2142857142857211</v>
      </c>
      <c r="R43" s="1020"/>
      <c r="S43" s="586">
        <f t="shared" si="2"/>
        <v>0.24884625094673063</v>
      </c>
      <c r="T43" s="1020"/>
      <c r="U43" s="923"/>
      <c r="V43" s="926" t="s">
        <v>1086</v>
      </c>
    </row>
    <row r="44" spans="2:22" s="19" customFormat="1" ht="77.25" thickBot="1" x14ac:dyDescent="0.25">
      <c r="B44" s="168">
        <f>[1]March_2026!$B48</f>
        <v>46107</v>
      </c>
      <c r="C44" s="602" t="str">
        <f>[1]March_2026!$D48</f>
        <v>BANANA (EXPORT)</v>
      </c>
      <c r="D44" s="27">
        <v>800</v>
      </c>
      <c r="E44" s="28">
        <f>[2]Mar!$E47</f>
        <v>1.1180555555555556</v>
      </c>
      <c r="F44" s="29">
        <f>[1]March_2026!$J48</f>
        <v>92.4</v>
      </c>
      <c r="G44" s="30">
        <f>[1]March_2026!$G48</f>
        <v>1337</v>
      </c>
      <c r="H44" s="29">
        <f>[1]March_2026!$K48</f>
        <v>88.242000000000004</v>
      </c>
      <c r="I44" s="31">
        <f>[1]March_2026!$N48</f>
        <v>3</v>
      </c>
      <c r="J44" s="32">
        <f>[1]March_2026!$Q48</f>
        <v>55.708333333333336</v>
      </c>
      <c r="K44" s="32">
        <f>[1]March_2026!$F48</f>
        <v>314</v>
      </c>
      <c r="L44" s="654">
        <f>[1]March_2026!$E48</f>
        <v>1440</v>
      </c>
      <c r="M44" s="169">
        <f>[2]Mar!$G47</f>
        <v>1.4236111111111112</v>
      </c>
      <c r="N44" s="32">
        <f>[1]March_2026!$M48</f>
        <v>360</v>
      </c>
      <c r="O44" s="406">
        <f>[2]Mar!$I47</f>
        <v>104</v>
      </c>
      <c r="P44" s="32">
        <f>[1]March_2026!$I48</f>
        <v>0</v>
      </c>
      <c r="Q44" s="837">
        <f>[1]March_2026!$P48</f>
        <v>4.5000000000000009</v>
      </c>
      <c r="R44" s="995">
        <f>($G44+G45+G46+G47)/(($L44/60)*W$3*(1/24))</f>
        <v>0.30105882352941177</v>
      </c>
      <c r="S44" s="586">
        <f t="shared" si="2"/>
        <v>0.36067440989134508</v>
      </c>
      <c r="T44" s="995">
        <f>(1546-((N44+N45+N46+N47)-[2]Mar!$AB$50-[2]Mar!$Z$50-[2]Mar!$AB$48-[2]Mar!$M$49-[2]Mar!$M$47-[2]Mar!$I$50-[2]Mar!$I$49-[2]Mar!$I$48-[2]Mar!$I$47-[2]Mar!$H$47-[2]Mar!$J$48))/1546</f>
        <v>0.78266494178525226</v>
      </c>
      <c r="U44" s="920">
        <f>[1]March_2026!$S48</f>
        <v>2.3523012552301256E-2</v>
      </c>
      <c r="V44" s="926" t="s">
        <v>1088</v>
      </c>
    </row>
    <row r="45" spans="2:22" s="19" customFormat="1" ht="51.75" thickBot="1" x14ac:dyDescent="0.25">
      <c r="B45" s="168">
        <f>[1]March_2026!$B49</f>
        <v>46107</v>
      </c>
      <c r="C45" s="602" t="str">
        <f>[1]March_2026!$D49</f>
        <v>GINGER (EXPORT)</v>
      </c>
      <c r="D45" s="27">
        <v>1400</v>
      </c>
      <c r="E45" s="28">
        <f>[2]Mar!$E48</f>
        <v>1.3708333333333333</v>
      </c>
      <c r="F45" s="29">
        <f>[1]March_2026!$J49</f>
        <v>92.4</v>
      </c>
      <c r="G45" s="30">
        <f>[1]March_2026!$G49</f>
        <v>1453</v>
      </c>
      <c r="H45" s="29">
        <f>[1]March_2026!$K49</f>
        <v>95.89800000000001</v>
      </c>
      <c r="I45" s="31">
        <f>[1]March_2026!$N49</f>
        <v>0</v>
      </c>
      <c r="J45" s="32">
        <f>[1]March_2026!$Q49</f>
        <v>60.541666666666664</v>
      </c>
      <c r="K45" s="32">
        <f>[1]March_2026!$F49</f>
        <v>264</v>
      </c>
      <c r="L45" s="824"/>
      <c r="M45" s="169">
        <f>[2]Mar!$G48</f>
        <v>1.6166666666666667</v>
      </c>
      <c r="N45" s="32">
        <f>[1]March_2026!$M49</f>
        <v>107</v>
      </c>
      <c r="O45" s="406">
        <f>[2]Mar!$I48</f>
        <v>45</v>
      </c>
      <c r="P45" s="32">
        <f>[1]March_2026!$I49</f>
        <v>0</v>
      </c>
      <c r="Q45" s="944">
        <f>[1]March_2026!$P49</f>
        <v>-3.7857142857142909</v>
      </c>
      <c r="R45" s="996"/>
      <c r="S45" s="586">
        <f t="shared" si="2"/>
        <v>0.46620320855614972</v>
      </c>
      <c r="T45" s="996"/>
      <c r="U45" s="921">
        <f>[1]March_2026!$S49</f>
        <v>0</v>
      </c>
      <c r="V45" s="926" t="s">
        <v>1091</v>
      </c>
    </row>
    <row r="46" spans="2:22" s="19" customFormat="1" ht="33" customHeight="1" thickBot="1" x14ac:dyDescent="0.25">
      <c r="B46" s="168">
        <f>[1]March_2026!$B50</f>
        <v>46107</v>
      </c>
      <c r="C46" s="602" t="str">
        <f>[1]March_2026!$D50</f>
        <v>GRAPE (EXPORT)</v>
      </c>
      <c r="D46" s="27">
        <v>1400</v>
      </c>
      <c r="E46" s="28">
        <f>[2]Mar!$E49</f>
        <v>1.5868055555555556</v>
      </c>
      <c r="F46" s="29">
        <f>[1]March_2026!$J50</f>
        <v>92.4</v>
      </c>
      <c r="G46" s="30">
        <f>[1]March_2026!$G50</f>
        <v>1369</v>
      </c>
      <c r="H46" s="29">
        <f>[1]March_2026!$K50</f>
        <v>90.353999999999999</v>
      </c>
      <c r="I46" s="31">
        <f>[1]March_2026!$N50</f>
        <v>0</v>
      </c>
      <c r="J46" s="32">
        <f>[1]March_2026!$Q50</f>
        <v>57.041666666666664</v>
      </c>
      <c r="K46" s="32">
        <f>[1]March_2026!$F50</f>
        <v>266</v>
      </c>
      <c r="L46" s="824"/>
      <c r="M46" s="169">
        <f>[2]Mar!$G49</f>
        <v>0</v>
      </c>
      <c r="N46" s="32">
        <f>[1]March_2026!$M50</f>
        <v>97</v>
      </c>
      <c r="O46" s="406">
        <f>[2]Mar!$I49</f>
        <v>25</v>
      </c>
      <c r="P46" s="32">
        <f>[1]March_2026!$I50</f>
        <v>0</v>
      </c>
      <c r="Q46" s="837">
        <f>[1]March_2026!$P50</f>
        <v>2.2142857142857211</v>
      </c>
      <c r="R46" s="996"/>
      <c r="S46" s="586">
        <f t="shared" si="2"/>
        <v>0.43594869526758073</v>
      </c>
      <c r="T46" s="996"/>
      <c r="U46" s="921">
        <f>[1]March_2026!$S50</f>
        <v>0</v>
      </c>
      <c r="V46" s="926" t="s">
        <v>1089</v>
      </c>
    </row>
    <row r="47" spans="2:22" s="19" customFormat="1" ht="51.75" thickBot="1" x14ac:dyDescent="0.25">
      <c r="B47" s="168">
        <f>[1]March_2026!$B51</f>
        <v>46107</v>
      </c>
      <c r="C47" s="602" t="str">
        <f>[1]March_2026!$D51</f>
        <v>JUICY COOL SORREL (EXPORT)</v>
      </c>
      <c r="D47" s="27">
        <v>1400</v>
      </c>
      <c r="E47" s="28">
        <f>[2]Mar!$E50</f>
        <v>1.8486111111111112</v>
      </c>
      <c r="F47" s="29">
        <f>[1]March_2026!$J51</f>
        <v>63.36</v>
      </c>
      <c r="G47" s="30">
        <f>[1]March_2026!$G51</f>
        <v>959</v>
      </c>
      <c r="H47" s="29">
        <f>[1]March_2026!$K51</f>
        <v>63.294000000000004</v>
      </c>
      <c r="I47" s="31">
        <f>[1]March_2026!$N51</f>
        <v>0</v>
      </c>
      <c r="J47" s="32">
        <f>[1]March_2026!$Q51</f>
        <v>39.958333333333336</v>
      </c>
      <c r="K47" s="32">
        <f>[1]March_2026!$F51</f>
        <v>178</v>
      </c>
      <c r="L47" s="799"/>
      <c r="M47" s="169">
        <f>[2]Mar!$G50</f>
        <v>2.0736111111111111</v>
      </c>
      <c r="N47" s="32">
        <f>[1]March_2026!$M51</f>
        <v>109</v>
      </c>
      <c r="O47" s="406">
        <f>[2]Mar!$I50</f>
        <v>37</v>
      </c>
      <c r="P47" s="32">
        <f>[1]March_2026!$I51</f>
        <v>0</v>
      </c>
      <c r="Q47" s="837">
        <f>[1]March_2026!$P51</f>
        <v>0.1041666666666594</v>
      </c>
      <c r="R47" s="1020"/>
      <c r="S47" s="586">
        <f t="shared" si="2"/>
        <v>0.45636483807005951</v>
      </c>
      <c r="T47" s="1020"/>
      <c r="U47" s="921">
        <f>[1]March_2026!$S51</f>
        <v>0</v>
      </c>
      <c r="V47" s="926" t="s">
        <v>1090</v>
      </c>
    </row>
    <row r="48" spans="2:22" s="19" customFormat="1" ht="51.75" thickBot="1" x14ac:dyDescent="0.25">
      <c r="B48" s="168">
        <f>[1]March_2026!$B52</f>
        <v>46108</v>
      </c>
      <c r="C48" s="602" t="str">
        <f>[1]March_2026!$D52</f>
        <v>JUICY COOL SORREL (EXPORT)</v>
      </c>
      <c r="D48" s="27"/>
      <c r="E48" s="28">
        <f>[2]Mar!$E51</f>
        <v>1.0034722222222223</v>
      </c>
      <c r="F48" s="29">
        <f>[1]March_2026!$J52</f>
        <v>22.44</v>
      </c>
      <c r="G48" s="30">
        <f>[1]March_2026!$G52</f>
        <v>331</v>
      </c>
      <c r="H48" s="29">
        <f>[1]March_2026!$K52</f>
        <v>21.846</v>
      </c>
      <c r="I48" s="31">
        <f>[1]March_2026!$N52</f>
        <v>13</v>
      </c>
      <c r="J48" s="32">
        <f>[1]March_2026!$Q52</f>
        <v>15.824701195219122</v>
      </c>
      <c r="K48" s="32">
        <f>[1]March_2026!$F52</f>
        <v>78</v>
      </c>
      <c r="L48" s="1148">
        <f>[1]March_2026!$E52</f>
        <v>1255</v>
      </c>
      <c r="M48" s="169">
        <f>[2]Mar!$G51</f>
        <v>1.1284722222222223</v>
      </c>
      <c r="N48" s="32">
        <f>[1]March_2026!$M52</f>
        <v>79</v>
      </c>
      <c r="O48" s="406">
        <f>[2]Mar!$I51</f>
        <v>0</v>
      </c>
      <c r="P48" s="32">
        <f>[1]March_2026!$I52</f>
        <v>0</v>
      </c>
      <c r="Q48" s="837">
        <f>[1]March_2026!$P52</f>
        <v>2.647058823529417</v>
      </c>
      <c r="R48" s="995">
        <f>($G48+G49)/(($L48/60)*W$3*(1/24))</f>
        <v>0.40679071947504097</v>
      </c>
      <c r="S48" s="586">
        <f t="shared" si="2"/>
        <v>0.35945701357466064</v>
      </c>
      <c r="T48" s="995">
        <f>(1190-((N48+N49)-[2]Mar!$Z$52-[2]Mar!$Z$51-[2]Mar!$AB$52-[2]Mar!$I$52-[2]Mar!$M$51))/1190</f>
        <v>0.75126050420168067</v>
      </c>
      <c r="U48" s="920">
        <f>[1]March_2026!$S52</f>
        <v>1.4814229249011856E-2</v>
      </c>
      <c r="V48" s="926" t="s">
        <v>1094</v>
      </c>
    </row>
    <row r="49" spans="2:22" s="19" customFormat="1" ht="77.25" thickBot="1" x14ac:dyDescent="0.25">
      <c r="B49" s="168">
        <f>[1]March_2026!$B53</f>
        <v>46108</v>
      </c>
      <c r="C49" s="602" t="str">
        <f>[1]March_2026!$D53</f>
        <v>STAG</v>
      </c>
      <c r="D49" s="27">
        <v>8400</v>
      </c>
      <c r="E49" s="28">
        <f>[2]Mar!$E52</f>
        <v>1.2083333333333333</v>
      </c>
      <c r="F49" s="29">
        <f>[1]March_2026!$J53</f>
        <v>380.41999999999996</v>
      </c>
      <c r="G49" s="30">
        <f>[1]March_2026!$G53</f>
        <v>5696</v>
      </c>
      <c r="H49" s="29">
        <f>[1]March_2026!$K53</f>
        <v>375.93600000000004</v>
      </c>
      <c r="I49" s="31">
        <f>[1]March_2026!$N53</f>
        <v>21</v>
      </c>
      <c r="J49" s="32">
        <f>[1]March_2026!$Q53</f>
        <v>272.31872509960158</v>
      </c>
      <c r="K49" s="32">
        <f>[1]March_2026!$F53</f>
        <v>830</v>
      </c>
      <c r="L49" s="999"/>
      <c r="M49" s="169">
        <f>[2]Mar!$G52</f>
        <v>1.8263888888888888</v>
      </c>
      <c r="N49" s="32">
        <f>[1]March_2026!$M53</f>
        <v>311</v>
      </c>
      <c r="O49" s="406">
        <f>[2]Mar!$I52</f>
        <v>68</v>
      </c>
      <c r="P49" s="32">
        <f>[1]March_2026!$I53</f>
        <v>10</v>
      </c>
      <c r="Q49" s="837">
        <f>[1]March_2026!$P53</f>
        <v>1.178697229378036</v>
      </c>
      <c r="R49" s="1020"/>
      <c r="S49" s="586">
        <f t="shared" si="2"/>
        <v>0.58130687455705166</v>
      </c>
      <c r="T49" s="1020"/>
      <c r="U49" s="920">
        <f>[1]March_2026!$S53</f>
        <v>3.8919924842088428E-2</v>
      </c>
      <c r="V49" s="926" t="s">
        <v>1093</v>
      </c>
    </row>
    <row r="50" spans="2:22" s="19" customFormat="1" ht="102.75" thickBot="1" x14ac:dyDescent="0.25">
      <c r="B50" s="168">
        <f>[1]March_2026!$B54</f>
        <v>46111</v>
      </c>
      <c r="C50" s="602" t="str">
        <f>[1]March_2026!$D54</f>
        <v>CARIB AMBER</v>
      </c>
      <c r="D50" s="27">
        <v>5600</v>
      </c>
      <c r="E50" s="28">
        <f>[2]Mar!$E53</f>
        <v>1.34375</v>
      </c>
      <c r="F50" s="29">
        <f>[1]March_2026!$J54</f>
        <v>454.19999999999993</v>
      </c>
      <c r="G50" s="30">
        <f>[1]March_2026!$G54</f>
        <v>6785</v>
      </c>
      <c r="H50" s="29">
        <f>[1]March_2026!$K54</f>
        <v>447.81</v>
      </c>
      <c r="I50" s="31">
        <f>[1]March_2026!$N54</f>
        <v>19</v>
      </c>
      <c r="J50" s="32">
        <f>[1]March_2026!$Q54</f>
        <v>295</v>
      </c>
      <c r="K50" s="32">
        <f>[1]March_2026!$F54</f>
        <v>919</v>
      </c>
      <c r="L50" s="654">
        <f>[1]March_2026!$E54</f>
        <v>1380</v>
      </c>
      <c r="M50" s="169">
        <f>[2]Mar!$G53</f>
        <v>2.03125</v>
      </c>
      <c r="N50" s="32">
        <f>[1]March_2026!$M54</f>
        <v>571</v>
      </c>
      <c r="O50" s="406">
        <f>[2]Mar!$I53</f>
        <v>0</v>
      </c>
      <c r="P50" s="32">
        <f>[1]March_2026!$I54</f>
        <v>0</v>
      </c>
      <c r="Q50" s="837">
        <f>[1]March_2026!$P54</f>
        <v>1.4068692206076465</v>
      </c>
      <c r="R50" s="653">
        <f>($G50)/(($L50/60)*W$3*(1/24))</f>
        <v>0.41647058823529415</v>
      </c>
      <c r="S50" s="586">
        <f>($G50)*24/(($K50)/60)/$W$3</f>
        <v>0.62538564936311847</v>
      </c>
      <c r="T50" s="653">
        <f>(1485-((N50)-[2]Mar!$J$53-[2]Mar!$Z$53))/1485</f>
        <v>0.92592592592592593</v>
      </c>
      <c r="U50" s="920">
        <f>[1]March_2026!$S54</f>
        <v>1.8620826709062E-2</v>
      </c>
      <c r="V50" s="926" t="s">
        <v>1095</v>
      </c>
    </row>
    <row r="51" spans="2:22" s="19" customFormat="1" ht="26.25" thickBot="1" x14ac:dyDescent="0.25">
      <c r="B51" s="168">
        <f>[1]March_2026!$B55</f>
        <v>46112</v>
      </c>
      <c r="C51" s="602" t="str">
        <f>[1]March_2026!$D55</f>
        <v>CARIB AMBER</v>
      </c>
      <c r="D51" s="27"/>
      <c r="E51" s="28">
        <f>[2]Mar!$E54</f>
        <v>1.0048611111111112</v>
      </c>
      <c r="F51" s="989">
        <f>[1]March_2026!$J55</f>
        <v>293.60000000000002</v>
      </c>
      <c r="G51" s="30">
        <f>[1]March_2026!$G55</f>
        <v>1596</v>
      </c>
      <c r="H51" s="989">
        <f>[1]March_2026!$K55</f>
        <v>288.61799999999999</v>
      </c>
      <c r="I51" s="31">
        <f>[1]March_2026!$N55</f>
        <v>2</v>
      </c>
      <c r="J51" s="32">
        <f>[1]March_2026!$Q55</f>
        <v>66.5</v>
      </c>
      <c r="K51" s="32">
        <f>[1]March_2026!$F55</f>
        <v>232</v>
      </c>
      <c r="L51" s="1148">
        <f>[1]March_2026!$E55</f>
        <v>1440</v>
      </c>
      <c r="M51" s="169">
        <f>[2]Mar!$G54</f>
        <v>0</v>
      </c>
      <c r="N51" s="32">
        <f>[1]March_2026!$M55</f>
        <v>73</v>
      </c>
      <c r="O51" s="406">
        <f>[2]Mar!$I54</f>
        <v>0</v>
      </c>
      <c r="P51" s="32">
        <f>[1]March_2026!$I55</f>
        <v>0</v>
      </c>
      <c r="Q51" s="1156">
        <f>[1]March_2026!$P55</f>
        <v>1.6968664850136335</v>
      </c>
      <c r="R51" s="995">
        <f>($G51+G52+G53+G54)/(($L51/60)*W$3*(1/24))</f>
        <v>0.38894117647058823</v>
      </c>
      <c r="S51" s="586">
        <f t="shared" ref="S51:S54" si="3">($G51)*24/(($K51)/60)/$W$3</f>
        <v>0.58271805273833677</v>
      </c>
      <c r="T51" s="995">
        <f>(1495-((N51+N52+N53+N54)-[2]Mar!$H$57-[2]Mar!$I$57--[2]Mar!$I$56-[2]Mar!$I$55-[2]Mar!$AB$57-[2]Mar!$AB$56-[2]Mar!$AB$55-[2]Mar!$Z$56-[2]Mar!$Z$54-[2]Mar!$AB$54))/1495</f>
        <v>0.72240802675585281</v>
      </c>
      <c r="U51" s="920">
        <f>[1]March_2026!$S55</f>
        <v>2.0007117437722419E-2</v>
      </c>
      <c r="V51" s="926" t="s">
        <v>1096</v>
      </c>
    </row>
    <row r="52" spans="2:22" s="19" customFormat="1" ht="51.75" thickBot="1" x14ac:dyDescent="0.25">
      <c r="B52" s="168">
        <f>[1]March_2026!$B56</f>
        <v>46112</v>
      </c>
      <c r="C52" s="602" t="str">
        <f>[1]March_2026!$D56</f>
        <v>CARIB FLINT (LOC)</v>
      </c>
      <c r="D52" s="27">
        <f>2800+1400</f>
        <v>4200</v>
      </c>
      <c r="E52" s="28">
        <f>[2]Mar!$E55</f>
        <v>1.1819444444444445</v>
      </c>
      <c r="F52" s="1027"/>
      <c r="G52" s="30">
        <f>[1]March_2026!$G56</f>
        <v>816</v>
      </c>
      <c r="H52" s="1027"/>
      <c r="I52" s="31">
        <f>[1]March_2026!$N56</f>
        <v>1</v>
      </c>
      <c r="J52" s="32">
        <f>[1]March_2026!$Q56</f>
        <v>34</v>
      </c>
      <c r="K52" s="32">
        <f>[1]March_2026!$F56</f>
        <v>145</v>
      </c>
      <c r="L52" s="1016"/>
      <c r="M52" s="169">
        <f>[2]Mar!$G55</f>
        <v>0.33194444444444443</v>
      </c>
      <c r="N52" s="32">
        <f>[1]March_2026!$M56</f>
        <v>48</v>
      </c>
      <c r="O52" s="406">
        <f>[2]Mar!$I55</f>
        <v>7</v>
      </c>
      <c r="P52" s="32">
        <f>[1]March_2026!$I56</f>
        <v>0</v>
      </c>
      <c r="Q52" s="1157"/>
      <c r="R52" s="996"/>
      <c r="S52" s="586">
        <f t="shared" si="3"/>
        <v>0.47668965517241385</v>
      </c>
      <c r="T52" s="996"/>
      <c r="U52" s="920">
        <f>[1]March_2026!$S56</f>
        <v>2.0007117437722419E-2</v>
      </c>
      <c r="V52" s="926" t="s">
        <v>1097</v>
      </c>
    </row>
    <row r="53" spans="2:22" s="19" customFormat="1" ht="128.25" thickBot="1" x14ac:dyDescent="0.25">
      <c r="B53" s="168">
        <f>[1]March_2026!$B57</f>
        <v>46112</v>
      </c>
      <c r="C53" s="602" t="str">
        <f>[1]March_2026!$D57</f>
        <v>CARIB AMBER</v>
      </c>
      <c r="D53" s="27"/>
      <c r="E53" s="28">
        <f>[2]Mar!$E56</f>
        <v>1.2993055555555555</v>
      </c>
      <c r="F53" s="990"/>
      <c r="G53" s="30">
        <f>[1]March_2026!$G57</f>
        <v>1961</v>
      </c>
      <c r="H53" s="990"/>
      <c r="I53" s="31">
        <f>[1]March_2026!$N57</f>
        <v>10</v>
      </c>
      <c r="J53" s="32">
        <f>[1]March_2026!$Q57</f>
        <v>81.708333333333329</v>
      </c>
      <c r="K53" s="32">
        <f>[1]March_2026!$F57</f>
        <v>338</v>
      </c>
      <c r="L53" s="1016"/>
      <c r="M53" s="169">
        <f>[2]Mar!$G56</f>
        <v>0.61458333333333337</v>
      </c>
      <c r="N53" s="32">
        <f>[1]March_2026!$M57</f>
        <v>185</v>
      </c>
      <c r="O53" s="406">
        <f>[2]Mar!$I56</f>
        <v>5</v>
      </c>
      <c r="P53" s="32">
        <f>[1]March_2026!$I57</f>
        <v>0</v>
      </c>
      <c r="Q53" s="1158"/>
      <c r="R53" s="996"/>
      <c r="S53" s="586">
        <f t="shared" si="3"/>
        <v>0.49144448311869127</v>
      </c>
      <c r="T53" s="996"/>
      <c r="U53" s="920">
        <f>[1]March_2026!$S57</f>
        <v>0</v>
      </c>
      <c r="V53" s="926" t="s">
        <v>1098</v>
      </c>
    </row>
    <row r="54" spans="2:22" s="19" customFormat="1" ht="77.25" thickBot="1" x14ac:dyDescent="0.25">
      <c r="B54" s="168">
        <f>[1]March_2026!$B58</f>
        <v>46112</v>
      </c>
      <c r="C54" s="602" t="str">
        <f>[1]March_2026!$D58</f>
        <v>VITA MALT (CLASSIC</v>
      </c>
      <c r="D54" s="27">
        <v>4900</v>
      </c>
      <c r="E54" s="28">
        <f>[2]Mar!$E57</f>
        <v>1.75</v>
      </c>
      <c r="F54" s="29">
        <f>[1]March_2026!$J58</f>
        <v>158.90000000000003</v>
      </c>
      <c r="G54" s="30">
        <f>[1]March_2026!$G58</f>
        <v>2239</v>
      </c>
      <c r="H54" s="29">
        <f>[1]March_2026!$K58</f>
        <v>158.52119999999999</v>
      </c>
      <c r="I54" s="31">
        <f>[1]March_2026!$N58</f>
        <v>0</v>
      </c>
      <c r="J54" s="32">
        <f>[1]March_2026!$Q58</f>
        <v>93.291666666666671</v>
      </c>
      <c r="K54" s="32">
        <f>[1]March_2026!$F58</f>
        <v>346</v>
      </c>
      <c r="L54" s="999"/>
      <c r="M54" s="169">
        <f>[2]Mar!$G57</f>
        <v>2.0381944444444446</v>
      </c>
      <c r="N54" s="32">
        <f>[1]March_2026!$M58</f>
        <v>276</v>
      </c>
      <c r="O54" s="406">
        <f>[2]Mar!$I57</f>
        <v>108</v>
      </c>
      <c r="P54" s="32">
        <f>[1]March_2026!$I58</f>
        <v>0</v>
      </c>
      <c r="Q54" s="837">
        <f>[1]March_2026!$P58</f>
        <v>0.23838892385150459</v>
      </c>
      <c r="R54" s="1020"/>
      <c r="S54" s="586">
        <f t="shared" si="3"/>
        <v>0.54814008840530437</v>
      </c>
      <c r="T54" s="1020"/>
      <c r="U54" s="920">
        <f>[1]March_2026!$S58</f>
        <v>1.2248366013071894E-2</v>
      </c>
      <c r="V54" s="926" t="s">
        <v>1099</v>
      </c>
    </row>
    <row r="55" spans="2:22" s="19" customFormat="1" ht="26.25" hidden="1" thickBot="1" x14ac:dyDescent="0.25">
      <c r="B55" s="168"/>
      <c r="C55" s="602"/>
      <c r="D55" s="27"/>
      <c r="E55" s="28"/>
      <c r="F55" s="29"/>
      <c r="G55" s="30"/>
      <c r="H55" s="29"/>
      <c r="I55" s="31"/>
      <c r="J55" s="32"/>
      <c r="K55" s="32"/>
      <c r="L55" s="464"/>
      <c r="M55" s="169"/>
      <c r="N55" s="32"/>
      <c r="O55" s="406"/>
      <c r="P55" s="32"/>
      <c r="Q55" s="33"/>
      <c r="R55" s="653"/>
      <c r="S55" s="651"/>
      <c r="T55" s="665"/>
      <c r="U55" s="900"/>
      <c r="V55" s="926"/>
    </row>
    <row r="56" spans="2:22" s="19" customFormat="1" ht="26.25" hidden="1" thickBot="1" x14ac:dyDescent="0.25">
      <c r="B56" s="168"/>
      <c r="C56" s="602"/>
      <c r="D56" s="27"/>
      <c r="E56" s="28"/>
      <c r="F56" s="29"/>
      <c r="G56" s="30"/>
      <c r="H56" s="29"/>
      <c r="I56" s="31"/>
      <c r="J56" s="32"/>
      <c r="K56" s="32"/>
      <c r="L56" s="464"/>
      <c r="M56" s="169"/>
      <c r="N56" s="32"/>
      <c r="O56" s="406"/>
      <c r="P56" s="32"/>
      <c r="Q56" s="33"/>
      <c r="R56" s="653"/>
      <c r="S56" s="651"/>
      <c r="T56" s="665"/>
      <c r="U56" s="900"/>
      <c r="V56" s="926"/>
    </row>
    <row r="57" spans="2:22" s="19" customFormat="1" ht="26.25" thickBot="1" x14ac:dyDescent="0.25">
      <c r="B57" s="168"/>
      <c r="C57" s="602"/>
      <c r="D57" s="27"/>
      <c r="E57" s="28"/>
      <c r="F57" s="29"/>
      <c r="G57" s="30"/>
      <c r="H57" s="29"/>
      <c r="I57" s="31"/>
      <c r="J57" s="32"/>
      <c r="K57" s="32"/>
      <c r="L57" s="464"/>
      <c r="M57" s="169"/>
      <c r="N57" s="32"/>
      <c r="O57" s="406"/>
      <c r="P57" s="32"/>
      <c r="Q57" s="33"/>
      <c r="R57" s="653"/>
      <c r="S57" s="651"/>
      <c r="T57" s="665"/>
      <c r="U57" s="900"/>
      <c r="V57" s="926"/>
    </row>
    <row r="58" spans="2:22" s="19" customFormat="1" ht="26.25" thickBot="1" x14ac:dyDescent="0.25">
      <c r="B58" s="240" t="s">
        <v>3</v>
      </c>
      <c r="C58" s="241"/>
      <c r="D58" s="242">
        <f>SUM(D4:D55)</f>
        <v>131624</v>
      </c>
      <c r="E58" s="243">
        <f>AVERAGE(E4:E55)</f>
        <v>1.2755416666666668</v>
      </c>
      <c r="F58" s="244">
        <f>SUM(F4:F57)</f>
        <v>8979.8559999999998</v>
      </c>
      <c r="G58" s="242">
        <f>SUM(G4:G55)</f>
        <v>132754</v>
      </c>
      <c r="H58" s="244">
        <f>SUM(H4:H55)</f>
        <v>8829.0448000000015</v>
      </c>
      <c r="I58" s="245">
        <f>SUM(I4:I55)</f>
        <v>304.5</v>
      </c>
      <c r="J58" s="245">
        <f>G58/(L58/60)</f>
        <v>263.86325239341437</v>
      </c>
      <c r="K58" s="242">
        <f>SUM(K4:K55)</f>
        <v>22611</v>
      </c>
      <c r="L58" s="466">
        <f>SUM(L4:L55)</f>
        <v>30187</v>
      </c>
      <c r="M58" s="246">
        <f>AVERAGE(M4:M57)</f>
        <v>1.2961451247165532</v>
      </c>
      <c r="N58" s="242">
        <f>SUM(N4:N55)</f>
        <v>13632</v>
      </c>
      <c r="O58" s="245">
        <f>SUM(O4:O57)</f>
        <v>1276</v>
      </c>
      <c r="P58" s="245">
        <f>SUM(P4:P57)</f>
        <v>548</v>
      </c>
      <c r="Q58" s="292">
        <f>(F58-H58)/F58</f>
        <v>1.6794389575957375E-2</v>
      </c>
      <c r="R58" s="875">
        <f>($G58)/(($L58/60)*X$3*(1/24))</f>
        <v>0.37251282690834969</v>
      </c>
      <c r="S58" s="556">
        <f>(G58)*24/((K58)/60)/$X$3</f>
        <v>0.49732628835002224</v>
      </c>
      <c r="T58" s="559">
        <f>(30049-((N58)-[2]Mar!$H$62-[2]Mar!$I$62-[2]Mar!$J$62-[2]Mar!$K$62-[2]Mar!$L$62-[2]Mar!$M$62-[2]Mar!$N$62-[2]Mar!$Z$62-[2]Mar!$AA$62-[2]Mar!$AB$62-[2]Mar!$AC$62))/30049</f>
        <v>0.6911045292688609</v>
      </c>
      <c r="U58" s="905">
        <f>SUM(U4:U57)</f>
        <v>0.96169141476442033</v>
      </c>
      <c r="V58" s="926"/>
    </row>
    <row r="59" spans="2:22" s="724" customFormat="1" ht="65.099999999999994" customHeight="1" thickTop="1" x14ac:dyDescent="0.2">
      <c r="B59" s="714" t="s">
        <v>861</v>
      </c>
      <c r="C59" s="715"/>
      <c r="D59" s="716"/>
      <c r="E59" s="717"/>
      <c r="F59" s="718"/>
      <c r="G59" s="716"/>
      <c r="H59" s="718"/>
      <c r="I59" s="719"/>
      <c r="J59" s="719">
        <v>350</v>
      </c>
      <c r="K59" s="716"/>
      <c r="L59" s="716"/>
      <c r="M59" s="720"/>
      <c r="N59" s="716"/>
      <c r="O59" s="721"/>
      <c r="P59" s="722"/>
      <c r="Q59" s="668">
        <v>1.7999999999999999E-2</v>
      </c>
      <c r="R59" s="666">
        <v>0.56000000000000005</v>
      </c>
      <c r="S59" s="666">
        <v>0.66</v>
      </c>
      <c r="T59" s="667">
        <v>0.8</v>
      </c>
      <c r="U59" s="728"/>
      <c r="V59" s="940"/>
    </row>
    <row r="60" spans="2:22" s="1" customFormat="1" ht="23.25" x14ac:dyDescent="0.3">
      <c r="G60" s="470"/>
      <c r="H60" s="467"/>
      <c r="J60"/>
      <c r="K60"/>
      <c r="L60"/>
      <c r="M60"/>
      <c r="N60"/>
      <c r="O60" s="392"/>
      <c r="P60" s="2"/>
      <c r="R60"/>
      <c r="S60"/>
      <c r="V60" s="941"/>
    </row>
    <row r="61" spans="2:22" s="1" customFormat="1" ht="23.25" x14ac:dyDescent="0.3">
      <c r="G61" s="470"/>
      <c r="H61" s="467"/>
      <c r="J61"/>
      <c r="K61"/>
      <c r="L61"/>
      <c r="M61"/>
      <c r="N61"/>
      <c r="O61" s="392"/>
      <c r="P61" s="2"/>
      <c r="R61"/>
      <c r="S61"/>
      <c r="V61" s="941"/>
    </row>
    <row r="62" spans="2:22" s="478" customFormat="1" ht="26.25" x14ac:dyDescent="0.4">
      <c r="B62" s="489"/>
      <c r="C62" s="469" t="s">
        <v>849</v>
      </c>
      <c r="D62" s="820">
        <v>146375</v>
      </c>
      <c r="E62" s="469" t="s">
        <v>481</v>
      </c>
      <c r="F62" s="469"/>
      <c r="G62" s="470">
        <f>D62-G58</f>
        <v>13621</v>
      </c>
      <c r="H62" s="469" t="s">
        <v>327</v>
      </c>
      <c r="I62" s="471">
        <f>G58/D62</f>
        <v>0.90694449188727588</v>
      </c>
      <c r="J62" s="472">
        <v>0</v>
      </c>
      <c r="K62" s="473"/>
      <c r="L62" s="473"/>
      <c r="M62" s="473"/>
      <c r="N62" s="473"/>
      <c r="O62" s="473"/>
      <c r="P62" s="490"/>
      <c r="Q62" s="491"/>
      <c r="R62" s="492"/>
      <c r="S62" s="772"/>
      <c r="T62" s="493"/>
      <c r="U62" s="1"/>
      <c r="V62" s="942" t="s">
        <v>48</v>
      </c>
    </row>
    <row r="63" spans="2:22" s="478" customFormat="1" ht="26.25" x14ac:dyDescent="0.4">
      <c r="B63" s="489"/>
      <c r="C63" s="469" t="s">
        <v>37</v>
      </c>
      <c r="D63" s="648">
        <f>January_26!G107+February_26!D64+D62</f>
        <v>275389</v>
      </c>
      <c r="E63" s="469" t="s">
        <v>36</v>
      </c>
      <c r="F63" s="469"/>
      <c r="G63" s="470">
        <f>SUM(January_26!G103,February_26!G60,March_26!G58)</f>
        <v>333457</v>
      </c>
      <c r="H63" s="469" t="s">
        <v>326</v>
      </c>
      <c r="I63" s="474">
        <v>0</v>
      </c>
      <c r="J63" s="472"/>
      <c r="K63" s="473">
        <v>0</v>
      </c>
      <c r="L63" s="597"/>
      <c r="M63" s="597"/>
      <c r="N63" s="597"/>
      <c r="O63" s="597"/>
      <c r="P63" s="490"/>
      <c r="Q63" s="491"/>
      <c r="R63" s="492"/>
      <c r="S63" s="493"/>
      <c r="T63" s="493"/>
      <c r="U63" s="1"/>
      <c r="V63" s="942"/>
    </row>
    <row r="64" spans="2:22" ht="24" thickBot="1" x14ac:dyDescent="0.4">
      <c r="C64" s="479"/>
      <c r="D64" s="470"/>
      <c r="E64" s="469"/>
      <c r="F64" s="469"/>
      <c r="G64" s="470"/>
      <c r="H64" s="476"/>
      <c r="I64" s="476"/>
      <c r="J64" s="472"/>
      <c r="K64" s="478"/>
      <c r="L64" s="597"/>
      <c r="M64" s="597"/>
      <c r="N64" s="597"/>
      <c r="O64" s="597"/>
      <c r="P64"/>
      <c r="U64" s="493"/>
      <c r="V64" s="943"/>
    </row>
    <row r="65" spans="2:22" ht="84" customHeight="1" thickTop="1" thickBot="1" x14ac:dyDescent="0.25">
      <c r="B65" s="7"/>
      <c r="C65" s="495" t="s">
        <v>19</v>
      </c>
      <c r="D65" s="496" t="s">
        <v>14</v>
      </c>
      <c r="E65" s="496" t="s">
        <v>23</v>
      </c>
      <c r="F65" s="496" t="s">
        <v>24</v>
      </c>
      <c r="G65" s="497" t="s">
        <v>15</v>
      </c>
      <c r="H65" s="496" t="s">
        <v>17</v>
      </c>
      <c r="I65" s="496" t="s">
        <v>16</v>
      </c>
      <c r="J65" s="498" t="s">
        <v>600</v>
      </c>
      <c r="K65" s="499" t="s">
        <v>599</v>
      </c>
      <c r="L65" s="597"/>
      <c r="M65" s="597"/>
      <c r="N65" s="597"/>
      <c r="O65" s="597"/>
      <c r="P65" s="459"/>
      <c r="Q65" s="537" t="s">
        <v>325</v>
      </c>
      <c r="R65" s="538" t="s">
        <v>467</v>
      </c>
      <c r="S65" s="539" t="s">
        <v>324</v>
      </c>
      <c r="T65" s="524" t="s">
        <v>576</v>
      </c>
      <c r="U65" s="901"/>
    </row>
    <row r="66" spans="2:22" ht="36" customHeight="1" thickBot="1" x14ac:dyDescent="0.45">
      <c r="B66" s="8"/>
      <c r="C66" s="500">
        <v>1</v>
      </c>
      <c r="D66" s="501" t="s">
        <v>20</v>
      </c>
      <c r="E66" s="502"/>
      <c r="F66" s="502"/>
      <c r="G66" s="502"/>
      <c r="H66" s="502"/>
      <c r="I66" s="552" t="e">
        <f t="shared" ref="I66:I73" si="4">(G66-H66)/G66</f>
        <v>#DIV/0!</v>
      </c>
      <c r="J66" s="543" t="e">
        <f>(E66)*24/(F66/60)/17000</f>
        <v>#DIV/0!</v>
      </c>
      <c r="K66" s="544" t="e">
        <f>AVERAGE(January_26!J111,February_26!J68,J66)</f>
        <v>#DIV/0!</v>
      </c>
      <c r="L66" s="597"/>
      <c r="M66" s="597"/>
      <c r="N66" s="597"/>
      <c r="O66" s="597"/>
      <c r="P66"/>
      <c r="Q66" s="540">
        <f>S77</f>
        <v>1.9445389586246389E-2</v>
      </c>
      <c r="R66" s="558">
        <f>(((January_26!R103*January_26!G103))+(February_26!R60*(February_26!G60))+(March_26!R58*(March_26!G58)))/G63</f>
        <v>0.34650833194111302</v>
      </c>
      <c r="S66" s="558">
        <f>S76</f>
        <v>0.4639047647570862</v>
      </c>
      <c r="T66" s="568">
        <f>AVERAGE(January_26!T103,February_26!T60,T58)</f>
        <v>0.66794382462901025</v>
      </c>
      <c r="U66" s="902"/>
    </row>
    <row r="67" spans="2:22" s="1" customFormat="1" ht="27.75" x14ac:dyDescent="0.4">
      <c r="B67" s="8"/>
      <c r="C67" s="505">
        <v>2</v>
      </c>
      <c r="D67" s="506" t="s">
        <v>21</v>
      </c>
      <c r="E67" s="502"/>
      <c r="F67" s="502"/>
      <c r="G67" s="502"/>
      <c r="H67" s="502"/>
      <c r="I67" s="552" t="e">
        <f>(G67-H67)/G67</f>
        <v>#DIV/0!</v>
      </c>
      <c r="J67" s="543" t="e">
        <f t="shared" ref="J67:J72" si="5">(E67)*24/(F67/60)/17000</f>
        <v>#DIV/0!</v>
      </c>
      <c r="K67" s="544" t="e">
        <f>AVERAGE(January_26!J112,February_26!J69,J67)</f>
        <v>#DIV/0!</v>
      </c>
      <c r="L67" s="597"/>
      <c r="M67" s="597"/>
      <c r="N67" s="597"/>
      <c r="O67" s="597"/>
      <c r="P67" s="2"/>
      <c r="R67"/>
      <c r="S67"/>
      <c r="V67" s="941"/>
    </row>
    <row r="68" spans="2:22" s="1" customFormat="1" ht="27.75" x14ac:dyDescent="0.4">
      <c r="B68" s="8"/>
      <c r="C68" s="500">
        <v>3</v>
      </c>
      <c r="D68" s="506" t="s">
        <v>846</v>
      </c>
      <c r="E68" s="502"/>
      <c r="F68" s="502"/>
      <c r="G68" s="502"/>
      <c r="H68" s="502"/>
      <c r="I68" s="552" t="e">
        <f t="shared" si="4"/>
        <v>#DIV/0!</v>
      </c>
      <c r="J68" s="543" t="e">
        <f t="shared" si="5"/>
        <v>#DIV/0!</v>
      </c>
      <c r="K68" s="544" t="e">
        <f>AVERAGE(January_26!J113,February_26!J70,J68)</f>
        <v>#DIV/0!</v>
      </c>
      <c r="L68" s="597"/>
      <c r="M68" s="597"/>
      <c r="N68" s="597"/>
      <c r="O68" s="597"/>
      <c r="P68" s="2"/>
      <c r="R68"/>
      <c r="S68"/>
      <c r="V68" s="941"/>
    </row>
    <row r="69" spans="2:22" s="1" customFormat="1" ht="27.75" x14ac:dyDescent="0.4">
      <c r="B69" s="8"/>
      <c r="C69" s="505">
        <v>4</v>
      </c>
      <c r="D69" s="506" t="s">
        <v>18</v>
      </c>
      <c r="E69" s="510"/>
      <c r="F69" s="510"/>
      <c r="G69" s="510"/>
      <c r="H69" s="510"/>
      <c r="I69" s="552" t="e">
        <f t="shared" si="4"/>
        <v>#DIV/0!</v>
      </c>
      <c r="J69" s="543" t="e">
        <f t="shared" si="5"/>
        <v>#DIV/0!</v>
      </c>
      <c r="K69" s="544" t="e">
        <f>AVERAGE(January_26!J114,February_26!J71,J69)</f>
        <v>#DIV/0!</v>
      </c>
      <c r="L69" s="597"/>
      <c r="M69" s="597" t="s">
        <v>845</v>
      </c>
      <c r="N69" s="597"/>
      <c r="O69" s="597"/>
      <c r="P69" s="2"/>
      <c r="Q69" s="159"/>
      <c r="R69" s="160"/>
      <c r="S69" s="161"/>
      <c r="T69" s="234"/>
      <c r="V69" s="941"/>
    </row>
    <row r="70" spans="2:22" s="1" customFormat="1" ht="27.75" x14ac:dyDescent="0.4">
      <c r="B70" s="8"/>
      <c r="C70" s="500">
        <v>5</v>
      </c>
      <c r="D70" s="509" t="s">
        <v>26</v>
      </c>
      <c r="E70" s="510"/>
      <c r="F70" s="510"/>
      <c r="G70" s="510"/>
      <c r="H70" s="510"/>
      <c r="I70" s="552" t="e">
        <f t="shared" si="4"/>
        <v>#DIV/0!</v>
      </c>
      <c r="J70" s="543" t="e">
        <f t="shared" si="5"/>
        <v>#DIV/0!</v>
      </c>
      <c r="K70" s="544" t="e">
        <f>AVERAGE(January_26!J115,February_26!J72,J70)</f>
        <v>#DIV/0!</v>
      </c>
      <c r="L70" s="597"/>
      <c r="M70" s="597"/>
      <c r="N70" s="597"/>
      <c r="O70" s="597"/>
      <c r="P70" s="2"/>
      <c r="Q70" s="159"/>
      <c r="R70"/>
      <c r="S70" s="6"/>
      <c r="T70" s="10"/>
      <c r="V70" s="941"/>
    </row>
    <row r="71" spans="2:22" s="1" customFormat="1" ht="27.75" x14ac:dyDescent="0.4">
      <c r="B71" s="8"/>
      <c r="C71" s="505">
        <v>6</v>
      </c>
      <c r="D71" s="506" t="s">
        <v>25</v>
      </c>
      <c r="E71" s="510"/>
      <c r="F71" s="510"/>
      <c r="G71" s="510"/>
      <c r="H71" s="510"/>
      <c r="I71" s="552" t="e">
        <f t="shared" si="4"/>
        <v>#DIV/0!</v>
      </c>
      <c r="J71" s="543" t="e">
        <f t="shared" si="5"/>
        <v>#DIV/0!</v>
      </c>
      <c r="K71" s="544" t="e">
        <f>AVERAGE(January_26!J116,February_26!J73,J71)</f>
        <v>#DIV/0!</v>
      </c>
      <c r="L71" s="597"/>
      <c r="M71" s="597"/>
      <c r="N71" s="597"/>
      <c r="O71" s="597"/>
      <c r="P71" s="2"/>
      <c r="Q71" s="159"/>
      <c r="R71" s="465"/>
      <c r="S71" s="139"/>
      <c r="U71" s="234"/>
      <c r="V71" s="941"/>
    </row>
    <row r="72" spans="2:22" s="1" customFormat="1" ht="27.75" x14ac:dyDescent="0.4">
      <c r="B72" s="8"/>
      <c r="C72" s="526">
        <v>7</v>
      </c>
      <c r="D72" s="509" t="s">
        <v>847</v>
      </c>
      <c r="E72" s="510"/>
      <c r="F72" s="510"/>
      <c r="G72" s="510"/>
      <c r="H72" s="510"/>
      <c r="I72" s="552" t="e">
        <f t="shared" si="4"/>
        <v>#DIV/0!</v>
      </c>
      <c r="J72" s="543" t="e">
        <f t="shared" si="5"/>
        <v>#DIV/0!</v>
      </c>
      <c r="K72" s="544" t="e">
        <f>AVERAGE(January_26!J117,February_26!J74,J72)</f>
        <v>#DIV/0!</v>
      </c>
      <c r="L72" s="597"/>
      <c r="M72" s="597"/>
      <c r="N72" s="597"/>
      <c r="O72" s="597"/>
      <c r="P72" s="2"/>
      <c r="Q72" s="159"/>
      <c r="R72" s="465"/>
      <c r="S72" s="139"/>
      <c r="U72" s="10"/>
      <c r="V72" s="941"/>
    </row>
    <row r="73" spans="2:22" s="1" customFormat="1" ht="28.5" thickBot="1" x14ac:dyDescent="0.45">
      <c r="B73" s="8"/>
      <c r="C73" s="526">
        <v>8</v>
      </c>
      <c r="D73" s="598" t="s">
        <v>856</v>
      </c>
      <c r="E73" s="599"/>
      <c r="F73" s="599"/>
      <c r="G73" s="599"/>
      <c r="H73" s="599"/>
      <c r="I73" s="552" t="e">
        <f t="shared" si="4"/>
        <v>#DIV/0!</v>
      </c>
      <c r="J73" s="543" t="e">
        <f>(E73)*24/(F73/60)/17000</f>
        <v>#DIV/0!</v>
      </c>
      <c r="K73" s="544" t="e">
        <f>AVERAGE(January_26!J118,February_26!J75,J73)</f>
        <v>#DIV/0!</v>
      </c>
      <c r="L73" s="597"/>
      <c r="M73" s="597"/>
      <c r="N73" s="597"/>
      <c r="O73" s="597"/>
      <c r="P73" s="2"/>
      <c r="Q73" s="159"/>
      <c r="R73" s="465"/>
      <c r="S73" s="139"/>
      <c r="V73" s="941"/>
    </row>
    <row r="74" spans="2:22" s="1" customFormat="1" ht="28.5" thickBot="1" x14ac:dyDescent="0.45">
      <c r="C74" s="511"/>
      <c r="D74" s="512" t="s">
        <v>22</v>
      </c>
      <c r="E74" s="513">
        <f>SUM(E66:E73)</f>
        <v>0</v>
      </c>
      <c r="F74" s="513">
        <f>K58</f>
        <v>22611</v>
      </c>
      <c r="G74" s="513">
        <f>SUM(G66:G73)</f>
        <v>0</v>
      </c>
      <c r="H74" s="513">
        <f>SUM(H66:H73)</f>
        <v>0</v>
      </c>
      <c r="I74" s="551" t="e">
        <f>((G74)-(H74))/(G74)</f>
        <v>#DIV/0!</v>
      </c>
      <c r="J74" s="514">
        <f>E74*24/((F74)/60)/17000</f>
        <v>0</v>
      </c>
      <c r="K74" s="515">
        <f>S66</f>
        <v>0.4639047647570862</v>
      </c>
      <c r="L74" s="597"/>
      <c r="M74" s="597"/>
      <c r="N74" s="597"/>
      <c r="O74" s="597"/>
      <c r="P74" s="139" t="s">
        <v>845</v>
      </c>
      <c r="Q74" s="159"/>
      <c r="R74"/>
      <c r="S74" s="465"/>
      <c r="V74" s="941"/>
    </row>
    <row r="75" spans="2:22" s="1" customFormat="1" ht="27.75" customHeight="1" thickTop="1" thickBot="1" x14ac:dyDescent="0.3">
      <c r="C75" s="528"/>
      <c r="D75" s="528"/>
      <c r="E75" s="528"/>
      <c r="F75" s="528"/>
      <c r="G75" s="528"/>
      <c r="H75" s="528"/>
      <c r="I75" s="528"/>
      <c r="J75" s="529"/>
      <c r="K75" s="529"/>
      <c r="L75" s="529"/>
      <c r="M75" s="529"/>
      <c r="N75" s="529"/>
      <c r="O75" s="529"/>
      <c r="P75" s="530"/>
      <c r="Q75" s="528"/>
      <c r="R75"/>
      <c r="S75" s="128">
        <f>($P$76)*24/($Q$76/60)/17000</f>
        <v>0.4639047647570862</v>
      </c>
      <c r="V75" s="9"/>
    </row>
    <row r="76" spans="2:22" s="1" customFormat="1" ht="21" customHeight="1" thickTop="1" thickBot="1" x14ac:dyDescent="0.3">
      <c r="C76" s="528"/>
      <c r="D76" s="528"/>
      <c r="E76" s="528"/>
      <c r="F76" s="528"/>
      <c r="G76" s="528"/>
      <c r="H76" s="528"/>
      <c r="I76" s="528"/>
      <c r="J76" s="529"/>
      <c r="K76" s="529"/>
      <c r="L76" s="529"/>
      <c r="M76" s="529"/>
      <c r="N76" s="529"/>
      <c r="O76" s="600" t="s">
        <v>36</v>
      </c>
      <c r="P76" s="530">
        <f>G63</f>
        <v>333457</v>
      </c>
      <c r="Q76" s="531">
        <f>February_26!K60+January_26!K103+K58</f>
        <v>60887</v>
      </c>
      <c r="R76" s="316" t="s">
        <v>858</v>
      </c>
      <c r="S76" s="128">
        <f>($P$76)*24/($Q$76/60)/17000</f>
        <v>0.4639047647570862</v>
      </c>
      <c r="V76" s="9"/>
    </row>
    <row r="77" spans="2:22" s="1" customFormat="1" ht="21" customHeight="1" thickTop="1" thickBot="1" x14ac:dyDescent="0.35">
      <c r="C77" s="528"/>
      <c r="D77" s="528"/>
      <c r="E77" s="528"/>
      <c r="F77" s="528"/>
      <c r="G77" s="528"/>
      <c r="H77" s="528"/>
      <c r="I77" s="528"/>
      <c r="J77" s="529"/>
      <c r="K77" s="529"/>
      <c r="L77" s="529"/>
      <c r="M77" s="529"/>
      <c r="N77" s="529"/>
      <c r="O77" s="600" t="s">
        <v>857</v>
      </c>
      <c r="P77" s="530">
        <f>February_26!F60+January_26!F103+F58</f>
        <v>22584.265440000003</v>
      </c>
      <c r="Q77" s="532">
        <f>February_26!H60+January_26!H103+H58</f>
        <v>22145.105600000003</v>
      </c>
      <c r="R77" s="316" t="s">
        <v>859</v>
      </c>
      <c r="S77" s="87">
        <f>(P77-Q77)/P77</f>
        <v>1.9445389586246389E-2</v>
      </c>
      <c r="T77" s="463"/>
      <c r="V77" s="9"/>
    </row>
    <row r="78" spans="2:22" s="1" customFormat="1" ht="13.5" customHeight="1" thickTop="1" x14ac:dyDescent="0.25">
      <c r="C78" s="528"/>
      <c r="D78" s="528"/>
      <c r="E78" s="528"/>
      <c r="F78" s="528"/>
      <c r="G78" s="528"/>
      <c r="H78" s="528"/>
      <c r="I78" s="528"/>
      <c r="J78" s="529"/>
      <c r="K78" s="529"/>
      <c r="L78" s="529"/>
      <c r="M78" s="529"/>
      <c r="N78" s="529"/>
      <c r="O78" s="529"/>
      <c r="P78" s="530"/>
      <c r="Q78" s="528"/>
      <c r="R78"/>
      <c r="S78"/>
      <c r="V78" s="9"/>
    </row>
    <row r="79" spans="2:22" s="1" customFormat="1" ht="20.25" customHeight="1" x14ac:dyDescent="0.3">
      <c r="C79" s="601"/>
      <c r="D79" s="601"/>
      <c r="E79" s="601"/>
      <c r="F79" s="601"/>
      <c r="G79" s="601"/>
      <c r="H79" s="601"/>
      <c r="I79" s="601"/>
      <c r="J79" s="601"/>
      <c r="K79" s="601"/>
      <c r="L79" s="601"/>
      <c r="M79" s="601"/>
      <c r="N79" s="601"/>
      <c r="O79" s="601"/>
      <c r="P79" s="601"/>
      <c r="Q79" s="601"/>
      <c r="R79"/>
      <c r="S79"/>
      <c r="V79" s="9"/>
    </row>
    <row r="80" spans="2:22" s="1" customFormat="1" ht="20.25" x14ac:dyDescent="0.3">
      <c r="J80"/>
      <c r="K80"/>
      <c r="L80"/>
      <c r="M80"/>
      <c r="N80"/>
      <c r="O80" s="392"/>
      <c r="P80" s="2"/>
      <c r="R80"/>
      <c r="S80"/>
      <c r="U80" s="463"/>
      <c r="V80" s="941"/>
    </row>
    <row r="81" spans="10:22" s="1" customFormat="1" x14ac:dyDescent="0.2">
      <c r="J81"/>
      <c r="K81"/>
      <c r="L81"/>
      <c r="M81"/>
      <c r="N81"/>
      <c r="O81" s="392"/>
      <c r="P81" s="2"/>
      <c r="R81"/>
      <c r="S81"/>
      <c r="V81" s="941"/>
    </row>
    <row r="82" spans="10:22" s="1" customFormat="1" x14ac:dyDescent="0.2">
      <c r="J82"/>
      <c r="K82"/>
      <c r="L82"/>
      <c r="M82"/>
      <c r="N82"/>
      <c r="O82" s="392"/>
      <c r="P82" s="2"/>
      <c r="R82"/>
      <c r="S82"/>
      <c r="V82" s="941"/>
    </row>
    <row r="83" spans="10:22" s="1" customFormat="1" x14ac:dyDescent="0.2">
      <c r="J83"/>
      <c r="K83"/>
      <c r="L83"/>
      <c r="M83"/>
      <c r="N83"/>
      <c r="O83" s="392"/>
      <c r="P83" s="2"/>
      <c r="R83"/>
      <c r="S83"/>
      <c r="V83" s="941"/>
    </row>
    <row r="84" spans="10:22" s="1" customFormat="1" x14ac:dyDescent="0.2">
      <c r="J84"/>
      <c r="K84"/>
      <c r="L84"/>
      <c r="M84"/>
      <c r="N84"/>
      <c r="O84" s="392"/>
      <c r="P84" s="2"/>
      <c r="R84"/>
      <c r="S84"/>
      <c r="V84" s="941"/>
    </row>
    <row r="85" spans="10:22" s="1" customFormat="1" x14ac:dyDescent="0.2">
      <c r="J85"/>
      <c r="K85"/>
      <c r="L85"/>
      <c r="M85"/>
      <c r="N85"/>
      <c r="O85" s="392"/>
      <c r="P85" s="2"/>
      <c r="R85"/>
      <c r="S85"/>
      <c r="V85" s="941"/>
    </row>
    <row r="86" spans="10:22" s="1" customFormat="1" x14ac:dyDescent="0.2">
      <c r="J86"/>
      <c r="K86"/>
      <c r="L86"/>
      <c r="M86"/>
      <c r="N86"/>
      <c r="O86" s="392"/>
      <c r="P86" s="2"/>
      <c r="R86"/>
      <c r="S86"/>
      <c r="V86" s="941"/>
    </row>
    <row r="87" spans="10:22" s="1" customFormat="1" x14ac:dyDescent="0.2">
      <c r="J87"/>
      <c r="K87"/>
      <c r="L87"/>
      <c r="M87"/>
      <c r="N87"/>
      <c r="O87" s="392"/>
      <c r="P87" s="2"/>
      <c r="R87"/>
      <c r="S87"/>
      <c r="V87" s="941"/>
    </row>
    <row r="88" spans="10:22" s="1" customFormat="1" x14ac:dyDescent="0.2">
      <c r="J88"/>
      <c r="K88"/>
      <c r="L88"/>
      <c r="M88"/>
      <c r="N88"/>
      <c r="O88" s="392"/>
      <c r="P88" s="2"/>
      <c r="R88"/>
      <c r="S88"/>
      <c r="V88" s="941"/>
    </row>
    <row r="89" spans="10:22" s="1" customFormat="1" x14ac:dyDescent="0.2">
      <c r="J89"/>
      <c r="K89"/>
      <c r="L89"/>
      <c r="M89"/>
      <c r="N89"/>
      <c r="O89" s="392"/>
      <c r="P89" s="2"/>
      <c r="R89"/>
      <c r="S89"/>
      <c r="V89" s="941"/>
    </row>
    <row r="90" spans="10:22" s="1" customFormat="1" x14ac:dyDescent="0.2">
      <c r="J90"/>
      <c r="K90"/>
      <c r="L90"/>
      <c r="M90"/>
      <c r="N90"/>
      <c r="O90" s="392"/>
      <c r="P90" s="2"/>
      <c r="R90"/>
      <c r="S90"/>
      <c r="V90" s="941"/>
    </row>
    <row r="91" spans="10:22" s="1" customFormat="1" x14ac:dyDescent="0.2">
      <c r="J91"/>
      <c r="K91"/>
      <c r="L91"/>
      <c r="M91"/>
      <c r="N91"/>
      <c r="O91" s="392"/>
      <c r="P91" s="2"/>
      <c r="R91"/>
      <c r="S91"/>
      <c r="V91" s="941"/>
    </row>
    <row r="92" spans="10:22" s="1" customFormat="1" x14ac:dyDescent="0.2">
      <c r="J92"/>
      <c r="K92"/>
      <c r="L92"/>
      <c r="M92"/>
      <c r="N92"/>
      <c r="O92" s="392"/>
      <c r="P92" s="2"/>
      <c r="R92"/>
      <c r="S92"/>
      <c r="V92" s="941"/>
    </row>
    <row r="93" spans="10:22" s="1" customFormat="1" x14ac:dyDescent="0.2">
      <c r="J93"/>
      <c r="K93"/>
      <c r="L93"/>
      <c r="M93"/>
      <c r="N93"/>
      <c r="O93" s="392"/>
      <c r="P93" s="2"/>
      <c r="R93"/>
      <c r="S93"/>
      <c r="V93" s="941"/>
    </row>
    <row r="94" spans="10:22" s="1" customFormat="1" x14ac:dyDescent="0.2">
      <c r="J94"/>
      <c r="K94"/>
      <c r="L94"/>
      <c r="M94"/>
      <c r="N94"/>
      <c r="O94" s="392"/>
      <c r="P94" s="2"/>
      <c r="R94"/>
      <c r="S94"/>
      <c r="V94" s="941"/>
    </row>
    <row r="95" spans="10:22" s="1" customFormat="1" x14ac:dyDescent="0.2">
      <c r="J95"/>
      <c r="K95"/>
      <c r="L95"/>
      <c r="M95"/>
      <c r="N95"/>
      <c r="O95" s="392"/>
      <c r="P95" s="2"/>
      <c r="R95"/>
      <c r="S95"/>
      <c r="V95" s="941"/>
    </row>
    <row r="96" spans="10:22" s="1" customFormat="1" x14ac:dyDescent="0.2">
      <c r="J96"/>
      <c r="K96"/>
      <c r="L96"/>
      <c r="M96"/>
      <c r="N96"/>
      <c r="O96" s="392"/>
      <c r="P96" s="2"/>
      <c r="R96"/>
      <c r="S96"/>
      <c r="V96" s="941"/>
    </row>
    <row r="97" spans="10:22" s="1" customFormat="1" x14ac:dyDescent="0.2">
      <c r="J97"/>
      <c r="K97"/>
      <c r="L97"/>
      <c r="M97"/>
      <c r="N97"/>
      <c r="O97" s="392"/>
      <c r="P97" s="2"/>
      <c r="R97"/>
      <c r="S97"/>
      <c r="V97" s="941"/>
    </row>
    <row r="98" spans="10:22" s="1" customFormat="1" x14ac:dyDescent="0.2">
      <c r="J98"/>
      <c r="K98"/>
      <c r="L98"/>
      <c r="M98"/>
      <c r="N98"/>
      <c r="O98" s="392"/>
      <c r="P98" s="2"/>
      <c r="R98"/>
      <c r="S98"/>
      <c r="V98" s="941"/>
    </row>
    <row r="99" spans="10:22" s="1" customFormat="1" x14ac:dyDescent="0.2">
      <c r="J99"/>
      <c r="K99"/>
      <c r="L99"/>
      <c r="M99"/>
      <c r="N99"/>
      <c r="O99" s="392"/>
      <c r="P99" s="2"/>
      <c r="R99"/>
      <c r="S99"/>
      <c r="V99" s="941"/>
    </row>
    <row r="100" spans="10:22" s="1" customFormat="1" x14ac:dyDescent="0.2">
      <c r="J100"/>
      <c r="K100"/>
      <c r="L100"/>
      <c r="M100"/>
      <c r="N100"/>
      <c r="O100" s="392"/>
      <c r="P100" s="2"/>
      <c r="R100"/>
      <c r="S100"/>
      <c r="V100" s="941"/>
    </row>
    <row r="101" spans="10:22" s="1" customFormat="1" x14ac:dyDescent="0.2">
      <c r="J101"/>
      <c r="K101"/>
      <c r="L101"/>
      <c r="M101"/>
      <c r="N101"/>
      <c r="O101" s="392"/>
      <c r="P101" s="2"/>
      <c r="R101"/>
      <c r="S101"/>
      <c r="V101" s="941"/>
    </row>
    <row r="102" spans="10:22" s="1" customFormat="1" x14ac:dyDescent="0.2">
      <c r="J102"/>
      <c r="K102"/>
      <c r="L102"/>
      <c r="M102"/>
      <c r="N102"/>
      <c r="O102" s="392"/>
      <c r="P102" s="2"/>
      <c r="R102"/>
      <c r="S102"/>
      <c r="V102" s="941"/>
    </row>
    <row r="103" spans="10:22" s="1" customFormat="1" x14ac:dyDescent="0.2">
      <c r="J103"/>
      <c r="K103"/>
      <c r="L103"/>
      <c r="M103"/>
      <c r="N103"/>
      <c r="O103" s="392"/>
      <c r="P103" s="2"/>
      <c r="R103"/>
      <c r="S103"/>
      <c r="V103" s="941"/>
    </row>
    <row r="104" spans="10:22" s="1" customFormat="1" x14ac:dyDescent="0.2">
      <c r="J104"/>
      <c r="K104"/>
      <c r="L104"/>
      <c r="M104"/>
      <c r="N104"/>
      <c r="O104" s="392"/>
      <c r="P104" s="2"/>
      <c r="R104"/>
      <c r="S104"/>
      <c r="V104" s="941"/>
    </row>
    <row r="105" spans="10:22" s="1" customFormat="1" x14ac:dyDescent="0.2">
      <c r="J105"/>
      <c r="K105"/>
      <c r="L105"/>
      <c r="M105"/>
      <c r="N105"/>
      <c r="O105" s="392"/>
      <c r="P105" s="2"/>
      <c r="R105"/>
      <c r="S105"/>
      <c r="V105" s="941"/>
    </row>
    <row r="106" spans="10:22" s="1" customFormat="1" x14ac:dyDescent="0.2">
      <c r="J106"/>
      <c r="K106"/>
      <c r="L106"/>
      <c r="M106"/>
      <c r="N106"/>
      <c r="O106" s="392"/>
      <c r="P106" s="2"/>
      <c r="R106"/>
      <c r="S106"/>
      <c r="V106" s="941"/>
    </row>
    <row r="107" spans="10:22" s="1" customFormat="1" x14ac:dyDescent="0.2">
      <c r="J107"/>
      <c r="K107"/>
      <c r="L107"/>
      <c r="M107"/>
      <c r="N107"/>
      <c r="O107" s="392"/>
      <c r="P107" s="2"/>
      <c r="R107"/>
      <c r="S107"/>
      <c r="V107" s="941"/>
    </row>
    <row r="108" spans="10:22" s="1" customFormat="1" x14ac:dyDescent="0.2">
      <c r="J108"/>
      <c r="K108"/>
      <c r="L108"/>
      <c r="M108"/>
      <c r="N108"/>
      <c r="O108" s="392"/>
      <c r="P108" s="2"/>
      <c r="R108"/>
      <c r="S108"/>
      <c r="V108" s="941"/>
    </row>
    <row r="109" spans="10:22" s="1" customFormat="1" x14ac:dyDescent="0.2">
      <c r="J109"/>
      <c r="K109"/>
      <c r="L109"/>
      <c r="M109"/>
      <c r="N109"/>
      <c r="O109" s="392"/>
      <c r="P109" s="2"/>
      <c r="R109"/>
      <c r="S109"/>
      <c r="V109" s="941"/>
    </row>
    <row r="110" spans="10:22" s="1" customFormat="1" x14ac:dyDescent="0.2">
      <c r="J110"/>
      <c r="K110"/>
      <c r="L110"/>
      <c r="M110"/>
      <c r="N110"/>
      <c r="O110" s="392"/>
      <c r="P110" s="2"/>
      <c r="R110"/>
      <c r="S110"/>
      <c r="V110" s="941"/>
    </row>
    <row r="111" spans="10:22" s="1" customFormat="1" x14ac:dyDescent="0.2">
      <c r="J111"/>
      <c r="K111"/>
      <c r="L111"/>
      <c r="M111"/>
      <c r="N111"/>
      <c r="O111" s="392"/>
      <c r="P111" s="2"/>
      <c r="R111"/>
      <c r="S111"/>
      <c r="V111" s="941"/>
    </row>
    <row r="112" spans="10:22" s="1" customFormat="1" x14ac:dyDescent="0.2">
      <c r="J112"/>
      <c r="K112"/>
      <c r="L112"/>
      <c r="M112"/>
      <c r="N112"/>
      <c r="O112" s="392"/>
      <c r="P112" s="2"/>
      <c r="R112"/>
      <c r="S112"/>
      <c r="V112" s="941"/>
    </row>
    <row r="113" spans="10:22" s="1" customFormat="1" x14ac:dyDescent="0.2">
      <c r="J113"/>
      <c r="K113"/>
      <c r="L113"/>
      <c r="M113"/>
      <c r="N113"/>
      <c r="O113" s="392"/>
      <c r="P113" s="2"/>
      <c r="R113"/>
      <c r="S113"/>
      <c r="V113" s="941"/>
    </row>
    <row r="114" spans="10:22" s="1" customFormat="1" x14ac:dyDescent="0.2">
      <c r="J114"/>
      <c r="K114"/>
      <c r="L114"/>
      <c r="M114"/>
      <c r="N114"/>
      <c r="O114" s="392"/>
      <c r="P114" s="2"/>
      <c r="R114"/>
      <c r="S114"/>
      <c r="V114" s="941"/>
    </row>
    <row r="115" spans="10:22" s="1" customFormat="1" x14ac:dyDescent="0.2">
      <c r="J115"/>
      <c r="K115"/>
      <c r="L115"/>
      <c r="M115"/>
      <c r="N115"/>
      <c r="O115" s="392"/>
      <c r="P115" s="2"/>
      <c r="R115"/>
      <c r="S115"/>
      <c r="V115" s="941"/>
    </row>
    <row r="116" spans="10:22" s="1" customFormat="1" x14ac:dyDescent="0.2">
      <c r="J116"/>
      <c r="K116"/>
      <c r="L116"/>
      <c r="M116"/>
      <c r="N116"/>
      <c r="O116" s="392"/>
      <c r="P116" s="2"/>
      <c r="R116"/>
      <c r="S116"/>
      <c r="V116" s="941"/>
    </row>
    <row r="117" spans="10:22" s="1" customFormat="1" x14ac:dyDescent="0.2">
      <c r="J117"/>
      <c r="K117"/>
      <c r="L117"/>
      <c r="M117"/>
      <c r="N117"/>
      <c r="O117" s="392"/>
      <c r="P117" s="2"/>
      <c r="R117"/>
      <c r="S117"/>
      <c r="V117" s="941"/>
    </row>
    <row r="118" spans="10:22" s="1" customFormat="1" x14ac:dyDescent="0.2">
      <c r="J118"/>
      <c r="K118"/>
      <c r="L118"/>
      <c r="M118"/>
      <c r="N118"/>
      <c r="O118" s="392"/>
      <c r="P118" s="2"/>
      <c r="R118"/>
      <c r="S118"/>
      <c r="V118" s="941"/>
    </row>
    <row r="119" spans="10:22" s="1" customFormat="1" x14ac:dyDescent="0.2">
      <c r="J119"/>
      <c r="K119"/>
      <c r="L119"/>
      <c r="M119"/>
      <c r="N119"/>
      <c r="O119" s="392"/>
      <c r="P119" s="2"/>
      <c r="R119"/>
      <c r="S119"/>
      <c r="V119" s="941"/>
    </row>
    <row r="120" spans="10:22" s="1" customFormat="1" x14ac:dyDescent="0.2">
      <c r="J120"/>
      <c r="K120"/>
      <c r="L120"/>
      <c r="M120"/>
      <c r="N120"/>
      <c r="O120" s="392"/>
      <c r="P120" s="2"/>
      <c r="R120"/>
      <c r="S120"/>
      <c r="V120" s="941"/>
    </row>
    <row r="121" spans="10:22" s="1" customFormat="1" x14ac:dyDescent="0.2">
      <c r="J121"/>
      <c r="K121"/>
      <c r="L121"/>
      <c r="M121"/>
      <c r="N121"/>
      <c r="O121" s="392"/>
      <c r="P121" s="2"/>
      <c r="R121"/>
      <c r="S121"/>
      <c r="V121" s="941"/>
    </row>
    <row r="122" spans="10:22" s="1" customFormat="1" x14ac:dyDescent="0.2">
      <c r="J122"/>
      <c r="K122"/>
      <c r="L122"/>
      <c r="M122"/>
      <c r="N122"/>
      <c r="O122" s="392"/>
      <c r="P122" s="2"/>
      <c r="R122"/>
      <c r="S122"/>
      <c r="V122" s="941"/>
    </row>
    <row r="123" spans="10:22" s="1" customFormat="1" x14ac:dyDescent="0.2">
      <c r="J123"/>
      <c r="K123"/>
      <c r="L123"/>
      <c r="M123"/>
      <c r="N123"/>
      <c r="O123" s="392"/>
      <c r="P123" s="2"/>
      <c r="R123"/>
      <c r="S123"/>
      <c r="V123" s="941"/>
    </row>
    <row r="124" spans="10:22" s="1" customFormat="1" x14ac:dyDescent="0.2">
      <c r="J124"/>
      <c r="K124"/>
      <c r="L124"/>
      <c r="M124"/>
      <c r="N124"/>
      <c r="O124" s="392"/>
      <c r="P124" s="2"/>
      <c r="R124"/>
      <c r="S124"/>
      <c r="V124" s="941"/>
    </row>
    <row r="125" spans="10:22" s="1" customFormat="1" x14ac:dyDescent="0.2">
      <c r="J125"/>
      <c r="K125"/>
      <c r="L125"/>
      <c r="M125"/>
      <c r="N125"/>
      <c r="O125" s="392"/>
      <c r="P125" s="2"/>
      <c r="R125"/>
      <c r="S125"/>
      <c r="V125" s="941"/>
    </row>
    <row r="126" spans="10:22" s="1" customFormat="1" x14ac:dyDescent="0.2">
      <c r="J126"/>
      <c r="K126"/>
      <c r="L126"/>
      <c r="M126"/>
      <c r="N126"/>
      <c r="O126" s="392"/>
      <c r="P126" s="2"/>
      <c r="R126"/>
      <c r="S126"/>
      <c r="V126" s="941"/>
    </row>
    <row r="127" spans="10:22" s="1" customFormat="1" x14ac:dyDescent="0.2">
      <c r="J127"/>
      <c r="K127"/>
      <c r="L127"/>
      <c r="M127"/>
      <c r="N127"/>
      <c r="O127" s="392"/>
      <c r="P127" s="2"/>
      <c r="R127"/>
      <c r="S127"/>
      <c r="V127" s="941"/>
    </row>
    <row r="128" spans="10:22" s="1" customFormat="1" x14ac:dyDescent="0.2">
      <c r="J128"/>
      <c r="K128"/>
      <c r="L128"/>
      <c r="M128"/>
      <c r="N128"/>
      <c r="O128" s="392"/>
      <c r="P128" s="2"/>
      <c r="R128"/>
      <c r="S128"/>
      <c r="V128" s="941"/>
    </row>
    <row r="129" spans="10:22" s="1" customFormat="1" x14ac:dyDescent="0.2">
      <c r="J129"/>
      <c r="K129"/>
      <c r="L129"/>
      <c r="M129"/>
      <c r="N129"/>
      <c r="O129" s="392"/>
      <c r="P129" s="2"/>
      <c r="R129"/>
      <c r="S129"/>
      <c r="V129" s="941"/>
    </row>
    <row r="130" spans="10:22" s="1" customFormat="1" x14ac:dyDescent="0.2">
      <c r="J130"/>
      <c r="K130"/>
      <c r="L130"/>
      <c r="M130"/>
      <c r="N130"/>
      <c r="O130" s="392"/>
      <c r="P130" s="2"/>
      <c r="R130"/>
      <c r="S130"/>
      <c r="V130" s="941"/>
    </row>
    <row r="131" spans="10:22" s="1" customFormat="1" x14ac:dyDescent="0.2">
      <c r="J131"/>
      <c r="K131"/>
      <c r="L131"/>
      <c r="M131"/>
      <c r="N131"/>
      <c r="O131" s="392"/>
      <c r="P131" s="2"/>
      <c r="R131"/>
      <c r="S131"/>
      <c r="V131" s="941"/>
    </row>
    <row r="132" spans="10:22" s="1" customFormat="1" x14ac:dyDescent="0.2">
      <c r="J132"/>
      <c r="K132"/>
      <c r="L132"/>
      <c r="M132"/>
      <c r="N132"/>
      <c r="O132" s="392"/>
      <c r="P132" s="2"/>
      <c r="R132"/>
      <c r="S132"/>
      <c r="V132" s="941"/>
    </row>
    <row r="133" spans="10:22" s="1" customFormat="1" x14ac:dyDescent="0.2">
      <c r="J133"/>
      <c r="K133"/>
      <c r="L133"/>
      <c r="M133"/>
      <c r="N133"/>
      <c r="O133" s="392"/>
      <c r="P133" s="2"/>
      <c r="R133"/>
      <c r="S133"/>
      <c r="V133" s="941"/>
    </row>
    <row r="134" spans="10:22" s="1" customFormat="1" x14ac:dyDescent="0.2">
      <c r="J134"/>
      <c r="K134"/>
      <c r="L134"/>
      <c r="M134"/>
      <c r="N134"/>
      <c r="O134" s="392"/>
      <c r="P134" s="2"/>
      <c r="R134"/>
      <c r="S134"/>
      <c r="V134" s="941"/>
    </row>
    <row r="135" spans="10:22" s="1" customFormat="1" x14ac:dyDescent="0.2">
      <c r="J135"/>
      <c r="K135"/>
      <c r="L135"/>
      <c r="M135"/>
      <c r="N135"/>
      <c r="O135" s="392"/>
      <c r="P135" s="2"/>
      <c r="R135"/>
      <c r="S135"/>
      <c r="V135" s="941"/>
    </row>
    <row r="136" spans="10:22" s="1" customFormat="1" x14ac:dyDescent="0.2">
      <c r="J136"/>
      <c r="K136"/>
      <c r="L136"/>
      <c r="M136"/>
      <c r="N136"/>
      <c r="O136" s="392"/>
      <c r="P136" s="2"/>
      <c r="R136"/>
      <c r="S136"/>
      <c r="V136" s="941"/>
    </row>
    <row r="137" spans="10:22" s="1" customFormat="1" x14ac:dyDescent="0.2">
      <c r="J137"/>
      <c r="K137"/>
      <c r="L137"/>
      <c r="M137"/>
      <c r="N137"/>
      <c r="O137" s="392"/>
      <c r="P137" s="2"/>
      <c r="R137"/>
      <c r="S137"/>
      <c r="V137" s="941"/>
    </row>
    <row r="138" spans="10:22" s="1" customFormat="1" x14ac:dyDescent="0.2">
      <c r="J138"/>
      <c r="K138"/>
      <c r="L138"/>
      <c r="M138"/>
      <c r="N138"/>
      <c r="O138" s="392"/>
      <c r="P138" s="2"/>
      <c r="R138"/>
      <c r="S138"/>
      <c r="V138" s="941"/>
    </row>
    <row r="139" spans="10:22" s="1" customFormat="1" x14ac:dyDescent="0.2">
      <c r="J139"/>
      <c r="K139"/>
      <c r="L139"/>
      <c r="M139"/>
      <c r="N139"/>
      <c r="O139" s="392"/>
      <c r="P139" s="2"/>
      <c r="R139"/>
      <c r="S139"/>
      <c r="V139" s="941"/>
    </row>
    <row r="140" spans="10:22" s="1" customFormat="1" x14ac:dyDescent="0.2">
      <c r="J140"/>
      <c r="K140"/>
      <c r="L140"/>
      <c r="M140"/>
      <c r="N140"/>
      <c r="O140" s="392"/>
      <c r="P140" s="2"/>
      <c r="R140"/>
      <c r="S140"/>
      <c r="V140" s="941"/>
    </row>
    <row r="141" spans="10:22" s="1" customFormat="1" x14ac:dyDescent="0.2">
      <c r="J141"/>
      <c r="K141"/>
      <c r="L141"/>
      <c r="M141"/>
      <c r="N141"/>
      <c r="O141" s="392"/>
      <c r="P141" s="2"/>
      <c r="R141"/>
      <c r="S141"/>
      <c r="V141" s="941"/>
    </row>
    <row r="142" spans="10:22" s="1" customFormat="1" x14ac:dyDescent="0.2">
      <c r="J142"/>
      <c r="K142"/>
      <c r="L142"/>
      <c r="M142"/>
      <c r="N142"/>
      <c r="O142" s="392"/>
      <c r="P142" s="2"/>
      <c r="R142"/>
      <c r="S142"/>
      <c r="V142" s="941"/>
    </row>
    <row r="143" spans="10:22" s="1" customFormat="1" x14ac:dyDescent="0.2">
      <c r="J143"/>
      <c r="K143"/>
      <c r="L143"/>
      <c r="M143"/>
      <c r="N143"/>
      <c r="O143" s="392"/>
      <c r="P143" s="2"/>
      <c r="R143"/>
      <c r="S143"/>
      <c r="V143" s="941"/>
    </row>
    <row r="144" spans="10:22" s="1" customFormat="1" x14ac:dyDescent="0.2">
      <c r="J144"/>
      <c r="K144"/>
      <c r="L144"/>
      <c r="M144"/>
      <c r="N144"/>
      <c r="O144" s="392"/>
      <c r="P144" s="2"/>
      <c r="R144"/>
      <c r="S144"/>
      <c r="V144" s="941"/>
    </row>
    <row r="145" spans="10:22" s="1" customFormat="1" x14ac:dyDescent="0.2">
      <c r="J145"/>
      <c r="K145"/>
      <c r="L145"/>
      <c r="M145"/>
      <c r="N145"/>
      <c r="O145" s="392"/>
      <c r="P145" s="2"/>
      <c r="R145"/>
      <c r="S145"/>
      <c r="V145" s="941"/>
    </row>
    <row r="146" spans="10:22" s="1" customFormat="1" x14ac:dyDescent="0.2">
      <c r="J146"/>
      <c r="K146"/>
      <c r="L146"/>
      <c r="M146"/>
      <c r="N146"/>
      <c r="O146" s="392"/>
      <c r="P146" s="2"/>
      <c r="R146"/>
      <c r="S146"/>
      <c r="V146" s="941"/>
    </row>
    <row r="147" spans="10:22" s="1" customFormat="1" x14ac:dyDescent="0.2">
      <c r="J147"/>
      <c r="K147"/>
      <c r="L147"/>
      <c r="M147"/>
      <c r="N147"/>
      <c r="O147" s="392"/>
      <c r="P147" s="2"/>
      <c r="R147"/>
      <c r="S147"/>
      <c r="V147" s="941"/>
    </row>
    <row r="148" spans="10:22" s="1" customFormat="1" x14ac:dyDescent="0.2">
      <c r="J148"/>
      <c r="K148"/>
      <c r="L148"/>
      <c r="M148"/>
      <c r="N148"/>
      <c r="O148" s="392"/>
      <c r="P148" s="2"/>
      <c r="R148"/>
      <c r="S148"/>
      <c r="V148" s="941"/>
    </row>
    <row r="149" spans="10:22" s="1" customFormat="1" x14ac:dyDescent="0.2">
      <c r="J149"/>
      <c r="K149"/>
      <c r="L149"/>
      <c r="M149"/>
      <c r="N149"/>
      <c r="O149" s="392"/>
      <c r="P149" s="2"/>
      <c r="R149"/>
      <c r="S149"/>
      <c r="V149" s="941"/>
    </row>
    <row r="150" spans="10:22" s="1" customFormat="1" x14ac:dyDescent="0.2">
      <c r="J150"/>
      <c r="K150"/>
      <c r="L150"/>
      <c r="M150"/>
      <c r="N150"/>
      <c r="O150" s="392"/>
      <c r="P150" s="2"/>
      <c r="R150"/>
      <c r="S150"/>
      <c r="V150" s="941"/>
    </row>
    <row r="151" spans="10:22" s="1" customFormat="1" x14ac:dyDescent="0.2">
      <c r="J151"/>
      <c r="K151"/>
      <c r="L151"/>
      <c r="M151"/>
      <c r="N151"/>
      <c r="O151" s="392"/>
      <c r="P151" s="2"/>
      <c r="R151"/>
      <c r="S151"/>
      <c r="V151" s="941"/>
    </row>
    <row r="152" spans="10:22" s="1" customFormat="1" x14ac:dyDescent="0.2">
      <c r="J152"/>
      <c r="K152"/>
      <c r="L152"/>
      <c r="M152"/>
      <c r="N152"/>
      <c r="O152" s="392"/>
      <c r="P152" s="2"/>
      <c r="R152"/>
      <c r="S152"/>
      <c r="V152" s="941"/>
    </row>
    <row r="153" spans="10:22" s="1" customFormat="1" x14ac:dyDescent="0.2">
      <c r="J153"/>
      <c r="K153"/>
      <c r="L153"/>
      <c r="M153"/>
      <c r="N153"/>
      <c r="O153" s="392"/>
      <c r="P153" s="2"/>
      <c r="R153"/>
      <c r="S153"/>
      <c r="V153" s="941"/>
    </row>
    <row r="154" spans="10:22" s="1" customFormat="1" x14ac:dyDescent="0.2">
      <c r="J154"/>
      <c r="K154"/>
      <c r="L154"/>
      <c r="M154"/>
      <c r="N154"/>
      <c r="O154" s="392"/>
      <c r="P154" s="2"/>
      <c r="R154"/>
      <c r="S154"/>
      <c r="V154" s="941"/>
    </row>
    <row r="155" spans="10:22" s="1" customFormat="1" x14ac:dyDescent="0.2">
      <c r="J155"/>
      <c r="K155"/>
      <c r="L155"/>
      <c r="M155"/>
      <c r="N155"/>
      <c r="O155" s="392"/>
      <c r="P155" s="2"/>
      <c r="R155"/>
      <c r="S155"/>
      <c r="V155" s="941"/>
    </row>
    <row r="156" spans="10:22" s="1" customFormat="1" x14ac:dyDescent="0.2">
      <c r="J156"/>
      <c r="K156"/>
      <c r="L156"/>
      <c r="M156"/>
      <c r="N156"/>
      <c r="O156" s="392"/>
      <c r="P156" s="2"/>
      <c r="R156"/>
      <c r="S156"/>
      <c r="V156" s="941"/>
    </row>
    <row r="157" spans="10:22" s="1" customFormat="1" x14ac:dyDescent="0.2">
      <c r="J157"/>
      <c r="K157"/>
      <c r="L157"/>
      <c r="M157"/>
      <c r="N157"/>
      <c r="O157" s="392"/>
      <c r="P157" s="2"/>
      <c r="R157"/>
      <c r="S157"/>
      <c r="V157" s="941"/>
    </row>
    <row r="158" spans="10:22" s="1" customFormat="1" x14ac:dyDescent="0.2">
      <c r="J158"/>
      <c r="K158"/>
      <c r="L158"/>
      <c r="M158"/>
      <c r="N158"/>
      <c r="O158" s="392"/>
      <c r="P158" s="2"/>
      <c r="R158"/>
      <c r="S158"/>
      <c r="V158" s="941"/>
    </row>
    <row r="159" spans="10:22" s="1" customFormat="1" x14ac:dyDescent="0.2">
      <c r="J159"/>
      <c r="K159"/>
      <c r="L159"/>
      <c r="M159"/>
      <c r="N159"/>
      <c r="O159" s="392"/>
      <c r="P159" s="2"/>
      <c r="R159"/>
      <c r="S159"/>
      <c r="V159" s="941"/>
    </row>
    <row r="160" spans="10:22" s="1" customFormat="1" x14ac:dyDescent="0.2">
      <c r="J160"/>
      <c r="K160"/>
      <c r="L160"/>
      <c r="M160"/>
      <c r="N160"/>
      <c r="O160" s="392"/>
      <c r="P160" s="2"/>
      <c r="R160"/>
      <c r="S160"/>
      <c r="V160" s="941"/>
    </row>
    <row r="161" spans="10:22" s="1" customFormat="1" x14ac:dyDescent="0.2">
      <c r="J161"/>
      <c r="K161"/>
      <c r="L161"/>
      <c r="M161"/>
      <c r="N161"/>
      <c r="O161" s="392"/>
      <c r="P161" s="2"/>
      <c r="R161"/>
      <c r="S161"/>
      <c r="V161" s="941"/>
    </row>
    <row r="162" spans="10:22" s="1" customFormat="1" x14ac:dyDescent="0.2">
      <c r="J162"/>
      <c r="K162"/>
      <c r="L162"/>
      <c r="M162"/>
      <c r="N162"/>
      <c r="O162" s="392"/>
      <c r="P162" s="2"/>
      <c r="R162"/>
      <c r="S162"/>
      <c r="V162" s="941"/>
    </row>
    <row r="163" spans="10:22" s="1" customFormat="1" x14ac:dyDescent="0.2">
      <c r="J163"/>
      <c r="K163"/>
      <c r="L163"/>
      <c r="M163"/>
      <c r="N163"/>
      <c r="O163" s="392"/>
      <c r="P163" s="2"/>
      <c r="R163"/>
      <c r="S163"/>
      <c r="V163" s="941"/>
    </row>
    <row r="164" spans="10:22" s="1" customFormat="1" x14ac:dyDescent="0.2">
      <c r="J164"/>
      <c r="K164"/>
      <c r="L164"/>
      <c r="M164"/>
      <c r="N164"/>
      <c r="O164" s="392"/>
      <c r="P164" s="2"/>
      <c r="R164"/>
      <c r="S164"/>
      <c r="V164" s="941"/>
    </row>
    <row r="165" spans="10:22" s="1" customFormat="1" x14ac:dyDescent="0.2">
      <c r="J165"/>
      <c r="K165"/>
      <c r="L165"/>
      <c r="M165"/>
      <c r="N165"/>
      <c r="O165" s="392"/>
      <c r="P165" s="2"/>
      <c r="R165"/>
      <c r="S165"/>
      <c r="V165" s="941"/>
    </row>
    <row r="166" spans="10:22" s="1" customFormat="1" x14ac:dyDescent="0.2">
      <c r="J166"/>
      <c r="K166"/>
      <c r="L166"/>
      <c r="M166"/>
      <c r="N166"/>
      <c r="O166" s="392"/>
      <c r="P166" s="2"/>
      <c r="R166"/>
      <c r="S166"/>
      <c r="V166" s="941"/>
    </row>
    <row r="167" spans="10:22" s="1" customFormat="1" x14ac:dyDescent="0.2">
      <c r="J167"/>
      <c r="K167"/>
      <c r="L167"/>
      <c r="M167"/>
      <c r="N167"/>
      <c r="O167" s="392"/>
      <c r="P167" s="2"/>
      <c r="R167"/>
      <c r="S167"/>
      <c r="V167" s="941"/>
    </row>
    <row r="168" spans="10:22" s="1" customFormat="1" x14ac:dyDescent="0.2">
      <c r="J168"/>
      <c r="K168"/>
      <c r="L168"/>
      <c r="M168"/>
      <c r="N168"/>
      <c r="O168" s="392"/>
      <c r="P168" s="2"/>
      <c r="R168"/>
      <c r="S168"/>
      <c r="V168" s="941"/>
    </row>
    <row r="169" spans="10:22" s="1" customFormat="1" x14ac:dyDescent="0.2">
      <c r="J169"/>
      <c r="K169"/>
      <c r="L169"/>
      <c r="M169"/>
      <c r="N169"/>
      <c r="O169" s="392"/>
      <c r="P169" s="2"/>
      <c r="R169"/>
      <c r="S169"/>
      <c r="V169" s="941"/>
    </row>
    <row r="170" spans="10:22" s="1" customFormat="1" x14ac:dyDescent="0.2">
      <c r="J170"/>
      <c r="K170"/>
      <c r="L170"/>
      <c r="M170"/>
      <c r="N170"/>
      <c r="O170" s="392"/>
      <c r="P170" s="2"/>
      <c r="R170"/>
      <c r="S170"/>
      <c r="V170" s="941"/>
    </row>
    <row r="171" spans="10:22" s="1" customFormat="1" x14ac:dyDescent="0.2">
      <c r="J171"/>
      <c r="K171"/>
      <c r="L171"/>
      <c r="M171"/>
      <c r="N171"/>
      <c r="O171" s="392"/>
      <c r="P171" s="2"/>
      <c r="R171"/>
      <c r="S171"/>
      <c r="V171" s="941"/>
    </row>
    <row r="172" spans="10:22" s="1" customFormat="1" x14ac:dyDescent="0.2">
      <c r="J172"/>
      <c r="K172"/>
      <c r="L172"/>
      <c r="M172"/>
      <c r="N172"/>
      <c r="O172" s="392"/>
      <c r="P172" s="2"/>
      <c r="R172"/>
      <c r="S172"/>
      <c r="V172" s="941"/>
    </row>
    <row r="173" spans="10:22" s="1" customFormat="1" x14ac:dyDescent="0.2">
      <c r="J173"/>
      <c r="K173"/>
      <c r="L173"/>
      <c r="M173"/>
      <c r="N173"/>
      <c r="O173" s="392"/>
      <c r="P173" s="2"/>
      <c r="R173"/>
      <c r="S173"/>
      <c r="V173" s="941"/>
    </row>
    <row r="174" spans="10:22" s="1" customFormat="1" x14ac:dyDescent="0.2">
      <c r="J174"/>
      <c r="K174"/>
      <c r="L174"/>
      <c r="M174"/>
      <c r="N174"/>
      <c r="O174" s="392"/>
      <c r="P174" s="2"/>
      <c r="R174"/>
      <c r="S174"/>
      <c r="V174" s="941"/>
    </row>
    <row r="175" spans="10:22" s="1" customFormat="1" x14ac:dyDescent="0.2">
      <c r="J175"/>
      <c r="K175"/>
      <c r="L175"/>
      <c r="M175"/>
      <c r="N175"/>
      <c r="O175" s="392"/>
      <c r="P175" s="2"/>
      <c r="R175"/>
      <c r="S175"/>
      <c r="V175" s="941"/>
    </row>
    <row r="176" spans="10:22" s="1" customFormat="1" x14ac:dyDescent="0.2">
      <c r="J176"/>
      <c r="K176"/>
      <c r="L176"/>
      <c r="M176"/>
      <c r="N176"/>
      <c r="O176" s="392"/>
      <c r="P176" s="2"/>
      <c r="R176"/>
      <c r="S176"/>
      <c r="V176" s="941"/>
    </row>
    <row r="177" spans="10:22" s="1" customFormat="1" x14ac:dyDescent="0.2">
      <c r="J177"/>
      <c r="K177"/>
      <c r="L177"/>
      <c r="M177"/>
      <c r="N177"/>
      <c r="O177" s="392"/>
      <c r="P177" s="2"/>
      <c r="R177"/>
      <c r="S177"/>
      <c r="V177" s="941"/>
    </row>
    <row r="178" spans="10:22" s="1" customFormat="1" x14ac:dyDescent="0.2">
      <c r="J178"/>
      <c r="K178"/>
      <c r="L178"/>
      <c r="M178"/>
      <c r="N178"/>
      <c r="O178" s="392"/>
      <c r="P178" s="2"/>
      <c r="R178"/>
      <c r="S178"/>
      <c r="V178" s="941"/>
    </row>
    <row r="179" spans="10:22" s="1" customFormat="1" x14ac:dyDescent="0.2">
      <c r="J179"/>
      <c r="K179"/>
      <c r="L179"/>
      <c r="M179"/>
      <c r="N179"/>
      <c r="O179" s="392"/>
      <c r="P179" s="2"/>
      <c r="R179"/>
      <c r="S179"/>
      <c r="V179" s="941"/>
    </row>
    <row r="180" spans="10:22" s="1" customFormat="1" x14ac:dyDescent="0.2">
      <c r="J180"/>
      <c r="K180"/>
      <c r="L180"/>
      <c r="M180"/>
      <c r="N180"/>
      <c r="O180" s="392"/>
      <c r="P180" s="2"/>
      <c r="R180"/>
      <c r="S180"/>
      <c r="V180" s="941"/>
    </row>
    <row r="181" spans="10:22" s="1" customFormat="1" x14ac:dyDescent="0.2">
      <c r="J181"/>
      <c r="K181"/>
      <c r="L181"/>
      <c r="M181"/>
      <c r="N181"/>
      <c r="O181" s="392"/>
      <c r="P181" s="2"/>
      <c r="R181"/>
      <c r="S181"/>
      <c r="V181" s="941"/>
    </row>
    <row r="182" spans="10:22" s="1" customFormat="1" x14ac:dyDescent="0.2">
      <c r="J182"/>
      <c r="K182"/>
      <c r="L182"/>
      <c r="M182"/>
      <c r="N182"/>
      <c r="O182" s="392"/>
      <c r="P182" s="2"/>
      <c r="R182"/>
      <c r="S182"/>
      <c r="V182" s="941"/>
    </row>
    <row r="183" spans="10:22" s="1" customFormat="1" x14ac:dyDescent="0.2">
      <c r="J183"/>
      <c r="K183"/>
      <c r="L183"/>
      <c r="M183"/>
      <c r="N183"/>
      <c r="O183" s="392"/>
      <c r="P183" s="2"/>
      <c r="R183"/>
      <c r="S183"/>
      <c r="V183" s="941"/>
    </row>
    <row r="184" spans="10:22" s="1" customFormat="1" x14ac:dyDescent="0.2">
      <c r="J184"/>
      <c r="K184"/>
      <c r="L184"/>
      <c r="M184"/>
      <c r="N184"/>
      <c r="O184" s="392"/>
      <c r="P184" s="2"/>
      <c r="R184"/>
      <c r="S184"/>
      <c r="V184" s="941"/>
    </row>
    <row r="185" spans="10:22" s="1" customFormat="1" x14ac:dyDescent="0.2">
      <c r="J185"/>
      <c r="K185"/>
      <c r="L185"/>
      <c r="M185"/>
      <c r="N185"/>
      <c r="O185" s="392"/>
      <c r="P185" s="2"/>
      <c r="R185"/>
      <c r="S185"/>
      <c r="V185" s="941"/>
    </row>
    <row r="186" spans="10:22" s="1" customFormat="1" x14ac:dyDescent="0.2">
      <c r="J186"/>
      <c r="K186"/>
      <c r="L186"/>
      <c r="M186"/>
      <c r="N186"/>
      <c r="O186" s="392"/>
      <c r="P186" s="2"/>
      <c r="R186"/>
      <c r="S186"/>
      <c r="V186" s="941"/>
    </row>
    <row r="187" spans="10:22" s="1" customFormat="1" x14ac:dyDescent="0.2">
      <c r="J187"/>
      <c r="K187"/>
      <c r="L187"/>
      <c r="M187"/>
      <c r="N187"/>
      <c r="O187" s="392"/>
      <c r="P187" s="2"/>
      <c r="R187"/>
      <c r="S187"/>
      <c r="V187" s="941"/>
    </row>
    <row r="188" spans="10:22" s="1" customFormat="1" x14ac:dyDescent="0.2">
      <c r="J188"/>
      <c r="K188"/>
      <c r="L188"/>
      <c r="M188"/>
      <c r="N188"/>
      <c r="O188" s="392"/>
      <c r="P188" s="2"/>
      <c r="R188"/>
      <c r="S188"/>
      <c r="V188" s="941"/>
    </row>
    <row r="189" spans="10:22" s="1" customFormat="1" x14ac:dyDescent="0.2">
      <c r="J189"/>
      <c r="K189"/>
      <c r="L189"/>
      <c r="M189"/>
      <c r="N189"/>
      <c r="O189" s="392"/>
      <c r="P189" s="2"/>
      <c r="R189"/>
      <c r="S189"/>
      <c r="V189" s="941"/>
    </row>
    <row r="190" spans="10:22" s="1" customFormat="1" x14ac:dyDescent="0.2">
      <c r="J190"/>
      <c r="K190"/>
      <c r="L190"/>
      <c r="M190"/>
      <c r="N190"/>
      <c r="O190" s="392"/>
      <c r="P190" s="2"/>
      <c r="R190"/>
      <c r="S190"/>
      <c r="V190" s="941"/>
    </row>
    <row r="191" spans="10:22" s="1" customFormat="1" x14ac:dyDescent="0.2">
      <c r="J191"/>
      <c r="K191"/>
      <c r="L191"/>
      <c r="M191"/>
      <c r="N191"/>
      <c r="O191" s="392"/>
      <c r="P191" s="2"/>
      <c r="R191"/>
      <c r="S191"/>
      <c r="V191" s="941"/>
    </row>
    <row r="192" spans="10:22" s="1" customFormat="1" x14ac:dyDescent="0.2">
      <c r="J192"/>
      <c r="K192"/>
      <c r="L192"/>
      <c r="M192"/>
      <c r="N192"/>
      <c r="O192" s="392"/>
      <c r="P192" s="2"/>
      <c r="R192"/>
      <c r="S192"/>
      <c r="V192" s="941"/>
    </row>
    <row r="193" spans="10:22" s="1" customFormat="1" x14ac:dyDescent="0.2">
      <c r="J193"/>
      <c r="K193"/>
      <c r="L193"/>
      <c r="M193"/>
      <c r="N193"/>
      <c r="O193" s="392"/>
      <c r="P193" s="2"/>
      <c r="R193"/>
      <c r="S193"/>
      <c r="V193" s="941"/>
    </row>
    <row r="194" spans="10:22" s="1" customFormat="1" x14ac:dyDescent="0.2">
      <c r="J194"/>
      <c r="K194"/>
      <c r="L194"/>
      <c r="M194"/>
      <c r="N194"/>
      <c r="O194" s="392"/>
      <c r="P194" s="2"/>
      <c r="R194"/>
      <c r="S194"/>
      <c r="V194" s="941"/>
    </row>
    <row r="195" spans="10:22" s="1" customFormat="1" x14ac:dyDescent="0.2">
      <c r="J195"/>
      <c r="K195"/>
      <c r="L195"/>
      <c r="M195"/>
      <c r="N195"/>
      <c r="O195" s="392"/>
      <c r="P195" s="2"/>
      <c r="R195"/>
      <c r="S195"/>
      <c r="V195" s="941"/>
    </row>
    <row r="196" spans="10:22" s="1" customFormat="1" x14ac:dyDescent="0.2">
      <c r="J196"/>
      <c r="K196"/>
      <c r="L196"/>
      <c r="M196"/>
      <c r="N196"/>
      <c r="O196" s="392"/>
      <c r="P196" s="2"/>
      <c r="R196"/>
      <c r="S196"/>
      <c r="V196" s="941"/>
    </row>
    <row r="197" spans="10:22" s="1" customFormat="1" x14ac:dyDescent="0.2">
      <c r="J197"/>
      <c r="K197"/>
      <c r="L197"/>
      <c r="M197"/>
      <c r="N197"/>
      <c r="O197" s="392"/>
      <c r="P197" s="2"/>
      <c r="R197"/>
      <c r="S197"/>
      <c r="V197" s="941"/>
    </row>
    <row r="198" spans="10:22" s="1" customFormat="1" x14ac:dyDescent="0.2">
      <c r="J198"/>
      <c r="K198"/>
      <c r="L198"/>
      <c r="M198"/>
      <c r="N198"/>
      <c r="O198" s="392"/>
      <c r="P198" s="2"/>
      <c r="R198"/>
      <c r="S198"/>
      <c r="V198" s="941"/>
    </row>
    <row r="199" spans="10:22" s="1" customFormat="1" x14ac:dyDescent="0.2">
      <c r="J199"/>
      <c r="K199"/>
      <c r="L199"/>
      <c r="M199"/>
      <c r="N199"/>
      <c r="O199" s="392"/>
      <c r="P199" s="2"/>
      <c r="R199"/>
      <c r="S199"/>
      <c r="V199" s="941"/>
    </row>
    <row r="200" spans="10:22" s="1" customFormat="1" x14ac:dyDescent="0.2">
      <c r="J200"/>
      <c r="K200"/>
      <c r="L200"/>
      <c r="M200"/>
      <c r="N200"/>
      <c r="O200" s="392"/>
      <c r="P200" s="2"/>
      <c r="R200"/>
      <c r="S200"/>
      <c r="V200" s="941"/>
    </row>
    <row r="201" spans="10:22" s="1" customFormat="1" x14ac:dyDescent="0.2">
      <c r="J201"/>
      <c r="K201"/>
      <c r="L201"/>
      <c r="M201"/>
      <c r="N201"/>
      <c r="O201" s="392"/>
      <c r="P201" s="2"/>
      <c r="R201"/>
      <c r="S201"/>
      <c r="V201" s="941"/>
    </row>
    <row r="202" spans="10:22" s="1" customFormat="1" x14ac:dyDescent="0.2">
      <c r="J202"/>
      <c r="K202"/>
      <c r="L202"/>
      <c r="M202"/>
      <c r="N202"/>
      <c r="O202" s="392"/>
      <c r="P202" s="2"/>
      <c r="R202"/>
      <c r="S202"/>
      <c r="V202" s="941"/>
    </row>
    <row r="203" spans="10:22" s="1" customFormat="1" x14ac:dyDescent="0.2">
      <c r="J203"/>
      <c r="K203"/>
      <c r="L203"/>
      <c r="M203"/>
      <c r="N203"/>
      <c r="O203" s="392"/>
      <c r="P203" s="2"/>
      <c r="R203"/>
      <c r="S203"/>
      <c r="V203" s="941"/>
    </row>
    <row r="204" spans="10:22" s="1" customFormat="1" x14ac:dyDescent="0.2">
      <c r="J204"/>
      <c r="K204"/>
      <c r="L204"/>
      <c r="M204"/>
      <c r="N204"/>
      <c r="O204" s="392"/>
      <c r="P204" s="2"/>
      <c r="R204"/>
      <c r="S204"/>
      <c r="V204" s="941"/>
    </row>
    <row r="205" spans="10:22" s="1" customFormat="1" x14ac:dyDescent="0.2">
      <c r="J205"/>
      <c r="K205"/>
      <c r="L205"/>
      <c r="M205"/>
      <c r="N205"/>
      <c r="O205" s="392"/>
      <c r="P205" s="2"/>
      <c r="R205"/>
      <c r="S205"/>
      <c r="V205" s="941"/>
    </row>
    <row r="206" spans="10:22" s="1" customFormat="1" x14ac:dyDescent="0.2">
      <c r="J206"/>
      <c r="K206"/>
      <c r="L206"/>
      <c r="M206"/>
      <c r="N206"/>
      <c r="O206" s="392"/>
      <c r="P206" s="2"/>
      <c r="R206"/>
      <c r="S206"/>
      <c r="V206" s="941"/>
    </row>
    <row r="207" spans="10:22" s="1" customFormat="1" x14ac:dyDescent="0.2">
      <c r="J207"/>
      <c r="K207"/>
      <c r="L207"/>
      <c r="M207"/>
      <c r="N207"/>
      <c r="O207" s="392"/>
      <c r="P207" s="2"/>
      <c r="R207"/>
      <c r="S207"/>
      <c r="V207" s="941"/>
    </row>
    <row r="208" spans="10:22" s="1" customFormat="1" x14ac:dyDescent="0.2">
      <c r="J208"/>
      <c r="K208"/>
      <c r="L208"/>
      <c r="M208"/>
      <c r="N208"/>
      <c r="O208" s="392"/>
      <c r="P208" s="2"/>
      <c r="R208"/>
      <c r="S208"/>
      <c r="V208" s="941"/>
    </row>
    <row r="209" spans="10:22" s="1" customFormat="1" x14ac:dyDescent="0.2">
      <c r="J209"/>
      <c r="K209"/>
      <c r="L209"/>
      <c r="M209"/>
      <c r="N209"/>
      <c r="O209" s="392"/>
      <c r="P209" s="2"/>
      <c r="R209"/>
      <c r="S209"/>
      <c r="V209" s="941"/>
    </row>
    <row r="210" spans="10:22" s="1" customFormat="1" x14ac:dyDescent="0.2">
      <c r="J210"/>
      <c r="K210"/>
      <c r="L210"/>
      <c r="M210"/>
      <c r="N210"/>
      <c r="O210" s="392"/>
      <c r="P210" s="2"/>
      <c r="R210"/>
      <c r="S210"/>
      <c r="V210" s="941"/>
    </row>
    <row r="211" spans="10:22" s="1" customFormat="1" x14ac:dyDescent="0.2">
      <c r="J211"/>
      <c r="K211"/>
      <c r="L211"/>
      <c r="M211"/>
      <c r="N211"/>
      <c r="O211" s="392"/>
      <c r="P211" s="2"/>
      <c r="R211"/>
      <c r="S211"/>
      <c r="V211" s="941"/>
    </row>
    <row r="212" spans="10:22" s="1" customFormat="1" x14ac:dyDescent="0.2">
      <c r="J212"/>
      <c r="K212"/>
      <c r="L212"/>
      <c r="M212"/>
      <c r="N212"/>
      <c r="O212" s="392"/>
      <c r="P212" s="2"/>
      <c r="R212"/>
      <c r="S212"/>
      <c r="V212" s="941"/>
    </row>
    <row r="213" spans="10:22" s="1" customFormat="1" x14ac:dyDescent="0.2">
      <c r="J213"/>
      <c r="K213"/>
      <c r="L213"/>
      <c r="M213"/>
      <c r="N213"/>
      <c r="O213" s="392"/>
      <c r="P213" s="2"/>
      <c r="R213"/>
      <c r="S213"/>
      <c r="V213" s="941"/>
    </row>
    <row r="214" spans="10:22" s="1" customFormat="1" x14ac:dyDescent="0.2">
      <c r="J214"/>
      <c r="K214"/>
      <c r="L214"/>
      <c r="M214"/>
      <c r="N214"/>
      <c r="O214" s="392"/>
      <c r="P214" s="2"/>
      <c r="R214"/>
      <c r="S214"/>
      <c r="V214" s="941"/>
    </row>
    <row r="215" spans="10:22" s="1" customFormat="1" x14ac:dyDescent="0.2">
      <c r="J215"/>
      <c r="K215"/>
      <c r="L215"/>
      <c r="M215"/>
      <c r="N215"/>
      <c r="O215" s="392"/>
      <c r="P215" s="2"/>
      <c r="R215"/>
      <c r="S215"/>
      <c r="V215" s="941"/>
    </row>
    <row r="216" spans="10:22" s="1" customFormat="1" x14ac:dyDescent="0.2">
      <c r="J216"/>
      <c r="K216"/>
      <c r="L216"/>
      <c r="M216"/>
      <c r="N216"/>
      <c r="O216" s="392"/>
      <c r="P216" s="2"/>
      <c r="R216"/>
      <c r="S216"/>
      <c r="V216" s="941"/>
    </row>
    <row r="217" spans="10:22" s="1" customFormat="1" x14ac:dyDescent="0.2">
      <c r="J217"/>
      <c r="K217"/>
      <c r="L217"/>
      <c r="M217"/>
      <c r="N217"/>
      <c r="O217" s="392"/>
      <c r="P217" s="2"/>
      <c r="R217"/>
      <c r="S217"/>
      <c r="V217" s="941"/>
    </row>
    <row r="218" spans="10:22" s="1" customFormat="1" x14ac:dyDescent="0.2">
      <c r="J218"/>
      <c r="K218"/>
      <c r="L218"/>
      <c r="M218"/>
      <c r="N218"/>
      <c r="O218" s="392"/>
      <c r="P218" s="2"/>
      <c r="R218"/>
      <c r="S218"/>
      <c r="V218" s="941"/>
    </row>
    <row r="219" spans="10:22" s="1" customFormat="1" x14ac:dyDescent="0.2">
      <c r="J219"/>
      <c r="K219"/>
      <c r="L219"/>
      <c r="M219"/>
      <c r="N219"/>
      <c r="O219" s="392"/>
      <c r="P219" s="2"/>
      <c r="R219"/>
      <c r="S219"/>
      <c r="V219" s="941"/>
    </row>
    <row r="220" spans="10:22" s="1" customFormat="1" x14ac:dyDescent="0.2">
      <c r="J220"/>
      <c r="K220"/>
      <c r="L220"/>
      <c r="M220"/>
      <c r="N220"/>
      <c r="O220" s="392"/>
      <c r="P220" s="2"/>
      <c r="R220"/>
      <c r="S220"/>
      <c r="V220" s="941"/>
    </row>
    <row r="221" spans="10:22" s="1" customFormat="1" x14ac:dyDescent="0.2">
      <c r="J221"/>
      <c r="K221"/>
      <c r="L221"/>
      <c r="M221"/>
      <c r="N221"/>
      <c r="O221" s="392"/>
      <c r="P221" s="2"/>
      <c r="R221"/>
      <c r="S221"/>
      <c r="V221" s="941"/>
    </row>
    <row r="222" spans="10:22" s="1" customFormat="1" x14ac:dyDescent="0.2">
      <c r="J222"/>
      <c r="K222"/>
      <c r="L222"/>
      <c r="M222"/>
      <c r="N222"/>
      <c r="O222" s="392"/>
      <c r="P222" s="2"/>
      <c r="R222"/>
      <c r="S222"/>
      <c r="V222" s="941"/>
    </row>
    <row r="223" spans="10:22" s="1" customFormat="1" x14ac:dyDescent="0.2">
      <c r="J223"/>
      <c r="K223"/>
      <c r="L223"/>
      <c r="M223"/>
      <c r="N223"/>
      <c r="O223" s="392"/>
      <c r="P223" s="2"/>
      <c r="R223"/>
      <c r="S223"/>
      <c r="V223" s="941"/>
    </row>
    <row r="224" spans="10:22" s="1" customFormat="1" x14ac:dyDescent="0.2">
      <c r="J224"/>
      <c r="K224"/>
      <c r="L224"/>
      <c r="M224"/>
      <c r="N224"/>
      <c r="O224" s="392"/>
      <c r="P224" s="2"/>
      <c r="R224"/>
      <c r="S224"/>
      <c r="V224" s="941"/>
    </row>
    <row r="225" spans="10:22" s="1" customFormat="1" x14ac:dyDescent="0.2">
      <c r="J225"/>
      <c r="K225"/>
      <c r="L225"/>
      <c r="M225"/>
      <c r="N225"/>
      <c r="O225" s="392"/>
      <c r="P225" s="2"/>
      <c r="R225"/>
      <c r="S225"/>
      <c r="V225" s="941"/>
    </row>
    <row r="226" spans="10:22" s="1" customFormat="1" x14ac:dyDescent="0.2">
      <c r="J226"/>
      <c r="K226"/>
      <c r="L226"/>
      <c r="M226"/>
      <c r="N226"/>
      <c r="O226" s="392"/>
      <c r="P226" s="2"/>
      <c r="R226"/>
      <c r="S226"/>
      <c r="V226" s="941"/>
    </row>
    <row r="227" spans="10:22" s="1" customFormat="1" x14ac:dyDescent="0.2">
      <c r="J227"/>
      <c r="K227"/>
      <c r="L227"/>
      <c r="M227"/>
      <c r="N227"/>
      <c r="O227" s="392"/>
      <c r="P227" s="2"/>
      <c r="R227"/>
      <c r="S227"/>
      <c r="V227" s="941"/>
    </row>
    <row r="228" spans="10:22" s="1" customFormat="1" x14ac:dyDescent="0.2">
      <c r="J228"/>
      <c r="K228"/>
      <c r="L228"/>
      <c r="M228"/>
      <c r="N228"/>
      <c r="O228" s="392"/>
      <c r="P228" s="2"/>
      <c r="R228"/>
      <c r="S228"/>
      <c r="V228" s="941"/>
    </row>
    <row r="229" spans="10:22" s="1" customFormat="1" x14ac:dyDescent="0.2">
      <c r="J229"/>
      <c r="K229"/>
      <c r="L229"/>
      <c r="M229"/>
      <c r="N229"/>
      <c r="O229" s="392"/>
      <c r="P229" s="2"/>
      <c r="R229"/>
      <c r="S229"/>
      <c r="V229" s="941"/>
    </row>
    <row r="230" spans="10:22" s="1" customFormat="1" x14ac:dyDescent="0.2">
      <c r="J230"/>
      <c r="K230"/>
      <c r="L230"/>
      <c r="M230"/>
      <c r="N230"/>
      <c r="O230" s="392"/>
      <c r="P230" s="2"/>
      <c r="R230"/>
      <c r="S230"/>
      <c r="V230" s="941"/>
    </row>
    <row r="231" spans="10:22" s="1" customFormat="1" x14ac:dyDescent="0.2">
      <c r="J231"/>
      <c r="K231"/>
      <c r="L231"/>
      <c r="M231"/>
      <c r="N231"/>
      <c r="O231" s="392"/>
      <c r="P231" s="2"/>
      <c r="R231"/>
      <c r="S231"/>
      <c r="V231" s="941"/>
    </row>
    <row r="232" spans="10:22" s="1" customFormat="1" x14ac:dyDescent="0.2">
      <c r="J232"/>
      <c r="K232"/>
      <c r="L232"/>
      <c r="M232"/>
      <c r="N232"/>
      <c r="O232" s="392"/>
      <c r="P232" s="2"/>
      <c r="R232"/>
      <c r="S232"/>
      <c r="V232" s="941"/>
    </row>
    <row r="233" spans="10:22" s="1" customFormat="1" x14ac:dyDescent="0.2">
      <c r="J233"/>
      <c r="K233"/>
      <c r="L233"/>
      <c r="M233"/>
      <c r="N233"/>
      <c r="O233" s="392"/>
      <c r="P233" s="2"/>
      <c r="R233"/>
      <c r="S233"/>
      <c r="V233" s="941"/>
    </row>
    <row r="234" spans="10:22" s="1" customFormat="1" x14ac:dyDescent="0.2">
      <c r="J234"/>
      <c r="K234"/>
      <c r="L234"/>
      <c r="M234"/>
      <c r="N234"/>
      <c r="O234" s="392"/>
      <c r="P234" s="2"/>
      <c r="R234"/>
      <c r="S234"/>
      <c r="V234" s="941"/>
    </row>
    <row r="235" spans="10:22" s="1" customFormat="1" x14ac:dyDescent="0.2">
      <c r="J235"/>
      <c r="K235"/>
      <c r="L235"/>
      <c r="M235"/>
      <c r="N235"/>
      <c r="O235" s="392"/>
      <c r="P235" s="2"/>
      <c r="R235"/>
      <c r="S235"/>
      <c r="V235" s="941"/>
    </row>
    <row r="236" spans="10:22" s="1" customFormat="1" x14ac:dyDescent="0.2">
      <c r="J236"/>
      <c r="K236"/>
      <c r="L236"/>
      <c r="M236"/>
      <c r="N236"/>
      <c r="O236" s="392"/>
      <c r="P236" s="2"/>
      <c r="R236"/>
      <c r="S236"/>
      <c r="V236" s="941"/>
    </row>
    <row r="237" spans="10:22" s="1" customFormat="1" x14ac:dyDescent="0.2">
      <c r="J237"/>
      <c r="K237"/>
      <c r="L237"/>
      <c r="M237"/>
      <c r="N237"/>
      <c r="O237" s="392"/>
      <c r="P237" s="2"/>
      <c r="R237"/>
      <c r="S237"/>
      <c r="V237" s="941"/>
    </row>
    <row r="238" spans="10:22" s="1" customFormat="1" x14ac:dyDescent="0.2">
      <c r="J238"/>
      <c r="K238"/>
      <c r="L238"/>
      <c r="M238"/>
      <c r="N238"/>
      <c r="O238" s="392"/>
      <c r="P238" s="2"/>
      <c r="R238"/>
      <c r="S238"/>
      <c r="V238" s="941"/>
    </row>
    <row r="239" spans="10:22" s="1" customFormat="1" x14ac:dyDescent="0.2">
      <c r="J239"/>
      <c r="K239"/>
      <c r="L239"/>
      <c r="M239"/>
      <c r="N239"/>
      <c r="O239" s="392"/>
      <c r="P239" s="2"/>
      <c r="R239"/>
      <c r="S239"/>
      <c r="V239" s="941"/>
    </row>
    <row r="240" spans="10:22" s="1" customFormat="1" x14ac:dyDescent="0.2">
      <c r="J240"/>
      <c r="K240"/>
      <c r="L240"/>
      <c r="M240"/>
      <c r="N240"/>
      <c r="O240" s="392"/>
      <c r="P240" s="2"/>
      <c r="R240"/>
      <c r="S240"/>
      <c r="V240" s="941"/>
    </row>
    <row r="241" spans="10:22" s="1" customFormat="1" x14ac:dyDescent="0.2">
      <c r="J241"/>
      <c r="K241"/>
      <c r="L241"/>
      <c r="M241"/>
      <c r="N241"/>
      <c r="O241" s="392"/>
      <c r="P241" s="2"/>
      <c r="R241"/>
      <c r="S241"/>
      <c r="V241" s="941"/>
    </row>
    <row r="242" spans="10:22" s="1" customFormat="1" x14ac:dyDescent="0.2">
      <c r="J242"/>
      <c r="K242"/>
      <c r="L242"/>
      <c r="M242"/>
      <c r="N242"/>
      <c r="O242" s="392"/>
      <c r="P242" s="2"/>
      <c r="R242"/>
      <c r="S242"/>
      <c r="V242" s="941"/>
    </row>
    <row r="243" spans="10:22" s="1" customFormat="1" x14ac:dyDescent="0.2">
      <c r="J243"/>
      <c r="K243"/>
      <c r="L243"/>
      <c r="M243"/>
      <c r="N243"/>
      <c r="O243" s="392"/>
      <c r="P243" s="2"/>
      <c r="R243"/>
      <c r="S243"/>
      <c r="V243" s="941"/>
    </row>
    <row r="244" spans="10:22" s="1" customFormat="1" x14ac:dyDescent="0.2">
      <c r="J244"/>
      <c r="K244"/>
      <c r="L244"/>
      <c r="M244"/>
      <c r="N244"/>
      <c r="O244" s="392"/>
      <c r="P244" s="2"/>
      <c r="R244"/>
      <c r="S244"/>
      <c r="V244" s="941"/>
    </row>
    <row r="245" spans="10:22" s="1" customFormat="1" x14ac:dyDescent="0.2">
      <c r="J245"/>
      <c r="K245"/>
      <c r="L245"/>
      <c r="M245"/>
      <c r="N245"/>
      <c r="O245" s="392"/>
      <c r="P245" s="2"/>
      <c r="R245"/>
      <c r="S245"/>
      <c r="V245" s="941"/>
    </row>
    <row r="246" spans="10:22" s="1" customFormat="1" x14ac:dyDescent="0.2">
      <c r="J246"/>
      <c r="K246"/>
      <c r="L246"/>
      <c r="M246"/>
      <c r="N246"/>
      <c r="O246" s="392"/>
      <c r="P246" s="2"/>
      <c r="R246"/>
      <c r="S246"/>
      <c r="V246" s="941"/>
    </row>
    <row r="247" spans="10:22" s="1" customFormat="1" x14ac:dyDescent="0.2">
      <c r="J247"/>
      <c r="K247"/>
      <c r="L247"/>
      <c r="M247"/>
      <c r="N247"/>
      <c r="O247" s="392"/>
      <c r="P247" s="2"/>
      <c r="R247"/>
      <c r="S247"/>
      <c r="V247" s="941"/>
    </row>
    <row r="248" spans="10:22" s="1" customFormat="1" x14ac:dyDescent="0.2">
      <c r="J248"/>
      <c r="K248"/>
      <c r="L248"/>
      <c r="M248"/>
      <c r="N248"/>
      <c r="O248" s="392"/>
      <c r="P248" s="2"/>
      <c r="R248"/>
      <c r="S248"/>
      <c r="V248" s="941"/>
    </row>
    <row r="249" spans="10:22" s="1" customFormat="1" x14ac:dyDescent="0.2">
      <c r="J249"/>
      <c r="K249"/>
      <c r="L249"/>
      <c r="M249"/>
      <c r="N249"/>
      <c r="O249" s="392"/>
      <c r="P249" s="2"/>
      <c r="R249"/>
      <c r="S249"/>
      <c r="V249" s="941"/>
    </row>
    <row r="250" spans="10:22" s="1" customFormat="1" x14ac:dyDescent="0.2">
      <c r="J250"/>
      <c r="K250"/>
      <c r="L250"/>
      <c r="M250"/>
      <c r="N250"/>
      <c r="O250" s="392"/>
      <c r="P250" s="2"/>
      <c r="R250"/>
      <c r="S250"/>
      <c r="V250" s="941"/>
    </row>
    <row r="251" spans="10:22" s="1" customFormat="1" x14ac:dyDescent="0.2">
      <c r="J251"/>
      <c r="K251"/>
      <c r="L251"/>
      <c r="M251"/>
      <c r="N251"/>
      <c r="O251" s="392"/>
      <c r="P251" s="2"/>
      <c r="R251"/>
      <c r="S251"/>
      <c r="V251" s="941"/>
    </row>
    <row r="252" spans="10:22" s="1" customFormat="1" x14ac:dyDescent="0.2">
      <c r="J252"/>
      <c r="K252"/>
      <c r="L252"/>
      <c r="M252"/>
      <c r="N252"/>
      <c r="O252" s="392"/>
      <c r="P252" s="2"/>
      <c r="R252"/>
      <c r="S252"/>
      <c r="V252" s="941"/>
    </row>
    <row r="253" spans="10:22" s="1" customFormat="1" x14ac:dyDescent="0.2">
      <c r="J253"/>
      <c r="K253"/>
      <c r="L253"/>
      <c r="M253"/>
      <c r="N253"/>
      <c r="O253" s="392"/>
      <c r="P253" s="2"/>
      <c r="R253"/>
      <c r="S253"/>
      <c r="V253" s="941"/>
    </row>
    <row r="254" spans="10:22" s="1" customFormat="1" x14ac:dyDescent="0.2">
      <c r="J254"/>
      <c r="K254"/>
      <c r="L254"/>
      <c r="M254"/>
      <c r="N254"/>
      <c r="O254" s="392"/>
      <c r="P254" s="2"/>
      <c r="R254"/>
      <c r="S254"/>
      <c r="V254" s="941"/>
    </row>
    <row r="255" spans="10:22" s="1" customFormat="1" x14ac:dyDescent="0.2">
      <c r="J255"/>
      <c r="K255"/>
      <c r="L255"/>
      <c r="M255"/>
      <c r="N255"/>
      <c r="O255" s="392"/>
      <c r="P255" s="2"/>
      <c r="R255"/>
      <c r="S255"/>
      <c r="V255" s="941"/>
    </row>
    <row r="256" spans="10:22" s="1" customFormat="1" x14ac:dyDescent="0.2">
      <c r="J256"/>
      <c r="K256"/>
      <c r="L256"/>
      <c r="M256"/>
      <c r="N256"/>
      <c r="O256" s="392"/>
      <c r="P256" s="2"/>
      <c r="R256"/>
      <c r="S256"/>
      <c r="V256" s="941"/>
    </row>
    <row r="257" spans="10:22" s="1" customFormat="1" x14ac:dyDescent="0.2">
      <c r="J257"/>
      <c r="K257"/>
      <c r="L257"/>
      <c r="M257"/>
      <c r="N257"/>
      <c r="O257" s="392"/>
      <c r="P257" s="2"/>
      <c r="R257"/>
      <c r="S257"/>
      <c r="V257" s="941"/>
    </row>
    <row r="258" spans="10:22" s="1" customFormat="1" x14ac:dyDescent="0.2">
      <c r="J258"/>
      <c r="K258"/>
      <c r="L258"/>
      <c r="M258"/>
      <c r="N258"/>
      <c r="O258" s="392"/>
      <c r="P258" s="2"/>
      <c r="R258"/>
      <c r="S258"/>
      <c r="V258" s="941"/>
    </row>
    <row r="259" spans="10:22" s="1" customFormat="1" x14ac:dyDescent="0.2">
      <c r="J259"/>
      <c r="K259"/>
      <c r="L259"/>
      <c r="M259"/>
      <c r="N259"/>
      <c r="O259" s="392"/>
      <c r="P259" s="2"/>
      <c r="R259"/>
      <c r="S259"/>
      <c r="V259" s="941"/>
    </row>
    <row r="260" spans="10:22" s="1" customFormat="1" x14ac:dyDescent="0.2">
      <c r="J260"/>
      <c r="K260"/>
      <c r="L260"/>
      <c r="M260"/>
      <c r="N260"/>
      <c r="O260" s="392"/>
      <c r="P260" s="2"/>
      <c r="R260"/>
      <c r="S260"/>
      <c r="V260" s="941"/>
    </row>
    <row r="261" spans="10:22" s="1" customFormat="1" x14ac:dyDescent="0.2">
      <c r="J261"/>
      <c r="K261"/>
      <c r="L261"/>
      <c r="M261"/>
      <c r="N261"/>
      <c r="O261" s="392"/>
      <c r="P261" s="2"/>
      <c r="R261"/>
      <c r="S261"/>
      <c r="V261" s="941"/>
    </row>
    <row r="262" spans="10:22" s="1" customFormat="1" x14ac:dyDescent="0.2">
      <c r="J262"/>
      <c r="K262"/>
      <c r="L262"/>
      <c r="M262"/>
      <c r="N262"/>
      <c r="O262" s="392"/>
      <c r="P262" s="2"/>
      <c r="R262"/>
      <c r="S262"/>
      <c r="V262" s="941"/>
    </row>
    <row r="263" spans="10:22" s="1" customFormat="1" x14ac:dyDescent="0.2">
      <c r="J263"/>
      <c r="K263"/>
      <c r="L263"/>
      <c r="M263"/>
      <c r="N263"/>
      <c r="O263" s="392"/>
      <c r="P263" s="2"/>
      <c r="R263"/>
      <c r="S263"/>
      <c r="V263" s="941"/>
    </row>
    <row r="264" spans="10:22" s="1" customFormat="1" x14ac:dyDescent="0.2">
      <c r="J264"/>
      <c r="K264"/>
      <c r="L264"/>
      <c r="M264"/>
      <c r="N264"/>
      <c r="O264" s="392"/>
      <c r="P264" s="2"/>
      <c r="R264"/>
      <c r="S264"/>
      <c r="V264" s="941"/>
    </row>
    <row r="265" spans="10:22" s="1" customFormat="1" x14ac:dyDescent="0.2">
      <c r="J265"/>
      <c r="K265"/>
      <c r="L265"/>
      <c r="M265"/>
      <c r="N265"/>
      <c r="O265" s="392"/>
      <c r="P265" s="2"/>
      <c r="R265"/>
      <c r="S265"/>
      <c r="V265" s="941"/>
    </row>
    <row r="266" spans="10:22" s="1" customFormat="1" x14ac:dyDescent="0.2">
      <c r="J266"/>
      <c r="K266"/>
      <c r="L266"/>
      <c r="M266"/>
      <c r="N266"/>
      <c r="O266" s="392"/>
      <c r="P266" s="2"/>
      <c r="R266"/>
      <c r="S266"/>
      <c r="V266" s="941"/>
    </row>
    <row r="267" spans="10:22" s="1" customFormat="1" x14ac:dyDescent="0.2">
      <c r="J267"/>
      <c r="K267"/>
      <c r="L267"/>
      <c r="M267"/>
      <c r="N267"/>
      <c r="O267" s="392"/>
      <c r="P267" s="2"/>
      <c r="R267"/>
      <c r="S267"/>
      <c r="V267" s="941"/>
    </row>
    <row r="268" spans="10:22" s="1" customFormat="1" x14ac:dyDescent="0.2">
      <c r="J268"/>
      <c r="K268"/>
      <c r="L268"/>
      <c r="M268"/>
      <c r="N268"/>
      <c r="O268" s="392"/>
      <c r="P268" s="2"/>
      <c r="R268"/>
      <c r="S268"/>
      <c r="V268" s="941"/>
    </row>
    <row r="269" spans="10:22" s="1" customFormat="1" x14ac:dyDescent="0.2">
      <c r="J269"/>
      <c r="K269"/>
      <c r="L269"/>
      <c r="M269"/>
      <c r="N269"/>
      <c r="O269" s="392"/>
      <c r="P269" s="2"/>
      <c r="R269"/>
      <c r="S269"/>
      <c r="V269" s="941"/>
    </row>
    <row r="270" spans="10:22" s="1" customFormat="1" x14ac:dyDescent="0.2">
      <c r="J270"/>
      <c r="K270"/>
      <c r="L270"/>
      <c r="M270"/>
      <c r="N270"/>
      <c r="O270" s="392"/>
      <c r="P270" s="2"/>
      <c r="R270"/>
      <c r="S270"/>
      <c r="V270" s="941"/>
    </row>
    <row r="271" spans="10:22" s="1" customFormat="1" x14ac:dyDescent="0.2">
      <c r="J271"/>
      <c r="K271"/>
      <c r="L271"/>
      <c r="M271"/>
      <c r="N271"/>
      <c r="O271" s="392"/>
      <c r="P271" s="2"/>
      <c r="R271"/>
      <c r="S271"/>
      <c r="V271" s="941"/>
    </row>
    <row r="272" spans="10:22" s="1" customFormat="1" x14ac:dyDescent="0.2">
      <c r="J272"/>
      <c r="K272"/>
      <c r="L272"/>
      <c r="M272"/>
      <c r="N272"/>
      <c r="O272" s="392"/>
      <c r="P272" s="2"/>
      <c r="R272"/>
      <c r="S272"/>
      <c r="V272" s="941"/>
    </row>
    <row r="273" spans="10:22" s="1" customFormat="1" x14ac:dyDescent="0.2">
      <c r="J273"/>
      <c r="K273"/>
      <c r="L273"/>
      <c r="M273"/>
      <c r="N273"/>
      <c r="O273" s="392"/>
      <c r="P273" s="2"/>
      <c r="R273"/>
      <c r="S273"/>
      <c r="V273" s="941"/>
    </row>
    <row r="274" spans="10:22" s="1" customFormat="1" x14ac:dyDescent="0.2">
      <c r="J274"/>
      <c r="K274"/>
      <c r="L274"/>
      <c r="M274"/>
      <c r="N274"/>
      <c r="O274" s="392"/>
      <c r="P274" s="2"/>
      <c r="R274"/>
      <c r="S274"/>
      <c r="V274" s="941"/>
    </row>
    <row r="275" spans="10:22" s="1" customFormat="1" x14ac:dyDescent="0.2">
      <c r="J275"/>
      <c r="K275"/>
      <c r="L275"/>
      <c r="M275"/>
      <c r="N275"/>
      <c r="O275" s="392"/>
      <c r="P275" s="2"/>
      <c r="R275"/>
      <c r="S275"/>
      <c r="V275" s="941"/>
    </row>
    <row r="276" spans="10:22" s="1" customFormat="1" x14ac:dyDescent="0.2">
      <c r="J276"/>
      <c r="K276"/>
      <c r="L276"/>
      <c r="M276"/>
      <c r="N276"/>
      <c r="O276" s="392"/>
      <c r="P276" s="2"/>
      <c r="R276"/>
      <c r="S276"/>
      <c r="V276" s="941"/>
    </row>
    <row r="277" spans="10:22" s="1" customFormat="1" x14ac:dyDescent="0.2">
      <c r="J277"/>
      <c r="K277"/>
      <c r="L277"/>
      <c r="M277"/>
      <c r="N277"/>
      <c r="O277" s="392"/>
      <c r="P277" s="2"/>
      <c r="R277"/>
      <c r="S277"/>
      <c r="V277" s="941"/>
    </row>
    <row r="278" spans="10:22" s="1" customFormat="1" x14ac:dyDescent="0.2">
      <c r="J278"/>
      <c r="K278"/>
      <c r="L278"/>
      <c r="M278"/>
      <c r="N278"/>
      <c r="O278" s="392"/>
      <c r="P278" s="2"/>
      <c r="R278"/>
      <c r="S278"/>
      <c r="V278" s="941"/>
    </row>
    <row r="279" spans="10:22" s="1" customFormat="1" x14ac:dyDescent="0.2">
      <c r="J279"/>
      <c r="K279"/>
      <c r="L279"/>
      <c r="M279"/>
      <c r="N279"/>
      <c r="O279" s="392"/>
      <c r="P279" s="2"/>
      <c r="R279"/>
      <c r="S279"/>
      <c r="V279" s="941"/>
    </row>
    <row r="280" spans="10:22" s="1" customFormat="1" x14ac:dyDescent="0.2">
      <c r="J280"/>
      <c r="K280"/>
      <c r="L280"/>
      <c r="M280"/>
      <c r="N280"/>
      <c r="O280" s="392"/>
      <c r="P280" s="2"/>
      <c r="R280"/>
      <c r="S280"/>
      <c r="V280" s="941"/>
    </row>
    <row r="281" spans="10:22" s="1" customFormat="1" x14ac:dyDescent="0.2">
      <c r="J281"/>
      <c r="K281"/>
      <c r="L281"/>
      <c r="M281"/>
      <c r="N281"/>
      <c r="O281" s="392"/>
      <c r="P281" s="2"/>
      <c r="R281"/>
      <c r="S281"/>
      <c r="V281" s="941"/>
    </row>
    <row r="282" spans="10:22" s="1" customFormat="1" x14ac:dyDescent="0.2">
      <c r="J282"/>
      <c r="K282"/>
      <c r="L282"/>
      <c r="M282"/>
      <c r="N282"/>
      <c r="O282" s="392"/>
      <c r="P282" s="2"/>
      <c r="R282"/>
      <c r="S282"/>
      <c r="V282" s="941"/>
    </row>
    <row r="283" spans="10:22" s="1" customFormat="1" x14ac:dyDescent="0.2">
      <c r="J283"/>
      <c r="K283"/>
      <c r="L283"/>
      <c r="M283"/>
      <c r="N283"/>
      <c r="O283" s="392"/>
      <c r="P283" s="2"/>
      <c r="R283"/>
      <c r="S283"/>
      <c r="V283" s="941"/>
    </row>
    <row r="284" spans="10:22" s="1" customFormat="1" x14ac:dyDescent="0.2">
      <c r="J284"/>
      <c r="K284"/>
      <c r="L284"/>
      <c r="M284"/>
      <c r="N284"/>
      <c r="O284" s="392"/>
      <c r="P284" s="2"/>
      <c r="R284"/>
      <c r="S284"/>
      <c r="V284" s="941"/>
    </row>
    <row r="285" spans="10:22" s="1" customFormat="1" x14ac:dyDescent="0.2">
      <c r="J285"/>
      <c r="K285"/>
      <c r="L285"/>
      <c r="M285"/>
      <c r="N285"/>
      <c r="O285" s="392"/>
      <c r="P285" s="2"/>
      <c r="R285"/>
      <c r="S285"/>
      <c r="V285" s="941"/>
    </row>
    <row r="286" spans="10:22" s="1" customFormat="1" x14ac:dyDescent="0.2">
      <c r="J286"/>
      <c r="K286"/>
      <c r="L286"/>
      <c r="M286"/>
      <c r="N286"/>
      <c r="O286" s="392"/>
      <c r="P286" s="2"/>
      <c r="R286"/>
      <c r="S286"/>
      <c r="V286" s="941"/>
    </row>
    <row r="287" spans="10:22" s="1" customFormat="1" x14ac:dyDescent="0.2">
      <c r="J287"/>
      <c r="K287"/>
      <c r="L287"/>
      <c r="M287"/>
      <c r="N287"/>
      <c r="O287" s="392"/>
      <c r="P287" s="2"/>
      <c r="R287"/>
      <c r="S287"/>
      <c r="V287" s="941"/>
    </row>
    <row r="288" spans="10:22" s="1" customFormat="1" x14ac:dyDescent="0.2">
      <c r="J288"/>
      <c r="K288"/>
      <c r="L288"/>
      <c r="M288"/>
      <c r="N288"/>
      <c r="O288" s="392"/>
      <c r="P288" s="2"/>
      <c r="R288"/>
      <c r="S288"/>
      <c r="V288" s="941"/>
    </row>
    <row r="289" spans="10:22" s="1" customFormat="1" x14ac:dyDescent="0.2">
      <c r="J289"/>
      <c r="K289"/>
      <c r="L289"/>
      <c r="M289"/>
      <c r="N289"/>
      <c r="O289" s="392"/>
      <c r="P289" s="2"/>
      <c r="R289"/>
      <c r="S289"/>
      <c r="V289" s="941"/>
    </row>
    <row r="290" spans="10:22" s="1" customFormat="1" x14ac:dyDescent="0.2">
      <c r="J290"/>
      <c r="K290"/>
      <c r="L290"/>
      <c r="M290"/>
      <c r="N290"/>
      <c r="O290" s="392"/>
      <c r="P290" s="2"/>
      <c r="R290"/>
      <c r="S290"/>
      <c r="V290" s="941"/>
    </row>
    <row r="291" spans="10:22" s="1" customFormat="1" x14ac:dyDescent="0.2">
      <c r="J291"/>
      <c r="K291"/>
      <c r="L291"/>
      <c r="M291"/>
      <c r="N291"/>
      <c r="O291" s="392"/>
      <c r="P291" s="2"/>
      <c r="R291"/>
      <c r="S291"/>
      <c r="V291" s="941"/>
    </row>
    <row r="292" spans="10:22" s="1" customFormat="1" x14ac:dyDescent="0.2">
      <c r="J292"/>
      <c r="K292"/>
      <c r="L292"/>
      <c r="M292"/>
      <c r="N292"/>
      <c r="O292" s="392"/>
      <c r="P292" s="2"/>
      <c r="R292"/>
      <c r="S292"/>
      <c r="V292" s="941"/>
    </row>
    <row r="293" spans="10:22" s="1" customFormat="1" x14ac:dyDescent="0.2">
      <c r="J293"/>
      <c r="K293"/>
      <c r="L293"/>
      <c r="M293"/>
      <c r="N293"/>
      <c r="O293" s="392"/>
      <c r="P293" s="2"/>
      <c r="R293"/>
      <c r="S293"/>
      <c r="V293" s="941"/>
    </row>
    <row r="294" spans="10:22" s="1" customFormat="1" x14ac:dyDescent="0.2">
      <c r="J294"/>
      <c r="K294"/>
      <c r="L294"/>
      <c r="M294"/>
      <c r="N294"/>
      <c r="O294" s="392"/>
      <c r="P294" s="2"/>
      <c r="R294"/>
      <c r="S294"/>
      <c r="V294" s="941"/>
    </row>
    <row r="295" spans="10:22" s="1" customFormat="1" x14ac:dyDescent="0.2">
      <c r="J295"/>
      <c r="K295"/>
      <c r="L295"/>
      <c r="M295"/>
      <c r="N295"/>
      <c r="O295" s="392"/>
      <c r="P295" s="2"/>
      <c r="R295"/>
      <c r="S295"/>
      <c r="V295" s="941"/>
    </row>
    <row r="296" spans="10:22" s="1" customFormat="1" x14ac:dyDescent="0.2">
      <c r="J296"/>
      <c r="K296"/>
      <c r="L296"/>
      <c r="M296"/>
      <c r="N296"/>
      <c r="O296" s="392"/>
      <c r="P296" s="2"/>
      <c r="R296"/>
      <c r="S296"/>
      <c r="V296" s="941"/>
    </row>
    <row r="297" spans="10:22" s="1" customFormat="1" x14ac:dyDescent="0.2">
      <c r="J297"/>
      <c r="K297"/>
      <c r="L297"/>
      <c r="M297"/>
      <c r="N297"/>
      <c r="O297" s="392"/>
      <c r="P297" s="2"/>
      <c r="R297"/>
      <c r="S297"/>
      <c r="V297" s="941"/>
    </row>
    <row r="298" spans="10:22" s="1" customFormat="1" x14ac:dyDescent="0.2">
      <c r="J298"/>
      <c r="K298"/>
      <c r="L298"/>
      <c r="M298"/>
      <c r="N298"/>
      <c r="O298" s="392"/>
      <c r="P298" s="2"/>
      <c r="R298"/>
      <c r="S298"/>
      <c r="V298" s="941"/>
    </row>
    <row r="299" spans="10:22" s="1" customFormat="1" x14ac:dyDescent="0.2">
      <c r="J299"/>
      <c r="K299"/>
      <c r="L299"/>
      <c r="M299"/>
      <c r="N299"/>
      <c r="O299" s="392"/>
      <c r="P299" s="2"/>
      <c r="R299"/>
      <c r="S299"/>
      <c r="V299" s="941"/>
    </row>
    <row r="300" spans="10:22" s="1" customFormat="1" x14ac:dyDescent="0.2">
      <c r="J300"/>
      <c r="K300"/>
      <c r="L300"/>
      <c r="M300"/>
      <c r="N300"/>
      <c r="O300" s="392"/>
      <c r="P300" s="2"/>
      <c r="R300"/>
      <c r="S300"/>
      <c r="V300" s="941"/>
    </row>
    <row r="301" spans="10:22" s="1" customFormat="1" x14ac:dyDescent="0.2">
      <c r="J301"/>
      <c r="K301"/>
      <c r="L301"/>
      <c r="M301"/>
      <c r="N301"/>
      <c r="O301" s="392"/>
      <c r="P301" s="2"/>
      <c r="R301"/>
      <c r="S301"/>
      <c r="V301" s="941"/>
    </row>
    <row r="302" spans="10:22" s="1" customFormat="1" x14ac:dyDescent="0.2">
      <c r="J302"/>
      <c r="K302"/>
      <c r="L302"/>
      <c r="M302"/>
      <c r="N302"/>
      <c r="O302" s="392"/>
      <c r="P302" s="2"/>
      <c r="R302"/>
      <c r="S302"/>
      <c r="V302" s="941"/>
    </row>
    <row r="303" spans="10:22" s="1" customFormat="1" x14ac:dyDescent="0.2">
      <c r="J303"/>
      <c r="K303"/>
      <c r="L303"/>
      <c r="M303"/>
      <c r="N303"/>
      <c r="O303" s="392"/>
      <c r="P303" s="2"/>
      <c r="R303"/>
      <c r="S303"/>
      <c r="V303" s="941"/>
    </row>
    <row r="304" spans="10:22" s="1" customFormat="1" x14ac:dyDescent="0.2">
      <c r="J304"/>
      <c r="K304"/>
      <c r="L304"/>
      <c r="M304"/>
      <c r="N304"/>
      <c r="O304" s="392"/>
      <c r="P304" s="2"/>
      <c r="R304"/>
      <c r="S304"/>
      <c r="V304" s="941"/>
    </row>
    <row r="305" spans="10:22" s="1" customFormat="1" x14ac:dyDescent="0.2">
      <c r="J305"/>
      <c r="K305"/>
      <c r="L305"/>
      <c r="M305"/>
      <c r="N305"/>
      <c r="O305" s="392"/>
      <c r="P305" s="2"/>
      <c r="R305"/>
      <c r="S305"/>
      <c r="V305" s="941"/>
    </row>
    <row r="306" spans="10:22" s="1" customFormat="1" x14ac:dyDescent="0.2">
      <c r="J306"/>
      <c r="K306"/>
      <c r="L306"/>
      <c r="M306"/>
      <c r="N306"/>
      <c r="O306" s="392"/>
      <c r="P306" s="2"/>
      <c r="R306"/>
      <c r="S306"/>
      <c r="V306" s="941"/>
    </row>
    <row r="307" spans="10:22" s="1" customFormat="1" x14ac:dyDescent="0.2">
      <c r="J307"/>
      <c r="K307"/>
      <c r="L307"/>
      <c r="M307"/>
      <c r="N307"/>
      <c r="O307" s="392"/>
      <c r="P307" s="2"/>
      <c r="R307"/>
      <c r="S307"/>
      <c r="V307" s="941"/>
    </row>
    <row r="308" spans="10:22" s="1" customFormat="1" x14ac:dyDescent="0.2">
      <c r="J308"/>
      <c r="K308"/>
      <c r="L308"/>
      <c r="M308"/>
      <c r="N308"/>
      <c r="O308" s="392"/>
      <c r="P308" s="2"/>
      <c r="R308"/>
      <c r="S308"/>
      <c r="V308" s="941"/>
    </row>
    <row r="309" spans="10:22" s="1" customFormat="1" x14ac:dyDescent="0.2">
      <c r="J309"/>
      <c r="K309"/>
      <c r="L309"/>
      <c r="M309"/>
      <c r="N309"/>
      <c r="O309" s="392"/>
      <c r="P309" s="2"/>
      <c r="R309"/>
      <c r="S309"/>
      <c r="V309" s="941"/>
    </row>
    <row r="310" spans="10:22" s="1" customFormat="1" x14ac:dyDescent="0.2">
      <c r="J310"/>
      <c r="K310"/>
      <c r="L310"/>
      <c r="M310"/>
      <c r="N310"/>
      <c r="O310" s="392"/>
      <c r="P310" s="2"/>
      <c r="R310"/>
      <c r="S310"/>
      <c r="V310" s="941"/>
    </row>
    <row r="311" spans="10:22" s="1" customFormat="1" x14ac:dyDescent="0.2">
      <c r="J311"/>
      <c r="K311"/>
      <c r="L311"/>
      <c r="M311"/>
      <c r="N311"/>
      <c r="O311" s="392"/>
      <c r="P311" s="2"/>
      <c r="R311"/>
      <c r="S311"/>
      <c r="V311" s="941"/>
    </row>
    <row r="312" spans="10:22" s="1" customFormat="1" x14ac:dyDescent="0.2">
      <c r="J312"/>
      <c r="K312"/>
      <c r="L312"/>
      <c r="M312"/>
      <c r="N312"/>
      <c r="O312" s="392"/>
      <c r="P312" s="2"/>
      <c r="R312"/>
      <c r="S312"/>
      <c r="V312" s="941"/>
    </row>
    <row r="313" spans="10:22" s="1" customFormat="1" x14ac:dyDescent="0.2">
      <c r="J313"/>
      <c r="K313"/>
      <c r="L313"/>
      <c r="M313"/>
      <c r="N313"/>
      <c r="O313" s="392"/>
      <c r="P313" s="2"/>
      <c r="R313"/>
      <c r="S313"/>
      <c r="V313" s="941"/>
    </row>
    <row r="314" spans="10:22" s="1" customFormat="1" x14ac:dyDescent="0.2">
      <c r="J314"/>
      <c r="K314"/>
      <c r="L314"/>
      <c r="M314"/>
      <c r="N314"/>
      <c r="O314" s="392"/>
      <c r="P314" s="2"/>
      <c r="R314"/>
      <c r="S314"/>
      <c r="V314" s="941"/>
    </row>
    <row r="315" spans="10:22" s="1" customFormat="1" x14ac:dyDescent="0.2">
      <c r="J315"/>
      <c r="K315"/>
      <c r="L315"/>
      <c r="M315"/>
      <c r="N315"/>
      <c r="O315" s="392"/>
      <c r="P315" s="2"/>
      <c r="R315"/>
      <c r="S315"/>
      <c r="V315" s="941"/>
    </row>
    <row r="316" spans="10:22" s="1" customFormat="1" x14ac:dyDescent="0.2">
      <c r="J316"/>
      <c r="K316"/>
      <c r="L316"/>
      <c r="M316"/>
      <c r="N316"/>
      <c r="O316" s="392"/>
      <c r="P316" s="2"/>
      <c r="R316"/>
      <c r="S316"/>
      <c r="V316" s="941"/>
    </row>
    <row r="317" spans="10:22" s="1" customFormat="1" x14ac:dyDescent="0.2">
      <c r="J317"/>
      <c r="K317"/>
      <c r="L317"/>
      <c r="M317"/>
      <c r="N317"/>
      <c r="O317" s="392"/>
      <c r="P317" s="2"/>
      <c r="R317"/>
      <c r="S317"/>
      <c r="V317" s="941"/>
    </row>
    <row r="318" spans="10:22" s="1" customFormat="1" x14ac:dyDescent="0.2">
      <c r="J318"/>
      <c r="K318"/>
      <c r="L318"/>
      <c r="M318"/>
      <c r="N318"/>
      <c r="O318" s="392"/>
      <c r="P318" s="2"/>
      <c r="R318"/>
      <c r="S318"/>
      <c r="V318" s="941"/>
    </row>
    <row r="319" spans="10:22" s="1" customFormat="1" x14ac:dyDescent="0.2">
      <c r="J319"/>
      <c r="K319"/>
      <c r="L319"/>
      <c r="M319"/>
      <c r="N319"/>
      <c r="O319" s="392"/>
      <c r="P319" s="2"/>
      <c r="R319"/>
      <c r="S319"/>
      <c r="V319" s="941"/>
    </row>
    <row r="320" spans="10:22" s="1" customFormat="1" x14ac:dyDescent="0.2">
      <c r="J320"/>
      <c r="K320"/>
      <c r="L320"/>
      <c r="M320"/>
      <c r="N320"/>
      <c r="O320" s="392"/>
      <c r="P320" s="2"/>
      <c r="R320"/>
      <c r="S320"/>
      <c r="V320" s="941"/>
    </row>
    <row r="321" spans="10:22" s="1" customFormat="1" x14ac:dyDescent="0.2">
      <c r="J321"/>
      <c r="K321"/>
      <c r="L321"/>
      <c r="M321"/>
      <c r="N321"/>
      <c r="O321" s="392"/>
      <c r="P321" s="2"/>
      <c r="R321"/>
      <c r="S321"/>
      <c r="V321" s="941"/>
    </row>
    <row r="322" spans="10:22" s="1" customFormat="1" x14ac:dyDescent="0.2">
      <c r="J322"/>
      <c r="K322"/>
      <c r="L322"/>
      <c r="M322"/>
      <c r="N322"/>
      <c r="O322" s="392"/>
      <c r="P322" s="2"/>
      <c r="R322"/>
      <c r="S322"/>
      <c r="V322" s="941"/>
    </row>
    <row r="323" spans="10:22" s="1" customFormat="1" x14ac:dyDescent="0.2">
      <c r="J323"/>
      <c r="K323"/>
      <c r="L323"/>
      <c r="M323"/>
      <c r="N323"/>
      <c r="O323" s="392"/>
      <c r="P323" s="2"/>
      <c r="R323"/>
      <c r="S323"/>
      <c r="V323" s="941"/>
    </row>
    <row r="324" spans="10:22" s="1" customFormat="1" x14ac:dyDescent="0.2">
      <c r="J324"/>
      <c r="K324"/>
      <c r="L324"/>
      <c r="M324"/>
      <c r="N324"/>
      <c r="O324" s="392"/>
      <c r="P324" s="2"/>
      <c r="R324"/>
      <c r="S324"/>
      <c r="V324" s="941"/>
    </row>
    <row r="325" spans="10:22" s="1" customFormat="1" x14ac:dyDescent="0.2">
      <c r="J325"/>
      <c r="K325"/>
      <c r="L325"/>
      <c r="M325"/>
      <c r="N325"/>
      <c r="O325" s="392"/>
      <c r="P325" s="2"/>
      <c r="R325"/>
      <c r="S325"/>
      <c r="V325" s="941"/>
    </row>
    <row r="326" spans="10:22" s="1" customFormat="1" x14ac:dyDescent="0.2">
      <c r="J326"/>
      <c r="K326"/>
      <c r="L326"/>
      <c r="M326"/>
      <c r="N326"/>
      <c r="O326" s="392"/>
      <c r="P326" s="2"/>
      <c r="R326"/>
      <c r="S326"/>
      <c r="V326" s="941"/>
    </row>
    <row r="327" spans="10:22" s="1" customFormat="1" x14ac:dyDescent="0.2">
      <c r="J327"/>
      <c r="K327"/>
      <c r="L327"/>
      <c r="M327"/>
      <c r="N327"/>
      <c r="O327" s="392"/>
      <c r="P327" s="2"/>
      <c r="R327"/>
      <c r="S327"/>
      <c r="V327" s="941"/>
    </row>
    <row r="328" spans="10:22" s="1" customFormat="1" x14ac:dyDescent="0.2">
      <c r="J328"/>
      <c r="K328"/>
      <c r="L328"/>
      <c r="M328"/>
      <c r="N328"/>
      <c r="O328" s="392"/>
      <c r="P328" s="2"/>
      <c r="R328"/>
      <c r="S328"/>
      <c r="V328" s="941"/>
    </row>
    <row r="329" spans="10:22" s="1" customFormat="1" x14ac:dyDescent="0.2">
      <c r="J329"/>
      <c r="K329"/>
      <c r="L329"/>
      <c r="M329"/>
      <c r="N329"/>
      <c r="O329" s="392"/>
      <c r="P329" s="2"/>
      <c r="R329"/>
      <c r="S329"/>
      <c r="V329" s="941"/>
    </row>
    <row r="330" spans="10:22" s="1" customFormat="1" x14ac:dyDescent="0.2">
      <c r="J330"/>
      <c r="K330"/>
      <c r="L330"/>
      <c r="M330"/>
      <c r="N330"/>
      <c r="O330" s="392"/>
      <c r="P330" s="2"/>
      <c r="R330"/>
      <c r="S330"/>
      <c r="V330" s="941"/>
    </row>
    <row r="331" spans="10:22" s="1" customFormat="1" x14ac:dyDescent="0.2">
      <c r="J331"/>
      <c r="K331"/>
      <c r="L331"/>
      <c r="M331"/>
      <c r="N331"/>
      <c r="O331" s="392"/>
      <c r="P331" s="2"/>
      <c r="R331"/>
      <c r="S331"/>
      <c r="V331" s="941"/>
    </row>
    <row r="332" spans="10:22" s="1" customFormat="1" x14ac:dyDescent="0.2">
      <c r="J332"/>
      <c r="K332"/>
      <c r="L332"/>
      <c r="M332"/>
      <c r="N332"/>
      <c r="O332" s="392"/>
      <c r="P332" s="2"/>
      <c r="R332"/>
      <c r="S332"/>
      <c r="V332" s="941"/>
    </row>
    <row r="333" spans="10:22" s="1" customFormat="1" x14ac:dyDescent="0.2">
      <c r="J333"/>
      <c r="K333"/>
      <c r="L333"/>
      <c r="M333"/>
      <c r="N333"/>
      <c r="O333" s="392"/>
      <c r="P333" s="2"/>
      <c r="R333"/>
      <c r="S333"/>
      <c r="V333" s="941"/>
    </row>
    <row r="334" spans="10:22" s="1" customFormat="1" x14ac:dyDescent="0.2">
      <c r="J334"/>
      <c r="K334"/>
      <c r="L334"/>
      <c r="M334"/>
      <c r="N334"/>
      <c r="O334" s="392"/>
      <c r="P334" s="2"/>
      <c r="R334"/>
      <c r="S334"/>
      <c r="V334" s="941"/>
    </row>
    <row r="335" spans="10:22" s="1" customFormat="1" x14ac:dyDescent="0.2">
      <c r="J335"/>
      <c r="K335"/>
      <c r="L335"/>
      <c r="M335"/>
      <c r="N335"/>
      <c r="O335" s="392"/>
      <c r="P335" s="2"/>
      <c r="R335"/>
      <c r="S335"/>
      <c r="V335" s="941"/>
    </row>
    <row r="336" spans="10:22" s="1" customFormat="1" x14ac:dyDescent="0.2">
      <c r="J336"/>
      <c r="K336"/>
      <c r="L336"/>
      <c r="M336"/>
      <c r="N336"/>
      <c r="O336" s="392"/>
      <c r="P336" s="2"/>
      <c r="R336"/>
      <c r="S336"/>
      <c r="V336" s="941"/>
    </row>
    <row r="337" spans="10:22" s="1" customFormat="1" x14ac:dyDescent="0.2">
      <c r="J337"/>
      <c r="K337"/>
      <c r="L337"/>
      <c r="M337"/>
      <c r="N337"/>
      <c r="O337" s="392"/>
      <c r="P337" s="2"/>
      <c r="R337"/>
      <c r="S337"/>
      <c r="V337" s="941"/>
    </row>
    <row r="338" spans="10:22" s="1" customFormat="1" x14ac:dyDescent="0.2">
      <c r="J338"/>
      <c r="K338"/>
      <c r="L338"/>
      <c r="M338"/>
      <c r="N338"/>
      <c r="O338" s="392"/>
      <c r="P338" s="2"/>
      <c r="R338"/>
      <c r="S338"/>
      <c r="V338" s="941"/>
    </row>
    <row r="339" spans="10:22" s="1" customFormat="1" x14ac:dyDescent="0.2">
      <c r="J339"/>
      <c r="K339"/>
      <c r="L339"/>
      <c r="M339"/>
      <c r="N339"/>
      <c r="O339" s="392"/>
      <c r="P339" s="2"/>
      <c r="R339"/>
      <c r="S339"/>
      <c r="V339" s="941"/>
    </row>
    <row r="340" spans="10:22" s="1" customFormat="1" x14ac:dyDescent="0.2">
      <c r="J340"/>
      <c r="K340"/>
      <c r="L340"/>
      <c r="M340"/>
      <c r="N340"/>
      <c r="O340" s="392"/>
      <c r="P340" s="2"/>
      <c r="R340"/>
      <c r="S340"/>
      <c r="V340" s="941"/>
    </row>
    <row r="341" spans="10:22" s="1" customFormat="1" x14ac:dyDescent="0.2">
      <c r="J341"/>
      <c r="K341"/>
      <c r="L341"/>
      <c r="M341"/>
      <c r="N341"/>
      <c r="O341" s="392"/>
      <c r="P341" s="2"/>
      <c r="R341"/>
      <c r="S341"/>
      <c r="V341" s="941"/>
    </row>
    <row r="342" spans="10:22" s="1" customFormat="1" x14ac:dyDescent="0.2">
      <c r="J342"/>
      <c r="K342"/>
      <c r="L342"/>
      <c r="M342"/>
      <c r="N342"/>
      <c r="O342" s="392"/>
      <c r="P342" s="2"/>
      <c r="R342"/>
      <c r="S342"/>
      <c r="V342" s="941"/>
    </row>
    <row r="343" spans="10:22" s="1" customFormat="1" x14ac:dyDescent="0.2">
      <c r="J343"/>
      <c r="K343"/>
      <c r="L343"/>
      <c r="M343"/>
      <c r="N343"/>
      <c r="O343" s="392"/>
      <c r="P343" s="2"/>
      <c r="R343"/>
      <c r="S343"/>
      <c r="V343" s="941"/>
    </row>
    <row r="344" spans="10:22" s="1" customFormat="1" x14ac:dyDescent="0.2">
      <c r="J344"/>
      <c r="K344"/>
      <c r="L344"/>
      <c r="M344"/>
      <c r="N344"/>
      <c r="O344" s="392"/>
      <c r="P344" s="2"/>
      <c r="R344"/>
      <c r="S344"/>
      <c r="V344" s="941"/>
    </row>
    <row r="345" spans="10:22" s="1" customFormat="1" x14ac:dyDescent="0.2">
      <c r="J345"/>
      <c r="K345"/>
      <c r="L345"/>
      <c r="M345"/>
      <c r="N345"/>
      <c r="O345" s="392"/>
      <c r="P345" s="2"/>
      <c r="R345"/>
      <c r="S345"/>
      <c r="V345" s="941"/>
    </row>
    <row r="346" spans="10:22" s="1" customFormat="1" x14ac:dyDescent="0.2">
      <c r="J346"/>
      <c r="K346"/>
      <c r="L346"/>
      <c r="M346"/>
      <c r="N346"/>
      <c r="O346" s="392"/>
      <c r="P346" s="2"/>
      <c r="R346"/>
      <c r="S346"/>
      <c r="V346" s="941"/>
    </row>
    <row r="347" spans="10:22" s="1" customFormat="1" x14ac:dyDescent="0.2">
      <c r="J347"/>
      <c r="K347"/>
      <c r="L347"/>
      <c r="M347"/>
      <c r="N347"/>
      <c r="O347" s="392"/>
      <c r="P347" s="2"/>
      <c r="R347"/>
      <c r="S347"/>
      <c r="V347" s="941"/>
    </row>
    <row r="348" spans="10:22" s="1" customFormat="1" x14ac:dyDescent="0.2">
      <c r="J348"/>
      <c r="K348"/>
      <c r="L348"/>
      <c r="M348"/>
      <c r="N348"/>
      <c r="O348" s="392"/>
      <c r="P348" s="2"/>
      <c r="R348"/>
      <c r="S348"/>
      <c r="V348" s="941"/>
    </row>
    <row r="349" spans="10:22" s="1" customFormat="1" x14ac:dyDescent="0.2">
      <c r="J349"/>
      <c r="K349"/>
      <c r="L349"/>
      <c r="M349"/>
      <c r="N349"/>
      <c r="O349" s="392"/>
      <c r="P349" s="2"/>
      <c r="R349"/>
      <c r="S349"/>
      <c r="V349" s="941"/>
    </row>
    <row r="350" spans="10:22" s="1" customFormat="1" x14ac:dyDescent="0.2">
      <c r="J350"/>
      <c r="K350"/>
      <c r="L350"/>
      <c r="M350"/>
      <c r="N350"/>
      <c r="O350" s="392"/>
      <c r="P350" s="2"/>
      <c r="R350"/>
      <c r="S350"/>
      <c r="V350" s="941"/>
    </row>
    <row r="351" spans="10:22" s="1" customFormat="1" x14ac:dyDescent="0.2">
      <c r="J351"/>
      <c r="K351"/>
      <c r="L351"/>
      <c r="M351"/>
      <c r="N351"/>
      <c r="O351" s="392"/>
      <c r="P351" s="2"/>
      <c r="R351"/>
      <c r="S351"/>
      <c r="V351" s="941"/>
    </row>
    <row r="352" spans="10:22" s="1" customFormat="1" x14ac:dyDescent="0.2">
      <c r="J352"/>
      <c r="K352"/>
      <c r="L352"/>
      <c r="M352"/>
      <c r="N352"/>
      <c r="O352" s="392"/>
      <c r="P352" s="2"/>
      <c r="R352"/>
      <c r="S352"/>
      <c r="V352" s="941"/>
    </row>
    <row r="353" spans="10:22" s="1" customFormat="1" x14ac:dyDescent="0.2">
      <c r="J353"/>
      <c r="K353"/>
      <c r="L353"/>
      <c r="M353"/>
      <c r="N353"/>
      <c r="O353" s="392"/>
      <c r="P353" s="2"/>
      <c r="R353"/>
      <c r="S353"/>
      <c r="V353" s="941"/>
    </row>
    <row r="354" spans="10:22" s="1" customFormat="1" x14ac:dyDescent="0.2">
      <c r="J354"/>
      <c r="K354"/>
      <c r="L354"/>
      <c r="M354"/>
      <c r="N354"/>
      <c r="O354" s="392"/>
      <c r="P354" s="2"/>
      <c r="R354"/>
      <c r="S354"/>
      <c r="V354" s="941"/>
    </row>
    <row r="355" spans="10:22" s="1" customFormat="1" x14ac:dyDescent="0.2">
      <c r="J355"/>
      <c r="K355"/>
      <c r="L355"/>
      <c r="M355"/>
      <c r="N355"/>
      <c r="O355" s="392"/>
      <c r="P355" s="2"/>
      <c r="R355"/>
      <c r="S355"/>
      <c r="V355" s="941"/>
    </row>
    <row r="356" spans="10:22" s="1" customFormat="1" x14ac:dyDescent="0.2">
      <c r="J356"/>
      <c r="K356"/>
      <c r="L356"/>
      <c r="M356"/>
      <c r="N356"/>
      <c r="O356" s="392"/>
      <c r="P356" s="2"/>
      <c r="R356"/>
      <c r="S356"/>
      <c r="V356" s="941"/>
    </row>
    <row r="357" spans="10:22" s="1" customFormat="1" x14ac:dyDescent="0.2">
      <c r="J357"/>
      <c r="K357"/>
      <c r="L357"/>
      <c r="M357"/>
      <c r="N357"/>
      <c r="O357" s="392"/>
      <c r="P357" s="2"/>
      <c r="R357"/>
      <c r="S357"/>
      <c r="V357" s="941"/>
    </row>
    <row r="358" spans="10:22" s="1" customFormat="1" x14ac:dyDescent="0.2">
      <c r="J358"/>
      <c r="K358"/>
      <c r="L358"/>
      <c r="M358"/>
      <c r="N358"/>
      <c r="O358" s="392"/>
      <c r="P358" s="2"/>
      <c r="R358"/>
      <c r="S358"/>
      <c r="V358" s="941"/>
    </row>
    <row r="359" spans="10:22" s="1" customFormat="1" x14ac:dyDescent="0.2">
      <c r="J359"/>
      <c r="K359"/>
      <c r="L359"/>
      <c r="M359"/>
      <c r="N359"/>
      <c r="O359" s="392"/>
      <c r="P359" s="2"/>
      <c r="R359"/>
      <c r="S359"/>
      <c r="V359" s="941"/>
    </row>
    <row r="360" spans="10:22" s="1" customFormat="1" x14ac:dyDescent="0.2">
      <c r="J360"/>
      <c r="K360"/>
      <c r="L360"/>
      <c r="M360"/>
      <c r="N360"/>
      <c r="O360" s="392"/>
      <c r="P360" s="2"/>
      <c r="R360"/>
      <c r="S360"/>
      <c r="V360" s="941"/>
    </row>
    <row r="361" spans="10:22" s="1" customFormat="1" x14ac:dyDescent="0.2">
      <c r="J361"/>
      <c r="K361"/>
      <c r="L361"/>
      <c r="M361"/>
      <c r="N361"/>
      <c r="O361" s="392"/>
      <c r="P361" s="2"/>
      <c r="R361"/>
      <c r="S361"/>
      <c r="V361" s="941"/>
    </row>
    <row r="362" spans="10:22" s="1" customFormat="1" x14ac:dyDescent="0.2">
      <c r="J362"/>
      <c r="K362"/>
      <c r="L362"/>
      <c r="M362"/>
      <c r="N362"/>
      <c r="O362" s="392"/>
      <c r="P362" s="2"/>
      <c r="R362"/>
      <c r="S362"/>
      <c r="V362" s="941"/>
    </row>
    <row r="363" spans="10:22" s="1" customFormat="1" x14ac:dyDescent="0.2">
      <c r="J363"/>
      <c r="K363"/>
      <c r="L363"/>
      <c r="M363"/>
      <c r="N363"/>
      <c r="O363" s="392"/>
      <c r="P363" s="2"/>
      <c r="R363"/>
      <c r="S363"/>
      <c r="V363" s="941"/>
    </row>
    <row r="364" spans="10:22" s="1" customFormat="1" x14ac:dyDescent="0.2">
      <c r="J364"/>
      <c r="K364"/>
      <c r="L364"/>
      <c r="M364"/>
      <c r="N364"/>
      <c r="O364" s="392"/>
      <c r="P364" s="2"/>
      <c r="R364"/>
      <c r="S364"/>
      <c r="V364" s="941"/>
    </row>
    <row r="365" spans="10:22" s="1" customFormat="1" x14ac:dyDescent="0.2">
      <c r="J365"/>
      <c r="K365"/>
      <c r="L365"/>
      <c r="M365"/>
      <c r="N365"/>
      <c r="O365" s="392"/>
      <c r="P365" s="2"/>
      <c r="R365"/>
      <c r="S365"/>
      <c r="V365" s="941"/>
    </row>
    <row r="366" spans="10:22" s="1" customFormat="1" x14ac:dyDescent="0.2">
      <c r="J366"/>
      <c r="K366"/>
      <c r="L366"/>
      <c r="M366"/>
      <c r="N366"/>
      <c r="O366" s="392"/>
      <c r="P366" s="2"/>
      <c r="R366"/>
      <c r="S366"/>
      <c r="V366" s="941"/>
    </row>
    <row r="367" spans="10:22" s="1" customFormat="1" x14ac:dyDescent="0.2">
      <c r="J367"/>
      <c r="K367"/>
      <c r="L367"/>
      <c r="M367"/>
      <c r="N367"/>
      <c r="O367" s="392"/>
      <c r="P367" s="2"/>
      <c r="R367"/>
      <c r="S367"/>
      <c r="V367" s="941"/>
    </row>
    <row r="368" spans="10:22" s="1" customFormat="1" x14ac:dyDescent="0.2">
      <c r="J368"/>
      <c r="K368"/>
      <c r="L368"/>
      <c r="M368"/>
      <c r="N368"/>
      <c r="O368" s="392"/>
      <c r="P368" s="2"/>
      <c r="R368"/>
      <c r="S368"/>
      <c r="V368" s="941"/>
    </row>
    <row r="369" spans="10:22" s="1" customFormat="1" x14ac:dyDescent="0.2">
      <c r="J369"/>
      <c r="K369"/>
      <c r="L369"/>
      <c r="M369"/>
      <c r="N369"/>
      <c r="O369" s="392"/>
      <c r="P369" s="2"/>
      <c r="R369"/>
      <c r="S369"/>
      <c r="V369" s="941"/>
    </row>
    <row r="370" spans="10:22" s="1" customFormat="1" x14ac:dyDescent="0.2">
      <c r="J370"/>
      <c r="K370"/>
      <c r="L370"/>
      <c r="M370"/>
      <c r="N370"/>
      <c r="O370" s="392"/>
      <c r="P370" s="2"/>
      <c r="R370"/>
      <c r="S370"/>
      <c r="V370" s="941"/>
    </row>
    <row r="371" spans="10:22" s="1" customFormat="1" x14ac:dyDescent="0.2">
      <c r="J371"/>
      <c r="K371"/>
      <c r="L371"/>
      <c r="M371"/>
      <c r="N371"/>
      <c r="O371" s="392"/>
      <c r="P371" s="2"/>
      <c r="R371"/>
      <c r="S371"/>
      <c r="V371" s="941"/>
    </row>
    <row r="372" spans="10:22" s="1" customFormat="1" x14ac:dyDescent="0.2">
      <c r="J372"/>
      <c r="K372"/>
      <c r="L372"/>
      <c r="M372"/>
      <c r="N372"/>
      <c r="O372" s="392"/>
      <c r="P372" s="2"/>
      <c r="R372"/>
      <c r="S372"/>
      <c r="V372" s="941"/>
    </row>
    <row r="373" spans="10:22" s="1" customFormat="1" x14ac:dyDescent="0.2">
      <c r="J373"/>
      <c r="K373"/>
      <c r="L373"/>
      <c r="M373"/>
      <c r="N373"/>
      <c r="O373" s="392"/>
      <c r="P373" s="2"/>
      <c r="R373"/>
      <c r="S373"/>
      <c r="V373" s="941"/>
    </row>
    <row r="374" spans="10:22" s="1" customFormat="1" x14ac:dyDescent="0.2">
      <c r="J374"/>
      <c r="K374"/>
      <c r="L374"/>
      <c r="M374"/>
      <c r="N374"/>
      <c r="O374" s="392"/>
      <c r="P374" s="2"/>
      <c r="R374"/>
      <c r="S374"/>
      <c r="V374" s="941"/>
    </row>
    <row r="375" spans="10:22" s="1" customFormat="1" x14ac:dyDescent="0.2">
      <c r="J375"/>
      <c r="K375"/>
      <c r="L375"/>
      <c r="M375"/>
      <c r="N375"/>
      <c r="O375" s="392"/>
      <c r="P375" s="2"/>
      <c r="R375"/>
      <c r="S375"/>
      <c r="V375" s="941"/>
    </row>
    <row r="376" spans="10:22" s="1" customFormat="1" x14ac:dyDescent="0.2">
      <c r="J376"/>
      <c r="K376"/>
      <c r="L376"/>
      <c r="M376"/>
      <c r="N376"/>
      <c r="O376" s="392"/>
      <c r="P376" s="2"/>
      <c r="R376"/>
      <c r="S376"/>
      <c r="V376" s="941"/>
    </row>
    <row r="377" spans="10:22" s="1" customFormat="1" x14ac:dyDescent="0.2">
      <c r="J377"/>
      <c r="K377"/>
      <c r="L377"/>
      <c r="M377"/>
      <c r="N377"/>
      <c r="O377" s="392"/>
      <c r="P377" s="2"/>
      <c r="R377"/>
      <c r="S377"/>
      <c r="V377" s="941"/>
    </row>
    <row r="378" spans="10:22" s="1" customFormat="1" x14ac:dyDescent="0.2">
      <c r="J378"/>
      <c r="K378"/>
      <c r="L378"/>
      <c r="M378"/>
      <c r="N378"/>
      <c r="O378" s="392"/>
      <c r="P378" s="2"/>
      <c r="R378"/>
      <c r="S378"/>
      <c r="V378" s="941"/>
    </row>
    <row r="379" spans="10:22" s="1" customFormat="1" x14ac:dyDescent="0.2">
      <c r="J379"/>
      <c r="K379"/>
      <c r="L379"/>
      <c r="M379"/>
      <c r="N379"/>
      <c r="O379" s="392"/>
      <c r="P379" s="2"/>
      <c r="R379"/>
      <c r="S379"/>
      <c r="V379" s="941"/>
    </row>
    <row r="380" spans="10:22" s="1" customFormat="1" x14ac:dyDescent="0.2">
      <c r="J380"/>
      <c r="K380"/>
      <c r="L380"/>
      <c r="M380"/>
      <c r="N380"/>
      <c r="O380" s="392"/>
      <c r="P380" s="2"/>
      <c r="R380"/>
      <c r="S380"/>
      <c r="V380" s="941"/>
    </row>
    <row r="381" spans="10:22" s="1" customFormat="1" x14ac:dyDescent="0.2">
      <c r="J381"/>
      <c r="K381"/>
      <c r="L381"/>
      <c r="M381"/>
      <c r="N381"/>
      <c r="O381" s="392"/>
      <c r="P381" s="2"/>
      <c r="R381"/>
      <c r="S381"/>
      <c r="V381" s="941"/>
    </row>
    <row r="382" spans="10:22" s="1" customFormat="1" x14ac:dyDescent="0.2">
      <c r="J382"/>
      <c r="K382"/>
      <c r="L382"/>
      <c r="M382"/>
      <c r="N382"/>
      <c r="O382" s="392"/>
      <c r="P382" s="2"/>
      <c r="R382"/>
      <c r="S382"/>
      <c r="V382" s="941"/>
    </row>
    <row r="383" spans="10:22" s="1" customFormat="1" x14ac:dyDescent="0.2">
      <c r="J383"/>
      <c r="K383"/>
      <c r="L383"/>
      <c r="M383"/>
      <c r="N383"/>
      <c r="O383" s="392"/>
      <c r="P383" s="2"/>
      <c r="R383"/>
      <c r="S383"/>
      <c r="V383" s="941"/>
    </row>
    <row r="384" spans="10:22" s="1" customFormat="1" x14ac:dyDescent="0.2">
      <c r="J384"/>
      <c r="K384"/>
      <c r="L384"/>
      <c r="M384"/>
      <c r="N384"/>
      <c r="O384" s="392"/>
      <c r="P384" s="2"/>
      <c r="R384"/>
      <c r="S384"/>
      <c r="V384" s="941"/>
    </row>
    <row r="385" spans="10:22" s="1" customFormat="1" x14ac:dyDescent="0.2">
      <c r="J385"/>
      <c r="K385"/>
      <c r="L385"/>
      <c r="M385"/>
      <c r="N385"/>
      <c r="O385" s="392"/>
      <c r="P385" s="2"/>
      <c r="R385"/>
      <c r="S385"/>
      <c r="V385" s="941"/>
    </row>
    <row r="386" spans="10:22" s="1" customFormat="1" x14ac:dyDescent="0.2">
      <c r="J386"/>
      <c r="K386"/>
      <c r="L386"/>
      <c r="M386"/>
      <c r="N386"/>
      <c r="O386" s="392"/>
      <c r="P386" s="2"/>
      <c r="R386"/>
      <c r="S386"/>
      <c r="V386" s="941"/>
    </row>
    <row r="387" spans="10:22" s="1" customFormat="1" x14ac:dyDescent="0.2">
      <c r="J387"/>
      <c r="K387"/>
      <c r="L387"/>
      <c r="M387"/>
      <c r="N387"/>
      <c r="O387" s="392"/>
      <c r="P387" s="2"/>
      <c r="R387"/>
      <c r="S387"/>
      <c r="V387" s="941"/>
    </row>
    <row r="388" spans="10:22" s="1" customFormat="1" x14ac:dyDescent="0.2">
      <c r="J388"/>
      <c r="K388"/>
      <c r="L388"/>
      <c r="M388"/>
      <c r="N388"/>
      <c r="O388" s="392"/>
      <c r="P388" s="2"/>
      <c r="R388"/>
      <c r="S388"/>
      <c r="V388" s="941"/>
    </row>
    <row r="389" spans="10:22" s="1" customFormat="1" x14ac:dyDescent="0.2">
      <c r="J389"/>
      <c r="K389"/>
      <c r="L389"/>
      <c r="M389"/>
      <c r="N389"/>
      <c r="O389" s="392"/>
      <c r="P389" s="2"/>
      <c r="R389"/>
      <c r="S389"/>
      <c r="V389" s="941"/>
    </row>
    <row r="390" spans="10:22" s="1" customFormat="1" x14ac:dyDescent="0.2">
      <c r="J390"/>
      <c r="K390"/>
      <c r="L390"/>
      <c r="M390"/>
      <c r="N390"/>
      <c r="O390" s="392"/>
      <c r="P390" s="2"/>
      <c r="R390"/>
      <c r="S390"/>
      <c r="V390" s="941"/>
    </row>
    <row r="391" spans="10:22" s="1" customFormat="1" x14ac:dyDescent="0.2">
      <c r="J391"/>
      <c r="K391"/>
      <c r="L391"/>
      <c r="M391"/>
      <c r="N391"/>
      <c r="O391" s="392"/>
      <c r="P391" s="2"/>
      <c r="R391"/>
      <c r="S391"/>
      <c r="V391" s="941"/>
    </row>
    <row r="392" spans="10:22" s="1" customFormat="1" x14ac:dyDescent="0.2">
      <c r="J392"/>
      <c r="K392"/>
      <c r="L392"/>
      <c r="M392"/>
      <c r="N392"/>
      <c r="O392" s="392"/>
      <c r="P392" s="2"/>
      <c r="R392"/>
      <c r="S392"/>
      <c r="V392" s="941"/>
    </row>
    <row r="393" spans="10:22" s="1" customFormat="1" x14ac:dyDescent="0.2">
      <c r="J393"/>
      <c r="K393"/>
      <c r="L393"/>
      <c r="M393"/>
      <c r="N393"/>
      <c r="O393" s="392"/>
      <c r="P393" s="2"/>
      <c r="R393"/>
      <c r="S393"/>
      <c r="V393" s="941"/>
    </row>
    <row r="394" spans="10:22" s="1" customFormat="1" x14ac:dyDescent="0.2">
      <c r="J394"/>
      <c r="K394"/>
      <c r="L394"/>
      <c r="M394"/>
      <c r="N394"/>
      <c r="O394" s="392"/>
      <c r="P394" s="2"/>
      <c r="R394"/>
      <c r="S394"/>
      <c r="V394" s="941"/>
    </row>
    <row r="395" spans="10:22" s="1" customFormat="1" x14ac:dyDescent="0.2">
      <c r="J395"/>
      <c r="K395"/>
      <c r="L395"/>
      <c r="M395"/>
      <c r="N395"/>
      <c r="O395" s="392"/>
      <c r="P395" s="2"/>
      <c r="R395"/>
      <c r="S395"/>
      <c r="V395" s="941"/>
    </row>
    <row r="396" spans="10:22" s="1" customFormat="1" x14ac:dyDescent="0.2">
      <c r="J396"/>
      <c r="K396"/>
      <c r="L396"/>
      <c r="M396"/>
      <c r="N396"/>
      <c r="O396" s="392"/>
      <c r="P396" s="2"/>
      <c r="R396"/>
      <c r="S396"/>
      <c r="V396" s="941"/>
    </row>
    <row r="397" spans="10:22" s="1" customFormat="1" x14ac:dyDescent="0.2">
      <c r="J397"/>
      <c r="K397"/>
      <c r="L397"/>
      <c r="M397"/>
      <c r="N397"/>
      <c r="O397" s="392"/>
      <c r="P397" s="2"/>
      <c r="R397"/>
      <c r="S397"/>
      <c r="V397" s="941"/>
    </row>
    <row r="398" spans="10:22" s="1" customFormat="1" x14ac:dyDescent="0.2">
      <c r="J398"/>
      <c r="K398"/>
      <c r="L398"/>
      <c r="M398"/>
      <c r="N398"/>
      <c r="O398" s="392"/>
      <c r="P398" s="2"/>
      <c r="R398"/>
      <c r="S398"/>
      <c r="V398" s="941"/>
    </row>
    <row r="399" spans="10:22" s="1" customFormat="1" x14ac:dyDescent="0.2">
      <c r="J399"/>
      <c r="K399"/>
      <c r="L399"/>
      <c r="M399"/>
      <c r="N399"/>
      <c r="O399" s="392"/>
      <c r="P399" s="2"/>
      <c r="R399"/>
      <c r="S399"/>
      <c r="V399" s="941"/>
    </row>
    <row r="400" spans="10:22" s="1" customFormat="1" x14ac:dyDescent="0.2">
      <c r="J400"/>
      <c r="K400"/>
      <c r="L400"/>
      <c r="M400"/>
      <c r="N400"/>
      <c r="O400" s="392"/>
      <c r="P400" s="2"/>
      <c r="R400"/>
      <c r="S400"/>
      <c r="V400" s="941"/>
    </row>
    <row r="401" spans="10:22" s="1" customFormat="1" x14ac:dyDescent="0.2">
      <c r="J401"/>
      <c r="K401"/>
      <c r="L401"/>
      <c r="M401"/>
      <c r="N401"/>
      <c r="O401" s="392"/>
      <c r="P401" s="2"/>
      <c r="R401"/>
      <c r="S401"/>
      <c r="V401" s="941"/>
    </row>
    <row r="402" spans="10:22" s="1" customFormat="1" x14ac:dyDescent="0.2">
      <c r="J402"/>
      <c r="K402"/>
      <c r="L402"/>
      <c r="M402"/>
      <c r="N402"/>
      <c r="O402" s="392"/>
      <c r="P402" s="2"/>
      <c r="R402"/>
      <c r="S402"/>
      <c r="V402" s="941"/>
    </row>
    <row r="403" spans="10:22" s="1" customFormat="1" x14ac:dyDescent="0.2">
      <c r="J403"/>
      <c r="K403"/>
      <c r="L403"/>
      <c r="M403"/>
      <c r="N403"/>
      <c r="O403" s="392"/>
      <c r="P403" s="2"/>
      <c r="R403"/>
      <c r="S403"/>
      <c r="V403" s="941"/>
    </row>
    <row r="404" spans="10:22" s="1" customFormat="1" x14ac:dyDescent="0.2">
      <c r="J404"/>
      <c r="K404"/>
      <c r="L404"/>
      <c r="M404"/>
      <c r="N404"/>
      <c r="O404" s="392"/>
      <c r="P404" s="2"/>
      <c r="R404"/>
      <c r="S404"/>
      <c r="V404" s="941"/>
    </row>
    <row r="405" spans="10:22" s="1" customFormat="1" x14ac:dyDescent="0.2">
      <c r="J405"/>
      <c r="K405"/>
      <c r="L405"/>
      <c r="M405"/>
      <c r="N405"/>
      <c r="O405" s="392"/>
      <c r="P405" s="2"/>
      <c r="R405"/>
      <c r="S405"/>
      <c r="V405" s="941"/>
    </row>
    <row r="406" spans="10:22" s="1" customFormat="1" x14ac:dyDescent="0.2">
      <c r="J406"/>
      <c r="K406"/>
      <c r="L406"/>
      <c r="M406"/>
      <c r="N406"/>
      <c r="O406" s="392"/>
      <c r="P406" s="2"/>
      <c r="R406"/>
      <c r="S406"/>
      <c r="V406" s="941"/>
    </row>
    <row r="407" spans="10:22" s="1" customFormat="1" x14ac:dyDescent="0.2">
      <c r="J407"/>
      <c r="K407"/>
      <c r="L407"/>
      <c r="M407"/>
      <c r="N407"/>
      <c r="O407" s="392"/>
      <c r="P407" s="2"/>
      <c r="R407"/>
      <c r="S407"/>
      <c r="V407" s="941"/>
    </row>
    <row r="408" spans="10:22" s="1" customFormat="1" x14ac:dyDescent="0.2">
      <c r="J408"/>
      <c r="K408"/>
      <c r="L408"/>
      <c r="M408"/>
      <c r="N408"/>
      <c r="O408" s="392"/>
      <c r="P408" s="2"/>
      <c r="R408"/>
      <c r="S408"/>
      <c r="V408" s="941"/>
    </row>
    <row r="409" spans="10:22" s="1" customFormat="1" x14ac:dyDescent="0.2">
      <c r="J409"/>
      <c r="K409"/>
      <c r="L409"/>
      <c r="M409"/>
      <c r="N409"/>
      <c r="O409" s="392"/>
      <c r="P409" s="2"/>
      <c r="R409"/>
      <c r="S409"/>
      <c r="V409" s="941"/>
    </row>
    <row r="410" spans="10:22" s="1" customFormat="1" x14ac:dyDescent="0.2">
      <c r="J410"/>
      <c r="K410"/>
      <c r="L410"/>
      <c r="M410"/>
      <c r="N410"/>
      <c r="O410" s="392"/>
      <c r="P410" s="2"/>
      <c r="R410"/>
      <c r="S410"/>
      <c r="V410" s="941"/>
    </row>
    <row r="411" spans="10:22" s="1" customFormat="1" x14ac:dyDescent="0.2">
      <c r="J411"/>
      <c r="K411"/>
      <c r="L411"/>
      <c r="M411"/>
      <c r="N411"/>
      <c r="O411" s="392"/>
      <c r="P411" s="2"/>
      <c r="R411"/>
      <c r="S411"/>
      <c r="V411" s="941"/>
    </row>
    <row r="412" spans="10:22" s="1" customFormat="1" x14ac:dyDescent="0.2">
      <c r="J412"/>
      <c r="K412"/>
      <c r="L412"/>
      <c r="M412"/>
      <c r="N412"/>
      <c r="O412" s="392"/>
      <c r="P412" s="2"/>
      <c r="R412"/>
      <c r="S412"/>
      <c r="V412" s="941"/>
    </row>
    <row r="413" spans="10:22" s="1" customFormat="1" x14ac:dyDescent="0.2">
      <c r="J413"/>
      <c r="K413"/>
      <c r="L413"/>
      <c r="M413"/>
      <c r="N413"/>
      <c r="O413" s="392"/>
      <c r="P413" s="2"/>
      <c r="R413"/>
      <c r="S413"/>
      <c r="V413" s="941"/>
    </row>
    <row r="414" spans="10:22" s="1" customFormat="1" x14ac:dyDescent="0.2">
      <c r="J414"/>
      <c r="K414"/>
      <c r="L414"/>
      <c r="M414"/>
      <c r="N414"/>
      <c r="O414" s="392"/>
      <c r="P414" s="2"/>
      <c r="R414"/>
      <c r="S414"/>
      <c r="V414" s="941"/>
    </row>
    <row r="415" spans="10:22" s="1" customFormat="1" x14ac:dyDescent="0.2">
      <c r="J415"/>
      <c r="K415"/>
      <c r="L415"/>
      <c r="M415"/>
      <c r="N415"/>
      <c r="O415" s="392"/>
      <c r="P415" s="2"/>
      <c r="R415"/>
      <c r="S415"/>
      <c r="V415" s="941"/>
    </row>
    <row r="416" spans="10:22" s="1" customFormat="1" x14ac:dyDescent="0.2">
      <c r="J416"/>
      <c r="K416"/>
      <c r="L416"/>
      <c r="M416"/>
      <c r="N416"/>
      <c r="O416" s="392"/>
      <c r="P416" s="2"/>
      <c r="R416"/>
      <c r="S416"/>
      <c r="V416" s="941"/>
    </row>
    <row r="417" spans="10:22" s="1" customFormat="1" x14ac:dyDescent="0.2">
      <c r="J417"/>
      <c r="K417"/>
      <c r="L417"/>
      <c r="M417"/>
      <c r="N417"/>
      <c r="O417" s="392"/>
      <c r="P417" s="2"/>
      <c r="R417"/>
      <c r="S417"/>
      <c r="V417" s="941"/>
    </row>
    <row r="418" spans="10:22" s="1" customFormat="1" x14ac:dyDescent="0.2">
      <c r="J418"/>
      <c r="K418"/>
      <c r="L418"/>
      <c r="M418"/>
      <c r="N418"/>
      <c r="O418" s="392"/>
      <c r="P418" s="2"/>
      <c r="R418"/>
      <c r="S418"/>
      <c r="V418" s="941"/>
    </row>
    <row r="419" spans="10:22" s="1" customFormat="1" x14ac:dyDescent="0.2">
      <c r="J419"/>
      <c r="K419"/>
      <c r="L419"/>
      <c r="M419"/>
      <c r="N419"/>
      <c r="O419" s="392"/>
      <c r="P419" s="2"/>
      <c r="R419"/>
      <c r="S419"/>
      <c r="V419" s="941"/>
    </row>
    <row r="420" spans="10:22" s="1" customFormat="1" x14ac:dyDescent="0.2">
      <c r="J420"/>
      <c r="K420"/>
      <c r="L420"/>
      <c r="M420"/>
      <c r="N420"/>
      <c r="O420" s="392"/>
      <c r="P420" s="2"/>
      <c r="R420"/>
      <c r="S420"/>
      <c r="V420" s="941"/>
    </row>
    <row r="421" spans="10:22" s="1" customFormat="1" x14ac:dyDescent="0.2">
      <c r="J421"/>
      <c r="K421"/>
      <c r="L421"/>
      <c r="M421"/>
      <c r="N421"/>
      <c r="O421" s="392"/>
      <c r="P421" s="2"/>
      <c r="R421"/>
      <c r="S421"/>
      <c r="V421" s="941"/>
    </row>
    <row r="422" spans="10:22" s="1" customFormat="1" x14ac:dyDescent="0.2">
      <c r="J422"/>
      <c r="K422"/>
      <c r="L422"/>
      <c r="M422"/>
      <c r="N422"/>
      <c r="O422" s="392"/>
      <c r="P422" s="2"/>
      <c r="R422"/>
      <c r="S422"/>
      <c r="V422" s="941"/>
    </row>
    <row r="423" spans="10:22" s="1" customFormat="1" x14ac:dyDescent="0.2">
      <c r="J423"/>
      <c r="K423"/>
      <c r="L423"/>
      <c r="M423"/>
      <c r="N423"/>
      <c r="O423" s="392"/>
      <c r="P423" s="2"/>
      <c r="R423"/>
      <c r="S423"/>
      <c r="V423" s="941"/>
    </row>
    <row r="424" spans="10:22" s="1" customFormat="1" x14ac:dyDescent="0.2">
      <c r="J424"/>
      <c r="K424"/>
      <c r="L424"/>
      <c r="M424"/>
      <c r="N424"/>
      <c r="O424" s="392"/>
      <c r="P424" s="2"/>
      <c r="R424"/>
      <c r="S424"/>
      <c r="V424" s="941"/>
    </row>
    <row r="425" spans="10:22" s="1" customFormat="1" x14ac:dyDescent="0.2">
      <c r="J425"/>
      <c r="K425"/>
      <c r="L425"/>
      <c r="M425"/>
      <c r="N425"/>
      <c r="O425" s="392"/>
      <c r="P425" s="2"/>
      <c r="R425"/>
      <c r="S425"/>
      <c r="V425" s="941"/>
    </row>
    <row r="426" spans="10:22" s="1" customFormat="1" x14ac:dyDescent="0.2">
      <c r="J426"/>
      <c r="K426"/>
      <c r="L426"/>
      <c r="M426"/>
      <c r="N426"/>
      <c r="O426" s="392"/>
      <c r="P426" s="2"/>
      <c r="R426"/>
      <c r="S426"/>
      <c r="V426" s="941"/>
    </row>
    <row r="427" spans="10:22" s="1" customFormat="1" x14ac:dyDescent="0.2">
      <c r="J427"/>
      <c r="K427"/>
      <c r="L427"/>
      <c r="M427"/>
      <c r="N427"/>
      <c r="O427" s="392"/>
      <c r="P427" s="2"/>
      <c r="R427"/>
      <c r="S427"/>
      <c r="V427" s="941"/>
    </row>
    <row r="428" spans="10:22" s="1" customFormat="1" x14ac:dyDescent="0.2">
      <c r="J428"/>
      <c r="K428"/>
      <c r="L428"/>
      <c r="M428"/>
      <c r="N428"/>
      <c r="O428" s="392"/>
      <c r="P428" s="2"/>
      <c r="R428"/>
      <c r="S428"/>
      <c r="V428" s="941"/>
    </row>
    <row r="429" spans="10:22" s="1" customFormat="1" x14ac:dyDescent="0.2">
      <c r="J429"/>
      <c r="K429"/>
      <c r="L429"/>
      <c r="M429"/>
      <c r="N429"/>
      <c r="O429" s="392"/>
      <c r="P429" s="2"/>
      <c r="R429"/>
      <c r="S429"/>
      <c r="V429" s="941"/>
    </row>
    <row r="430" spans="10:22" s="1" customFormat="1" x14ac:dyDescent="0.2">
      <c r="J430"/>
      <c r="K430"/>
      <c r="L430"/>
      <c r="M430"/>
      <c r="N430"/>
      <c r="O430" s="392"/>
      <c r="P430" s="2"/>
      <c r="R430"/>
      <c r="S430"/>
      <c r="V430" s="941"/>
    </row>
    <row r="431" spans="10:22" s="1" customFormat="1" x14ac:dyDescent="0.2">
      <c r="J431"/>
      <c r="K431"/>
      <c r="L431"/>
      <c r="M431"/>
      <c r="N431"/>
      <c r="O431" s="392"/>
      <c r="P431" s="2"/>
      <c r="R431"/>
      <c r="S431"/>
      <c r="V431" s="941"/>
    </row>
    <row r="432" spans="10:22" s="1" customFormat="1" x14ac:dyDescent="0.2">
      <c r="J432"/>
      <c r="K432"/>
      <c r="L432"/>
      <c r="M432"/>
      <c r="N432"/>
      <c r="O432" s="392"/>
      <c r="P432" s="2"/>
      <c r="R432"/>
      <c r="S432"/>
      <c r="V432" s="941"/>
    </row>
    <row r="433" spans="10:22" s="1" customFormat="1" x14ac:dyDescent="0.2">
      <c r="J433"/>
      <c r="K433"/>
      <c r="L433"/>
      <c r="M433"/>
      <c r="N433"/>
      <c r="O433" s="392"/>
      <c r="P433" s="2"/>
      <c r="R433"/>
      <c r="S433"/>
      <c r="V433" s="941"/>
    </row>
    <row r="434" spans="10:22" s="1" customFormat="1" x14ac:dyDescent="0.2">
      <c r="J434"/>
      <c r="K434"/>
      <c r="L434"/>
      <c r="M434"/>
      <c r="N434"/>
      <c r="O434" s="392"/>
      <c r="P434" s="2"/>
      <c r="R434"/>
      <c r="S434"/>
      <c r="V434" s="941"/>
    </row>
    <row r="435" spans="10:22" s="1" customFormat="1" x14ac:dyDescent="0.2">
      <c r="J435"/>
      <c r="K435"/>
      <c r="L435"/>
      <c r="M435"/>
      <c r="N435"/>
      <c r="O435" s="392"/>
      <c r="P435" s="2"/>
      <c r="R435"/>
      <c r="S435"/>
      <c r="V435" s="941"/>
    </row>
    <row r="436" spans="10:22" s="1" customFormat="1" x14ac:dyDescent="0.2">
      <c r="J436"/>
      <c r="K436"/>
      <c r="L436"/>
      <c r="M436"/>
      <c r="N436"/>
      <c r="O436" s="392"/>
      <c r="P436" s="2"/>
      <c r="R436"/>
      <c r="S436"/>
      <c r="V436" s="941"/>
    </row>
    <row r="437" spans="10:22" s="1" customFormat="1" x14ac:dyDescent="0.2">
      <c r="J437"/>
      <c r="K437"/>
      <c r="L437"/>
      <c r="M437"/>
      <c r="N437"/>
      <c r="O437" s="392"/>
      <c r="P437" s="2"/>
      <c r="R437"/>
      <c r="S437"/>
      <c r="V437" s="941"/>
    </row>
    <row r="438" spans="10:22" s="1" customFormat="1" x14ac:dyDescent="0.2">
      <c r="J438"/>
      <c r="K438"/>
      <c r="L438"/>
      <c r="M438"/>
      <c r="N438"/>
      <c r="O438" s="392"/>
      <c r="P438" s="2"/>
      <c r="R438"/>
      <c r="S438"/>
      <c r="V438" s="941"/>
    </row>
    <row r="439" spans="10:22" s="1" customFormat="1" x14ac:dyDescent="0.2">
      <c r="J439"/>
      <c r="K439"/>
      <c r="L439"/>
      <c r="M439"/>
      <c r="N439"/>
      <c r="O439" s="392"/>
      <c r="P439" s="2"/>
      <c r="R439"/>
      <c r="S439"/>
      <c r="V439" s="941"/>
    </row>
    <row r="440" spans="10:22" s="1" customFormat="1" x14ac:dyDescent="0.2">
      <c r="J440"/>
      <c r="K440"/>
      <c r="L440"/>
      <c r="M440"/>
      <c r="N440"/>
      <c r="O440" s="392"/>
      <c r="P440" s="2"/>
      <c r="R440"/>
      <c r="S440"/>
      <c r="V440" s="941"/>
    </row>
    <row r="441" spans="10:22" s="1" customFormat="1" x14ac:dyDescent="0.2">
      <c r="J441"/>
      <c r="K441"/>
      <c r="L441"/>
      <c r="M441"/>
      <c r="N441"/>
      <c r="O441" s="392"/>
      <c r="P441" s="2"/>
      <c r="R441"/>
      <c r="S441"/>
      <c r="V441" s="941"/>
    </row>
    <row r="442" spans="10:22" s="1" customFormat="1" x14ac:dyDescent="0.2">
      <c r="J442"/>
      <c r="K442"/>
      <c r="L442"/>
      <c r="M442"/>
      <c r="N442"/>
      <c r="O442" s="392"/>
      <c r="P442" s="2"/>
      <c r="R442"/>
      <c r="S442"/>
      <c r="V442" s="941"/>
    </row>
    <row r="443" spans="10:22" s="1" customFormat="1" x14ac:dyDescent="0.2">
      <c r="J443"/>
      <c r="K443"/>
      <c r="L443"/>
      <c r="M443"/>
      <c r="N443"/>
      <c r="O443" s="392"/>
      <c r="P443" s="2"/>
      <c r="R443"/>
      <c r="S443"/>
      <c r="V443" s="941"/>
    </row>
    <row r="444" spans="10:22" s="1" customFormat="1" x14ac:dyDescent="0.2">
      <c r="J444"/>
      <c r="K444"/>
      <c r="L444"/>
      <c r="M444"/>
      <c r="N444"/>
      <c r="O444" s="392"/>
      <c r="P444" s="2"/>
      <c r="R444"/>
      <c r="S444"/>
      <c r="V444" s="941"/>
    </row>
    <row r="445" spans="10:22" s="1" customFormat="1" x14ac:dyDescent="0.2">
      <c r="J445"/>
      <c r="K445"/>
      <c r="L445"/>
      <c r="M445"/>
      <c r="N445"/>
      <c r="O445" s="392"/>
      <c r="P445" s="2"/>
      <c r="R445"/>
      <c r="S445"/>
      <c r="V445" s="941"/>
    </row>
    <row r="446" spans="10:22" s="1" customFormat="1" x14ac:dyDescent="0.2">
      <c r="J446"/>
      <c r="K446"/>
      <c r="L446"/>
      <c r="M446"/>
      <c r="N446"/>
      <c r="O446" s="392"/>
      <c r="P446" s="2"/>
      <c r="R446"/>
      <c r="S446"/>
      <c r="V446" s="941"/>
    </row>
    <row r="447" spans="10:22" s="1" customFormat="1" x14ac:dyDescent="0.2">
      <c r="J447"/>
      <c r="K447"/>
      <c r="L447"/>
      <c r="M447"/>
      <c r="N447"/>
      <c r="O447" s="392"/>
      <c r="P447" s="2"/>
      <c r="R447"/>
      <c r="S447"/>
      <c r="V447" s="941"/>
    </row>
    <row r="448" spans="10:22" s="1" customFormat="1" x14ac:dyDescent="0.2">
      <c r="J448"/>
      <c r="K448"/>
      <c r="L448"/>
      <c r="M448"/>
      <c r="N448"/>
      <c r="O448" s="392"/>
      <c r="P448" s="2"/>
      <c r="R448"/>
      <c r="S448"/>
      <c r="V448" s="941"/>
    </row>
    <row r="449" spans="10:22" s="1" customFormat="1" x14ac:dyDescent="0.2">
      <c r="J449"/>
      <c r="K449"/>
      <c r="L449"/>
      <c r="M449"/>
      <c r="N449"/>
      <c r="O449" s="392"/>
      <c r="P449" s="2"/>
      <c r="R449"/>
      <c r="S449"/>
      <c r="V449" s="941"/>
    </row>
    <row r="450" spans="10:22" s="1" customFormat="1" x14ac:dyDescent="0.2">
      <c r="J450"/>
      <c r="K450"/>
      <c r="L450"/>
      <c r="M450"/>
      <c r="N450"/>
      <c r="O450" s="392"/>
      <c r="P450" s="2"/>
      <c r="R450"/>
      <c r="S450"/>
      <c r="V450" s="941"/>
    </row>
    <row r="451" spans="10:22" s="1" customFormat="1" x14ac:dyDescent="0.2">
      <c r="J451"/>
      <c r="K451"/>
      <c r="L451"/>
      <c r="M451"/>
      <c r="N451"/>
      <c r="O451" s="392"/>
      <c r="P451" s="2"/>
      <c r="R451"/>
      <c r="S451"/>
      <c r="V451" s="941"/>
    </row>
    <row r="452" spans="10:22" s="1" customFormat="1" x14ac:dyDescent="0.2">
      <c r="J452"/>
      <c r="K452"/>
      <c r="L452"/>
      <c r="M452"/>
      <c r="N452"/>
      <c r="O452" s="392"/>
      <c r="P452" s="2"/>
      <c r="R452"/>
      <c r="S452"/>
      <c r="V452" s="941"/>
    </row>
    <row r="453" spans="10:22" s="1" customFormat="1" x14ac:dyDescent="0.2">
      <c r="J453"/>
      <c r="K453"/>
      <c r="L453"/>
      <c r="M453"/>
      <c r="N453"/>
      <c r="O453" s="392"/>
      <c r="P453" s="2"/>
      <c r="R453"/>
      <c r="S453"/>
      <c r="V453" s="941"/>
    </row>
    <row r="454" spans="10:22" s="1" customFormat="1" x14ac:dyDescent="0.2">
      <c r="J454"/>
      <c r="K454"/>
      <c r="L454"/>
      <c r="M454"/>
      <c r="N454"/>
      <c r="O454" s="392"/>
      <c r="P454" s="2"/>
      <c r="R454"/>
      <c r="S454"/>
      <c r="V454" s="941"/>
    </row>
    <row r="455" spans="10:22" s="1" customFormat="1" x14ac:dyDescent="0.2">
      <c r="J455"/>
      <c r="K455"/>
      <c r="L455"/>
      <c r="M455"/>
      <c r="N455"/>
      <c r="O455" s="392"/>
      <c r="P455" s="2"/>
      <c r="R455"/>
      <c r="S455"/>
      <c r="V455" s="941"/>
    </row>
    <row r="456" spans="10:22" s="1" customFormat="1" x14ac:dyDescent="0.2">
      <c r="J456"/>
      <c r="K456"/>
      <c r="L456"/>
      <c r="M456"/>
      <c r="N456"/>
      <c r="O456" s="392"/>
      <c r="P456" s="2"/>
      <c r="R456"/>
      <c r="S456"/>
      <c r="V456" s="941"/>
    </row>
    <row r="457" spans="10:22" s="1" customFormat="1" x14ac:dyDescent="0.2">
      <c r="J457"/>
      <c r="K457"/>
      <c r="L457"/>
      <c r="M457"/>
      <c r="N457"/>
      <c r="O457" s="392"/>
      <c r="P457" s="2"/>
      <c r="R457"/>
      <c r="S457"/>
      <c r="V457" s="941"/>
    </row>
    <row r="458" spans="10:22" s="1" customFormat="1" x14ac:dyDescent="0.2">
      <c r="J458"/>
      <c r="K458"/>
      <c r="L458"/>
      <c r="M458"/>
      <c r="N458"/>
      <c r="O458" s="392"/>
      <c r="P458" s="2"/>
      <c r="R458"/>
      <c r="S458"/>
      <c r="V458" s="941"/>
    </row>
    <row r="459" spans="10:22" s="1" customFormat="1" x14ac:dyDescent="0.2">
      <c r="J459"/>
      <c r="K459"/>
      <c r="L459"/>
      <c r="M459"/>
      <c r="N459"/>
      <c r="O459" s="392"/>
      <c r="P459" s="2"/>
      <c r="R459"/>
      <c r="S459"/>
      <c r="V459" s="941"/>
    </row>
    <row r="460" spans="10:22" s="1" customFormat="1" x14ac:dyDescent="0.2">
      <c r="J460"/>
      <c r="K460"/>
      <c r="L460"/>
      <c r="M460"/>
      <c r="N460"/>
      <c r="O460" s="392"/>
      <c r="P460" s="2"/>
      <c r="R460"/>
      <c r="S460"/>
      <c r="V460" s="941"/>
    </row>
    <row r="461" spans="10:22" s="1" customFormat="1" x14ac:dyDescent="0.2">
      <c r="J461"/>
      <c r="K461"/>
      <c r="L461"/>
      <c r="M461"/>
      <c r="N461"/>
      <c r="O461" s="392"/>
      <c r="P461" s="2"/>
      <c r="R461"/>
      <c r="S461"/>
      <c r="V461" s="941"/>
    </row>
    <row r="462" spans="10:22" s="1" customFormat="1" x14ac:dyDescent="0.2">
      <c r="J462"/>
      <c r="K462"/>
      <c r="L462"/>
      <c r="M462"/>
      <c r="N462"/>
      <c r="O462" s="392"/>
      <c r="P462" s="2"/>
      <c r="R462"/>
      <c r="S462"/>
      <c r="V462" s="941"/>
    </row>
    <row r="463" spans="10:22" s="1" customFormat="1" x14ac:dyDescent="0.2">
      <c r="J463"/>
      <c r="K463"/>
      <c r="L463"/>
      <c r="M463"/>
      <c r="N463"/>
      <c r="O463" s="392"/>
      <c r="P463" s="2"/>
      <c r="R463"/>
      <c r="S463"/>
      <c r="V463" s="941"/>
    </row>
    <row r="464" spans="10:22" s="1" customFormat="1" x14ac:dyDescent="0.2">
      <c r="J464"/>
      <c r="K464"/>
      <c r="L464"/>
      <c r="M464"/>
      <c r="N464"/>
      <c r="O464" s="392"/>
      <c r="P464" s="2"/>
      <c r="R464"/>
      <c r="S464"/>
      <c r="V464" s="941"/>
    </row>
    <row r="465" spans="10:22" s="1" customFormat="1" x14ac:dyDescent="0.2">
      <c r="J465"/>
      <c r="K465"/>
      <c r="L465"/>
      <c r="M465"/>
      <c r="N465"/>
      <c r="O465" s="392"/>
      <c r="P465" s="2"/>
      <c r="R465"/>
      <c r="S465"/>
      <c r="V465" s="941"/>
    </row>
    <row r="466" spans="10:22" s="1" customFormat="1" x14ac:dyDescent="0.2">
      <c r="J466"/>
      <c r="K466"/>
      <c r="L466"/>
      <c r="M466"/>
      <c r="N466"/>
      <c r="O466" s="392"/>
      <c r="P466" s="2"/>
      <c r="R466"/>
      <c r="S466"/>
      <c r="V466" s="941"/>
    </row>
    <row r="467" spans="10:22" s="1" customFormat="1" x14ac:dyDescent="0.2">
      <c r="J467"/>
      <c r="K467"/>
      <c r="L467"/>
      <c r="M467"/>
      <c r="N467"/>
      <c r="O467" s="392"/>
      <c r="P467" s="2"/>
      <c r="R467"/>
      <c r="S467"/>
      <c r="V467" s="941"/>
    </row>
    <row r="468" spans="10:22" s="1" customFormat="1" x14ac:dyDescent="0.2">
      <c r="J468"/>
      <c r="K468"/>
      <c r="L468"/>
      <c r="M468"/>
      <c r="N468"/>
      <c r="O468" s="392"/>
      <c r="P468" s="2"/>
      <c r="R468"/>
      <c r="S468"/>
      <c r="V468" s="941"/>
    </row>
    <row r="469" spans="10:22" s="1" customFormat="1" x14ac:dyDescent="0.2">
      <c r="J469"/>
      <c r="K469"/>
      <c r="L469"/>
      <c r="M469"/>
      <c r="N469"/>
      <c r="O469" s="392"/>
      <c r="P469" s="2"/>
      <c r="R469"/>
      <c r="S469"/>
      <c r="V469" s="941"/>
    </row>
    <row r="470" spans="10:22" s="1" customFormat="1" x14ac:dyDescent="0.2">
      <c r="J470"/>
      <c r="K470"/>
      <c r="L470"/>
      <c r="M470"/>
      <c r="N470"/>
      <c r="O470" s="392"/>
      <c r="P470" s="2"/>
      <c r="R470"/>
      <c r="S470"/>
      <c r="V470" s="941"/>
    </row>
    <row r="471" spans="10:22" s="1" customFormat="1" x14ac:dyDescent="0.2">
      <c r="J471"/>
      <c r="K471"/>
      <c r="L471"/>
      <c r="M471"/>
      <c r="N471"/>
      <c r="O471" s="392"/>
      <c r="P471" s="2"/>
      <c r="R471"/>
      <c r="S471"/>
      <c r="V471" s="941"/>
    </row>
    <row r="472" spans="10:22" s="1" customFormat="1" x14ac:dyDescent="0.2">
      <c r="J472"/>
      <c r="K472"/>
      <c r="L472"/>
      <c r="M472"/>
      <c r="N472"/>
      <c r="O472" s="392"/>
      <c r="P472" s="2"/>
      <c r="R472"/>
      <c r="S472"/>
      <c r="V472" s="941"/>
    </row>
    <row r="473" spans="10:22" s="1" customFormat="1" x14ac:dyDescent="0.2">
      <c r="J473"/>
      <c r="K473"/>
      <c r="L473"/>
      <c r="M473"/>
      <c r="N473"/>
      <c r="O473" s="392"/>
      <c r="P473" s="2"/>
      <c r="R473"/>
      <c r="S473"/>
      <c r="V473" s="941"/>
    </row>
    <row r="474" spans="10:22" s="1" customFormat="1" x14ac:dyDescent="0.2">
      <c r="J474"/>
      <c r="K474"/>
      <c r="L474"/>
      <c r="M474"/>
      <c r="N474"/>
      <c r="O474" s="392"/>
      <c r="P474" s="2"/>
      <c r="R474"/>
      <c r="S474"/>
      <c r="V474" s="941"/>
    </row>
    <row r="475" spans="10:22" s="1" customFormat="1" x14ac:dyDescent="0.2">
      <c r="J475"/>
      <c r="K475"/>
      <c r="L475"/>
      <c r="M475"/>
      <c r="N475"/>
      <c r="O475" s="392"/>
      <c r="P475" s="2"/>
      <c r="R475"/>
      <c r="S475"/>
      <c r="V475" s="941"/>
    </row>
    <row r="476" spans="10:22" s="1" customFormat="1" x14ac:dyDescent="0.2">
      <c r="J476"/>
      <c r="K476"/>
      <c r="L476"/>
      <c r="M476"/>
      <c r="N476"/>
      <c r="O476" s="392"/>
      <c r="P476" s="2"/>
      <c r="R476"/>
      <c r="S476"/>
      <c r="V476" s="941"/>
    </row>
    <row r="477" spans="10:22" s="1" customFormat="1" x14ac:dyDescent="0.2">
      <c r="J477"/>
      <c r="K477"/>
      <c r="L477"/>
      <c r="M477"/>
      <c r="N477"/>
      <c r="O477" s="392"/>
      <c r="P477" s="2"/>
      <c r="R477"/>
      <c r="S477"/>
      <c r="V477" s="941"/>
    </row>
    <row r="478" spans="10:22" s="1" customFormat="1" x14ac:dyDescent="0.2">
      <c r="J478"/>
      <c r="K478"/>
      <c r="L478"/>
      <c r="M478"/>
      <c r="N478"/>
      <c r="O478" s="392"/>
      <c r="P478" s="2"/>
      <c r="R478"/>
      <c r="S478"/>
      <c r="V478" s="941"/>
    </row>
    <row r="479" spans="10:22" s="1" customFormat="1" x14ac:dyDescent="0.2">
      <c r="J479"/>
      <c r="K479"/>
      <c r="L479"/>
      <c r="M479"/>
      <c r="N479"/>
      <c r="O479" s="392"/>
      <c r="P479" s="2"/>
      <c r="R479"/>
      <c r="S479"/>
      <c r="V479" s="941"/>
    </row>
    <row r="480" spans="10:22" s="1" customFormat="1" x14ac:dyDescent="0.2">
      <c r="J480"/>
      <c r="K480"/>
      <c r="L480"/>
      <c r="M480"/>
      <c r="N480"/>
      <c r="O480" s="392"/>
      <c r="P480" s="2"/>
      <c r="R480"/>
      <c r="S480"/>
      <c r="V480" s="941"/>
    </row>
    <row r="481" spans="10:22" s="1" customFormat="1" x14ac:dyDescent="0.2">
      <c r="J481"/>
      <c r="K481"/>
      <c r="L481"/>
      <c r="M481"/>
      <c r="N481"/>
      <c r="O481" s="392"/>
      <c r="P481" s="2"/>
      <c r="R481"/>
      <c r="S481"/>
      <c r="V481" s="941"/>
    </row>
    <row r="482" spans="10:22" s="1" customFormat="1" x14ac:dyDescent="0.2">
      <c r="J482"/>
      <c r="K482"/>
      <c r="L482"/>
      <c r="M482"/>
      <c r="N482"/>
      <c r="O482" s="392"/>
      <c r="P482" s="2"/>
      <c r="R482"/>
      <c r="S482"/>
      <c r="V482" s="941"/>
    </row>
    <row r="483" spans="10:22" s="1" customFormat="1" x14ac:dyDescent="0.2">
      <c r="J483"/>
      <c r="K483"/>
      <c r="L483"/>
      <c r="M483"/>
      <c r="N483"/>
      <c r="O483" s="392"/>
      <c r="P483" s="2"/>
      <c r="R483"/>
      <c r="S483"/>
      <c r="V483" s="941"/>
    </row>
    <row r="484" spans="10:22" s="1" customFormat="1" x14ac:dyDescent="0.2">
      <c r="J484"/>
      <c r="K484"/>
      <c r="L484"/>
      <c r="M484"/>
      <c r="N484"/>
      <c r="O484" s="392"/>
      <c r="P484" s="2"/>
      <c r="R484"/>
      <c r="S484"/>
      <c r="V484" s="941"/>
    </row>
    <row r="485" spans="10:22" s="1" customFormat="1" x14ac:dyDescent="0.2">
      <c r="J485"/>
      <c r="K485"/>
      <c r="L485"/>
      <c r="M485"/>
      <c r="N485"/>
      <c r="O485" s="392"/>
      <c r="P485" s="2"/>
      <c r="R485"/>
      <c r="S485"/>
      <c r="V485" s="941"/>
    </row>
    <row r="486" spans="10:22" s="1" customFormat="1" x14ac:dyDescent="0.2">
      <c r="J486"/>
      <c r="K486"/>
      <c r="L486"/>
      <c r="M486"/>
      <c r="N486"/>
      <c r="O486" s="392"/>
      <c r="P486" s="2"/>
      <c r="R486"/>
      <c r="S486"/>
      <c r="V486" s="941"/>
    </row>
    <row r="487" spans="10:22" s="1" customFormat="1" x14ac:dyDescent="0.2">
      <c r="J487"/>
      <c r="K487"/>
      <c r="L487"/>
      <c r="M487"/>
      <c r="N487"/>
      <c r="O487" s="392"/>
      <c r="P487" s="2"/>
      <c r="R487"/>
      <c r="S487"/>
      <c r="V487" s="941"/>
    </row>
    <row r="488" spans="10:22" s="1" customFormat="1" x14ac:dyDescent="0.2">
      <c r="J488"/>
      <c r="K488"/>
      <c r="L488"/>
      <c r="M488"/>
      <c r="N488"/>
      <c r="O488" s="392"/>
      <c r="P488" s="2"/>
      <c r="R488"/>
      <c r="S488"/>
      <c r="V488" s="941"/>
    </row>
    <row r="489" spans="10:22" s="1" customFormat="1" x14ac:dyDescent="0.2">
      <c r="J489"/>
      <c r="K489"/>
      <c r="L489"/>
      <c r="M489"/>
      <c r="N489"/>
      <c r="O489" s="392"/>
      <c r="P489" s="2"/>
      <c r="R489"/>
      <c r="S489"/>
      <c r="V489" s="941"/>
    </row>
    <row r="490" spans="10:22" s="1" customFormat="1" x14ac:dyDescent="0.2">
      <c r="J490"/>
      <c r="K490"/>
      <c r="L490"/>
      <c r="M490"/>
      <c r="N490"/>
      <c r="O490" s="392"/>
      <c r="P490" s="2"/>
      <c r="R490"/>
      <c r="S490"/>
      <c r="V490" s="941"/>
    </row>
    <row r="491" spans="10:22" s="1" customFormat="1" x14ac:dyDescent="0.2">
      <c r="J491"/>
      <c r="K491"/>
      <c r="L491"/>
      <c r="M491"/>
      <c r="N491"/>
      <c r="O491" s="392"/>
      <c r="P491" s="2"/>
      <c r="R491"/>
      <c r="S491"/>
      <c r="V491" s="941"/>
    </row>
    <row r="492" spans="10:22" s="1" customFormat="1" x14ac:dyDescent="0.2">
      <c r="J492"/>
      <c r="K492"/>
      <c r="L492"/>
      <c r="M492"/>
      <c r="N492"/>
      <c r="O492" s="392"/>
      <c r="P492" s="2"/>
      <c r="R492"/>
      <c r="S492"/>
      <c r="V492" s="941"/>
    </row>
    <row r="493" spans="10:22" s="1" customFormat="1" x14ac:dyDescent="0.2">
      <c r="J493"/>
      <c r="K493"/>
      <c r="L493"/>
      <c r="M493"/>
      <c r="N493"/>
      <c r="O493" s="392"/>
      <c r="P493" s="2"/>
      <c r="R493"/>
      <c r="S493"/>
      <c r="V493" s="941"/>
    </row>
    <row r="494" spans="10:22" s="1" customFormat="1" x14ac:dyDescent="0.2">
      <c r="J494"/>
      <c r="K494"/>
      <c r="L494"/>
      <c r="M494"/>
      <c r="N494"/>
      <c r="O494" s="392"/>
      <c r="P494" s="2"/>
      <c r="R494"/>
      <c r="S494"/>
      <c r="V494" s="941"/>
    </row>
    <row r="495" spans="10:22" s="1" customFormat="1" x14ac:dyDescent="0.2">
      <c r="J495"/>
      <c r="K495"/>
      <c r="L495"/>
      <c r="M495"/>
      <c r="N495"/>
      <c r="O495" s="392"/>
      <c r="P495" s="2"/>
      <c r="R495"/>
      <c r="S495"/>
      <c r="V495" s="941"/>
    </row>
    <row r="496" spans="10:22" s="1" customFormat="1" x14ac:dyDescent="0.2">
      <c r="J496"/>
      <c r="K496"/>
      <c r="L496"/>
      <c r="M496"/>
      <c r="N496"/>
      <c r="O496" s="392"/>
      <c r="P496" s="2"/>
      <c r="R496"/>
      <c r="S496"/>
      <c r="V496" s="941"/>
    </row>
    <row r="497" spans="10:22" s="1" customFormat="1" x14ac:dyDescent="0.2">
      <c r="J497"/>
      <c r="K497"/>
      <c r="L497"/>
      <c r="M497"/>
      <c r="N497"/>
      <c r="O497" s="392"/>
      <c r="P497" s="2"/>
      <c r="R497"/>
      <c r="S497"/>
      <c r="V497" s="941"/>
    </row>
    <row r="498" spans="10:22" s="1" customFormat="1" x14ac:dyDescent="0.2">
      <c r="J498"/>
      <c r="K498"/>
      <c r="L498"/>
      <c r="M498"/>
      <c r="N498"/>
      <c r="O498" s="392"/>
      <c r="P498" s="2"/>
      <c r="R498"/>
      <c r="S498"/>
      <c r="V498" s="941"/>
    </row>
    <row r="499" spans="10:22" s="1" customFormat="1" x14ac:dyDescent="0.2">
      <c r="J499"/>
      <c r="K499"/>
      <c r="L499"/>
      <c r="M499"/>
      <c r="N499"/>
      <c r="O499" s="392"/>
      <c r="P499" s="2"/>
      <c r="R499"/>
      <c r="S499"/>
      <c r="V499" s="941"/>
    </row>
    <row r="500" spans="10:22" s="1" customFormat="1" x14ac:dyDescent="0.2">
      <c r="J500"/>
      <c r="K500"/>
      <c r="L500"/>
      <c r="M500"/>
      <c r="N500"/>
      <c r="O500" s="392"/>
      <c r="P500" s="2"/>
      <c r="R500"/>
      <c r="S500"/>
      <c r="V500" s="941"/>
    </row>
    <row r="501" spans="10:22" s="1" customFormat="1" x14ac:dyDescent="0.2">
      <c r="J501"/>
      <c r="K501"/>
      <c r="L501"/>
      <c r="M501"/>
      <c r="N501"/>
      <c r="O501" s="392"/>
      <c r="P501" s="2"/>
      <c r="R501"/>
      <c r="S501"/>
      <c r="V501" s="941"/>
    </row>
    <row r="502" spans="10:22" s="1" customFormat="1" x14ac:dyDescent="0.2">
      <c r="J502"/>
      <c r="K502"/>
      <c r="L502"/>
      <c r="M502"/>
      <c r="N502"/>
      <c r="O502" s="392"/>
      <c r="P502" s="2"/>
      <c r="R502"/>
      <c r="S502"/>
      <c r="V502" s="941"/>
    </row>
    <row r="503" spans="10:22" s="1" customFormat="1" x14ac:dyDescent="0.2">
      <c r="J503"/>
      <c r="K503"/>
      <c r="L503"/>
      <c r="M503"/>
      <c r="N503"/>
      <c r="O503" s="392"/>
      <c r="P503" s="2"/>
      <c r="R503"/>
      <c r="S503"/>
      <c r="V503" s="941"/>
    </row>
    <row r="504" spans="10:22" s="1" customFormat="1" x14ac:dyDescent="0.2">
      <c r="J504"/>
      <c r="K504"/>
      <c r="L504"/>
      <c r="M504"/>
      <c r="N504"/>
      <c r="O504" s="392"/>
      <c r="P504" s="2"/>
      <c r="R504"/>
      <c r="S504"/>
      <c r="V504" s="941"/>
    </row>
    <row r="505" spans="10:22" s="1" customFormat="1" x14ac:dyDescent="0.2">
      <c r="J505"/>
      <c r="K505"/>
      <c r="L505"/>
      <c r="M505"/>
      <c r="N505"/>
      <c r="O505" s="392"/>
      <c r="P505" s="2"/>
      <c r="R505"/>
      <c r="S505"/>
      <c r="V505" s="941"/>
    </row>
    <row r="506" spans="10:22" s="1" customFormat="1" x14ac:dyDescent="0.2">
      <c r="J506"/>
      <c r="K506"/>
      <c r="L506"/>
      <c r="M506"/>
      <c r="N506"/>
      <c r="O506" s="392"/>
      <c r="P506" s="2"/>
      <c r="R506"/>
      <c r="S506"/>
      <c r="V506" s="941"/>
    </row>
    <row r="507" spans="10:22" s="1" customFormat="1" x14ac:dyDescent="0.2">
      <c r="J507"/>
      <c r="K507"/>
      <c r="L507"/>
      <c r="M507"/>
      <c r="N507"/>
      <c r="O507" s="392"/>
      <c r="P507" s="2"/>
      <c r="R507"/>
      <c r="S507"/>
      <c r="V507" s="941"/>
    </row>
    <row r="508" spans="10:22" s="1" customFormat="1" x14ac:dyDescent="0.2">
      <c r="J508"/>
      <c r="K508"/>
      <c r="L508"/>
      <c r="M508"/>
      <c r="N508"/>
      <c r="O508" s="392"/>
      <c r="P508" s="2"/>
      <c r="R508"/>
      <c r="S508"/>
      <c r="V508" s="941"/>
    </row>
    <row r="509" spans="10:22" s="1" customFormat="1" x14ac:dyDescent="0.2">
      <c r="J509"/>
      <c r="K509"/>
      <c r="L509"/>
      <c r="M509"/>
      <c r="N509"/>
      <c r="O509" s="392"/>
      <c r="P509" s="2"/>
      <c r="R509"/>
      <c r="S509"/>
      <c r="V509" s="941"/>
    </row>
    <row r="510" spans="10:22" s="1" customFormat="1" x14ac:dyDescent="0.2">
      <c r="J510"/>
      <c r="K510"/>
      <c r="L510"/>
      <c r="M510"/>
      <c r="N510"/>
      <c r="O510" s="392"/>
      <c r="P510" s="2"/>
      <c r="R510"/>
      <c r="S510"/>
      <c r="V510" s="941"/>
    </row>
    <row r="511" spans="10:22" s="1" customFormat="1" x14ac:dyDescent="0.2">
      <c r="J511"/>
      <c r="K511"/>
      <c r="L511"/>
      <c r="M511"/>
      <c r="N511"/>
      <c r="O511" s="392"/>
      <c r="P511" s="2"/>
      <c r="R511"/>
      <c r="S511"/>
      <c r="V511" s="941"/>
    </row>
    <row r="512" spans="10:22" s="1" customFormat="1" x14ac:dyDescent="0.2">
      <c r="J512"/>
      <c r="K512"/>
      <c r="L512"/>
      <c r="M512"/>
      <c r="N512"/>
      <c r="O512" s="392"/>
      <c r="P512" s="2"/>
      <c r="R512"/>
      <c r="S512"/>
      <c r="V512" s="941"/>
    </row>
    <row r="513" spans="10:22" s="1" customFormat="1" x14ac:dyDescent="0.2">
      <c r="J513"/>
      <c r="K513"/>
      <c r="L513"/>
      <c r="M513"/>
      <c r="N513"/>
      <c r="O513" s="392"/>
      <c r="P513" s="2"/>
      <c r="R513"/>
      <c r="S513"/>
      <c r="V513" s="941"/>
    </row>
    <row r="514" spans="10:22" s="1" customFormat="1" x14ac:dyDescent="0.2">
      <c r="J514"/>
      <c r="K514"/>
      <c r="L514"/>
      <c r="M514"/>
      <c r="N514"/>
      <c r="O514" s="392"/>
      <c r="P514" s="2"/>
      <c r="R514"/>
      <c r="S514"/>
      <c r="V514" s="941"/>
    </row>
    <row r="515" spans="10:22" s="1" customFormat="1" x14ac:dyDescent="0.2">
      <c r="J515"/>
      <c r="K515"/>
      <c r="L515"/>
      <c r="M515"/>
      <c r="N515"/>
      <c r="O515" s="392"/>
      <c r="P515" s="2"/>
      <c r="R515"/>
      <c r="S515"/>
      <c r="V515" s="941"/>
    </row>
    <row r="516" spans="10:22" s="1" customFormat="1" x14ac:dyDescent="0.2">
      <c r="J516"/>
      <c r="K516"/>
      <c r="L516"/>
      <c r="M516"/>
      <c r="N516"/>
      <c r="O516" s="392"/>
      <c r="P516" s="2"/>
      <c r="R516"/>
      <c r="S516"/>
      <c r="V516" s="941"/>
    </row>
    <row r="517" spans="10:22" s="1" customFormat="1" x14ac:dyDescent="0.2">
      <c r="J517"/>
      <c r="K517"/>
      <c r="L517"/>
      <c r="M517"/>
      <c r="N517"/>
      <c r="O517" s="392"/>
      <c r="P517" s="2"/>
      <c r="R517"/>
      <c r="S517"/>
      <c r="V517" s="941"/>
    </row>
    <row r="518" spans="10:22" s="1" customFormat="1" x14ac:dyDescent="0.2">
      <c r="J518"/>
      <c r="K518"/>
      <c r="L518"/>
      <c r="M518"/>
      <c r="N518"/>
      <c r="O518" s="392"/>
      <c r="P518" s="2"/>
      <c r="R518"/>
      <c r="S518"/>
      <c r="V518" s="941"/>
    </row>
    <row r="519" spans="10:22" s="1" customFormat="1" x14ac:dyDescent="0.2">
      <c r="J519"/>
      <c r="K519"/>
      <c r="L519"/>
      <c r="M519"/>
      <c r="N519"/>
      <c r="O519" s="392"/>
      <c r="P519" s="2"/>
      <c r="R519"/>
      <c r="S519"/>
      <c r="V519" s="941"/>
    </row>
    <row r="520" spans="10:22" s="1" customFormat="1" x14ac:dyDescent="0.2">
      <c r="J520"/>
      <c r="K520"/>
      <c r="L520"/>
      <c r="M520"/>
      <c r="N520"/>
      <c r="O520" s="392"/>
      <c r="P520" s="2"/>
      <c r="R520"/>
      <c r="S520"/>
      <c r="V520" s="941"/>
    </row>
    <row r="521" spans="10:22" s="1" customFormat="1" x14ac:dyDescent="0.2">
      <c r="J521"/>
      <c r="K521"/>
      <c r="L521"/>
      <c r="M521"/>
      <c r="N521"/>
      <c r="O521" s="392"/>
      <c r="P521" s="2"/>
      <c r="R521"/>
      <c r="S521"/>
      <c r="V521" s="941"/>
    </row>
    <row r="522" spans="10:22" s="1" customFormat="1" x14ac:dyDescent="0.2">
      <c r="J522"/>
      <c r="K522"/>
      <c r="L522"/>
      <c r="M522"/>
      <c r="N522"/>
      <c r="O522" s="392"/>
      <c r="P522" s="2"/>
      <c r="R522"/>
      <c r="S522"/>
      <c r="V522" s="941"/>
    </row>
    <row r="523" spans="10:22" s="1" customFormat="1" x14ac:dyDescent="0.2">
      <c r="J523"/>
      <c r="K523"/>
      <c r="L523"/>
      <c r="M523"/>
      <c r="N523"/>
      <c r="O523" s="392"/>
      <c r="P523" s="2"/>
      <c r="R523"/>
      <c r="S523"/>
      <c r="V523" s="941"/>
    </row>
    <row r="524" spans="10:22" s="1" customFormat="1" x14ac:dyDescent="0.2">
      <c r="J524"/>
      <c r="K524"/>
      <c r="L524"/>
      <c r="M524"/>
      <c r="N524"/>
      <c r="O524" s="392"/>
      <c r="P524" s="2"/>
      <c r="R524"/>
      <c r="S524"/>
      <c r="V524" s="941"/>
    </row>
    <row r="525" spans="10:22" s="1" customFormat="1" x14ac:dyDescent="0.2">
      <c r="J525"/>
      <c r="K525"/>
      <c r="L525"/>
      <c r="M525"/>
      <c r="N525"/>
      <c r="O525" s="392"/>
      <c r="P525" s="2"/>
      <c r="R525"/>
      <c r="S525"/>
      <c r="V525" s="941"/>
    </row>
    <row r="526" spans="10:22" s="1" customFormat="1" x14ac:dyDescent="0.2">
      <c r="J526"/>
      <c r="K526"/>
      <c r="L526"/>
      <c r="M526"/>
      <c r="N526"/>
      <c r="O526" s="392"/>
      <c r="P526" s="2"/>
      <c r="R526"/>
      <c r="S526"/>
      <c r="V526" s="941"/>
    </row>
    <row r="527" spans="10:22" s="1" customFormat="1" x14ac:dyDescent="0.2">
      <c r="J527"/>
      <c r="K527"/>
      <c r="L527"/>
      <c r="M527"/>
      <c r="N527"/>
      <c r="O527" s="392"/>
      <c r="P527" s="2"/>
      <c r="R527"/>
      <c r="S527"/>
      <c r="V527" s="941"/>
    </row>
    <row r="528" spans="10:22" s="1" customFormat="1" x14ac:dyDescent="0.2">
      <c r="J528"/>
      <c r="K528"/>
      <c r="L528"/>
      <c r="M528"/>
      <c r="N528"/>
      <c r="O528" s="392"/>
      <c r="P528" s="2"/>
      <c r="R528"/>
      <c r="S528"/>
      <c r="V528" s="941"/>
    </row>
    <row r="529" spans="10:22" s="1" customFormat="1" x14ac:dyDescent="0.2">
      <c r="J529"/>
      <c r="K529"/>
      <c r="L529"/>
      <c r="M529"/>
      <c r="N529"/>
      <c r="O529" s="392"/>
      <c r="P529" s="2"/>
      <c r="R529"/>
      <c r="S529"/>
      <c r="V529" s="941"/>
    </row>
    <row r="530" spans="10:22" s="1" customFormat="1" x14ac:dyDescent="0.2">
      <c r="J530"/>
      <c r="K530"/>
      <c r="L530"/>
      <c r="M530"/>
      <c r="N530"/>
      <c r="O530" s="392"/>
      <c r="P530" s="2"/>
      <c r="R530"/>
      <c r="S530"/>
      <c r="V530" s="941"/>
    </row>
    <row r="531" spans="10:22" s="1" customFormat="1" x14ac:dyDescent="0.2">
      <c r="J531"/>
      <c r="K531"/>
      <c r="L531"/>
      <c r="M531"/>
      <c r="N531"/>
      <c r="O531" s="392"/>
      <c r="P531" s="2"/>
      <c r="R531"/>
      <c r="S531"/>
      <c r="V531" s="941"/>
    </row>
    <row r="532" spans="10:22" s="1" customFormat="1" x14ac:dyDescent="0.2">
      <c r="J532"/>
      <c r="K532"/>
      <c r="L532"/>
      <c r="M532"/>
      <c r="N532"/>
      <c r="O532" s="392"/>
      <c r="P532" s="2"/>
      <c r="R532"/>
      <c r="S532"/>
      <c r="V532" s="941"/>
    </row>
    <row r="533" spans="10:22" s="1" customFormat="1" x14ac:dyDescent="0.2">
      <c r="J533"/>
      <c r="K533"/>
      <c r="L533"/>
      <c r="M533"/>
      <c r="N533"/>
      <c r="O533" s="392"/>
      <c r="P533" s="2"/>
      <c r="R533"/>
      <c r="S533"/>
      <c r="V533" s="941"/>
    </row>
    <row r="534" spans="10:22" s="1" customFormat="1" x14ac:dyDescent="0.2">
      <c r="J534"/>
      <c r="K534"/>
      <c r="L534"/>
      <c r="M534"/>
      <c r="N534"/>
      <c r="O534" s="392"/>
      <c r="P534" s="2"/>
      <c r="R534"/>
      <c r="S534"/>
      <c r="V534" s="941"/>
    </row>
    <row r="535" spans="10:22" s="1" customFormat="1" x14ac:dyDescent="0.2">
      <c r="J535"/>
      <c r="K535"/>
      <c r="L535"/>
      <c r="M535"/>
      <c r="N535"/>
      <c r="O535" s="392"/>
      <c r="P535" s="2"/>
      <c r="R535"/>
      <c r="S535"/>
      <c r="V535" s="941"/>
    </row>
    <row r="536" spans="10:22" s="1" customFormat="1" x14ac:dyDescent="0.2">
      <c r="J536"/>
      <c r="K536"/>
      <c r="L536"/>
      <c r="M536"/>
      <c r="N536"/>
      <c r="O536" s="392"/>
      <c r="P536" s="2"/>
      <c r="R536"/>
      <c r="S536"/>
      <c r="V536" s="941"/>
    </row>
    <row r="537" spans="10:22" s="1" customFormat="1" x14ac:dyDescent="0.2">
      <c r="J537"/>
      <c r="K537"/>
      <c r="L537"/>
      <c r="M537"/>
      <c r="N537"/>
      <c r="O537" s="392"/>
      <c r="P537" s="2"/>
      <c r="R537"/>
      <c r="S537"/>
      <c r="V537" s="941"/>
    </row>
    <row r="538" spans="10:22" s="1" customFormat="1" x14ac:dyDescent="0.2">
      <c r="J538"/>
      <c r="K538"/>
      <c r="L538"/>
      <c r="M538"/>
      <c r="N538"/>
      <c r="O538" s="392"/>
      <c r="P538" s="2"/>
      <c r="R538"/>
      <c r="S538"/>
      <c r="V538" s="941"/>
    </row>
    <row r="539" spans="10:22" s="1" customFormat="1" x14ac:dyDescent="0.2">
      <c r="J539"/>
      <c r="K539"/>
      <c r="L539"/>
      <c r="M539"/>
      <c r="N539"/>
      <c r="O539" s="392"/>
      <c r="P539" s="2"/>
      <c r="R539"/>
      <c r="S539"/>
      <c r="V539" s="941"/>
    </row>
    <row r="540" spans="10:22" s="1" customFormat="1" x14ac:dyDescent="0.2">
      <c r="J540"/>
      <c r="K540"/>
      <c r="L540"/>
      <c r="M540"/>
      <c r="N540"/>
      <c r="O540" s="392"/>
      <c r="P540" s="2"/>
      <c r="R540"/>
      <c r="S540"/>
      <c r="V540" s="941"/>
    </row>
    <row r="541" spans="10:22" s="1" customFormat="1" x14ac:dyDescent="0.2">
      <c r="J541"/>
      <c r="K541"/>
      <c r="L541"/>
      <c r="M541"/>
      <c r="N541"/>
      <c r="O541" s="392"/>
      <c r="P541" s="2"/>
      <c r="R541"/>
      <c r="S541"/>
      <c r="V541" s="941"/>
    </row>
    <row r="542" spans="10:22" s="1" customFormat="1" x14ac:dyDescent="0.2">
      <c r="J542"/>
      <c r="K542"/>
      <c r="L542"/>
      <c r="M542"/>
      <c r="N542"/>
      <c r="O542" s="392"/>
      <c r="P542" s="2"/>
      <c r="R542"/>
      <c r="S542"/>
      <c r="V542" s="941"/>
    </row>
    <row r="543" spans="10:22" s="1" customFormat="1" x14ac:dyDescent="0.2">
      <c r="J543"/>
      <c r="K543"/>
      <c r="L543"/>
      <c r="M543"/>
      <c r="N543"/>
      <c r="O543" s="392"/>
      <c r="P543" s="2"/>
      <c r="R543"/>
      <c r="S543"/>
      <c r="V543" s="941"/>
    </row>
    <row r="544" spans="10:22" s="1" customFormat="1" x14ac:dyDescent="0.2">
      <c r="J544"/>
      <c r="K544"/>
      <c r="L544"/>
      <c r="M544"/>
      <c r="N544"/>
      <c r="O544" s="392"/>
      <c r="P544" s="2"/>
      <c r="R544"/>
      <c r="S544"/>
      <c r="V544" s="941"/>
    </row>
    <row r="545" spans="10:22" s="1" customFormat="1" x14ac:dyDescent="0.2">
      <c r="J545"/>
      <c r="K545"/>
      <c r="L545"/>
      <c r="M545"/>
      <c r="N545"/>
      <c r="O545" s="392"/>
      <c r="P545" s="2"/>
      <c r="R545"/>
      <c r="S545"/>
      <c r="V545" s="941"/>
    </row>
    <row r="546" spans="10:22" s="1" customFormat="1" x14ac:dyDescent="0.2">
      <c r="J546"/>
      <c r="K546"/>
      <c r="L546"/>
      <c r="M546"/>
      <c r="N546"/>
      <c r="O546" s="392"/>
      <c r="P546" s="2"/>
      <c r="R546"/>
      <c r="S546"/>
      <c r="V546" s="941"/>
    </row>
    <row r="547" spans="10:22" s="1" customFormat="1" x14ac:dyDescent="0.2">
      <c r="J547"/>
      <c r="K547"/>
      <c r="L547"/>
      <c r="M547"/>
      <c r="N547"/>
      <c r="O547" s="392"/>
      <c r="P547" s="2"/>
      <c r="R547"/>
      <c r="S547"/>
      <c r="V547" s="941"/>
    </row>
    <row r="548" spans="10:22" s="1" customFormat="1" x14ac:dyDescent="0.2">
      <c r="J548"/>
      <c r="K548"/>
      <c r="L548"/>
      <c r="M548"/>
      <c r="N548"/>
      <c r="O548" s="392"/>
      <c r="P548" s="2"/>
      <c r="R548"/>
      <c r="S548"/>
      <c r="V548" s="941"/>
    </row>
    <row r="549" spans="10:22" s="1" customFormat="1" x14ac:dyDescent="0.2">
      <c r="J549"/>
      <c r="K549"/>
      <c r="L549"/>
      <c r="M549"/>
      <c r="N549"/>
      <c r="O549" s="392"/>
      <c r="P549" s="2"/>
      <c r="R549"/>
      <c r="S549"/>
      <c r="V549" s="941"/>
    </row>
    <row r="550" spans="10:22" s="1" customFormat="1" x14ac:dyDescent="0.2">
      <c r="J550"/>
      <c r="K550"/>
      <c r="L550"/>
      <c r="M550"/>
      <c r="N550"/>
      <c r="O550" s="392"/>
      <c r="P550" s="2"/>
      <c r="R550"/>
      <c r="S550"/>
      <c r="V550" s="941"/>
    </row>
    <row r="551" spans="10:22" s="1" customFormat="1" x14ac:dyDescent="0.2">
      <c r="J551"/>
      <c r="K551"/>
      <c r="L551"/>
      <c r="M551"/>
      <c r="N551"/>
      <c r="O551" s="392"/>
      <c r="P551" s="2"/>
      <c r="R551"/>
      <c r="S551"/>
      <c r="V551" s="941"/>
    </row>
    <row r="552" spans="10:22" s="1" customFormat="1" x14ac:dyDescent="0.2">
      <c r="J552"/>
      <c r="K552"/>
      <c r="L552"/>
      <c r="M552"/>
      <c r="N552"/>
      <c r="O552" s="392"/>
      <c r="P552" s="2"/>
      <c r="R552"/>
      <c r="S552"/>
      <c r="V552" s="941"/>
    </row>
    <row r="553" spans="10:22" s="1" customFormat="1" x14ac:dyDescent="0.2">
      <c r="J553"/>
      <c r="K553"/>
      <c r="L553"/>
      <c r="M553"/>
      <c r="N553"/>
      <c r="O553" s="392"/>
      <c r="P553" s="2"/>
      <c r="R553"/>
      <c r="S553"/>
      <c r="V553" s="941"/>
    </row>
    <row r="554" spans="10:22" s="1" customFormat="1" x14ac:dyDescent="0.2">
      <c r="J554"/>
      <c r="K554"/>
      <c r="L554"/>
      <c r="M554"/>
      <c r="N554"/>
      <c r="O554" s="392"/>
      <c r="P554" s="2"/>
      <c r="R554"/>
      <c r="S554"/>
      <c r="V554" s="941"/>
    </row>
    <row r="555" spans="10:22" s="1" customFormat="1" x14ac:dyDescent="0.2">
      <c r="J555"/>
      <c r="K555"/>
      <c r="L555"/>
      <c r="M555"/>
      <c r="N555"/>
      <c r="O555" s="392"/>
      <c r="P555" s="2"/>
      <c r="R555"/>
      <c r="S555"/>
      <c r="V555" s="941"/>
    </row>
    <row r="556" spans="10:22" s="1" customFormat="1" x14ac:dyDescent="0.2">
      <c r="J556"/>
      <c r="K556"/>
      <c r="L556"/>
      <c r="M556"/>
      <c r="N556"/>
      <c r="O556" s="392"/>
      <c r="P556" s="2"/>
      <c r="R556"/>
      <c r="S556"/>
      <c r="V556" s="941"/>
    </row>
    <row r="557" spans="10:22" s="1" customFormat="1" x14ac:dyDescent="0.2">
      <c r="J557"/>
      <c r="K557"/>
      <c r="L557"/>
      <c r="M557"/>
      <c r="N557"/>
      <c r="O557" s="392"/>
      <c r="P557" s="2"/>
      <c r="R557"/>
      <c r="S557"/>
      <c r="V557" s="941"/>
    </row>
    <row r="558" spans="10:22" s="1" customFormat="1" x14ac:dyDescent="0.2">
      <c r="J558"/>
      <c r="K558"/>
      <c r="L558"/>
      <c r="M558"/>
      <c r="N558"/>
      <c r="O558" s="392"/>
      <c r="P558" s="2"/>
      <c r="R558"/>
      <c r="S558"/>
      <c r="V558" s="941"/>
    </row>
    <row r="559" spans="10:22" s="1" customFormat="1" x14ac:dyDescent="0.2">
      <c r="J559"/>
      <c r="K559"/>
      <c r="L559"/>
      <c r="M559"/>
      <c r="N559"/>
      <c r="O559" s="392"/>
      <c r="P559" s="2"/>
      <c r="R559"/>
      <c r="S559"/>
      <c r="V559" s="941"/>
    </row>
    <row r="560" spans="10:22" s="1" customFormat="1" x14ac:dyDescent="0.2">
      <c r="J560"/>
      <c r="K560"/>
      <c r="L560"/>
      <c r="M560"/>
      <c r="N560"/>
      <c r="O560" s="392"/>
      <c r="P560" s="2"/>
      <c r="R560"/>
      <c r="S560"/>
      <c r="V560" s="941"/>
    </row>
    <row r="561" spans="10:22" s="1" customFormat="1" x14ac:dyDescent="0.2">
      <c r="J561"/>
      <c r="K561"/>
      <c r="L561"/>
      <c r="M561"/>
      <c r="N561"/>
      <c r="O561" s="392"/>
      <c r="P561" s="2"/>
      <c r="R561"/>
      <c r="S561"/>
      <c r="V561" s="941"/>
    </row>
    <row r="562" spans="10:22" s="1" customFormat="1" x14ac:dyDescent="0.2">
      <c r="J562"/>
      <c r="K562"/>
      <c r="L562"/>
      <c r="M562"/>
      <c r="N562"/>
      <c r="O562" s="392"/>
      <c r="P562" s="2"/>
      <c r="R562"/>
      <c r="S562"/>
      <c r="V562" s="941"/>
    </row>
    <row r="563" spans="10:22" s="1" customFormat="1" x14ac:dyDescent="0.2">
      <c r="J563"/>
      <c r="K563"/>
      <c r="L563"/>
      <c r="M563"/>
      <c r="N563"/>
      <c r="O563" s="392"/>
      <c r="P563" s="2"/>
      <c r="R563"/>
      <c r="S563"/>
      <c r="V563" s="941"/>
    </row>
    <row r="564" spans="10:22" s="1" customFormat="1" x14ac:dyDescent="0.2">
      <c r="J564"/>
      <c r="K564"/>
      <c r="L564"/>
      <c r="M564"/>
      <c r="N564"/>
      <c r="O564" s="392"/>
      <c r="P564" s="2"/>
      <c r="R564"/>
      <c r="S564"/>
      <c r="V564" s="941"/>
    </row>
    <row r="565" spans="10:22" s="1" customFormat="1" x14ac:dyDescent="0.2">
      <c r="J565"/>
      <c r="K565"/>
      <c r="L565"/>
      <c r="M565"/>
      <c r="N565"/>
      <c r="O565" s="392"/>
      <c r="P565" s="2"/>
      <c r="R565"/>
      <c r="S565"/>
      <c r="V565" s="941"/>
    </row>
    <row r="566" spans="10:22" s="1" customFormat="1" x14ac:dyDescent="0.2">
      <c r="J566"/>
      <c r="K566"/>
      <c r="L566"/>
      <c r="M566"/>
      <c r="N566"/>
      <c r="O566" s="392"/>
      <c r="P566" s="2"/>
      <c r="R566"/>
      <c r="S566"/>
      <c r="V566" s="941"/>
    </row>
    <row r="567" spans="10:22" s="1" customFormat="1" x14ac:dyDescent="0.2">
      <c r="J567"/>
      <c r="K567"/>
      <c r="L567"/>
      <c r="M567"/>
      <c r="N567"/>
      <c r="O567" s="392"/>
      <c r="P567" s="2"/>
      <c r="R567"/>
      <c r="S567"/>
      <c r="V567" s="941"/>
    </row>
    <row r="568" spans="10:22" s="1" customFormat="1" x14ac:dyDescent="0.2">
      <c r="J568"/>
      <c r="K568"/>
      <c r="L568"/>
      <c r="M568"/>
      <c r="N568"/>
      <c r="O568" s="392"/>
      <c r="P568" s="2"/>
      <c r="R568"/>
      <c r="S568"/>
      <c r="V568" s="941"/>
    </row>
    <row r="569" spans="10:22" s="1" customFormat="1" x14ac:dyDescent="0.2">
      <c r="J569"/>
      <c r="K569"/>
      <c r="L569"/>
      <c r="M569"/>
      <c r="N569"/>
      <c r="O569" s="392"/>
      <c r="P569" s="2"/>
      <c r="R569"/>
      <c r="S569"/>
      <c r="V569" s="941"/>
    </row>
    <row r="570" spans="10:22" s="1" customFormat="1" x14ac:dyDescent="0.2">
      <c r="J570"/>
      <c r="K570"/>
      <c r="L570"/>
      <c r="M570"/>
      <c r="N570"/>
      <c r="O570" s="392"/>
      <c r="P570" s="2"/>
      <c r="R570"/>
      <c r="S570"/>
      <c r="V570" s="941"/>
    </row>
    <row r="571" spans="10:22" s="1" customFormat="1" x14ac:dyDescent="0.2">
      <c r="J571"/>
      <c r="K571"/>
      <c r="L571"/>
      <c r="M571"/>
      <c r="N571"/>
      <c r="O571" s="392"/>
      <c r="P571" s="2"/>
      <c r="R571"/>
      <c r="S571"/>
      <c r="V571" s="941"/>
    </row>
    <row r="572" spans="10:22" s="1" customFormat="1" x14ac:dyDescent="0.2">
      <c r="J572"/>
      <c r="K572"/>
      <c r="L572"/>
      <c r="M572"/>
      <c r="N572"/>
      <c r="O572" s="392"/>
      <c r="P572" s="2"/>
      <c r="R572"/>
      <c r="S572"/>
      <c r="V572" s="941"/>
    </row>
    <row r="573" spans="10:22" s="1" customFormat="1" x14ac:dyDescent="0.2">
      <c r="J573"/>
      <c r="K573"/>
      <c r="L573"/>
      <c r="M573"/>
      <c r="N573"/>
      <c r="O573" s="392"/>
      <c r="P573" s="2"/>
      <c r="R573"/>
      <c r="S573"/>
      <c r="V573" s="941"/>
    </row>
    <row r="574" spans="10:22" s="1" customFormat="1" x14ac:dyDescent="0.2">
      <c r="J574"/>
      <c r="K574"/>
      <c r="L574"/>
      <c r="M574"/>
      <c r="N574"/>
      <c r="O574" s="392"/>
      <c r="P574" s="2"/>
      <c r="R574"/>
      <c r="S574"/>
      <c r="V574" s="941"/>
    </row>
    <row r="575" spans="10:22" s="1" customFormat="1" x14ac:dyDescent="0.2">
      <c r="J575"/>
      <c r="K575"/>
      <c r="L575"/>
      <c r="M575"/>
      <c r="N575"/>
      <c r="O575" s="392"/>
      <c r="P575" s="2"/>
      <c r="R575"/>
      <c r="S575"/>
      <c r="V575" s="941"/>
    </row>
    <row r="576" spans="10:22" s="1" customFormat="1" x14ac:dyDescent="0.2">
      <c r="J576"/>
      <c r="K576"/>
      <c r="L576"/>
      <c r="M576"/>
      <c r="N576"/>
      <c r="O576" s="392"/>
      <c r="P576" s="2"/>
      <c r="R576"/>
      <c r="S576"/>
      <c r="V576" s="941"/>
    </row>
    <row r="577" spans="10:22" s="1" customFormat="1" x14ac:dyDescent="0.2">
      <c r="J577"/>
      <c r="K577"/>
      <c r="L577"/>
      <c r="M577"/>
      <c r="N577"/>
      <c r="O577" s="392"/>
      <c r="P577" s="2"/>
      <c r="R577"/>
      <c r="S577"/>
      <c r="V577" s="941"/>
    </row>
    <row r="578" spans="10:22" s="1" customFormat="1" x14ac:dyDescent="0.2">
      <c r="J578"/>
      <c r="K578"/>
      <c r="L578"/>
      <c r="M578"/>
      <c r="N578"/>
      <c r="O578" s="392"/>
      <c r="P578" s="2"/>
      <c r="R578"/>
      <c r="S578"/>
      <c r="V578" s="941"/>
    </row>
    <row r="579" spans="10:22" s="1" customFormat="1" x14ac:dyDescent="0.2">
      <c r="J579"/>
      <c r="K579"/>
      <c r="L579"/>
      <c r="M579"/>
      <c r="N579"/>
      <c r="O579" s="392"/>
      <c r="P579" s="2"/>
      <c r="R579"/>
      <c r="S579"/>
      <c r="V579" s="941"/>
    </row>
    <row r="580" spans="10:22" s="1" customFormat="1" x14ac:dyDescent="0.2">
      <c r="J580"/>
      <c r="K580"/>
      <c r="L580"/>
      <c r="M580"/>
      <c r="N580"/>
      <c r="O580" s="392"/>
      <c r="P580" s="2"/>
      <c r="R580"/>
      <c r="S580"/>
      <c r="V580" s="941"/>
    </row>
    <row r="581" spans="10:22" s="1" customFormat="1" x14ac:dyDescent="0.2">
      <c r="J581"/>
      <c r="K581"/>
      <c r="L581"/>
      <c r="M581"/>
      <c r="N581"/>
      <c r="O581" s="392"/>
      <c r="P581" s="2"/>
      <c r="R581"/>
      <c r="S581"/>
      <c r="V581" s="941"/>
    </row>
    <row r="582" spans="10:22" s="1" customFormat="1" x14ac:dyDescent="0.2">
      <c r="J582"/>
      <c r="K582"/>
      <c r="L582"/>
      <c r="M582"/>
      <c r="N582"/>
      <c r="O582" s="392"/>
      <c r="P582" s="2"/>
      <c r="R582"/>
      <c r="S582"/>
      <c r="V582" s="941"/>
    </row>
    <row r="583" spans="10:22" s="1" customFormat="1" x14ac:dyDescent="0.2">
      <c r="J583"/>
      <c r="K583"/>
      <c r="L583"/>
      <c r="M583"/>
      <c r="N583"/>
      <c r="O583" s="392"/>
      <c r="P583" s="2"/>
      <c r="R583"/>
      <c r="S583"/>
      <c r="V583" s="941"/>
    </row>
    <row r="584" spans="10:22" s="1" customFormat="1" x14ac:dyDescent="0.2">
      <c r="J584"/>
      <c r="K584"/>
      <c r="L584"/>
      <c r="M584"/>
      <c r="N584"/>
      <c r="O584" s="392"/>
      <c r="P584" s="2"/>
      <c r="R584"/>
      <c r="S584"/>
      <c r="V584" s="941"/>
    </row>
    <row r="585" spans="10:22" s="1" customFormat="1" x14ac:dyDescent="0.2">
      <c r="J585"/>
      <c r="K585"/>
      <c r="L585"/>
      <c r="M585"/>
      <c r="N585"/>
      <c r="O585" s="392"/>
      <c r="P585" s="2"/>
      <c r="R585"/>
      <c r="S585"/>
      <c r="V585" s="941"/>
    </row>
    <row r="586" spans="10:22" s="1" customFormat="1" x14ac:dyDescent="0.2">
      <c r="J586"/>
      <c r="K586"/>
      <c r="L586"/>
      <c r="M586"/>
      <c r="N586"/>
      <c r="O586" s="392"/>
      <c r="P586" s="2"/>
      <c r="R586"/>
      <c r="S586"/>
      <c r="V586" s="941"/>
    </row>
    <row r="587" spans="10:22" s="1" customFormat="1" x14ac:dyDescent="0.2">
      <c r="J587"/>
      <c r="K587"/>
      <c r="L587"/>
      <c r="M587"/>
      <c r="N587"/>
      <c r="O587" s="392"/>
      <c r="P587" s="2"/>
      <c r="R587"/>
      <c r="S587"/>
      <c r="V587" s="941"/>
    </row>
    <row r="588" spans="10:22" s="1" customFormat="1" x14ac:dyDescent="0.2">
      <c r="J588"/>
      <c r="K588"/>
      <c r="L588"/>
      <c r="M588"/>
      <c r="N588"/>
      <c r="O588" s="392"/>
      <c r="P588" s="2"/>
      <c r="R588"/>
      <c r="S588"/>
      <c r="V588" s="941"/>
    </row>
    <row r="589" spans="10:22" s="1" customFormat="1" x14ac:dyDescent="0.2">
      <c r="J589"/>
      <c r="K589"/>
      <c r="L589"/>
      <c r="M589"/>
      <c r="N589"/>
      <c r="O589" s="392"/>
      <c r="P589" s="2"/>
      <c r="R589"/>
      <c r="S589"/>
      <c r="V589" s="941"/>
    </row>
    <row r="590" spans="10:22" s="1" customFormat="1" x14ac:dyDescent="0.2">
      <c r="J590"/>
      <c r="K590"/>
      <c r="L590"/>
      <c r="M590"/>
      <c r="N590"/>
      <c r="O590" s="392"/>
      <c r="P590" s="2"/>
      <c r="R590"/>
      <c r="S590"/>
      <c r="V590" s="941"/>
    </row>
    <row r="591" spans="10:22" s="1" customFormat="1" x14ac:dyDescent="0.2">
      <c r="J591"/>
      <c r="K591"/>
      <c r="L591"/>
      <c r="M591"/>
      <c r="N591"/>
      <c r="O591" s="392"/>
      <c r="P591" s="2"/>
      <c r="R591"/>
      <c r="S591"/>
      <c r="V591" s="941"/>
    </row>
    <row r="592" spans="10:22" s="1" customFormat="1" x14ac:dyDescent="0.2">
      <c r="J592"/>
      <c r="K592"/>
      <c r="L592"/>
      <c r="M592"/>
      <c r="N592"/>
      <c r="O592" s="392"/>
      <c r="P592" s="2"/>
      <c r="R592"/>
      <c r="S592"/>
      <c r="V592" s="941"/>
    </row>
    <row r="593" spans="10:22" s="1" customFormat="1" x14ac:dyDescent="0.2">
      <c r="J593"/>
      <c r="K593"/>
      <c r="L593"/>
      <c r="M593"/>
      <c r="N593"/>
      <c r="O593" s="392"/>
      <c r="P593" s="2"/>
      <c r="R593"/>
      <c r="S593"/>
      <c r="V593" s="941"/>
    </row>
    <row r="594" spans="10:22" s="1" customFormat="1" x14ac:dyDescent="0.2">
      <c r="J594"/>
      <c r="K594"/>
      <c r="L594"/>
      <c r="M594"/>
      <c r="N594"/>
      <c r="O594" s="392"/>
      <c r="P594" s="2"/>
      <c r="R594"/>
      <c r="S594"/>
      <c r="V594" s="941"/>
    </row>
    <row r="595" spans="10:22" s="1" customFormat="1" x14ac:dyDescent="0.2">
      <c r="J595"/>
      <c r="K595"/>
      <c r="L595"/>
      <c r="M595"/>
      <c r="N595"/>
      <c r="O595" s="392"/>
      <c r="P595" s="2"/>
      <c r="R595"/>
      <c r="S595"/>
      <c r="V595" s="941"/>
    </row>
    <row r="596" spans="10:22" s="1" customFormat="1" x14ac:dyDescent="0.2">
      <c r="J596"/>
      <c r="K596"/>
      <c r="L596"/>
      <c r="M596"/>
      <c r="N596"/>
      <c r="O596" s="392"/>
      <c r="P596" s="2"/>
      <c r="R596"/>
      <c r="S596"/>
      <c r="V596" s="941"/>
    </row>
    <row r="597" spans="10:22" s="1" customFormat="1" x14ac:dyDescent="0.2">
      <c r="J597"/>
      <c r="K597"/>
      <c r="L597"/>
      <c r="M597"/>
      <c r="N597"/>
      <c r="O597" s="392"/>
      <c r="P597" s="2"/>
      <c r="R597"/>
      <c r="S597"/>
      <c r="V597" s="941"/>
    </row>
    <row r="598" spans="10:22" s="1" customFormat="1" x14ac:dyDescent="0.2">
      <c r="J598"/>
      <c r="K598"/>
      <c r="L598"/>
      <c r="M598"/>
      <c r="N598"/>
      <c r="O598" s="392"/>
      <c r="P598" s="2"/>
      <c r="R598"/>
      <c r="S598"/>
      <c r="V598" s="941"/>
    </row>
    <row r="599" spans="10:22" s="1" customFormat="1" x14ac:dyDescent="0.2">
      <c r="J599"/>
      <c r="K599"/>
      <c r="L599"/>
      <c r="M599"/>
      <c r="N599"/>
      <c r="O599" s="392"/>
      <c r="P599" s="2"/>
      <c r="R599"/>
      <c r="S599"/>
      <c r="V599" s="941"/>
    </row>
    <row r="600" spans="10:22" s="1" customFormat="1" x14ac:dyDescent="0.2">
      <c r="J600"/>
      <c r="K600"/>
      <c r="L600"/>
      <c r="M600"/>
      <c r="N600"/>
      <c r="O600" s="392"/>
      <c r="P600" s="2"/>
      <c r="R600"/>
      <c r="S600"/>
      <c r="V600" s="941"/>
    </row>
    <row r="601" spans="10:22" s="1" customFormat="1" x14ac:dyDescent="0.2">
      <c r="J601"/>
      <c r="K601"/>
      <c r="L601"/>
      <c r="M601"/>
      <c r="N601"/>
      <c r="O601" s="392"/>
      <c r="P601" s="2"/>
      <c r="R601"/>
      <c r="S601"/>
      <c r="V601" s="941"/>
    </row>
    <row r="602" spans="10:22" s="1" customFormat="1" x14ac:dyDescent="0.2">
      <c r="J602"/>
      <c r="K602"/>
      <c r="L602"/>
      <c r="M602"/>
      <c r="N602"/>
      <c r="O602" s="392"/>
      <c r="P602" s="2"/>
      <c r="R602"/>
      <c r="S602"/>
      <c r="V602" s="941"/>
    </row>
    <row r="603" spans="10:22" s="1" customFormat="1" x14ac:dyDescent="0.2">
      <c r="J603"/>
      <c r="K603"/>
      <c r="L603"/>
      <c r="M603"/>
      <c r="N603"/>
      <c r="O603" s="392"/>
      <c r="P603" s="2"/>
      <c r="R603"/>
      <c r="S603"/>
      <c r="V603" s="941"/>
    </row>
    <row r="604" spans="10:22" s="1" customFormat="1" x14ac:dyDescent="0.2">
      <c r="J604"/>
      <c r="K604"/>
      <c r="L604"/>
      <c r="M604"/>
      <c r="N604"/>
      <c r="O604" s="392"/>
      <c r="P604" s="2"/>
      <c r="R604"/>
      <c r="S604"/>
      <c r="V604" s="941"/>
    </row>
    <row r="605" spans="10:22" s="1" customFormat="1" x14ac:dyDescent="0.2">
      <c r="J605"/>
      <c r="K605"/>
      <c r="L605"/>
      <c r="M605"/>
      <c r="N605"/>
      <c r="O605" s="392"/>
      <c r="P605" s="2"/>
      <c r="R605"/>
      <c r="S605"/>
      <c r="V605" s="941"/>
    </row>
    <row r="606" spans="10:22" s="1" customFormat="1" x14ac:dyDescent="0.2">
      <c r="J606"/>
      <c r="K606"/>
      <c r="L606"/>
      <c r="M606"/>
      <c r="N606"/>
      <c r="O606" s="392"/>
      <c r="P606" s="2"/>
      <c r="R606"/>
      <c r="S606"/>
      <c r="V606" s="941"/>
    </row>
    <row r="607" spans="10:22" s="1" customFormat="1" x14ac:dyDescent="0.2">
      <c r="J607"/>
      <c r="K607"/>
      <c r="L607"/>
      <c r="M607"/>
      <c r="N607"/>
      <c r="O607" s="392"/>
      <c r="P607" s="2"/>
      <c r="R607"/>
      <c r="S607"/>
      <c r="V607" s="941"/>
    </row>
    <row r="608" spans="10:22" s="1" customFormat="1" x14ac:dyDescent="0.2">
      <c r="J608"/>
      <c r="K608"/>
      <c r="L608"/>
      <c r="M608"/>
      <c r="N608"/>
      <c r="O608" s="392"/>
      <c r="P608" s="2"/>
      <c r="R608"/>
      <c r="S608"/>
      <c r="V608" s="941"/>
    </row>
    <row r="609" spans="10:22" s="1" customFormat="1" x14ac:dyDescent="0.2">
      <c r="J609"/>
      <c r="K609"/>
      <c r="L609"/>
      <c r="M609"/>
      <c r="N609"/>
      <c r="O609" s="392"/>
      <c r="P609" s="2"/>
      <c r="R609"/>
      <c r="S609"/>
      <c r="V609" s="941"/>
    </row>
    <row r="610" spans="10:22" s="1" customFormat="1" x14ac:dyDescent="0.2">
      <c r="J610"/>
      <c r="K610"/>
      <c r="L610"/>
      <c r="M610"/>
      <c r="N610"/>
      <c r="O610" s="392"/>
      <c r="P610" s="2"/>
      <c r="R610"/>
      <c r="S610"/>
      <c r="V610" s="941"/>
    </row>
    <row r="611" spans="10:22" s="1" customFormat="1" x14ac:dyDescent="0.2">
      <c r="J611"/>
      <c r="K611"/>
      <c r="L611"/>
      <c r="M611"/>
      <c r="N611"/>
      <c r="O611" s="392"/>
      <c r="P611" s="2"/>
      <c r="R611"/>
      <c r="S611"/>
      <c r="V611" s="941"/>
    </row>
    <row r="612" spans="10:22" s="1" customFormat="1" x14ac:dyDescent="0.2">
      <c r="J612"/>
      <c r="K612"/>
      <c r="L612"/>
      <c r="M612"/>
      <c r="N612"/>
      <c r="O612" s="392"/>
      <c r="P612" s="2"/>
      <c r="R612"/>
      <c r="S612"/>
      <c r="V612" s="941"/>
    </row>
    <row r="613" spans="10:22" s="1" customFormat="1" x14ac:dyDescent="0.2">
      <c r="J613"/>
      <c r="K613"/>
      <c r="L613"/>
      <c r="M613"/>
      <c r="N613"/>
      <c r="O613" s="392"/>
      <c r="P613" s="2"/>
      <c r="R613"/>
      <c r="S613"/>
      <c r="V613" s="941"/>
    </row>
    <row r="614" spans="10:22" s="1" customFormat="1" x14ac:dyDescent="0.2">
      <c r="J614"/>
      <c r="K614"/>
      <c r="L614"/>
      <c r="M614"/>
      <c r="N614"/>
      <c r="O614" s="392"/>
      <c r="P614" s="2"/>
      <c r="R614"/>
      <c r="S614"/>
      <c r="V614" s="941"/>
    </row>
    <row r="615" spans="10:22" s="1" customFormat="1" x14ac:dyDescent="0.2">
      <c r="J615"/>
      <c r="K615"/>
      <c r="L615"/>
      <c r="M615"/>
      <c r="N615"/>
      <c r="O615" s="392"/>
      <c r="P615" s="2"/>
      <c r="R615"/>
      <c r="S615"/>
      <c r="V615" s="941"/>
    </row>
    <row r="616" spans="10:22" s="1" customFormat="1" x14ac:dyDescent="0.2">
      <c r="J616"/>
      <c r="K616"/>
      <c r="L616"/>
      <c r="M616"/>
      <c r="N616"/>
      <c r="O616" s="392"/>
      <c r="P616" s="2"/>
      <c r="R616"/>
      <c r="S616"/>
      <c r="V616" s="941"/>
    </row>
    <row r="617" spans="10:22" s="1" customFormat="1" x14ac:dyDescent="0.2">
      <c r="J617"/>
      <c r="K617"/>
      <c r="L617"/>
      <c r="M617"/>
      <c r="N617"/>
      <c r="O617" s="392"/>
      <c r="P617" s="2"/>
      <c r="R617"/>
      <c r="S617"/>
      <c r="V617" s="941"/>
    </row>
    <row r="618" spans="10:22" s="1" customFormat="1" x14ac:dyDescent="0.2">
      <c r="J618"/>
      <c r="K618"/>
      <c r="L618"/>
      <c r="M618"/>
      <c r="N618"/>
      <c r="O618" s="392"/>
      <c r="P618" s="2"/>
      <c r="R618"/>
      <c r="S618"/>
      <c r="V618" s="941"/>
    </row>
    <row r="619" spans="10:22" s="1" customFormat="1" x14ac:dyDescent="0.2">
      <c r="J619"/>
      <c r="K619"/>
      <c r="L619"/>
      <c r="M619"/>
      <c r="N619"/>
      <c r="O619" s="392"/>
      <c r="P619" s="2"/>
      <c r="R619"/>
      <c r="S619"/>
      <c r="V619" s="941"/>
    </row>
    <row r="620" spans="10:22" s="1" customFormat="1" x14ac:dyDescent="0.2">
      <c r="J620"/>
      <c r="K620"/>
      <c r="L620"/>
      <c r="M620"/>
      <c r="N620"/>
      <c r="O620" s="392"/>
      <c r="P620" s="2"/>
      <c r="R620"/>
      <c r="S620"/>
      <c r="V620" s="941"/>
    </row>
    <row r="621" spans="10:22" s="1" customFormat="1" x14ac:dyDescent="0.2">
      <c r="J621"/>
      <c r="K621"/>
      <c r="L621"/>
      <c r="M621"/>
      <c r="N621"/>
      <c r="O621" s="392"/>
      <c r="P621" s="2"/>
      <c r="R621"/>
      <c r="S621"/>
      <c r="V621" s="941"/>
    </row>
    <row r="65350" spans="13:13" x14ac:dyDescent="0.2">
      <c r="M65350">
        <v>4</v>
      </c>
    </row>
  </sheetData>
  <mergeCells count="19">
    <mergeCell ref="F51:F53"/>
    <mergeCell ref="Q51:Q53"/>
    <mergeCell ref="L51:L54"/>
    <mergeCell ref="R51:R54"/>
    <mergeCell ref="T51:T54"/>
    <mergeCell ref="H51:H53"/>
    <mergeCell ref="L48:L49"/>
    <mergeCell ref="R34:R36"/>
    <mergeCell ref="T34:T36"/>
    <mergeCell ref="T32:T33"/>
    <mergeCell ref="R32:R33"/>
    <mergeCell ref="R48:R49"/>
    <mergeCell ref="T48:T49"/>
    <mergeCell ref="R37:R39"/>
    <mergeCell ref="T37:T39"/>
    <mergeCell ref="T40:T43"/>
    <mergeCell ref="R40:R43"/>
    <mergeCell ref="R44:R47"/>
    <mergeCell ref="T44:T47"/>
  </mergeCells>
  <conditionalFormatting sqref="B2 J75:J78 J80:J65536">
    <cfRule type="cellIs" dxfId="1200" priority="2948" stopIfTrue="1" operator="lessThan">
      <formula>438</formula>
    </cfRule>
  </conditionalFormatting>
  <conditionalFormatting sqref="I66:I73">
    <cfRule type="cellIs" dxfId="1199" priority="1806" stopIfTrue="1" operator="lessThan">
      <formula>0%</formula>
    </cfRule>
    <cfRule type="cellIs" dxfId="1198" priority="1805" stopIfTrue="1" operator="greaterThan">
      <formula>1.5%</formula>
    </cfRule>
  </conditionalFormatting>
  <conditionalFormatting sqref="I74">
    <cfRule type="cellIs" dxfId="1197" priority="1803" stopIfTrue="1" operator="greaterThan">
      <formula>1.1</formula>
    </cfRule>
    <cfRule type="cellIs" dxfId="1196" priority="1802" stopIfTrue="1" operator="greaterThan">
      <formula>0.011</formula>
    </cfRule>
  </conditionalFormatting>
  <conditionalFormatting sqref="J3">
    <cfRule type="cellIs" dxfId="1195" priority="1191" stopIfTrue="1" operator="lessThan">
      <formula>438</formula>
    </cfRule>
    <cfRule type="cellIs" dxfId="1194" priority="1189" stopIfTrue="1" operator="lessThan">
      <formula>456.25</formula>
    </cfRule>
  </conditionalFormatting>
  <conditionalFormatting sqref="J4:J58">
    <cfRule type="cellIs" dxfId="1193" priority="387" stopIfTrue="1" operator="lessThan">
      <formula>350</formula>
    </cfRule>
  </conditionalFormatting>
  <conditionalFormatting sqref="J59:J61">
    <cfRule type="cellIs" dxfId="1192" priority="329" stopIfTrue="1" operator="lessThan">
      <formula>462</formula>
    </cfRule>
  </conditionalFormatting>
  <conditionalFormatting sqref="J60:J61">
    <cfRule type="cellIs" dxfId="1191" priority="1222" stopIfTrue="1" operator="lessThan">
      <formula>438</formula>
    </cfRule>
  </conditionalFormatting>
  <conditionalFormatting sqref="J66:K74">
    <cfRule type="cellIs" dxfId="1190" priority="1801" stopIfTrue="1" operator="lessThan">
      <formula>73%</formula>
    </cfRule>
  </conditionalFormatting>
  <conditionalFormatting sqref="K4:K37 K39:K57">
    <cfRule type="cellIs" dxfId="1189" priority="363" stopIfTrue="1" operator="lessThan">
      <formula>540</formula>
    </cfRule>
  </conditionalFormatting>
  <conditionalFormatting sqref="L4">
    <cfRule type="cellIs" dxfId="1188" priority="335" stopIfTrue="1" operator="lessThan">
      <formula>540</formula>
    </cfRule>
  </conditionalFormatting>
  <conditionalFormatting sqref="L55:L57">
    <cfRule type="cellIs" dxfId="1187" priority="47" stopIfTrue="1" operator="lessThan">
      <formula>540</formula>
    </cfRule>
  </conditionalFormatting>
  <conditionalFormatting sqref="Q4:Q29 Q32:Q35 Q37 Q39:Q51 Q54">
    <cfRule type="cellIs" dxfId="1186" priority="37" stopIfTrue="1" operator="greaterThan">
      <formula>1.8</formula>
    </cfRule>
  </conditionalFormatting>
  <conditionalFormatting sqref="Q55:Q56">
    <cfRule type="cellIs" dxfId="1185" priority="359" stopIfTrue="1" operator="greaterThan">
      <formula>1.1</formula>
    </cfRule>
  </conditionalFormatting>
  <conditionalFormatting sqref="Q57:Q58">
    <cfRule type="cellIs" dxfId="1184" priority="2904" stopIfTrue="1" operator="greaterThan">
      <formula>1.8</formula>
    </cfRule>
  </conditionalFormatting>
  <conditionalFormatting sqref="Q58">
    <cfRule type="cellIs" dxfId="1183" priority="2680" stopIfTrue="1" operator="greaterThan">
      <formula>0.018</formula>
    </cfRule>
  </conditionalFormatting>
  <conditionalFormatting sqref="Q59:Q62">
    <cfRule type="cellIs" dxfId="1182" priority="24" stopIfTrue="1" operator="greaterThan">
      <formula>1.1</formula>
    </cfRule>
  </conditionalFormatting>
  <conditionalFormatting sqref="Q62:Q63">
    <cfRule type="cellIs" dxfId="1181" priority="2944" stopIfTrue="1" operator="greaterThan">
      <formula>1.5%</formula>
    </cfRule>
    <cfRule type="cellIs" dxfId="1180" priority="2945" stopIfTrue="1" operator="lessThan">
      <formula>0%</formula>
    </cfRule>
  </conditionalFormatting>
  <conditionalFormatting sqref="Q66">
    <cfRule type="cellIs" dxfId="1179" priority="2620" stopIfTrue="1" operator="greaterThan">
      <formula>1.1</formula>
    </cfRule>
    <cfRule type="cellIs" dxfId="1178" priority="2619" stopIfTrue="1" operator="greaterThan">
      <formula>0.011</formula>
    </cfRule>
  </conditionalFormatting>
  <conditionalFormatting sqref="R4">
    <cfRule type="cellIs" dxfId="1177" priority="213" stopIfTrue="1" operator="lessThan">
      <formula>0.94</formula>
    </cfRule>
    <cfRule type="cellIs" dxfId="1176" priority="212" stopIfTrue="1" operator="lessThan">
      <formula>0.95</formula>
    </cfRule>
  </conditionalFormatting>
  <conditionalFormatting sqref="R6:R7 R9 R11 R14:R16 R18 R21 R23">
    <cfRule type="cellIs" dxfId="1175" priority="25" stopIfTrue="1" operator="lessThan">
      <formula>0.95</formula>
    </cfRule>
    <cfRule type="cellIs" dxfId="1174" priority="26" stopIfTrue="1" operator="lessThan">
      <formula>0.94</formula>
    </cfRule>
  </conditionalFormatting>
  <conditionalFormatting sqref="R25:R27">
    <cfRule type="cellIs" dxfId="1173" priority="21" stopIfTrue="1" operator="lessThan">
      <formula>0.95</formula>
    </cfRule>
    <cfRule type="cellIs" dxfId="1172" priority="22" stopIfTrue="1" operator="lessThan">
      <formula>0.94</formula>
    </cfRule>
  </conditionalFormatting>
  <conditionalFormatting sqref="R29">
    <cfRule type="cellIs" dxfId="1171" priority="17" stopIfTrue="1" operator="lessThan">
      <formula>0.94</formula>
    </cfRule>
    <cfRule type="cellIs" dxfId="1170" priority="16" stopIfTrue="1" operator="lessThan">
      <formula>0.95</formula>
    </cfRule>
  </conditionalFormatting>
  <conditionalFormatting sqref="R32">
    <cfRule type="cellIs" dxfId="1169" priority="12" stopIfTrue="1" operator="lessThan">
      <formula>0.95</formula>
    </cfRule>
    <cfRule type="cellIs" dxfId="1168" priority="13" stopIfTrue="1" operator="lessThan">
      <formula>0.94</formula>
    </cfRule>
  </conditionalFormatting>
  <conditionalFormatting sqref="R34 R37 R40 R44">
    <cfRule type="cellIs" dxfId="1167" priority="10" stopIfTrue="1" operator="lessThan">
      <formula>0.95</formula>
    </cfRule>
    <cfRule type="cellIs" dxfId="1166" priority="11" stopIfTrue="1" operator="lessThan">
      <formula>0.94</formula>
    </cfRule>
  </conditionalFormatting>
  <conditionalFormatting sqref="R48">
    <cfRule type="cellIs" dxfId="1165" priority="4" stopIfTrue="1" operator="lessThan">
      <formula>0.95</formula>
    </cfRule>
    <cfRule type="cellIs" dxfId="1164" priority="5" stopIfTrue="1" operator="lessThan">
      <formula>0.94</formula>
    </cfRule>
  </conditionalFormatting>
  <conditionalFormatting sqref="R50:R51">
    <cfRule type="cellIs" dxfId="1163" priority="2" stopIfTrue="1" operator="lessThan">
      <formula>0.94</formula>
    </cfRule>
    <cfRule type="cellIs" dxfId="1162" priority="1" stopIfTrue="1" operator="lessThan">
      <formula>0.95</formula>
    </cfRule>
  </conditionalFormatting>
  <conditionalFormatting sqref="R55:R57">
    <cfRule type="cellIs" dxfId="1161" priority="889" stopIfTrue="1" operator="lessThan">
      <formula>0.67</formula>
    </cfRule>
  </conditionalFormatting>
  <conditionalFormatting sqref="R58">
    <cfRule type="cellIs" dxfId="1160" priority="30" stopIfTrue="1" operator="lessThan">
      <formula>0.56</formula>
    </cfRule>
  </conditionalFormatting>
  <conditionalFormatting sqref="R60:R61">
    <cfRule type="cellIs" dxfId="1159" priority="325" stopIfTrue="1" operator="lessThan">
      <formula>0.6</formula>
    </cfRule>
  </conditionalFormatting>
  <conditionalFormatting sqref="R66:S66">
    <cfRule type="cellIs" dxfId="1158" priority="2677" stopIfTrue="1" operator="lessThan">
      <formula>0.74</formula>
    </cfRule>
  </conditionalFormatting>
  <conditionalFormatting sqref="S3">
    <cfRule type="cellIs" dxfId="1157" priority="1192" stopIfTrue="1" operator="lessThan">
      <formula>0.65</formula>
    </cfRule>
  </conditionalFormatting>
  <conditionalFormatting sqref="S4:S37 S39:S58 S60:S61">
    <cfRule type="cellIs" dxfId="1156" priority="28" stopIfTrue="1" operator="lessThan">
      <formula>0.74</formula>
    </cfRule>
  </conditionalFormatting>
  <conditionalFormatting sqref="S75:S76">
    <cfRule type="cellIs" dxfId="1155" priority="2865" stopIfTrue="1" operator="lessThan">
      <formula>0.74</formula>
    </cfRule>
  </conditionalFormatting>
  <conditionalFormatting sqref="S77">
    <cfRule type="cellIs" dxfId="1154" priority="2864" stopIfTrue="1" operator="greaterThan">
      <formula>1.1</formula>
    </cfRule>
  </conditionalFormatting>
  <conditionalFormatting sqref="S62:T63">
    <cfRule type="cellIs" dxfId="1153" priority="2947" stopIfTrue="1" operator="lessThan">
      <formula>75%</formula>
    </cfRule>
  </conditionalFormatting>
  <conditionalFormatting sqref="T4">
    <cfRule type="cellIs" dxfId="1152" priority="32" stopIfTrue="1" operator="lessThan">
      <formula>0.8</formula>
    </cfRule>
  </conditionalFormatting>
  <conditionalFormatting sqref="T6:T7 T9 T11 T14:T16 T18 T21 T23">
    <cfRule type="cellIs" dxfId="1151" priority="27" stopIfTrue="1" operator="lessThan">
      <formula>0.8</formula>
    </cfRule>
  </conditionalFormatting>
  <conditionalFormatting sqref="T25">
    <cfRule type="cellIs" dxfId="1150" priority="23" stopIfTrue="1" operator="lessThan">
      <formula>0.8</formula>
    </cfRule>
  </conditionalFormatting>
  <conditionalFormatting sqref="T26">
    <cfRule type="cellIs" dxfId="1149" priority="136" stopIfTrue="1" operator="lessThan">
      <formula>0.95</formula>
    </cfRule>
    <cfRule type="cellIs" dxfId="1148" priority="137" stopIfTrue="1" operator="lessThan">
      <formula>0.94</formula>
    </cfRule>
  </conditionalFormatting>
  <conditionalFormatting sqref="T27">
    <cfRule type="cellIs" dxfId="1147" priority="20" stopIfTrue="1" operator="lessThan">
      <formula>0.8</formula>
    </cfRule>
  </conditionalFormatting>
  <conditionalFormatting sqref="T29">
    <cfRule type="cellIs" dxfId="1146" priority="15" stopIfTrue="1" operator="lessThan">
      <formula>0.8</formula>
    </cfRule>
  </conditionalFormatting>
  <conditionalFormatting sqref="T32 T34 T37 T40">
    <cfRule type="cellIs" dxfId="1145" priority="14" stopIfTrue="1" operator="lessThan">
      <formula>0.8</formula>
    </cfRule>
  </conditionalFormatting>
  <conditionalFormatting sqref="T44">
    <cfRule type="cellIs" dxfId="1144" priority="7" stopIfTrue="1" operator="lessThan">
      <formula>0.95</formula>
    </cfRule>
    <cfRule type="cellIs" dxfId="1143" priority="8" stopIfTrue="1" operator="lessThan">
      <formula>0.94</formula>
    </cfRule>
  </conditionalFormatting>
  <conditionalFormatting sqref="T48">
    <cfRule type="cellIs" dxfId="1142" priority="6" stopIfTrue="1" operator="lessThan">
      <formula>0.8</formula>
    </cfRule>
  </conditionalFormatting>
  <conditionalFormatting sqref="T50:T51">
    <cfRule type="cellIs" dxfId="1141" priority="3" stopIfTrue="1" operator="lessThan">
      <formula>0.8</formula>
    </cfRule>
  </conditionalFormatting>
  <conditionalFormatting sqref="T55:T57 T60:T61">
    <cfRule type="cellIs" dxfId="1140" priority="326" stopIfTrue="1" operator="lessThan">
      <formula>0.95</formula>
    </cfRule>
  </conditionalFormatting>
  <conditionalFormatting sqref="T58">
    <cfRule type="cellIs" dxfId="1139" priority="29" stopIfTrue="1" operator="lessThan">
      <formula>0.8</formula>
    </cfRule>
  </conditionalFormatting>
  <conditionalFormatting sqref="T65:U65">
    <cfRule type="cellIs" dxfId="1138" priority="35" stopIfTrue="1" operator="lessThan">
      <formula>0.65</formula>
    </cfRule>
  </conditionalFormatting>
  <conditionalFormatting sqref="T66:U66">
    <cfRule type="cellIs" dxfId="1137" priority="34" stopIfTrue="1" operator="lessThan">
      <formula>0.95</formula>
    </cfRule>
  </conditionalFormatting>
  <conditionalFormatting sqref="U4:U25">
    <cfRule type="cellIs" dxfId="1136" priority="33" stopIfTrue="1" operator="greaterThan">
      <formula>1.8</formula>
    </cfRule>
  </conditionalFormatting>
  <conditionalFormatting sqref="U27:U30 U32:U37 U39:U41">
    <cfRule type="cellIs" dxfId="1135" priority="18" stopIfTrue="1" operator="greaterThan">
      <formula>1.8</formula>
    </cfRule>
  </conditionalFormatting>
  <conditionalFormatting sqref="U44:U54">
    <cfRule type="cellIs" dxfId="1134" priority="9" stopIfTrue="1" operator="greaterThan">
      <formula>1.8</formula>
    </cfRule>
  </conditionalFormatting>
  <conditionalFormatting sqref="U64">
    <cfRule type="cellIs" dxfId="1133" priority="36" stopIfTrue="1" operator="lessThan">
      <formula>75%</formula>
    </cfRule>
  </conditionalFormatting>
  <printOptions horizontalCentered="1"/>
  <pageMargins left="0.10312499999999999" right="0.5" top="0.25" bottom="0.27" header="0.25" footer="0.27"/>
  <pageSetup scale="22" fitToHeight="0" orientation="landscape" r:id="rId1"/>
  <headerFooter alignWithMargins="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7E912-1E32-4821-B7C9-02F732D83C02}">
  <sheetPr codeName="Sheet23">
    <pageSetUpPr fitToPage="1"/>
  </sheetPr>
  <dimension ref="B2:X65228"/>
  <sheetViews>
    <sheetView showZeros="0" showWhiteSpace="0" zoomScale="50" zoomScaleNormal="50" zoomScaleSheetLayoutView="70" workbookViewId="0">
      <pane xSplit="3" ySplit="3" topLeftCell="D44" activePane="bottomRight" state="frozen"/>
      <selection pane="topRight" activeCell="D1" sqref="D1"/>
      <selection pane="bottomLeft" activeCell="A4" sqref="A4"/>
      <selection pane="bottomRight" activeCell="Q57" sqref="Q57"/>
    </sheetView>
  </sheetViews>
  <sheetFormatPr defaultColWidth="9.42578125" defaultRowHeight="12.75" outlineLevelCol="1" x14ac:dyDescent="0.2"/>
  <cols>
    <col min="1" max="1" width="3.42578125" customWidth="1"/>
    <col min="2" max="2" width="18.42578125" style="1" customWidth="1"/>
    <col min="3" max="3" width="44.85546875" style="1" bestFit="1" customWidth="1"/>
    <col min="4" max="4" width="34.42578125" style="1" customWidth="1"/>
    <col min="5" max="5" width="17" style="1" customWidth="1"/>
    <col min="6" max="6" width="19" style="1" customWidth="1" outlineLevel="1"/>
    <col min="7" max="7" width="20.42578125" customWidth="1"/>
    <col min="8" max="8" width="20.140625" customWidth="1" outlineLevel="1"/>
    <col min="9" max="9" width="20.140625" style="1" customWidth="1" outlineLevel="1"/>
    <col min="10" max="10" width="22.42578125" customWidth="1"/>
    <col min="11" max="11" width="20" customWidth="1" outlineLevel="1"/>
    <col min="12" max="12" width="15.42578125" customWidth="1" outlineLevel="1"/>
    <col min="13" max="13" width="13.5703125" customWidth="1" outlineLevel="1"/>
    <col min="14" max="14" width="11.42578125" customWidth="1" outlineLevel="1"/>
    <col min="15" max="15" width="13.5703125" style="392" customWidth="1" outlineLevel="1"/>
    <col min="16" max="16" width="14.5703125" style="2" customWidth="1" outlineLevel="1"/>
    <col min="17" max="17" width="14.42578125" style="1" customWidth="1"/>
    <col min="18" max="18" width="17.85546875" customWidth="1"/>
    <col min="19" max="19" width="17.5703125" customWidth="1"/>
    <col min="20" max="20" width="20.85546875" style="1" customWidth="1"/>
    <col min="21" max="21" width="20.5703125" style="1" customWidth="1"/>
    <col min="22" max="22" width="196" customWidth="1"/>
    <col min="23" max="23" width="13.42578125" bestFit="1" customWidth="1"/>
    <col min="24" max="24" width="15.5703125" bestFit="1" customWidth="1"/>
  </cols>
  <sheetData>
    <row r="2" spans="2:24" ht="24" thickBot="1" x14ac:dyDescent="0.4">
      <c r="B2" s="1022" t="s">
        <v>964</v>
      </c>
      <c r="C2" s="1022"/>
      <c r="D2" s="1022"/>
      <c r="E2" s="1022"/>
      <c r="F2" s="1022"/>
      <c r="G2" s="1022"/>
      <c r="H2" s="1022"/>
      <c r="I2" s="1022"/>
      <c r="J2" s="1022"/>
      <c r="K2" s="1022"/>
      <c r="L2" s="1022"/>
      <c r="M2" s="1022"/>
      <c r="N2" s="1022"/>
      <c r="O2" s="1022"/>
      <c r="P2" s="1022"/>
      <c r="Q2" s="1022"/>
      <c r="R2" s="1022"/>
      <c r="S2" s="1022"/>
      <c r="T2" s="1065"/>
      <c r="U2" s="1065"/>
      <c r="V2" s="1065"/>
    </row>
    <row r="3" spans="2:24" ht="135.75" customHeight="1" thickTop="1" thickBot="1" x14ac:dyDescent="0.25">
      <c r="B3" s="779" t="s">
        <v>0</v>
      </c>
      <c r="C3" s="780" t="s">
        <v>2</v>
      </c>
      <c r="D3" s="780" t="s">
        <v>12</v>
      </c>
      <c r="E3" s="780" t="s">
        <v>11</v>
      </c>
      <c r="F3" s="664" t="s">
        <v>15</v>
      </c>
      <c r="G3" s="780" t="s">
        <v>9</v>
      </c>
      <c r="H3" s="664" t="s">
        <v>17</v>
      </c>
      <c r="I3" s="664" t="s">
        <v>5</v>
      </c>
      <c r="J3" s="780" t="s">
        <v>958</v>
      </c>
      <c r="K3" s="664" t="s">
        <v>4</v>
      </c>
      <c r="L3" s="670" t="s">
        <v>843</v>
      </c>
      <c r="M3" s="664" t="s">
        <v>161</v>
      </c>
      <c r="N3" s="664" t="s">
        <v>10</v>
      </c>
      <c r="O3" s="664" t="s">
        <v>622</v>
      </c>
      <c r="P3" s="781" t="s">
        <v>863</v>
      </c>
      <c r="Q3" s="782" t="s">
        <v>957</v>
      </c>
      <c r="R3" s="584" t="s">
        <v>473</v>
      </c>
      <c r="S3" s="639" t="s">
        <v>860</v>
      </c>
      <c r="T3" s="584" t="s">
        <v>862</v>
      </c>
      <c r="U3" s="545" t="s">
        <v>1009</v>
      </c>
      <c r="V3" s="950" t="s">
        <v>1</v>
      </c>
      <c r="X3">
        <v>17000</v>
      </c>
    </row>
    <row r="4" spans="2:24" s="19" customFormat="1" ht="78" customHeight="1" thickTop="1" thickBot="1" x14ac:dyDescent="0.25">
      <c r="B4" s="168">
        <f>'[1]April_2026 '!$B8</f>
        <v>46113</v>
      </c>
      <c r="C4" s="777" t="str">
        <f>'[1]April_2026 '!$D8</f>
        <v>VITAMALT CLASSIC</v>
      </c>
      <c r="D4" s="298">
        <v>4900</v>
      </c>
      <c r="E4" s="775">
        <f>[2]Apr!$E8</f>
        <v>1.0055555555555555</v>
      </c>
      <c r="F4" s="773">
        <f>'[1]April_2026 '!$J8</f>
        <v>175.9</v>
      </c>
      <c r="G4" s="778">
        <f>'[1]April_2026 '!$G8</f>
        <v>2482</v>
      </c>
      <c r="H4" s="773">
        <f>'[1]April_2026 '!$K8</f>
        <v>175.72560000000001</v>
      </c>
      <c r="I4" s="774">
        <f>'[1]April_2026 '!$N8</f>
        <v>0</v>
      </c>
      <c r="J4" s="774">
        <f>'[1]April_2026 '!$Q8</f>
        <v>103.41666666666667</v>
      </c>
      <c r="K4" s="31">
        <f>'[1]April_2026 '!$F8</f>
        <v>324</v>
      </c>
      <c r="L4" s="1148">
        <f>'[1]April_2026 '!$E8</f>
        <v>1440</v>
      </c>
      <c r="M4" s="293">
        <f>[2]Apr!$G8</f>
        <v>0</v>
      </c>
      <c r="N4" s="172">
        <f>'[1]April_2026 '!$M8</f>
        <v>50</v>
      </c>
      <c r="O4" s="32">
        <f>[2]Apr!$I8</f>
        <v>3</v>
      </c>
      <c r="P4" s="172">
        <f>'[1]April_2026 '!$I8</f>
        <v>0</v>
      </c>
      <c r="Q4" s="783">
        <f>'[1]April_2026 '!$P8</f>
        <v>9.914724275155852E-2</v>
      </c>
      <c r="R4" s="995">
        <f>($G4+G5+G6)/(($L4/60)*X$3*(1/24))</f>
        <v>0.18676470588235294</v>
      </c>
      <c r="S4" s="586">
        <f>($G4)*24/(($K4)/60)/$X$3</f>
        <v>0.64888888888888885</v>
      </c>
      <c r="T4" s="1161">
        <f>(1440-((N4+N5+N6)-[2]Apr!$I$8-[2]Apr!$I$9-[2]Apr!$Z$8-[2]Apr!$AA$8-[2]Apr!$I$10))/1440</f>
        <v>0.3215277777777778</v>
      </c>
      <c r="U4" s="945">
        <f>'[1]April_2026 '!$S8</f>
        <v>1.3222013170272813E-2</v>
      </c>
      <c r="V4" s="951" t="s">
        <v>1102</v>
      </c>
    </row>
    <row r="5" spans="2:24" s="19" customFormat="1" ht="51.75" customHeight="1" thickBot="1" x14ac:dyDescent="0.25">
      <c r="B5" s="168">
        <f>'[1]April_2026 '!$B9</f>
        <v>46113</v>
      </c>
      <c r="C5" s="777" t="str">
        <f>'[1]April_2026 '!$D9</f>
        <v>VITAMALT GINGER</v>
      </c>
      <c r="D5" s="27">
        <v>700</v>
      </c>
      <c r="E5" s="775">
        <f>[2]Apr!$E9</f>
        <v>1.2486111111111111</v>
      </c>
      <c r="F5" s="773">
        <f>'[1]April_2026 '!$J9</f>
        <v>50</v>
      </c>
      <c r="G5" s="778">
        <f>'[1]April_2026 '!$G9</f>
        <v>693</v>
      </c>
      <c r="H5" s="773">
        <f>'[1]April_2026 '!$K9</f>
        <v>49.064399999999999</v>
      </c>
      <c r="I5" s="774">
        <f>'[1]April_2026 '!$N9</f>
        <v>0</v>
      </c>
      <c r="J5" s="774">
        <f>'[1]April_2026 '!$Q9</f>
        <v>28.875</v>
      </c>
      <c r="K5" s="31">
        <f>'[1]April_2026 '!$F9</f>
        <v>116</v>
      </c>
      <c r="L5" s="1016"/>
      <c r="M5" s="293">
        <f>[2]Apr!$G9</f>
        <v>1.3652777777777778</v>
      </c>
      <c r="N5" s="172">
        <f>'[1]April_2026 '!$M9</f>
        <v>27</v>
      </c>
      <c r="O5" s="32">
        <f>[2]Apr!$I9</f>
        <v>15</v>
      </c>
      <c r="P5" s="172">
        <f>'[1]April_2026 '!$I9</f>
        <v>0</v>
      </c>
      <c r="Q5" s="783">
        <f>'[1]April_2026 '!$P9</f>
        <v>1.8712000000000018</v>
      </c>
      <c r="R5" s="996"/>
      <c r="S5" s="586">
        <f>($G5)*24/(($K5)/60)/$X$3</f>
        <v>0.50604462474645029</v>
      </c>
      <c r="T5" s="1163"/>
      <c r="U5" s="945">
        <f>'[1]April_2026 '!$S9</f>
        <v>0</v>
      </c>
      <c r="V5" s="951" t="s">
        <v>1101</v>
      </c>
    </row>
    <row r="6" spans="2:24" s="19" customFormat="1" ht="46.5" customHeight="1" thickBot="1" x14ac:dyDescent="0.25">
      <c r="B6" s="168">
        <f>'[1]April_2026 '!$B10</f>
        <v>46113</v>
      </c>
      <c r="C6" s="777" t="str">
        <f>'[1]April_2026 '!$D10</f>
        <v>PEARSECCO</v>
      </c>
      <c r="D6" s="27"/>
      <c r="E6" s="775">
        <f>[2]Apr!$E10</f>
        <v>0</v>
      </c>
      <c r="F6" s="773">
        <f>'[1]April_2026 '!$J10</f>
        <v>0</v>
      </c>
      <c r="G6" s="778">
        <f>'[1]April_2026 '!$G10</f>
        <v>0</v>
      </c>
      <c r="H6" s="773">
        <f>'[1]April_2026 '!$K10</f>
        <v>0</v>
      </c>
      <c r="I6" s="774">
        <f>'[1]April_2026 '!$N10</f>
        <v>0</v>
      </c>
      <c r="J6" s="774"/>
      <c r="K6" s="31">
        <f>'[1]April_2026 '!$F10</f>
        <v>0</v>
      </c>
      <c r="L6" s="999"/>
      <c r="M6" s="293">
        <f>[2]Apr!$G10</f>
        <v>2</v>
      </c>
      <c r="N6" s="172">
        <f>'[1]April_2026 '!$M10</f>
        <v>974</v>
      </c>
      <c r="O6" s="32">
        <f>[2]Apr!$I10</f>
        <v>45</v>
      </c>
      <c r="P6" s="172">
        <f>'[1]April_2026 '!$I10</f>
        <v>0</v>
      </c>
      <c r="Q6" s="783"/>
      <c r="R6" s="1020"/>
      <c r="S6" s="586"/>
      <c r="T6" s="1162"/>
      <c r="U6" s="945">
        <f>'[1]April_2026 '!$S10</f>
        <v>0</v>
      </c>
      <c r="V6" s="952" t="s">
        <v>1100</v>
      </c>
    </row>
    <row r="7" spans="2:24" s="19" customFormat="1" ht="60.75" customHeight="1" thickBot="1" x14ac:dyDescent="0.25">
      <c r="B7" s="168">
        <f>'[1]April_2026 '!$B11</f>
        <v>46114</v>
      </c>
      <c r="C7" s="777" t="str">
        <f>'[1]April_2026 '!$D11</f>
        <v>PEARSECCO</v>
      </c>
      <c r="D7" s="27">
        <v>1180</v>
      </c>
      <c r="E7" s="775">
        <f>[2]Apr!$E11</f>
        <v>1.2916666666666667</v>
      </c>
      <c r="F7" s="773">
        <f>'[1]April_2026 '!$J11</f>
        <v>11.5</v>
      </c>
      <c r="G7" s="778">
        <f>'[1]April_2026 '!$G11</f>
        <v>166</v>
      </c>
      <c r="H7" s="773">
        <f>'[1]April_2026 '!$K11</f>
        <v>10.956000000000001</v>
      </c>
      <c r="I7" s="774">
        <f>'[1]April_2026 '!$N11</f>
        <v>14</v>
      </c>
      <c r="J7" s="774">
        <f>'[1]April_2026 '!$Q11</f>
        <v>6.916666666666667</v>
      </c>
      <c r="K7" s="31">
        <f>'[1]April_2026 '!$F11</f>
        <v>180</v>
      </c>
      <c r="L7" s="1148">
        <f>'[1]April_2026 '!$E11</f>
        <v>1440</v>
      </c>
      <c r="M7" s="293">
        <f>[2]Apr!$G11</f>
        <v>0.42986111111111114</v>
      </c>
      <c r="N7" s="172">
        <f>'[1]April_2026 '!$M11</f>
        <v>690</v>
      </c>
      <c r="O7" s="32">
        <f>[2]Apr!$I11</f>
        <v>0</v>
      </c>
      <c r="P7" s="172">
        <f>'[1]April_2026 '!$I11</f>
        <v>0</v>
      </c>
      <c r="Q7" s="783">
        <f>'[1]April_2026 '!$P11</f>
        <v>4.7304347826086843</v>
      </c>
      <c r="R7" s="995">
        <f>($G7+G8)/(($L7/60)*X$3*(1/24))</f>
        <v>0.16870588235294118</v>
      </c>
      <c r="S7" s="586">
        <f t="shared" ref="S7:S8" si="0">($G7)*24/(($K7)/60)/$X$3</f>
        <v>7.8117647058823528E-2</v>
      </c>
      <c r="T7" s="1161">
        <f>(1360-((N7+N8)-[2]Apr!$I$12-[2]Apr!$J$12-[2]Apr!$Z$12))/1360</f>
        <v>0.3463235294117647</v>
      </c>
      <c r="U7" s="945">
        <f>'[1]April_2026 '!$S11</f>
        <v>4.6849999999999996E-2</v>
      </c>
      <c r="V7" s="953" t="s">
        <v>1103</v>
      </c>
    </row>
    <row r="8" spans="2:24" s="19" customFormat="1" ht="81" customHeight="1" thickBot="1" x14ac:dyDescent="0.25">
      <c r="B8" s="168">
        <f>'[1]April_2026 '!$B12</f>
        <v>46114</v>
      </c>
      <c r="C8" s="777" t="str">
        <f>'[1]April_2026 '!$D12</f>
        <v>CARIB AMBER</v>
      </c>
      <c r="D8" s="27">
        <v>2800</v>
      </c>
      <c r="E8" s="775">
        <f>[2]Apr!$E12</f>
        <v>1.5243055555555556</v>
      </c>
      <c r="F8" s="773">
        <f>'[1]April_2026 '!$J12</f>
        <v>195</v>
      </c>
      <c r="G8" s="778">
        <f>'[1]April_2026 '!$G12</f>
        <v>2702</v>
      </c>
      <c r="H8" s="773">
        <f>'[1]April_2026 '!$K12</f>
        <v>192.58200000000002</v>
      </c>
      <c r="I8" s="774">
        <f>'[1]April_2026 '!$N12</f>
        <v>14</v>
      </c>
      <c r="J8" s="774">
        <f>'[1]April_2026 '!$Q12</f>
        <v>112.58333333333333</v>
      </c>
      <c r="K8" s="31">
        <f>'[1]April_2026 '!$F12</f>
        <v>550</v>
      </c>
      <c r="L8" s="999"/>
      <c r="M8" s="293">
        <f>[2]Apr!$G12</f>
        <v>1.9444444444444444</v>
      </c>
      <c r="N8" s="172">
        <f>'[1]April_2026 '!$M12</f>
        <v>339</v>
      </c>
      <c r="O8" s="32">
        <f>[2]Apr!$I12</f>
        <v>125</v>
      </c>
      <c r="P8" s="172">
        <f>'[1]April_2026 '!$I12</f>
        <v>3</v>
      </c>
      <c r="Q8" s="783">
        <f>'[1]April_2026 '!$P12</f>
        <v>1.2399999999999887</v>
      </c>
      <c r="R8" s="1020"/>
      <c r="S8" s="586">
        <f t="shared" si="0"/>
        <v>0.41613689839572199</v>
      </c>
      <c r="T8" s="1162"/>
      <c r="U8" s="945">
        <f>'[1]April_2026 '!$S12</f>
        <v>1.7084683954619123E-2</v>
      </c>
      <c r="V8" s="953" t="s">
        <v>1104</v>
      </c>
    </row>
    <row r="9" spans="2:24" s="19" customFormat="1" ht="117.75" customHeight="1" thickBot="1" x14ac:dyDescent="0.25">
      <c r="B9" s="168">
        <f>'[1]April_2026 '!$B13</f>
        <v>46119</v>
      </c>
      <c r="C9" s="777" t="str">
        <f>'[1]April_2026 '!$D13</f>
        <v>PEARSECCO</v>
      </c>
      <c r="D9" s="27"/>
      <c r="E9" s="775">
        <f>[2]Apr!$E13</f>
        <v>1.5</v>
      </c>
      <c r="F9" s="773">
        <f>'[1]April_2026 '!$J13</f>
        <v>76</v>
      </c>
      <c r="G9" s="778">
        <f>'[1]April_2026 '!$G13</f>
        <v>1078</v>
      </c>
      <c r="H9" s="773">
        <f>'[1]April_2026 '!$K13</f>
        <v>71.14800000000001</v>
      </c>
      <c r="I9" s="774">
        <f>'[1]April_2026 '!$N13</f>
        <v>37</v>
      </c>
      <c r="J9" s="774">
        <f>'[1]April_2026 '!$Q13</f>
        <v>46.869565217391305</v>
      </c>
      <c r="K9" s="31">
        <f>'[1]April_2026 '!$F13</f>
        <v>517</v>
      </c>
      <c r="L9" s="1148">
        <f>'[1]April_2026 '!$E13</f>
        <v>1380</v>
      </c>
      <c r="M9" s="293">
        <f>[2]Apr!$G13</f>
        <v>1.9215277777777777</v>
      </c>
      <c r="N9" s="172">
        <f>'[1]April_2026 '!$M13</f>
        <v>1047</v>
      </c>
      <c r="O9" s="32">
        <f>[2]Apr!$I13</f>
        <v>0</v>
      </c>
      <c r="P9" s="172">
        <f>'[1]April_2026 '!$I13</f>
        <v>1078</v>
      </c>
      <c r="Q9" s="783">
        <f>'[1]April_2026 '!$P13</f>
        <v>6.3842105263157753</v>
      </c>
      <c r="R9" s="995">
        <f>($G9+G10)/(($L9/60)*X$3*(1/24))</f>
        <v>6.6168797953964201E-2</v>
      </c>
      <c r="S9" s="586">
        <f>($G9)*24/(($K9)/60)/$X$3</f>
        <v>0.17662077596996242</v>
      </c>
      <c r="T9" s="1161">
        <f>(1440-((N9+N10)-[2]Apr!$Z$13-[2]Apr!$AB$13-[2]Apr!$J$14-[2]Apr!$I$14))/1440</f>
        <v>0.63541666666666663</v>
      </c>
      <c r="U9" s="945">
        <f>'[1]April_2026 '!$S13</f>
        <v>1.7384044526901669E-2</v>
      </c>
      <c r="V9" s="953" t="s">
        <v>1106</v>
      </c>
    </row>
    <row r="10" spans="2:24" s="19" customFormat="1" ht="62.25" customHeight="1" thickBot="1" x14ac:dyDescent="0.25">
      <c r="B10" s="168">
        <f>'[1]April_2026 '!$B14</f>
        <v>46119</v>
      </c>
      <c r="C10" s="777" t="str">
        <f>'[1]April_2026 '!$D14</f>
        <v>CARIB AMBER</v>
      </c>
      <c r="D10" s="298">
        <v>7000</v>
      </c>
      <c r="E10" s="775">
        <f>[2]Apr!$E14</f>
        <v>1.9930555555555556</v>
      </c>
      <c r="F10" s="773">
        <f>'[1]April_2026 '!$J14</f>
        <v>0</v>
      </c>
      <c r="G10" s="778">
        <f>'[1]April_2026 '!$G14</f>
        <v>0</v>
      </c>
      <c r="H10" s="773">
        <f>'[1]April_2026 '!$K14</f>
        <v>0</v>
      </c>
      <c r="I10" s="774">
        <f>'[1]April_2026 '!$N14</f>
        <v>0</v>
      </c>
      <c r="J10" s="774" t="e">
        <f>'[1]April_2026 '!$Q14</f>
        <v>#DIV/0!</v>
      </c>
      <c r="K10" s="31">
        <f>'[1]April_2026 '!$F14</f>
        <v>10</v>
      </c>
      <c r="L10" s="999"/>
      <c r="M10" s="293">
        <f>[2]Apr!$G14</f>
        <v>2</v>
      </c>
      <c r="N10" s="172">
        <f>'[1]April_2026 '!$M14</f>
        <v>223</v>
      </c>
      <c r="O10" s="32">
        <f>[2]Apr!$I14</f>
        <v>121</v>
      </c>
      <c r="P10" s="172">
        <f>'[1]April_2026 '!$I14</f>
        <v>0</v>
      </c>
      <c r="Q10" s="783"/>
      <c r="R10" s="1020"/>
      <c r="S10" s="586">
        <f t="shared" ref="S10:S14" si="1">($G10)*24/(($K10)/60)/$X$3</f>
        <v>0</v>
      </c>
      <c r="T10" s="1162"/>
      <c r="U10" s="945">
        <f>'[1]April_2026 '!$S14</f>
        <v>0</v>
      </c>
      <c r="V10" s="953" t="s">
        <v>1105</v>
      </c>
    </row>
    <row r="11" spans="2:24" s="19" customFormat="1" ht="137.25" customHeight="1" thickBot="1" x14ac:dyDescent="0.25">
      <c r="B11" s="168">
        <f>'[1]April_2026 '!$B15</f>
        <v>46120</v>
      </c>
      <c r="C11" s="777" t="str">
        <f>'[1]April_2026 '!$D15</f>
        <v>CARIB AMBER</v>
      </c>
      <c r="D11" s="27">
        <v>1960</v>
      </c>
      <c r="E11" s="775">
        <f>[2]Apr!$E15</f>
        <v>1</v>
      </c>
      <c r="F11" s="773">
        <f>'[1]April_2026 '!$J15</f>
        <v>538.13</v>
      </c>
      <c r="G11" s="778">
        <f>'[1]April_2026 '!$G15</f>
        <v>8044</v>
      </c>
      <c r="H11" s="773">
        <f>'[1]April_2026 '!$K15</f>
        <v>530.904</v>
      </c>
      <c r="I11" s="774">
        <f>'[1]April_2026 '!$N15</f>
        <v>59</v>
      </c>
      <c r="J11" s="774">
        <f>'[1]April_2026 '!$Q15</f>
        <v>335.16666666666669</v>
      </c>
      <c r="K11" s="31">
        <f>'[1]April_2026 '!$F15</f>
        <v>1158</v>
      </c>
      <c r="L11" s="1148">
        <f>'[1]April_2026 '!$E15</f>
        <v>1440</v>
      </c>
      <c r="M11" s="293">
        <f>[2]Apr!$G15</f>
        <v>0.85347222222222219</v>
      </c>
      <c r="N11" s="172">
        <f>'[1]April_2026 '!$M15</f>
        <v>281</v>
      </c>
      <c r="O11" s="32">
        <f>[2]Apr!$I15</f>
        <v>0</v>
      </c>
      <c r="P11" s="172">
        <f>'[1]April_2026 '!$I15</f>
        <v>0</v>
      </c>
      <c r="Q11" s="783">
        <f>'[1]April_2026 '!$P15</f>
        <v>1.3427982086113019</v>
      </c>
      <c r="R11" s="995">
        <f>($G11+G12)/(($L11/60)*X$3*(1/24))</f>
        <v>0.53723529411764703</v>
      </c>
      <c r="S11" s="586">
        <f t="shared" si="1"/>
        <v>0.58840597378847914</v>
      </c>
      <c r="T11" s="1161">
        <f>(1480-((N11+N12)-[2]Apr!$H$15-[2]Apr!$I$16-[2]Apr!$L$15-[2]Apr!$Z$15-[2]Apr!$AB$15-[2]Apr!$AB$16))/1480</f>
        <v>0.79527027027027031</v>
      </c>
      <c r="U11" s="945">
        <f>'[1]April_2026 '!$S15</f>
        <v>4.5436647857687654E-2</v>
      </c>
      <c r="V11" s="953" t="s">
        <v>1107</v>
      </c>
    </row>
    <row r="12" spans="2:24" s="19" customFormat="1" ht="111" customHeight="1" thickBot="1" x14ac:dyDescent="0.25">
      <c r="B12" s="168">
        <f>'[1]April_2026 '!$B16</f>
        <v>46120</v>
      </c>
      <c r="C12" s="777" t="str">
        <f>'[1]April_2026 '!$D16</f>
        <v>STAG</v>
      </c>
      <c r="D12" s="27"/>
      <c r="E12" s="775">
        <f>[2]Apr!$E16</f>
        <v>1.8402777777777777</v>
      </c>
      <c r="F12" s="773">
        <f>'[1]April_2026 '!$J16</f>
        <v>73.100000000000023</v>
      </c>
      <c r="G12" s="778">
        <f>'[1]April_2026 '!$G16</f>
        <v>1089</v>
      </c>
      <c r="H12" s="773">
        <f>'[1]April_2026 '!$K16</f>
        <v>71.874000000000009</v>
      </c>
      <c r="I12" s="774">
        <f>'[1]April_2026 '!$N16</f>
        <v>0</v>
      </c>
      <c r="J12" s="774">
        <f>'[1]April_2026 '!$Q16</f>
        <v>45.375</v>
      </c>
      <c r="K12" s="31">
        <f>'[1]April_2026 '!$F16</f>
        <v>177</v>
      </c>
      <c r="L12" s="999"/>
      <c r="M12" s="293">
        <f>[2]Apr!$G16</f>
        <v>2.0277777777777777</v>
      </c>
      <c r="N12" s="172">
        <f>'[1]April_2026 '!$M16</f>
        <v>110</v>
      </c>
      <c r="O12" s="32">
        <f>[2]Apr!$I16</f>
        <v>48</v>
      </c>
      <c r="P12" s="172">
        <f>'[1]April_2026 '!$I16</f>
        <v>0</v>
      </c>
      <c r="Q12" s="783">
        <f>'[1]April_2026 '!$P16</f>
        <v>1.6771545827633554</v>
      </c>
      <c r="R12" s="1020"/>
      <c r="S12" s="586">
        <f t="shared" si="1"/>
        <v>0.52115653040877363</v>
      </c>
      <c r="T12" s="1162"/>
      <c r="U12" s="945">
        <f>'[1]April_2026 '!$S16</f>
        <v>2.2325879765395892E-2</v>
      </c>
      <c r="V12" s="953" t="s">
        <v>1108</v>
      </c>
    </row>
    <row r="13" spans="2:24" s="19" customFormat="1" ht="138" customHeight="1" thickBot="1" x14ac:dyDescent="0.25">
      <c r="B13" s="168">
        <f>'[1]April_2026 '!$B17</f>
        <v>38451</v>
      </c>
      <c r="C13" s="777" t="str">
        <f>'[1]April_2026 '!$D17</f>
        <v>STAG</v>
      </c>
      <c r="D13" s="27">
        <v>8400</v>
      </c>
      <c r="E13" s="775">
        <f>[2]Apr!$E17</f>
        <v>1.0069444444444444</v>
      </c>
      <c r="F13" s="773">
        <f>'[1]April_2026 '!$J17</f>
        <v>661.30000000000007</v>
      </c>
      <c r="G13" s="778">
        <f>'[1]April_2026 '!$G17</f>
        <v>9870</v>
      </c>
      <c r="H13" s="773">
        <f>'[1]April_2026 '!$K17</f>
        <v>651.42000000000007</v>
      </c>
      <c r="I13" s="774">
        <f>'[1]April_2026 '!$N17</f>
        <v>17</v>
      </c>
      <c r="J13" s="774">
        <f>'[1]April_2026 '!$Q17</f>
        <v>411.25</v>
      </c>
      <c r="K13" s="31">
        <f>'[1]April_2026 '!$F17</f>
        <v>1399</v>
      </c>
      <c r="L13" s="464">
        <f>'[1]April_2026 '!$E17</f>
        <v>1440</v>
      </c>
      <c r="M13" s="293">
        <f>[2]Apr!$G17</f>
        <v>2.0194444444444444</v>
      </c>
      <c r="N13" s="172">
        <f>'[1]April_2026 '!$M17</f>
        <v>264</v>
      </c>
      <c r="O13" s="32">
        <f>[2]Apr!$I17</f>
        <v>12</v>
      </c>
      <c r="P13" s="172">
        <f>'[1]April_2026 '!$I17</f>
        <v>0</v>
      </c>
      <c r="Q13" s="783">
        <f>'[1]April_2026 '!$P17</f>
        <v>1.4940269166792672</v>
      </c>
      <c r="R13" s="653">
        <f>($G13)/(($L13/60)*X$3*(1/24))</f>
        <v>0.58058823529411763</v>
      </c>
      <c r="S13" s="586">
        <f t="shared" si="1"/>
        <v>0.5976033301097422</v>
      </c>
      <c r="T13" s="653">
        <f>(1468-((N13)-[2]Apr!$I$17-[2]Apr!$J$17-[2]Apr!$L$17-[2]Apr!$Z$17-[2]Apr!$AB$17))/1468</f>
        <v>0.85081743869209814</v>
      </c>
      <c r="U13" s="945">
        <f>'[1]April_2026 '!$S17</f>
        <v>4.2004424587757924E-2</v>
      </c>
      <c r="V13" s="953" t="s">
        <v>1109</v>
      </c>
    </row>
    <row r="14" spans="2:24" s="19" customFormat="1" ht="135" customHeight="1" thickBot="1" x14ac:dyDescent="0.25">
      <c r="B14" s="168">
        <f>'[1]April_2026 '!$B18</f>
        <v>46122</v>
      </c>
      <c r="C14" s="777" t="str">
        <f>'[1]April_2026 '!$D18</f>
        <v>CARIB AMBER</v>
      </c>
      <c r="D14" s="27">
        <v>4200</v>
      </c>
      <c r="E14" s="775">
        <f>[2]Apr!$E18</f>
        <v>1.03125</v>
      </c>
      <c r="F14" s="773">
        <f>'[1]April_2026 '!$J18</f>
        <v>434.6</v>
      </c>
      <c r="G14" s="778">
        <f>'[1]April_2026 '!$G18</f>
        <v>6477</v>
      </c>
      <c r="H14" s="773">
        <f>'[1]April_2026 '!$K18</f>
        <v>427.48200000000003</v>
      </c>
      <c r="I14" s="774">
        <f>'[1]April_2026 '!$N18</f>
        <v>34</v>
      </c>
      <c r="J14" s="774">
        <f>'[1]April_2026 '!$Q18</f>
        <v>308.42857142857144</v>
      </c>
      <c r="K14" s="31">
        <f>'[1]April_2026 '!$F18</f>
        <v>1009</v>
      </c>
      <c r="L14" s="464">
        <f>'[1]April_2026 '!$E18</f>
        <v>1260</v>
      </c>
      <c r="M14" s="293">
        <f>[2]Apr!$G18</f>
        <v>1.8222222222222222</v>
      </c>
      <c r="N14" s="172">
        <f>'[1]April_2026 '!$M18</f>
        <v>367</v>
      </c>
      <c r="O14" s="32">
        <f>[2]Apr!$I18</f>
        <v>0</v>
      </c>
      <c r="P14" s="172">
        <f>'[1]April_2026 '!$I18</f>
        <v>0</v>
      </c>
      <c r="Q14" s="783">
        <f>'[1]April_2026 '!$P18</f>
        <v>1.637827887712838</v>
      </c>
      <c r="R14" s="653">
        <f>($G14)/(($L14/60)*X$3*(1/24))</f>
        <v>0.43542857142857144</v>
      </c>
      <c r="S14" s="586">
        <f t="shared" si="1"/>
        <v>0.54374628344895937</v>
      </c>
      <c r="T14" s="653">
        <f>(1184-((N14)-[2]Apr!$AB$18-[2]Apr!$Z$18-[2]Apr!$L$18))/1184</f>
        <v>0.78547297297297303</v>
      </c>
      <c r="U14" s="945">
        <f>'[1]April_2026 '!$S18</f>
        <v>4.7319579041949528E-2</v>
      </c>
      <c r="V14" s="953" t="s">
        <v>1110</v>
      </c>
    </row>
    <row r="15" spans="2:24" s="19" customFormat="1" ht="152.25" customHeight="1" thickBot="1" x14ac:dyDescent="0.25">
      <c r="B15" s="168">
        <f>'[1]April_2026 '!$B19</f>
        <v>46125</v>
      </c>
      <c r="C15" s="777" t="str">
        <f>'[1]April_2026 '!$D19</f>
        <v>CARIBE ROSE'</v>
      </c>
      <c r="D15" s="27">
        <v>2600</v>
      </c>
      <c r="E15" s="775">
        <f>[2]Apr!$E19</f>
        <v>1.1111111111111112</v>
      </c>
      <c r="F15" s="773">
        <f>'[1]April_2026 '!$J19</f>
        <v>174</v>
      </c>
      <c r="G15" s="778">
        <f>'[1]April_2026 '!$G19</f>
        <v>2504</v>
      </c>
      <c r="H15" s="773">
        <f>'[1]April_2026 '!$K19</f>
        <v>165.26400000000001</v>
      </c>
      <c r="I15" s="774">
        <f>'[1]April_2026 '!$N19</f>
        <v>5</v>
      </c>
      <c r="J15" s="774">
        <f>'[1]April_2026 '!$Q19</f>
        <v>108.8695652173913</v>
      </c>
      <c r="K15" s="31">
        <f>'[1]April_2026 '!$F19</f>
        <v>555</v>
      </c>
      <c r="L15" s="1148">
        <f>'[1]April_2026 '!$E19</f>
        <v>1380</v>
      </c>
      <c r="M15" s="293">
        <f>[2]Apr!$G19</f>
        <v>0</v>
      </c>
      <c r="N15" s="172">
        <f>'[1]April_2026 '!$M19</f>
        <v>324</v>
      </c>
      <c r="O15" s="32">
        <f>[2]Apr!$I19</f>
        <v>0</v>
      </c>
      <c r="P15" s="172">
        <f>'[1]April_2026 '!$I19</f>
        <v>0</v>
      </c>
      <c r="Q15" s="783">
        <f>'[1]April_2026 '!$P19</f>
        <v>5.0206896551724078</v>
      </c>
      <c r="R15" s="995">
        <f>($G15+G16)/(($L15/60)*X$3*(1/24))</f>
        <v>0.38878772378516624</v>
      </c>
      <c r="S15" s="586">
        <f>($G15)*24/(($K15)/60)/$X$3</f>
        <v>0.38216852146263913</v>
      </c>
      <c r="T15" s="995">
        <f>(1506-((N15+N16)-[2]Apr!$J$19-[2]Apr!$I$20-[2]Apr!$AB$19))/1506</f>
        <v>0.69853917662682607</v>
      </c>
      <c r="U15" s="945">
        <f>'[1]April_2026 '!$S19</f>
        <v>7.2694995200118129E-2</v>
      </c>
      <c r="V15" s="953" t="s">
        <v>1111</v>
      </c>
    </row>
    <row r="16" spans="2:24" s="19" customFormat="1" ht="107.25" customHeight="1" thickBot="1" x14ac:dyDescent="0.25">
      <c r="B16" s="168">
        <f>'[1]April_2026 '!$B20</f>
        <v>46125</v>
      </c>
      <c r="C16" s="777" t="str">
        <f>'[1]April_2026 '!$D20</f>
        <v>CARIB AMBER</v>
      </c>
      <c r="D16" s="27">
        <v>6000</v>
      </c>
      <c r="E16" s="775">
        <f>[2]Apr!$E20</f>
        <v>1.5833333333333333</v>
      </c>
      <c r="F16" s="773">
        <f>'[1]April_2026 '!$J20</f>
        <v>258.60000000000002</v>
      </c>
      <c r="G16" s="778">
        <f>'[1]April_2026 '!$G20</f>
        <v>3830</v>
      </c>
      <c r="H16" s="773">
        <f>'[1]April_2026 '!$K20</f>
        <v>252.78</v>
      </c>
      <c r="I16" s="774">
        <f>'[1]April_2026 '!$N20</f>
        <v>5</v>
      </c>
      <c r="J16" s="774">
        <f>'[1]April_2026 '!$Q20</f>
        <v>166.52173913043478</v>
      </c>
      <c r="K16" s="31">
        <f>'[1]April_2026 '!$F20</f>
        <v>600</v>
      </c>
      <c r="L16" s="1016"/>
      <c r="M16" s="293">
        <f>[2]Apr!$G20</f>
        <v>2.0458333333333334</v>
      </c>
      <c r="N16" s="172">
        <f>'[1]April_2026 '!$M20</f>
        <v>245</v>
      </c>
      <c r="O16" s="32">
        <f>[2]Apr!$I20</f>
        <v>65</v>
      </c>
      <c r="P16" s="172">
        <f>'[1]April_2026 '!$I20</f>
        <v>0</v>
      </c>
      <c r="Q16" s="783">
        <f>'[1]April_2026 '!$P20</f>
        <v>2.2505800464037202</v>
      </c>
      <c r="R16" s="1020"/>
      <c r="S16" s="586">
        <f>($G16)*24/(($K16)/60)/$X$3</f>
        <v>0.54070588235294115</v>
      </c>
      <c r="T16" s="1020"/>
      <c r="U16" s="946">
        <f>'[1]April_2026 '!$S20</f>
        <v>0</v>
      </c>
      <c r="V16" s="953" t="s">
        <v>1112</v>
      </c>
    </row>
    <row r="17" spans="2:22" s="19" customFormat="1" ht="56.25" customHeight="1" thickBot="1" x14ac:dyDescent="0.25">
      <c r="B17" s="168">
        <f>'[1]April_2026 '!$B21</f>
        <v>46126</v>
      </c>
      <c r="C17" s="777" t="str">
        <f>'[1]April_2026 '!$D21</f>
        <v>CARIB AMBER</v>
      </c>
      <c r="D17" s="27">
        <v>1000</v>
      </c>
      <c r="E17" s="775">
        <f>[2]Apr!$E21</f>
        <v>1.0041666666666667</v>
      </c>
      <c r="F17" s="773">
        <f>'[1]April_2026 '!$J21</f>
        <v>194.9</v>
      </c>
      <c r="G17" s="778">
        <f>'[1]April_2026 '!$G21</f>
        <v>2898</v>
      </c>
      <c r="H17" s="773">
        <f>'[1]April_2026 '!$K21</f>
        <v>191.268</v>
      </c>
      <c r="I17" s="774">
        <f>'[1]April_2026 '!$N21</f>
        <v>7</v>
      </c>
      <c r="J17" s="774">
        <f>'[1]April_2026 '!$Q21</f>
        <v>120.75</v>
      </c>
      <c r="K17" s="31">
        <f>'[1]April_2026 '!$F21</f>
        <v>477</v>
      </c>
      <c r="L17" s="1148">
        <f>'[1]April_2026 '!$E21</f>
        <v>1440</v>
      </c>
      <c r="M17" s="293">
        <f>[2]Apr!$G21</f>
        <v>1.39375</v>
      </c>
      <c r="N17" s="172">
        <f>'[1]April_2026 '!$M21</f>
        <v>141</v>
      </c>
      <c r="O17" s="32">
        <f>[2]Apr!$I21</f>
        <v>0</v>
      </c>
      <c r="P17" s="172">
        <f>'[1]April_2026 '!$I21</f>
        <v>0</v>
      </c>
      <c r="Q17" s="783">
        <f>'[1]April_2026 '!$P21</f>
        <v>1.8635197537198587</v>
      </c>
      <c r="R17" s="995">
        <f>($G17+G18+G19+G20)/(($L17/60)*X$3*(1/24))</f>
        <v>0.35488235294117648</v>
      </c>
      <c r="S17" s="586">
        <f t="shared" ref="S17:S19" si="2">($G17)*24/(($K17)/60)/$X$3</f>
        <v>0.51462819089900114</v>
      </c>
      <c r="T17" s="995">
        <f>(1488-((N17+N18+N19+N20)-[2]Apr!$J$21-[2]Apr!$I$22-[2]Apr!$I$23-[2]Apr!$I$24-[2]Apr!$Z$21-[2]Apr!$Z$22-[2]Apr!$AB$20-[2]Apr!$AB$23))/1488</f>
        <v>0.69758064516129037</v>
      </c>
      <c r="U17" s="945">
        <f>'[1]April_2026 '!$S21</f>
        <v>2.2402869097429765E-2</v>
      </c>
      <c r="V17" s="953" t="s">
        <v>1113</v>
      </c>
    </row>
    <row r="18" spans="2:22" s="19" customFormat="1" ht="46.5" customHeight="1" thickBot="1" x14ac:dyDescent="0.25">
      <c r="B18" s="168">
        <f>'[1]April_2026 '!$B22</f>
        <v>46126</v>
      </c>
      <c r="C18" s="777" t="str">
        <f>'[1]April_2026 '!$D22</f>
        <v xml:space="preserve">SHANDY LIME ( LOC ) </v>
      </c>
      <c r="D18" s="27">
        <v>1600</v>
      </c>
      <c r="E18" s="775">
        <f>[2]Apr!$E22</f>
        <v>1.3715277777777777</v>
      </c>
      <c r="F18" s="773">
        <f>'[1]April_2026 '!$J22</f>
        <v>198</v>
      </c>
      <c r="G18" s="778">
        <f>'[1]April_2026 '!$G22</f>
        <v>1761</v>
      </c>
      <c r="H18" s="773">
        <f>'[1]April_2026 '!$K22</f>
        <v>190.93800000000002</v>
      </c>
      <c r="I18" s="774">
        <f>'[1]April_2026 '!$N22</f>
        <v>0</v>
      </c>
      <c r="J18" s="774">
        <f>'[1]April_2026 '!$Q22</f>
        <v>73.375</v>
      </c>
      <c r="K18" s="31">
        <f>'[1]April_2026 '!$F22</f>
        <v>367</v>
      </c>
      <c r="L18" s="1016"/>
      <c r="M18" s="293">
        <f>[2]Apr!$G22</f>
        <v>0</v>
      </c>
      <c r="N18" s="172">
        <f>'[1]April_2026 '!$M22</f>
        <v>170</v>
      </c>
      <c r="O18" s="32">
        <f>[2]Apr!$I22</f>
        <v>134</v>
      </c>
      <c r="P18" s="172">
        <f>'[1]April_2026 '!$I22</f>
        <v>0</v>
      </c>
      <c r="Q18" s="1000">
        <f>'[1]April_2026 '!$P22</f>
        <v>3.5666666666666584</v>
      </c>
      <c r="R18" s="996"/>
      <c r="S18" s="586">
        <f t="shared" si="2"/>
        <v>0.40644975156275048</v>
      </c>
      <c r="T18" s="996"/>
      <c r="U18" s="945">
        <f>'[1]April_2026 '!$S22</f>
        <v>2.1436197254702593E-2</v>
      </c>
      <c r="V18" s="953" t="s">
        <v>1114</v>
      </c>
    </row>
    <row r="19" spans="2:22" s="19" customFormat="1" ht="76.5" customHeight="1" thickBot="1" x14ac:dyDescent="0.25">
      <c r="B19" s="168">
        <f>'[1]April_2026 '!$B23</f>
        <v>46126</v>
      </c>
      <c r="C19" s="777" t="str">
        <f>'[1]April_2026 '!$D23</f>
        <v>SHANDY LIME( EXP)</v>
      </c>
      <c r="D19" s="27">
        <v>1200</v>
      </c>
      <c r="E19" s="775">
        <f>[2]Apr!$E23</f>
        <v>1.6388888888888888</v>
      </c>
      <c r="F19" s="773">
        <f>'[1]April_2026 '!$J23</f>
        <v>0</v>
      </c>
      <c r="G19" s="778">
        <f>'[1]April_2026 '!$G23</f>
        <v>1132</v>
      </c>
      <c r="H19" s="773">
        <f>'[1]April_2026 '!$K23</f>
        <v>0</v>
      </c>
      <c r="I19" s="774">
        <f>'[1]April_2026 '!$N23</f>
        <v>0</v>
      </c>
      <c r="J19" s="774">
        <f>'[1]April_2026 '!$Q23</f>
        <v>47.166666666666664</v>
      </c>
      <c r="K19" s="31">
        <f>'[1]April_2026 '!$F23</f>
        <v>455</v>
      </c>
      <c r="L19" s="1016"/>
      <c r="M19" s="293">
        <f>[2]Apr!$G23</f>
        <v>0.99791666666666667</v>
      </c>
      <c r="N19" s="172">
        <f>'[1]April_2026 '!$M23</f>
        <v>312</v>
      </c>
      <c r="O19" s="32">
        <f>[2]Apr!$I23</f>
        <v>8</v>
      </c>
      <c r="P19" s="172">
        <f>'[1]April_2026 '!$I23</f>
        <v>0</v>
      </c>
      <c r="Q19" s="1001"/>
      <c r="R19" s="996"/>
      <c r="S19" s="586">
        <f t="shared" si="2"/>
        <v>0.21074078862314158</v>
      </c>
      <c r="T19" s="996"/>
      <c r="U19" s="945">
        <f>'[1]April_2026 '!$S23</f>
        <v>3.9666039510818436E-2</v>
      </c>
      <c r="V19" s="953" t="s">
        <v>1115</v>
      </c>
    </row>
    <row r="20" spans="2:22" s="19" customFormat="1" ht="54" customHeight="1" thickBot="1" x14ac:dyDescent="0.25">
      <c r="B20" s="168">
        <f>'[1]April_2026 '!$B24</f>
        <v>46126</v>
      </c>
      <c r="C20" s="777" t="str">
        <f>'[1]April_2026 '!$D24</f>
        <v>SHANDY SORREL(EXP</v>
      </c>
      <c r="D20" s="27">
        <v>900</v>
      </c>
      <c r="E20" s="775">
        <f>[2]Apr!$E24</f>
        <v>1.9791666666666667</v>
      </c>
      <c r="F20" s="773">
        <f>'[1]April_2026 '!$J24</f>
        <v>16</v>
      </c>
      <c r="G20" s="778">
        <f>'[1]April_2026 '!$G24</f>
        <v>242</v>
      </c>
      <c r="H20" s="773">
        <f>'[1]April_2026 '!$K24</f>
        <v>15.972000000000001</v>
      </c>
      <c r="I20" s="774">
        <f>'[1]April_2026 '!$N24</f>
        <v>2</v>
      </c>
      <c r="J20" s="774">
        <f>'[1]April_2026 '!$Q24</f>
        <v>10.083333333333334</v>
      </c>
      <c r="K20" s="31">
        <f>'[1]April_2026 '!$F24</f>
        <v>30</v>
      </c>
      <c r="L20" s="999"/>
      <c r="M20" s="293">
        <f>[2]Apr!$G24</f>
        <v>2.0333333333333332</v>
      </c>
      <c r="N20" s="172">
        <f>'[1]April_2026 '!$M24</f>
        <v>30</v>
      </c>
      <c r="O20" s="32">
        <f>[2]Apr!$I24</f>
        <v>30</v>
      </c>
      <c r="P20" s="172">
        <f>'[1]April_2026 '!$I24</f>
        <v>0</v>
      </c>
      <c r="Q20" s="783">
        <f>'[1]April_2026 '!$P24</f>
        <v>0.17499999999999183</v>
      </c>
      <c r="R20" s="1020"/>
      <c r="S20" s="586">
        <f>($G20)*24/(($K20)/60)/$X$3</f>
        <v>0.68329411764705883</v>
      </c>
      <c r="T20" s="1020"/>
      <c r="U20" s="945">
        <f>'[1]April_2026 '!$S24</f>
        <v>3.9896593673965933E-2</v>
      </c>
      <c r="V20" s="953" t="s">
        <v>1116</v>
      </c>
    </row>
    <row r="21" spans="2:22" s="19" customFormat="1" ht="69.75" customHeight="1" thickBot="1" x14ac:dyDescent="0.25">
      <c r="B21" s="168">
        <f>'[1]April_2026 '!$B25</f>
        <v>46127</v>
      </c>
      <c r="C21" s="777" t="str">
        <f>'[1]April_2026 '!$D25</f>
        <v>SHANDY SORREL(EXP</v>
      </c>
      <c r="D21" s="27"/>
      <c r="E21" s="775">
        <f>[2]Apr!$E25</f>
        <v>1.0034722222222223</v>
      </c>
      <c r="F21" s="989">
        <f>'[1]April_2026 '!$J25</f>
        <v>166.5</v>
      </c>
      <c r="G21" s="778">
        <f>'[1]April_2026 '!$G25</f>
        <v>700</v>
      </c>
      <c r="H21" s="989">
        <f>'[1]April_2026 '!$K25</f>
        <v>164.01000000000002</v>
      </c>
      <c r="I21" s="774">
        <f>'[1]April_2026 '!$N25</f>
        <v>2</v>
      </c>
      <c r="J21" s="774">
        <f>'[1]April_2026 '!$Q25</f>
        <v>29.268292682926827</v>
      </c>
      <c r="K21" s="31">
        <f>'[1]April_2026 '!$F25</f>
        <v>114</v>
      </c>
      <c r="L21" s="1148">
        <f>'[1]April_2026 '!$E25</f>
        <v>1435</v>
      </c>
      <c r="M21" s="293">
        <f>[2]Apr!$G25</f>
        <v>0.10208333333333333</v>
      </c>
      <c r="N21" s="172">
        <f>'[1]April_2026 '!$M25</f>
        <v>38</v>
      </c>
      <c r="O21" s="32">
        <f>[2]Apr!$I25</f>
        <v>0</v>
      </c>
      <c r="P21" s="172">
        <f>'[1]April_2026 '!$I25</f>
        <v>0</v>
      </c>
      <c r="Q21" s="1000">
        <f>'[1]April_2026 '!$P25</f>
        <v>1.4954954954954838</v>
      </c>
      <c r="R21" s="995">
        <f>($G21+G22+G23)/(($L21/60)*X$3*(1/24))</f>
        <v>0.43805042016806722</v>
      </c>
      <c r="S21" s="586">
        <f t="shared" ref="S21:S27" si="3">($G21)*24/(($K21)/60)/$X$3</f>
        <v>0.52012383900928794</v>
      </c>
      <c r="T21" s="995">
        <f>(1483-((N21+N22+N23)-[2]Apr!$H$26-[2]Apr!$I$26-[2]Apr!$Z$27-[2]Apr!$Z$25-[2]Apr!$AB$25))/1483</f>
        <v>0.75050573162508427</v>
      </c>
      <c r="U21" s="945">
        <f>'[1]April_2026 '!$S25</f>
        <v>2.6112401300510915E-2</v>
      </c>
      <c r="V21" s="953" t="s">
        <v>1119</v>
      </c>
    </row>
    <row r="22" spans="2:22" s="19" customFormat="1" ht="90.75" customHeight="1" thickBot="1" x14ac:dyDescent="0.25">
      <c r="B22" s="168">
        <f>'[1]April_2026 '!$B26</f>
        <v>46127</v>
      </c>
      <c r="C22" s="777" t="str">
        <f>'[1]April_2026 '!$D26</f>
        <v>SHANDY SOREL (LOC)</v>
      </c>
      <c r="D22" s="27"/>
      <c r="E22" s="775">
        <f>[2]Apr!$E26</f>
        <v>1.1076388888888888</v>
      </c>
      <c r="F22" s="990"/>
      <c r="G22" s="778">
        <f>'[1]April_2026 '!$G26</f>
        <v>1785</v>
      </c>
      <c r="H22" s="990"/>
      <c r="I22" s="774">
        <f>'[1]April_2026 '!$N26</f>
        <v>0</v>
      </c>
      <c r="J22" s="774">
        <f>'[1]April_2026 '!$Q26</f>
        <v>74.634146341463406</v>
      </c>
      <c r="K22" s="31">
        <f>'[1]April_2026 '!$F26</f>
        <v>323</v>
      </c>
      <c r="L22" s="1016"/>
      <c r="M22" s="293">
        <f>[2]Apr!$G26</f>
        <v>0</v>
      </c>
      <c r="N22" s="172">
        <f>'[1]April_2026 '!$M26</f>
        <v>104</v>
      </c>
      <c r="O22" s="32">
        <f>[2]Apr!$I26</f>
        <v>20</v>
      </c>
      <c r="P22" s="172">
        <f>'[1]April_2026 '!$I26</f>
        <v>0</v>
      </c>
      <c r="Q22" s="1001"/>
      <c r="R22" s="996"/>
      <c r="S22" s="586">
        <f>($G22)*24/(($K22)/60)/$X$3</f>
        <v>0.46811145510835911</v>
      </c>
      <c r="T22" s="996"/>
      <c r="U22" s="945">
        <f>'[1]April_2026 '!$S26</f>
        <v>3.9896593673965933E-2</v>
      </c>
      <c r="V22" s="953" t="s">
        <v>1117</v>
      </c>
    </row>
    <row r="23" spans="2:22" s="19" customFormat="1" ht="108" customHeight="1" thickBot="1" x14ac:dyDescent="0.25">
      <c r="B23" s="168">
        <f>'[1]April_2026 '!$B27</f>
        <v>46127</v>
      </c>
      <c r="C23" s="777" t="str">
        <f>'[1]April_2026 '!$D27</f>
        <v>STAG</v>
      </c>
      <c r="D23" s="27">
        <v>7000</v>
      </c>
      <c r="E23" s="775">
        <f>[2]Apr!$E27</f>
        <v>1.3798611111111112</v>
      </c>
      <c r="F23" s="773">
        <f>'[1]April_2026 '!$J27</f>
        <v>340</v>
      </c>
      <c r="G23" s="778">
        <f>'[1]April_2026 '!$G27</f>
        <v>4936</v>
      </c>
      <c r="H23" s="773">
        <f>'[1]April_2026 '!$K27</f>
        <v>332.42599999999999</v>
      </c>
      <c r="I23" s="774">
        <f>'[1]April_2026 '!$N27</f>
        <v>2</v>
      </c>
      <c r="J23" s="774">
        <f>'[1]April_2026 '!$Q27</f>
        <v>206.38327526132403</v>
      </c>
      <c r="K23" s="31">
        <f>'[1]April_2026 '!$F27</f>
        <v>845</v>
      </c>
      <c r="L23" s="1016"/>
      <c r="M23" s="293">
        <f>[2]Apr!$G27</f>
        <v>2.0298611111111109</v>
      </c>
      <c r="N23" s="172">
        <f>'[1]April_2026 '!$M27</f>
        <v>314</v>
      </c>
      <c r="O23" s="32">
        <f>[2]Apr!$I27</f>
        <v>67</v>
      </c>
      <c r="P23" s="172">
        <f>'[1]April_2026 '!$I27</f>
        <v>0</v>
      </c>
      <c r="Q23" s="783">
        <f>'[1]April_2026 '!$P27</f>
        <v>2.2276470588235333</v>
      </c>
      <c r="R23" s="1020"/>
      <c r="S23" s="586">
        <f t="shared" si="3"/>
        <v>0.49480264531848245</v>
      </c>
      <c r="T23" s="1020"/>
      <c r="U23" s="945">
        <f>'[1]April_2026 '!$S27</f>
        <v>2.9212782540919718E-2</v>
      </c>
      <c r="V23" s="953" t="s">
        <v>1118</v>
      </c>
    </row>
    <row r="24" spans="2:22" s="19" customFormat="1" ht="112.5" customHeight="1" thickBot="1" x14ac:dyDescent="0.25">
      <c r="B24" s="168">
        <f>'[1]April_2026 '!$B28</f>
        <v>46128</v>
      </c>
      <c r="C24" s="777" t="str">
        <f>'[1]April_2026 '!$D28</f>
        <v>STAG</v>
      </c>
      <c r="D24" s="27"/>
      <c r="E24" s="775">
        <f>[2]Apr!$E28</f>
        <v>1.0055555555555555</v>
      </c>
      <c r="F24" s="773">
        <f>'[1]April_2026 '!$J28</f>
        <v>224.2</v>
      </c>
      <c r="G24" s="778">
        <f>'[1]April_2026 '!$G28</f>
        <v>3351</v>
      </c>
      <c r="H24" s="773">
        <f>'[1]April_2026 '!$K28</f>
        <v>221.166</v>
      </c>
      <c r="I24" s="774">
        <f>'[1]April_2026 '!$N28</f>
        <v>23</v>
      </c>
      <c r="J24" s="774">
        <f>'[1]April_2026 '!$Q28</f>
        <v>140.40502793296088</v>
      </c>
      <c r="K24" s="31">
        <f>'[1]April_2026 '!$F28</f>
        <v>509</v>
      </c>
      <c r="L24" s="1148">
        <f>'[1]April_2026 '!$E28</f>
        <v>1432</v>
      </c>
      <c r="M24" s="293">
        <f>[2]Apr!$G28</f>
        <v>0</v>
      </c>
      <c r="N24" s="172">
        <f>'[1]April_2026 '!$M28</f>
        <v>173</v>
      </c>
      <c r="O24" s="32">
        <f>[2]Apr!$I28</f>
        <v>0</v>
      </c>
      <c r="P24" s="172">
        <f>'[1]April_2026 '!$I28</f>
        <v>0</v>
      </c>
      <c r="Q24" s="783">
        <f>'[1]April_2026 '!$P28</f>
        <v>1.3532560214094522</v>
      </c>
      <c r="R24" s="995">
        <f>($G24+G25)/(($L24/60)*X$3*(1/24))</f>
        <v>0.55792310220177455</v>
      </c>
      <c r="S24" s="586">
        <f t="shared" si="3"/>
        <v>0.55766092684618052</v>
      </c>
      <c r="T24" s="995">
        <f>(1487-((N24+N25)-[2]Apr!$I$29-[2]Apr!$K$28-[2]Apr!$Z$28-[2]Apr!$Z$29-[2]Apr!$AB$29-[2]Apr!$AB$28))/1487</f>
        <v>0.8372562205783457</v>
      </c>
      <c r="U24" s="945">
        <f>'[1]April_2026 '!$S28</f>
        <v>2.2424521354933724E-2</v>
      </c>
      <c r="V24" s="953" t="s">
        <v>1120</v>
      </c>
    </row>
    <row r="25" spans="2:22" s="19" customFormat="1" ht="86.25" customHeight="1" thickBot="1" x14ac:dyDescent="0.25">
      <c r="B25" s="168">
        <f>'[1]April_2026 '!$B29</f>
        <v>46128</v>
      </c>
      <c r="C25" s="777" t="str">
        <f>'[1]April_2026 '!$D29</f>
        <v>CARIB AMBER</v>
      </c>
      <c r="D25" s="27">
        <v>2800</v>
      </c>
      <c r="E25" s="775">
        <f>[2]Apr!$E29</f>
        <v>1.3923611111111112</v>
      </c>
      <c r="F25" s="773">
        <f>'[1]April_2026 '!$J29</f>
        <v>408</v>
      </c>
      <c r="G25" s="778">
        <f>'[1]April_2026 '!$G29</f>
        <v>6081</v>
      </c>
      <c r="H25" s="773">
        <f>'[1]April_2026 '!$K29</f>
        <v>401.346</v>
      </c>
      <c r="I25" s="774">
        <f>'[1]April_2026 '!$N29</f>
        <v>3</v>
      </c>
      <c r="J25" s="774">
        <f>'[1]April_2026 '!$Q29</f>
        <v>254.79050279329607</v>
      </c>
      <c r="K25" s="31">
        <f>'[1]April_2026 '!$F29</f>
        <v>840</v>
      </c>
      <c r="L25" s="999"/>
      <c r="M25" s="293">
        <f>[2]Apr!$G29</f>
        <v>2.0326388888888891</v>
      </c>
      <c r="N25" s="172">
        <f>'[1]April_2026 '!$M29</f>
        <v>137</v>
      </c>
      <c r="O25" s="32">
        <f>[2]Apr!$I29</f>
        <v>10</v>
      </c>
      <c r="P25" s="172">
        <f>'[1]April_2026 '!$I29</f>
        <v>21</v>
      </c>
      <c r="Q25" s="783">
        <f>'[1]April_2026 '!$P29</f>
        <v>1.6308823529411753</v>
      </c>
      <c r="R25" s="1020"/>
      <c r="S25" s="586">
        <f t="shared" si="3"/>
        <v>0.61321008403361354</v>
      </c>
      <c r="T25" s="1020"/>
      <c r="U25" s="945">
        <f>'[1]April_2026 '!$S29</f>
        <v>2.3917417417417416E-2</v>
      </c>
      <c r="V25" s="953" t="s">
        <v>1121</v>
      </c>
    </row>
    <row r="26" spans="2:22" s="19" customFormat="1" ht="104.25" customHeight="1" thickBot="1" x14ac:dyDescent="0.25">
      <c r="B26" s="168">
        <f>'[1]April_2026 '!$B30</f>
        <v>46129</v>
      </c>
      <c r="C26" s="777" t="str">
        <f>'[1]April_2026 '!$D30</f>
        <v>CARIB AMBER</v>
      </c>
      <c r="D26" s="27">
        <v>4200</v>
      </c>
      <c r="E26" s="775">
        <f>[2]Apr!$E30</f>
        <v>1.0041666666666667</v>
      </c>
      <c r="F26" s="773">
        <f>'[1]April_2026 '!$J30</f>
        <v>162.5</v>
      </c>
      <c r="G26" s="778">
        <f>'[1]April_2026 '!$G30</f>
        <v>2420</v>
      </c>
      <c r="H26" s="773">
        <f>'[1]April_2026 '!$K30</f>
        <v>159.72</v>
      </c>
      <c r="I26" s="774">
        <f>'[1]April_2026 '!$N30</f>
        <v>11</v>
      </c>
      <c r="J26" s="774">
        <f>'[1]April_2026 '!$Q30</f>
        <v>121.20200333889818</v>
      </c>
      <c r="K26" s="31">
        <f>'[1]April_2026 '!$F30</f>
        <v>355</v>
      </c>
      <c r="L26" s="1148">
        <f>'[1]April_2026 '!$E30</f>
        <v>1198</v>
      </c>
      <c r="M26" s="293">
        <f>[2]Apr!$G30</f>
        <v>0</v>
      </c>
      <c r="N26" s="172">
        <f>'[1]April_2026 '!$M30</f>
        <v>142</v>
      </c>
      <c r="O26" s="32">
        <f>[2]Apr!$I30</f>
        <v>0</v>
      </c>
      <c r="P26" s="172">
        <f>'[1]April_2026 '!$I30</f>
        <v>0</v>
      </c>
      <c r="Q26" s="783">
        <f>'[1]April_2026 '!$P30</f>
        <v>1.7107692307692313</v>
      </c>
      <c r="R26" s="995">
        <f>($G26+G27)/(($L26/60)*X$3*(1/24))</f>
        <v>0.35416674850240598</v>
      </c>
      <c r="S26" s="586">
        <f t="shared" si="3"/>
        <v>0.57743164871582431</v>
      </c>
      <c r="T26" s="995">
        <f>(1260-((N26+N27)-[2]Apr!$AB$30-[2]Apr!$AB$31-[2]Apr!$Z$30-[2]Apr!$Z$31-[2]Apr!$J$31-[2]Apr!$I$31-[2]Apr!$H$30))/1260</f>
        <v>0.81746031746031744</v>
      </c>
      <c r="U26" s="945">
        <f>'[1]April_2026 '!$S30</f>
        <v>2.1775116195924201E-2</v>
      </c>
      <c r="V26" s="953" t="s">
        <v>1123</v>
      </c>
    </row>
    <row r="27" spans="2:22" s="19" customFormat="1" ht="109.5" customHeight="1" thickBot="1" x14ac:dyDescent="0.25">
      <c r="B27" s="168">
        <f>'[1]April_2026 '!$B31</f>
        <v>46129</v>
      </c>
      <c r="C27" s="777" t="str">
        <f>'[1]April_2026 '!$D31</f>
        <v>GINSENG APPLE</v>
      </c>
      <c r="D27" s="27">
        <v>2250</v>
      </c>
      <c r="E27" s="775">
        <f>[2]Apr!$E31</f>
        <v>1.4583333333333333</v>
      </c>
      <c r="F27" s="773">
        <f>'[1]April_2026 '!$J31</f>
        <v>174.6</v>
      </c>
      <c r="G27" s="778">
        <f>'[1]April_2026 '!$G31</f>
        <v>2589</v>
      </c>
      <c r="H27" s="773">
        <f>'[1]April_2026 '!$K31</f>
        <v>170.874</v>
      </c>
      <c r="I27" s="774">
        <f>'[1]April_2026 '!$N31</f>
        <v>1</v>
      </c>
      <c r="J27" s="774">
        <f>'[1]April_2026 '!$Q31</f>
        <v>129.6661101836394</v>
      </c>
      <c r="K27" s="31">
        <f>'[1]April_2026 '!$F31</f>
        <v>517</v>
      </c>
      <c r="L27" s="999"/>
      <c r="M27" s="293">
        <f>[2]Apr!$G31</f>
        <v>1.875</v>
      </c>
      <c r="N27" s="172">
        <f>'[1]April_2026 '!$M31</f>
        <v>414</v>
      </c>
      <c r="O27" s="32">
        <f>[2]Apr!$I31</f>
        <v>50</v>
      </c>
      <c r="P27" s="172">
        <f>'[1]April_2026 '!$I31</f>
        <v>0</v>
      </c>
      <c r="Q27" s="783">
        <f>'[1]April_2026 '!$P31</f>
        <v>2.1340206185567006</v>
      </c>
      <c r="R27" s="1020"/>
      <c r="S27" s="586">
        <f t="shared" si="3"/>
        <v>0.42418477642507679</v>
      </c>
      <c r="T27" s="1020"/>
      <c r="U27" s="945">
        <f>'[1]April_2026 '!$S31</f>
        <v>3.1851050679851667E-2</v>
      </c>
      <c r="V27" s="953" t="s">
        <v>1122</v>
      </c>
    </row>
    <row r="28" spans="2:22" s="19" customFormat="1" ht="87.75" customHeight="1" x14ac:dyDescent="0.2">
      <c r="B28" s="168">
        <f>'[1]April_2026 '!$B32</f>
        <v>46132</v>
      </c>
      <c r="C28" s="777" t="str">
        <f>'[1]April_2026 '!$D32</f>
        <v>GINSENG APPLE (medium)</v>
      </c>
      <c r="D28" s="1098">
        <v>1665</v>
      </c>
      <c r="E28" s="775">
        <f>[2]Apr!$E32</f>
        <v>1.1152777777777778</v>
      </c>
      <c r="F28" s="989">
        <f>'[1]April_2026 '!$J32</f>
        <v>180.1</v>
      </c>
      <c r="G28" s="1159">
        <f>'[1]April_2026 '!$G32</f>
        <v>2693</v>
      </c>
      <c r="H28" s="989">
        <f>'[1]April_2026 '!$K32</f>
        <v>177.738</v>
      </c>
      <c r="I28" s="1004">
        <f>'[1]April_2026 '!$N32</f>
        <v>5</v>
      </c>
      <c r="J28" s="1004">
        <f>'[1]April_2026 '!$Q32</f>
        <v>117.08695652173913</v>
      </c>
      <c r="K28" s="31">
        <f>'[1]April_2026 '!$F32</f>
        <v>495</v>
      </c>
      <c r="L28" s="1148">
        <f>'[1]April_2026 '!$E32</f>
        <v>1380</v>
      </c>
      <c r="M28" s="293">
        <f>[2]Apr!$G32</f>
        <v>0.57499999999999996</v>
      </c>
      <c r="N28" s="172">
        <f>'[1]April_2026 '!$M32</f>
        <v>522</v>
      </c>
      <c r="O28" s="32">
        <f>[2]Apr!$I32</f>
        <v>0</v>
      </c>
      <c r="P28" s="172">
        <f>'[1]April_2026 '!$I32</f>
        <v>239</v>
      </c>
      <c r="Q28" s="1000">
        <f>'[1]April_2026 '!$P32</f>
        <v>1.3114936146585201</v>
      </c>
      <c r="R28" s="995">
        <f>($G28+G29+G30)/(($L28/60)*X$3*(1/24))</f>
        <v>0.23846547314578007</v>
      </c>
      <c r="S28" s="1006">
        <f>($G28+K29)*24/(($K28)/60)/$X$3</f>
        <v>0.50207486631016052</v>
      </c>
      <c r="T28" s="995">
        <f>(1485-((N28+N29+N30)-[2]Apr!$AB$34-[2]Apr!$AB$33-[2]Apr!$AB$32-[2]Apr!$Z$32-[2]Apr!$Z$33-[2]Apr!$I$34-[2]Apr!$I$33-[2]Apr!$H$34))/1485</f>
        <v>0.66397306397306399</v>
      </c>
      <c r="U28" s="945">
        <f>'[1]April_2026 '!$S32</f>
        <v>5.4057692307692307E-2</v>
      </c>
      <c r="V28" s="953" t="s">
        <v>1126</v>
      </c>
    </row>
    <row r="29" spans="2:22" s="19" customFormat="1" ht="86.25" customHeight="1" thickBot="1" x14ac:dyDescent="0.25">
      <c r="B29" s="168">
        <f>'[1]April_2026 '!$B33</f>
        <v>46132</v>
      </c>
      <c r="C29" s="777" t="str">
        <f>'[1]April_2026 '!$D33</f>
        <v>GINSENG APPLE (SHORT)</v>
      </c>
      <c r="D29" s="1099"/>
      <c r="E29" s="775">
        <f>[2]Apr!$E33</f>
        <v>1.5513888888888889</v>
      </c>
      <c r="F29" s="990"/>
      <c r="G29" s="1160"/>
      <c r="H29" s="990"/>
      <c r="I29" s="1005"/>
      <c r="J29" s="1005"/>
      <c r="K29" s="31">
        <f>'[1]April_2026 '!$F33</f>
        <v>241</v>
      </c>
      <c r="L29" s="1016"/>
      <c r="M29" s="293">
        <f>[2]Apr!$G33</f>
        <v>0</v>
      </c>
      <c r="N29" s="172">
        <f>'[1]April_2026 '!$M33</f>
        <v>58</v>
      </c>
      <c r="O29" s="32">
        <f>[2]Apr!$I33</f>
        <v>11</v>
      </c>
      <c r="P29" s="172">
        <f>'[1]April_2026 '!$I33</f>
        <v>0</v>
      </c>
      <c r="Q29" s="1001"/>
      <c r="R29" s="996"/>
      <c r="S29" s="1007"/>
      <c r="T29" s="996"/>
      <c r="U29" s="945">
        <f>'[1]April_2026 '!$S33</f>
        <v>2.2352099236641217E-2</v>
      </c>
      <c r="V29" s="953" t="s">
        <v>1125</v>
      </c>
    </row>
    <row r="30" spans="2:22" s="19" customFormat="1" ht="44.25" customHeight="1" thickBot="1" x14ac:dyDescent="0.25">
      <c r="B30" s="168">
        <f>'[1]April_2026 '!$B34</f>
        <v>46132</v>
      </c>
      <c r="C30" s="777" t="str">
        <f>'[1]April_2026 '!$D34</f>
        <v>CARIB AMBER</v>
      </c>
      <c r="D30" s="27">
        <v>8400</v>
      </c>
      <c r="E30" s="775">
        <f>[2]Apr!$E34</f>
        <v>1.8458333333333334</v>
      </c>
      <c r="F30" s="773">
        <f>'[1]April_2026 '!$J34</f>
        <v>78.8</v>
      </c>
      <c r="G30" s="778">
        <f>'[1]April_2026 '!$G34</f>
        <v>1192</v>
      </c>
      <c r="H30" s="773">
        <f>'[1]April_2026 '!$K34</f>
        <v>78.671999999999997</v>
      </c>
      <c r="I30" s="774">
        <f>'[1]April_2026 '!$N34</f>
        <v>4</v>
      </c>
      <c r="J30" s="774">
        <f>'[1]April_2026 '!$Q34</f>
        <v>51.826086956521742</v>
      </c>
      <c r="K30" s="31">
        <f>'[1]April_2026 '!$F34</f>
        <v>213</v>
      </c>
      <c r="L30" s="1016"/>
      <c r="M30" s="293">
        <f>[2]Apr!$G34</f>
        <v>2.03125</v>
      </c>
      <c r="N30" s="172">
        <f>'[1]April_2026 '!$M34</f>
        <v>216</v>
      </c>
      <c r="O30" s="32">
        <f>[2]Apr!$I34</f>
        <v>163</v>
      </c>
      <c r="P30" s="172">
        <f>'[1]April_2026 '!$I34</f>
        <v>0</v>
      </c>
      <c r="Q30" s="783">
        <f>'[1]April_2026 '!$P34</f>
        <v>0.16243654822335041</v>
      </c>
      <c r="R30" s="996"/>
      <c r="S30" s="586">
        <f>($G30)*24/(($K30)/60)/$X$3</f>
        <v>0.47403479701739853</v>
      </c>
      <c r="T30" s="996"/>
      <c r="U30" s="945">
        <f>'[1]April_2026 '!$S34</f>
        <v>8.5130224106602058E-3</v>
      </c>
      <c r="V30" s="953" t="s">
        <v>1124</v>
      </c>
    </row>
    <row r="31" spans="2:22" s="19" customFormat="1" ht="87" customHeight="1" thickBot="1" x14ac:dyDescent="0.25">
      <c r="B31" s="168">
        <f>'[1]April_2026 '!$B35</f>
        <v>46133</v>
      </c>
      <c r="C31" s="777" t="str">
        <f>'[1]April_2026 '!$D35</f>
        <v>CARIB AMBER</v>
      </c>
      <c r="D31" s="27"/>
      <c r="E31" s="775">
        <f>[2]Apr!$E35</f>
        <v>1.0034722222222223</v>
      </c>
      <c r="F31" s="773">
        <f>'[1]April_2026 '!$J35</f>
        <v>305.8</v>
      </c>
      <c r="G31" s="778">
        <f>'[1]April_2026 '!$G35</f>
        <v>4590</v>
      </c>
      <c r="H31" s="773">
        <f>'[1]April_2026 '!$K35</f>
        <v>302.94</v>
      </c>
      <c r="I31" s="774">
        <f>'[1]April_2026 '!$N35</f>
        <v>13</v>
      </c>
      <c r="J31" s="774">
        <f>'[1]April_2026 '!$Q35</f>
        <v>191.91637630662021</v>
      </c>
      <c r="K31" s="31">
        <f>'[1]April_2026 '!$F35</f>
        <v>726</v>
      </c>
      <c r="L31" s="1148">
        <f>'[1]April_2026 '!$E35</f>
        <v>1435</v>
      </c>
      <c r="M31" s="293">
        <f>[2]Apr!$G35</f>
        <v>0.55138888888888893</v>
      </c>
      <c r="N31" s="172">
        <f>'[1]April_2026 '!$M35</f>
        <v>207</v>
      </c>
      <c r="O31" s="32">
        <f>[2]Apr!$I35</f>
        <v>0</v>
      </c>
      <c r="P31" s="172">
        <f>'[1]April_2026 '!$I35</f>
        <v>5.2</v>
      </c>
      <c r="Q31" s="783">
        <f>'[1]April_2026 '!$P35</f>
        <v>0.93525179856115548</v>
      </c>
      <c r="R31" s="995">
        <f>($G31+G32)/(($L31/60)*X$3*(1/24))</f>
        <v>0.46638409510145523</v>
      </c>
      <c r="S31" s="586">
        <f>($G31)*24/(($K31)/60)/$X$3</f>
        <v>0.53553719008264467</v>
      </c>
      <c r="T31" s="995">
        <f>(1495-((N31+N32)-[2]Apr!$J$36-[2]Apr!$I$36-[2]Apr!$Z$35-[2]Apr!$Z$36-[2]Apr!$AB$35))/1495</f>
        <v>0.69832775919732437</v>
      </c>
      <c r="U31" s="945">
        <f>'[1]April_2026 '!$S35</f>
        <v>3.4119253527537551E-2</v>
      </c>
      <c r="V31" s="953" t="s">
        <v>1127</v>
      </c>
    </row>
    <row r="32" spans="2:22" s="19" customFormat="1" ht="132" customHeight="1" thickBot="1" x14ac:dyDescent="0.25">
      <c r="B32" s="168">
        <f>'[1]April_2026 '!$B36</f>
        <v>46133</v>
      </c>
      <c r="C32" s="777" t="str">
        <f>'[1]April_2026 '!$D36</f>
        <v>STAG</v>
      </c>
      <c r="D32" s="27">
        <v>5600</v>
      </c>
      <c r="E32" s="775">
        <f>[2]Apr!$E36</f>
        <v>1.5368055555555555</v>
      </c>
      <c r="F32" s="773">
        <f>'[1]April_2026 '!$J36</f>
        <v>221.5</v>
      </c>
      <c r="G32" s="778">
        <f>'[1]April_2026 '!$G36</f>
        <v>3311</v>
      </c>
      <c r="H32" s="773">
        <f>'[1]April_2026 '!$K36</f>
        <v>218.52600000000001</v>
      </c>
      <c r="I32" s="774">
        <f>'[1]April_2026 '!$N36</f>
        <v>11</v>
      </c>
      <c r="J32" s="774">
        <f>'[1]April_2026 '!$Q36</f>
        <v>138.4390243902439</v>
      </c>
      <c r="K32" s="31">
        <f>'[1]April_2026 '!$F36</f>
        <v>667</v>
      </c>
      <c r="L32" s="999"/>
      <c r="M32" s="293">
        <f>[2]Apr!$G36</f>
        <v>2.0381944444444446</v>
      </c>
      <c r="N32" s="172">
        <f>'[1]April_2026 '!$M36</f>
        <v>309</v>
      </c>
      <c r="O32" s="32">
        <f>[2]Apr!$I36</f>
        <v>25</v>
      </c>
      <c r="P32" s="172">
        <f>'[1]April_2026 '!$I36</f>
        <v>0</v>
      </c>
      <c r="Q32" s="783">
        <f>'[1]April_2026 '!$P36</f>
        <v>1.3426636568848711</v>
      </c>
      <c r="R32" s="1020"/>
      <c r="S32" s="586">
        <f t="shared" ref="S32:S36" si="4">($G32)*24/(($K32)/60)/$X$3</f>
        <v>0.42048152394391036</v>
      </c>
      <c r="T32" s="1020"/>
      <c r="U32" s="945">
        <f>'[1]April_2026 '!$S36</f>
        <v>2.2406521739130433E-2</v>
      </c>
      <c r="V32" s="953" t="s">
        <v>1128</v>
      </c>
    </row>
    <row r="33" spans="2:22" s="19" customFormat="1" ht="60" customHeight="1" thickBot="1" x14ac:dyDescent="0.25">
      <c r="B33" s="168">
        <f>'[1]April_2026 '!$B37</f>
        <v>46134</v>
      </c>
      <c r="C33" s="777" t="str">
        <f>'[1]April_2026 '!$D37</f>
        <v>STAG</v>
      </c>
      <c r="D33" s="27"/>
      <c r="E33" s="775">
        <f>[2]Apr!$E37</f>
        <v>1.0027777777777778</v>
      </c>
      <c r="F33" s="773">
        <f>'[1]April_2026 '!$J37</f>
        <v>151.5</v>
      </c>
      <c r="G33" s="778">
        <f>'[1]April_2026 '!$G37</f>
        <v>2258</v>
      </c>
      <c r="H33" s="773">
        <f>'[1]April_2026 '!$K37</f>
        <v>149.02800000000002</v>
      </c>
      <c r="I33" s="774">
        <f>'[1]April_2026 '!$N37</f>
        <v>10</v>
      </c>
      <c r="J33" s="774">
        <f>'[1]April_2026 '!$Q37</f>
        <v>94.345403899721447</v>
      </c>
      <c r="K33" s="31">
        <f>'[1]April_2026 '!$F37</f>
        <v>290</v>
      </c>
      <c r="L33" s="1148">
        <f>'[1]April_2026 '!$E37</f>
        <v>1436</v>
      </c>
      <c r="M33" s="293">
        <f>[2]Apr!$G37</f>
        <v>1.2708333333333333</v>
      </c>
      <c r="N33" s="172">
        <f>'[1]April_2026 '!$M37</f>
        <v>84</v>
      </c>
      <c r="O33" s="32">
        <f>[2]Apr!$I37</f>
        <v>0</v>
      </c>
      <c r="P33" s="172">
        <f>'[1]April_2026 '!$I37</f>
        <v>368</v>
      </c>
      <c r="Q33" s="783">
        <f>'[1]April_2026 '!$P37</f>
        <v>1.6316831683168185</v>
      </c>
      <c r="R33" s="995">
        <f>($G33+G34)/(($L33/60)*X$3*(1/24))</f>
        <v>0.46246108471243652</v>
      </c>
      <c r="S33" s="586">
        <f t="shared" si="4"/>
        <v>0.65953752535496968</v>
      </c>
      <c r="T33" s="995">
        <f>(1532-((N33+N34)-[2]Apr!$AB$38-[2]Apr!$AB$37-[2]Apr!$Z$37-[2]Apr!$Z$38-[2]Apr!$L$38-[2]Apr!$J$38-[2]Apr!$I$38-[2]Apr!$H$38))/1532</f>
        <v>0.81462140992167098</v>
      </c>
      <c r="U33" s="945">
        <f>'[1]April_2026 '!$S37</f>
        <v>2.4266752994496599E-2</v>
      </c>
      <c r="V33" s="953" t="s">
        <v>1129</v>
      </c>
    </row>
    <row r="34" spans="2:22" s="19" customFormat="1" ht="189.75" customHeight="1" thickBot="1" x14ac:dyDescent="0.25">
      <c r="B34" s="168">
        <f>'[1]April_2026 '!$B38</f>
        <v>46134</v>
      </c>
      <c r="C34" s="777" t="str">
        <f>'[1]April_2026 '!$D38</f>
        <v>GUINNESS</v>
      </c>
      <c r="D34" s="27">
        <f>2800+2800</f>
        <v>5600</v>
      </c>
      <c r="E34" s="775">
        <f>[2]Apr!$E38</f>
        <v>1.2895833333333333</v>
      </c>
      <c r="F34" s="773">
        <f>'[1]April_2026 '!$J38</f>
        <v>373.7</v>
      </c>
      <c r="G34" s="778">
        <f>'[1]April_2026 '!$G38</f>
        <v>5582</v>
      </c>
      <c r="H34" s="773">
        <f>'[1]April_2026 '!$K38</f>
        <v>368.41200000000003</v>
      </c>
      <c r="I34" s="774">
        <f>'[1]April_2026 '!$N38</f>
        <v>5</v>
      </c>
      <c r="J34" s="774">
        <f>'[1]April_2026 '!$Q38</f>
        <v>233.23119777158774</v>
      </c>
      <c r="K34" s="31">
        <f>'[1]April_2026 '!$F38</f>
        <v>1046</v>
      </c>
      <c r="L34" s="999"/>
      <c r="M34" s="293">
        <f>[2]Apr!$G38</f>
        <v>2.0638888888888891</v>
      </c>
      <c r="N34" s="172">
        <f>'[1]April_2026 '!$M38</f>
        <v>398</v>
      </c>
      <c r="O34" s="32">
        <f>[2]Apr!$I38</f>
        <v>65</v>
      </c>
      <c r="P34" s="172">
        <f>'[1]April_2026 '!$I38</f>
        <v>0</v>
      </c>
      <c r="Q34" s="783">
        <f>'[1]April_2026 '!$P38</f>
        <v>1.4150388011774029</v>
      </c>
      <c r="R34" s="1020"/>
      <c r="S34" s="586">
        <f t="shared" si="4"/>
        <v>0.45203464177257902</v>
      </c>
      <c r="T34" s="1020"/>
      <c r="U34" s="945">
        <f>'[1]April_2026 '!$S38</f>
        <v>2.4174406604747158E-2</v>
      </c>
      <c r="V34" s="953" t="s">
        <v>1130</v>
      </c>
    </row>
    <row r="35" spans="2:22" s="19" customFormat="1" ht="120.75" customHeight="1" thickBot="1" x14ac:dyDescent="0.25">
      <c r="B35" s="168">
        <f>'[1]April_2026 '!$B39</f>
        <v>46135</v>
      </c>
      <c r="C35" s="777" t="str">
        <f>'[1]April_2026 '!$D39</f>
        <v>CARIB EXPORT (explorer)</v>
      </c>
      <c r="D35" s="27">
        <v>1800</v>
      </c>
      <c r="E35" s="775">
        <f>[2]Apr!$E39</f>
        <v>1.0763888888888888</v>
      </c>
      <c r="F35" s="989">
        <f>'[1]April_2026 '!$J39</f>
        <v>245.2</v>
      </c>
      <c r="G35" s="778">
        <f>'[1]April_2026 '!$G39</f>
        <v>2102</v>
      </c>
      <c r="H35" s="989">
        <f>'[1]April_2026 '!$K39</f>
        <v>241.69200000000001</v>
      </c>
      <c r="I35" s="1004">
        <f>'[1]April_2026 '!$N39</f>
        <v>15</v>
      </c>
      <c r="J35" s="774">
        <f>'[1]April_2026 '!$Q39</f>
        <v>87.583333333333329</v>
      </c>
      <c r="K35" s="31">
        <f>'[1]April_2026 '!$F39</f>
        <v>727</v>
      </c>
      <c r="L35" s="1148">
        <f>'[1]April_2026 '!$E39</f>
        <v>1440</v>
      </c>
      <c r="M35" s="293">
        <f>[2]Apr!$G39</f>
        <v>0.65069444444444446</v>
      </c>
      <c r="N35" s="172">
        <f>'[1]April_2026 '!$M39</f>
        <v>524</v>
      </c>
      <c r="O35" s="32">
        <f>[2]Apr!$I39</f>
        <v>80</v>
      </c>
      <c r="P35" s="172">
        <f>'[1]April_2026 '!$I39</f>
        <v>0</v>
      </c>
      <c r="Q35" s="1000">
        <f>'[1]April_2026 '!$P39</f>
        <v>1.4306688417618194</v>
      </c>
      <c r="R35" s="995">
        <f>($G35+G36)/(($L35/60)*X$3*(1/24))</f>
        <v>0.21541176470588236</v>
      </c>
      <c r="S35" s="586">
        <f t="shared" si="4"/>
        <v>0.24491301885265795</v>
      </c>
      <c r="T35" s="995">
        <f>(1485-((N35+N36)-[2]Apr!$Z$40-[2]Apr!$AB$39-[2]Apr!$J$40-[2]Apr!$J$39-[2]Apr!$I$39-[2]Apr!$I$40))/1485</f>
        <v>0.5131313131313131</v>
      </c>
      <c r="U35" s="945">
        <f>'[1]April_2026 '!$S39</f>
        <v>3.1513452914798207E-2</v>
      </c>
      <c r="V35" s="953" t="s">
        <v>1132</v>
      </c>
    </row>
    <row r="36" spans="2:22" s="19" customFormat="1" ht="116.25" customHeight="1" thickBot="1" x14ac:dyDescent="0.25">
      <c r="B36" s="168">
        <f>'[1]April_2026 '!$B40</f>
        <v>46135</v>
      </c>
      <c r="C36" s="777" t="str">
        <f>'[1]April_2026 '!$D40</f>
        <v>CARIB AMBER (SHORT)</v>
      </c>
      <c r="D36" s="27">
        <v>2100</v>
      </c>
      <c r="E36" s="775">
        <f>[2]Apr!$E40</f>
        <v>1.6020833333333333</v>
      </c>
      <c r="F36" s="990"/>
      <c r="G36" s="778">
        <f>'[1]April_2026 '!$G40</f>
        <v>1560</v>
      </c>
      <c r="H36" s="990"/>
      <c r="I36" s="1005"/>
      <c r="J36" s="774">
        <f>'[1]April_2026 '!$Q40</f>
        <v>65</v>
      </c>
      <c r="K36" s="31">
        <f>'[1]April_2026 '!$F40</f>
        <v>560</v>
      </c>
      <c r="L36" s="999"/>
      <c r="M36" s="293">
        <f>[2]Apr!$G40</f>
        <v>2.03125</v>
      </c>
      <c r="N36" s="172">
        <f>'[1]April_2026 '!$M40</f>
        <v>363</v>
      </c>
      <c r="O36" s="32">
        <f>[2]Apr!$I40</f>
        <v>44</v>
      </c>
      <c r="P36" s="172">
        <f>'[1]April_2026 '!$I40</f>
        <v>0</v>
      </c>
      <c r="Q36" s="1001"/>
      <c r="R36" s="1020"/>
      <c r="S36" s="586">
        <f t="shared" si="4"/>
        <v>0.23596638655462182</v>
      </c>
      <c r="T36" s="1020"/>
      <c r="U36" s="945">
        <f>'[1]April_2026 '!$S40</f>
        <v>2.3994878361075542E-2</v>
      </c>
      <c r="V36" s="953" t="s">
        <v>1131</v>
      </c>
    </row>
    <row r="37" spans="2:22" s="19" customFormat="1" ht="77.25" thickBot="1" x14ac:dyDescent="0.25">
      <c r="B37" s="168">
        <f>'[1]April_2026 '!$B41</f>
        <v>46136</v>
      </c>
      <c r="C37" s="777" t="str">
        <f>'[1]April_2026 '!$D41</f>
        <v>CARIB AMBER (SHORT)</v>
      </c>
      <c r="D37" s="27"/>
      <c r="E37" s="775">
        <f>[2]Apr!$E41</f>
        <v>1.0784722222222223</v>
      </c>
      <c r="F37" s="989">
        <f>'[1]April_2026 '!$J41</f>
        <v>225.8</v>
      </c>
      <c r="G37" s="778">
        <f>'[1]April_2026 '!$G41</f>
        <v>2620</v>
      </c>
      <c r="H37" s="989">
        <f>'[1]April_2026 '!$K41</f>
        <v>224.334</v>
      </c>
      <c r="I37" s="1004">
        <f>'[1]April_2026 '!$N41</f>
        <v>15</v>
      </c>
      <c r="J37" s="774">
        <f>'[1]April_2026 '!$Q41</f>
        <v>124.76190476190476</v>
      </c>
      <c r="K37" s="31">
        <f>'[1]April_2026 '!$F41</f>
        <v>58</v>
      </c>
      <c r="L37" s="1148">
        <f>'[1]April_2026 '!$E41</f>
        <v>1260</v>
      </c>
      <c r="M37" s="293">
        <f>[2]Apr!$G41</f>
        <v>0</v>
      </c>
      <c r="N37" s="172">
        <f>'[1]April_2026 '!$M41</f>
        <v>84</v>
      </c>
      <c r="O37" s="32">
        <f>[2]Apr!$I41</f>
        <v>0</v>
      </c>
      <c r="P37" s="172">
        <f>'[1]April_2026 '!$I41</f>
        <v>0</v>
      </c>
      <c r="Q37" s="1000">
        <f>'[1]April_2026 '!$P41</f>
        <v>0.64924712134632778</v>
      </c>
      <c r="R37" s="995">
        <f>($G37+G38)/(($L37/60)*X$3*(1/24))</f>
        <v>0.22850420168067226</v>
      </c>
      <c r="S37" s="586">
        <f>($G37)*24/(($K37)/60)/$X$3</f>
        <v>3.8263691683569978</v>
      </c>
      <c r="T37" s="995">
        <f>(1260-((N37+N38)-[2]Apr!$Z$41-[2]Apr!$Z$42-[2]Apr!$J$42-[2]Apr!$J$41-[2]Apr!$I$42))/1260</f>
        <v>0.33571428571428569</v>
      </c>
      <c r="U37" s="945">
        <f>'[1]April_2026 '!$S41</f>
        <v>3.4630411826821535E-2</v>
      </c>
      <c r="V37" s="953" t="s">
        <v>1133</v>
      </c>
    </row>
    <row r="38" spans="2:22" s="19" customFormat="1" ht="153.75" thickBot="1" x14ac:dyDescent="0.25">
      <c r="B38" s="168">
        <f>'[1]April_2026 '!$B42</f>
        <v>46136</v>
      </c>
      <c r="C38" s="777" t="str">
        <f>'[1]April_2026 '!$D42</f>
        <v>CARIB AMBER</v>
      </c>
      <c r="D38" s="27">
        <v>3100</v>
      </c>
      <c r="E38" s="775">
        <f>[2]Apr!$E42</f>
        <v>1.1312500000000001</v>
      </c>
      <c r="F38" s="990"/>
      <c r="G38" s="778">
        <f>'[1]April_2026 '!$G42</f>
        <v>779</v>
      </c>
      <c r="H38" s="990"/>
      <c r="I38" s="1005"/>
      <c r="J38" s="774">
        <f>'[1]April_2026 '!$Q42</f>
        <v>37.095238095238095</v>
      </c>
      <c r="K38" s="31">
        <f>'[1]April_2026 '!$F42</f>
        <v>582</v>
      </c>
      <c r="L38" s="999"/>
      <c r="M38" s="293">
        <f>[2]Apr!$G42</f>
        <v>1.875</v>
      </c>
      <c r="N38" s="172">
        <f>'[1]April_2026 '!$M42</f>
        <v>807</v>
      </c>
      <c r="O38" s="32">
        <f>[2]Apr!$I42</f>
        <v>19</v>
      </c>
      <c r="P38" s="172">
        <f>'[1]April_2026 '!$I42</f>
        <v>0</v>
      </c>
      <c r="Q38" s="1001"/>
      <c r="R38" s="1020"/>
      <c r="S38" s="586">
        <f>($G38)*24/(($K38)/60)/$X$3</f>
        <v>0.11337780473013948</v>
      </c>
      <c r="T38" s="1020"/>
      <c r="U38" s="945">
        <f>'[1]April_2026 '!$S42</f>
        <v>2.8147530040053406E-2</v>
      </c>
      <c r="V38" s="953" t="s">
        <v>1134</v>
      </c>
    </row>
    <row r="39" spans="2:22" s="19" customFormat="1" ht="230.25" thickBot="1" x14ac:dyDescent="0.25">
      <c r="B39" s="168">
        <f>'[1]April_2026 '!$B43</f>
        <v>46139</v>
      </c>
      <c r="C39" s="777" t="str">
        <f>'[1]April_2026 '!$D43</f>
        <v xml:space="preserve">STAR MALT </v>
      </c>
      <c r="D39" s="27">
        <v>5600</v>
      </c>
      <c r="E39" s="775">
        <f>[2]Apr!$E43</f>
        <v>1.1666666666666667</v>
      </c>
      <c r="F39" s="773">
        <f>'[1]April_2026 '!$J43</f>
        <v>400.5</v>
      </c>
      <c r="G39" s="778">
        <f>'[1]April_2026 '!$G43</f>
        <v>5916</v>
      </c>
      <c r="H39" s="773">
        <f>'[1]April_2026 '!$K43</f>
        <v>390.45600000000002</v>
      </c>
      <c r="I39" s="774">
        <f>'[1]April_2026 '!$N43</f>
        <v>17</v>
      </c>
      <c r="J39" s="774">
        <f>'[1]April_2026 '!$Q43</f>
        <v>257.21739130434781</v>
      </c>
      <c r="K39" s="31">
        <f>'[1]April_2026 '!$F43</f>
        <v>1078</v>
      </c>
      <c r="L39" s="464">
        <f>'[1]April_2026 '!$E43</f>
        <v>1380</v>
      </c>
      <c r="M39" s="293">
        <f>[2]Apr!$G43</f>
        <v>1.9993055555555554</v>
      </c>
      <c r="N39" s="172">
        <f>'[1]April_2026 '!$M43</f>
        <v>549</v>
      </c>
      <c r="O39" s="32">
        <f>[2]Apr!$I43</f>
        <v>0</v>
      </c>
      <c r="P39" s="172">
        <f>'[1]April_2026 '!$I43</f>
        <v>0</v>
      </c>
      <c r="Q39" s="783">
        <f>'[1]April_2026 '!$P43</f>
        <v>2.5078651685393214</v>
      </c>
      <c r="R39" s="653">
        <f>($G39)/(($L39/60)*X$3*(1/24))</f>
        <v>0.3631304347826087</v>
      </c>
      <c r="S39" s="586">
        <f t="shared" ref="S39:S40" si="5">($G39)*24/(($K39)/60)/$X$3</f>
        <v>0.46486085343228206</v>
      </c>
      <c r="T39" s="653">
        <f>(1439-((N39)-[2]Apr!$J$43-[2]Apr!$H$43-[2]Apr!$K$43-[2]Apr!$L$43-[2]Apr!$N$43-[2]Apr!$Z$43-[2]Apr!$AB$43))/1439</f>
        <v>0.78387769284225162</v>
      </c>
      <c r="U39" s="945">
        <f>'[1]April_2026 '!$S43</f>
        <v>1.704324979789814E-2</v>
      </c>
      <c r="V39" s="953" t="s">
        <v>1135</v>
      </c>
    </row>
    <row r="40" spans="2:22" s="19" customFormat="1" ht="93.75" customHeight="1" thickBot="1" x14ac:dyDescent="0.25">
      <c r="B40" s="168">
        <f>'[1]April_2026 '!$B44</f>
        <v>46140</v>
      </c>
      <c r="C40" s="777" t="str">
        <f>'[1]April_2026 '!$D44</f>
        <v>CARIB</v>
      </c>
      <c r="D40" s="27">
        <v>9800</v>
      </c>
      <c r="E40" s="775">
        <f>[2]Apr!$E44</f>
        <v>1.0027777777777778</v>
      </c>
      <c r="F40" s="773">
        <f>'[1]April_2026 '!$J44</f>
        <v>473.6</v>
      </c>
      <c r="G40" s="778">
        <f>'[1]April_2026 '!$G44</f>
        <v>6856</v>
      </c>
      <c r="H40" s="773">
        <f>'[1]April_2026 '!$K44</f>
        <v>460.09600000000006</v>
      </c>
      <c r="I40" s="774">
        <f>'[1]April_2026 '!$N44</f>
        <v>13</v>
      </c>
      <c r="J40" s="774">
        <f>'[1]April_2026 '!$Q44</f>
        <v>286.46239554317549</v>
      </c>
      <c r="K40" s="31">
        <f>'[1]April_2026 '!$F44</f>
        <v>1412</v>
      </c>
      <c r="L40" s="464">
        <f>'[1]April_2026 '!$E44</f>
        <v>1436</v>
      </c>
      <c r="M40" s="293">
        <f>[2]Apr!$G44</f>
        <v>2.0444444444444443</v>
      </c>
      <c r="N40" s="172">
        <f>'[1]April_2026 '!$M44</f>
        <v>659</v>
      </c>
      <c r="O40" s="32">
        <f>[2]Apr!$I44</f>
        <v>64</v>
      </c>
      <c r="P40" s="172">
        <f>'[1]April_2026 '!$I44</f>
        <v>0</v>
      </c>
      <c r="Q40" s="783">
        <f>'[1]April_2026 '!$P44</f>
        <v>2.8513513513513433</v>
      </c>
      <c r="R40" s="653">
        <f>($G40)/(($L40/60)*X$3*(1/24))</f>
        <v>0.40441749959036538</v>
      </c>
      <c r="S40" s="586">
        <f t="shared" si="5"/>
        <v>0.41129145142476248</v>
      </c>
      <c r="T40" s="653">
        <f>(1504-((N40)-[2]Apr!$Z$44-[2]Apr!$AA$44-[2]Apr!$AB$44-[2]Apr!$L$44-[2]Apr!$J$44-[2]Apr!$I$44))/1504</f>
        <v>0.62034574468085102</v>
      </c>
      <c r="U40" s="945">
        <f>'[1]April_2026 '!$S44</f>
        <v>8.3160606388846134E-2</v>
      </c>
      <c r="V40" s="953" t="s">
        <v>1136</v>
      </c>
    </row>
    <row r="41" spans="2:22" s="19" customFormat="1" ht="102.75" thickBot="1" x14ac:dyDescent="0.25">
      <c r="B41" s="168">
        <f>'[1]April_2026 '!$B45</f>
        <v>46141</v>
      </c>
      <c r="C41" s="777" t="str">
        <f>'[1]April_2026 '!$D45</f>
        <v>CARIB AMBER</v>
      </c>
      <c r="D41" s="27"/>
      <c r="E41" s="775">
        <f>[2]Apr!$E45</f>
        <v>1.0090277777777779</v>
      </c>
      <c r="F41" s="773">
        <f>'[1]April_2026 '!$J45</f>
        <v>379.1</v>
      </c>
      <c r="G41" s="778">
        <f>'[1]April_2026 '!$G45</f>
        <v>5627</v>
      </c>
      <c r="H41" s="773">
        <f>'[1]April_2026 '!$K45</f>
        <v>371.38200000000001</v>
      </c>
      <c r="I41" s="774">
        <f>'[1]April_2026 '!$N45</f>
        <v>20</v>
      </c>
      <c r="J41" s="774">
        <f>'[1]April_2026 '!$Q45</f>
        <v>236.59425367904694</v>
      </c>
      <c r="K41" s="31">
        <f>'[1]April_2026 '!$F45</f>
        <v>909</v>
      </c>
      <c r="L41" s="1148">
        <f>'[1]April_2026 '!$E45</f>
        <v>1427</v>
      </c>
      <c r="M41" s="293">
        <f>[2]Apr!$G45</f>
        <v>0.69652777777777775</v>
      </c>
      <c r="N41" s="172">
        <f>'[1]April_2026 '!$M45</f>
        <v>174</v>
      </c>
      <c r="O41" s="32">
        <f>[2]Apr!$I45</f>
        <v>0</v>
      </c>
      <c r="P41" s="172">
        <f>'[1]April_2026 '!$I45</f>
        <v>0</v>
      </c>
      <c r="Q41" s="783">
        <f>'[1]April_2026 '!$P45</f>
        <v>2.035874439461888</v>
      </c>
      <c r="R41" s="995">
        <f>($G41+G42)/(($L41/60)*X$3*(1/24))</f>
        <v>0.51280596891875185</v>
      </c>
      <c r="S41" s="586">
        <f>($G41)*24/(($K41)/60)/$X$3</f>
        <v>0.52435643564356438</v>
      </c>
      <c r="T41" s="995">
        <f>(1550-((N41+N42)-[2]Apr!$AB$46-[2]Apr!$AA$46-[2]Apr!$Z$46-[2]Apr!$I$46))/1550</f>
        <v>0.82774193548387098</v>
      </c>
      <c r="U41" s="945">
        <f>'[1]April_2026 '!$S45</f>
        <v>1.6473277074542894E-2</v>
      </c>
      <c r="V41" s="953" t="s">
        <v>1137</v>
      </c>
    </row>
    <row r="42" spans="2:22" s="19" customFormat="1" ht="120.75" customHeight="1" thickBot="1" x14ac:dyDescent="0.25">
      <c r="B42" s="168">
        <f>'[1]April_2026 '!$B46</f>
        <v>46141</v>
      </c>
      <c r="C42" s="777" t="str">
        <f>'[1]April_2026 '!$D46</f>
        <v>STAG</v>
      </c>
      <c r="D42" s="27">
        <v>5600</v>
      </c>
      <c r="E42" s="775">
        <f>[2]Apr!$E46</f>
        <v>1.6631944444444444</v>
      </c>
      <c r="F42" s="773">
        <f>'[1]April_2026 '!$J46</f>
        <v>204.00000000000003</v>
      </c>
      <c r="G42" s="778">
        <f>'[1]April_2026 '!$G46</f>
        <v>3012</v>
      </c>
      <c r="H42" s="773">
        <f>'[1]April_2026 '!$K46</f>
        <v>201.072</v>
      </c>
      <c r="I42" s="774">
        <f>'[1]April_2026 '!$N46</f>
        <v>4</v>
      </c>
      <c r="J42" s="774">
        <f>'[1]April_2026 '!$Q46</f>
        <v>126.64330763840223</v>
      </c>
      <c r="K42" s="31">
        <f>'[1]April_2026 '!$F46</f>
        <v>430</v>
      </c>
      <c r="L42" s="999"/>
      <c r="M42" s="293">
        <f>[2]Apr!$G46</f>
        <v>2.0763888888888888</v>
      </c>
      <c r="N42" s="172">
        <f>'[1]April_2026 '!$M46</f>
        <v>166</v>
      </c>
      <c r="O42" s="32">
        <f>[2]Apr!$I46</f>
        <v>18</v>
      </c>
      <c r="P42" s="172">
        <f>'[1]April_2026 '!$I46</f>
        <v>0</v>
      </c>
      <c r="Q42" s="783">
        <f>'[1]April_2026 '!$P46</f>
        <v>1.4352941176470713</v>
      </c>
      <c r="R42" s="1020"/>
      <c r="S42" s="586">
        <f>($G42)*24/(($K42)/60)/$X$3</f>
        <v>0.59333515731874142</v>
      </c>
      <c r="T42" s="1020"/>
      <c r="U42" s="945">
        <f>'[1]April_2026 '!$S46</f>
        <v>2.2609445018958976E-2</v>
      </c>
      <c r="V42" s="953" t="s">
        <v>1138</v>
      </c>
    </row>
    <row r="43" spans="2:22" s="19" customFormat="1" ht="81.75" customHeight="1" thickBot="1" x14ac:dyDescent="0.25">
      <c r="B43" s="168">
        <f>'[1]April_2026 '!$B47</f>
        <v>46142</v>
      </c>
      <c r="C43" s="777" t="str">
        <f>'[1]April_2026 '!$D47</f>
        <v>STAG</v>
      </c>
      <c r="D43" s="27"/>
      <c r="E43" s="775">
        <f>[2]Apr!$E47</f>
        <v>1.0069444444444444</v>
      </c>
      <c r="F43" s="773">
        <f>'[1]April_2026 '!$J47</f>
        <v>164.10000000000002</v>
      </c>
      <c r="G43" s="778">
        <f>'[1]April_2026 '!$G47</f>
        <v>2445</v>
      </c>
      <c r="H43" s="773">
        <f>'[1]April_2026 '!$K47</f>
        <v>161.37</v>
      </c>
      <c r="I43" s="774">
        <f>'[1]April_2026 '!$N47</f>
        <v>17</v>
      </c>
      <c r="J43" s="774">
        <f>'[1]April_2026 '!$Q47</f>
        <v>111.13636363636364</v>
      </c>
      <c r="K43" s="31">
        <f>'[1]April_2026 '!$F47</f>
        <v>362</v>
      </c>
      <c r="L43" s="1148">
        <f>'[1]April_2026 '!$E47</f>
        <v>1320</v>
      </c>
      <c r="M43" s="293">
        <f>[2]Apr!$G47</f>
        <v>0</v>
      </c>
      <c r="N43" s="172">
        <f>'[1]April_2026 '!$M47</f>
        <v>109</v>
      </c>
      <c r="O43" s="32">
        <f>[2]Apr!$I47</f>
        <v>0</v>
      </c>
      <c r="P43" s="172">
        <f>'[1]April_2026 '!$I47</f>
        <v>3</v>
      </c>
      <c r="Q43" s="783">
        <f>'[1]April_2026 '!$P47</f>
        <v>1.6636197440585119</v>
      </c>
      <c r="R43" s="995">
        <f>($G43+G44)/(($L43/60)*X$3*(1/24))</f>
        <v>0.39644919786096261</v>
      </c>
      <c r="S43" s="586">
        <f t="shared" ref="S43:S44" si="6">($G43)*24/(($K43)/60)/$X$3</f>
        <v>0.57211569710757226</v>
      </c>
      <c r="T43" s="995">
        <f>(1415-((N43+N44)-[2]Apr!$J$48-[2]Apr!$I$48-[2]Apr!$AB$48-[2]Apr!$Z$47-[2]Apr!$Z$48))/1415</f>
        <v>0.75053003533568907</v>
      </c>
      <c r="U43" s="945">
        <f>'[1]April_2026 '!$S47</f>
        <v>2.0369565217391306E-2</v>
      </c>
      <c r="V43" s="953" t="s">
        <v>1139</v>
      </c>
    </row>
    <row r="44" spans="2:22" s="19" customFormat="1" ht="165.75" customHeight="1" thickBot="1" x14ac:dyDescent="0.25">
      <c r="B44" s="168">
        <f>'[1]April_2026 '!$B48</f>
        <v>46142</v>
      </c>
      <c r="C44" s="777" t="str">
        <f>'[1]April_2026 '!$D48</f>
        <v>GINSENG ORIGINAL</v>
      </c>
      <c r="D44" s="27">
        <v>4500</v>
      </c>
      <c r="E44" s="775">
        <f>[2]Apr!$E48</f>
        <v>1.3472222222222223</v>
      </c>
      <c r="F44" s="773">
        <f>'[1]April_2026 '!$J48</f>
        <v>252.38</v>
      </c>
      <c r="G44" s="778">
        <f>'[1]April_2026 '!$G48</f>
        <v>3733</v>
      </c>
      <c r="H44" s="773">
        <f>'[1]April_2026 '!$K48</f>
        <v>246.37800000000001</v>
      </c>
      <c r="I44" s="774">
        <f>'[1]April_2026 '!$N48</f>
        <v>41</v>
      </c>
      <c r="J44" s="774">
        <f>'[1]April_2026 '!$Q48</f>
        <v>169.68181818181819</v>
      </c>
      <c r="K44" s="31">
        <f>'[1]April_2026 '!$F48</f>
        <v>814</v>
      </c>
      <c r="L44" s="999"/>
      <c r="M44" s="293">
        <f>[2]Apr!$G48</f>
        <v>1.9826388888888888</v>
      </c>
      <c r="N44" s="172">
        <f>'[1]April_2026 '!$M48</f>
        <v>346</v>
      </c>
      <c r="O44" s="32">
        <f>[2]Apr!$I48</f>
        <v>71</v>
      </c>
      <c r="P44" s="172">
        <f>'[1]April_2026 '!$I48</f>
        <v>1703</v>
      </c>
      <c r="Q44" s="783">
        <f>'[1]April_2026 '!$P48</f>
        <v>2.3781599175845871</v>
      </c>
      <c r="R44" s="1020"/>
      <c r="S44" s="586">
        <f t="shared" si="6"/>
        <v>0.38846076022546616</v>
      </c>
      <c r="T44" s="1020"/>
      <c r="U44" s="945">
        <f>'[1]April_2026 '!$S48</f>
        <v>2.6394366197183095E-2</v>
      </c>
      <c r="V44" s="953" t="s">
        <v>1140</v>
      </c>
    </row>
    <row r="45" spans="2:22" s="19" customFormat="1" ht="165.75" hidden="1" customHeight="1" thickBot="1" x14ac:dyDescent="0.25">
      <c r="B45" s="168"/>
      <c r="C45" s="777"/>
      <c r="D45" s="27"/>
      <c r="E45" s="775"/>
      <c r="F45" s="773"/>
      <c r="G45" s="778"/>
      <c r="H45" s="773"/>
      <c r="I45" s="774"/>
      <c r="J45" s="773"/>
      <c r="K45" s="31"/>
      <c r="L45" s="635"/>
      <c r="M45" s="293">
        <f>[2]Apr!$G49</f>
        <v>0</v>
      </c>
      <c r="N45" s="172">
        <f>'[1]April_2026 '!$M49</f>
        <v>0</v>
      </c>
      <c r="O45" s="32"/>
      <c r="P45" s="172"/>
      <c r="Q45" s="783"/>
      <c r="R45" s="897"/>
      <c r="S45" s="586"/>
      <c r="T45" s="841"/>
      <c r="U45" s="948"/>
      <c r="V45" s="953"/>
    </row>
    <row r="46" spans="2:22" s="19" customFormat="1" ht="165.75" hidden="1" customHeight="1" thickBot="1" x14ac:dyDescent="0.25">
      <c r="B46" s="368"/>
      <c r="C46" s="26"/>
      <c r="D46" s="27"/>
      <c r="E46" s="28"/>
      <c r="F46" s="29"/>
      <c r="G46" s="30"/>
      <c r="H46" s="29"/>
      <c r="I46" s="31"/>
      <c r="J46" s="29"/>
      <c r="K46" s="31"/>
      <c r="L46" s="635"/>
      <c r="M46" s="293">
        <f>[2]Apr!$G50</f>
        <v>0</v>
      </c>
      <c r="N46" s="172">
        <f>'[1]April_2026 '!$M50</f>
        <v>0</v>
      </c>
      <c r="O46" s="32"/>
      <c r="P46" s="172"/>
      <c r="Q46" s="783"/>
      <c r="R46" s="675"/>
      <c r="S46" s="651"/>
      <c r="T46" s="695"/>
      <c r="U46" s="948"/>
      <c r="V46" s="953"/>
    </row>
    <row r="47" spans="2:22" s="19" customFormat="1" ht="26.25" hidden="1" thickBot="1" x14ac:dyDescent="0.25">
      <c r="B47" s="368"/>
      <c r="C47" s="26"/>
      <c r="D47" s="27"/>
      <c r="E47" s="28"/>
      <c r="F47" s="29"/>
      <c r="G47" s="30"/>
      <c r="H47" s="29"/>
      <c r="I47" s="31"/>
      <c r="J47" s="29"/>
      <c r="K47" s="31"/>
      <c r="L47" s="635"/>
      <c r="M47" s="293"/>
      <c r="N47" s="172"/>
      <c r="O47" s="32"/>
      <c r="P47" s="172"/>
      <c r="Q47" s="783"/>
      <c r="R47" s="675"/>
      <c r="S47" s="651"/>
      <c r="T47" s="695"/>
      <c r="U47" s="948"/>
      <c r="V47" s="953"/>
    </row>
    <row r="48" spans="2:22" s="19" customFormat="1" ht="21" hidden="1" thickBot="1" x14ac:dyDescent="0.25">
      <c r="B48" s="368"/>
      <c r="C48" s="26"/>
      <c r="D48" s="27"/>
      <c r="E48" s="28"/>
      <c r="F48" s="29"/>
      <c r="G48" s="30"/>
      <c r="H48" s="29"/>
      <c r="I48" s="31"/>
      <c r="J48" s="29"/>
      <c r="K48" s="31"/>
      <c r="L48" s="635"/>
      <c r="M48" s="293"/>
      <c r="N48" s="172"/>
      <c r="O48" s="32"/>
      <c r="P48" s="172"/>
      <c r="Q48" s="783"/>
      <c r="R48" s="675"/>
      <c r="S48" s="651"/>
      <c r="T48" s="695"/>
      <c r="U48" s="947"/>
      <c r="V48" s="954"/>
    </row>
    <row r="49" spans="2:22" s="19" customFormat="1" ht="21" hidden="1" thickBot="1" x14ac:dyDescent="0.25">
      <c r="B49" s="168"/>
      <c r="C49" s="26"/>
      <c r="D49" s="27"/>
      <c r="E49" s="28"/>
      <c r="F49" s="29"/>
      <c r="G49" s="30"/>
      <c r="H49" s="29"/>
      <c r="I49" s="31"/>
      <c r="J49" s="32"/>
      <c r="K49" s="32"/>
      <c r="L49" s="635"/>
      <c r="M49" s="293"/>
      <c r="N49" s="172"/>
      <c r="O49" s="32"/>
      <c r="P49" s="172"/>
      <c r="Q49" s="783"/>
      <c r="R49" s="675"/>
      <c r="S49" s="651"/>
      <c r="T49" s="695"/>
      <c r="U49" s="947"/>
      <c r="V49" s="954"/>
    </row>
    <row r="50" spans="2:22" s="19" customFormat="1" ht="20.25" hidden="1" x14ac:dyDescent="0.2">
      <c r="B50" s="168"/>
      <c r="C50" s="26"/>
      <c r="D50" s="27"/>
      <c r="E50" s="28"/>
      <c r="F50" s="29"/>
      <c r="G50" s="30"/>
      <c r="H50" s="29"/>
      <c r="I50" s="31"/>
      <c r="J50" s="32"/>
      <c r="K50" s="32"/>
      <c r="L50" s="635"/>
      <c r="M50" s="293"/>
      <c r="N50" s="172"/>
      <c r="O50" s="32"/>
      <c r="P50" s="172"/>
      <c r="Q50" s="783"/>
      <c r="R50" s="527"/>
      <c r="S50" s="546"/>
      <c r="T50" s="548"/>
      <c r="U50" s="947"/>
      <c r="V50" s="954"/>
    </row>
    <row r="51" spans="2:22" s="19" customFormat="1" ht="20.25" hidden="1" x14ac:dyDescent="0.2">
      <c r="B51" s="168"/>
      <c r="C51" s="26"/>
      <c r="D51" s="27"/>
      <c r="E51" s="28"/>
      <c r="F51" s="29"/>
      <c r="G51" s="30"/>
      <c r="H51" s="29"/>
      <c r="I51" s="31"/>
      <c r="J51" s="32"/>
      <c r="K51" s="32"/>
      <c r="L51" s="635"/>
      <c r="M51" s="293"/>
      <c r="N51" s="172"/>
      <c r="O51" s="32"/>
      <c r="P51" s="172"/>
      <c r="Q51" s="783"/>
      <c r="R51" s="527"/>
      <c r="S51" s="546"/>
      <c r="T51" s="548"/>
      <c r="U51" s="947"/>
      <c r="V51" s="954"/>
    </row>
    <row r="52" spans="2:22" s="19" customFormat="1" ht="20.25" hidden="1" x14ac:dyDescent="0.2">
      <c r="B52" s="168"/>
      <c r="C52" s="26"/>
      <c r="D52" s="27"/>
      <c r="E52" s="28"/>
      <c r="F52" s="29"/>
      <c r="G52" s="30"/>
      <c r="H52" s="29"/>
      <c r="I52" s="31"/>
      <c r="J52" s="32"/>
      <c r="K52" s="32"/>
      <c r="L52" s="464"/>
      <c r="M52" s="293">
        <f>[2]Apr!$G56</f>
        <v>0</v>
      </c>
      <c r="N52" s="172">
        <f>'[1]April_2026 '!$M56</f>
        <v>0</v>
      </c>
      <c r="O52" s="32"/>
      <c r="P52" s="172"/>
      <c r="Q52" s="783"/>
      <c r="R52" s="527"/>
      <c r="S52" s="546"/>
      <c r="T52" s="548"/>
      <c r="U52" s="947"/>
      <c r="V52" s="954"/>
    </row>
    <row r="53" spans="2:22" s="19" customFormat="1" ht="20.25" hidden="1" x14ac:dyDescent="0.2">
      <c r="B53" s="168"/>
      <c r="C53" s="26"/>
      <c r="D53" s="27"/>
      <c r="E53" s="28"/>
      <c r="F53" s="29"/>
      <c r="G53" s="30"/>
      <c r="H53" s="29"/>
      <c r="I53" s="31"/>
      <c r="J53" s="32"/>
      <c r="K53" s="32"/>
      <c r="L53" s="464"/>
      <c r="M53" s="293">
        <f>[2]Apr!$G57</f>
        <v>0</v>
      </c>
      <c r="N53" s="172">
        <f>'[1]April_2026 '!$M57</f>
        <v>0</v>
      </c>
      <c r="O53" s="32"/>
      <c r="P53" s="172"/>
      <c r="Q53" s="783"/>
      <c r="R53" s="527"/>
      <c r="S53" s="546"/>
      <c r="T53" s="548"/>
      <c r="U53" s="947"/>
      <c r="V53" s="954"/>
    </row>
    <row r="54" spans="2:22" s="19" customFormat="1" ht="165.75" hidden="1" customHeight="1" x14ac:dyDescent="0.2">
      <c r="B54" s="168"/>
      <c r="C54" s="26"/>
      <c r="D54" s="27"/>
      <c r="E54" s="28"/>
      <c r="F54" s="29"/>
      <c r="G54" s="30"/>
      <c r="H54" s="29"/>
      <c r="I54" s="31"/>
      <c r="J54" s="32"/>
      <c r="K54" s="32"/>
      <c r="L54" s="464"/>
      <c r="M54" s="293">
        <f>[2]Apr!$G58</f>
        <v>0</v>
      </c>
      <c r="N54" s="172">
        <f>'[1]April_2026 '!$M58</f>
        <v>0</v>
      </c>
      <c r="O54" s="32"/>
      <c r="P54" s="172"/>
      <c r="Q54" s="783"/>
      <c r="R54" s="527"/>
      <c r="S54" s="546"/>
      <c r="T54" s="548"/>
      <c r="U54" s="947"/>
      <c r="V54" s="955"/>
    </row>
    <row r="55" spans="2:22" s="19" customFormat="1" ht="165.75" hidden="1" customHeight="1" x14ac:dyDescent="0.2">
      <c r="B55" s="168"/>
      <c r="C55" s="26"/>
      <c r="D55" s="27"/>
      <c r="E55" s="28"/>
      <c r="F55" s="29"/>
      <c r="G55" s="30"/>
      <c r="H55" s="29"/>
      <c r="I55" s="31"/>
      <c r="J55" s="32"/>
      <c r="K55" s="32"/>
      <c r="L55" s="464"/>
      <c r="M55" s="293">
        <f>[2]Apr!$G59</f>
        <v>0</v>
      </c>
      <c r="N55" s="172">
        <f>'[1]April_2026 '!$M59</f>
        <v>0</v>
      </c>
      <c r="O55" s="32">
        <f>[2]Apr!$I59</f>
        <v>0</v>
      </c>
      <c r="P55" s="172">
        <f>'[1]April_2026 '!$I59</f>
        <v>0</v>
      </c>
      <c r="Q55" s="783">
        <f>'[1]April_2026 '!$P59</f>
        <v>0</v>
      </c>
      <c r="R55" s="527"/>
      <c r="S55" s="546"/>
      <c r="T55" s="548"/>
      <c r="U55" s="900"/>
      <c r="V55" s="955"/>
    </row>
    <row r="56" spans="2:22" s="19" customFormat="1" ht="25.5" customHeight="1" thickBot="1" x14ac:dyDescent="0.25">
      <c r="B56" s="168"/>
      <c r="C56" s="26"/>
      <c r="D56" s="27"/>
      <c r="E56" s="28"/>
      <c r="F56" s="29"/>
      <c r="G56" s="30"/>
      <c r="H56" s="29"/>
      <c r="I56" s="31"/>
      <c r="J56" s="32"/>
      <c r="K56" s="32"/>
      <c r="L56" s="464"/>
      <c r="M56" s="169"/>
      <c r="N56" s="32"/>
      <c r="O56" s="406"/>
      <c r="P56" s="32"/>
      <c r="Q56" s="33"/>
      <c r="R56" s="527"/>
      <c r="S56" s="546"/>
      <c r="T56" s="548"/>
      <c r="U56" s="900"/>
      <c r="V56" s="956"/>
    </row>
    <row r="57" spans="2:22" s="19" customFormat="1" ht="57" customHeight="1" thickBot="1" x14ac:dyDescent="0.25">
      <c r="B57" s="240" t="s">
        <v>3</v>
      </c>
      <c r="C57" s="241"/>
      <c r="D57" s="242">
        <f>SUM(D4:D55)</f>
        <v>114455</v>
      </c>
      <c r="E57" s="243">
        <f>AVERAGE(E4:E55)</f>
        <v>1.2661077235772356</v>
      </c>
      <c r="F57" s="244">
        <f>SUM(F4:F56)</f>
        <v>8188.9100000000017</v>
      </c>
      <c r="G57" s="242">
        <f>SUM(G4:G55)</f>
        <v>121106</v>
      </c>
      <c r="H57" s="244">
        <f>SUM(H4:H56)</f>
        <v>8039.0160000000005</v>
      </c>
      <c r="I57" s="245">
        <f>SUM(I4:I55)</f>
        <v>426</v>
      </c>
      <c r="J57" s="245">
        <f>G57/(L57/60)</f>
        <v>261.38925860642468</v>
      </c>
      <c r="K57" s="242">
        <f>SUM(K4:K55)</f>
        <v>22037</v>
      </c>
      <c r="L57" s="466">
        <f>SUM(L4:L55)</f>
        <v>27799</v>
      </c>
      <c r="M57" s="246">
        <f>AVERAGE(M4:M56)</f>
        <v>1.0804521276595744</v>
      </c>
      <c r="N57" s="242">
        <f>SUM(N4:N55)</f>
        <v>12491</v>
      </c>
      <c r="O57" s="245">
        <f>SUM(O4:O56)</f>
        <v>1313</v>
      </c>
      <c r="P57" s="245">
        <f>SUM(P5:P56)</f>
        <v>3420.2</v>
      </c>
      <c r="Q57" s="292">
        <f>(F57-H57)/F57</f>
        <v>1.8304511833687403E-2</v>
      </c>
      <c r="R57" s="875">
        <f>($G57)/(($L57/60)*X3*(1/24))</f>
        <v>0.36902012979730547</v>
      </c>
      <c r="S57" s="739">
        <f>(G57)*24/((K57)/60)/X3</f>
        <v>0.46550758216795812</v>
      </c>
      <c r="T57" s="559">
        <f>(28761-((N57)-[2]Apr!$AC$54-[2]Apr!$AB$54-[2]Apr!$AA$54-[2]Apr!$Z$54-[2]Apr!$N$54-[2]Apr!$M$54-[2]Apr!$L$54-[2]Apr!$K$54-[2]Apr!$J$54-[2]Apr!$I$54-[2]Apr!$H$54))/28761</f>
        <v>0.68384270366120792</v>
      </c>
      <c r="U57" s="949">
        <f ca="1">SUM(U4:U57)</f>
        <v>0</v>
      </c>
      <c r="V57" s="957"/>
    </row>
    <row r="58" spans="2:22" s="656" customFormat="1" ht="65.099999999999994" customHeight="1" thickTop="1" x14ac:dyDescent="0.2">
      <c r="B58" s="657" t="s">
        <v>861</v>
      </c>
      <c r="C58" s="658"/>
      <c r="D58" s="641"/>
      <c r="E58" s="659"/>
      <c r="F58" s="660"/>
      <c r="G58" s="641"/>
      <c r="H58" s="660"/>
      <c r="I58" s="661"/>
      <c r="J58" s="661">
        <v>350</v>
      </c>
      <c r="K58" s="641"/>
      <c r="L58" s="641"/>
      <c r="M58" s="642"/>
      <c r="N58" s="641"/>
      <c r="O58" s="643"/>
      <c r="P58" s="644"/>
      <c r="Q58" s="668">
        <v>1.7999999999999999E-2</v>
      </c>
      <c r="R58" s="666">
        <v>0.56000000000000005</v>
      </c>
      <c r="S58" s="666">
        <v>0.66</v>
      </c>
      <c r="T58" s="667">
        <v>0.8</v>
      </c>
      <c r="V58" s="662"/>
    </row>
    <row r="59" spans="2:22" s="1" customFormat="1" ht="30" x14ac:dyDescent="0.4">
      <c r="C59" s="604"/>
      <c r="D59" s="605"/>
      <c r="E59" s="606"/>
      <c r="F59" s="606"/>
      <c r="G59" s="467"/>
      <c r="H59" s="467"/>
      <c r="J59"/>
      <c r="K59"/>
      <c r="L59"/>
      <c r="M59"/>
      <c r="N59"/>
      <c r="O59" s="392"/>
      <c r="P59" s="2"/>
      <c r="R59"/>
      <c r="S59"/>
      <c r="U59" s="728"/>
      <c r="V59"/>
    </row>
    <row r="60" spans="2:22" s="478" customFormat="1" ht="24.75" customHeight="1" x14ac:dyDescent="0.4">
      <c r="B60" s="489"/>
      <c r="C60" s="469" t="s">
        <v>849</v>
      </c>
      <c r="D60" s="820">
        <v>132300</v>
      </c>
      <c r="E60" s="1010" t="s">
        <v>512</v>
      </c>
      <c r="F60" s="1010"/>
      <c r="G60" s="470">
        <f>D60-G57</f>
        <v>11194</v>
      </c>
      <c r="H60" s="469" t="s">
        <v>327</v>
      </c>
      <c r="I60" s="471">
        <f>G57/D60</f>
        <v>0.91538926681783828</v>
      </c>
      <c r="J60" s="472">
        <v>0</v>
      </c>
      <c r="K60" s="473"/>
      <c r="L60" s="473"/>
      <c r="M60" s="473"/>
      <c r="N60" s="473"/>
      <c r="O60" s="473"/>
      <c r="P60" s="490"/>
      <c r="Q60" s="491"/>
      <c r="R60" s="492"/>
      <c r="S60" s="493"/>
      <c r="T60" s="493"/>
      <c r="U60" s="1"/>
      <c r="V60" s="494" t="s">
        <v>48</v>
      </c>
    </row>
    <row r="61" spans="2:22" s="478" customFormat="1" ht="26.25" x14ac:dyDescent="0.4">
      <c r="B61" s="489"/>
      <c r="C61" s="469" t="s">
        <v>37</v>
      </c>
      <c r="D61" s="648">
        <f>March_26!D63+D60</f>
        <v>407689</v>
      </c>
      <c r="E61" s="1010" t="s">
        <v>36</v>
      </c>
      <c r="F61" s="1010"/>
      <c r="G61" s="470">
        <f>SUM(January_26!G103,February_26!G60,March_26!G58,G57)</f>
        <v>454563</v>
      </c>
      <c r="H61" s="469" t="s">
        <v>326</v>
      </c>
      <c r="I61" s="474">
        <v>0</v>
      </c>
      <c r="J61" s="472"/>
      <c r="K61" s="473">
        <v>0</v>
      </c>
      <c r="L61" s="473"/>
      <c r="M61" s="473"/>
      <c r="N61" s="473"/>
      <c r="O61" s="473"/>
      <c r="P61" s="490"/>
      <c r="Q61" s="491"/>
      <c r="R61" s="492"/>
      <c r="S61" s="493"/>
      <c r="T61" s="493"/>
      <c r="U61" s="1"/>
      <c r="V61" s="494"/>
    </row>
    <row r="62" spans="2:22" s="478" customFormat="1" ht="27" thickBot="1" x14ac:dyDescent="0.45">
      <c r="B62" s="489"/>
      <c r="C62" s="469"/>
      <c r="D62" s="649"/>
      <c r="E62" s="469"/>
      <c r="F62" s="469"/>
      <c r="G62" s="470"/>
      <c r="H62" s="469"/>
      <c r="I62" s="838"/>
      <c r="J62" s="472"/>
      <c r="K62" s="473"/>
      <c r="L62" s="473"/>
      <c r="M62" s="473"/>
      <c r="N62" s="473"/>
      <c r="O62" s="473"/>
      <c r="P62" s="490"/>
      <c r="Q62" s="491"/>
      <c r="R62" s="492"/>
      <c r="S62" s="493"/>
      <c r="T62" s="493"/>
      <c r="U62" s="1"/>
      <c r="V62" s="494"/>
    </row>
    <row r="63" spans="2:22" ht="91.5" customHeight="1" thickTop="1" thickBot="1" x14ac:dyDescent="0.25">
      <c r="P63"/>
      <c r="Q63" s="537" t="s">
        <v>325</v>
      </c>
      <c r="R63" s="538" t="s">
        <v>467</v>
      </c>
      <c r="S63" s="539" t="s">
        <v>324</v>
      </c>
      <c r="T63" s="524" t="s">
        <v>576</v>
      </c>
      <c r="V63" s="17"/>
    </row>
    <row r="64" spans="2:22" ht="26.25" thickBot="1" x14ac:dyDescent="0.25">
      <c r="B64" s="7"/>
      <c r="L64" s="473"/>
      <c r="M64" s="535"/>
      <c r="P64" s="459"/>
      <c r="Q64" s="540">
        <f>S75</f>
        <v>1.9141795787324962E-2</v>
      </c>
      <c r="R64" s="558">
        <f>(((January_26!R103*January_26!G103))+(February_26!R60*(February_26!G60))+(March_26!R58*(March_26!G58))+(April_26!R57*(April_26!G57)))/G61</f>
        <v>0.35250599077206068</v>
      </c>
      <c r="S64" s="558">
        <f>S74</f>
        <v>0.46433071245960161</v>
      </c>
      <c r="T64" s="568">
        <f>AVERAGE(January_26!T103,February_26!T60,March_26!T58,T57)</f>
        <v>0.67191854438705967</v>
      </c>
      <c r="U64" s="493"/>
    </row>
    <row r="65" spans="2:22" ht="45" customHeight="1" thickTop="1" x14ac:dyDescent="0.2">
      <c r="B65" s="8"/>
      <c r="C65" s="495" t="s">
        <v>19</v>
      </c>
      <c r="D65" s="496" t="s">
        <v>14</v>
      </c>
      <c r="E65" s="496" t="s">
        <v>23</v>
      </c>
      <c r="F65" s="496" t="s">
        <v>24</v>
      </c>
      <c r="G65" s="497" t="s">
        <v>15</v>
      </c>
      <c r="H65" s="496" t="s">
        <v>17</v>
      </c>
      <c r="I65" s="496" t="s">
        <v>16</v>
      </c>
      <c r="J65" s="498" t="s">
        <v>600</v>
      </c>
      <c r="K65" s="499" t="s">
        <v>599</v>
      </c>
      <c r="L65" s="473"/>
      <c r="P65"/>
      <c r="Q65"/>
      <c r="T65"/>
      <c r="U65" s="901"/>
    </row>
    <row r="66" spans="2:22" s="1" customFormat="1" ht="27.75" x14ac:dyDescent="0.4">
      <c r="B66" s="8"/>
      <c r="C66" s="500">
        <v>1</v>
      </c>
      <c r="D66" s="501" t="s">
        <v>20</v>
      </c>
      <c r="E66" s="502"/>
      <c r="F66" s="502"/>
      <c r="G66" s="502"/>
      <c r="H66" s="502"/>
      <c r="I66" s="552" t="e">
        <f t="shared" ref="I66:I73" si="7">(G66-H66)/G66</f>
        <v>#DIV/0!</v>
      </c>
      <c r="J66" s="543" t="e">
        <f>(E66)*24/(F66/60)/17000</f>
        <v>#DIV/0!</v>
      </c>
      <c r="K66" s="544" t="e">
        <f>AVERAGE(January_26!J111,February_26!J68,March_26!J66,J66)</f>
        <v>#DIV/0!</v>
      </c>
      <c r="L66" s="473"/>
      <c r="M66"/>
      <c r="N66" s="461"/>
      <c r="O66" s="392"/>
      <c r="P66" s="696"/>
      <c r="R66"/>
      <c r="S66"/>
      <c r="U66" s="902"/>
      <c r="V66"/>
    </row>
    <row r="67" spans="2:22" s="1" customFormat="1" ht="27.75" x14ac:dyDescent="0.4">
      <c r="B67" s="8"/>
      <c r="C67" s="505">
        <v>2</v>
      </c>
      <c r="D67" s="506" t="s">
        <v>21</v>
      </c>
      <c r="E67" s="502"/>
      <c r="F67" s="502"/>
      <c r="G67" s="502"/>
      <c r="H67" s="502"/>
      <c r="I67" s="552" t="e">
        <f t="shared" si="7"/>
        <v>#DIV/0!</v>
      </c>
      <c r="J67" s="543" t="e">
        <f>(E67)*24/(F67/60)/17000</f>
        <v>#DIV/0!</v>
      </c>
      <c r="K67" s="544" t="e">
        <f>AVERAGE(January_26!J112,February_26!J69,March_26!J67,J67)</f>
        <v>#DIV/0!</v>
      </c>
      <c r="L67" s="473"/>
      <c r="M67"/>
      <c r="N67"/>
      <c r="O67" s="392"/>
      <c r="P67" s="2"/>
      <c r="R67"/>
      <c r="S67"/>
      <c r="V67"/>
    </row>
    <row r="68" spans="2:22" s="1" customFormat="1" ht="27.75" x14ac:dyDescent="0.4">
      <c r="B68" s="8"/>
      <c r="C68" s="500">
        <v>3</v>
      </c>
      <c r="D68" s="506" t="s">
        <v>846</v>
      </c>
      <c r="E68" s="502"/>
      <c r="F68" s="502"/>
      <c r="G68" s="502"/>
      <c r="H68" s="502"/>
      <c r="I68" s="552" t="e">
        <f t="shared" si="7"/>
        <v>#DIV/0!</v>
      </c>
      <c r="J68" s="543" t="e">
        <f t="shared" ref="J68:J73" si="8">(E68)*24/(F68/60)/17000</f>
        <v>#DIV/0!</v>
      </c>
      <c r="K68" s="544" t="e">
        <f>AVERAGE(January_26!J113,February_26!J70,March_26!J68,J68)</f>
        <v>#DIV/0!</v>
      </c>
      <c r="L68" s="473"/>
      <c r="M68"/>
      <c r="N68"/>
      <c r="O68" s="392"/>
      <c r="P68" s="2"/>
      <c r="Q68" s="159"/>
      <c r="R68" s="160"/>
      <c r="S68" s="161"/>
      <c r="T68" s="234"/>
      <c r="V68"/>
    </row>
    <row r="69" spans="2:22" s="1" customFormat="1" ht="27.75" x14ac:dyDescent="0.4">
      <c r="B69" s="8"/>
      <c r="C69" s="505">
        <v>4</v>
      </c>
      <c r="D69" s="506" t="s">
        <v>18</v>
      </c>
      <c r="E69" s="510"/>
      <c r="F69" s="510"/>
      <c r="G69" s="510"/>
      <c r="H69" s="510"/>
      <c r="I69" s="552" t="e">
        <f t="shared" si="7"/>
        <v>#DIV/0!</v>
      </c>
      <c r="J69" s="543" t="e">
        <f t="shared" si="8"/>
        <v>#DIV/0!</v>
      </c>
      <c r="K69" s="544" t="e">
        <f>AVERAGE(January_26!J114,February_26!J71,March_26!J69,J69)</f>
        <v>#DIV/0!</v>
      </c>
      <c r="L69" s="473"/>
      <c r="M69"/>
      <c r="O69" s="392"/>
      <c r="P69" s="2"/>
      <c r="Q69" s="159"/>
      <c r="R69"/>
      <c r="S69" s="6"/>
      <c r="T69" s="10"/>
      <c r="V69"/>
    </row>
    <row r="70" spans="2:22" s="1" customFormat="1" ht="27.75" x14ac:dyDescent="0.4">
      <c r="B70" s="8"/>
      <c r="C70" s="500">
        <v>5</v>
      </c>
      <c r="D70" s="509" t="s">
        <v>26</v>
      </c>
      <c r="E70" s="510"/>
      <c r="F70" s="510"/>
      <c r="G70" s="510"/>
      <c r="H70" s="510"/>
      <c r="I70" s="552" t="e">
        <f t="shared" si="7"/>
        <v>#DIV/0!</v>
      </c>
      <c r="J70" s="543" t="e">
        <f t="shared" si="8"/>
        <v>#DIV/0!</v>
      </c>
      <c r="K70" s="544" t="e">
        <f>AVERAGE(January_26!J115,February_26!J72,March_26!J70,J70)</f>
        <v>#DIV/0!</v>
      </c>
      <c r="L70" s="473"/>
      <c r="M70"/>
      <c r="N70"/>
      <c r="O70" s="392"/>
      <c r="P70" s="2"/>
      <c r="Q70" s="159"/>
      <c r="R70" s="465"/>
      <c r="S70" s="139"/>
      <c r="V70"/>
    </row>
    <row r="71" spans="2:22" s="1" customFormat="1" ht="27.75" x14ac:dyDescent="0.4">
      <c r="B71" s="8"/>
      <c r="C71" s="505">
        <v>6</v>
      </c>
      <c r="D71" s="506" t="s">
        <v>25</v>
      </c>
      <c r="E71" s="510"/>
      <c r="F71" s="510"/>
      <c r="G71" s="510"/>
      <c r="H71" s="510"/>
      <c r="I71" s="552" t="e">
        <f t="shared" si="7"/>
        <v>#DIV/0!</v>
      </c>
      <c r="J71" s="543" t="e">
        <f t="shared" si="8"/>
        <v>#DIV/0!</v>
      </c>
      <c r="K71" s="544" t="e">
        <f>AVERAGE(January_26!J116,February_26!J73,March_26!J71,J71)</f>
        <v>#DIV/0!</v>
      </c>
      <c r="L71" s="473"/>
      <c r="M71"/>
      <c r="N71"/>
      <c r="O71" s="392"/>
      <c r="P71" s="2"/>
      <c r="Q71" s="159"/>
      <c r="R71" s="465"/>
      <c r="S71" s="139"/>
      <c r="U71" s="234"/>
      <c r="V71"/>
    </row>
    <row r="72" spans="2:22" s="1" customFormat="1" ht="28.5" thickBot="1" x14ac:dyDescent="0.45">
      <c r="C72" s="526">
        <v>7</v>
      </c>
      <c r="D72" s="509" t="s">
        <v>847</v>
      </c>
      <c r="E72" s="672"/>
      <c r="F72" s="672"/>
      <c r="G72" s="672"/>
      <c r="H72" s="672"/>
      <c r="I72" s="552" t="e">
        <f t="shared" si="7"/>
        <v>#DIV/0!</v>
      </c>
      <c r="J72" s="543" t="e">
        <f t="shared" si="8"/>
        <v>#DIV/0!</v>
      </c>
      <c r="K72" s="544" t="e">
        <f>AVERAGE(January_26!J117,February_26!J74,March_26!J72,J72)</f>
        <v>#DIV/0!</v>
      </c>
      <c r="L72" s="473"/>
      <c r="M72"/>
      <c r="N72"/>
      <c r="O72" s="392"/>
      <c r="P72" s="139" t="s">
        <v>845</v>
      </c>
      <c r="Q72" s="159"/>
      <c r="R72"/>
      <c r="S72" s="465"/>
      <c r="U72" s="10"/>
      <c r="V72"/>
    </row>
    <row r="73" spans="2:22" s="1" customFormat="1" ht="28.5" thickBot="1" x14ac:dyDescent="0.45">
      <c r="C73" s="526">
        <v>8</v>
      </c>
      <c r="D73" s="598" t="s">
        <v>856</v>
      </c>
      <c r="E73" s="599"/>
      <c r="F73" s="599"/>
      <c r="G73" s="599"/>
      <c r="H73" s="599"/>
      <c r="I73" s="552" t="e">
        <f t="shared" si="7"/>
        <v>#DIV/0!</v>
      </c>
      <c r="J73" s="543" t="e">
        <f t="shared" si="8"/>
        <v>#DIV/0!</v>
      </c>
      <c r="K73" s="544" t="e">
        <f>AVERAGE(January_26!J118,February_26!J75,March_26!J73,J73)</f>
        <v>#DIV/0!</v>
      </c>
      <c r="L73" s="473"/>
      <c r="M73"/>
      <c r="N73"/>
      <c r="O73" s="529"/>
      <c r="P73" s="530"/>
      <c r="Q73" s="528"/>
      <c r="R73"/>
      <c r="S73" s="128">
        <f>($P$74)*24/($Q$74/60)/17000</f>
        <v>0.46433071245960161</v>
      </c>
      <c r="V73"/>
    </row>
    <row r="74" spans="2:22" s="1" customFormat="1" ht="29.25" thickTop="1" thickBot="1" x14ac:dyDescent="0.45">
      <c r="C74" s="511"/>
      <c r="D74" s="512" t="s">
        <v>22</v>
      </c>
      <c r="E74" s="513"/>
      <c r="F74" s="513"/>
      <c r="G74" s="513"/>
      <c r="H74" s="513"/>
      <c r="I74" s="551" t="e">
        <f>((G74)-(H74))/(G74)</f>
        <v>#DIV/0!</v>
      </c>
      <c r="J74" s="514" t="e">
        <f>E74*24/((F74)/60)/17000</f>
        <v>#DIV/0!</v>
      </c>
      <c r="K74" s="515">
        <f>S64</f>
        <v>0.46433071245960161</v>
      </c>
      <c r="L74"/>
      <c r="M74"/>
      <c r="N74"/>
      <c r="O74" s="600" t="s">
        <v>36</v>
      </c>
      <c r="P74" s="530">
        <f>G61</f>
        <v>454563</v>
      </c>
      <c r="Q74" s="531">
        <f>February_26!K60+January_26!K103+March_26!K58+K57</f>
        <v>82924</v>
      </c>
      <c r="R74" s="316" t="s">
        <v>858</v>
      </c>
      <c r="S74" s="128">
        <f>($P$74)*24/($Q$74/60)/17000</f>
        <v>0.46433071245960161</v>
      </c>
      <c r="V74"/>
    </row>
    <row r="75" spans="2:22" s="1" customFormat="1" ht="21.75" thickTop="1" thickBot="1" x14ac:dyDescent="0.35">
      <c r="J75"/>
      <c r="K75"/>
      <c r="L75"/>
      <c r="M75"/>
      <c r="N75"/>
      <c r="O75" s="600" t="s">
        <v>857</v>
      </c>
      <c r="P75" s="530">
        <f>February_26!F60+January_26!F103+March_26!F58+F57</f>
        <v>30773.175440000006</v>
      </c>
      <c r="Q75" s="532">
        <f>March_26!H58+February_26!H60+January_26!H103+H57</f>
        <v>30184.121600000002</v>
      </c>
      <c r="R75" s="316" t="s">
        <v>859</v>
      </c>
      <c r="S75" s="87">
        <f>(P75-Q75)/P75</f>
        <v>1.9141795787324962E-2</v>
      </c>
      <c r="V75"/>
    </row>
    <row r="76" spans="2:22" s="1" customFormat="1" ht="13.5" thickTop="1" x14ac:dyDescent="0.2">
      <c r="J76"/>
      <c r="K76"/>
      <c r="L76"/>
      <c r="M76"/>
      <c r="N76"/>
      <c r="O76" s="392"/>
      <c r="P76" s="2"/>
      <c r="R76"/>
      <c r="S76"/>
      <c r="V76"/>
    </row>
    <row r="77" spans="2:22" s="1" customFormat="1" x14ac:dyDescent="0.2">
      <c r="J77"/>
      <c r="K77"/>
      <c r="L77"/>
      <c r="M77"/>
      <c r="N77"/>
      <c r="O77" s="392"/>
      <c r="P77" s="2"/>
      <c r="R77"/>
      <c r="S77"/>
      <c r="V77"/>
    </row>
    <row r="78" spans="2:22" s="1" customFormat="1" x14ac:dyDescent="0.2">
      <c r="J78"/>
      <c r="K78"/>
      <c r="L78"/>
      <c r="M78"/>
      <c r="N78"/>
      <c r="O78" s="392"/>
      <c r="P78" s="2"/>
      <c r="R78"/>
      <c r="S78"/>
      <c r="V78"/>
    </row>
    <row r="79" spans="2:22" s="1" customFormat="1" x14ac:dyDescent="0.2">
      <c r="J79"/>
      <c r="K79"/>
      <c r="L79"/>
      <c r="M79"/>
      <c r="N79"/>
      <c r="O79" s="392"/>
      <c r="P79" s="2"/>
      <c r="R79"/>
      <c r="S79"/>
      <c r="V79"/>
    </row>
    <row r="80" spans="2:22" s="1" customFormat="1" ht="20.25" x14ac:dyDescent="0.3">
      <c r="J80"/>
      <c r="K80"/>
      <c r="L80"/>
      <c r="M80"/>
      <c r="N80"/>
      <c r="O80" s="392"/>
      <c r="P80" s="2"/>
      <c r="R80"/>
      <c r="S80"/>
      <c r="U80" s="463"/>
      <c r="V80"/>
    </row>
    <row r="81" spans="10:22" s="1" customFormat="1" x14ac:dyDescent="0.2">
      <c r="J81"/>
      <c r="K81"/>
      <c r="L81"/>
      <c r="M81"/>
      <c r="N81"/>
      <c r="O81" s="392"/>
      <c r="P81" s="2"/>
      <c r="R81"/>
      <c r="S81"/>
      <c r="V81"/>
    </row>
    <row r="82" spans="10:22" s="1" customFormat="1" x14ac:dyDescent="0.2">
      <c r="J82"/>
      <c r="K82"/>
      <c r="L82"/>
      <c r="M82"/>
      <c r="N82"/>
      <c r="O82" s="392"/>
      <c r="P82" s="2"/>
      <c r="R82"/>
      <c r="S82"/>
      <c r="V82"/>
    </row>
    <row r="83" spans="10:22" s="1" customFormat="1" x14ac:dyDescent="0.2">
      <c r="J83"/>
      <c r="K83"/>
      <c r="L83"/>
      <c r="M83"/>
      <c r="N83"/>
      <c r="O83" s="392"/>
      <c r="P83" s="2"/>
      <c r="R83"/>
      <c r="S83"/>
      <c r="V83"/>
    </row>
    <row r="84" spans="10:22" s="1" customFormat="1" x14ac:dyDescent="0.2">
      <c r="J84"/>
      <c r="K84"/>
      <c r="L84"/>
      <c r="M84"/>
      <c r="N84"/>
      <c r="O84" s="392"/>
      <c r="P84" s="2"/>
      <c r="R84"/>
      <c r="S84"/>
      <c r="V84"/>
    </row>
    <row r="85" spans="10:22" s="1" customFormat="1" x14ac:dyDescent="0.2">
      <c r="J85"/>
      <c r="K85"/>
      <c r="L85"/>
      <c r="M85"/>
      <c r="N85"/>
      <c r="O85" s="392"/>
      <c r="P85" s="2"/>
      <c r="R85"/>
      <c r="S85"/>
      <c r="V85"/>
    </row>
    <row r="86" spans="10:22" s="1" customFormat="1" x14ac:dyDescent="0.2">
      <c r="J86"/>
      <c r="K86"/>
      <c r="L86"/>
      <c r="M86"/>
      <c r="N86"/>
      <c r="O86" s="392"/>
      <c r="P86" s="2"/>
      <c r="R86"/>
      <c r="S86"/>
      <c r="V86"/>
    </row>
    <row r="87" spans="10:22" s="1" customFormat="1" x14ac:dyDescent="0.2">
      <c r="J87"/>
      <c r="K87"/>
      <c r="L87"/>
      <c r="M87"/>
      <c r="N87"/>
      <c r="O87" s="392"/>
      <c r="P87" s="2"/>
      <c r="R87"/>
      <c r="S87"/>
      <c r="V87"/>
    </row>
    <row r="88" spans="10:22" s="1" customFormat="1" x14ac:dyDescent="0.2">
      <c r="J88"/>
      <c r="K88"/>
      <c r="L88"/>
      <c r="M88"/>
      <c r="N88"/>
      <c r="O88" s="392"/>
      <c r="P88" s="2"/>
      <c r="R88"/>
      <c r="S88"/>
      <c r="V88"/>
    </row>
    <row r="89" spans="10:22" s="1" customFormat="1" x14ac:dyDescent="0.2">
      <c r="J89"/>
      <c r="K89"/>
      <c r="L89"/>
      <c r="M89"/>
      <c r="N89"/>
      <c r="O89" s="392"/>
      <c r="P89" s="2"/>
      <c r="R89"/>
      <c r="S89"/>
      <c r="V89"/>
    </row>
    <row r="90" spans="10:22" s="1" customFormat="1" x14ac:dyDescent="0.2">
      <c r="J90"/>
      <c r="K90"/>
      <c r="L90"/>
      <c r="M90"/>
      <c r="N90"/>
      <c r="O90" s="392"/>
      <c r="P90" s="2"/>
      <c r="R90"/>
      <c r="S90"/>
      <c r="V90"/>
    </row>
    <row r="91" spans="10:22" s="1" customFormat="1" x14ac:dyDescent="0.2">
      <c r="J91"/>
      <c r="K91"/>
      <c r="L91"/>
      <c r="M91"/>
      <c r="N91"/>
      <c r="O91" s="392"/>
      <c r="P91" s="2"/>
      <c r="R91"/>
      <c r="S91"/>
      <c r="V91"/>
    </row>
    <row r="92" spans="10:22" s="1" customFormat="1" x14ac:dyDescent="0.2">
      <c r="J92"/>
      <c r="K92"/>
      <c r="L92"/>
      <c r="M92"/>
      <c r="N92"/>
      <c r="O92" s="392"/>
      <c r="P92" s="2"/>
      <c r="R92"/>
      <c r="S92"/>
      <c r="V92"/>
    </row>
    <row r="93" spans="10:22" s="1" customFormat="1" x14ac:dyDescent="0.2">
      <c r="J93"/>
      <c r="K93"/>
      <c r="L93"/>
      <c r="M93"/>
      <c r="N93"/>
      <c r="O93" s="392"/>
      <c r="P93" s="2"/>
      <c r="R93"/>
      <c r="S93"/>
      <c r="V93"/>
    </row>
    <row r="94" spans="10:22" s="1" customFormat="1" x14ac:dyDescent="0.2">
      <c r="J94"/>
      <c r="K94"/>
      <c r="L94"/>
      <c r="M94"/>
      <c r="N94"/>
      <c r="O94" s="392"/>
      <c r="P94" s="2"/>
      <c r="R94"/>
      <c r="S94"/>
      <c r="V94"/>
    </row>
    <row r="95" spans="10:22" s="1" customFormat="1" x14ac:dyDescent="0.2">
      <c r="J95"/>
      <c r="K95"/>
      <c r="L95"/>
      <c r="M95"/>
      <c r="N95"/>
      <c r="O95" s="392"/>
      <c r="P95" s="2"/>
      <c r="R95"/>
      <c r="S95"/>
      <c r="V95"/>
    </row>
    <row r="96" spans="10:22" s="1" customFormat="1" x14ac:dyDescent="0.2">
      <c r="J96"/>
      <c r="K96"/>
      <c r="L96"/>
      <c r="M96"/>
      <c r="N96"/>
      <c r="O96" s="392"/>
      <c r="P96" s="2"/>
      <c r="R96"/>
      <c r="S96"/>
      <c r="V96"/>
    </row>
    <row r="97" spans="10:22" s="1" customFormat="1" x14ac:dyDescent="0.2">
      <c r="J97"/>
      <c r="K97"/>
      <c r="L97"/>
      <c r="M97"/>
      <c r="N97"/>
      <c r="O97" s="392"/>
      <c r="P97" s="2"/>
      <c r="R97"/>
      <c r="S97"/>
      <c r="V97"/>
    </row>
    <row r="98" spans="10:22" s="1" customFormat="1" x14ac:dyDescent="0.2">
      <c r="J98"/>
      <c r="K98"/>
      <c r="L98"/>
      <c r="M98"/>
      <c r="N98"/>
      <c r="O98" s="392"/>
      <c r="P98" s="2"/>
      <c r="R98"/>
      <c r="S98"/>
      <c r="V98"/>
    </row>
    <row r="99" spans="10:22" s="1" customFormat="1" x14ac:dyDescent="0.2">
      <c r="J99"/>
      <c r="K99"/>
      <c r="L99"/>
      <c r="M99"/>
      <c r="N99"/>
      <c r="O99" s="392"/>
      <c r="P99" s="2"/>
      <c r="R99"/>
      <c r="S99"/>
      <c r="V99"/>
    </row>
    <row r="100" spans="10:22" s="1" customFormat="1" x14ac:dyDescent="0.2">
      <c r="J100"/>
      <c r="K100"/>
      <c r="L100"/>
      <c r="M100"/>
      <c r="N100"/>
      <c r="O100" s="392"/>
      <c r="P100" s="2"/>
      <c r="R100"/>
      <c r="S100"/>
      <c r="V100"/>
    </row>
    <row r="101" spans="10:22" s="1" customFormat="1" x14ac:dyDescent="0.2">
      <c r="J101"/>
      <c r="K101"/>
      <c r="L101"/>
      <c r="M101"/>
      <c r="N101"/>
      <c r="O101" s="392"/>
      <c r="P101" s="2"/>
      <c r="R101"/>
      <c r="S101"/>
      <c r="V101"/>
    </row>
    <row r="102" spans="10:22" s="1" customFormat="1" x14ac:dyDescent="0.2">
      <c r="J102"/>
      <c r="K102"/>
      <c r="L102"/>
      <c r="M102"/>
      <c r="N102"/>
      <c r="O102" s="392"/>
      <c r="P102" s="2"/>
      <c r="R102"/>
      <c r="S102"/>
      <c r="V102"/>
    </row>
    <row r="103" spans="10:22" s="1" customFormat="1" x14ac:dyDescent="0.2">
      <c r="J103"/>
      <c r="K103"/>
      <c r="L103"/>
      <c r="M103"/>
      <c r="N103"/>
      <c r="O103" s="392"/>
      <c r="P103" s="2"/>
      <c r="R103"/>
      <c r="S103"/>
      <c r="V103"/>
    </row>
    <row r="104" spans="10:22" s="1" customFormat="1" x14ac:dyDescent="0.2">
      <c r="J104"/>
      <c r="K104"/>
      <c r="L104"/>
      <c r="M104"/>
      <c r="N104"/>
      <c r="O104" s="392"/>
      <c r="P104" s="2"/>
      <c r="R104"/>
      <c r="S104"/>
      <c r="V104"/>
    </row>
    <row r="105" spans="10:22" s="1" customFormat="1" x14ac:dyDescent="0.2">
      <c r="J105"/>
      <c r="K105"/>
      <c r="L105"/>
      <c r="M105"/>
      <c r="N105"/>
      <c r="O105" s="392"/>
      <c r="P105" s="2"/>
      <c r="R105"/>
      <c r="S105"/>
      <c r="V105"/>
    </row>
    <row r="106" spans="10:22" s="1" customFormat="1" x14ac:dyDescent="0.2">
      <c r="J106"/>
      <c r="K106"/>
      <c r="L106"/>
      <c r="M106"/>
      <c r="N106"/>
      <c r="O106" s="392"/>
      <c r="P106" s="2"/>
      <c r="R106"/>
      <c r="S106"/>
      <c r="V106"/>
    </row>
    <row r="107" spans="10:22" s="1" customFormat="1" x14ac:dyDescent="0.2">
      <c r="J107"/>
      <c r="K107"/>
      <c r="L107"/>
      <c r="M107"/>
      <c r="N107"/>
      <c r="O107" s="392"/>
      <c r="P107" s="2"/>
      <c r="R107"/>
      <c r="S107"/>
      <c r="V107"/>
    </row>
    <row r="108" spans="10:22" s="1" customFormat="1" x14ac:dyDescent="0.2">
      <c r="J108"/>
      <c r="K108"/>
      <c r="L108"/>
      <c r="M108"/>
      <c r="N108"/>
      <c r="O108" s="392"/>
      <c r="P108" s="2"/>
      <c r="R108"/>
      <c r="S108"/>
      <c r="V108"/>
    </row>
    <row r="109" spans="10:22" s="1" customFormat="1" x14ac:dyDescent="0.2">
      <c r="J109"/>
      <c r="K109"/>
      <c r="L109"/>
      <c r="M109"/>
      <c r="N109"/>
      <c r="O109" s="392"/>
      <c r="P109" s="2"/>
      <c r="R109"/>
      <c r="S109"/>
      <c r="V109"/>
    </row>
    <row r="110" spans="10:22" s="1" customFormat="1" x14ac:dyDescent="0.2">
      <c r="J110"/>
      <c r="K110"/>
      <c r="L110"/>
      <c r="M110"/>
      <c r="N110"/>
      <c r="O110" s="392"/>
      <c r="P110" s="2"/>
      <c r="R110"/>
      <c r="S110"/>
      <c r="V110"/>
    </row>
    <row r="111" spans="10:22" s="1" customFormat="1" x14ac:dyDescent="0.2">
      <c r="J111"/>
      <c r="K111"/>
      <c r="L111"/>
      <c r="M111"/>
      <c r="N111"/>
      <c r="O111" s="392"/>
      <c r="P111" s="2"/>
      <c r="R111"/>
      <c r="S111"/>
      <c r="V111"/>
    </row>
    <row r="112" spans="10:22" s="1" customFormat="1" x14ac:dyDescent="0.2">
      <c r="J112"/>
      <c r="K112"/>
      <c r="L112"/>
      <c r="M112"/>
      <c r="N112"/>
      <c r="O112" s="392"/>
      <c r="P112" s="2"/>
      <c r="R112"/>
      <c r="S112"/>
      <c r="V112"/>
    </row>
    <row r="113" spans="10:22" s="1" customFormat="1" x14ac:dyDescent="0.2">
      <c r="J113"/>
      <c r="K113"/>
      <c r="L113"/>
      <c r="M113"/>
      <c r="N113"/>
      <c r="O113" s="392"/>
      <c r="P113" s="2"/>
      <c r="R113"/>
      <c r="S113"/>
      <c r="V113"/>
    </row>
    <row r="114" spans="10:22" s="1" customFormat="1" x14ac:dyDescent="0.2">
      <c r="J114"/>
      <c r="K114"/>
      <c r="L114"/>
      <c r="M114"/>
      <c r="N114"/>
      <c r="O114" s="392"/>
      <c r="P114" s="2"/>
      <c r="R114"/>
      <c r="S114"/>
      <c r="V114"/>
    </row>
    <row r="115" spans="10:22" s="1" customFormat="1" x14ac:dyDescent="0.2">
      <c r="J115"/>
      <c r="K115"/>
      <c r="L115"/>
      <c r="M115"/>
      <c r="N115"/>
      <c r="O115" s="392"/>
      <c r="P115" s="2"/>
      <c r="R115"/>
      <c r="S115"/>
      <c r="V115"/>
    </row>
    <row r="116" spans="10:22" s="1" customFormat="1" x14ac:dyDescent="0.2">
      <c r="J116"/>
      <c r="K116"/>
      <c r="L116"/>
      <c r="M116"/>
      <c r="N116"/>
      <c r="O116" s="392"/>
      <c r="P116" s="2"/>
      <c r="R116"/>
      <c r="S116"/>
      <c r="V116"/>
    </row>
    <row r="117" spans="10:22" s="1" customFormat="1" x14ac:dyDescent="0.2">
      <c r="J117"/>
      <c r="K117"/>
      <c r="L117"/>
      <c r="M117"/>
      <c r="N117"/>
      <c r="O117" s="392"/>
      <c r="P117" s="2"/>
      <c r="R117"/>
      <c r="S117"/>
      <c r="V117"/>
    </row>
    <row r="118" spans="10:22" s="1" customFormat="1" x14ac:dyDescent="0.2">
      <c r="J118"/>
      <c r="K118"/>
      <c r="L118"/>
      <c r="M118"/>
      <c r="N118"/>
      <c r="O118" s="392"/>
      <c r="P118" s="2"/>
      <c r="R118"/>
      <c r="S118"/>
      <c r="V118"/>
    </row>
    <row r="119" spans="10:22" s="1" customFormat="1" x14ac:dyDescent="0.2">
      <c r="J119"/>
      <c r="K119"/>
      <c r="L119"/>
      <c r="M119"/>
      <c r="N119"/>
      <c r="O119" s="392"/>
      <c r="P119" s="2"/>
      <c r="R119"/>
      <c r="S119"/>
      <c r="V119"/>
    </row>
    <row r="120" spans="10:22" s="1" customFormat="1" x14ac:dyDescent="0.2">
      <c r="J120"/>
      <c r="K120"/>
      <c r="L120"/>
      <c r="M120"/>
      <c r="N120"/>
      <c r="O120" s="392"/>
      <c r="P120" s="2"/>
      <c r="R120"/>
      <c r="S120"/>
      <c r="V120"/>
    </row>
    <row r="121" spans="10:22" s="1" customFormat="1" x14ac:dyDescent="0.2">
      <c r="J121"/>
      <c r="K121"/>
      <c r="L121"/>
      <c r="M121"/>
      <c r="N121"/>
      <c r="O121" s="392"/>
      <c r="P121" s="2"/>
      <c r="R121"/>
      <c r="S121"/>
      <c r="V121"/>
    </row>
    <row r="122" spans="10:22" s="1" customFormat="1" x14ac:dyDescent="0.2">
      <c r="J122"/>
      <c r="K122"/>
      <c r="L122"/>
      <c r="M122"/>
      <c r="N122"/>
      <c r="O122" s="392"/>
      <c r="P122" s="2"/>
      <c r="R122"/>
      <c r="S122"/>
      <c r="V122"/>
    </row>
    <row r="123" spans="10:22" s="1" customFormat="1" x14ac:dyDescent="0.2">
      <c r="J123"/>
      <c r="K123"/>
      <c r="L123"/>
      <c r="M123"/>
      <c r="N123"/>
      <c r="O123" s="392"/>
      <c r="P123" s="2"/>
      <c r="R123"/>
      <c r="S123"/>
      <c r="V123"/>
    </row>
    <row r="124" spans="10:22" s="1" customFormat="1" x14ac:dyDescent="0.2">
      <c r="J124"/>
      <c r="K124"/>
      <c r="L124"/>
      <c r="M124"/>
      <c r="N124"/>
      <c r="O124" s="392"/>
      <c r="P124" s="2"/>
      <c r="R124"/>
      <c r="S124"/>
      <c r="V124"/>
    </row>
    <row r="125" spans="10:22" s="1" customFormat="1" x14ac:dyDescent="0.2">
      <c r="J125"/>
      <c r="K125"/>
      <c r="L125"/>
      <c r="M125"/>
      <c r="N125"/>
      <c r="O125" s="392"/>
      <c r="P125" s="2"/>
      <c r="R125"/>
      <c r="S125"/>
      <c r="V125"/>
    </row>
    <row r="126" spans="10:22" s="1" customFormat="1" x14ac:dyDescent="0.2">
      <c r="J126"/>
      <c r="K126"/>
      <c r="L126"/>
      <c r="M126"/>
      <c r="N126"/>
      <c r="O126" s="392"/>
      <c r="P126" s="2"/>
      <c r="R126"/>
      <c r="S126"/>
      <c r="V126"/>
    </row>
    <row r="127" spans="10:22" s="1" customFormat="1" x14ac:dyDescent="0.2">
      <c r="J127"/>
      <c r="K127"/>
      <c r="L127"/>
      <c r="M127"/>
      <c r="N127"/>
      <c r="O127" s="392"/>
      <c r="P127" s="2"/>
      <c r="R127"/>
      <c r="S127"/>
      <c r="V127"/>
    </row>
    <row r="128" spans="10:22" s="1" customFormat="1" x14ac:dyDescent="0.2">
      <c r="J128"/>
      <c r="K128"/>
      <c r="L128"/>
      <c r="M128"/>
      <c r="N128"/>
      <c r="O128" s="392"/>
      <c r="P128" s="2"/>
      <c r="R128"/>
      <c r="S128"/>
      <c r="V128"/>
    </row>
    <row r="129" spans="10:22" s="1" customFormat="1" x14ac:dyDescent="0.2">
      <c r="J129"/>
      <c r="K129"/>
      <c r="L129"/>
      <c r="M129"/>
      <c r="N129"/>
      <c r="O129" s="392"/>
      <c r="P129" s="2"/>
      <c r="R129"/>
      <c r="S129"/>
      <c r="V129"/>
    </row>
    <row r="130" spans="10:22" s="1" customFormat="1" x14ac:dyDescent="0.2">
      <c r="J130"/>
      <c r="K130"/>
      <c r="L130"/>
      <c r="M130"/>
      <c r="N130"/>
      <c r="O130" s="392"/>
      <c r="P130" s="2"/>
      <c r="R130"/>
      <c r="S130"/>
      <c r="V130"/>
    </row>
    <row r="131" spans="10:22" s="1" customFormat="1" x14ac:dyDescent="0.2">
      <c r="J131"/>
      <c r="K131"/>
      <c r="L131"/>
      <c r="M131"/>
      <c r="N131"/>
      <c r="O131" s="392"/>
      <c r="P131" s="2"/>
      <c r="R131"/>
      <c r="S131"/>
      <c r="V131"/>
    </row>
    <row r="132" spans="10:22" s="1" customFormat="1" x14ac:dyDescent="0.2">
      <c r="J132"/>
      <c r="K132"/>
      <c r="L132"/>
      <c r="M132"/>
      <c r="N132"/>
      <c r="O132" s="392"/>
      <c r="P132" s="2"/>
      <c r="R132"/>
      <c r="S132"/>
      <c r="V132"/>
    </row>
    <row r="133" spans="10:22" s="1" customFormat="1" x14ac:dyDescent="0.2">
      <c r="J133"/>
      <c r="K133"/>
      <c r="L133"/>
      <c r="M133"/>
      <c r="N133"/>
      <c r="O133" s="392"/>
      <c r="P133" s="2"/>
      <c r="R133"/>
      <c r="S133"/>
      <c r="V133"/>
    </row>
    <row r="134" spans="10:22" s="1" customFormat="1" x14ac:dyDescent="0.2">
      <c r="J134"/>
      <c r="K134"/>
      <c r="L134"/>
      <c r="M134"/>
      <c r="N134"/>
      <c r="O134" s="392"/>
      <c r="P134" s="2"/>
      <c r="R134"/>
      <c r="S134"/>
      <c r="V134"/>
    </row>
    <row r="135" spans="10:22" s="1" customFormat="1" x14ac:dyDescent="0.2">
      <c r="J135"/>
      <c r="K135"/>
      <c r="L135"/>
      <c r="M135"/>
      <c r="N135"/>
      <c r="O135" s="392"/>
      <c r="P135" s="2"/>
      <c r="R135"/>
      <c r="S135"/>
      <c r="V135"/>
    </row>
    <row r="136" spans="10:22" s="1" customFormat="1" x14ac:dyDescent="0.2">
      <c r="J136"/>
      <c r="K136"/>
      <c r="L136"/>
      <c r="M136"/>
      <c r="N136"/>
      <c r="O136" s="392"/>
      <c r="P136" s="2"/>
      <c r="R136"/>
      <c r="S136"/>
      <c r="V136"/>
    </row>
    <row r="137" spans="10:22" s="1" customFormat="1" x14ac:dyDescent="0.2">
      <c r="J137"/>
      <c r="K137"/>
      <c r="L137"/>
      <c r="M137"/>
      <c r="N137"/>
      <c r="O137" s="392"/>
      <c r="P137" s="2"/>
      <c r="R137"/>
      <c r="S137"/>
      <c r="V137"/>
    </row>
    <row r="138" spans="10:22" s="1" customFormat="1" x14ac:dyDescent="0.2">
      <c r="J138"/>
      <c r="K138"/>
      <c r="L138"/>
      <c r="M138"/>
      <c r="N138"/>
      <c r="O138" s="392"/>
      <c r="P138" s="2"/>
      <c r="R138"/>
      <c r="S138"/>
      <c r="V138"/>
    </row>
    <row r="139" spans="10:22" s="1" customFormat="1" x14ac:dyDescent="0.2">
      <c r="J139"/>
      <c r="K139"/>
      <c r="L139"/>
      <c r="M139"/>
      <c r="N139"/>
      <c r="O139" s="392"/>
      <c r="P139" s="2"/>
      <c r="R139"/>
      <c r="S139"/>
      <c r="V139"/>
    </row>
    <row r="140" spans="10:22" s="1" customFormat="1" x14ac:dyDescent="0.2">
      <c r="J140"/>
      <c r="K140"/>
      <c r="L140"/>
      <c r="M140"/>
      <c r="N140"/>
      <c r="O140" s="392"/>
      <c r="P140" s="2"/>
      <c r="R140"/>
      <c r="S140"/>
      <c r="V140"/>
    </row>
    <row r="141" spans="10:22" s="1" customFormat="1" x14ac:dyDescent="0.2">
      <c r="J141"/>
      <c r="K141"/>
      <c r="L141"/>
      <c r="M141"/>
      <c r="N141"/>
      <c r="O141" s="392"/>
      <c r="P141" s="2"/>
      <c r="R141"/>
      <c r="S141"/>
      <c r="V141"/>
    </row>
    <row r="142" spans="10:22" s="1" customFormat="1" x14ac:dyDescent="0.2">
      <c r="J142"/>
      <c r="K142"/>
      <c r="L142"/>
      <c r="M142"/>
      <c r="N142"/>
      <c r="O142" s="392"/>
      <c r="P142" s="2"/>
      <c r="R142"/>
      <c r="S142"/>
      <c r="V142"/>
    </row>
    <row r="143" spans="10:22" s="1" customFormat="1" x14ac:dyDescent="0.2">
      <c r="J143"/>
      <c r="K143"/>
      <c r="L143"/>
      <c r="M143"/>
      <c r="N143"/>
      <c r="O143" s="392"/>
      <c r="P143" s="2"/>
      <c r="R143"/>
      <c r="S143"/>
      <c r="V143"/>
    </row>
    <row r="144" spans="10:22" s="1" customFormat="1" x14ac:dyDescent="0.2">
      <c r="J144"/>
      <c r="K144"/>
      <c r="L144"/>
      <c r="M144"/>
      <c r="N144"/>
      <c r="O144" s="392"/>
      <c r="P144" s="2"/>
      <c r="R144"/>
      <c r="S144"/>
      <c r="V144"/>
    </row>
    <row r="145" spans="10:22" s="1" customFormat="1" x14ac:dyDescent="0.2">
      <c r="J145"/>
      <c r="K145"/>
      <c r="L145"/>
      <c r="M145"/>
      <c r="N145"/>
      <c r="O145" s="392"/>
      <c r="P145" s="2"/>
      <c r="R145"/>
      <c r="S145"/>
      <c r="V145"/>
    </row>
    <row r="146" spans="10:22" s="1" customFormat="1" x14ac:dyDescent="0.2">
      <c r="J146"/>
      <c r="K146"/>
      <c r="L146"/>
      <c r="M146"/>
      <c r="N146"/>
      <c r="O146" s="392"/>
      <c r="P146" s="2"/>
      <c r="R146"/>
      <c r="S146"/>
      <c r="V146"/>
    </row>
    <row r="147" spans="10:22" s="1" customFormat="1" x14ac:dyDescent="0.2">
      <c r="J147"/>
      <c r="K147"/>
      <c r="L147"/>
      <c r="M147"/>
      <c r="N147"/>
      <c r="O147" s="392"/>
      <c r="P147" s="2"/>
      <c r="R147"/>
      <c r="S147"/>
      <c r="V147"/>
    </row>
    <row r="148" spans="10:22" s="1" customFormat="1" x14ac:dyDescent="0.2">
      <c r="J148"/>
      <c r="K148"/>
      <c r="L148"/>
      <c r="M148"/>
      <c r="N148"/>
      <c r="O148" s="392"/>
      <c r="P148" s="2"/>
      <c r="R148"/>
      <c r="S148"/>
      <c r="V148"/>
    </row>
    <row r="149" spans="10:22" s="1" customFormat="1" x14ac:dyDescent="0.2">
      <c r="J149"/>
      <c r="K149"/>
      <c r="L149"/>
      <c r="M149"/>
      <c r="N149"/>
      <c r="O149" s="392"/>
      <c r="P149" s="2"/>
      <c r="R149"/>
      <c r="S149"/>
      <c r="V149"/>
    </row>
    <row r="150" spans="10:22" s="1" customFormat="1" x14ac:dyDescent="0.2">
      <c r="J150"/>
      <c r="K150"/>
      <c r="L150"/>
      <c r="M150"/>
      <c r="N150"/>
      <c r="O150" s="392"/>
      <c r="P150" s="2"/>
      <c r="R150"/>
      <c r="S150"/>
      <c r="V150"/>
    </row>
    <row r="151" spans="10:22" s="1" customFormat="1" x14ac:dyDescent="0.2">
      <c r="J151"/>
      <c r="K151"/>
      <c r="L151"/>
      <c r="M151"/>
      <c r="N151"/>
      <c r="O151" s="392"/>
      <c r="P151" s="2"/>
      <c r="R151"/>
      <c r="S151"/>
      <c r="V151"/>
    </row>
    <row r="152" spans="10:22" s="1" customFormat="1" x14ac:dyDescent="0.2">
      <c r="J152"/>
      <c r="K152"/>
      <c r="L152"/>
      <c r="M152"/>
      <c r="N152"/>
      <c r="O152" s="392"/>
      <c r="P152" s="2"/>
      <c r="R152"/>
      <c r="S152"/>
      <c r="V152"/>
    </row>
    <row r="153" spans="10:22" s="1" customFormat="1" x14ac:dyDescent="0.2">
      <c r="J153"/>
      <c r="K153"/>
      <c r="L153"/>
      <c r="M153"/>
      <c r="N153"/>
      <c r="O153" s="392"/>
      <c r="P153" s="2"/>
      <c r="R153"/>
      <c r="S153"/>
      <c r="V153"/>
    </row>
    <row r="154" spans="10:22" s="1" customFormat="1" x14ac:dyDescent="0.2">
      <c r="J154"/>
      <c r="K154"/>
      <c r="L154"/>
      <c r="M154"/>
      <c r="N154"/>
      <c r="O154" s="392"/>
      <c r="P154" s="2"/>
      <c r="R154"/>
      <c r="S154"/>
      <c r="V154"/>
    </row>
    <row r="155" spans="10:22" s="1" customFormat="1" x14ac:dyDescent="0.2">
      <c r="J155"/>
      <c r="K155"/>
      <c r="L155"/>
      <c r="M155"/>
      <c r="N155"/>
      <c r="O155" s="392"/>
      <c r="P155" s="2"/>
      <c r="R155"/>
      <c r="S155"/>
      <c r="V155"/>
    </row>
    <row r="156" spans="10:22" s="1" customFormat="1" x14ac:dyDescent="0.2">
      <c r="J156"/>
      <c r="K156"/>
      <c r="L156"/>
      <c r="M156"/>
      <c r="N156"/>
      <c r="O156" s="392"/>
      <c r="P156" s="2"/>
      <c r="R156"/>
      <c r="S156"/>
      <c r="V156"/>
    </row>
    <row r="157" spans="10:22" s="1" customFormat="1" x14ac:dyDescent="0.2">
      <c r="J157"/>
      <c r="K157"/>
      <c r="L157"/>
      <c r="M157"/>
      <c r="N157"/>
      <c r="O157" s="392"/>
      <c r="P157" s="2"/>
      <c r="R157"/>
      <c r="S157"/>
      <c r="V157"/>
    </row>
    <row r="158" spans="10:22" s="1" customFormat="1" x14ac:dyDescent="0.2">
      <c r="J158"/>
      <c r="K158"/>
      <c r="L158"/>
      <c r="M158"/>
      <c r="N158"/>
      <c r="O158" s="392"/>
      <c r="P158" s="2"/>
      <c r="R158"/>
      <c r="S158"/>
      <c r="V158"/>
    </row>
    <row r="159" spans="10:22" s="1" customFormat="1" x14ac:dyDescent="0.2">
      <c r="J159"/>
      <c r="K159"/>
      <c r="L159"/>
      <c r="M159"/>
      <c r="N159"/>
      <c r="O159" s="392"/>
      <c r="P159" s="2"/>
      <c r="R159"/>
      <c r="S159"/>
      <c r="V159"/>
    </row>
    <row r="160" spans="10:22" s="1" customFormat="1" x14ac:dyDescent="0.2">
      <c r="J160"/>
      <c r="K160"/>
      <c r="L160"/>
      <c r="M160"/>
      <c r="N160"/>
      <c r="O160" s="392"/>
      <c r="P160" s="2"/>
      <c r="R160"/>
      <c r="S160"/>
      <c r="V160"/>
    </row>
    <row r="161" spans="10:22" s="1" customFormat="1" x14ac:dyDescent="0.2">
      <c r="J161"/>
      <c r="K161"/>
      <c r="L161"/>
      <c r="M161"/>
      <c r="N161"/>
      <c r="O161" s="392"/>
      <c r="P161" s="2"/>
      <c r="R161"/>
      <c r="S161"/>
      <c r="V161"/>
    </row>
    <row r="162" spans="10:22" s="1" customFormat="1" x14ac:dyDescent="0.2">
      <c r="J162"/>
      <c r="K162"/>
      <c r="L162"/>
      <c r="M162"/>
      <c r="N162"/>
      <c r="O162" s="392"/>
      <c r="P162" s="2"/>
      <c r="R162"/>
      <c r="S162"/>
      <c r="V162"/>
    </row>
    <row r="163" spans="10:22" s="1" customFormat="1" x14ac:dyDescent="0.2">
      <c r="J163"/>
      <c r="K163"/>
      <c r="L163"/>
      <c r="M163"/>
      <c r="N163"/>
      <c r="O163" s="392"/>
      <c r="P163" s="2"/>
      <c r="R163"/>
      <c r="S163"/>
      <c r="V163"/>
    </row>
    <row r="164" spans="10:22" s="1" customFormat="1" x14ac:dyDescent="0.2">
      <c r="J164"/>
      <c r="K164"/>
      <c r="L164"/>
      <c r="M164"/>
      <c r="N164"/>
      <c r="O164" s="392"/>
      <c r="P164" s="2"/>
      <c r="R164"/>
      <c r="S164"/>
      <c r="V164"/>
    </row>
    <row r="165" spans="10:22" s="1" customFormat="1" x14ac:dyDescent="0.2">
      <c r="J165"/>
      <c r="K165"/>
      <c r="L165"/>
      <c r="M165"/>
      <c r="N165"/>
      <c r="O165" s="392"/>
      <c r="P165" s="2"/>
      <c r="R165"/>
      <c r="S165"/>
      <c r="V165"/>
    </row>
    <row r="166" spans="10:22" s="1" customFormat="1" x14ac:dyDescent="0.2">
      <c r="J166"/>
      <c r="K166"/>
      <c r="L166"/>
      <c r="M166"/>
      <c r="N166"/>
      <c r="O166" s="392"/>
      <c r="P166" s="2"/>
      <c r="R166"/>
      <c r="S166"/>
      <c r="V166"/>
    </row>
    <row r="167" spans="10:22" s="1" customFormat="1" x14ac:dyDescent="0.2">
      <c r="J167"/>
      <c r="K167"/>
      <c r="L167"/>
      <c r="M167"/>
      <c r="N167"/>
      <c r="O167" s="392"/>
      <c r="P167" s="2"/>
      <c r="R167"/>
      <c r="S167"/>
      <c r="V167"/>
    </row>
    <row r="168" spans="10:22" s="1" customFormat="1" x14ac:dyDescent="0.2">
      <c r="J168"/>
      <c r="K168"/>
      <c r="L168"/>
      <c r="M168"/>
      <c r="N168"/>
      <c r="O168" s="392"/>
      <c r="P168" s="2"/>
      <c r="R168"/>
      <c r="S168"/>
      <c r="V168"/>
    </row>
    <row r="169" spans="10:22" s="1" customFormat="1" x14ac:dyDescent="0.2">
      <c r="J169"/>
      <c r="K169"/>
      <c r="L169"/>
      <c r="M169"/>
      <c r="N169"/>
      <c r="O169" s="392"/>
      <c r="P169" s="2"/>
      <c r="R169"/>
      <c r="S169"/>
      <c r="V169"/>
    </row>
    <row r="170" spans="10:22" s="1" customFormat="1" x14ac:dyDescent="0.2">
      <c r="J170"/>
      <c r="K170"/>
      <c r="L170"/>
      <c r="M170"/>
      <c r="N170"/>
      <c r="O170" s="392"/>
      <c r="P170" s="2"/>
      <c r="R170"/>
      <c r="S170"/>
      <c r="V170"/>
    </row>
    <row r="171" spans="10:22" s="1" customFormat="1" x14ac:dyDescent="0.2">
      <c r="J171"/>
      <c r="K171"/>
      <c r="L171"/>
      <c r="M171"/>
      <c r="N171"/>
      <c r="O171" s="392"/>
      <c r="P171" s="2"/>
      <c r="R171"/>
      <c r="S171"/>
      <c r="V171"/>
    </row>
    <row r="172" spans="10:22" s="1" customFormat="1" x14ac:dyDescent="0.2">
      <c r="J172"/>
      <c r="K172"/>
      <c r="L172"/>
      <c r="M172"/>
      <c r="N172"/>
      <c r="O172" s="392"/>
      <c r="P172" s="2"/>
      <c r="R172"/>
      <c r="S172"/>
      <c r="V172"/>
    </row>
    <row r="173" spans="10:22" s="1" customFormat="1" x14ac:dyDescent="0.2">
      <c r="J173"/>
      <c r="K173"/>
      <c r="L173"/>
      <c r="M173"/>
      <c r="N173"/>
      <c r="O173" s="392"/>
      <c r="P173" s="2"/>
      <c r="R173"/>
      <c r="S173"/>
      <c r="V173"/>
    </row>
    <row r="174" spans="10:22" s="1" customFormat="1" x14ac:dyDescent="0.2">
      <c r="J174"/>
      <c r="K174"/>
      <c r="L174"/>
      <c r="M174"/>
      <c r="N174"/>
      <c r="O174" s="392"/>
      <c r="P174" s="2"/>
      <c r="R174"/>
      <c r="S174"/>
      <c r="V174"/>
    </row>
    <row r="175" spans="10:22" s="1" customFormat="1" x14ac:dyDescent="0.2">
      <c r="J175"/>
      <c r="K175"/>
      <c r="L175"/>
      <c r="M175"/>
      <c r="N175"/>
      <c r="O175" s="392"/>
      <c r="P175" s="2"/>
      <c r="R175"/>
      <c r="S175"/>
      <c r="V175"/>
    </row>
    <row r="176" spans="10:22" s="1" customFormat="1" x14ac:dyDescent="0.2">
      <c r="J176"/>
      <c r="K176"/>
      <c r="L176"/>
      <c r="M176"/>
      <c r="N176"/>
      <c r="O176" s="392"/>
      <c r="P176" s="2"/>
      <c r="R176"/>
      <c r="S176"/>
      <c r="V176"/>
    </row>
    <row r="177" spans="10:22" s="1" customFormat="1" x14ac:dyDescent="0.2">
      <c r="J177"/>
      <c r="K177"/>
      <c r="L177"/>
      <c r="M177"/>
      <c r="N177"/>
      <c r="O177" s="392"/>
      <c r="P177" s="2"/>
      <c r="R177"/>
      <c r="S177"/>
      <c r="V177"/>
    </row>
    <row r="178" spans="10:22" s="1" customFormat="1" x14ac:dyDescent="0.2">
      <c r="J178"/>
      <c r="K178"/>
      <c r="L178"/>
      <c r="M178"/>
      <c r="N178"/>
      <c r="O178" s="392"/>
      <c r="P178" s="2"/>
      <c r="R178"/>
      <c r="S178"/>
      <c r="V178"/>
    </row>
    <row r="179" spans="10:22" s="1" customFormat="1" x14ac:dyDescent="0.2">
      <c r="J179"/>
      <c r="K179"/>
      <c r="L179"/>
      <c r="M179"/>
      <c r="N179"/>
      <c r="O179" s="392"/>
      <c r="P179" s="2"/>
      <c r="R179"/>
      <c r="S179"/>
      <c r="V179"/>
    </row>
    <row r="180" spans="10:22" s="1" customFormat="1" x14ac:dyDescent="0.2">
      <c r="J180"/>
      <c r="K180"/>
      <c r="L180"/>
      <c r="M180"/>
      <c r="N180"/>
      <c r="O180" s="392"/>
      <c r="P180" s="2"/>
      <c r="R180"/>
      <c r="S180"/>
      <c r="V180"/>
    </row>
    <row r="181" spans="10:22" s="1" customFormat="1" x14ac:dyDescent="0.2">
      <c r="J181"/>
      <c r="K181"/>
      <c r="L181"/>
      <c r="M181"/>
      <c r="N181"/>
      <c r="O181" s="392"/>
      <c r="P181" s="2"/>
      <c r="R181"/>
      <c r="S181"/>
      <c r="V181"/>
    </row>
    <row r="182" spans="10:22" s="1" customFormat="1" x14ac:dyDescent="0.2">
      <c r="J182"/>
      <c r="K182"/>
      <c r="L182"/>
      <c r="M182"/>
      <c r="N182"/>
      <c r="O182" s="392"/>
      <c r="P182" s="2"/>
      <c r="R182"/>
      <c r="S182"/>
      <c r="V182"/>
    </row>
    <row r="183" spans="10:22" s="1" customFormat="1" x14ac:dyDescent="0.2">
      <c r="J183"/>
      <c r="K183"/>
      <c r="L183"/>
      <c r="M183"/>
      <c r="N183"/>
      <c r="O183" s="392"/>
      <c r="P183" s="2"/>
      <c r="R183"/>
      <c r="S183"/>
      <c r="V183"/>
    </row>
    <row r="184" spans="10:22" s="1" customFormat="1" x14ac:dyDescent="0.2">
      <c r="J184"/>
      <c r="K184"/>
      <c r="L184"/>
      <c r="M184"/>
      <c r="N184"/>
      <c r="O184" s="392"/>
      <c r="P184" s="2"/>
      <c r="R184"/>
      <c r="S184"/>
      <c r="V184"/>
    </row>
    <row r="185" spans="10:22" s="1" customFormat="1" x14ac:dyDescent="0.2">
      <c r="J185"/>
      <c r="K185"/>
      <c r="L185"/>
      <c r="M185"/>
      <c r="N185"/>
      <c r="O185" s="392"/>
      <c r="P185" s="2"/>
      <c r="R185"/>
      <c r="S185"/>
      <c r="V185"/>
    </row>
    <row r="186" spans="10:22" s="1" customFormat="1" x14ac:dyDescent="0.2">
      <c r="J186"/>
      <c r="K186"/>
      <c r="L186"/>
      <c r="M186"/>
      <c r="N186"/>
      <c r="O186" s="392"/>
      <c r="P186" s="2"/>
      <c r="R186"/>
      <c r="S186"/>
      <c r="V186"/>
    </row>
    <row r="187" spans="10:22" s="1" customFormat="1" x14ac:dyDescent="0.2">
      <c r="J187"/>
      <c r="K187"/>
      <c r="L187"/>
      <c r="M187"/>
      <c r="N187"/>
      <c r="O187" s="392"/>
      <c r="P187" s="2"/>
      <c r="R187"/>
      <c r="S187"/>
      <c r="V187"/>
    </row>
    <row r="188" spans="10:22" s="1" customFormat="1" x14ac:dyDescent="0.2">
      <c r="J188"/>
      <c r="K188"/>
      <c r="L188"/>
      <c r="M188"/>
      <c r="N188"/>
      <c r="O188" s="392"/>
      <c r="P188" s="2"/>
      <c r="R188"/>
      <c r="S188"/>
      <c r="V188"/>
    </row>
    <row r="189" spans="10:22" s="1" customFormat="1" x14ac:dyDescent="0.2">
      <c r="J189"/>
      <c r="K189"/>
      <c r="L189"/>
      <c r="M189"/>
      <c r="N189"/>
      <c r="O189" s="392"/>
      <c r="P189" s="2"/>
      <c r="R189"/>
      <c r="S189"/>
      <c r="V189"/>
    </row>
    <row r="190" spans="10:22" s="1" customFormat="1" x14ac:dyDescent="0.2">
      <c r="J190"/>
      <c r="K190"/>
      <c r="L190"/>
      <c r="M190"/>
      <c r="N190"/>
      <c r="O190" s="392"/>
      <c r="P190" s="2"/>
      <c r="R190"/>
      <c r="S190"/>
      <c r="V190"/>
    </row>
    <row r="191" spans="10:22" s="1" customFormat="1" x14ac:dyDescent="0.2">
      <c r="J191"/>
      <c r="K191"/>
      <c r="L191"/>
      <c r="M191"/>
      <c r="N191"/>
      <c r="O191" s="392"/>
      <c r="P191" s="2"/>
      <c r="R191"/>
      <c r="S191"/>
      <c r="V191"/>
    </row>
    <row r="192" spans="10:22" s="1" customFormat="1" x14ac:dyDescent="0.2">
      <c r="J192"/>
      <c r="K192"/>
      <c r="L192"/>
      <c r="M192"/>
      <c r="N192"/>
      <c r="O192" s="392"/>
      <c r="P192" s="2"/>
      <c r="R192"/>
      <c r="S192"/>
      <c r="V192"/>
    </row>
    <row r="193" spans="10:22" s="1" customFormat="1" x14ac:dyDescent="0.2">
      <c r="J193"/>
      <c r="K193"/>
      <c r="L193"/>
      <c r="M193"/>
      <c r="N193"/>
      <c r="O193" s="392"/>
      <c r="P193" s="2"/>
      <c r="R193"/>
      <c r="S193"/>
      <c r="V193"/>
    </row>
    <row r="194" spans="10:22" s="1" customFormat="1" x14ac:dyDescent="0.2">
      <c r="J194"/>
      <c r="K194"/>
      <c r="L194"/>
      <c r="M194"/>
      <c r="N194"/>
      <c r="O194" s="392"/>
      <c r="P194" s="2"/>
      <c r="R194"/>
      <c r="S194"/>
      <c r="V194"/>
    </row>
    <row r="195" spans="10:22" s="1" customFormat="1" x14ac:dyDescent="0.2">
      <c r="J195"/>
      <c r="K195"/>
      <c r="L195"/>
      <c r="M195"/>
      <c r="N195"/>
      <c r="O195" s="392"/>
      <c r="P195" s="2"/>
      <c r="R195"/>
      <c r="S195"/>
      <c r="V195"/>
    </row>
    <row r="196" spans="10:22" s="1" customFormat="1" x14ac:dyDescent="0.2">
      <c r="J196"/>
      <c r="K196"/>
      <c r="L196"/>
      <c r="M196"/>
      <c r="N196"/>
      <c r="O196" s="392"/>
      <c r="P196" s="2"/>
      <c r="R196"/>
      <c r="S196"/>
      <c r="V196"/>
    </row>
    <row r="197" spans="10:22" s="1" customFormat="1" x14ac:dyDescent="0.2">
      <c r="J197"/>
      <c r="K197"/>
      <c r="L197"/>
      <c r="M197"/>
      <c r="N197"/>
      <c r="O197" s="392"/>
      <c r="P197" s="2"/>
      <c r="R197"/>
      <c r="S197"/>
      <c r="V197"/>
    </row>
    <row r="198" spans="10:22" s="1" customFormat="1" x14ac:dyDescent="0.2">
      <c r="J198"/>
      <c r="K198"/>
      <c r="L198"/>
      <c r="M198"/>
      <c r="N198"/>
      <c r="O198" s="392"/>
      <c r="P198" s="2"/>
      <c r="R198"/>
      <c r="S198"/>
      <c r="V198"/>
    </row>
    <row r="199" spans="10:22" s="1" customFormat="1" x14ac:dyDescent="0.2">
      <c r="J199"/>
      <c r="K199"/>
      <c r="L199"/>
      <c r="M199"/>
      <c r="N199"/>
      <c r="O199" s="392"/>
      <c r="P199" s="2"/>
      <c r="R199"/>
      <c r="S199"/>
      <c r="V199"/>
    </row>
    <row r="200" spans="10:22" s="1" customFormat="1" x14ac:dyDescent="0.2">
      <c r="J200"/>
      <c r="K200"/>
      <c r="L200"/>
      <c r="M200"/>
      <c r="N200"/>
      <c r="O200" s="392"/>
      <c r="P200" s="2"/>
      <c r="R200"/>
      <c r="S200"/>
      <c r="V200"/>
    </row>
    <row r="201" spans="10:22" s="1" customFormat="1" x14ac:dyDescent="0.2">
      <c r="J201"/>
      <c r="K201"/>
      <c r="L201"/>
      <c r="M201"/>
      <c r="N201"/>
      <c r="O201" s="392"/>
      <c r="P201" s="2"/>
      <c r="R201"/>
      <c r="S201"/>
      <c r="V201"/>
    </row>
    <row r="202" spans="10:22" s="1" customFormat="1" x14ac:dyDescent="0.2">
      <c r="J202"/>
      <c r="K202"/>
      <c r="L202"/>
      <c r="M202"/>
      <c r="N202"/>
      <c r="O202" s="392"/>
      <c r="P202" s="2"/>
      <c r="R202"/>
      <c r="S202"/>
      <c r="V202"/>
    </row>
    <row r="203" spans="10:22" s="1" customFormat="1" x14ac:dyDescent="0.2">
      <c r="J203"/>
      <c r="K203"/>
      <c r="L203"/>
      <c r="M203"/>
      <c r="N203"/>
      <c r="O203" s="392"/>
      <c r="P203" s="2"/>
      <c r="R203"/>
      <c r="S203"/>
      <c r="V203"/>
    </row>
    <row r="204" spans="10:22" s="1" customFormat="1" x14ac:dyDescent="0.2">
      <c r="J204"/>
      <c r="K204"/>
      <c r="L204"/>
      <c r="M204"/>
      <c r="N204"/>
      <c r="O204" s="392"/>
      <c r="P204" s="2"/>
      <c r="R204"/>
      <c r="S204"/>
      <c r="V204"/>
    </row>
    <row r="205" spans="10:22" s="1" customFormat="1" x14ac:dyDescent="0.2">
      <c r="J205"/>
      <c r="K205"/>
      <c r="L205"/>
      <c r="M205"/>
      <c r="N205"/>
      <c r="O205" s="392"/>
      <c r="P205" s="2"/>
      <c r="R205"/>
      <c r="S205"/>
      <c r="V205"/>
    </row>
    <row r="206" spans="10:22" s="1" customFormat="1" x14ac:dyDescent="0.2">
      <c r="J206"/>
      <c r="K206"/>
      <c r="L206"/>
      <c r="M206"/>
      <c r="N206"/>
      <c r="O206" s="392"/>
      <c r="P206" s="2"/>
      <c r="R206"/>
      <c r="S206"/>
      <c r="V206"/>
    </row>
    <row r="207" spans="10:22" s="1" customFormat="1" x14ac:dyDescent="0.2">
      <c r="J207"/>
      <c r="K207"/>
      <c r="L207"/>
      <c r="M207"/>
      <c r="N207"/>
      <c r="O207" s="392"/>
      <c r="P207" s="2"/>
      <c r="R207"/>
      <c r="S207"/>
      <c r="V207"/>
    </row>
    <row r="208" spans="10:22" s="1" customFormat="1" x14ac:dyDescent="0.2">
      <c r="J208"/>
      <c r="K208"/>
      <c r="L208"/>
      <c r="M208"/>
      <c r="N208"/>
      <c r="O208" s="392"/>
      <c r="P208" s="2"/>
      <c r="R208"/>
      <c r="S208"/>
      <c r="V208"/>
    </row>
    <row r="209" spans="10:22" s="1" customFormat="1" x14ac:dyDescent="0.2">
      <c r="J209"/>
      <c r="K209"/>
      <c r="L209"/>
      <c r="M209"/>
      <c r="N209"/>
      <c r="O209" s="392"/>
      <c r="P209" s="2"/>
      <c r="R209"/>
      <c r="S209"/>
      <c r="V209"/>
    </row>
    <row r="210" spans="10:22" s="1" customFormat="1" x14ac:dyDescent="0.2">
      <c r="J210"/>
      <c r="K210"/>
      <c r="L210"/>
      <c r="M210"/>
      <c r="N210"/>
      <c r="O210" s="392"/>
      <c r="P210" s="2"/>
      <c r="R210"/>
      <c r="S210"/>
      <c r="V210"/>
    </row>
    <row r="211" spans="10:22" s="1" customFormat="1" x14ac:dyDescent="0.2">
      <c r="J211"/>
      <c r="K211"/>
      <c r="L211"/>
      <c r="M211"/>
      <c r="N211"/>
      <c r="O211" s="392"/>
      <c r="P211" s="2"/>
      <c r="R211"/>
      <c r="S211"/>
      <c r="V211"/>
    </row>
    <row r="212" spans="10:22" s="1" customFormat="1" x14ac:dyDescent="0.2">
      <c r="J212"/>
      <c r="K212"/>
      <c r="L212"/>
      <c r="M212"/>
      <c r="N212"/>
      <c r="O212" s="392"/>
      <c r="P212" s="2"/>
      <c r="R212"/>
      <c r="S212"/>
      <c r="V212"/>
    </row>
    <row r="213" spans="10:22" s="1" customFormat="1" x14ac:dyDescent="0.2">
      <c r="J213"/>
      <c r="K213"/>
      <c r="L213"/>
      <c r="M213"/>
      <c r="N213"/>
      <c r="O213" s="392"/>
      <c r="P213" s="2"/>
      <c r="R213"/>
      <c r="S213"/>
      <c r="V213"/>
    </row>
    <row r="214" spans="10:22" s="1" customFormat="1" x14ac:dyDescent="0.2">
      <c r="J214"/>
      <c r="K214"/>
      <c r="L214"/>
      <c r="M214"/>
      <c r="N214"/>
      <c r="O214" s="392"/>
      <c r="P214" s="2"/>
      <c r="R214"/>
      <c r="S214"/>
      <c r="V214"/>
    </row>
    <row r="215" spans="10:22" s="1" customFormat="1" x14ac:dyDescent="0.2">
      <c r="J215"/>
      <c r="K215"/>
      <c r="L215"/>
      <c r="M215"/>
      <c r="N215"/>
      <c r="O215" s="392"/>
      <c r="P215" s="2"/>
      <c r="R215"/>
      <c r="S215"/>
      <c r="V215"/>
    </row>
    <row r="216" spans="10:22" s="1" customFormat="1" x14ac:dyDescent="0.2">
      <c r="J216"/>
      <c r="K216"/>
      <c r="L216"/>
      <c r="M216"/>
      <c r="N216"/>
      <c r="O216" s="392"/>
      <c r="P216" s="2"/>
      <c r="R216"/>
      <c r="S216"/>
      <c r="V216"/>
    </row>
    <row r="217" spans="10:22" s="1" customFormat="1" x14ac:dyDescent="0.2">
      <c r="J217"/>
      <c r="K217"/>
      <c r="L217"/>
      <c r="M217"/>
      <c r="N217"/>
      <c r="O217" s="392"/>
      <c r="P217" s="2"/>
      <c r="R217"/>
      <c r="S217"/>
      <c r="V217"/>
    </row>
    <row r="218" spans="10:22" s="1" customFormat="1" x14ac:dyDescent="0.2">
      <c r="J218"/>
      <c r="K218"/>
      <c r="L218"/>
      <c r="M218"/>
      <c r="N218"/>
      <c r="O218" s="392"/>
      <c r="P218" s="2"/>
      <c r="R218"/>
      <c r="S218"/>
      <c r="V218"/>
    </row>
    <row r="219" spans="10:22" s="1" customFormat="1" x14ac:dyDescent="0.2">
      <c r="J219"/>
      <c r="K219"/>
      <c r="L219"/>
      <c r="M219"/>
      <c r="N219"/>
      <c r="O219" s="392"/>
      <c r="P219" s="2"/>
      <c r="R219"/>
      <c r="S219"/>
      <c r="V219"/>
    </row>
    <row r="220" spans="10:22" s="1" customFormat="1" x14ac:dyDescent="0.2">
      <c r="J220"/>
      <c r="K220"/>
      <c r="L220"/>
      <c r="M220"/>
      <c r="N220"/>
      <c r="O220" s="392"/>
      <c r="P220" s="2"/>
      <c r="R220"/>
      <c r="S220"/>
      <c r="V220"/>
    </row>
    <row r="221" spans="10:22" s="1" customFormat="1" x14ac:dyDescent="0.2">
      <c r="J221"/>
      <c r="K221"/>
      <c r="L221"/>
      <c r="M221"/>
      <c r="N221"/>
      <c r="O221" s="392"/>
      <c r="P221" s="2"/>
      <c r="R221"/>
      <c r="S221"/>
      <c r="V221"/>
    </row>
    <row r="222" spans="10:22" s="1" customFormat="1" x14ac:dyDescent="0.2">
      <c r="J222"/>
      <c r="K222"/>
      <c r="L222"/>
      <c r="M222"/>
      <c r="N222"/>
      <c r="O222" s="392"/>
      <c r="P222" s="2"/>
      <c r="R222"/>
      <c r="S222"/>
      <c r="V222"/>
    </row>
    <row r="223" spans="10:22" s="1" customFormat="1" x14ac:dyDescent="0.2">
      <c r="J223"/>
      <c r="K223"/>
      <c r="L223"/>
      <c r="M223"/>
      <c r="N223"/>
      <c r="O223" s="392"/>
      <c r="P223" s="2"/>
      <c r="R223"/>
      <c r="S223"/>
      <c r="V223"/>
    </row>
    <row r="224" spans="10:22" s="1" customFormat="1" x14ac:dyDescent="0.2">
      <c r="J224"/>
      <c r="K224"/>
      <c r="L224"/>
      <c r="M224"/>
      <c r="N224"/>
      <c r="O224" s="392"/>
      <c r="P224" s="2"/>
      <c r="R224"/>
      <c r="S224"/>
      <c r="V224"/>
    </row>
    <row r="225" spans="10:22" s="1" customFormat="1" x14ac:dyDescent="0.2">
      <c r="J225"/>
      <c r="K225"/>
      <c r="L225"/>
      <c r="M225"/>
      <c r="N225"/>
      <c r="O225" s="392"/>
      <c r="P225" s="2"/>
      <c r="R225"/>
      <c r="S225"/>
      <c r="V225"/>
    </row>
    <row r="226" spans="10:22" s="1" customFormat="1" x14ac:dyDescent="0.2">
      <c r="J226"/>
      <c r="K226"/>
      <c r="L226"/>
      <c r="M226"/>
      <c r="N226"/>
      <c r="O226" s="392"/>
      <c r="P226" s="2"/>
      <c r="R226"/>
      <c r="S226"/>
      <c r="V226"/>
    </row>
    <row r="227" spans="10:22" s="1" customFormat="1" x14ac:dyDescent="0.2">
      <c r="J227"/>
      <c r="K227"/>
      <c r="L227"/>
      <c r="M227"/>
      <c r="N227"/>
      <c r="O227" s="392"/>
      <c r="P227" s="2"/>
      <c r="R227"/>
      <c r="S227"/>
      <c r="V227"/>
    </row>
    <row r="228" spans="10:22" s="1" customFormat="1" x14ac:dyDescent="0.2">
      <c r="J228"/>
      <c r="K228"/>
      <c r="L228"/>
      <c r="M228"/>
      <c r="N228"/>
      <c r="O228" s="392"/>
      <c r="P228" s="2"/>
      <c r="R228"/>
      <c r="S228"/>
      <c r="V228"/>
    </row>
    <row r="229" spans="10:22" s="1" customFormat="1" x14ac:dyDescent="0.2">
      <c r="J229"/>
      <c r="K229"/>
      <c r="L229"/>
      <c r="M229"/>
      <c r="N229"/>
      <c r="O229" s="392"/>
      <c r="P229" s="2"/>
      <c r="R229"/>
      <c r="S229"/>
      <c r="V229"/>
    </row>
    <row r="230" spans="10:22" s="1" customFormat="1" x14ac:dyDescent="0.2">
      <c r="J230"/>
      <c r="K230"/>
      <c r="L230"/>
      <c r="M230"/>
      <c r="N230"/>
      <c r="O230" s="392"/>
      <c r="P230" s="2"/>
      <c r="R230"/>
      <c r="S230"/>
      <c r="V230"/>
    </row>
    <row r="231" spans="10:22" s="1" customFormat="1" x14ac:dyDescent="0.2">
      <c r="J231"/>
      <c r="K231"/>
      <c r="L231"/>
      <c r="M231"/>
      <c r="N231"/>
      <c r="O231" s="392"/>
      <c r="P231" s="2"/>
      <c r="R231"/>
      <c r="S231"/>
      <c r="V231"/>
    </row>
    <row r="232" spans="10:22" s="1" customFormat="1" x14ac:dyDescent="0.2">
      <c r="J232"/>
      <c r="K232"/>
      <c r="L232"/>
      <c r="M232"/>
      <c r="N232"/>
      <c r="O232" s="392"/>
      <c r="P232" s="2"/>
      <c r="R232"/>
      <c r="S232"/>
      <c r="V232"/>
    </row>
    <row r="233" spans="10:22" s="1" customFormat="1" x14ac:dyDescent="0.2">
      <c r="J233"/>
      <c r="K233"/>
      <c r="L233"/>
      <c r="M233"/>
      <c r="N233"/>
      <c r="O233" s="392"/>
      <c r="P233" s="2"/>
      <c r="R233"/>
      <c r="S233"/>
      <c r="V233"/>
    </row>
    <row r="234" spans="10:22" s="1" customFormat="1" x14ac:dyDescent="0.2">
      <c r="J234"/>
      <c r="K234"/>
      <c r="L234"/>
      <c r="M234"/>
      <c r="N234"/>
      <c r="O234" s="392"/>
      <c r="P234" s="2"/>
      <c r="R234"/>
      <c r="S234"/>
      <c r="V234"/>
    </row>
    <row r="235" spans="10:22" s="1" customFormat="1" x14ac:dyDescent="0.2">
      <c r="J235"/>
      <c r="K235"/>
      <c r="L235"/>
      <c r="M235"/>
      <c r="N235"/>
      <c r="O235" s="392"/>
      <c r="P235" s="2"/>
      <c r="R235"/>
      <c r="S235"/>
      <c r="V235"/>
    </row>
    <row r="236" spans="10:22" s="1" customFormat="1" x14ac:dyDescent="0.2">
      <c r="J236"/>
      <c r="K236"/>
      <c r="L236"/>
      <c r="M236"/>
      <c r="N236"/>
      <c r="O236" s="392"/>
      <c r="P236" s="2"/>
      <c r="R236"/>
      <c r="S236"/>
      <c r="V236"/>
    </row>
    <row r="237" spans="10:22" s="1" customFormat="1" x14ac:dyDescent="0.2">
      <c r="J237"/>
      <c r="K237"/>
      <c r="L237"/>
      <c r="M237"/>
      <c r="N237"/>
      <c r="O237" s="392"/>
      <c r="P237" s="2"/>
      <c r="R237"/>
      <c r="S237"/>
      <c r="V237"/>
    </row>
    <row r="238" spans="10:22" s="1" customFormat="1" x14ac:dyDescent="0.2">
      <c r="J238"/>
      <c r="K238"/>
      <c r="L238"/>
      <c r="M238"/>
      <c r="N238"/>
      <c r="O238" s="392"/>
      <c r="P238" s="2"/>
      <c r="R238"/>
      <c r="S238"/>
      <c r="V238"/>
    </row>
    <row r="239" spans="10:22" s="1" customFormat="1" x14ac:dyDescent="0.2">
      <c r="J239"/>
      <c r="K239"/>
      <c r="L239"/>
      <c r="M239"/>
      <c r="N239"/>
      <c r="O239" s="392"/>
      <c r="P239" s="2"/>
      <c r="R239"/>
      <c r="S239"/>
      <c r="V239"/>
    </row>
    <row r="240" spans="10:22" s="1" customFormat="1" x14ac:dyDescent="0.2">
      <c r="J240"/>
      <c r="K240"/>
      <c r="L240"/>
      <c r="M240"/>
      <c r="N240"/>
      <c r="O240" s="392"/>
      <c r="P240" s="2"/>
      <c r="R240"/>
      <c r="S240"/>
      <c r="V240"/>
    </row>
    <row r="241" spans="10:22" s="1" customFormat="1" x14ac:dyDescent="0.2">
      <c r="J241"/>
      <c r="K241"/>
      <c r="L241"/>
      <c r="M241"/>
      <c r="N241"/>
      <c r="O241" s="392"/>
      <c r="P241" s="2"/>
      <c r="R241"/>
      <c r="S241"/>
      <c r="V241"/>
    </row>
    <row r="242" spans="10:22" s="1" customFormat="1" x14ac:dyDescent="0.2">
      <c r="J242"/>
      <c r="K242"/>
      <c r="L242"/>
      <c r="M242"/>
      <c r="N242"/>
      <c r="O242" s="392"/>
      <c r="P242" s="2"/>
      <c r="R242"/>
      <c r="S242"/>
      <c r="V242"/>
    </row>
    <row r="243" spans="10:22" s="1" customFormat="1" x14ac:dyDescent="0.2">
      <c r="J243"/>
      <c r="K243"/>
      <c r="L243"/>
      <c r="M243"/>
      <c r="N243"/>
      <c r="O243" s="392"/>
      <c r="P243" s="2"/>
      <c r="R243"/>
      <c r="S243"/>
      <c r="V243"/>
    </row>
    <row r="244" spans="10:22" s="1" customFormat="1" x14ac:dyDescent="0.2">
      <c r="J244"/>
      <c r="K244"/>
      <c r="L244"/>
      <c r="M244"/>
      <c r="N244"/>
      <c r="O244" s="392"/>
      <c r="P244" s="2"/>
      <c r="R244"/>
      <c r="S244"/>
      <c r="V244"/>
    </row>
    <row r="245" spans="10:22" s="1" customFormat="1" x14ac:dyDescent="0.2">
      <c r="J245"/>
      <c r="K245"/>
      <c r="L245"/>
      <c r="M245"/>
      <c r="N245"/>
      <c r="O245" s="392"/>
      <c r="P245" s="2"/>
      <c r="R245"/>
      <c r="S245"/>
      <c r="V245"/>
    </row>
    <row r="246" spans="10:22" s="1" customFormat="1" x14ac:dyDescent="0.2">
      <c r="J246"/>
      <c r="K246"/>
      <c r="L246"/>
      <c r="M246"/>
      <c r="N246"/>
      <c r="O246" s="392"/>
      <c r="P246" s="2"/>
      <c r="R246"/>
      <c r="S246"/>
      <c r="V246"/>
    </row>
    <row r="247" spans="10:22" s="1" customFormat="1" x14ac:dyDescent="0.2">
      <c r="J247"/>
      <c r="K247"/>
      <c r="L247"/>
      <c r="M247"/>
      <c r="N247"/>
      <c r="O247" s="392"/>
      <c r="P247" s="2"/>
      <c r="R247"/>
      <c r="S247"/>
      <c r="V247"/>
    </row>
    <row r="248" spans="10:22" s="1" customFormat="1" x14ac:dyDescent="0.2">
      <c r="J248"/>
      <c r="K248"/>
      <c r="L248"/>
      <c r="M248"/>
      <c r="N248"/>
      <c r="O248" s="392"/>
      <c r="P248" s="2"/>
      <c r="R248"/>
      <c r="S248"/>
      <c r="V248"/>
    </row>
    <row r="249" spans="10:22" s="1" customFormat="1" x14ac:dyDescent="0.2">
      <c r="J249"/>
      <c r="K249"/>
      <c r="L249"/>
      <c r="M249"/>
      <c r="N249"/>
      <c r="O249" s="392"/>
      <c r="P249" s="2"/>
      <c r="R249"/>
      <c r="S249"/>
      <c r="V249"/>
    </row>
    <row r="250" spans="10:22" s="1" customFormat="1" x14ac:dyDescent="0.2">
      <c r="J250"/>
      <c r="K250"/>
      <c r="L250"/>
      <c r="M250"/>
      <c r="N250"/>
      <c r="O250" s="392"/>
      <c r="P250" s="2"/>
      <c r="R250"/>
      <c r="S250"/>
      <c r="V250"/>
    </row>
    <row r="251" spans="10:22" s="1" customFormat="1" x14ac:dyDescent="0.2">
      <c r="J251"/>
      <c r="K251"/>
      <c r="L251"/>
      <c r="M251"/>
      <c r="N251"/>
      <c r="O251" s="392"/>
      <c r="P251" s="2"/>
      <c r="R251"/>
      <c r="S251"/>
      <c r="V251"/>
    </row>
    <row r="252" spans="10:22" s="1" customFormat="1" x14ac:dyDescent="0.2">
      <c r="J252"/>
      <c r="K252"/>
      <c r="L252"/>
      <c r="M252"/>
      <c r="N252"/>
      <c r="O252" s="392"/>
      <c r="P252" s="2"/>
      <c r="R252"/>
      <c r="S252"/>
      <c r="V252"/>
    </row>
    <row r="253" spans="10:22" s="1" customFormat="1" x14ac:dyDescent="0.2">
      <c r="J253"/>
      <c r="K253"/>
      <c r="L253"/>
      <c r="M253"/>
      <c r="N253"/>
      <c r="O253" s="392"/>
      <c r="P253" s="2"/>
      <c r="R253"/>
      <c r="S253"/>
      <c r="V253"/>
    </row>
    <row r="254" spans="10:22" s="1" customFormat="1" x14ac:dyDescent="0.2">
      <c r="J254"/>
      <c r="K254"/>
      <c r="L254"/>
      <c r="M254"/>
      <c r="N254"/>
      <c r="O254" s="392"/>
      <c r="P254" s="2"/>
      <c r="R254"/>
      <c r="S254"/>
      <c r="V254"/>
    </row>
    <row r="255" spans="10:22" s="1" customFormat="1" x14ac:dyDescent="0.2">
      <c r="J255"/>
      <c r="K255"/>
      <c r="L255"/>
      <c r="M255"/>
      <c r="N255"/>
      <c r="O255" s="392"/>
      <c r="P255" s="2"/>
      <c r="R255"/>
      <c r="S255"/>
      <c r="V255"/>
    </row>
    <row r="256" spans="10:22" s="1" customFormat="1" x14ac:dyDescent="0.2">
      <c r="J256"/>
      <c r="K256"/>
      <c r="L256"/>
      <c r="M256"/>
      <c r="N256"/>
      <c r="O256" s="392"/>
      <c r="P256" s="2"/>
      <c r="R256"/>
      <c r="S256"/>
      <c r="V256"/>
    </row>
    <row r="257" spans="10:22" s="1" customFormat="1" x14ac:dyDescent="0.2">
      <c r="J257"/>
      <c r="K257"/>
      <c r="L257"/>
      <c r="M257"/>
      <c r="N257"/>
      <c r="O257" s="392"/>
      <c r="P257" s="2"/>
      <c r="R257"/>
      <c r="S257"/>
      <c r="V257"/>
    </row>
    <row r="258" spans="10:22" s="1" customFormat="1" x14ac:dyDescent="0.2">
      <c r="J258"/>
      <c r="K258"/>
      <c r="L258"/>
      <c r="M258"/>
      <c r="N258"/>
      <c r="O258" s="392"/>
      <c r="P258" s="2"/>
      <c r="R258"/>
      <c r="S258"/>
      <c r="V258"/>
    </row>
    <row r="259" spans="10:22" s="1" customFormat="1" x14ac:dyDescent="0.2">
      <c r="J259"/>
      <c r="K259"/>
      <c r="L259"/>
      <c r="M259"/>
      <c r="N259"/>
      <c r="O259" s="392"/>
      <c r="P259" s="2"/>
      <c r="R259"/>
      <c r="S259"/>
      <c r="V259"/>
    </row>
    <row r="260" spans="10:22" s="1" customFormat="1" x14ac:dyDescent="0.2">
      <c r="J260"/>
      <c r="K260"/>
      <c r="L260"/>
      <c r="M260"/>
      <c r="N260"/>
      <c r="O260" s="392"/>
      <c r="P260" s="2"/>
      <c r="R260"/>
      <c r="S260"/>
      <c r="V260"/>
    </row>
    <row r="261" spans="10:22" s="1" customFormat="1" x14ac:dyDescent="0.2">
      <c r="J261"/>
      <c r="K261"/>
      <c r="L261"/>
      <c r="M261"/>
      <c r="N261"/>
      <c r="O261" s="392"/>
      <c r="P261" s="2"/>
      <c r="R261"/>
      <c r="S261"/>
      <c r="V261"/>
    </row>
    <row r="262" spans="10:22" s="1" customFormat="1" x14ac:dyDescent="0.2">
      <c r="J262"/>
      <c r="K262"/>
      <c r="L262"/>
      <c r="M262"/>
      <c r="N262"/>
      <c r="O262" s="392"/>
      <c r="P262" s="2"/>
      <c r="R262"/>
      <c r="S262"/>
      <c r="V262"/>
    </row>
    <row r="263" spans="10:22" s="1" customFormat="1" x14ac:dyDescent="0.2">
      <c r="J263"/>
      <c r="K263"/>
      <c r="L263"/>
      <c r="M263"/>
      <c r="N263"/>
      <c r="O263" s="392"/>
      <c r="P263" s="2"/>
      <c r="R263"/>
      <c r="S263"/>
      <c r="V263"/>
    </row>
    <row r="264" spans="10:22" s="1" customFormat="1" x14ac:dyDescent="0.2">
      <c r="J264"/>
      <c r="K264"/>
      <c r="L264"/>
      <c r="M264"/>
      <c r="N264"/>
      <c r="O264" s="392"/>
      <c r="P264" s="2"/>
      <c r="R264"/>
      <c r="S264"/>
      <c r="V264"/>
    </row>
    <row r="265" spans="10:22" s="1" customFormat="1" x14ac:dyDescent="0.2">
      <c r="J265"/>
      <c r="K265"/>
      <c r="L265"/>
      <c r="M265"/>
      <c r="N265"/>
      <c r="O265" s="392"/>
      <c r="P265" s="2"/>
      <c r="R265"/>
      <c r="S265"/>
      <c r="V265"/>
    </row>
    <row r="266" spans="10:22" s="1" customFormat="1" x14ac:dyDescent="0.2">
      <c r="J266"/>
      <c r="K266"/>
      <c r="L266"/>
      <c r="M266"/>
      <c r="N266"/>
      <c r="O266" s="392"/>
      <c r="P266" s="2"/>
      <c r="R266"/>
      <c r="S266"/>
      <c r="V266"/>
    </row>
    <row r="267" spans="10:22" s="1" customFormat="1" x14ac:dyDescent="0.2">
      <c r="J267"/>
      <c r="K267"/>
      <c r="L267"/>
      <c r="M267"/>
      <c r="N267"/>
      <c r="O267" s="392"/>
      <c r="P267" s="2"/>
      <c r="R267"/>
      <c r="S267"/>
      <c r="V267"/>
    </row>
    <row r="268" spans="10:22" s="1" customFormat="1" x14ac:dyDescent="0.2">
      <c r="J268"/>
      <c r="K268"/>
      <c r="L268"/>
      <c r="M268"/>
      <c r="N268"/>
      <c r="O268" s="392"/>
      <c r="P268" s="2"/>
      <c r="R268"/>
      <c r="S268"/>
      <c r="V268"/>
    </row>
    <row r="269" spans="10:22" s="1" customFormat="1" x14ac:dyDescent="0.2">
      <c r="J269"/>
      <c r="K269"/>
      <c r="L269"/>
      <c r="M269"/>
      <c r="N269"/>
      <c r="O269" s="392"/>
      <c r="P269" s="2"/>
      <c r="R269"/>
      <c r="S269"/>
      <c r="V269"/>
    </row>
    <row r="270" spans="10:22" s="1" customFormat="1" x14ac:dyDescent="0.2">
      <c r="J270"/>
      <c r="K270"/>
      <c r="L270"/>
      <c r="M270"/>
      <c r="N270"/>
      <c r="O270" s="392"/>
      <c r="P270" s="2"/>
      <c r="R270"/>
      <c r="S270"/>
      <c r="V270"/>
    </row>
    <row r="271" spans="10:22" s="1" customFormat="1" x14ac:dyDescent="0.2">
      <c r="J271"/>
      <c r="K271"/>
      <c r="L271"/>
      <c r="M271"/>
      <c r="N271"/>
      <c r="O271" s="392"/>
      <c r="P271" s="2"/>
      <c r="R271"/>
      <c r="S271"/>
      <c r="V271"/>
    </row>
    <row r="272" spans="10:22" s="1" customFormat="1" x14ac:dyDescent="0.2">
      <c r="J272"/>
      <c r="K272"/>
      <c r="L272"/>
      <c r="M272"/>
      <c r="N272"/>
      <c r="O272" s="392"/>
      <c r="P272" s="2"/>
      <c r="R272"/>
      <c r="S272"/>
      <c r="V272"/>
    </row>
    <row r="273" spans="10:22" s="1" customFormat="1" x14ac:dyDescent="0.2">
      <c r="J273"/>
      <c r="K273"/>
      <c r="L273"/>
      <c r="M273"/>
      <c r="N273"/>
      <c r="O273" s="392"/>
      <c r="P273" s="2"/>
      <c r="R273"/>
      <c r="S273"/>
      <c r="V273"/>
    </row>
    <row r="274" spans="10:22" s="1" customFormat="1" x14ac:dyDescent="0.2">
      <c r="J274"/>
      <c r="K274"/>
      <c r="L274"/>
      <c r="M274"/>
      <c r="N274"/>
      <c r="O274" s="392"/>
      <c r="P274" s="2"/>
      <c r="R274"/>
      <c r="S274"/>
      <c r="V274"/>
    </row>
    <row r="275" spans="10:22" s="1" customFormat="1" x14ac:dyDescent="0.2">
      <c r="J275"/>
      <c r="K275"/>
      <c r="L275"/>
      <c r="M275"/>
      <c r="N275"/>
      <c r="O275" s="392"/>
      <c r="P275" s="2"/>
      <c r="R275"/>
      <c r="S275"/>
      <c r="V275"/>
    </row>
    <row r="276" spans="10:22" s="1" customFormat="1" x14ac:dyDescent="0.2">
      <c r="J276"/>
      <c r="K276"/>
      <c r="L276"/>
      <c r="M276"/>
      <c r="N276"/>
      <c r="O276" s="392"/>
      <c r="P276" s="2"/>
      <c r="R276"/>
      <c r="S276"/>
      <c r="V276"/>
    </row>
    <row r="277" spans="10:22" s="1" customFormat="1" x14ac:dyDescent="0.2">
      <c r="J277"/>
      <c r="K277"/>
      <c r="L277"/>
      <c r="M277"/>
      <c r="N277"/>
      <c r="O277" s="392"/>
      <c r="P277" s="2"/>
      <c r="R277"/>
      <c r="S277"/>
      <c r="V277"/>
    </row>
    <row r="278" spans="10:22" s="1" customFormat="1" x14ac:dyDescent="0.2">
      <c r="J278"/>
      <c r="K278"/>
      <c r="L278"/>
      <c r="M278"/>
      <c r="N278"/>
      <c r="O278" s="392"/>
      <c r="P278" s="2"/>
      <c r="R278"/>
      <c r="S278"/>
      <c r="V278"/>
    </row>
    <row r="279" spans="10:22" s="1" customFormat="1" x14ac:dyDescent="0.2">
      <c r="J279"/>
      <c r="K279"/>
      <c r="L279"/>
      <c r="M279"/>
      <c r="N279"/>
      <c r="O279" s="392"/>
      <c r="P279" s="2"/>
      <c r="R279"/>
      <c r="S279"/>
      <c r="V279"/>
    </row>
    <row r="280" spans="10:22" s="1" customFormat="1" x14ac:dyDescent="0.2">
      <c r="J280"/>
      <c r="K280"/>
      <c r="L280"/>
      <c r="M280"/>
      <c r="N280"/>
      <c r="O280" s="392"/>
      <c r="P280" s="2"/>
      <c r="R280"/>
      <c r="S280"/>
      <c r="V280"/>
    </row>
    <row r="281" spans="10:22" s="1" customFormat="1" x14ac:dyDescent="0.2">
      <c r="J281"/>
      <c r="K281"/>
      <c r="L281"/>
      <c r="M281"/>
      <c r="N281"/>
      <c r="O281" s="392"/>
      <c r="P281" s="2"/>
      <c r="R281"/>
      <c r="S281"/>
      <c r="V281"/>
    </row>
    <row r="282" spans="10:22" s="1" customFormat="1" x14ac:dyDescent="0.2">
      <c r="J282"/>
      <c r="K282"/>
      <c r="L282"/>
      <c r="M282"/>
      <c r="N282"/>
      <c r="O282" s="392"/>
      <c r="P282" s="2"/>
      <c r="R282"/>
      <c r="S282"/>
      <c r="V282"/>
    </row>
    <row r="283" spans="10:22" s="1" customFormat="1" x14ac:dyDescent="0.2">
      <c r="J283"/>
      <c r="K283"/>
      <c r="L283"/>
      <c r="M283"/>
      <c r="N283"/>
      <c r="O283" s="392"/>
      <c r="P283" s="2"/>
      <c r="R283"/>
      <c r="S283"/>
      <c r="V283"/>
    </row>
    <row r="284" spans="10:22" s="1" customFormat="1" x14ac:dyDescent="0.2">
      <c r="J284"/>
      <c r="K284"/>
      <c r="L284"/>
      <c r="M284"/>
      <c r="N284"/>
      <c r="O284" s="392"/>
      <c r="P284" s="2"/>
      <c r="R284"/>
      <c r="S284"/>
      <c r="V284"/>
    </row>
    <row r="285" spans="10:22" s="1" customFormat="1" x14ac:dyDescent="0.2">
      <c r="J285"/>
      <c r="K285"/>
      <c r="L285"/>
      <c r="M285"/>
      <c r="N285"/>
      <c r="O285" s="392"/>
      <c r="P285" s="2"/>
      <c r="R285"/>
      <c r="S285"/>
      <c r="V285"/>
    </row>
    <row r="286" spans="10:22" s="1" customFormat="1" x14ac:dyDescent="0.2">
      <c r="J286"/>
      <c r="K286"/>
      <c r="L286"/>
      <c r="M286"/>
      <c r="N286"/>
      <c r="O286" s="392"/>
      <c r="P286" s="2"/>
      <c r="R286"/>
      <c r="S286"/>
      <c r="V286"/>
    </row>
    <row r="287" spans="10:22" s="1" customFormat="1" x14ac:dyDescent="0.2">
      <c r="J287"/>
      <c r="K287"/>
      <c r="L287"/>
      <c r="M287"/>
      <c r="N287"/>
      <c r="O287" s="392"/>
      <c r="P287" s="2"/>
      <c r="R287"/>
      <c r="S287"/>
      <c r="V287"/>
    </row>
    <row r="288" spans="10:22" s="1" customFormat="1" x14ac:dyDescent="0.2">
      <c r="J288"/>
      <c r="K288"/>
      <c r="L288"/>
      <c r="M288"/>
      <c r="N288"/>
      <c r="O288" s="392"/>
      <c r="P288" s="2"/>
      <c r="R288"/>
      <c r="S288"/>
      <c r="V288"/>
    </row>
    <row r="289" spans="10:22" s="1" customFormat="1" x14ac:dyDescent="0.2">
      <c r="J289"/>
      <c r="K289"/>
      <c r="L289"/>
      <c r="M289"/>
      <c r="N289"/>
      <c r="O289" s="392"/>
      <c r="P289" s="2"/>
      <c r="R289"/>
      <c r="S289"/>
      <c r="V289"/>
    </row>
    <row r="290" spans="10:22" s="1" customFormat="1" x14ac:dyDescent="0.2">
      <c r="J290"/>
      <c r="K290"/>
      <c r="L290"/>
      <c r="M290"/>
      <c r="N290"/>
      <c r="O290" s="392"/>
      <c r="P290" s="2"/>
      <c r="R290"/>
      <c r="S290"/>
      <c r="V290"/>
    </row>
    <row r="291" spans="10:22" s="1" customFormat="1" x14ac:dyDescent="0.2">
      <c r="J291"/>
      <c r="K291"/>
      <c r="L291"/>
      <c r="M291"/>
      <c r="N291"/>
      <c r="O291" s="392"/>
      <c r="P291" s="2"/>
      <c r="R291"/>
      <c r="S291"/>
      <c r="V291"/>
    </row>
    <row r="292" spans="10:22" s="1" customFormat="1" x14ac:dyDescent="0.2">
      <c r="J292"/>
      <c r="K292"/>
      <c r="L292"/>
      <c r="M292"/>
      <c r="N292"/>
      <c r="O292" s="392"/>
      <c r="P292" s="2"/>
      <c r="R292"/>
      <c r="S292"/>
      <c r="V292"/>
    </row>
    <row r="293" spans="10:22" s="1" customFormat="1" x14ac:dyDescent="0.2">
      <c r="J293"/>
      <c r="K293"/>
      <c r="L293"/>
      <c r="M293"/>
      <c r="N293"/>
      <c r="O293" s="392"/>
      <c r="P293" s="2"/>
      <c r="R293"/>
      <c r="S293"/>
      <c r="V293"/>
    </row>
    <row r="294" spans="10:22" s="1" customFormat="1" x14ac:dyDescent="0.2">
      <c r="J294"/>
      <c r="K294"/>
      <c r="L294"/>
      <c r="M294"/>
      <c r="N294"/>
      <c r="O294" s="392"/>
      <c r="P294" s="2"/>
      <c r="R294"/>
      <c r="S294"/>
      <c r="V294"/>
    </row>
    <row r="295" spans="10:22" s="1" customFormat="1" x14ac:dyDescent="0.2">
      <c r="J295"/>
      <c r="K295"/>
      <c r="L295"/>
      <c r="M295"/>
      <c r="N295"/>
      <c r="O295" s="392"/>
      <c r="P295" s="2"/>
      <c r="R295"/>
      <c r="S295"/>
      <c r="V295"/>
    </row>
    <row r="296" spans="10:22" s="1" customFormat="1" x14ac:dyDescent="0.2">
      <c r="J296"/>
      <c r="K296"/>
      <c r="L296"/>
      <c r="M296"/>
      <c r="N296"/>
      <c r="O296" s="392"/>
      <c r="P296" s="2"/>
      <c r="R296"/>
      <c r="S296"/>
      <c r="V296"/>
    </row>
    <row r="297" spans="10:22" s="1" customFormat="1" x14ac:dyDescent="0.2">
      <c r="J297"/>
      <c r="K297"/>
      <c r="L297"/>
      <c r="M297"/>
      <c r="N297"/>
      <c r="O297" s="392"/>
      <c r="P297" s="2"/>
      <c r="R297"/>
      <c r="S297"/>
      <c r="V297"/>
    </row>
    <row r="298" spans="10:22" s="1" customFormat="1" x14ac:dyDescent="0.2">
      <c r="J298"/>
      <c r="K298"/>
      <c r="L298"/>
      <c r="M298"/>
      <c r="N298"/>
      <c r="O298" s="392"/>
      <c r="P298" s="2"/>
      <c r="R298"/>
      <c r="S298"/>
      <c r="V298"/>
    </row>
    <row r="299" spans="10:22" s="1" customFormat="1" x14ac:dyDescent="0.2">
      <c r="J299"/>
      <c r="K299"/>
      <c r="L299"/>
      <c r="M299"/>
      <c r="N299"/>
      <c r="O299" s="392"/>
      <c r="P299" s="2"/>
      <c r="R299"/>
      <c r="S299"/>
      <c r="V299"/>
    </row>
    <row r="300" spans="10:22" s="1" customFormat="1" x14ac:dyDescent="0.2">
      <c r="J300"/>
      <c r="K300"/>
      <c r="L300"/>
      <c r="M300"/>
      <c r="N300"/>
      <c r="O300" s="392"/>
      <c r="P300" s="2"/>
      <c r="R300"/>
      <c r="S300"/>
      <c r="V300"/>
    </row>
    <row r="301" spans="10:22" s="1" customFormat="1" x14ac:dyDescent="0.2">
      <c r="J301"/>
      <c r="K301"/>
      <c r="L301"/>
      <c r="M301"/>
      <c r="N301"/>
      <c r="O301" s="392"/>
      <c r="P301" s="2"/>
      <c r="R301"/>
      <c r="S301"/>
      <c r="V301"/>
    </row>
    <row r="302" spans="10:22" s="1" customFormat="1" x14ac:dyDescent="0.2">
      <c r="J302"/>
      <c r="K302"/>
      <c r="L302"/>
      <c r="M302"/>
      <c r="N302"/>
      <c r="O302" s="392"/>
      <c r="P302" s="2"/>
      <c r="R302"/>
      <c r="S302"/>
      <c r="V302"/>
    </row>
    <row r="303" spans="10:22" s="1" customFormat="1" x14ac:dyDescent="0.2">
      <c r="J303"/>
      <c r="K303"/>
      <c r="L303"/>
      <c r="M303"/>
      <c r="N303"/>
      <c r="O303" s="392"/>
      <c r="P303" s="2"/>
      <c r="R303"/>
      <c r="S303"/>
      <c r="V303"/>
    </row>
    <row r="304" spans="10:22" s="1" customFormat="1" x14ac:dyDescent="0.2">
      <c r="J304"/>
      <c r="K304"/>
      <c r="L304"/>
      <c r="M304"/>
      <c r="N304"/>
      <c r="O304" s="392"/>
      <c r="P304" s="2"/>
      <c r="R304"/>
      <c r="S304"/>
      <c r="V304"/>
    </row>
    <row r="305" spans="10:22" s="1" customFormat="1" x14ac:dyDescent="0.2">
      <c r="J305"/>
      <c r="K305"/>
      <c r="L305"/>
      <c r="M305"/>
      <c r="N305"/>
      <c r="O305" s="392"/>
      <c r="P305" s="2"/>
      <c r="R305"/>
      <c r="S305"/>
      <c r="V305"/>
    </row>
    <row r="306" spans="10:22" s="1" customFormat="1" x14ac:dyDescent="0.2">
      <c r="J306"/>
      <c r="K306"/>
      <c r="L306"/>
      <c r="M306"/>
      <c r="N306"/>
      <c r="O306" s="392"/>
      <c r="P306" s="2"/>
      <c r="R306"/>
      <c r="S306"/>
      <c r="V306"/>
    </row>
    <row r="307" spans="10:22" s="1" customFormat="1" x14ac:dyDescent="0.2">
      <c r="J307"/>
      <c r="K307"/>
      <c r="L307"/>
      <c r="M307"/>
      <c r="N307"/>
      <c r="O307" s="392"/>
      <c r="P307" s="2"/>
      <c r="R307"/>
      <c r="S307"/>
      <c r="V307"/>
    </row>
    <row r="308" spans="10:22" s="1" customFormat="1" x14ac:dyDescent="0.2">
      <c r="J308"/>
      <c r="K308"/>
      <c r="L308"/>
      <c r="M308"/>
      <c r="N308"/>
      <c r="O308" s="392"/>
      <c r="P308" s="2"/>
      <c r="R308"/>
      <c r="S308"/>
      <c r="V308"/>
    </row>
    <row r="309" spans="10:22" s="1" customFormat="1" x14ac:dyDescent="0.2">
      <c r="J309"/>
      <c r="K309"/>
      <c r="L309"/>
      <c r="M309"/>
      <c r="N309"/>
      <c r="O309" s="392"/>
      <c r="P309" s="2"/>
      <c r="R309"/>
      <c r="S309"/>
      <c r="V309"/>
    </row>
    <row r="310" spans="10:22" s="1" customFormat="1" x14ac:dyDescent="0.2">
      <c r="J310"/>
      <c r="K310"/>
      <c r="L310"/>
      <c r="M310"/>
      <c r="N310"/>
      <c r="O310" s="392"/>
      <c r="P310" s="2"/>
      <c r="R310"/>
      <c r="S310"/>
      <c r="V310"/>
    </row>
    <row r="311" spans="10:22" s="1" customFormat="1" x14ac:dyDescent="0.2">
      <c r="J311"/>
      <c r="K311"/>
      <c r="L311"/>
      <c r="M311"/>
      <c r="N311"/>
      <c r="O311" s="392"/>
      <c r="P311" s="2"/>
      <c r="R311"/>
      <c r="S311"/>
      <c r="V311"/>
    </row>
    <row r="312" spans="10:22" s="1" customFormat="1" x14ac:dyDescent="0.2">
      <c r="J312"/>
      <c r="K312"/>
      <c r="L312"/>
      <c r="M312"/>
      <c r="N312"/>
      <c r="O312" s="392"/>
      <c r="P312" s="2"/>
      <c r="R312"/>
      <c r="S312"/>
      <c r="V312"/>
    </row>
    <row r="313" spans="10:22" s="1" customFormat="1" x14ac:dyDescent="0.2">
      <c r="J313"/>
      <c r="K313"/>
      <c r="L313"/>
      <c r="M313"/>
      <c r="N313"/>
      <c r="O313" s="392"/>
      <c r="P313" s="2"/>
      <c r="R313"/>
      <c r="S313"/>
      <c r="V313"/>
    </row>
    <row r="314" spans="10:22" s="1" customFormat="1" x14ac:dyDescent="0.2">
      <c r="J314"/>
      <c r="K314"/>
      <c r="L314"/>
      <c r="M314"/>
      <c r="N314"/>
      <c r="O314" s="392"/>
      <c r="P314" s="2"/>
      <c r="R314"/>
      <c r="S314"/>
      <c r="V314"/>
    </row>
    <row r="315" spans="10:22" s="1" customFormat="1" x14ac:dyDescent="0.2">
      <c r="J315"/>
      <c r="K315"/>
      <c r="L315"/>
      <c r="M315"/>
      <c r="N315"/>
      <c r="O315" s="392"/>
      <c r="P315" s="2"/>
      <c r="R315"/>
      <c r="S315"/>
      <c r="V315"/>
    </row>
    <row r="316" spans="10:22" s="1" customFormat="1" x14ac:dyDescent="0.2">
      <c r="J316"/>
      <c r="K316"/>
      <c r="L316"/>
      <c r="M316"/>
      <c r="N316"/>
      <c r="O316" s="392"/>
      <c r="P316" s="2"/>
      <c r="R316"/>
      <c r="S316"/>
      <c r="V316"/>
    </row>
    <row r="317" spans="10:22" s="1" customFormat="1" x14ac:dyDescent="0.2">
      <c r="J317"/>
      <c r="K317"/>
      <c r="L317"/>
      <c r="M317"/>
      <c r="N317"/>
      <c r="O317" s="392"/>
      <c r="P317" s="2"/>
      <c r="R317"/>
      <c r="S317"/>
      <c r="V317"/>
    </row>
    <row r="318" spans="10:22" s="1" customFormat="1" x14ac:dyDescent="0.2">
      <c r="J318"/>
      <c r="K318"/>
      <c r="L318"/>
      <c r="M318"/>
      <c r="N318"/>
      <c r="O318" s="392"/>
      <c r="P318" s="2"/>
      <c r="R318"/>
      <c r="S318"/>
      <c r="V318"/>
    </row>
    <row r="319" spans="10:22" s="1" customFormat="1" x14ac:dyDescent="0.2">
      <c r="J319"/>
      <c r="K319"/>
      <c r="L319"/>
      <c r="M319"/>
      <c r="N319"/>
      <c r="O319" s="392"/>
      <c r="P319" s="2"/>
      <c r="R319"/>
      <c r="S319"/>
      <c r="V319"/>
    </row>
    <row r="320" spans="10:22" s="1" customFormat="1" x14ac:dyDescent="0.2">
      <c r="J320"/>
      <c r="K320"/>
      <c r="L320"/>
      <c r="M320"/>
      <c r="N320"/>
      <c r="O320" s="392"/>
      <c r="P320" s="2"/>
      <c r="R320"/>
      <c r="S320"/>
      <c r="V320"/>
    </row>
    <row r="321" spans="10:22" s="1" customFormat="1" x14ac:dyDescent="0.2">
      <c r="J321"/>
      <c r="K321"/>
      <c r="L321"/>
      <c r="M321"/>
      <c r="N321"/>
      <c r="O321" s="392"/>
      <c r="P321" s="2"/>
      <c r="R321"/>
      <c r="S321"/>
      <c r="V321"/>
    </row>
    <row r="322" spans="10:22" s="1" customFormat="1" x14ac:dyDescent="0.2">
      <c r="J322"/>
      <c r="K322"/>
      <c r="L322"/>
      <c r="M322"/>
      <c r="N322"/>
      <c r="O322" s="392"/>
      <c r="P322" s="2"/>
      <c r="R322"/>
      <c r="S322"/>
      <c r="V322"/>
    </row>
    <row r="323" spans="10:22" s="1" customFormat="1" x14ac:dyDescent="0.2">
      <c r="J323"/>
      <c r="K323"/>
      <c r="L323"/>
      <c r="M323"/>
      <c r="N323"/>
      <c r="O323" s="392"/>
      <c r="P323" s="2"/>
      <c r="R323"/>
      <c r="S323"/>
      <c r="V323"/>
    </row>
    <row r="324" spans="10:22" s="1" customFormat="1" x14ac:dyDescent="0.2">
      <c r="J324"/>
      <c r="K324"/>
      <c r="L324"/>
      <c r="M324"/>
      <c r="N324"/>
      <c r="O324" s="392"/>
      <c r="P324" s="2"/>
      <c r="R324"/>
      <c r="S324"/>
      <c r="V324"/>
    </row>
    <row r="325" spans="10:22" s="1" customFormat="1" x14ac:dyDescent="0.2">
      <c r="J325"/>
      <c r="K325"/>
      <c r="L325"/>
      <c r="M325"/>
      <c r="N325"/>
      <c r="O325" s="392"/>
      <c r="P325" s="2"/>
      <c r="R325"/>
      <c r="S325"/>
      <c r="V325"/>
    </row>
    <row r="326" spans="10:22" s="1" customFormat="1" x14ac:dyDescent="0.2">
      <c r="J326"/>
      <c r="K326"/>
      <c r="L326"/>
      <c r="M326"/>
      <c r="N326"/>
      <c r="O326" s="392"/>
      <c r="P326" s="2"/>
      <c r="R326"/>
      <c r="S326"/>
      <c r="V326"/>
    </row>
    <row r="327" spans="10:22" s="1" customFormat="1" x14ac:dyDescent="0.2">
      <c r="J327"/>
      <c r="K327"/>
      <c r="L327"/>
      <c r="M327"/>
      <c r="N327"/>
      <c r="O327" s="392"/>
      <c r="P327" s="2"/>
      <c r="R327"/>
      <c r="S327"/>
      <c r="V327"/>
    </row>
    <row r="328" spans="10:22" s="1" customFormat="1" x14ac:dyDescent="0.2">
      <c r="J328"/>
      <c r="K328"/>
      <c r="L328"/>
      <c r="M328"/>
      <c r="N328"/>
      <c r="O328" s="392"/>
      <c r="P328" s="2"/>
      <c r="R328"/>
      <c r="S328"/>
      <c r="V328"/>
    </row>
    <row r="329" spans="10:22" s="1" customFormat="1" x14ac:dyDescent="0.2">
      <c r="J329"/>
      <c r="K329"/>
      <c r="L329"/>
      <c r="M329"/>
      <c r="N329"/>
      <c r="O329" s="392"/>
      <c r="P329" s="2"/>
      <c r="R329"/>
      <c r="S329"/>
      <c r="V329"/>
    </row>
    <row r="330" spans="10:22" s="1" customFormat="1" x14ac:dyDescent="0.2">
      <c r="J330"/>
      <c r="K330"/>
      <c r="L330"/>
      <c r="M330"/>
      <c r="N330"/>
      <c r="O330" s="392"/>
      <c r="P330" s="2"/>
      <c r="R330"/>
      <c r="S330"/>
      <c r="V330"/>
    </row>
    <row r="331" spans="10:22" s="1" customFormat="1" x14ac:dyDescent="0.2">
      <c r="J331"/>
      <c r="K331"/>
      <c r="L331"/>
      <c r="M331"/>
      <c r="N331"/>
      <c r="O331" s="392"/>
      <c r="P331" s="2"/>
      <c r="R331"/>
      <c r="S331"/>
      <c r="V331"/>
    </row>
    <row r="332" spans="10:22" s="1" customFormat="1" x14ac:dyDescent="0.2">
      <c r="J332"/>
      <c r="K332"/>
      <c r="L332"/>
      <c r="M332"/>
      <c r="N332"/>
      <c r="O332" s="392"/>
      <c r="P332" s="2"/>
      <c r="R332"/>
      <c r="S332"/>
      <c r="V332"/>
    </row>
    <row r="333" spans="10:22" s="1" customFormat="1" x14ac:dyDescent="0.2">
      <c r="J333"/>
      <c r="K333"/>
      <c r="L333"/>
      <c r="M333"/>
      <c r="N333"/>
      <c r="O333" s="392"/>
      <c r="P333" s="2"/>
      <c r="R333"/>
      <c r="S333"/>
      <c r="V333"/>
    </row>
    <row r="334" spans="10:22" s="1" customFormat="1" x14ac:dyDescent="0.2">
      <c r="J334"/>
      <c r="K334"/>
      <c r="L334"/>
      <c r="M334"/>
      <c r="N334"/>
      <c r="O334" s="392"/>
      <c r="P334" s="2"/>
      <c r="R334"/>
      <c r="S334"/>
      <c r="V334"/>
    </row>
    <row r="335" spans="10:22" s="1" customFormat="1" x14ac:dyDescent="0.2">
      <c r="J335"/>
      <c r="K335"/>
      <c r="L335"/>
      <c r="M335"/>
      <c r="N335"/>
      <c r="O335" s="392"/>
      <c r="P335" s="2"/>
      <c r="R335"/>
      <c r="S335"/>
      <c r="V335"/>
    </row>
    <row r="336" spans="10:22" s="1" customFormat="1" x14ac:dyDescent="0.2">
      <c r="J336"/>
      <c r="K336"/>
      <c r="L336"/>
      <c r="M336"/>
      <c r="N336"/>
      <c r="O336" s="392"/>
      <c r="P336" s="2"/>
      <c r="R336"/>
      <c r="S336"/>
      <c r="V336"/>
    </row>
    <row r="337" spans="10:22" s="1" customFormat="1" x14ac:dyDescent="0.2">
      <c r="J337"/>
      <c r="K337"/>
      <c r="L337"/>
      <c r="M337"/>
      <c r="N337"/>
      <c r="O337" s="392"/>
      <c r="P337" s="2"/>
      <c r="R337"/>
      <c r="S337"/>
      <c r="V337"/>
    </row>
    <row r="338" spans="10:22" s="1" customFormat="1" x14ac:dyDescent="0.2">
      <c r="J338"/>
      <c r="K338"/>
      <c r="L338"/>
      <c r="M338"/>
      <c r="N338"/>
      <c r="O338" s="392"/>
      <c r="P338" s="2"/>
      <c r="R338"/>
      <c r="S338"/>
      <c r="V338"/>
    </row>
    <row r="339" spans="10:22" s="1" customFormat="1" x14ac:dyDescent="0.2">
      <c r="J339"/>
      <c r="K339"/>
      <c r="L339"/>
      <c r="M339"/>
      <c r="N339"/>
      <c r="O339" s="392"/>
      <c r="P339" s="2"/>
      <c r="R339"/>
      <c r="S339"/>
      <c r="V339"/>
    </row>
    <row r="340" spans="10:22" s="1" customFormat="1" x14ac:dyDescent="0.2">
      <c r="J340"/>
      <c r="K340"/>
      <c r="L340"/>
      <c r="M340"/>
      <c r="N340"/>
      <c r="O340" s="392"/>
      <c r="P340" s="2"/>
      <c r="R340"/>
      <c r="S340"/>
      <c r="V340"/>
    </row>
    <row r="341" spans="10:22" s="1" customFormat="1" x14ac:dyDescent="0.2">
      <c r="J341"/>
      <c r="K341"/>
      <c r="L341"/>
      <c r="M341"/>
      <c r="N341"/>
      <c r="O341" s="392"/>
      <c r="P341" s="2"/>
      <c r="R341"/>
      <c r="S341"/>
      <c r="V341"/>
    </row>
    <row r="342" spans="10:22" s="1" customFormat="1" x14ac:dyDescent="0.2">
      <c r="J342"/>
      <c r="K342"/>
      <c r="L342"/>
      <c r="M342"/>
      <c r="N342"/>
      <c r="O342" s="392"/>
      <c r="P342" s="2"/>
      <c r="R342"/>
      <c r="S342"/>
      <c r="V342"/>
    </row>
    <row r="343" spans="10:22" s="1" customFormat="1" x14ac:dyDescent="0.2">
      <c r="J343"/>
      <c r="K343"/>
      <c r="L343"/>
      <c r="M343"/>
      <c r="N343"/>
      <c r="O343" s="392"/>
      <c r="P343" s="2"/>
      <c r="R343"/>
      <c r="S343"/>
      <c r="V343"/>
    </row>
    <row r="344" spans="10:22" s="1" customFormat="1" x14ac:dyDescent="0.2">
      <c r="J344"/>
      <c r="K344"/>
      <c r="L344"/>
      <c r="M344"/>
      <c r="N344"/>
      <c r="O344" s="392"/>
      <c r="P344" s="2"/>
      <c r="R344"/>
      <c r="S344"/>
      <c r="V344"/>
    </row>
    <row r="345" spans="10:22" s="1" customFormat="1" x14ac:dyDescent="0.2">
      <c r="J345"/>
      <c r="K345"/>
      <c r="L345"/>
      <c r="M345"/>
      <c r="N345"/>
      <c r="O345" s="392"/>
      <c r="P345" s="2"/>
      <c r="R345"/>
      <c r="S345"/>
      <c r="V345"/>
    </row>
    <row r="346" spans="10:22" s="1" customFormat="1" x14ac:dyDescent="0.2">
      <c r="J346"/>
      <c r="K346"/>
      <c r="L346"/>
      <c r="M346"/>
      <c r="N346"/>
      <c r="O346" s="392"/>
      <c r="P346" s="2"/>
      <c r="R346"/>
      <c r="S346"/>
      <c r="V346"/>
    </row>
    <row r="347" spans="10:22" s="1" customFormat="1" x14ac:dyDescent="0.2">
      <c r="J347"/>
      <c r="K347"/>
      <c r="L347"/>
      <c r="M347"/>
      <c r="N347"/>
      <c r="O347" s="392"/>
      <c r="P347" s="2"/>
      <c r="R347"/>
      <c r="S347"/>
      <c r="V347"/>
    </row>
    <row r="348" spans="10:22" s="1" customFormat="1" x14ac:dyDescent="0.2">
      <c r="J348"/>
      <c r="K348"/>
      <c r="L348"/>
      <c r="M348"/>
      <c r="N348"/>
      <c r="O348" s="392"/>
      <c r="P348" s="2"/>
      <c r="R348"/>
      <c r="S348"/>
      <c r="V348"/>
    </row>
    <row r="349" spans="10:22" s="1" customFormat="1" x14ac:dyDescent="0.2">
      <c r="J349"/>
      <c r="K349"/>
      <c r="L349"/>
      <c r="M349"/>
      <c r="N349"/>
      <c r="O349" s="392"/>
      <c r="P349" s="2"/>
      <c r="R349"/>
      <c r="S349"/>
      <c r="V349"/>
    </row>
    <row r="350" spans="10:22" s="1" customFormat="1" x14ac:dyDescent="0.2">
      <c r="J350"/>
      <c r="K350"/>
      <c r="L350"/>
      <c r="M350"/>
      <c r="N350"/>
      <c r="O350" s="392"/>
      <c r="P350" s="2"/>
      <c r="R350"/>
      <c r="S350"/>
      <c r="V350"/>
    </row>
    <row r="351" spans="10:22" s="1" customFormat="1" x14ac:dyDescent="0.2">
      <c r="J351"/>
      <c r="K351"/>
      <c r="L351"/>
      <c r="M351"/>
      <c r="N351"/>
      <c r="O351" s="392"/>
      <c r="P351" s="2"/>
      <c r="R351"/>
      <c r="S351"/>
      <c r="V351"/>
    </row>
    <row r="352" spans="10:22" s="1" customFormat="1" x14ac:dyDescent="0.2">
      <c r="J352"/>
      <c r="K352"/>
      <c r="L352"/>
      <c r="M352"/>
      <c r="N352"/>
      <c r="O352" s="392"/>
      <c r="P352" s="2"/>
      <c r="R352"/>
      <c r="S352"/>
      <c r="V352"/>
    </row>
    <row r="353" spans="10:22" s="1" customFormat="1" x14ac:dyDescent="0.2">
      <c r="J353"/>
      <c r="K353"/>
      <c r="L353"/>
      <c r="M353"/>
      <c r="N353"/>
      <c r="O353" s="392"/>
      <c r="P353" s="2"/>
      <c r="R353"/>
      <c r="S353"/>
      <c r="V353"/>
    </row>
    <row r="354" spans="10:22" s="1" customFormat="1" x14ac:dyDescent="0.2">
      <c r="J354"/>
      <c r="K354"/>
      <c r="L354"/>
      <c r="M354"/>
      <c r="N354"/>
      <c r="O354" s="392"/>
      <c r="P354" s="2"/>
      <c r="R354"/>
      <c r="S354"/>
      <c r="V354"/>
    </row>
    <row r="355" spans="10:22" s="1" customFormat="1" x14ac:dyDescent="0.2">
      <c r="J355"/>
      <c r="K355"/>
      <c r="L355"/>
      <c r="M355"/>
      <c r="N355"/>
      <c r="O355" s="392"/>
      <c r="P355" s="2"/>
      <c r="R355"/>
      <c r="S355"/>
      <c r="V355"/>
    </row>
    <row r="356" spans="10:22" s="1" customFormat="1" x14ac:dyDescent="0.2">
      <c r="J356"/>
      <c r="K356"/>
      <c r="L356"/>
      <c r="M356"/>
      <c r="N356"/>
      <c r="O356" s="392"/>
      <c r="P356" s="2"/>
      <c r="R356"/>
      <c r="S356"/>
      <c r="V356"/>
    </row>
    <row r="357" spans="10:22" s="1" customFormat="1" x14ac:dyDescent="0.2">
      <c r="J357"/>
      <c r="K357"/>
      <c r="L357"/>
      <c r="M357"/>
      <c r="N357"/>
      <c r="O357" s="392"/>
      <c r="P357" s="2"/>
      <c r="R357"/>
      <c r="S357"/>
      <c r="V357"/>
    </row>
    <row r="358" spans="10:22" s="1" customFormat="1" x14ac:dyDescent="0.2">
      <c r="J358"/>
      <c r="K358"/>
      <c r="L358"/>
      <c r="M358"/>
      <c r="N358"/>
      <c r="O358" s="392"/>
      <c r="P358" s="2"/>
      <c r="R358"/>
      <c r="S358"/>
      <c r="V358"/>
    </row>
    <row r="359" spans="10:22" s="1" customFormat="1" x14ac:dyDescent="0.2">
      <c r="J359"/>
      <c r="K359"/>
      <c r="L359"/>
      <c r="M359"/>
      <c r="N359"/>
      <c r="O359" s="392"/>
      <c r="P359" s="2"/>
      <c r="R359"/>
      <c r="S359"/>
      <c r="V359"/>
    </row>
    <row r="360" spans="10:22" s="1" customFormat="1" x14ac:dyDescent="0.2">
      <c r="J360"/>
      <c r="K360"/>
      <c r="L360"/>
      <c r="M360"/>
      <c r="N360"/>
      <c r="O360" s="392"/>
      <c r="P360" s="2"/>
      <c r="R360"/>
      <c r="S360"/>
      <c r="V360"/>
    </row>
    <row r="361" spans="10:22" s="1" customFormat="1" x14ac:dyDescent="0.2">
      <c r="J361"/>
      <c r="K361"/>
      <c r="L361"/>
      <c r="M361"/>
      <c r="N361"/>
      <c r="O361" s="392"/>
      <c r="P361" s="2"/>
      <c r="R361"/>
      <c r="S361"/>
      <c r="V361"/>
    </row>
    <row r="362" spans="10:22" s="1" customFormat="1" x14ac:dyDescent="0.2">
      <c r="J362"/>
      <c r="K362"/>
      <c r="L362"/>
      <c r="M362"/>
      <c r="N362"/>
      <c r="O362" s="392"/>
      <c r="P362" s="2"/>
      <c r="R362"/>
      <c r="S362"/>
      <c r="V362"/>
    </row>
    <row r="363" spans="10:22" s="1" customFormat="1" x14ac:dyDescent="0.2">
      <c r="J363"/>
      <c r="K363"/>
      <c r="L363"/>
      <c r="M363"/>
      <c r="N363"/>
      <c r="O363" s="392"/>
      <c r="P363" s="2"/>
      <c r="R363"/>
      <c r="S363"/>
      <c r="V363"/>
    </row>
    <row r="364" spans="10:22" s="1" customFormat="1" x14ac:dyDescent="0.2">
      <c r="J364"/>
      <c r="K364"/>
      <c r="L364"/>
      <c r="M364"/>
      <c r="N364"/>
      <c r="O364" s="392"/>
      <c r="P364" s="2"/>
      <c r="R364"/>
      <c r="S364"/>
      <c r="V364"/>
    </row>
    <row r="365" spans="10:22" s="1" customFormat="1" x14ac:dyDescent="0.2">
      <c r="J365"/>
      <c r="K365"/>
      <c r="L365"/>
      <c r="M365"/>
      <c r="N365"/>
      <c r="O365" s="392"/>
      <c r="P365" s="2"/>
      <c r="R365"/>
      <c r="S365"/>
      <c r="V365"/>
    </row>
    <row r="366" spans="10:22" s="1" customFormat="1" x14ac:dyDescent="0.2">
      <c r="J366"/>
      <c r="K366"/>
      <c r="L366"/>
      <c r="M366"/>
      <c r="N366"/>
      <c r="O366" s="392"/>
      <c r="P366" s="2"/>
      <c r="R366"/>
      <c r="S366"/>
      <c r="V366"/>
    </row>
    <row r="367" spans="10:22" s="1" customFormat="1" x14ac:dyDescent="0.2">
      <c r="J367"/>
      <c r="K367"/>
      <c r="L367"/>
      <c r="M367"/>
      <c r="N367"/>
      <c r="O367" s="392"/>
      <c r="P367" s="2"/>
      <c r="R367"/>
      <c r="S367"/>
      <c r="V367"/>
    </row>
    <row r="368" spans="10:22" s="1" customFormat="1" x14ac:dyDescent="0.2">
      <c r="J368"/>
      <c r="K368"/>
      <c r="L368"/>
      <c r="M368"/>
      <c r="N368"/>
      <c r="O368" s="392"/>
      <c r="P368" s="2"/>
      <c r="R368"/>
      <c r="S368"/>
      <c r="V368"/>
    </row>
    <row r="369" spans="10:22" s="1" customFormat="1" x14ac:dyDescent="0.2">
      <c r="J369"/>
      <c r="K369"/>
      <c r="L369"/>
      <c r="M369"/>
      <c r="N369"/>
      <c r="O369" s="392"/>
      <c r="P369" s="2"/>
      <c r="R369"/>
      <c r="S369"/>
      <c r="V369"/>
    </row>
    <row r="370" spans="10:22" s="1" customFormat="1" x14ac:dyDescent="0.2">
      <c r="J370"/>
      <c r="K370"/>
      <c r="L370"/>
      <c r="M370"/>
      <c r="N370"/>
      <c r="O370" s="392"/>
      <c r="P370" s="2"/>
      <c r="R370"/>
      <c r="S370"/>
      <c r="V370"/>
    </row>
    <row r="371" spans="10:22" s="1" customFormat="1" x14ac:dyDescent="0.2">
      <c r="J371"/>
      <c r="K371"/>
      <c r="L371"/>
      <c r="M371"/>
      <c r="N371"/>
      <c r="O371" s="392"/>
      <c r="P371" s="2"/>
      <c r="R371"/>
      <c r="S371"/>
      <c r="V371"/>
    </row>
    <row r="372" spans="10:22" s="1" customFormat="1" x14ac:dyDescent="0.2">
      <c r="J372"/>
      <c r="K372"/>
      <c r="L372"/>
      <c r="M372"/>
      <c r="N372"/>
      <c r="O372" s="392"/>
      <c r="P372" s="2"/>
      <c r="R372"/>
      <c r="S372"/>
      <c r="V372"/>
    </row>
    <row r="373" spans="10:22" s="1" customFormat="1" x14ac:dyDescent="0.2">
      <c r="J373"/>
      <c r="K373"/>
      <c r="L373"/>
      <c r="M373"/>
      <c r="N373"/>
      <c r="O373" s="392"/>
      <c r="P373" s="2"/>
      <c r="R373"/>
      <c r="S373"/>
      <c r="V373"/>
    </row>
    <row r="374" spans="10:22" s="1" customFormat="1" x14ac:dyDescent="0.2">
      <c r="J374"/>
      <c r="K374"/>
      <c r="L374"/>
      <c r="M374"/>
      <c r="N374"/>
      <c r="O374" s="392"/>
      <c r="P374" s="2"/>
      <c r="R374"/>
      <c r="S374"/>
      <c r="V374"/>
    </row>
    <row r="375" spans="10:22" s="1" customFormat="1" x14ac:dyDescent="0.2">
      <c r="J375"/>
      <c r="K375"/>
      <c r="L375"/>
      <c r="M375"/>
      <c r="N375"/>
      <c r="O375" s="392"/>
      <c r="P375" s="2"/>
      <c r="R375"/>
      <c r="S375"/>
      <c r="V375"/>
    </row>
    <row r="376" spans="10:22" s="1" customFormat="1" x14ac:dyDescent="0.2">
      <c r="J376"/>
      <c r="K376"/>
      <c r="L376"/>
      <c r="M376"/>
      <c r="N376"/>
      <c r="O376" s="392"/>
      <c r="P376" s="2"/>
      <c r="R376"/>
      <c r="S376"/>
      <c r="V376"/>
    </row>
    <row r="377" spans="10:22" s="1" customFormat="1" x14ac:dyDescent="0.2">
      <c r="J377"/>
      <c r="K377"/>
      <c r="L377"/>
      <c r="M377"/>
      <c r="N377"/>
      <c r="O377" s="392"/>
      <c r="P377" s="2"/>
      <c r="R377"/>
      <c r="S377"/>
      <c r="V377"/>
    </row>
    <row r="378" spans="10:22" s="1" customFormat="1" x14ac:dyDescent="0.2">
      <c r="J378"/>
      <c r="K378"/>
      <c r="L378"/>
      <c r="M378"/>
      <c r="N378"/>
      <c r="O378" s="392"/>
      <c r="P378" s="2"/>
      <c r="R378"/>
      <c r="S378"/>
      <c r="V378"/>
    </row>
    <row r="379" spans="10:22" s="1" customFormat="1" x14ac:dyDescent="0.2">
      <c r="J379"/>
      <c r="K379"/>
      <c r="L379"/>
      <c r="M379"/>
      <c r="N379"/>
      <c r="O379" s="392"/>
      <c r="P379" s="2"/>
      <c r="R379"/>
      <c r="S379"/>
      <c r="V379"/>
    </row>
    <row r="380" spans="10:22" s="1" customFormat="1" x14ac:dyDescent="0.2">
      <c r="J380"/>
      <c r="K380"/>
      <c r="L380"/>
      <c r="M380"/>
      <c r="N380"/>
      <c r="O380" s="392"/>
      <c r="P380" s="2"/>
      <c r="R380"/>
      <c r="S380"/>
      <c r="V380"/>
    </row>
    <row r="381" spans="10:22" s="1" customFormat="1" x14ac:dyDescent="0.2">
      <c r="J381"/>
      <c r="K381"/>
      <c r="L381"/>
      <c r="M381"/>
      <c r="N381"/>
      <c r="O381" s="392"/>
      <c r="P381" s="2"/>
      <c r="R381"/>
      <c r="S381"/>
      <c r="V381"/>
    </row>
    <row r="382" spans="10:22" s="1" customFormat="1" x14ac:dyDescent="0.2">
      <c r="J382"/>
      <c r="K382"/>
      <c r="L382"/>
      <c r="M382"/>
      <c r="N382"/>
      <c r="O382" s="392"/>
      <c r="P382" s="2"/>
      <c r="R382"/>
      <c r="S382"/>
      <c r="V382"/>
    </row>
    <row r="383" spans="10:22" s="1" customFormat="1" x14ac:dyDescent="0.2">
      <c r="J383"/>
      <c r="K383"/>
      <c r="L383"/>
      <c r="M383"/>
      <c r="N383"/>
      <c r="O383" s="392"/>
      <c r="P383" s="2"/>
      <c r="R383"/>
      <c r="S383"/>
      <c r="V383"/>
    </row>
    <row r="384" spans="10:22" s="1" customFormat="1" x14ac:dyDescent="0.2">
      <c r="J384"/>
      <c r="K384"/>
      <c r="L384"/>
      <c r="M384"/>
      <c r="N384"/>
      <c r="O384" s="392"/>
      <c r="P384" s="2"/>
      <c r="R384"/>
      <c r="S384"/>
      <c r="V384"/>
    </row>
    <row r="385" spans="10:22" s="1" customFormat="1" x14ac:dyDescent="0.2">
      <c r="J385"/>
      <c r="K385"/>
      <c r="L385"/>
      <c r="M385"/>
      <c r="N385"/>
      <c r="O385" s="392"/>
      <c r="P385" s="2"/>
      <c r="R385"/>
      <c r="S385"/>
      <c r="V385"/>
    </row>
    <row r="386" spans="10:22" s="1" customFormat="1" x14ac:dyDescent="0.2">
      <c r="J386"/>
      <c r="K386"/>
      <c r="L386"/>
      <c r="M386"/>
      <c r="N386"/>
      <c r="O386" s="392"/>
      <c r="P386" s="2"/>
      <c r="R386"/>
      <c r="S386"/>
      <c r="V386"/>
    </row>
    <row r="387" spans="10:22" s="1" customFormat="1" x14ac:dyDescent="0.2">
      <c r="J387"/>
      <c r="K387"/>
      <c r="L387"/>
      <c r="M387"/>
      <c r="N387"/>
      <c r="O387" s="392"/>
      <c r="P387" s="2"/>
      <c r="R387"/>
      <c r="S387"/>
      <c r="V387"/>
    </row>
    <row r="388" spans="10:22" s="1" customFormat="1" x14ac:dyDescent="0.2">
      <c r="J388"/>
      <c r="K388"/>
      <c r="L388"/>
      <c r="M388"/>
      <c r="N388"/>
      <c r="O388" s="392"/>
      <c r="P388" s="2"/>
      <c r="R388"/>
      <c r="S388"/>
      <c r="V388"/>
    </row>
    <row r="389" spans="10:22" s="1" customFormat="1" x14ac:dyDescent="0.2">
      <c r="J389"/>
      <c r="K389"/>
      <c r="L389"/>
      <c r="M389"/>
      <c r="N389"/>
      <c r="O389" s="392"/>
      <c r="P389" s="2"/>
      <c r="R389"/>
      <c r="S389"/>
      <c r="V389"/>
    </row>
    <row r="390" spans="10:22" s="1" customFormat="1" x14ac:dyDescent="0.2">
      <c r="J390"/>
      <c r="K390"/>
      <c r="L390"/>
      <c r="M390"/>
      <c r="N390"/>
      <c r="O390" s="392"/>
      <c r="P390" s="2"/>
      <c r="R390"/>
      <c r="S390"/>
      <c r="V390"/>
    </row>
    <row r="391" spans="10:22" s="1" customFormat="1" x14ac:dyDescent="0.2">
      <c r="J391"/>
      <c r="K391"/>
      <c r="L391"/>
      <c r="M391"/>
      <c r="N391"/>
      <c r="O391" s="392"/>
      <c r="P391" s="2"/>
      <c r="R391"/>
      <c r="S391"/>
      <c r="V391"/>
    </row>
    <row r="392" spans="10:22" s="1" customFormat="1" x14ac:dyDescent="0.2">
      <c r="J392"/>
      <c r="K392"/>
      <c r="L392"/>
      <c r="M392"/>
      <c r="N392"/>
      <c r="O392" s="392"/>
      <c r="P392" s="2"/>
      <c r="R392"/>
      <c r="S392"/>
      <c r="V392"/>
    </row>
    <row r="393" spans="10:22" s="1" customFormat="1" x14ac:dyDescent="0.2">
      <c r="J393"/>
      <c r="K393"/>
      <c r="L393"/>
      <c r="M393"/>
      <c r="N393"/>
      <c r="O393" s="392"/>
      <c r="P393" s="2"/>
      <c r="R393"/>
      <c r="S393"/>
      <c r="V393"/>
    </row>
    <row r="394" spans="10:22" s="1" customFormat="1" x14ac:dyDescent="0.2">
      <c r="J394"/>
      <c r="K394"/>
      <c r="L394"/>
      <c r="M394"/>
      <c r="N394"/>
      <c r="O394" s="392"/>
      <c r="P394" s="2"/>
      <c r="R394"/>
      <c r="S394"/>
      <c r="V394"/>
    </row>
    <row r="395" spans="10:22" s="1" customFormat="1" x14ac:dyDescent="0.2">
      <c r="J395"/>
      <c r="K395"/>
      <c r="L395"/>
      <c r="M395"/>
      <c r="N395"/>
      <c r="O395" s="392"/>
      <c r="P395" s="2"/>
      <c r="R395"/>
      <c r="S395"/>
      <c r="V395"/>
    </row>
    <row r="396" spans="10:22" s="1" customFormat="1" x14ac:dyDescent="0.2">
      <c r="J396"/>
      <c r="K396"/>
      <c r="L396"/>
      <c r="M396"/>
      <c r="N396"/>
      <c r="O396" s="392"/>
      <c r="P396" s="2"/>
      <c r="R396"/>
      <c r="S396"/>
      <c r="V396"/>
    </row>
    <row r="397" spans="10:22" s="1" customFormat="1" x14ac:dyDescent="0.2">
      <c r="J397"/>
      <c r="K397"/>
      <c r="L397"/>
      <c r="M397"/>
      <c r="N397"/>
      <c r="O397" s="392"/>
      <c r="P397" s="2"/>
      <c r="R397"/>
      <c r="S397"/>
      <c r="V397"/>
    </row>
    <row r="398" spans="10:22" s="1" customFormat="1" x14ac:dyDescent="0.2">
      <c r="J398"/>
      <c r="K398"/>
      <c r="L398"/>
      <c r="M398"/>
      <c r="N398"/>
      <c r="O398" s="392"/>
      <c r="P398" s="2"/>
      <c r="R398"/>
      <c r="S398"/>
      <c r="V398"/>
    </row>
    <row r="399" spans="10:22" s="1" customFormat="1" x14ac:dyDescent="0.2">
      <c r="J399"/>
      <c r="K399"/>
      <c r="L399"/>
      <c r="M399"/>
      <c r="N399"/>
      <c r="O399" s="392"/>
      <c r="P399" s="2"/>
      <c r="R399"/>
      <c r="S399"/>
      <c r="V399"/>
    </row>
    <row r="400" spans="10:22" s="1" customFormat="1" x14ac:dyDescent="0.2">
      <c r="J400"/>
      <c r="K400"/>
      <c r="L400"/>
      <c r="M400"/>
      <c r="N400"/>
      <c r="O400" s="392"/>
      <c r="P400" s="2"/>
      <c r="R400"/>
      <c r="S400"/>
      <c r="V400"/>
    </row>
    <row r="401" spans="10:22" s="1" customFormat="1" x14ac:dyDescent="0.2">
      <c r="J401"/>
      <c r="K401"/>
      <c r="L401"/>
      <c r="M401"/>
      <c r="N401"/>
      <c r="O401" s="392"/>
      <c r="P401" s="2"/>
      <c r="R401"/>
      <c r="S401"/>
      <c r="V401"/>
    </row>
    <row r="402" spans="10:22" s="1" customFormat="1" x14ac:dyDescent="0.2">
      <c r="J402"/>
      <c r="K402"/>
      <c r="L402"/>
      <c r="M402"/>
      <c r="N402"/>
      <c r="O402" s="392"/>
      <c r="P402" s="2"/>
      <c r="R402"/>
      <c r="S402"/>
      <c r="V402"/>
    </row>
    <row r="403" spans="10:22" s="1" customFormat="1" x14ac:dyDescent="0.2">
      <c r="J403"/>
      <c r="K403"/>
      <c r="L403"/>
      <c r="M403"/>
      <c r="N403"/>
      <c r="O403" s="392"/>
      <c r="P403" s="2"/>
      <c r="R403"/>
      <c r="S403"/>
      <c r="V403"/>
    </row>
    <row r="404" spans="10:22" s="1" customFormat="1" x14ac:dyDescent="0.2">
      <c r="J404"/>
      <c r="K404"/>
      <c r="L404"/>
      <c r="M404"/>
      <c r="N404"/>
      <c r="O404" s="392"/>
      <c r="P404" s="2"/>
      <c r="R404"/>
      <c r="S404"/>
      <c r="V404"/>
    </row>
    <row r="405" spans="10:22" s="1" customFormat="1" x14ac:dyDescent="0.2">
      <c r="J405"/>
      <c r="K405"/>
      <c r="L405"/>
      <c r="M405"/>
      <c r="N405"/>
      <c r="O405" s="392"/>
      <c r="P405" s="2"/>
      <c r="R405"/>
      <c r="S405"/>
      <c r="V405"/>
    </row>
    <row r="406" spans="10:22" s="1" customFormat="1" x14ac:dyDescent="0.2">
      <c r="J406"/>
      <c r="K406"/>
      <c r="L406"/>
      <c r="M406"/>
      <c r="N406"/>
      <c r="O406" s="392"/>
      <c r="P406" s="2"/>
      <c r="R406"/>
      <c r="S406"/>
      <c r="V406"/>
    </row>
    <row r="407" spans="10:22" s="1" customFormat="1" x14ac:dyDescent="0.2">
      <c r="J407"/>
      <c r="K407"/>
      <c r="L407"/>
      <c r="M407"/>
      <c r="N407"/>
      <c r="O407" s="392"/>
      <c r="P407" s="2"/>
      <c r="R407"/>
      <c r="S407"/>
      <c r="V407"/>
    </row>
    <row r="408" spans="10:22" s="1" customFormat="1" x14ac:dyDescent="0.2">
      <c r="J408"/>
      <c r="K408"/>
      <c r="L408"/>
      <c r="M408"/>
      <c r="N408"/>
      <c r="O408" s="392"/>
      <c r="P408" s="2"/>
      <c r="R408"/>
      <c r="S408"/>
      <c r="V408"/>
    </row>
    <row r="409" spans="10:22" s="1" customFormat="1" x14ac:dyDescent="0.2">
      <c r="J409"/>
      <c r="K409"/>
      <c r="L409"/>
      <c r="M409"/>
      <c r="N409"/>
      <c r="O409" s="392"/>
      <c r="P409" s="2"/>
      <c r="R409"/>
      <c r="S409"/>
      <c r="V409"/>
    </row>
    <row r="410" spans="10:22" s="1" customFormat="1" x14ac:dyDescent="0.2">
      <c r="J410"/>
      <c r="K410"/>
      <c r="L410"/>
      <c r="M410"/>
      <c r="N410"/>
      <c r="O410" s="392"/>
      <c r="P410" s="2"/>
      <c r="R410"/>
      <c r="S410"/>
      <c r="V410"/>
    </row>
    <row r="411" spans="10:22" s="1" customFormat="1" x14ac:dyDescent="0.2">
      <c r="J411"/>
      <c r="K411"/>
      <c r="L411"/>
      <c r="M411"/>
      <c r="N411"/>
      <c r="O411" s="392"/>
      <c r="P411" s="2"/>
      <c r="R411"/>
      <c r="S411"/>
      <c r="V411"/>
    </row>
    <row r="412" spans="10:22" s="1" customFormat="1" x14ac:dyDescent="0.2">
      <c r="J412"/>
      <c r="K412"/>
      <c r="L412"/>
      <c r="M412"/>
      <c r="N412"/>
      <c r="O412" s="392"/>
      <c r="P412" s="2"/>
      <c r="R412"/>
      <c r="S412"/>
      <c r="V412"/>
    </row>
    <row r="413" spans="10:22" s="1" customFormat="1" x14ac:dyDescent="0.2">
      <c r="J413"/>
      <c r="K413"/>
      <c r="L413"/>
      <c r="M413"/>
      <c r="N413"/>
      <c r="O413" s="392"/>
      <c r="P413" s="2"/>
      <c r="R413"/>
      <c r="S413"/>
      <c r="V413"/>
    </row>
    <row r="414" spans="10:22" s="1" customFormat="1" x14ac:dyDescent="0.2">
      <c r="J414"/>
      <c r="K414"/>
      <c r="L414"/>
      <c r="M414"/>
      <c r="N414"/>
      <c r="O414" s="392"/>
      <c r="P414" s="2"/>
      <c r="R414"/>
      <c r="S414"/>
      <c r="V414"/>
    </row>
    <row r="415" spans="10:22" s="1" customFormat="1" x14ac:dyDescent="0.2">
      <c r="J415"/>
      <c r="K415"/>
      <c r="L415"/>
      <c r="M415"/>
      <c r="N415"/>
      <c r="O415" s="392"/>
      <c r="P415" s="2"/>
      <c r="R415"/>
      <c r="S415"/>
      <c r="V415"/>
    </row>
    <row r="416" spans="10:22" s="1" customFormat="1" x14ac:dyDescent="0.2">
      <c r="J416"/>
      <c r="K416"/>
      <c r="L416"/>
      <c r="M416"/>
      <c r="N416"/>
      <c r="O416" s="392"/>
      <c r="P416" s="2"/>
      <c r="R416"/>
      <c r="S416"/>
      <c r="V416"/>
    </row>
    <row r="417" spans="10:22" s="1" customFormat="1" x14ac:dyDescent="0.2">
      <c r="J417"/>
      <c r="K417"/>
      <c r="L417"/>
      <c r="M417"/>
      <c r="N417"/>
      <c r="O417" s="392"/>
      <c r="P417" s="2"/>
      <c r="R417"/>
      <c r="S417"/>
      <c r="V417"/>
    </row>
    <row r="418" spans="10:22" s="1" customFormat="1" x14ac:dyDescent="0.2">
      <c r="J418"/>
      <c r="K418"/>
      <c r="L418"/>
      <c r="M418"/>
      <c r="N418"/>
      <c r="O418" s="392"/>
      <c r="P418" s="2"/>
      <c r="R418"/>
      <c r="S418"/>
      <c r="V418"/>
    </row>
    <row r="419" spans="10:22" s="1" customFormat="1" x14ac:dyDescent="0.2">
      <c r="J419"/>
      <c r="K419"/>
      <c r="L419"/>
      <c r="M419"/>
      <c r="N419"/>
      <c r="O419" s="392"/>
      <c r="P419" s="2"/>
      <c r="R419"/>
      <c r="S419"/>
      <c r="V419"/>
    </row>
    <row r="420" spans="10:22" s="1" customFormat="1" x14ac:dyDescent="0.2">
      <c r="J420"/>
      <c r="K420"/>
      <c r="L420"/>
      <c r="M420"/>
      <c r="N420"/>
      <c r="O420" s="392"/>
      <c r="P420" s="2"/>
      <c r="R420"/>
      <c r="S420"/>
      <c r="V420"/>
    </row>
    <row r="421" spans="10:22" s="1" customFormat="1" x14ac:dyDescent="0.2">
      <c r="J421"/>
      <c r="K421"/>
      <c r="L421"/>
      <c r="M421"/>
      <c r="N421"/>
      <c r="O421" s="392"/>
      <c r="P421" s="2"/>
      <c r="R421"/>
      <c r="S421"/>
      <c r="V421"/>
    </row>
    <row r="422" spans="10:22" s="1" customFormat="1" x14ac:dyDescent="0.2">
      <c r="J422"/>
      <c r="K422"/>
      <c r="L422"/>
      <c r="M422"/>
      <c r="N422"/>
      <c r="O422" s="392"/>
      <c r="P422" s="2"/>
      <c r="R422"/>
      <c r="S422"/>
      <c r="V422"/>
    </row>
    <row r="423" spans="10:22" s="1" customFormat="1" x14ac:dyDescent="0.2">
      <c r="J423"/>
      <c r="K423"/>
      <c r="L423"/>
      <c r="M423"/>
      <c r="N423"/>
      <c r="O423" s="392"/>
      <c r="P423" s="2"/>
      <c r="R423"/>
      <c r="S423"/>
      <c r="V423"/>
    </row>
    <row r="424" spans="10:22" s="1" customFormat="1" x14ac:dyDescent="0.2">
      <c r="J424"/>
      <c r="K424"/>
      <c r="L424"/>
      <c r="M424"/>
      <c r="N424"/>
      <c r="O424" s="392"/>
      <c r="P424" s="2"/>
      <c r="R424"/>
      <c r="S424"/>
      <c r="V424"/>
    </row>
    <row r="425" spans="10:22" s="1" customFormat="1" x14ac:dyDescent="0.2">
      <c r="J425"/>
      <c r="K425"/>
      <c r="L425"/>
      <c r="M425"/>
      <c r="N425"/>
      <c r="O425" s="392"/>
      <c r="P425" s="2"/>
      <c r="R425"/>
      <c r="S425"/>
      <c r="V425"/>
    </row>
    <row r="426" spans="10:22" s="1" customFormat="1" x14ac:dyDescent="0.2">
      <c r="J426"/>
      <c r="K426"/>
      <c r="L426"/>
      <c r="M426"/>
      <c r="N426"/>
      <c r="O426" s="392"/>
      <c r="P426" s="2"/>
      <c r="R426"/>
      <c r="S426"/>
      <c r="V426"/>
    </row>
    <row r="427" spans="10:22" s="1" customFormat="1" x14ac:dyDescent="0.2">
      <c r="J427"/>
      <c r="K427"/>
      <c r="L427"/>
      <c r="M427"/>
      <c r="N427"/>
      <c r="O427" s="392"/>
      <c r="P427" s="2"/>
      <c r="R427"/>
      <c r="S427"/>
      <c r="V427"/>
    </row>
    <row r="428" spans="10:22" s="1" customFormat="1" x14ac:dyDescent="0.2">
      <c r="J428"/>
      <c r="K428"/>
      <c r="L428"/>
      <c r="M428"/>
      <c r="N428"/>
      <c r="O428" s="392"/>
      <c r="P428" s="2"/>
      <c r="R428"/>
      <c r="S428"/>
      <c r="V428"/>
    </row>
    <row r="429" spans="10:22" s="1" customFormat="1" x14ac:dyDescent="0.2">
      <c r="J429"/>
      <c r="K429"/>
      <c r="L429"/>
      <c r="M429"/>
      <c r="N429"/>
      <c r="O429" s="392"/>
      <c r="P429" s="2"/>
      <c r="R429"/>
      <c r="S429"/>
      <c r="V429"/>
    </row>
    <row r="430" spans="10:22" s="1" customFormat="1" x14ac:dyDescent="0.2">
      <c r="J430"/>
      <c r="K430"/>
      <c r="L430"/>
      <c r="M430"/>
      <c r="N430"/>
      <c r="O430" s="392"/>
      <c r="P430" s="2"/>
      <c r="R430"/>
      <c r="S430"/>
      <c r="V430"/>
    </row>
    <row r="431" spans="10:22" s="1" customFormat="1" x14ac:dyDescent="0.2">
      <c r="J431"/>
      <c r="K431"/>
      <c r="L431"/>
      <c r="M431"/>
      <c r="N431"/>
      <c r="O431" s="392"/>
      <c r="P431" s="2"/>
      <c r="R431"/>
      <c r="S431"/>
      <c r="V431"/>
    </row>
    <row r="432" spans="10:22" s="1" customFormat="1" x14ac:dyDescent="0.2">
      <c r="J432"/>
      <c r="K432"/>
      <c r="L432"/>
      <c r="M432"/>
      <c r="N432"/>
      <c r="O432" s="392"/>
      <c r="P432" s="2"/>
      <c r="R432"/>
      <c r="S432"/>
      <c r="V432"/>
    </row>
    <row r="433" spans="10:22" s="1" customFormat="1" x14ac:dyDescent="0.2">
      <c r="J433"/>
      <c r="K433"/>
      <c r="L433"/>
      <c r="M433"/>
      <c r="N433"/>
      <c r="O433" s="392"/>
      <c r="P433" s="2"/>
      <c r="R433"/>
      <c r="S433"/>
      <c r="V433"/>
    </row>
    <row r="434" spans="10:22" s="1" customFormat="1" x14ac:dyDescent="0.2">
      <c r="J434"/>
      <c r="K434"/>
      <c r="L434"/>
      <c r="M434"/>
      <c r="N434"/>
      <c r="O434" s="392"/>
      <c r="P434" s="2"/>
      <c r="R434"/>
      <c r="S434"/>
      <c r="V434"/>
    </row>
    <row r="435" spans="10:22" s="1" customFormat="1" x14ac:dyDescent="0.2">
      <c r="J435"/>
      <c r="K435"/>
      <c r="L435"/>
      <c r="M435"/>
      <c r="N435"/>
      <c r="O435" s="392"/>
      <c r="P435" s="2"/>
      <c r="R435"/>
      <c r="S435"/>
      <c r="V435"/>
    </row>
    <row r="436" spans="10:22" s="1" customFormat="1" x14ac:dyDescent="0.2">
      <c r="J436"/>
      <c r="K436"/>
      <c r="L436"/>
      <c r="M436"/>
      <c r="N436"/>
      <c r="O436" s="392"/>
      <c r="P436" s="2"/>
      <c r="R436"/>
      <c r="S436"/>
      <c r="V436"/>
    </row>
    <row r="437" spans="10:22" s="1" customFormat="1" x14ac:dyDescent="0.2">
      <c r="J437"/>
      <c r="K437"/>
      <c r="L437"/>
      <c r="M437"/>
      <c r="N437"/>
      <c r="O437" s="392"/>
      <c r="P437" s="2"/>
      <c r="R437"/>
      <c r="S437"/>
      <c r="V437"/>
    </row>
    <row r="438" spans="10:22" s="1" customFormat="1" x14ac:dyDescent="0.2">
      <c r="J438"/>
      <c r="K438"/>
      <c r="L438"/>
      <c r="M438"/>
      <c r="N438"/>
      <c r="O438" s="392"/>
      <c r="P438" s="2"/>
      <c r="R438"/>
      <c r="S438"/>
      <c r="V438"/>
    </row>
    <row r="439" spans="10:22" s="1" customFormat="1" x14ac:dyDescent="0.2">
      <c r="J439"/>
      <c r="K439"/>
      <c r="L439"/>
      <c r="M439"/>
      <c r="N439"/>
      <c r="O439" s="392"/>
      <c r="P439" s="2"/>
      <c r="R439"/>
      <c r="S439"/>
      <c r="V439"/>
    </row>
    <row r="440" spans="10:22" s="1" customFormat="1" x14ac:dyDescent="0.2">
      <c r="J440"/>
      <c r="K440"/>
      <c r="L440"/>
      <c r="M440"/>
      <c r="N440"/>
      <c r="O440" s="392"/>
      <c r="P440" s="2"/>
      <c r="R440"/>
      <c r="S440"/>
      <c r="V440"/>
    </row>
    <row r="441" spans="10:22" s="1" customFormat="1" x14ac:dyDescent="0.2">
      <c r="J441"/>
      <c r="K441"/>
      <c r="L441"/>
      <c r="M441"/>
      <c r="N441"/>
      <c r="O441" s="392"/>
      <c r="P441" s="2"/>
      <c r="R441"/>
      <c r="S441"/>
      <c r="V441"/>
    </row>
    <row r="442" spans="10:22" s="1" customFormat="1" x14ac:dyDescent="0.2">
      <c r="J442"/>
      <c r="K442"/>
      <c r="L442"/>
      <c r="M442"/>
      <c r="N442"/>
      <c r="O442" s="392"/>
      <c r="P442" s="2"/>
      <c r="R442"/>
      <c r="S442"/>
      <c r="V442"/>
    </row>
    <row r="443" spans="10:22" s="1" customFormat="1" x14ac:dyDescent="0.2">
      <c r="J443"/>
      <c r="K443"/>
      <c r="L443"/>
      <c r="M443"/>
      <c r="N443"/>
      <c r="O443" s="392"/>
      <c r="P443" s="2"/>
      <c r="R443"/>
      <c r="S443"/>
      <c r="V443"/>
    </row>
    <row r="444" spans="10:22" s="1" customFormat="1" x14ac:dyDescent="0.2">
      <c r="J444"/>
      <c r="K444"/>
      <c r="L444"/>
      <c r="M444"/>
      <c r="N444"/>
      <c r="O444" s="392"/>
      <c r="P444" s="2"/>
      <c r="R444"/>
      <c r="S444"/>
      <c r="V444"/>
    </row>
    <row r="445" spans="10:22" s="1" customFormat="1" x14ac:dyDescent="0.2">
      <c r="J445"/>
      <c r="K445"/>
      <c r="L445"/>
      <c r="M445"/>
      <c r="N445"/>
      <c r="O445" s="392"/>
      <c r="P445" s="2"/>
      <c r="R445"/>
      <c r="S445"/>
      <c r="V445"/>
    </row>
    <row r="446" spans="10:22" s="1" customFormat="1" x14ac:dyDescent="0.2">
      <c r="J446"/>
      <c r="K446"/>
      <c r="L446"/>
      <c r="M446"/>
      <c r="N446"/>
      <c r="O446" s="392"/>
      <c r="P446" s="2"/>
      <c r="R446"/>
      <c r="S446"/>
      <c r="V446"/>
    </row>
    <row r="447" spans="10:22" s="1" customFormat="1" x14ac:dyDescent="0.2">
      <c r="J447"/>
      <c r="K447"/>
      <c r="L447"/>
      <c r="M447"/>
      <c r="N447"/>
      <c r="O447" s="392"/>
      <c r="P447" s="2"/>
      <c r="R447"/>
      <c r="S447"/>
      <c r="V447"/>
    </row>
    <row r="448" spans="10:22" s="1" customFormat="1" x14ac:dyDescent="0.2">
      <c r="J448"/>
      <c r="K448"/>
      <c r="L448"/>
      <c r="M448"/>
      <c r="N448"/>
      <c r="O448" s="392"/>
      <c r="P448" s="2"/>
      <c r="R448"/>
      <c r="S448"/>
      <c r="V448"/>
    </row>
    <row r="449" spans="10:22" s="1" customFormat="1" x14ac:dyDescent="0.2">
      <c r="J449"/>
      <c r="K449"/>
      <c r="L449"/>
      <c r="M449"/>
      <c r="N449"/>
      <c r="O449" s="392"/>
      <c r="P449" s="2"/>
      <c r="R449"/>
      <c r="S449"/>
      <c r="V449"/>
    </row>
    <row r="450" spans="10:22" s="1" customFormat="1" x14ac:dyDescent="0.2">
      <c r="J450"/>
      <c r="K450"/>
      <c r="L450"/>
      <c r="M450"/>
      <c r="N450"/>
      <c r="O450" s="392"/>
      <c r="P450" s="2"/>
      <c r="R450"/>
      <c r="S450"/>
      <c r="V450"/>
    </row>
    <row r="451" spans="10:22" s="1" customFormat="1" x14ac:dyDescent="0.2">
      <c r="J451"/>
      <c r="K451"/>
      <c r="L451"/>
      <c r="M451"/>
      <c r="N451"/>
      <c r="O451" s="392"/>
      <c r="P451" s="2"/>
      <c r="R451"/>
      <c r="S451"/>
      <c r="V451"/>
    </row>
    <row r="452" spans="10:22" s="1" customFormat="1" x14ac:dyDescent="0.2">
      <c r="J452"/>
      <c r="K452"/>
      <c r="L452"/>
      <c r="M452"/>
      <c r="N452"/>
      <c r="O452" s="392"/>
      <c r="P452" s="2"/>
      <c r="R452"/>
      <c r="S452"/>
      <c r="V452"/>
    </row>
    <row r="453" spans="10:22" s="1" customFormat="1" x14ac:dyDescent="0.2">
      <c r="J453"/>
      <c r="K453"/>
      <c r="L453"/>
      <c r="M453"/>
      <c r="N453"/>
      <c r="O453" s="392"/>
      <c r="P453" s="2"/>
      <c r="R453"/>
      <c r="S453"/>
      <c r="V453"/>
    </row>
    <row r="454" spans="10:22" s="1" customFormat="1" x14ac:dyDescent="0.2">
      <c r="J454"/>
      <c r="K454"/>
      <c r="L454"/>
      <c r="M454"/>
      <c r="N454"/>
      <c r="O454" s="392"/>
      <c r="P454" s="2"/>
      <c r="R454"/>
      <c r="S454"/>
      <c r="V454"/>
    </row>
    <row r="455" spans="10:22" s="1" customFormat="1" x14ac:dyDescent="0.2">
      <c r="J455"/>
      <c r="K455"/>
      <c r="L455"/>
      <c r="M455"/>
      <c r="N455"/>
      <c r="O455" s="392"/>
      <c r="P455" s="2"/>
      <c r="R455"/>
      <c r="S455"/>
      <c r="V455"/>
    </row>
    <row r="456" spans="10:22" s="1" customFormat="1" x14ac:dyDescent="0.2">
      <c r="J456"/>
      <c r="K456"/>
      <c r="L456"/>
      <c r="M456"/>
      <c r="N456"/>
      <c r="O456" s="392"/>
      <c r="P456" s="2"/>
      <c r="R456"/>
      <c r="S456"/>
      <c r="V456"/>
    </row>
    <row r="457" spans="10:22" s="1" customFormat="1" x14ac:dyDescent="0.2">
      <c r="J457"/>
      <c r="K457"/>
      <c r="L457"/>
      <c r="M457"/>
      <c r="N457"/>
      <c r="O457" s="392"/>
      <c r="P457" s="2"/>
      <c r="R457"/>
      <c r="S457"/>
      <c r="V457"/>
    </row>
    <row r="458" spans="10:22" s="1" customFormat="1" x14ac:dyDescent="0.2">
      <c r="J458"/>
      <c r="K458"/>
      <c r="L458"/>
      <c r="M458"/>
      <c r="N458"/>
      <c r="O458" s="392"/>
      <c r="P458" s="2"/>
      <c r="R458"/>
      <c r="S458"/>
      <c r="V458"/>
    </row>
    <row r="459" spans="10:22" s="1" customFormat="1" x14ac:dyDescent="0.2">
      <c r="J459"/>
      <c r="K459"/>
      <c r="L459"/>
      <c r="M459"/>
      <c r="N459"/>
      <c r="O459" s="392"/>
      <c r="P459" s="2"/>
      <c r="R459"/>
      <c r="S459"/>
      <c r="V459"/>
    </row>
    <row r="460" spans="10:22" s="1" customFormat="1" x14ac:dyDescent="0.2">
      <c r="J460"/>
      <c r="K460"/>
      <c r="L460"/>
      <c r="M460"/>
      <c r="N460"/>
      <c r="O460" s="392"/>
      <c r="P460" s="2"/>
      <c r="R460"/>
      <c r="S460"/>
      <c r="V460"/>
    </row>
    <row r="461" spans="10:22" s="1" customFormat="1" x14ac:dyDescent="0.2">
      <c r="J461"/>
      <c r="K461"/>
      <c r="L461"/>
      <c r="M461"/>
      <c r="N461"/>
      <c r="O461" s="392"/>
      <c r="P461" s="2"/>
      <c r="R461"/>
      <c r="S461"/>
      <c r="V461"/>
    </row>
    <row r="462" spans="10:22" s="1" customFormat="1" x14ac:dyDescent="0.2">
      <c r="J462"/>
      <c r="K462"/>
      <c r="L462"/>
      <c r="M462"/>
      <c r="N462"/>
      <c r="O462" s="392"/>
      <c r="P462" s="2"/>
      <c r="R462"/>
      <c r="S462"/>
      <c r="V462"/>
    </row>
    <row r="463" spans="10:22" s="1" customFormat="1" x14ac:dyDescent="0.2">
      <c r="J463"/>
      <c r="K463"/>
      <c r="L463"/>
      <c r="M463"/>
      <c r="N463"/>
      <c r="O463" s="392"/>
      <c r="P463" s="2"/>
      <c r="R463"/>
      <c r="S463"/>
      <c r="V463"/>
    </row>
    <row r="464" spans="10:22" s="1" customFormat="1" x14ac:dyDescent="0.2">
      <c r="J464"/>
      <c r="K464"/>
      <c r="L464"/>
      <c r="M464"/>
      <c r="N464"/>
      <c r="O464" s="392"/>
      <c r="P464" s="2"/>
      <c r="R464"/>
      <c r="S464"/>
      <c r="V464"/>
    </row>
    <row r="465" spans="10:22" s="1" customFormat="1" x14ac:dyDescent="0.2">
      <c r="J465"/>
      <c r="K465"/>
      <c r="L465"/>
      <c r="M465"/>
      <c r="N465"/>
      <c r="O465" s="392"/>
      <c r="P465" s="2"/>
      <c r="R465"/>
      <c r="S465"/>
      <c r="V465"/>
    </row>
    <row r="466" spans="10:22" s="1" customFormat="1" x14ac:dyDescent="0.2">
      <c r="J466"/>
      <c r="K466"/>
      <c r="L466"/>
      <c r="M466"/>
      <c r="N466"/>
      <c r="O466" s="392"/>
      <c r="P466" s="2"/>
      <c r="R466"/>
      <c r="S466"/>
      <c r="V466"/>
    </row>
    <row r="467" spans="10:22" s="1" customFormat="1" x14ac:dyDescent="0.2">
      <c r="J467"/>
      <c r="K467"/>
      <c r="L467"/>
      <c r="M467"/>
      <c r="N467"/>
      <c r="O467" s="392"/>
      <c r="P467" s="2"/>
      <c r="R467"/>
      <c r="S467"/>
      <c r="V467"/>
    </row>
    <row r="468" spans="10:22" s="1" customFormat="1" x14ac:dyDescent="0.2">
      <c r="J468"/>
      <c r="K468"/>
      <c r="L468"/>
      <c r="M468"/>
      <c r="N468"/>
      <c r="O468" s="392"/>
      <c r="P468" s="2"/>
      <c r="R468"/>
      <c r="S468"/>
      <c r="V468"/>
    </row>
    <row r="469" spans="10:22" s="1" customFormat="1" x14ac:dyDescent="0.2">
      <c r="J469"/>
      <c r="K469"/>
      <c r="L469"/>
      <c r="M469"/>
      <c r="N469"/>
      <c r="O469" s="392"/>
      <c r="P469" s="2"/>
      <c r="R469"/>
      <c r="S469"/>
      <c r="V469"/>
    </row>
    <row r="470" spans="10:22" s="1" customFormat="1" x14ac:dyDescent="0.2">
      <c r="J470"/>
      <c r="K470"/>
      <c r="L470"/>
      <c r="M470"/>
      <c r="N470"/>
      <c r="O470" s="392"/>
      <c r="P470" s="2"/>
      <c r="R470"/>
      <c r="S470"/>
      <c r="V470"/>
    </row>
    <row r="471" spans="10:22" s="1" customFormat="1" x14ac:dyDescent="0.2">
      <c r="J471"/>
      <c r="K471"/>
      <c r="L471"/>
      <c r="M471"/>
      <c r="N471"/>
      <c r="O471" s="392"/>
      <c r="P471" s="2"/>
      <c r="R471"/>
      <c r="S471"/>
      <c r="V471"/>
    </row>
    <row r="472" spans="10:22" s="1" customFormat="1" x14ac:dyDescent="0.2">
      <c r="J472"/>
      <c r="K472"/>
      <c r="L472"/>
      <c r="M472"/>
      <c r="N472"/>
      <c r="O472" s="392"/>
      <c r="P472" s="2"/>
      <c r="R472"/>
      <c r="S472"/>
      <c r="V472"/>
    </row>
    <row r="473" spans="10:22" s="1" customFormat="1" x14ac:dyDescent="0.2">
      <c r="J473"/>
      <c r="K473"/>
      <c r="L473"/>
      <c r="M473"/>
      <c r="N473"/>
      <c r="O473" s="392"/>
      <c r="P473" s="2"/>
      <c r="R473"/>
      <c r="S473"/>
      <c r="V473"/>
    </row>
    <row r="474" spans="10:22" s="1" customFormat="1" x14ac:dyDescent="0.2">
      <c r="J474"/>
      <c r="K474"/>
      <c r="L474"/>
      <c r="M474"/>
      <c r="N474"/>
      <c r="O474" s="392"/>
      <c r="P474" s="2"/>
      <c r="R474"/>
      <c r="S474"/>
      <c r="V474"/>
    </row>
    <row r="475" spans="10:22" s="1" customFormat="1" x14ac:dyDescent="0.2">
      <c r="J475"/>
      <c r="K475"/>
      <c r="L475"/>
      <c r="M475"/>
      <c r="N475"/>
      <c r="O475" s="392"/>
      <c r="P475" s="2"/>
      <c r="R475"/>
      <c r="S475"/>
      <c r="V475"/>
    </row>
    <row r="476" spans="10:22" s="1" customFormat="1" x14ac:dyDescent="0.2">
      <c r="J476"/>
      <c r="K476"/>
      <c r="L476"/>
      <c r="M476"/>
      <c r="N476"/>
      <c r="O476" s="392"/>
      <c r="P476" s="2"/>
      <c r="R476"/>
      <c r="S476"/>
      <c r="V476"/>
    </row>
    <row r="477" spans="10:22" s="1" customFormat="1" x14ac:dyDescent="0.2">
      <c r="J477"/>
      <c r="K477"/>
      <c r="L477"/>
      <c r="M477"/>
      <c r="N477"/>
      <c r="O477" s="392"/>
      <c r="P477" s="2"/>
      <c r="R477"/>
      <c r="S477"/>
      <c r="V477"/>
    </row>
    <row r="478" spans="10:22" s="1" customFormat="1" x14ac:dyDescent="0.2">
      <c r="J478"/>
      <c r="K478"/>
      <c r="L478"/>
      <c r="M478"/>
      <c r="N478"/>
      <c r="O478" s="392"/>
      <c r="P478" s="2"/>
      <c r="R478"/>
      <c r="S478"/>
      <c r="V478"/>
    </row>
    <row r="479" spans="10:22" s="1" customFormat="1" x14ac:dyDescent="0.2">
      <c r="J479"/>
      <c r="K479"/>
      <c r="L479"/>
      <c r="M479"/>
      <c r="N479"/>
      <c r="O479" s="392"/>
      <c r="P479" s="2"/>
      <c r="R479"/>
      <c r="S479"/>
      <c r="V479"/>
    </row>
    <row r="480" spans="10:22" s="1" customFormat="1" x14ac:dyDescent="0.2">
      <c r="J480"/>
      <c r="K480"/>
      <c r="L480"/>
      <c r="M480"/>
      <c r="N480"/>
      <c r="O480" s="392"/>
      <c r="P480" s="2"/>
      <c r="R480"/>
      <c r="S480"/>
      <c r="V480"/>
    </row>
    <row r="481" spans="10:22" s="1" customFormat="1" x14ac:dyDescent="0.2">
      <c r="J481"/>
      <c r="K481"/>
      <c r="L481"/>
      <c r="M481"/>
      <c r="N481"/>
      <c r="O481" s="392"/>
      <c r="P481" s="2"/>
      <c r="R481"/>
      <c r="S481"/>
      <c r="V481"/>
    </row>
    <row r="482" spans="10:22" s="1" customFormat="1" x14ac:dyDescent="0.2">
      <c r="J482"/>
      <c r="K482"/>
      <c r="L482"/>
      <c r="M482"/>
      <c r="N482"/>
      <c r="O482" s="392"/>
      <c r="P482" s="2"/>
      <c r="R482"/>
      <c r="S482"/>
      <c r="V482"/>
    </row>
    <row r="483" spans="10:22" s="1" customFormat="1" x14ac:dyDescent="0.2">
      <c r="J483"/>
      <c r="K483"/>
      <c r="L483"/>
      <c r="M483"/>
      <c r="N483"/>
      <c r="O483" s="392"/>
      <c r="P483" s="2"/>
      <c r="R483"/>
      <c r="S483"/>
      <c r="V483"/>
    </row>
    <row r="484" spans="10:22" s="1" customFormat="1" x14ac:dyDescent="0.2">
      <c r="J484"/>
      <c r="K484"/>
      <c r="L484"/>
      <c r="M484"/>
      <c r="N484"/>
      <c r="O484" s="392"/>
      <c r="P484" s="2"/>
      <c r="R484"/>
      <c r="S484"/>
      <c r="V484"/>
    </row>
    <row r="485" spans="10:22" s="1" customFormat="1" x14ac:dyDescent="0.2">
      <c r="J485"/>
      <c r="K485"/>
      <c r="L485"/>
      <c r="M485"/>
      <c r="N485"/>
      <c r="O485" s="392"/>
      <c r="P485" s="2"/>
      <c r="R485"/>
      <c r="S485"/>
      <c r="V485"/>
    </row>
    <row r="486" spans="10:22" s="1" customFormat="1" x14ac:dyDescent="0.2">
      <c r="J486"/>
      <c r="K486"/>
      <c r="L486"/>
      <c r="M486"/>
      <c r="N486"/>
      <c r="O486" s="392"/>
      <c r="P486" s="2"/>
      <c r="R486"/>
      <c r="S486"/>
      <c r="V486"/>
    </row>
    <row r="487" spans="10:22" s="1" customFormat="1" x14ac:dyDescent="0.2">
      <c r="J487"/>
      <c r="K487"/>
      <c r="L487"/>
      <c r="M487"/>
      <c r="N487"/>
      <c r="O487" s="392"/>
      <c r="P487" s="2"/>
      <c r="R487"/>
      <c r="S487"/>
      <c r="V487"/>
    </row>
    <row r="488" spans="10:22" s="1" customFormat="1" x14ac:dyDescent="0.2">
      <c r="J488"/>
      <c r="K488"/>
      <c r="L488"/>
      <c r="M488"/>
      <c r="N488"/>
      <c r="O488" s="392"/>
      <c r="P488" s="2"/>
      <c r="R488"/>
      <c r="S488"/>
      <c r="V488"/>
    </row>
    <row r="489" spans="10:22" s="1" customFormat="1" x14ac:dyDescent="0.2">
      <c r="J489"/>
      <c r="K489"/>
      <c r="L489"/>
      <c r="M489"/>
      <c r="N489"/>
      <c r="O489" s="392"/>
      <c r="P489" s="2"/>
      <c r="R489"/>
      <c r="S489"/>
      <c r="V489"/>
    </row>
    <row r="490" spans="10:22" s="1" customFormat="1" x14ac:dyDescent="0.2">
      <c r="J490"/>
      <c r="K490"/>
      <c r="L490"/>
      <c r="M490"/>
      <c r="N490"/>
      <c r="O490" s="392"/>
      <c r="P490" s="2"/>
      <c r="R490"/>
      <c r="S490"/>
      <c r="V490"/>
    </row>
    <row r="491" spans="10:22" s="1" customFormat="1" x14ac:dyDescent="0.2">
      <c r="J491"/>
      <c r="K491"/>
      <c r="L491"/>
      <c r="M491"/>
      <c r="N491"/>
      <c r="O491" s="392"/>
      <c r="P491" s="2"/>
      <c r="R491"/>
      <c r="S491"/>
      <c r="V491"/>
    </row>
    <row r="492" spans="10:22" s="1" customFormat="1" x14ac:dyDescent="0.2">
      <c r="J492"/>
      <c r="K492"/>
      <c r="L492"/>
      <c r="M492"/>
      <c r="N492"/>
      <c r="O492" s="392"/>
      <c r="P492" s="2"/>
      <c r="R492"/>
      <c r="S492"/>
      <c r="V492"/>
    </row>
    <row r="493" spans="10:22" s="1" customFormat="1" x14ac:dyDescent="0.2">
      <c r="J493"/>
      <c r="K493"/>
      <c r="L493"/>
      <c r="M493"/>
      <c r="N493"/>
      <c r="O493" s="392"/>
      <c r="P493" s="2"/>
      <c r="R493"/>
      <c r="S493"/>
      <c r="V493"/>
    </row>
    <row r="494" spans="10:22" s="1" customFormat="1" x14ac:dyDescent="0.2">
      <c r="J494"/>
      <c r="K494"/>
      <c r="L494"/>
      <c r="M494"/>
      <c r="N494"/>
      <c r="O494" s="392"/>
      <c r="P494" s="2"/>
      <c r="R494"/>
      <c r="S494"/>
      <c r="V494"/>
    </row>
    <row r="495" spans="10:22" s="1" customFormat="1" x14ac:dyDescent="0.2">
      <c r="J495"/>
      <c r="K495"/>
      <c r="L495"/>
      <c r="M495"/>
      <c r="N495"/>
      <c r="O495" s="392"/>
      <c r="P495" s="2"/>
      <c r="R495"/>
      <c r="S495"/>
      <c r="V495"/>
    </row>
    <row r="496" spans="10:22" s="1" customFormat="1" x14ac:dyDescent="0.2">
      <c r="J496"/>
      <c r="K496"/>
      <c r="L496"/>
      <c r="M496"/>
      <c r="N496"/>
      <c r="O496" s="392"/>
      <c r="P496" s="2"/>
      <c r="R496"/>
      <c r="S496"/>
      <c r="V496"/>
    </row>
    <row r="497" spans="10:22" s="1" customFormat="1" x14ac:dyDescent="0.2">
      <c r="J497"/>
      <c r="K497"/>
      <c r="L497"/>
      <c r="M497"/>
      <c r="N497"/>
      <c r="O497" s="392"/>
      <c r="P497" s="2"/>
      <c r="R497"/>
      <c r="S497"/>
      <c r="V497"/>
    </row>
    <row r="498" spans="10:22" s="1" customFormat="1" x14ac:dyDescent="0.2">
      <c r="J498"/>
      <c r="K498"/>
      <c r="L498"/>
      <c r="M498"/>
      <c r="N498"/>
      <c r="O498" s="392"/>
      <c r="P498" s="2"/>
      <c r="R498"/>
      <c r="S498"/>
      <c r="V498"/>
    </row>
    <row r="499" spans="10:22" s="1" customFormat="1" x14ac:dyDescent="0.2">
      <c r="J499"/>
      <c r="K499"/>
      <c r="L499"/>
      <c r="M499"/>
      <c r="N499"/>
      <c r="O499" s="392"/>
      <c r="P499" s="2"/>
      <c r="R499"/>
      <c r="S499"/>
      <c r="V499"/>
    </row>
    <row r="65228" spans="13:13" x14ac:dyDescent="0.2">
      <c r="M65228">
        <v>4</v>
      </c>
    </row>
  </sheetData>
  <mergeCells count="71">
    <mergeCell ref="T21:T23"/>
    <mergeCell ref="B2:V2"/>
    <mergeCell ref="R11:R12"/>
    <mergeCell ref="R4:R6"/>
    <mergeCell ref="T4:T6"/>
    <mergeCell ref="L4:L6"/>
    <mergeCell ref="L7:L8"/>
    <mergeCell ref="L9:L10"/>
    <mergeCell ref="R9:R10"/>
    <mergeCell ref="T9:T10"/>
    <mergeCell ref="L11:L12"/>
    <mergeCell ref="T11:T12"/>
    <mergeCell ref="L17:L20"/>
    <mergeCell ref="R17:R20"/>
    <mergeCell ref="T17:T20"/>
    <mergeCell ref="Q18:Q19"/>
    <mergeCell ref="E61:F61"/>
    <mergeCell ref="R7:R8"/>
    <mergeCell ref="T7:T8"/>
    <mergeCell ref="L21:L23"/>
    <mergeCell ref="F21:F22"/>
    <mergeCell ref="H21:H22"/>
    <mergeCell ref="Q21:Q22"/>
    <mergeCell ref="L26:L27"/>
    <mergeCell ref="T26:T27"/>
    <mergeCell ref="R26:R27"/>
    <mergeCell ref="L33:L34"/>
    <mergeCell ref="R33:R34"/>
    <mergeCell ref="E60:F60"/>
    <mergeCell ref="H35:H36"/>
    <mergeCell ref="I35:I36"/>
    <mergeCell ref="F35:F36"/>
    <mergeCell ref="T35:T36"/>
    <mergeCell ref="R35:R36"/>
    <mergeCell ref="T28:T30"/>
    <mergeCell ref="S28:S29"/>
    <mergeCell ref="L31:L32"/>
    <mergeCell ref="T31:T32"/>
    <mergeCell ref="R31:R32"/>
    <mergeCell ref="L35:L36"/>
    <mergeCell ref="Q35:Q36"/>
    <mergeCell ref="T33:T34"/>
    <mergeCell ref="L15:L16"/>
    <mergeCell ref="R15:R16"/>
    <mergeCell ref="T15:T16"/>
    <mergeCell ref="F28:F29"/>
    <mergeCell ref="D28:D29"/>
    <mergeCell ref="R28:R30"/>
    <mergeCell ref="G28:G29"/>
    <mergeCell ref="R21:R23"/>
    <mergeCell ref="Q28:Q29"/>
    <mergeCell ref="J28:J29"/>
    <mergeCell ref="I28:I29"/>
    <mergeCell ref="H28:H29"/>
    <mergeCell ref="L28:L30"/>
    <mergeCell ref="L24:L25"/>
    <mergeCell ref="T24:T25"/>
    <mergeCell ref="R24:R25"/>
    <mergeCell ref="F37:F38"/>
    <mergeCell ref="H37:H38"/>
    <mergeCell ref="I37:I38"/>
    <mergeCell ref="L37:L38"/>
    <mergeCell ref="Q37:Q38"/>
    <mergeCell ref="L43:L44"/>
    <mergeCell ref="R43:R44"/>
    <mergeCell ref="T43:T44"/>
    <mergeCell ref="R37:R38"/>
    <mergeCell ref="T37:T38"/>
    <mergeCell ref="L41:L42"/>
    <mergeCell ref="R41:R42"/>
    <mergeCell ref="T41:T42"/>
  </mergeCells>
  <conditionalFormatting sqref="E59:F59">
    <cfRule type="cellIs" dxfId="1132" priority="1131" operator="greaterThan">
      <formula>0.04</formula>
    </cfRule>
  </conditionalFormatting>
  <conditionalFormatting sqref="I66:I73">
    <cfRule type="cellIs" dxfId="1131" priority="1112" stopIfTrue="1" operator="lessThan">
      <formula>0%</formula>
    </cfRule>
    <cfRule type="cellIs" dxfId="1130" priority="1111" stopIfTrue="1" operator="greaterThan">
      <formula>1.5%</formula>
    </cfRule>
  </conditionalFormatting>
  <conditionalFormatting sqref="I74">
    <cfRule type="cellIs" dxfId="1129" priority="1109" stopIfTrue="1" operator="greaterThan">
      <formula>1.1</formula>
    </cfRule>
    <cfRule type="cellIs" dxfId="1128" priority="1108" stopIfTrue="1" operator="greaterThan">
      <formula>0.011</formula>
    </cfRule>
  </conditionalFormatting>
  <conditionalFormatting sqref="J3">
    <cfRule type="cellIs" dxfId="1127" priority="879" stopIfTrue="1" operator="lessThan">
      <formula>438</formula>
    </cfRule>
    <cfRule type="cellIs" dxfId="1126" priority="877" stopIfTrue="1" operator="lessThan">
      <formula>456.25</formula>
    </cfRule>
  </conditionalFormatting>
  <conditionalFormatting sqref="J4:J28 J30:J45">
    <cfRule type="cellIs" dxfId="1125" priority="172" stopIfTrue="1" operator="lessThan">
      <formula>350</formula>
    </cfRule>
  </conditionalFormatting>
  <conditionalFormatting sqref="J49:J57">
    <cfRule type="cellIs" dxfId="1124" priority="1105" stopIfTrue="1" operator="lessThan">
      <formula>524</formula>
    </cfRule>
  </conditionalFormatting>
  <conditionalFormatting sqref="J58:J59">
    <cfRule type="cellIs" dxfId="1123" priority="351" stopIfTrue="1" operator="lessThan">
      <formula>462</formula>
    </cfRule>
  </conditionalFormatting>
  <conditionalFormatting sqref="J59 B2 J75:J65536">
    <cfRule type="cellIs" dxfId="1122" priority="2438" stopIfTrue="1" operator="lessThan">
      <formula>438</formula>
    </cfRule>
  </conditionalFormatting>
  <conditionalFormatting sqref="J66:K74">
    <cfRule type="cellIs" dxfId="1121" priority="1107" stopIfTrue="1" operator="lessThan">
      <formula>73%</formula>
    </cfRule>
  </conditionalFormatting>
  <conditionalFormatting sqref="K49:K51 K52:L56">
    <cfRule type="cellIs" dxfId="1120" priority="2323" stopIfTrue="1" operator="lessThan">
      <formula>540</formula>
    </cfRule>
  </conditionalFormatting>
  <conditionalFormatting sqref="L4 L7 L9 L11 L13:L15 L17 L21">
    <cfRule type="cellIs" dxfId="1119" priority="214" stopIfTrue="1" operator="lessThan">
      <formula>540</formula>
    </cfRule>
  </conditionalFormatting>
  <conditionalFormatting sqref="L24 L26 L28">
    <cfRule type="cellIs" dxfId="1118" priority="7" stopIfTrue="1" operator="lessThan">
      <formula>540</formula>
    </cfRule>
  </conditionalFormatting>
  <conditionalFormatting sqref="L31 L33 L35 L37">
    <cfRule type="cellIs" dxfId="1117" priority="6" stopIfTrue="1" operator="lessThan">
      <formula>540</formula>
    </cfRule>
  </conditionalFormatting>
  <conditionalFormatting sqref="L39:L41 L43">
    <cfRule type="cellIs" dxfId="1116" priority="1" stopIfTrue="1" operator="lessThan">
      <formula>540</formula>
    </cfRule>
  </conditionalFormatting>
  <conditionalFormatting sqref="Q4:Q18 Q20:Q21 Q23:Q28 Q30:Q35 Q37 Q39:Q56">
    <cfRule type="cellIs" dxfId="1115" priority="243" stopIfTrue="1" operator="greaterThan">
      <formula>1.84</formula>
    </cfRule>
  </conditionalFormatting>
  <conditionalFormatting sqref="Q57">
    <cfRule type="cellIs" dxfId="1114" priority="10" stopIfTrue="1" operator="greaterThan">
      <formula>0.0184</formula>
    </cfRule>
    <cfRule type="cellIs" dxfId="1113" priority="11" stopIfTrue="1" operator="greaterThan">
      <formula>1.84</formula>
    </cfRule>
  </conditionalFormatting>
  <conditionalFormatting sqref="Q58:Q60">
    <cfRule type="cellIs" dxfId="1112" priority="350" stopIfTrue="1" operator="greaterThan">
      <formula>1.1</formula>
    </cfRule>
  </conditionalFormatting>
  <conditionalFormatting sqref="Q60:Q62">
    <cfRule type="cellIs" dxfId="1111" priority="2435" stopIfTrue="1" operator="lessThan">
      <formula>0%</formula>
    </cfRule>
    <cfRule type="cellIs" dxfId="1110" priority="2434" stopIfTrue="1" operator="greaterThan">
      <formula>1.5%</formula>
    </cfRule>
  </conditionalFormatting>
  <conditionalFormatting sqref="Q64">
    <cfRule type="cellIs" dxfId="1109" priority="2109" stopIfTrue="1" operator="greaterThan">
      <formula>0.011</formula>
    </cfRule>
    <cfRule type="cellIs" dxfId="1108" priority="2110" stopIfTrue="1" operator="greaterThan">
      <formula>1.1</formula>
    </cfRule>
  </conditionalFormatting>
  <conditionalFormatting sqref="R4 R7 R9 R11 R21">
    <cfRule type="cellIs" dxfId="1107" priority="28" stopIfTrue="1" operator="lessThan">
      <formula>0.56</formula>
    </cfRule>
  </conditionalFormatting>
  <conditionalFormatting sqref="R13:R15 R17">
    <cfRule type="cellIs" dxfId="1106" priority="13" stopIfTrue="1" operator="lessThan">
      <formula>0.95</formula>
    </cfRule>
    <cfRule type="cellIs" dxfId="1105" priority="14" stopIfTrue="1" operator="lessThan">
      <formula>0.94</formula>
    </cfRule>
  </conditionalFormatting>
  <conditionalFormatting sqref="R24 R26 R28">
    <cfRule type="cellIs" dxfId="1104" priority="8" stopIfTrue="1" operator="lessThan">
      <formula>0.95</formula>
    </cfRule>
    <cfRule type="cellIs" dxfId="1103" priority="9" stopIfTrue="1" operator="lessThan">
      <formula>0.94</formula>
    </cfRule>
  </conditionalFormatting>
  <conditionalFormatting sqref="R31 R33 R35 R37">
    <cfRule type="cellIs" dxfId="1102" priority="4" stopIfTrue="1" operator="lessThan">
      <formula>0.95</formula>
    </cfRule>
    <cfRule type="cellIs" dxfId="1101" priority="5" stopIfTrue="1" operator="lessThan">
      <formula>0.94</formula>
    </cfRule>
  </conditionalFormatting>
  <conditionalFormatting sqref="R39:R41 R43">
    <cfRule type="cellIs" dxfId="1100" priority="2" stopIfTrue="1" operator="lessThan">
      <formula>0.95</formula>
    </cfRule>
    <cfRule type="cellIs" dxfId="1099" priority="3" stopIfTrue="1" operator="lessThan">
      <formula>0.94</formula>
    </cfRule>
  </conditionalFormatting>
  <conditionalFormatting sqref="R50:R56">
    <cfRule type="cellIs" dxfId="1098" priority="1630" stopIfTrue="1" operator="lessThan">
      <formula>0.67</formula>
    </cfRule>
  </conditionalFormatting>
  <conditionalFormatting sqref="R57">
    <cfRule type="cellIs" dxfId="1097" priority="17" stopIfTrue="1" operator="lessThan">
      <formula>0.56</formula>
    </cfRule>
  </conditionalFormatting>
  <conditionalFormatting sqref="R59">
    <cfRule type="cellIs" dxfId="1096" priority="2397" stopIfTrue="1" operator="lessThan">
      <formula>0.6</formula>
    </cfRule>
  </conditionalFormatting>
  <conditionalFormatting sqref="R64:S64">
    <cfRule type="cellIs" dxfId="1095" priority="2167" stopIfTrue="1" operator="lessThan">
      <formula>0.74</formula>
    </cfRule>
  </conditionalFormatting>
  <conditionalFormatting sqref="S3">
    <cfRule type="cellIs" dxfId="1094" priority="880" stopIfTrue="1" operator="lessThan">
      <formula>0.65</formula>
    </cfRule>
  </conditionalFormatting>
  <conditionalFormatting sqref="S4:S28 S30:S45">
    <cfRule type="cellIs" dxfId="1093" priority="29" stopIfTrue="1" operator="lessThan">
      <formula>0.66</formula>
    </cfRule>
  </conditionalFormatting>
  <conditionalFormatting sqref="S46:S57">
    <cfRule type="cellIs" dxfId="1092" priority="16" stopIfTrue="1" operator="lessThan">
      <formula>0.74</formula>
    </cfRule>
  </conditionalFormatting>
  <conditionalFormatting sqref="S59">
    <cfRule type="cellIs" dxfId="1091" priority="2432" stopIfTrue="1" operator="lessThan">
      <formula>0.74</formula>
    </cfRule>
  </conditionalFormatting>
  <conditionalFormatting sqref="S73:S74">
    <cfRule type="cellIs" dxfId="1090" priority="1122" stopIfTrue="1" operator="lessThan">
      <formula>0.74</formula>
    </cfRule>
  </conditionalFormatting>
  <conditionalFormatting sqref="S75">
    <cfRule type="cellIs" dxfId="1089" priority="1121" stopIfTrue="1" operator="greaterThan">
      <formula>1.1</formula>
    </cfRule>
  </conditionalFormatting>
  <conditionalFormatting sqref="S60:T62">
    <cfRule type="cellIs" dxfId="1088" priority="2437" stopIfTrue="1" operator="lessThan">
      <formula>75%</formula>
    </cfRule>
  </conditionalFormatting>
  <conditionalFormatting sqref="T4 T7 T9 T11 T46:T56">
    <cfRule type="cellIs" dxfId="1087" priority="30" stopIfTrue="1" operator="lessThan">
      <formula>0.8</formula>
    </cfRule>
  </conditionalFormatting>
  <conditionalFormatting sqref="T13:T15 T17 T21 T24 T26 T28 T31 T33 T35 T37 T39:T41 T43">
    <cfRule type="cellIs" dxfId="1086" priority="12" stopIfTrue="1" operator="lessThan">
      <formula>0.8</formula>
    </cfRule>
  </conditionalFormatting>
  <conditionalFormatting sqref="T57">
    <cfRule type="cellIs" dxfId="1085" priority="15" stopIfTrue="1" operator="lessThan">
      <formula>0.8</formula>
    </cfRule>
  </conditionalFormatting>
  <conditionalFormatting sqref="T59">
    <cfRule type="cellIs" dxfId="1084" priority="2398" stopIfTrue="1" operator="lessThan">
      <formula>0.95</formula>
    </cfRule>
  </conditionalFormatting>
  <conditionalFormatting sqref="T63">
    <cfRule type="cellIs" dxfId="1083" priority="2390" stopIfTrue="1" operator="lessThan">
      <formula>0.65</formula>
    </cfRule>
  </conditionalFormatting>
  <conditionalFormatting sqref="T64">
    <cfRule type="cellIs" dxfId="1082" priority="2256" stopIfTrue="1" operator="lessThan">
      <formula>0.95</formula>
    </cfRule>
  </conditionalFormatting>
  <conditionalFormatting sqref="U4:U54">
    <cfRule type="cellIs" dxfId="1081" priority="22" stopIfTrue="1" operator="greaterThan">
      <formula>1.8</formula>
    </cfRule>
  </conditionalFormatting>
  <conditionalFormatting sqref="U64">
    <cfRule type="cellIs" dxfId="1080" priority="27" stopIfTrue="1" operator="lessThan">
      <formula>75%</formula>
    </cfRule>
  </conditionalFormatting>
  <conditionalFormatting sqref="U65">
    <cfRule type="cellIs" dxfId="1079" priority="26" stopIfTrue="1" operator="lessThan">
      <formula>0.65</formula>
    </cfRule>
  </conditionalFormatting>
  <conditionalFormatting sqref="U66">
    <cfRule type="cellIs" dxfId="1078" priority="25" stopIfTrue="1" operator="lessThan">
      <formula>0.95</formula>
    </cfRule>
  </conditionalFormatting>
  <printOptions horizontalCentered="1"/>
  <pageMargins left="0.10312499999999999" right="0.5" top="0.25" bottom="0.27" header="0.25" footer="0.27"/>
  <pageSetup scale="25" fitToHeight="0" orientation="landscape" r:id="rId1"/>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F643A-F229-48EC-86C8-4EFFEDD63023}">
  <sheetPr codeName="Sheet24">
    <pageSetUpPr fitToPage="1"/>
  </sheetPr>
  <dimension ref="A2:AD65404"/>
  <sheetViews>
    <sheetView showZeros="0" showWhiteSpace="0" zoomScale="55" zoomScaleNormal="55" zoomScaleSheetLayoutView="70" workbookViewId="0">
      <pane xSplit="3" ySplit="3" topLeftCell="D41" activePane="bottomRight" state="frozen"/>
      <selection pane="topRight" activeCell="D1" sqref="D1"/>
      <selection pane="bottomLeft" activeCell="A4" sqref="A4"/>
      <selection pane="bottomRight" activeCell="U59" sqref="U59"/>
    </sheetView>
  </sheetViews>
  <sheetFormatPr defaultColWidth="9.42578125" defaultRowHeight="12.75" outlineLevelCol="1" x14ac:dyDescent="0.2"/>
  <cols>
    <col min="1" max="1" width="3.42578125" customWidth="1"/>
    <col min="2" max="2" width="21.42578125" style="1" customWidth="1"/>
    <col min="3" max="3" width="58.5703125" style="1" customWidth="1"/>
    <col min="4" max="4" width="24.5703125" style="1" customWidth="1"/>
    <col min="5" max="5" width="22.42578125" style="1" customWidth="1"/>
    <col min="6" max="6" width="21.5703125" style="1" hidden="1" customWidth="1" outlineLevel="1"/>
    <col min="7" max="7" width="26.42578125" customWidth="1" collapsed="1"/>
    <col min="8" max="8" width="20.42578125" hidden="1" customWidth="1" outlineLevel="1"/>
    <col min="9" max="9" width="22.42578125" style="1" hidden="1" customWidth="1" outlineLevel="1"/>
    <col min="10" max="10" width="22.42578125" customWidth="1" collapsed="1"/>
    <col min="11" max="11" width="23.42578125" customWidth="1" outlineLevel="1"/>
    <col min="12" max="12" width="17.42578125" customWidth="1" outlineLevel="1"/>
    <col min="13" max="13" width="17" customWidth="1" outlineLevel="1"/>
    <col min="14" max="14" width="13.42578125" customWidth="1" outlineLevel="1"/>
    <col min="15" max="15" width="12.5703125" style="392" customWidth="1" outlineLevel="1"/>
    <col min="16" max="16" width="15" style="2" customWidth="1" outlineLevel="1"/>
    <col min="17" max="17" width="14.42578125" style="1" customWidth="1"/>
    <col min="18" max="18" width="17.5703125" customWidth="1"/>
    <col min="19" max="19" width="19.42578125" customWidth="1"/>
    <col min="20" max="21" width="20.5703125" style="1" customWidth="1"/>
    <col min="22" max="22" width="12" customWidth="1"/>
    <col min="23" max="23" width="17" customWidth="1"/>
    <col min="24" max="24" width="15.42578125" customWidth="1"/>
    <col min="25" max="25" width="15.5703125" customWidth="1"/>
    <col min="26" max="26" width="14" customWidth="1"/>
    <col min="27" max="27" width="25.5703125" customWidth="1"/>
    <col min="28" max="28" width="52.42578125" customWidth="1"/>
    <col min="29" max="29" width="13.42578125" bestFit="1" customWidth="1"/>
    <col min="30" max="30" width="15.5703125" bestFit="1" customWidth="1"/>
  </cols>
  <sheetData>
    <row r="2" spans="2:30" ht="24" thickBot="1" x14ac:dyDescent="0.4">
      <c r="B2" s="1022" t="s">
        <v>964</v>
      </c>
      <c r="C2" s="1022"/>
      <c r="D2" s="1022"/>
      <c r="E2" s="1022"/>
      <c r="F2" s="1022"/>
      <c r="G2" s="1022"/>
      <c r="H2" s="1022"/>
      <c r="I2" s="1022"/>
      <c r="J2" s="1022"/>
      <c r="K2" s="1022"/>
      <c r="L2" s="1022"/>
      <c r="M2" s="1022"/>
      <c r="N2" s="1022"/>
      <c r="O2" s="1022"/>
      <c r="P2" s="1022"/>
      <c r="Q2" s="1022"/>
      <c r="R2" s="1022"/>
      <c r="S2" s="1022"/>
      <c r="T2" s="1065"/>
      <c r="U2" s="1065"/>
      <c r="V2" s="1065"/>
    </row>
    <row r="3" spans="2:30" ht="135.75" customHeight="1" thickTop="1" thickBot="1" x14ac:dyDescent="0.25">
      <c r="B3" s="564" t="s">
        <v>0</v>
      </c>
      <c r="C3" s="565" t="s">
        <v>2</v>
      </c>
      <c r="D3" s="565" t="s">
        <v>12</v>
      </c>
      <c r="E3" s="565" t="s">
        <v>11</v>
      </c>
      <c r="F3" s="38" t="s">
        <v>15</v>
      </c>
      <c r="G3" s="565" t="s">
        <v>9</v>
      </c>
      <c r="H3" s="38" t="s">
        <v>17</v>
      </c>
      <c r="I3" s="38" t="s">
        <v>5</v>
      </c>
      <c r="J3" s="565" t="s">
        <v>958</v>
      </c>
      <c r="K3" s="38" t="s">
        <v>4</v>
      </c>
      <c r="L3" s="670" t="s">
        <v>843</v>
      </c>
      <c r="M3" s="664" t="s">
        <v>161</v>
      </c>
      <c r="N3" s="664" t="s">
        <v>10</v>
      </c>
      <c r="O3" s="38" t="s">
        <v>622</v>
      </c>
      <c r="P3" s="294" t="s">
        <v>863</v>
      </c>
      <c r="Q3" s="566" t="s">
        <v>55</v>
      </c>
      <c r="R3" s="584" t="s">
        <v>473</v>
      </c>
      <c r="S3" s="547" t="s">
        <v>860</v>
      </c>
      <c r="T3" s="584" t="s">
        <v>862</v>
      </c>
      <c r="U3" s="545" t="s">
        <v>1009</v>
      </c>
      <c r="V3" s="1023" t="s">
        <v>1</v>
      </c>
      <c r="W3" s="1024"/>
      <c r="X3" s="1024"/>
      <c r="Y3" s="1024"/>
      <c r="Z3" s="1024"/>
      <c r="AA3" s="1024"/>
      <c r="AB3" s="1025"/>
      <c r="AC3">
        <v>18000</v>
      </c>
      <c r="AD3">
        <v>17000</v>
      </c>
    </row>
    <row r="4" spans="2:30" s="19" customFormat="1" ht="81" customHeight="1" thickTop="1" thickBot="1" x14ac:dyDescent="0.25">
      <c r="B4" s="168">
        <f>[1]May_2026!$B8</f>
        <v>46146</v>
      </c>
      <c r="C4" s="26" t="str">
        <f>[1]May_2026!$D8</f>
        <v>GINSENG ORIGINAL</v>
      </c>
      <c r="D4" s="27">
        <v>767</v>
      </c>
      <c r="E4" s="28">
        <f>[2]May!$E8</f>
        <v>1.1354166666666667</v>
      </c>
      <c r="F4" s="29">
        <f>[1]May_2026!$K8</f>
        <v>49.5</v>
      </c>
      <c r="G4" s="30">
        <f>[1]May_2026!$G8</f>
        <v>733</v>
      </c>
      <c r="H4" s="29">
        <f>[1]May_2026!$L8</f>
        <v>48.378</v>
      </c>
      <c r="I4" s="31">
        <f>[1]May_2026!$O8</f>
        <v>15</v>
      </c>
      <c r="J4" s="32">
        <f>[1]May_2026!$R8</f>
        <v>31.823444283646886</v>
      </c>
      <c r="K4" s="32">
        <f>[1]May_2026!$F8</f>
        <v>222</v>
      </c>
      <c r="L4" s="1167">
        <f>[1]May_2026!$E8</f>
        <v>1382</v>
      </c>
      <c r="M4" s="169">
        <f>[2]May!$G8</f>
        <v>1.3305555555555555</v>
      </c>
      <c r="N4" s="32">
        <f>[2]May!$AD8</f>
        <v>254</v>
      </c>
      <c r="O4" s="406">
        <f>[2]May!$I8</f>
        <v>0</v>
      </c>
      <c r="P4" s="32">
        <f>[1]May_2026!$I8</f>
        <v>0</v>
      </c>
      <c r="Q4" s="33">
        <f>[1]May_2026!$Q8</f>
        <v>2.2666666666666666</v>
      </c>
      <c r="R4" s="995">
        <f>($G4+G5)/(($L4/60)*AD$3*(1/24))</f>
        <v>0.33067166084957861</v>
      </c>
      <c r="S4" s="586">
        <f>($G4)*24/(($K4)/60)/$AD$3</f>
        <v>0.27968203497615257</v>
      </c>
      <c r="T4" s="1161">
        <f>(1500-((N4+N5)-[2]May!$I$9-[2]May!$Z$9-[2]May!$AB$9))/1500</f>
        <v>0.7486666666666667</v>
      </c>
      <c r="U4" s="945">
        <f>[1]May_2026!$T8</f>
        <v>3.0422077922077923E-2</v>
      </c>
      <c r="V4" s="1164" t="s">
        <v>1141</v>
      </c>
      <c r="W4" s="1164"/>
      <c r="X4" s="1164"/>
      <c r="Y4" s="1164"/>
      <c r="Z4" s="1164"/>
      <c r="AA4" s="1164"/>
      <c r="AB4" s="1164"/>
    </row>
    <row r="5" spans="2:30" s="19" customFormat="1" ht="135.75" customHeight="1" thickBot="1" x14ac:dyDescent="0.25">
      <c r="B5" s="168">
        <f>[1]May_2026!$B9</f>
        <v>46146</v>
      </c>
      <c r="C5" s="26" t="str">
        <f>[1]May_2026!$D9</f>
        <v xml:space="preserve">VITA MALT ( CLASSIC ) </v>
      </c>
      <c r="D5" s="27">
        <v>4900</v>
      </c>
      <c r="E5" s="28">
        <f>[2]May!$E9</f>
        <v>1.4722222222222223</v>
      </c>
      <c r="F5" s="29">
        <f>[1]May_2026!$K9</f>
        <v>332.3</v>
      </c>
      <c r="G5" s="30">
        <f>[1]May_2026!$G9</f>
        <v>4662</v>
      </c>
      <c r="H5" s="29">
        <f>[1]May_2026!$L9</f>
        <v>330.06960000000004</v>
      </c>
      <c r="I5" s="31">
        <f>[1]May_2026!$O9</f>
        <v>17</v>
      </c>
      <c r="J5" s="32">
        <f>[1]May_2026!$R9</f>
        <v>202.4023154848046</v>
      </c>
      <c r="K5" s="32">
        <f>[1]May_2026!$F9</f>
        <v>737</v>
      </c>
      <c r="L5" s="1167"/>
      <c r="M5" s="169">
        <f>[2]May!$G9</f>
        <v>2.0513888888888889</v>
      </c>
      <c r="N5" s="32">
        <f>[2]May!$AD9</f>
        <v>386</v>
      </c>
      <c r="O5" s="406">
        <f>[2]May!$I9</f>
        <v>220</v>
      </c>
      <c r="P5" s="32">
        <f>[1]May_2026!$I9</f>
        <v>276</v>
      </c>
      <c r="Q5" s="33">
        <f>[1]May_2026!$Q9</f>
        <v>0.67120072223893312</v>
      </c>
      <c r="R5" s="1020"/>
      <c r="S5" s="586">
        <f>($G5)*24/(($K5)/60)/$AD$3</f>
        <v>0.53581929922579608</v>
      </c>
      <c r="T5" s="1162"/>
      <c r="U5" s="945">
        <f>[1]May_2026!$T9</f>
        <v>6.0046593268740574E-2</v>
      </c>
      <c r="V5" s="1164" t="s">
        <v>1142</v>
      </c>
      <c r="W5" s="1164"/>
      <c r="X5" s="1164"/>
      <c r="Y5" s="1164"/>
      <c r="Z5" s="1164"/>
      <c r="AA5" s="1164"/>
      <c r="AB5" s="1164"/>
    </row>
    <row r="6" spans="2:30" s="19" customFormat="1" ht="142.5" customHeight="1" thickBot="1" x14ac:dyDescent="0.25">
      <c r="B6" s="168">
        <f>[1]May_2026!$B10</f>
        <v>46147</v>
      </c>
      <c r="C6" s="26" t="str">
        <f>[1]May_2026!$D10</f>
        <v>CARIB FLINT (LOCAL)</v>
      </c>
      <c r="D6" s="27">
        <v>2200</v>
      </c>
      <c r="E6" s="28">
        <f>[2]May!$E10</f>
        <v>1.1666666666666667</v>
      </c>
      <c r="F6" s="989">
        <f>[1]May_2026!$K10</f>
        <v>183</v>
      </c>
      <c r="G6" s="30">
        <f>[1]May_2026!$G10</f>
        <v>2128</v>
      </c>
      <c r="H6" s="989">
        <f>[1]May_2026!$L10</f>
        <v>182.02800000000002</v>
      </c>
      <c r="I6" s="31">
        <f>[1]May_2026!$O10</f>
        <v>48</v>
      </c>
      <c r="J6" s="32">
        <f>[1]May_2026!$R10</f>
        <v>88.666666666666671</v>
      </c>
      <c r="K6" s="32">
        <f>[1]May_2026!$F10</f>
        <v>1063</v>
      </c>
      <c r="L6" s="1167">
        <f>[1]May_2026!$E10</f>
        <v>1440</v>
      </c>
      <c r="M6" s="169">
        <f>[2]May!$G10</f>
        <v>0</v>
      </c>
      <c r="N6" s="32">
        <f>[2]May!$AD10</f>
        <v>939</v>
      </c>
      <c r="O6" s="406">
        <f>[2]May!$I10</f>
        <v>118</v>
      </c>
      <c r="P6" s="32">
        <f>[1]May_2026!$I10</f>
        <v>0</v>
      </c>
      <c r="Q6" s="1168">
        <f>[1]May_2026!$Q10</f>
        <v>0.53114754098359562</v>
      </c>
      <c r="R6" s="995">
        <f>($G6+G7)/(($L6/60)*AD$3*(1/24))</f>
        <v>0.16223529411764706</v>
      </c>
      <c r="S6" s="586">
        <f t="shared" ref="S6:S14" si="0">($G6)*24/(($K6)/60)/$AD$3</f>
        <v>0.16957113607437332</v>
      </c>
      <c r="T6" s="1161">
        <f>(1480-((N6+N7)-[2]May!$Z$11-[2]May!$Z$10-[2]May!$L$10-[2]May!$J$10-[2]May!$I$10-[2]May!$I$11))/1480</f>
        <v>0.44932432432432434</v>
      </c>
      <c r="U6" s="1169">
        <f>[1]May_2026!$T10</f>
        <v>2.4228960977903148E-2</v>
      </c>
      <c r="V6" s="1164" t="s">
        <v>1144</v>
      </c>
      <c r="W6" s="1164"/>
      <c r="X6" s="1164"/>
      <c r="Y6" s="1164"/>
      <c r="Z6" s="1164"/>
      <c r="AA6" s="1164"/>
      <c r="AB6" s="1164"/>
    </row>
    <row r="7" spans="2:30" s="19" customFormat="1" ht="51" customHeight="1" thickBot="1" x14ac:dyDescent="0.25">
      <c r="B7" s="168">
        <f>[1]May_2026!$B11</f>
        <v>46147</v>
      </c>
      <c r="C7" s="26" t="str">
        <f>[1]May_2026!$D11</f>
        <v>CARIB AMBER</v>
      </c>
      <c r="D7" s="27">
        <v>6200</v>
      </c>
      <c r="E7" s="28">
        <f>[2]May!$E11</f>
        <v>1.9201388888888888</v>
      </c>
      <c r="F7" s="990"/>
      <c r="G7" s="30">
        <f>[1]May_2026!$G11</f>
        <v>630</v>
      </c>
      <c r="H7" s="990"/>
      <c r="I7" s="31">
        <f>[1]May_2026!$O11</f>
        <v>0</v>
      </c>
      <c r="J7" s="32">
        <f>[1]May_2026!$R11</f>
        <v>26.25</v>
      </c>
      <c r="K7" s="32">
        <f>[1]May_2026!$F11</f>
        <v>107</v>
      </c>
      <c r="L7" s="1167"/>
      <c r="M7" s="169">
        <f>[2]May!$G11</f>
        <v>2.0277777777777777</v>
      </c>
      <c r="N7" s="32">
        <f>[2]May!$AD11</f>
        <v>41</v>
      </c>
      <c r="O7" s="406">
        <f>[2]May!$I11</f>
        <v>6</v>
      </c>
      <c r="P7" s="32">
        <f>[1]May_2026!$I11</f>
        <v>0</v>
      </c>
      <c r="Q7" s="1168"/>
      <c r="R7" s="1020"/>
      <c r="S7" s="586">
        <f t="shared" si="0"/>
        <v>0.49873556899395266</v>
      </c>
      <c r="T7" s="1162"/>
      <c r="U7" s="1170"/>
      <c r="V7" s="1164" t="s">
        <v>1143</v>
      </c>
      <c r="W7" s="1164"/>
      <c r="X7" s="1164"/>
      <c r="Y7" s="1164"/>
      <c r="Z7" s="1164"/>
      <c r="AA7" s="1164"/>
      <c r="AB7" s="1164"/>
    </row>
    <row r="8" spans="2:30" s="19" customFormat="1" ht="118.5" customHeight="1" thickBot="1" x14ac:dyDescent="0.25">
      <c r="B8" s="168">
        <f>[1]May_2026!$B12</f>
        <v>46148</v>
      </c>
      <c r="C8" s="26" t="str">
        <f>[1]May_2026!$D12</f>
        <v>CARIB AMBER</v>
      </c>
      <c r="D8" s="27">
        <v>7000</v>
      </c>
      <c r="E8" s="28">
        <f>[2]May!$E12</f>
        <v>1.0055555555555555</v>
      </c>
      <c r="F8" s="29">
        <f>[1]May_2026!$K12</f>
        <v>686.2</v>
      </c>
      <c r="G8" s="30">
        <f>[1]May_2026!$G12</f>
        <v>10035</v>
      </c>
      <c r="H8" s="29">
        <f>[1]May_2026!$L12</f>
        <v>671.24</v>
      </c>
      <c r="I8" s="31">
        <f>[1]May_2026!$O12</f>
        <v>29.2</v>
      </c>
      <c r="J8" s="32">
        <f>[1]May_2026!$R12</f>
        <v>420.46089385474858</v>
      </c>
      <c r="K8" s="32">
        <f>[1]May_2026!$F12</f>
        <v>1426</v>
      </c>
      <c r="L8" s="464">
        <f>[1]May_2026!$E12</f>
        <v>1432</v>
      </c>
      <c r="M8" s="169">
        <f>[2]May!$G12</f>
        <v>2.0305555555555554</v>
      </c>
      <c r="N8" s="32">
        <f>[2]May!$AD12</f>
        <v>242</v>
      </c>
      <c r="O8" s="406">
        <f>[2]May!$I12</f>
        <v>0</v>
      </c>
      <c r="P8" s="32">
        <f>[1]May_2026!$I12</f>
        <v>3</v>
      </c>
      <c r="Q8" s="33">
        <f>[1]May_2026!$Q12</f>
        <v>2.180122413290591</v>
      </c>
      <c r="R8" s="653">
        <f>($G8)/(($L8/60)*AD$3*(1/24))</f>
        <v>0.59359185014788041</v>
      </c>
      <c r="S8" s="586">
        <f t="shared" si="0"/>
        <v>0.59608943156505234</v>
      </c>
      <c r="T8" s="665">
        <f>(1484-((N8)-[2]May!$AB$12-[2]May!$Z$12-[2]May!$J$12))/1484</f>
        <v>0.84501347708894881</v>
      </c>
      <c r="U8" s="945">
        <f>[1]May_2026!$T12</f>
        <v>3.9938396705912628E-2</v>
      </c>
      <c r="V8" s="1164" t="s">
        <v>1145</v>
      </c>
      <c r="W8" s="1164"/>
      <c r="X8" s="1164"/>
      <c r="Y8" s="1164"/>
      <c r="Z8" s="1164"/>
      <c r="AA8" s="1164"/>
      <c r="AB8" s="1164"/>
    </row>
    <row r="9" spans="2:30" s="19" customFormat="1" ht="57.75" customHeight="1" thickBot="1" x14ac:dyDescent="0.25">
      <c r="B9" s="168">
        <f>[1]May_2026!$B13</f>
        <v>46149</v>
      </c>
      <c r="C9" s="26" t="str">
        <f>[1]May_2026!$D13</f>
        <v>CARIB AMBER</v>
      </c>
      <c r="D9" s="27"/>
      <c r="E9" s="28">
        <f>[2]May!$E13</f>
        <v>1.0041666666666667</v>
      </c>
      <c r="F9" s="29">
        <f>[1]May_2026!$K13</f>
        <v>184.1</v>
      </c>
      <c r="G9" s="30">
        <f>[1]May_2026!$G13</f>
        <v>2745</v>
      </c>
      <c r="H9" s="29">
        <f>[1]May_2026!$L13</f>
        <v>181.17000000000002</v>
      </c>
      <c r="I9" s="31">
        <f>[1]May_2026!$O13</f>
        <v>14</v>
      </c>
      <c r="J9" s="32">
        <f>[1]May_2026!$R13</f>
        <v>114.85355648535565</v>
      </c>
      <c r="K9" s="32">
        <f>[1]May_2026!$F13</f>
        <v>234</v>
      </c>
      <c r="L9" s="1148">
        <f>[1]May_2026!$E13</f>
        <v>1434</v>
      </c>
      <c r="M9" s="169">
        <f>[2]May!$G13</f>
        <v>0.30208333333333331</v>
      </c>
      <c r="N9" s="32">
        <f>[2]May!$AD13</f>
        <v>80</v>
      </c>
      <c r="O9" s="406">
        <f>[2]May!$I13</f>
        <v>0</v>
      </c>
      <c r="P9" s="32">
        <f>[1]May_2026!$I13</f>
        <v>0</v>
      </c>
      <c r="Q9" s="33">
        <f>[1]May_2026!$Q13</f>
        <v>1.5915263443780439</v>
      </c>
      <c r="R9" s="995">
        <f>($G9+G10+G11)/(($L9/60)*AD$3*(1/24))</f>
        <v>0.44851587496923462</v>
      </c>
      <c r="S9" s="586">
        <f t="shared" si="0"/>
        <v>0.99366515837104064</v>
      </c>
      <c r="T9" s="1161">
        <f>(1479-((N9+N10+N11)-[2]May!$I$14-[2]May!$I$15-[2]May!$J$14-[2]May!$L$14-[2]May!$Z$14-[2]May!$Z$13-[2]May!$AA$15-[2]May!$AB$15))/1479</f>
        <v>0.89655172413793105</v>
      </c>
      <c r="U9" s="945">
        <f>[1]May_2026!$T13</f>
        <v>2.1056179775280896E-2</v>
      </c>
      <c r="V9" s="1164" t="s">
        <v>1146</v>
      </c>
      <c r="W9" s="1164"/>
      <c r="X9" s="1164"/>
      <c r="Y9" s="1164"/>
      <c r="Z9" s="1164"/>
      <c r="AA9" s="1164"/>
      <c r="AB9" s="1164"/>
    </row>
    <row r="10" spans="2:30" s="19" customFormat="1" ht="57.75" customHeight="1" thickBot="1" x14ac:dyDescent="0.25">
      <c r="B10" s="168">
        <f>[1]May_2026!$B14</f>
        <v>46149</v>
      </c>
      <c r="C10" s="26" t="str">
        <f>[1]May_2026!$D14</f>
        <v>TING ORIGINAL</v>
      </c>
      <c r="D10" s="27">
        <v>1800</v>
      </c>
      <c r="E10" s="28">
        <f>[2]May!$E14</f>
        <v>1.3784722222222223</v>
      </c>
      <c r="F10" s="29">
        <f>[1]May_2026!$K14</f>
        <v>118.80000000000001</v>
      </c>
      <c r="G10" s="30">
        <f>[1]May_2026!$G14</f>
        <v>1777</v>
      </c>
      <c r="H10" s="29">
        <f>[1]May_2026!$L14</f>
        <v>117.28200000000001</v>
      </c>
      <c r="I10" s="31">
        <f>[1]May_2026!$O14</f>
        <v>5</v>
      </c>
      <c r="J10" s="32">
        <f>[1]May_2026!$R14</f>
        <v>74.351464435146454</v>
      </c>
      <c r="K10" s="32">
        <f>[1]May_2026!$F14</f>
        <v>293</v>
      </c>
      <c r="L10" s="1016"/>
      <c r="M10" s="169">
        <f>[2]May!$G14</f>
        <v>0</v>
      </c>
      <c r="N10" s="32">
        <f>[2]May!$AD14</f>
        <v>290</v>
      </c>
      <c r="O10" s="406">
        <f>[2]May!$I14</f>
        <v>60</v>
      </c>
      <c r="P10" s="32">
        <f>[1]May_2026!$I14</f>
        <v>170</v>
      </c>
      <c r="Q10" s="33">
        <f>[1]May_2026!$Q14</f>
        <v>1.2777777777777781</v>
      </c>
      <c r="R10" s="996"/>
      <c r="S10" s="586">
        <f t="shared" si="0"/>
        <v>0.5137281670347319</v>
      </c>
      <c r="T10" s="1163"/>
      <c r="U10" s="945">
        <f>[1]May_2026!$T14</f>
        <v>2.0298960138648178E-2</v>
      </c>
      <c r="V10" s="1164" t="s">
        <v>1147</v>
      </c>
      <c r="W10" s="1164"/>
      <c r="X10" s="1164"/>
      <c r="Y10" s="1164"/>
      <c r="Z10" s="1164"/>
      <c r="AA10" s="1164"/>
      <c r="AB10" s="1164"/>
    </row>
    <row r="11" spans="2:30" s="19" customFormat="1" ht="75" customHeight="1" thickBot="1" x14ac:dyDescent="0.25">
      <c r="B11" s="168">
        <f>[1]May_2026!$B15</f>
        <v>46149</v>
      </c>
      <c r="C11" s="26" t="str">
        <f>[1]May_2026!$D15</f>
        <v>STAG</v>
      </c>
      <c r="D11" s="27">
        <v>1400</v>
      </c>
      <c r="E11" s="28">
        <f>[2]May!$E15</f>
        <v>1.7284722222222222</v>
      </c>
      <c r="F11" s="29">
        <f>[1]May_2026!$K15</f>
        <v>210.20000000000002</v>
      </c>
      <c r="G11" s="30">
        <f>[1]May_2026!$G15</f>
        <v>3071</v>
      </c>
      <c r="H11" s="29">
        <f>[1]May_2026!$L15</f>
        <v>208.386</v>
      </c>
      <c r="I11" s="31">
        <f>[1]May_2026!$O15</f>
        <v>2</v>
      </c>
      <c r="J11" s="32">
        <f>[1]May_2026!$R15</f>
        <v>128.4937238493724</v>
      </c>
      <c r="K11" s="32">
        <f>[1]May_2026!$F15</f>
        <v>385</v>
      </c>
      <c r="L11" s="1016"/>
      <c r="M11" s="169">
        <f>[2]May!$G15</f>
        <v>2.0270833333333331</v>
      </c>
      <c r="N11" s="32">
        <f>[2]May!$AD15</f>
        <v>124</v>
      </c>
      <c r="O11" s="406">
        <f>[2]May!$I15</f>
        <v>75</v>
      </c>
      <c r="P11" s="32">
        <f>[1]May_2026!$I15</f>
        <v>6</v>
      </c>
      <c r="Q11" s="33">
        <f>[1]May_2026!$Q15</f>
        <v>0.86298763082779306</v>
      </c>
      <c r="R11" s="1020"/>
      <c r="S11" s="586">
        <f t="shared" si="0"/>
        <v>0.6756669213139801</v>
      </c>
      <c r="T11" s="1162"/>
      <c r="U11" s="945">
        <f>[1]May_2026!$T15</f>
        <v>1.9246833276275247E-2</v>
      </c>
      <c r="V11" s="1164" t="s">
        <v>1148</v>
      </c>
      <c r="W11" s="1164"/>
      <c r="X11" s="1164"/>
      <c r="Y11" s="1164"/>
      <c r="Z11" s="1164"/>
      <c r="AA11" s="1164"/>
      <c r="AB11" s="1164"/>
    </row>
    <row r="12" spans="2:30" s="19" customFormat="1" ht="126" customHeight="1" thickBot="1" x14ac:dyDescent="0.25">
      <c r="B12" s="168">
        <f>[1]May_2026!$B16</f>
        <v>46150</v>
      </c>
      <c r="C12" s="26" t="str">
        <f>[1]May_2026!$D16</f>
        <v>STAG</v>
      </c>
      <c r="D12" s="27">
        <v>7000</v>
      </c>
      <c r="E12" s="28">
        <f>[2]May!$E16</f>
        <v>1.0069444444444444</v>
      </c>
      <c r="F12" s="29">
        <f>[1]May_2026!$K16</f>
        <v>344.4</v>
      </c>
      <c r="G12" s="30">
        <f>[1]May_2026!$G16</f>
        <v>5141</v>
      </c>
      <c r="H12" s="29">
        <f>[1]May_2026!$L16</f>
        <v>339.30600000000004</v>
      </c>
      <c r="I12" s="31">
        <f>[1]May_2026!$O16</f>
        <v>8</v>
      </c>
      <c r="J12" s="32">
        <f>[1]May_2026!$R16</f>
        <v>240.984375</v>
      </c>
      <c r="K12" s="32">
        <f>[1]May_2026!$F16</f>
        <v>696</v>
      </c>
      <c r="L12" s="1148">
        <f>[1]May_2026!$E16</f>
        <v>1280</v>
      </c>
      <c r="M12" s="169">
        <f>[2]May!$G16</f>
        <v>1.1354166666666667</v>
      </c>
      <c r="N12" s="32">
        <f>[2]May!$AD16</f>
        <v>159</v>
      </c>
      <c r="O12" s="406">
        <f>[2]May!$I16</f>
        <v>0</v>
      </c>
      <c r="P12" s="32">
        <f>[1]May_2026!$I16</f>
        <v>0</v>
      </c>
      <c r="Q12" s="33">
        <f>[1]May_2026!$Q16</f>
        <v>1.4790940766550342</v>
      </c>
      <c r="R12" s="995">
        <f>($G12+G13)/(($L12/60)*AD$3*(1/24))</f>
        <v>0.43464705882352944</v>
      </c>
      <c r="S12" s="586">
        <f t="shared" si="0"/>
        <v>0.62567951318458415</v>
      </c>
      <c r="T12" s="1161">
        <f>(1090-((N12+N13)-[2]May!$Z$16-[2]May!$AB$16-[2]May!$J$16-[2]May!$J$17-[2]May!$I$17))/1090</f>
        <v>0.86422018348623852</v>
      </c>
      <c r="U12" s="945">
        <f>[1]May_2026!$T16</f>
        <v>1.8284299009306514E-2</v>
      </c>
      <c r="V12" s="1164" t="s">
        <v>1150</v>
      </c>
      <c r="W12" s="1164"/>
      <c r="X12" s="1164"/>
      <c r="Y12" s="1164"/>
      <c r="Z12" s="1164"/>
      <c r="AA12" s="1164"/>
      <c r="AB12" s="1164"/>
    </row>
    <row r="13" spans="2:30" s="19" customFormat="1" ht="77.25" customHeight="1" thickBot="1" x14ac:dyDescent="0.25">
      <c r="B13" s="168">
        <f>[1]May_2026!$B17</f>
        <v>46150</v>
      </c>
      <c r="C13" s="26" t="str">
        <f>[1]May_2026!$D17</f>
        <v>GUINNESS</v>
      </c>
      <c r="D13" s="27">
        <v>1400</v>
      </c>
      <c r="E13" s="28">
        <f>[2]May!$E17</f>
        <v>1.5486111111111112</v>
      </c>
      <c r="F13" s="29">
        <f>[1]May_2026!$K17</f>
        <v>94.2</v>
      </c>
      <c r="G13" s="30">
        <f>[1]May_2026!$G17</f>
        <v>1427</v>
      </c>
      <c r="H13" s="29">
        <f>[1]May_2026!$L17</f>
        <v>94.182000000000002</v>
      </c>
      <c r="I13" s="31">
        <f>[1]May_2026!$O17</f>
        <v>0</v>
      </c>
      <c r="J13" s="32">
        <f>[1]May_2026!$R17</f>
        <v>66.890625</v>
      </c>
      <c r="K13" s="32">
        <f>[1]May_2026!$F17</f>
        <v>190</v>
      </c>
      <c r="L13" s="999"/>
      <c r="M13" s="169">
        <f>[2]May!$G17</f>
        <v>1.7569444444444444</v>
      </c>
      <c r="N13" s="32">
        <f>[2]May!$AD17</f>
        <v>284</v>
      </c>
      <c r="O13" s="406">
        <f>[2]May!$I17</f>
        <v>11</v>
      </c>
      <c r="P13" s="32">
        <f>[1]May_2026!$I17</f>
        <v>0</v>
      </c>
      <c r="Q13" s="33">
        <f>[1]May_2026!$Q17</f>
        <v>1.9108280254777794E-2</v>
      </c>
      <c r="R13" s="1020"/>
      <c r="S13" s="586">
        <f>($G13)*24/(($K13)/60)/$AD$3</f>
        <v>0.636185758513932</v>
      </c>
      <c r="T13" s="1162"/>
      <c r="U13" s="945">
        <f>[1]May_2026!$T17</f>
        <v>4.5878366861952485E-2</v>
      </c>
      <c r="V13" s="1164" t="s">
        <v>1149</v>
      </c>
      <c r="W13" s="1164"/>
      <c r="X13" s="1164"/>
      <c r="Y13" s="1164"/>
      <c r="Z13" s="1164"/>
      <c r="AA13" s="1164"/>
      <c r="AB13" s="1164"/>
    </row>
    <row r="14" spans="2:30" s="19" customFormat="1" ht="98.25" customHeight="1" thickBot="1" x14ac:dyDescent="0.25">
      <c r="B14" s="168">
        <f>[1]May_2026!$B18</f>
        <v>46151</v>
      </c>
      <c r="C14" s="26" t="str">
        <f>[1]May_2026!$D18</f>
        <v>GUINNESS</v>
      </c>
      <c r="D14" s="27">
        <v>5600</v>
      </c>
      <c r="E14" s="28">
        <f>[2]May!$E18</f>
        <v>0.34375</v>
      </c>
      <c r="F14" s="29">
        <f>[1]May_2026!$K18</f>
        <v>386.9</v>
      </c>
      <c r="G14" s="30">
        <f>[1]May_2026!$G18</f>
        <v>5853</v>
      </c>
      <c r="H14" s="29">
        <f>[1]May_2026!$L18</f>
        <v>386.298</v>
      </c>
      <c r="I14" s="31">
        <f>[1]May_2026!$O18</f>
        <v>12</v>
      </c>
      <c r="J14" s="32">
        <f>[1]May_2026!$R18</f>
        <v>385.48847420417121</v>
      </c>
      <c r="K14" s="32">
        <f>[1]May_2026!$F18</f>
        <v>845</v>
      </c>
      <c r="L14" s="464">
        <f>[1]May_2026!$E18</f>
        <v>911</v>
      </c>
      <c r="M14" s="169">
        <f>[2]May!$G18</f>
        <v>1.0006944444444446</v>
      </c>
      <c r="N14" s="32">
        <f>[2]May!$AD18</f>
        <v>218</v>
      </c>
      <c r="O14" s="406">
        <f>[2]May!$I18</f>
        <v>0</v>
      </c>
      <c r="P14" s="32">
        <f>[1]May_2026!$I18</f>
        <v>0</v>
      </c>
      <c r="Q14" s="33">
        <f>[1]May_2026!$Q18</f>
        <v>0.15559576117859278</v>
      </c>
      <c r="R14" s="653">
        <f>($G14)/(($L14/60)*AD$3*(1/24))</f>
        <v>0.54421902240588893</v>
      </c>
      <c r="S14" s="586">
        <f t="shared" si="0"/>
        <v>0.58672607030978075</v>
      </c>
      <c r="T14" s="665">
        <f>(1021-((N14)-[2]May!$J$18-[2]May!$Z$18-[2]May!$AA$18))/1021</f>
        <v>0.82664054848188051</v>
      </c>
      <c r="U14" s="945">
        <f>[1]May_2026!$T18</f>
        <v>1.6267361111111111E-2</v>
      </c>
      <c r="V14" s="1164" t="s">
        <v>1151</v>
      </c>
      <c r="W14" s="1164"/>
      <c r="X14" s="1164"/>
      <c r="Y14" s="1164"/>
      <c r="Z14" s="1164"/>
      <c r="AA14" s="1164"/>
      <c r="AB14" s="1164"/>
    </row>
    <row r="15" spans="2:30" s="19" customFormat="1" ht="135.75" customHeight="1" thickBot="1" x14ac:dyDescent="0.25">
      <c r="B15" s="168">
        <f>[1]May_2026!$B19</f>
        <v>46153</v>
      </c>
      <c r="C15" s="26" t="str">
        <f>[1]May_2026!$D19</f>
        <v>CARIB AMBER</v>
      </c>
      <c r="D15" s="27">
        <v>6580</v>
      </c>
      <c r="E15" s="28">
        <f>[2]May!$E19</f>
        <v>1.3506944444444444</v>
      </c>
      <c r="F15" s="29">
        <f>[1]May_2026!$K19</f>
        <v>464.5</v>
      </c>
      <c r="G15" s="30">
        <f>[1]May_2026!$G19</f>
        <v>6901</v>
      </c>
      <c r="H15" s="29">
        <f>[1]May_2026!$L19</f>
        <v>455.46600000000001</v>
      </c>
      <c r="I15" s="31">
        <f>[1]May_2026!$O19</f>
        <v>12</v>
      </c>
      <c r="J15" s="32">
        <f>[1]May_2026!$R19</f>
        <v>306.71111111111111</v>
      </c>
      <c r="K15" s="32">
        <f>[1]May_2026!$F19</f>
        <v>844</v>
      </c>
      <c r="L15" s="464">
        <f>[1]May_2026!$E19</f>
        <v>1350</v>
      </c>
      <c r="M15" s="169">
        <f>[2]May!$G19</f>
        <v>2.0208333333333335</v>
      </c>
      <c r="N15" s="32">
        <f>[2]May!$AD19</f>
        <v>615</v>
      </c>
      <c r="O15" s="406">
        <f>[2]May!$I19</f>
        <v>0</v>
      </c>
      <c r="P15" s="32">
        <f>[1]May_2026!$I19</f>
        <v>0</v>
      </c>
      <c r="Q15" s="33">
        <f>[1]May_2026!$Q19</f>
        <v>1.9448869752421942</v>
      </c>
      <c r="R15" s="653">
        <f>($G15)/(($L15/60)*AD$3*(1/24))</f>
        <v>0.43300392156862744</v>
      </c>
      <c r="S15" s="586">
        <f>($G15)*24/(($K15)/60)/$AD$3</f>
        <v>0.69260105938109839</v>
      </c>
      <c r="T15" s="665">
        <f>(1470-((N15)-[2]May!$AB$19-[2]May!$Z$19-[2]May!$L$19-[2]May!$J$19))/1470</f>
        <v>0.9068027210884354</v>
      </c>
      <c r="U15" s="945">
        <f>[1]May_2026!$T19</f>
        <v>3.7093139040680019E-2</v>
      </c>
      <c r="V15" s="1164" t="s">
        <v>1152</v>
      </c>
      <c r="W15" s="1164"/>
      <c r="X15" s="1164"/>
      <c r="Y15" s="1164"/>
      <c r="Z15" s="1164"/>
      <c r="AA15" s="1164"/>
      <c r="AB15" s="1164"/>
    </row>
    <row r="16" spans="2:30" s="19" customFormat="1" ht="72.75" customHeight="1" thickBot="1" x14ac:dyDescent="0.25">
      <c r="B16" s="168">
        <f>[1]May_2026!$B20</f>
        <v>46154</v>
      </c>
      <c r="C16" s="26" t="str">
        <f>[1]May_2026!$D20</f>
        <v>CARIB AMBER</v>
      </c>
      <c r="D16" s="27">
        <v>3220</v>
      </c>
      <c r="E16" s="28">
        <f>[2]May!$E20</f>
        <v>1.0034722222222223</v>
      </c>
      <c r="F16" s="29">
        <f>[1]May_2026!$K20</f>
        <v>197</v>
      </c>
      <c r="G16" s="30">
        <f>[1]May_2026!$G20</f>
        <v>2933</v>
      </c>
      <c r="H16" s="29">
        <f>[1]May_2026!$L20</f>
        <v>193.578</v>
      </c>
      <c r="I16" s="31">
        <f>[1]May_2026!$O20</f>
        <v>0</v>
      </c>
      <c r="J16" s="32">
        <f>[1]May_2026!$R20</f>
        <v>122.63414634146341</v>
      </c>
      <c r="K16" s="32">
        <f>[1]May_2026!$F20</f>
        <v>385</v>
      </c>
      <c r="L16" s="1148">
        <f>[1]May_2026!$E20</f>
        <v>1435</v>
      </c>
      <c r="M16" s="169">
        <f>[2]May!$G20</f>
        <v>0.32430555555555557</v>
      </c>
      <c r="N16" s="32">
        <f>[2]May!$AD20</f>
        <v>48</v>
      </c>
      <c r="O16" s="406">
        <f>[2]May!$I20</f>
        <v>0</v>
      </c>
      <c r="P16" s="32">
        <f>[1]May_2026!$I20</f>
        <v>0</v>
      </c>
      <c r="Q16" s="33">
        <f>[1]May_2026!$Q20</f>
        <v>1.7370558375634504</v>
      </c>
      <c r="R16" s="995">
        <f>($G16+G17)/(($L16/60)*AD$3*(1/24))</f>
        <v>0.5356245132199221</v>
      </c>
      <c r="S16" s="586">
        <f>($G16)*24/(($K16)/60)/$AD$3</f>
        <v>0.64530481283422458</v>
      </c>
      <c r="T16" s="1161">
        <f>(1530-((N16+N17)-[2]May!$AB$21-[2]May!$Z$21-[2]May!$Z$20-[2]May!$J$21-[2]May!$J$20))/1530</f>
        <v>0.78692810457516338</v>
      </c>
      <c r="U16" s="945">
        <f>[1]May_2026!$T20</f>
        <v>3.4459086730003065E-2</v>
      </c>
      <c r="V16" s="1164" t="s">
        <v>1155</v>
      </c>
      <c r="W16" s="1164"/>
      <c r="X16" s="1164"/>
      <c r="Y16" s="1164"/>
      <c r="Z16" s="1164"/>
      <c r="AA16" s="1164"/>
      <c r="AB16" s="1164"/>
    </row>
    <row r="17" spans="2:28" s="19" customFormat="1" ht="153" customHeight="1" thickBot="1" x14ac:dyDescent="0.25">
      <c r="B17" s="168">
        <f>[1]May_2026!$B21</f>
        <v>46154</v>
      </c>
      <c r="C17" s="26" t="str">
        <f>[1]May_2026!$D21</f>
        <v>STAG</v>
      </c>
      <c r="D17" s="27">
        <v>5600</v>
      </c>
      <c r="E17" s="28">
        <f>[2]May!$E21</f>
        <v>1.3333333333333333</v>
      </c>
      <c r="F17" s="29">
        <f>[1]May_2026!$K21</f>
        <v>412.70000000000005</v>
      </c>
      <c r="G17" s="30">
        <f>[1]May_2026!$G21</f>
        <v>6141</v>
      </c>
      <c r="H17" s="29">
        <f>[1]May_2026!$L21</f>
        <v>405.30600000000004</v>
      </c>
      <c r="I17" s="31">
        <f>[1]May_2026!$O21</f>
        <v>5</v>
      </c>
      <c r="J17" s="32">
        <f>[1]May_2026!$R21</f>
        <v>256.76655052264806</v>
      </c>
      <c r="K17" s="32">
        <f>[1]May_2026!$F21</f>
        <v>908</v>
      </c>
      <c r="L17" s="999"/>
      <c r="M17" s="169">
        <f>[2]May!$G21</f>
        <v>2.0625</v>
      </c>
      <c r="N17" s="32">
        <f>[2]May!$AD21</f>
        <v>340</v>
      </c>
      <c r="O17" s="406">
        <f>[2]May!$I21</f>
        <v>20</v>
      </c>
      <c r="P17" s="32">
        <f>[1]May_2026!$I21</f>
        <v>0</v>
      </c>
      <c r="Q17" s="33">
        <f>[1]May_2026!$Q21</f>
        <v>1.7916161860915931</v>
      </c>
      <c r="R17" s="1020"/>
      <c r="S17" s="586">
        <f>($G17)*24/(($K17)/60)/$AD$3</f>
        <v>0.57288416688261212</v>
      </c>
      <c r="T17" s="1162"/>
      <c r="U17" s="945">
        <f>[1]May_2026!$T21</f>
        <v>2.0688478522681651E-2</v>
      </c>
      <c r="V17" s="1164" t="s">
        <v>1156</v>
      </c>
      <c r="W17" s="1164"/>
      <c r="X17" s="1164"/>
      <c r="Y17" s="1164"/>
      <c r="Z17" s="1164"/>
      <c r="AA17" s="1164"/>
      <c r="AB17" s="1164"/>
    </row>
    <row r="18" spans="2:28" s="19" customFormat="1" ht="64.5" customHeight="1" thickBot="1" x14ac:dyDescent="0.25">
      <c r="B18" s="168">
        <f>[1]May_2026!$B22</f>
        <v>46155</v>
      </c>
      <c r="C18" s="26" t="str">
        <f>[1]May_2026!$D22</f>
        <v>STAG</v>
      </c>
      <c r="D18" s="27"/>
      <c r="E18" s="28">
        <f>[2]May!$E22</f>
        <v>1.007638888888889</v>
      </c>
      <c r="F18" s="29">
        <f>[1]May_2026!$K22</f>
        <v>61.9</v>
      </c>
      <c r="G18" s="30">
        <f>[1]May_2026!$G22</f>
        <v>924</v>
      </c>
      <c r="H18" s="29">
        <f>[1]May_2026!$L22</f>
        <v>60.984000000000002</v>
      </c>
      <c r="I18" s="31">
        <f>[1]May_2026!$O22</f>
        <v>2</v>
      </c>
      <c r="J18" s="32">
        <f>[1]May_2026!$R22</f>
        <v>38.796361091672502</v>
      </c>
      <c r="K18" s="32">
        <f>[1]May_2026!$F22</f>
        <v>141</v>
      </c>
      <c r="L18" s="1148">
        <f>[1]May_2026!$E22</f>
        <v>1429</v>
      </c>
      <c r="M18" s="169">
        <f>[2]May!$G22</f>
        <v>0</v>
      </c>
      <c r="N18" s="32">
        <f>[2]May!$AD22</f>
        <v>48</v>
      </c>
      <c r="O18" s="406">
        <f>[2]May!$I22</f>
        <v>0</v>
      </c>
      <c r="P18" s="32">
        <f>[1]May_2026!$I22</f>
        <v>0</v>
      </c>
      <c r="Q18" s="33">
        <f>[1]May_2026!$Q22</f>
        <v>1.4798061389337589</v>
      </c>
      <c r="R18" s="995">
        <f>($G18+G19)/(($L18/60)*AD$3*(1/24))</f>
        <v>0.50124068661754417</v>
      </c>
      <c r="S18" s="586">
        <f t="shared" ref="S18:S25" si="1">($G18)*24/(($K18)/60)/$AD$3</f>
        <v>0.55509386733416777</v>
      </c>
      <c r="T18" s="1161">
        <f>(1485-((N18+N19)-[2]May!$Z$22-[2]May!$Z$23-[2]May!$I$23-[2]May!$J$23-[2]May!$AB$23))/1485</f>
        <v>0.8734006734006734</v>
      </c>
      <c r="U18" s="945">
        <f>[1]May_2026!$T22</f>
        <v>4.4170333123821494E-2</v>
      </c>
      <c r="V18" s="1164" t="s">
        <v>1153</v>
      </c>
      <c r="W18" s="1164"/>
      <c r="X18" s="1164"/>
      <c r="Y18" s="1164"/>
      <c r="Z18" s="1164"/>
      <c r="AA18" s="1164"/>
      <c r="AB18" s="1164"/>
    </row>
    <row r="19" spans="2:28" s="19" customFormat="1" ht="140.25" customHeight="1" thickBot="1" x14ac:dyDescent="0.25">
      <c r="B19" s="168">
        <f>[1]May_2026!$B23</f>
        <v>46155</v>
      </c>
      <c r="C19" s="26" t="str">
        <f>[1]May_2026!$D23</f>
        <v>CARIB AMBER</v>
      </c>
      <c r="D19" s="27">
        <v>5600</v>
      </c>
      <c r="E19" s="28">
        <f>[2]May!$E23</f>
        <v>1.132638888888889</v>
      </c>
      <c r="F19" s="29">
        <f>[1]May_2026!$K23</f>
        <v>507.20000000000005</v>
      </c>
      <c r="G19" s="30">
        <f>[1]May_2026!$G23</f>
        <v>7532</v>
      </c>
      <c r="H19" s="29">
        <f>[1]May_2026!$L23</f>
        <v>497.11200000000002</v>
      </c>
      <c r="I19" s="31">
        <f>[1]May_2026!$O23</f>
        <v>8</v>
      </c>
      <c r="J19" s="32">
        <f>[1]May_2026!$R23</f>
        <v>316.24912526242127</v>
      </c>
      <c r="K19" s="32">
        <f>[1]May_2026!$F23</f>
        <v>1159</v>
      </c>
      <c r="L19" s="999"/>
      <c r="M19" s="169">
        <f>[2]May!$G23</f>
        <v>2.03125</v>
      </c>
      <c r="N19" s="32">
        <f>[2]May!$AD23</f>
        <v>319</v>
      </c>
      <c r="O19" s="406">
        <f>[2]May!$I23</f>
        <v>74</v>
      </c>
      <c r="P19" s="32">
        <f>[1]May_2026!$I23</f>
        <v>0</v>
      </c>
      <c r="Q19" s="33">
        <f>[1]May_2026!$Q23</f>
        <v>1.9889589905362819</v>
      </c>
      <c r="R19" s="1020"/>
      <c r="S19" s="586">
        <f t="shared" si="1"/>
        <v>0.55047860731868237</v>
      </c>
      <c r="T19" s="1162"/>
      <c r="U19" s="945">
        <f>[1]May_2026!$T23</f>
        <v>3.8980637686943598E-2</v>
      </c>
      <c r="V19" s="1164" t="s">
        <v>1154</v>
      </c>
      <c r="W19" s="1164"/>
      <c r="X19" s="1164"/>
      <c r="Y19" s="1164"/>
      <c r="Z19" s="1164"/>
      <c r="AA19" s="1164"/>
      <c r="AB19" s="1164"/>
    </row>
    <row r="20" spans="2:28" s="19" customFormat="1" ht="43.5" customHeight="1" thickBot="1" x14ac:dyDescent="0.25">
      <c r="B20" s="168">
        <f>[1]May_2026!$B24</f>
        <v>46156</v>
      </c>
      <c r="C20" s="26" t="str">
        <f>[1]May_2026!$D24</f>
        <v>CARIB AMBER</v>
      </c>
      <c r="D20" s="27">
        <v>2800</v>
      </c>
      <c r="E20" s="28">
        <f>[2]May!$E24</f>
        <v>1.0041666666666667</v>
      </c>
      <c r="F20" s="29">
        <f>[1]May_2026!$K24</f>
        <v>28.3</v>
      </c>
      <c r="G20" s="30">
        <f>[1]May_2026!$G24</f>
        <v>422</v>
      </c>
      <c r="H20" s="29">
        <f>[1]May_2026!$L24</f>
        <v>27.852</v>
      </c>
      <c r="I20" s="31">
        <f>[1]May_2026!$O24</f>
        <v>0</v>
      </c>
      <c r="J20" s="32">
        <f>[1]May_2026!$R24</f>
        <v>17.212780421481984</v>
      </c>
      <c r="K20" s="32">
        <f>[1]May_2026!$F24</f>
        <v>52</v>
      </c>
      <c r="L20" s="1148">
        <f>[1]May_2026!$E24</f>
        <v>1471</v>
      </c>
      <c r="M20" s="169">
        <f>[2]May!$G24</f>
        <v>0</v>
      </c>
      <c r="N20" s="32">
        <f>[2]May!$AD24</f>
        <v>12</v>
      </c>
      <c r="O20" s="406">
        <f>[2]May!$I24</f>
        <v>0</v>
      </c>
      <c r="P20" s="32">
        <f>[1]May_2026!$I24</f>
        <v>0</v>
      </c>
      <c r="Q20" s="33">
        <f>[1]May_2026!$Q24</f>
        <v>1.5830388692579518</v>
      </c>
      <c r="R20" s="995">
        <f>($G20+G21+G22+G23)/(($L20/60)*AD$3*(1/24))</f>
        <v>0.49936737713440243</v>
      </c>
      <c r="S20" s="586">
        <f t="shared" si="1"/>
        <v>0.68742081447963799</v>
      </c>
      <c r="T20" s="1161">
        <f>(1522-((N20+N21+N22+N23)-[2]May!$J$26-[2]May!$J$27-[2]May!$I$27-[2]May!$I$26-[2]May!$I$25-[2]May!$Z$26-[2]May!$Z$24-[2]May!$AA$27-[2]May!$AB$27-[2]May!$AB$25))/1522</f>
        <v>0.83180026281208941</v>
      </c>
      <c r="U20" s="945">
        <f>[1]May_2026!$T24</f>
        <v>2.5120643431635385E-2</v>
      </c>
      <c r="V20" s="1164" t="s">
        <v>1157</v>
      </c>
      <c r="W20" s="1164"/>
      <c r="X20" s="1164"/>
      <c r="Y20" s="1164"/>
      <c r="Z20" s="1164"/>
      <c r="AA20" s="1164"/>
      <c r="AB20" s="1164"/>
    </row>
    <row r="21" spans="2:28" s="19" customFormat="1" ht="105.75" customHeight="1" thickBot="1" x14ac:dyDescent="0.25">
      <c r="B21" s="168">
        <f>[1]May_2026!$B25</f>
        <v>46156</v>
      </c>
      <c r="C21" s="26" t="str">
        <f>[1]May_2026!$D25</f>
        <v>STAG</v>
      </c>
      <c r="D21" s="27"/>
      <c r="E21" s="28">
        <f>[2]May!$E25</f>
        <v>1.0729166666666667</v>
      </c>
      <c r="F21" s="29">
        <f>[1]May_2026!$K25</f>
        <v>189.1</v>
      </c>
      <c r="G21" s="30">
        <f>[1]May_2026!$G25</f>
        <v>2773</v>
      </c>
      <c r="H21" s="29">
        <f>[1]May_2026!$L25</f>
        <v>183.018</v>
      </c>
      <c r="I21" s="31">
        <f>[1]May_2026!$O25</f>
        <v>7</v>
      </c>
      <c r="J21" s="32">
        <f>[1]May_2026!$R25</f>
        <v>113.10673011556764</v>
      </c>
      <c r="K21" s="32">
        <f>[1]May_2026!$F25</f>
        <v>256</v>
      </c>
      <c r="L21" s="1016"/>
      <c r="M21" s="169">
        <f>[2]May!$G25</f>
        <v>0.43055555555555558</v>
      </c>
      <c r="N21" s="32">
        <f>[2]May!$AD25</f>
        <v>102</v>
      </c>
      <c r="O21" s="406">
        <f>[2]May!$I25</f>
        <v>17</v>
      </c>
      <c r="P21" s="32">
        <f>[1]May_2026!$I25</f>
        <v>0</v>
      </c>
      <c r="Q21" s="33">
        <f>[1]May_2026!$Q25</f>
        <v>3.2162876784769932</v>
      </c>
      <c r="R21" s="996"/>
      <c r="S21" s="586">
        <f t="shared" si="1"/>
        <v>0.9175367647058823</v>
      </c>
      <c r="T21" s="1163"/>
      <c r="U21" s="945">
        <f>[1]May_2026!$T25</f>
        <v>1.0967616074912211E-2</v>
      </c>
      <c r="V21" s="1164" t="s">
        <v>1158</v>
      </c>
      <c r="W21" s="1164"/>
      <c r="X21" s="1164"/>
      <c r="Y21" s="1164"/>
      <c r="Z21" s="1164"/>
      <c r="AA21" s="1164"/>
      <c r="AB21" s="1164"/>
    </row>
    <row r="22" spans="2:28" s="19" customFormat="1" ht="105.75" customHeight="1" thickBot="1" x14ac:dyDescent="0.25">
      <c r="B22" s="168">
        <f>[1]May_2026!$B26</f>
        <v>46156</v>
      </c>
      <c r="C22" s="26" t="str">
        <f>[1]May_2026!$D26</f>
        <v>SHANDY SORREL (LOC)</v>
      </c>
      <c r="D22" s="27">
        <v>2800</v>
      </c>
      <c r="E22" s="28">
        <f>[2]May!$E26</f>
        <v>1.4513888888888888</v>
      </c>
      <c r="F22" s="29">
        <f>[1]May_2026!$K26</f>
        <v>175.5</v>
      </c>
      <c r="G22" s="30">
        <f>[1]May_2026!$G26</f>
        <v>2581</v>
      </c>
      <c r="H22" s="29">
        <f>[1]May_2026!$L26</f>
        <v>170.346</v>
      </c>
      <c r="I22" s="31">
        <f>[1]May_2026!$O26</f>
        <v>4</v>
      </c>
      <c r="J22" s="32">
        <f>[1]May_2026!$R26</f>
        <v>105.27532290958533</v>
      </c>
      <c r="K22" s="32">
        <f>[1]May_2026!$F26</f>
        <v>342</v>
      </c>
      <c r="L22" s="1016"/>
      <c r="M22" s="169">
        <f>[2]May!$G26</f>
        <v>0</v>
      </c>
      <c r="N22" s="32">
        <f>[2]May!$AD26</f>
        <v>204</v>
      </c>
      <c r="O22" s="406">
        <f>[2]May!$I26</f>
        <v>45</v>
      </c>
      <c r="P22" s="32">
        <f>[1]May_2026!$I26</f>
        <v>0</v>
      </c>
      <c r="Q22" s="33">
        <f>[1]May_2026!$Q26</f>
        <v>2.9367521367521348</v>
      </c>
      <c r="R22" s="996"/>
      <c r="S22" s="586">
        <f t="shared" si="1"/>
        <v>0.6392569659442725</v>
      </c>
      <c r="T22" s="1163"/>
      <c r="U22" s="945">
        <f>[1]May_2026!$T26</f>
        <v>1.0967616074912211E-2</v>
      </c>
      <c r="V22" s="1164" t="s">
        <v>1160</v>
      </c>
      <c r="W22" s="1164"/>
      <c r="X22" s="1164"/>
      <c r="Y22" s="1164"/>
      <c r="Z22" s="1164"/>
      <c r="AA22" s="1164"/>
      <c r="AB22" s="1164"/>
    </row>
    <row r="23" spans="2:28" s="19" customFormat="1" ht="62.25" customHeight="1" thickBot="1" x14ac:dyDescent="0.25">
      <c r="B23" s="168">
        <f>[1]May_2026!$B27</f>
        <v>46156</v>
      </c>
      <c r="C23" s="26" t="str">
        <f>[1]May_2026!$D27</f>
        <v>MACKESON</v>
      </c>
      <c r="D23" s="27">
        <v>2800</v>
      </c>
      <c r="E23" s="28">
        <f>[2]May!$E27</f>
        <v>1.7749999999999999</v>
      </c>
      <c r="F23" s="29">
        <f>[1]May_2026!$K27</f>
        <v>195.3</v>
      </c>
      <c r="G23" s="30">
        <f>[1]May_2026!$G27</f>
        <v>2896</v>
      </c>
      <c r="H23" s="29">
        <f>[1]May_2026!$L27</f>
        <v>191.136</v>
      </c>
      <c r="I23" s="31">
        <f>[1]May_2026!$O27</f>
        <v>4</v>
      </c>
      <c r="J23" s="32">
        <f>[1]May_2026!$R27</f>
        <v>118.12372535690007</v>
      </c>
      <c r="K23" s="32">
        <f>[1]May_2026!$F27</f>
        <v>350</v>
      </c>
      <c r="L23" s="999"/>
      <c r="M23" s="169">
        <f>[2]May!$G27</f>
        <v>2.0659722222222223</v>
      </c>
      <c r="N23" s="32">
        <f>[2]May!$AD27</f>
        <v>114</v>
      </c>
      <c r="O23" s="406">
        <f>[2]May!$I27</f>
        <v>55</v>
      </c>
      <c r="P23" s="32">
        <f>[1]May_2026!$I27</f>
        <v>0</v>
      </c>
      <c r="Q23" s="33">
        <f>[1]May_2026!$Q27</f>
        <v>2.1321044546851078</v>
      </c>
      <c r="R23" s="1020"/>
      <c r="S23" s="586">
        <f t="shared" si="1"/>
        <v>0.7008806722689076</v>
      </c>
      <c r="T23" s="1162"/>
      <c r="U23" s="945">
        <f>[1]May_2026!$T27</f>
        <v>1.6901154401154399E-2</v>
      </c>
      <c r="V23" s="1164" t="s">
        <v>1159</v>
      </c>
      <c r="W23" s="1164"/>
      <c r="X23" s="1164"/>
      <c r="Y23" s="1164"/>
      <c r="Z23" s="1164"/>
      <c r="AA23" s="1164"/>
      <c r="AB23" s="1164"/>
    </row>
    <row r="24" spans="2:28" s="19" customFormat="1" ht="128.25" customHeight="1" thickBot="1" x14ac:dyDescent="0.25">
      <c r="B24" s="168">
        <f>[1]May_2026!$B28</f>
        <v>46157</v>
      </c>
      <c r="C24" s="26" t="str">
        <f>[1]May_2026!$D28</f>
        <v xml:space="preserve">VITA MALT ( CLASSIC ) </v>
      </c>
      <c r="D24" s="27">
        <v>4200</v>
      </c>
      <c r="E24" s="28">
        <f>[2]May!$E28</f>
        <v>1.2083333333333333</v>
      </c>
      <c r="F24" s="29">
        <f>[1]May_2026!$K28</f>
        <v>281.5</v>
      </c>
      <c r="G24" s="30">
        <f>[1]May_2026!$G28</f>
        <v>3955</v>
      </c>
      <c r="H24" s="29">
        <f>[1]May_2026!$L28</f>
        <v>280.01400000000001</v>
      </c>
      <c r="I24" s="31">
        <f>[1]May_2026!$O28</f>
        <v>10</v>
      </c>
      <c r="J24" s="32">
        <f>[1]May_2026!$R28</f>
        <v>199.41176470588238</v>
      </c>
      <c r="K24" s="32">
        <f>[1]May_2026!$F28</f>
        <v>491</v>
      </c>
      <c r="L24" s="1148">
        <f>[1]May_2026!$E28</f>
        <v>1190</v>
      </c>
      <c r="M24" s="169">
        <f>[2]May!$G28</f>
        <v>1.7236111111111112</v>
      </c>
      <c r="N24" s="32">
        <f>[2]May!$AD28</f>
        <v>420</v>
      </c>
      <c r="O24" s="406">
        <f>[2]May!$I28</f>
        <v>143</v>
      </c>
      <c r="P24" s="32">
        <f>[1]May_2026!$I28</f>
        <v>0</v>
      </c>
      <c r="Q24" s="33">
        <f>[1]May_2026!$Q28</f>
        <v>0.52788632326820251</v>
      </c>
      <c r="R24" s="995">
        <f>($G24+G25)/(($L24/60)*AD$3*(1/24))</f>
        <v>0.37832921403855663</v>
      </c>
      <c r="S24" s="586">
        <f t="shared" si="1"/>
        <v>0.68230501976758118</v>
      </c>
      <c r="T24" s="1161">
        <f>(1257-((N24+N25)-[2]May!$I$28-[2]May!$J$28-[2]May!$I$29-[2]May!$Z$28-[2]May!$AB$28-[2]May!$AB$29))/1257</f>
        <v>0.92999204455051709</v>
      </c>
      <c r="U24" s="945">
        <f>[1]May_2026!$T28</f>
        <v>4.1818400588482553E-2</v>
      </c>
      <c r="V24" s="1165" t="s">
        <v>1161</v>
      </c>
      <c r="W24" s="1164"/>
      <c r="X24" s="1164"/>
      <c r="Y24" s="1164"/>
      <c r="Z24" s="1164"/>
      <c r="AA24" s="1164"/>
      <c r="AB24" s="1164"/>
    </row>
    <row r="25" spans="2:28" s="19" customFormat="1" ht="57" customHeight="1" thickBot="1" x14ac:dyDescent="0.25">
      <c r="B25" s="168">
        <f>[1]May_2026!$B29</f>
        <v>46157</v>
      </c>
      <c r="C25" s="26" t="str">
        <f>[1]May_2026!$D29</f>
        <v xml:space="preserve">VITA MALT ( GINGER ) </v>
      </c>
      <c r="D25" s="27">
        <v>1400</v>
      </c>
      <c r="E25" s="28">
        <f>[2]May!$E29</f>
        <v>1.6888888888888889</v>
      </c>
      <c r="F25" s="29">
        <f>[1]May_2026!$K29</f>
        <v>100</v>
      </c>
      <c r="G25" s="30">
        <f>[1]May_2026!$G29</f>
        <v>1360</v>
      </c>
      <c r="H25" s="29">
        <f>[1]May_2026!$L29</f>
        <v>96.287999999999997</v>
      </c>
      <c r="I25" s="31">
        <f>[1]May_2026!$O29</f>
        <v>1</v>
      </c>
      <c r="J25" s="32">
        <f>[1]May_2026!$R29</f>
        <v>68.571428571428569</v>
      </c>
      <c r="K25" s="32">
        <f>[1]May_2026!$F29</f>
        <v>189</v>
      </c>
      <c r="L25" s="999"/>
      <c r="M25" s="169">
        <f>[2]May!$G29</f>
        <v>1.8729166666666666</v>
      </c>
      <c r="N25" s="32">
        <f>[2]May!$AD29</f>
        <v>21</v>
      </c>
      <c r="O25" s="406">
        <f>[2]May!$I29</f>
        <v>5</v>
      </c>
      <c r="P25" s="32">
        <f>[1]May_2026!$I29</f>
        <v>0</v>
      </c>
      <c r="Q25" s="33">
        <f>[1]May_2026!$Q29</f>
        <v>3.7120000000000033</v>
      </c>
      <c r="R25" s="1020"/>
      <c r="S25" s="586">
        <f t="shared" si="1"/>
        <v>0.60952380952380947</v>
      </c>
      <c r="T25" s="1162"/>
      <c r="U25" s="945">
        <f>[1]May_2026!$T29</f>
        <v>1.5501838235294118E-2</v>
      </c>
      <c r="V25" s="1164" t="s">
        <v>1162</v>
      </c>
      <c r="W25" s="1164"/>
      <c r="X25" s="1164"/>
      <c r="Y25" s="1164"/>
      <c r="Z25" s="1164"/>
      <c r="AA25" s="1164"/>
      <c r="AB25" s="1164"/>
    </row>
    <row r="26" spans="2:28" s="19" customFormat="1" ht="141" customHeight="1" thickBot="1" x14ac:dyDescent="0.25">
      <c r="B26" s="168">
        <f>[1]May_2026!$B30</f>
        <v>46158</v>
      </c>
      <c r="C26" s="26" t="str">
        <f>[1]May_2026!$D30</f>
        <v>CARIB AMBER</v>
      </c>
      <c r="D26" s="27">
        <v>5600</v>
      </c>
      <c r="E26" s="28">
        <f>[2]May!$E30</f>
        <v>0.34583333333333333</v>
      </c>
      <c r="F26" s="29">
        <f>[1]May_2026!$K30</f>
        <v>384.20000000000005</v>
      </c>
      <c r="G26" s="30">
        <f>[1]May_2026!$G30</f>
        <v>5683</v>
      </c>
      <c r="H26" s="29">
        <f>[1]May_2026!$L30</f>
        <v>375.07800000000003</v>
      </c>
      <c r="I26" s="31">
        <f>[1]May_2026!$O30</f>
        <v>17</v>
      </c>
      <c r="J26" s="32">
        <f>[1]May_2026!$R30</f>
        <v>426.75844806007512</v>
      </c>
      <c r="K26" s="32">
        <f>[1]May_2026!$F30</f>
        <v>719</v>
      </c>
      <c r="L26" s="464">
        <f>[1]May_2026!$E30</f>
        <v>799</v>
      </c>
      <c r="M26" s="169">
        <f>[2]May!$G30</f>
        <v>0.92708333333333337</v>
      </c>
      <c r="N26" s="32">
        <f>[2]May!$AD30</f>
        <v>123</v>
      </c>
      <c r="O26" s="406">
        <f>[2]May!$I30</f>
        <v>0</v>
      </c>
      <c r="P26" s="32">
        <f>[1]May_2026!$I30</f>
        <v>0</v>
      </c>
      <c r="Q26" s="33">
        <f>[1]May_2026!$Q30</f>
        <v>2.3742842269651256</v>
      </c>
      <c r="R26" s="653">
        <f>($G26)/(($L26/60)*AD$3*(1/24))</f>
        <v>0.60248251490834137</v>
      </c>
      <c r="S26" s="586">
        <f>($G26)*24/(($K26)/60)/$AD$3</f>
        <v>0.66951812157408175</v>
      </c>
      <c r="T26" s="665">
        <f>(907-((N26)-[2]May!$J$30-[2]May!$Z$30-[2]May!$AA$30-[2]May!$AB$30))/907</f>
        <v>0.9217199558985667</v>
      </c>
      <c r="U26" s="945">
        <f>[1]May_2026!$T30</f>
        <v>5.1967512398440427E-2</v>
      </c>
      <c r="V26" s="1164" t="s">
        <v>1163</v>
      </c>
      <c r="W26" s="1164"/>
      <c r="X26" s="1164"/>
      <c r="Y26" s="1164"/>
      <c r="Z26" s="1164"/>
      <c r="AA26" s="1164"/>
      <c r="AB26" s="1164"/>
    </row>
    <row r="27" spans="2:28" s="19" customFormat="1" ht="122.25" customHeight="1" thickBot="1" x14ac:dyDescent="0.25">
      <c r="B27" s="168">
        <f>[1]May_2026!$B31</f>
        <v>46160</v>
      </c>
      <c r="C27" s="26" t="str">
        <f>[1]May_2026!$D31</f>
        <v>STAR MALT</v>
      </c>
      <c r="D27" s="27">
        <v>5600</v>
      </c>
      <c r="E27" s="28">
        <f>[2]May!$E31</f>
        <v>1.1041666666666667</v>
      </c>
      <c r="F27" s="29">
        <f>[1]May_2026!$K31</f>
        <v>394.29999999999995</v>
      </c>
      <c r="G27" s="30">
        <f>[1]May_2026!$G31</f>
        <v>5814</v>
      </c>
      <c r="H27" s="29">
        <f>[1]May_2026!$L31</f>
        <v>383.72400000000005</v>
      </c>
      <c r="I27" s="31">
        <f>[1]May_2026!$O31</f>
        <v>3</v>
      </c>
      <c r="J27" s="32">
        <f>[1]May_2026!$R31</f>
        <v>252.78260869565219</v>
      </c>
      <c r="K27" s="32">
        <f>[1]May_2026!$F31</f>
        <v>699</v>
      </c>
      <c r="L27" s="1148">
        <f>[1]May_2026!$E31</f>
        <v>1380</v>
      </c>
      <c r="M27" s="169">
        <f>[2]May!$G31</f>
        <v>0.68333333333333335</v>
      </c>
      <c r="N27" s="32">
        <f>[2]May!$AD31</f>
        <v>183</v>
      </c>
      <c r="O27" s="406">
        <f>[2]May!$I31</f>
        <v>0</v>
      </c>
      <c r="P27" s="32">
        <f>[1]May_2026!$I31</f>
        <v>0</v>
      </c>
      <c r="Q27" s="33">
        <f>[1]May_2026!$Q31</f>
        <v>2.6822216586355334</v>
      </c>
      <c r="R27" s="995">
        <f>($G27+G28)/(($L27/60)*AD$3*(1/24))</f>
        <v>0.52640409207161132</v>
      </c>
      <c r="S27" s="586">
        <f t="shared" ref="S27:S39" si="2">($G27)*24/(($K27)/60)/$AD$3</f>
        <v>0.70454935622317594</v>
      </c>
      <c r="T27" s="1161">
        <f>(1430-((N27+N28)-[2]May!$J$32-[2]May!$J$31-[2]May!$I$32-[2]May!$K$32-[2]May!$Z$31-[2]May!$AB$31-[2]May!$AB$32))/1430</f>
        <v>0.89790209790209785</v>
      </c>
      <c r="U27" s="945">
        <f>[1]May_2026!$T31</f>
        <v>3.7085195390367295E-2</v>
      </c>
      <c r="V27" s="1164" t="s">
        <v>1165</v>
      </c>
      <c r="W27" s="1164"/>
      <c r="X27" s="1164"/>
      <c r="Y27" s="1164"/>
      <c r="Z27" s="1164"/>
      <c r="AA27" s="1164"/>
      <c r="AB27" s="1164"/>
    </row>
    <row r="28" spans="2:28" s="19" customFormat="1" ht="112.5" customHeight="1" thickBot="1" x14ac:dyDescent="0.25">
      <c r="B28" s="168">
        <f>[1]May_2026!$B32</f>
        <v>46160</v>
      </c>
      <c r="C28" s="26" t="str">
        <f>[1]May_2026!$D32</f>
        <v>CARIB AMBER</v>
      </c>
      <c r="D28" s="27">
        <v>2800</v>
      </c>
      <c r="E28" s="28">
        <f>[2]May!$E32</f>
        <v>1.6909722222222223</v>
      </c>
      <c r="F28" s="29">
        <f>[1]May_2026!$K32</f>
        <v>191.1</v>
      </c>
      <c r="G28" s="30">
        <f>[1]May_2026!$G32</f>
        <v>2762</v>
      </c>
      <c r="H28" s="29">
        <f>[1]May_2026!$L32</f>
        <v>187.99199999999999</v>
      </c>
      <c r="I28" s="31">
        <f>[1]May_2026!$O32</f>
        <v>10</v>
      </c>
      <c r="J28" s="32">
        <f>[1]May_2026!$R32</f>
        <v>120.08695652173913</v>
      </c>
      <c r="K28" s="32">
        <f>[1]May_2026!$F32</f>
        <v>348</v>
      </c>
      <c r="L28" s="999"/>
      <c r="M28" s="169">
        <f>[2]May!$G32</f>
        <v>2.0208333333333335</v>
      </c>
      <c r="N28" s="32">
        <f>[2]May!$AD32</f>
        <v>205</v>
      </c>
      <c r="O28" s="406">
        <f>[2]May!$I32</f>
        <v>58</v>
      </c>
      <c r="P28" s="32">
        <f>[1]May_2026!$I32</f>
        <v>0</v>
      </c>
      <c r="Q28" s="33">
        <f>[1]May_2026!$Q32</f>
        <v>1.6263736263736288</v>
      </c>
      <c r="R28" s="1020"/>
      <c r="S28" s="586">
        <f t="shared" si="2"/>
        <v>0.67229208924949302</v>
      </c>
      <c r="T28" s="1162"/>
      <c r="U28" s="945">
        <f>[1]May_2026!$T32</f>
        <v>2.1221254355400693E-2</v>
      </c>
      <c r="V28" s="1164" t="s">
        <v>1164</v>
      </c>
      <c r="W28" s="1164"/>
      <c r="X28" s="1164"/>
      <c r="Y28" s="1164"/>
      <c r="Z28" s="1164"/>
      <c r="AA28" s="1164"/>
      <c r="AB28" s="1164"/>
    </row>
    <row r="29" spans="2:28" s="19" customFormat="1" ht="124.5" customHeight="1" thickBot="1" x14ac:dyDescent="0.25">
      <c r="B29" s="168">
        <f>[1]May_2026!$B33</f>
        <v>46161</v>
      </c>
      <c r="C29" s="26" t="str">
        <f>[1]May_2026!$D33</f>
        <v>CARIB AMBER</v>
      </c>
      <c r="D29" s="27">
        <v>2800</v>
      </c>
      <c r="E29" s="28">
        <f>[2]May!$E33</f>
        <v>1.0034722222222223</v>
      </c>
      <c r="F29" s="29">
        <f>[1]May_2026!$K33</f>
        <v>374.2</v>
      </c>
      <c r="G29" s="30">
        <f>[1]May_2026!$G33</f>
        <v>3992</v>
      </c>
      <c r="H29" s="29">
        <f>[1]May_2026!$L33</f>
        <v>366.63</v>
      </c>
      <c r="I29" s="31">
        <f>[1]May_2026!$O33</f>
        <v>10</v>
      </c>
      <c r="J29" s="32">
        <f>[1]May_2026!$R33</f>
        <v>166.9128919860627</v>
      </c>
      <c r="K29" s="32">
        <f>[1]May_2026!$F33</f>
        <v>750</v>
      </c>
      <c r="L29" s="1148">
        <f>[1]May_2026!$E33</f>
        <v>1435</v>
      </c>
      <c r="M29" s="169">
        <f>[2]May!$G33</f>
        <v>0</v>
      </c>
      <c r="N29" s="32">
        <f>[2]May!$AD33</f>
        <v>214</v>
      </c>
      <c r="O29" s="406">
        <f>[2]May!$I33</f>
        <v>19</v>
      </c>
      <c r="P29" s="32">
        <f>[1]May_2026!$I33</f>
        <v>0</v>
      </c>
      <c r="Q29" s="33">
        <f>[1]May_2026!$Q33</f>
        <v>2.0229823623730607</v>
      </c>
      <c r="R29" s="995">
        <f>($G29+G30+G31)/(($L29/60)*AD$3*(1/24))</f>
        <v>0.39856036072965773</v>
      </c>
      <c r="S29" s="586">
        <f t="shared" si="2"/>
        <v>0.45086117647058827</v>
      </c>
      <c r="T29" s="1161">
        <f>(1488-((N29+N30+N31)-[2]May!$I$33-[2]May!$I$34-[2]May!$I$35-[2]May!$M$34-[2]May!$Z$33-[2]May!$AB$33-[2]May!$AB$34-[2]May!$Z$35))/1488</f>
        <v>0.7553763440860215</v>
      </c>
      <c r="U29" s="945">
        <f>[1]May_2026!$T33</f>
        <v>1.8488555643251775E-2</v>
      </c>
      <c r="V29" s="1164" t="s">
        <v>1168</v>
      </c>
      <c r="W29" s="1164"/>
      <c r="X29" s="1164"/>
      <c r="Y29" s="1164"/>
      <c r="Z29" s="1164"/>
      <c r="AA29" s="1164"/>
      <c r="AB29" s="1164"/>
    </row>
    <row r="30" spans="2:28" s="19" customFormat="1" ht="83.25" customHeight="1" thickBot="1" x14ac:dyDescent="0.25">
      <c r="B30" s="168">
        <f>[1]May_2026!$B34</f>
        <v>46161</v>
      </c>
      <c r="C30" s="26" t="str">
        <f>[1]May_2026!$D34</f>
        <v>CARIB FLINT (LOCAL)</v>
      </c>
      <c r="D30" s="27"/>
      <c r="E30" s="28">
        <f>[2]May!$E34</f>
        <v>1.5451388888888888</v>
      </c>
      <c r="F30" s="29">
        <f>[1]May_2026!$K34</f>
        <v>0</v>
      </c>
      <c r="G30" s="30">
        <f>[1]May_2026!$G34</f>
        <v>1563</v>
      </c>
      <c r="H30" s="29">
        <f>[1]May_2026!$L34</f>
        <v>0</v>
      </c>
      <c r="I30" s="31">
        <f>[1]May_2026!$O34</f>
        <v>4</v>
      </c>
      <c r="J30" s="32">
        <f>[1]May_2026!$R34</f>
        <v>65.351916376306619</v>
      </c>
      <c r="K30" s="32">
        <f>[1]May_2026!$F34</f>
        <v>332</v>
      </c>
      <c r="L30" s="1016"/>
      <c r="M30" s="169">
        <f>[2]May!$G34</f>
        <v>1.8444444444444446</v>
      </c>
      <c r="N30" s="32">
        <f>[2]May!$AD34</f>
        <v>141</v>
      </c>
      <c r="O30" s="406">
        <f>[2]May!$I34</f>
        <v>5</v>
      </c>
      <c r="P30" s="32">
        <f>[1]May_2026!$I34</f>
        <v>0</v>
      </c>
      <c r="Q30" s="33">
        <f>[1]May_2026!$Q34</f>
        <v>0</v>
      </c>
      <c r="R30" s="996"/>
      <c r="S30" s="586">
        <f t="shared" si="2"/>
        <v>0.39878100637845504</v>
      </c>
      <c r="T30" s="1163"/>
      <c r="U30" s="945">
        <f>[1]May_2026!$T34</f>
        <v>1.3759177679882526E-2</v>
      </c>
      <c r="V30" s="1164" t="s">
        <v>1166</v>
      </c>
      <c r="W30" s="1164"/>
      <c r="X30" s="1164"/>
      <c r="Y30" s="1164"/>
      <c r="Z30" s="1164"/>
      <c r="AA30" s="1164"/>
      <c r="AB30" s="1164"/>
    </row>
    <row r="31" spans="2:28" s="19" customFormat="1" ht="92.25" customHeight="1" thickBot="1" x14ac:dyDescent="0.25">
      <c r="B31" s="168">
        <f>[1]May_2026!$B35</f>
        <v>46161</v>
      </c>
      <c r="C31" s="26" t="str">
        <f>[1]May_2026!$D35</f>
        <v>STAG</v>
      </c>
      <c r="D31" s="27">
        <v>5600</v>
      </c>
      <c r="E31" s="28">
        <f>[2]May!$E35</f>
        <v>1.8055555555555556</v>
      </c>
      <c r="F31" s="29">
        <f>[1]May_2026!$K35</f>
        <v>80</v>
      </c>
      <c r="G31" s="30">
        <f>[1]May_2026!$G35</f>
        <v>1197</v>
      </c>
      <c r="H31" s="29">
        <f>[1]May_2026!$L35</f>
        <v>79.00200000000001</v>
      </c>
      <c r="I31" s="31">
        <f>[1]May_2026!$O35</f>
        <v>11</v>
      </c>
      <c r="J31" s="32">
        <f>[1]May_2026!$R35</f>
        <v>50.048780487804876</v>
      </c>
      <c r="K31" s="32">
        <f>[1]May_2026!$F35</f>
        <v>267</v>
      </c>
      <c r="L31" s="999"/>
      <c r="M31" s="169">
        <f>[2]May!$G35</f>
        <v>2.0333333333333332</v>
      </c>
      <c r="N31" s="32">
        <f>[2]May!$AD35</f>
        <v>122</v>
      </c>
      <c r="O31" s="406">
        <f>[2]May!$I35</f>
        <v>43</v>
      </c>
      <c r="P31" s="32">
        <f>[1]May_2026!$I35</f>
        <v>0</v>
      </c>
      <c r="Q31" s="33">
        <f>[1]May_2026!$Q35</f>
        <v>1.2474999999999881</v>
      </c>
      <c r="R31" s="1020"/>
      <c r="S31" s="586">
        <f t="shared" si="2"/>
        <v>0.3797488433575677</v>
      </c>
      <c r="T31" s="1162"/>
      <c r="U31" s="945">
        <f>[1]May_2026!$T35</f>
        <v>1.3759177679882526E-2</v>
      </c>
      <c r="V31" s="1164" t="s">
        <v>1167</v>
      </c>
      <c r="W31" s="1164"/>
      <c r="X31" s="1164"/>
      <c r="Y31" s="1164"/>
      <c r="Z31" s="1164"/>
      <c r="AA31" s="1164"/>
      <c r="AB31" s="1164"/>
    </row>
    <row r="32" spans="2:28" s="19" customFormat="1" ht="111.75" customHeight="1" thickBot="1" x14ac:dyDescent="0.25">
      <c r="B32" s="168">
        <f>[1]May_2026!$B36</f>
        <v>46162</v>
      </c>
      <c r="C32" s="26" t="str">
        <f>[1]May_2026!$D36</f>
        <v>STAG</v>
      </c>
      <c r="D32" s="298">
        <v>2800</v>
      </c>
      <c r="E32" s="28">
        <f>[2]May!$E36</f>
        <v>1.0243055555555556</v>
      </c>
      <c r="F32" s="29">
        <f>[1]May_2026!$K36</f>
        <v>298</v>
      </c>
      <c r="G32" s="30">
        <f>[1]May_2026!$G36</f>
        <v>4440</v>
      </c>
      <c r="H32" s="29">
        <f>[1]May_2026!$L36</f>
        <v>293.04000000000002</v>
      </c>
      <c r="I32" s="31">
        <f>[1]May_2026!$O36</f>
        <v>5</v>
      </c>
      <c r="J32" s="32">
        <f>[1]May_2026!$R36</f>
        <v>185</v>
      </c>
      <c r="K32" s="32">
        <f>[1]May_2026!$F36</f>
        <v>647</v>
      </c>
      <c r="L32" s="1148">
        <f>[1]May_2026!$E36</f>
        <v>1440</v>
      </c>
      <c r="M32" s="169">
        <f>[2]May!$G36</f>
        <v>1.5243055555555556</v>
      </c>
      <c r="N32" s="32">
        <f>[2]May!$AD36</f>
        <v>140</v>
      </c>
      <c r="O32" s="406">
        <f>[2]May!$I36</f>
        <v>35</v>
      </c>
      <c r="P32" s="32">
        <f>[1]May_2026!$I36</f>
        <v>0</v>
      </c>
      <c r="Q32" s="33">
        <f>[1]May_2026!$Q36</f>
        <v>1.6644295302013354</v>
      </c>
      <c r="R32" s="995">
        <f>($G32+G33)/(($L32/60)*AD$3*(1/24))</f>
        <v>0.53423529411764703</v>
      </c>
      <c r="S32" s="586">
        <f t="shared" si="2"/>
        <v>0.5812892081098282</v>
      </c>
      <c r="T32" s="1161">
        <f>(1499-((N32+N33)-[2]May!$AB$36-[2]May!$AB$37-[2]May!$Z$37-[2]May!$J$37-[2]May!$J$36-[2]May!$I$36-[2]May!$I$37))/1499</f>
        <v>0.91127418278852568</v>
      </c>
      <c r="U32" s="945">
        <f>[1]May_2026!$T36</f>
        <v>1.5674138507862159E-2</v>
      </c>
      <c r="V32" s="1164" t="s">
        <v>1170</v>
      </c>
      <c r="W32" s="1164"/>
      <c r="X32" s="1164"/>
      <c r="Y32" s="1164"/>
      <c r="Z32" s="1164"/>
      <c r="AA32" s="1164"/>
      <c r="AB32" s="1164"/>
    </row>
    <row r="33" spans="2:28" s="19" customFormat="1" ht="123.75" customHeight="1" thickBot="1" x14ac:dyDescent="0.25">
      <c r="B33" s="168">
        <f>[1]May_2026!$B37</f>
        <v>46162</v>
      </c>
      <c r="C33" s="26" t="str">
        <f>[1]May_2026!$D37</f>
        <v>CARIB AMBER</v>
      </c>
      <c r="D33" s="27">
        <v>5600</v>
      </c>
      <c r="E33" s="28">
        <f>[2]May!$E37</f>
        <v>1.5694444444444444</v>
      </c>
      <c r="F33" s="29">
        <f>[1]May_2026!$K37</f>
        <v>313.10000000000002</v>
      </c>
      <c r="G33" s="30">
        <f>[1]May_2026!$G37</f>
        <v>4642</v>
      </c>
      <c r="H33" s="29">
        <f>[1]May_2026!$L37</f>
        <v>306.37200000000001</v>
      </c>
      <c r="I33" s="31">
        <f>[1]May_2026!$O37</f>
        <v>13</v>
      </c>
      <c r="J33" s="32">
        <f>[1]May_2026!$R37</f>
        <v>193.41666666666666</v>
      </c>
      <c r="K33" s="32">
        <f>[1]May_2026!$F37</f>
        <v>505</v>
      </c>
      <c r="L33" s="999"/>
      <c r="M33" s="169">
        <f>[2]May!$G37</f>
        <v>2.0409722222222224</v>
      </c>
      <c r="N33" s="32">
        <f>[2]May!$AD37</f>
        <v>189</v>
      </c>
      <c r="O33" s="406">
        <f>[2]May!$I37</f>
        <v>23</v>
      </c>
      <c r="P33" s="32">
        <f>[1]May_2026!$I37</f>
        <v>13</v>
      </c>
      <c r="Q33" s="33">
        <f>[1]May_2026!$Q37</f>
        <v>2.1488342382625385</v>
      </c>
      <c r="R33" s="1020"/>
      <c r="S33" s="586">
        <f t="shared" si="2"/>
        <v>0.77862317996505537</v>
      </c>
      <c r="T33" s="1162"/>
      <c r="U33" s="945">
        <f>[1]May_2026!$T37</f>
        <v>4.7881104105827063E-2</v>
      </c>
      <c r="V33" s="1164" t="s">
        <v>1169</v>
      </c>
      <c r="W33" s="1164"/>
      <c r="X33" s="1164"/>
      <c r="Y33" s="1164"/>
      <c r="Z33" s="1164"/>
      <c r="AA33" s="1164"/>
      <c r="AB33" s="1164"/>
    </row>
    <row r="34" spans="2:28" s="19" customFormat="1" ht="45.75" customHeight="1" thickBot="1" x14ac:dyDescent="0.25">
      <c r="B34" s="168">
        <f>[1]May_2026!$B38</f>
        <v>46163</v>
      </c>
      <c r="C34" s="26" t="str">
        <f>[1]May_2026!$D38</f>
        <v>CARIB AMBER</v>
      </c>
      <c r="D34" s="298">
        <v>1400</v>
      </c>
      <c r="E34" s="28">
        <f>[2]May!$E38</f>
        <v>1.0069444444444444</v>
      </c>
      <c r="F34" s="29">
        <f>[1]May_2026!$K38</f>
        <v>56.9</v>
      </c>
      <c r="G34" s="30">
        <f>[1]May_2026!$G38</f>
        <v>824</v>
      </c>
      <c r="H34" s="29">
        <f>[1]May_2026!$L38</f>
        <v>54.384</v>
      </c>
      <c r="I34" s="31">
        <f>[1]May_2026!$O38</f>
        <v>1</v>
      </c>
      <c r="J34" s="32">
        <f>[1]May_2026!$R38</f>
        <v>34.816901408450704</v>
      </c>
      <c r="K34" s="32">
        <f>[1]May_2026!$F38</f>
        <v>38</v>
      </c>
      <c r="L34" s="1167">
        <f>[1]May_2026!$E38</f>
        <v>1420</v>
      </c>
      <c r="M34" s="169">
        <f>[2]May!$G38</f>
        <v>1.1430555555555555</v>
      </c>
      <c r="N34" s="32">
        <f>[2]May!$AD38</f>
        <v>27</v>
      </c>
      <c r="O34" s="406">
        <f>[2]May!$I38</f>
        <v>0</v>
      </c>
      <c r="P34" s="32">
        <f>[1]May_2026!$I38</f>
        <v>0</v>
      </c>
      <c r="Q34" s="608">
        <f>[1]May_2026!$Q38</f>
        <v>4.4217926186291709</v>
      </c>
      <c r="R34" s="995">
        <f>($G34+G35+G36)/(($L34/60)*AD$3*(1/24))</f>
        <v>0.46111019055509522</v>
      </c>
      <c r="S34" s="586">
        <f t="shared" si="2"/>
        <v>1.836780185758514</v>
      </c>
      <c r="T34" s="1161">
        <f>(1493-((N34+N35+N36)-[2]May!$I$39-[2]May!$I$40-[2]May!$J$40-[2]May!$Z$40-[2]May!$Z$39-[2]May!$Z$38-[2]May!$AB$38-[2]May!$AB$39-[2]May!$AB$40))/1493</f>
        <v>0.88077695914266574</v>
      </c>
      <c r="U34" s="945">
        <f>[1]May_2026!$T38</f>
        <v>9.9398868458274395E-3</v>
      </c>
      <c r="V34" s="1164" t="s">
        <v>1171</v>
      </c>
      <c r="W34" s="1164"/>
      <c r="X34" s="1164"/>
      <c r="Y34" s="1164"/>
      <c r="Z34" s="1164"/>
      <c r="AA34" s="1164"/>
      <c r="AB34" s="1164"/>
    </row>
    <row r="35" spans="2:28" s="19" customFormat="1" ht="100.5" customHeight="1" thickBot="1" x14ac:dyDescent="0.25">
      <c r="B35" s="168">
        <f>[1]May_2026!$B39</f>
        <v>46163</v>
      </c>
      <c r="C35" s="26" t="str">
        <f>[1]May_2026!$D39</f>
        <v>STAG</v>
      </c>
      <c r="D35" s="27">
        <v>5600</v>
      </c>
      <c r="E35" s="28">
        <f>[2]May!$E39</f>
        <v>1.1041666666666667</v>
      </c>
      <c r="F35" s="29">
        <f>[1]May_2026!$K39</f>
        <v>376.90000000000003</v>
      </c>
      <c r="G35" s="30">
        <f>[1]May_2026!$G39</f>
        <v>5605</v>
      </c>
      <c r="H35" s="29">
        <f>[1]May_2026!$L39</f>
        <v>369.93</v>
      </c>
      <c r="I35" s="31">
        <f>[1]May_2026!$O39</f>
        <v>10</v>
      </c>
      <c r="J35" s="32">
        <f>[1]May_2026!$R39</f>
        <v>236.83098591549296</v>
      </c>
      <c r="K35" s="32">
        <f>[1]May_2026!$F39</f>
        <v>761</v>
      </c>
      <c r="L35" s="1167"/>
      <c r="M35" s="169">
        <f>[2]May!$G39</f>
        <v>0.71458333333333335</v>
      </c>
      <c r="N35" s="32">
        <f>[2]May!$AD39</f>
        <v>165</v>
      </c>
      <c r="O35" s="406">
        <f>[2]May!$I39</f>
        <v>26</v>
      </c>
      <c r="P35" s="32">
        <f>[1]May_2026!$I39</f>
        <v>185.18</v>
      </c>
      <c r="Q35" s="608">
        <f>[1]May_2026!$Q39</f>
        <v>1.8492968957283171</v>
      </c>
      <c r="R35" s="996"/>
      <c r="S35" s="586">
        <f t="shared" si="2"/>
        <v>0.62388498106207002</v>
      </c>
      <c r="T35" s="1163"/>
      <c r="U35" s="945">
        <f>[1]May_2026!$T39</f>
        <v>9.9398868458274395E-3</v>
      </c>
      <c r="V35" s="1164" t="s">
        <v>1172</v>
      </c>
      <c r="W35" s="1164"/>
      <c r="X35" s="1164"/>
      <c r="Y35" s="1164"/>
      <c r="Z35" s="1164"/>
      <c r="AA35" s="1164"/>
      <c r="AB35" s="1164"/>
    </row>
    <row r="36" spans="2:28" s="19" customFormat="1" ht="102" customHeight="1" thickBot="1" x14ac:dyDescent="0.25">
      <c r="B36" s="168">
        <f>[1]May_2026!$B40</f>
        <v>46163</v>
      </c>
      <c r="C36" s="26" t="str">
        <f>[1]May_2026!$D40</f>
        <v>CARIBE PEARSECO</v>
      </c>
      <c r="D36" s="27"/>
      <c r="E36" s="28">
        <f>[2]May!$E40</f>
        <v>1.7847222222222223</v>
      </c>
      <c r="F36" s="29">
        <f>[1]May_2026!$K40</f>
        <v>92</v>
      </c>
      <c r="G36" s="30">
        <f>[1]May_2026!$G40</f>
        <v>1301</v>
      </c>
      <c r="H36" s="29">
        <f>[1]May_2026!$L40</f>
        <v>85.866</v>
      </c>
      <c r="I36" s="31">
        <f>[1]May_2026!$O40</f>
        <v>4</v>
      </c>
      <c r="J36" s="32">
        <f>[1]May_2026!$R40</f>
        <v>54.971830985915489</v>
      </c>
      <c r="K36" s="32">
        <f>[1]May_2026!$F40</f>
        <v>199</v>
      </c>
      <c r="L36" s="1167"/>
      <c r="M36" s="169">
        <f>[2]May!$G40</f>
        <v>2.0368055555555555</v>
      </c>
      <c r="N36" s="32">
        <f>[2]May!$AD40</f>
        <v>259</v>
      </c>
      <c r="O36" s="406">
        <f>[2]May!$I40</f>
        <v>64</v>
      </c>
      <c r="P36" s="32">
        <f>[1]May_2026!$I40</f>
        <v>0</v>
      </c>
      <c r="Q36" s="608">
        <f>[1]May_2026!$Q40</f>
        <v>6.6673913043478263</v>
      </c>
      <c r="R36" s="1020"/>
      <c r="S36" s="586">
        <f t="shared" si="2"/>
        <v>0.55378066804611281</v>
      </c>
      <c r="T36" s="1162"/>
      <c r="U36" s="946">
        <f>[1]May_2026!$T40</f>
        <v>0</v>
      </c>
      <c r="V36" s="1164" t="s">
        <v>1173</v>
      </c>
      <c r="W36" s="1164"/>
      <c r="X36" s="1164"/>
      <c r="Y36" s="1164"/>
      <c r="Z36" s="1164"/>
      <c r="AA36" s="1164"/>
      <c r="AB36" s="1164"/>
    </row>
    <row r="37" spans="2:28" s="19" customFormat="1" ht="104.25" customHeight="1" thickBot="1" x14ac:dyDescent="0.25">
      <c r="B37" s="168">
        <f>[1]May_2026!$B41</f>
        <v>46164</v>
      </c>
      <c r="C37" s="26" t="str">
        <f>[1]May_2026!$D41</f>
        <v>CARIBE ROSE'</v>
      </c>
      <c r="D37" s="27"/>
      <c r="E37" s="28">
        <f>[2]May!$E41</f>
        <v>1.0152777777777777</v>
      </c>
      <c r="F37" s="29">
        <f>[1]May_2026!$K41</f>
        <v>165.2</v>
      </c>
      <c r="G37" s="30">
        <f>[1]May_2026!$G41</f>
        <v>2402</v>
      </c>
      <c r="H37" s="29">
        <f>[1]May_2026!$L41</f>
        <v>158.53200000000001</v>
      </c>
      <c r="I37" s="31">
        <f>[1]May_2026!$O41</f>
        <v>3</v>
      </c>
      <c r="J37" s="32">
        <f>[1]May_2026!$R41</f>
        <v>123.17948717948718</v>
      </c>
      <c r="K37" s="32">
        <f>[1]May_2026!$F41</f>
        <v>482</v>
      </c>
      <c r="L37" s="1167">
        <f>[1]May_2026!$E41</f>
        <v>1170</v>
      </c>
      <c r="M37" s="169">
        <f>[2]May!$G41</f>
        <v>1.4340277777777777</v>
      </c>
      <c r="N37" s="32">
        <f>[2]May!$AD41</f>
        <v>171</v>
      </c>
      <c r="O37" s="406">
        <f>[2]May!$I41</f>
        <v>32</v>
      </c>
      <c r="P37" s="32">
        <f>[1]May_2026!$I41</f>
        <v>0</v>
      </c>
      <c r="Q37" s="608">
        <f>[1]May_2026!$Q41</f>
        <v>4.0363196125907859</v>
      </c>
      <c r="R37" s="995">
        <f>($G37+G38+G39)/(($L37/60)*AD$3*(1/24))</f>
        <v>0.3790045248868778</v>
      </c>
      <c r="S37" s="586">
        <f t="shared" si="2"/>
        <v>0.42212350500366125</v>
      </c>
      <c r="T37" s="1161">
        <f>(1245-((N37+N38+N39)-[2]May!$I$41-[2]May!$I$42-[2]May!$I$43-[2]May!$J$43-[2]May!$Z$42-[2]May!$AB$43))/1245</f>
        <v>0.81204819277108431</v>
      </c>
      <c r="U37" s="945">
        <f>[1]May_2026!$T41</f>
        <v>2.2578313253012045E-2</v>
      </c>
      <c r="V37" s="1164" t="s">
        <v>1175</v>
      </c>
      <c r="W37" s="1164"/>
      <c r="X37" s="1164"/>
      <c r="Y37" s="1164"/>
      <c r="Z37" s="1164"/>
      <c r="AA37" s="1164"/>
      <c r="AB37" s="1164"/>
    </row>
    <row r="38" spans="2:28" s="19" customFormat="1" ht="116.25" customHeight="1" thickBot="1" x14ac:dyDescent="0.25">
      <c r="B38" s="168">
        <f>[1]May_2026!$B42</f>
        <v>46164</v>
      </c>
      <c r="C38" s="26" t="str">
        <f>[1]May_2026!$D42</f>
        <v>ORIGINAL TING</v>
      </c>
      <c r="D38" s="27"/>
      <c r="E38" s="28">
        <f>[2]May!$E42</f>
        <v>1.4166666666666667</v>
      </c>
      <c r="F38" s="29">
        <f>[1]May_2026!$K42</f>
        <v>118.80000000000001</v>
      </c>
      <c r="G38" s="30">
        <f>[1]May_2026!$G42</f>
        <v>1771</v>
      </c>
      <c r="H38" s="29">
        <f>[1]May_2026!$L42</f>
        <v>116.88600000000001</v>
      </c>
      <c r="I38" s="31">
        <f>[1]May_2026!$O42</f>
        <v>3</v>
      </c>
      <c r="J38" s="32">
        <f>[1]May_2026!$R42</f>
        <v>90.820512820512818</v>
      </c>
      <c r="K38" s="32">
        <f>[1]May_2026!$F42</f>
        <v>322</v>
      </c>
      <c r="L38" s="1167"/>
      <c r="M38" s="169">
        <f>[2]May!$G42</f>
        <v>1.6972222222222222</v>
      </c>
      <c r="N38" s="32">
        <f>[2]May!$AD42</f>
        <v>184</v>
      </c>
      <c r="O38" s="406">
        <f>[2]May!$I42</f>
        <v>70</v>
      </c>
      <c r="P38" s="32">
        <f>[1]May_2026!$I42</f>
        <v>0</v>
      </c>
      <c r="Q38" s="608">
        <f>[1]May_2026!$Q42</f>
        <v>1.611111111111112</v>
      </c>
      <c r="R38" s="996"/>
      <c r="S38" s="586">
        <f t="shared" si="2"/>
        <v>0.46588235294117653</v>
      </c>
      <c r="T38" s="1163"/>
      <c r="U38" s="946">
        <f>[1]May_2026!$T42</f>
        <v>0</v>
      </c>
      <c r="V38" s="1164" t="s">
        <v>1176</v>
      </c>
      <c r="W38" s="1164"/>
      <c r="X38" s="1164"/>
      <c r="Y38" s="1164"/>
      <c r="Z38" s="1164"/>
      <c r="AA38" s="1164"/>
      <c r="AB38" s="1164"/>
    </row>
    <row r="39" spans="2:28" s="19" customFormat="1" ht="79.5" customHeight="1" thickBot="1" x14ac:dyDescent="0.25">
      <c r="B39" s="168">
        <f>[1]May_2026!$B43</f>
        <v>46164</v>
      </c>
      <c r="C39" s="26" t="str">
        <f>[1]May_2026!$D43</f>
        <v>CARIB AMBER</v>
      </c>
      <c r="D39" s="27">
        <v>5600</v>
      </c>
      <c r="E39" s="28">
        <f>[2]May!$E43</f>
        <v>1.7277777777777779</v>
      </c>
      <c r="F39" s="29">
        <f>[1]May_2026!$K43</f>
        <v>72.199999999999989</v>
      </c>
      <c r="G39" s="30">
        <f>[1]May_2026!$G43</f>
        <v>1062</v>
      </c>
      <c r="H39" s="29">
        <f>[1]May_2026!$L43</f>
        <v>70.091999999999999</v>
      </c>
      <c r="I39" s="31">
        <f>[1]May_2026!$O43</f>
        <v>3</v>
      </c>
      <c r="J39" s="32">
        <f>[1]May_2026!$R43</f>
        <v>54.46153846153846</v>
      </c>
      <c r="K39" s="32">
        <f>[1]May_2026!$F43</f>
        <v>131</v>
      </c>
      <c r="L39" s="1167"/>
      <c r="M39" s="169">
        <f>[2]May!$G43</f>
        <v>1.8645833333333333</v>
      </c>
      <c r="N39" s="32">
        <f>[2]May!$AD43</f>
        <v>110</v>
      </c>
      <c r="O39" s="406">
        <f>[2]May!$I43</f>
        <v>75</v>
      </c>
      <c r="P39" s="32">
        <f>[1]May_2026!$I43</f>
        <v>0</v>
      </c>
      <c r="Q39" s="608">
        <f>[1]May_2026!$Q43</f>
        <v>2.9196675900276872</v>
      </c>
      <c r="R39" s="1020"/>
      <c r="S39" s="586">
        <f t="shared" si="2"/>
        <v>0.68669959586888196</v>
      </c>
      <c r="T39" s="1162"/>
      <c r="U39" s="946">
        <f>[1]May_2026!$T43</f>
        <v>0</v>
      </c>
      <c r="V39" s="1164" t="s">
        <v>1174</v>
      </c>
      <c r="W39" s="1164"/>
      <c r="X39" s="1164"/>
      <c r="Y39" s="1164"/>
      <c r="Z39" s="1164"/>
      <c r="AA39" s="1164"/>
      <c r="AB39" s="1164"/>
    </row>
    <row r="40" spans="2:28" s="19" customFormat="1" ht="55.5" customHeight="1" thickBot="1" x14ac:dyDescent="0.25">
      <c r="B40" s="168">
        <f>[1]May_2026!$B44</f>
        <v>46168</v>
      </c>
      <c r="C40" s="26" t="str">
        <f>[1]May_2026!$D44</f>
        <v>CARIB AMBER</v>
      </c>
      <c r="D40" s="27">
        <v>8400</v>
      </c>
      <c r="E40" s="28">
        <f>[2]May!$E44</f>
        <v>0.53125</v>
      </c>
      <c r="F40" s="29">
        <f>[1]May_2026!$K44</f>
        <v>319</v>
      </c>
      <c r="G40" s="30">
        <f>[1]May_2026!$G44</f>
        <v>4705</v>
      </c>
      <c r="H40" s="29">
        <f>[1]May_2026!$L44</f>
        <v>310.53000000000003</v>
      </c>
      <c r="I40" s="31">
        <f>[1]May_2026!$O44</f>
        <v>8</v>
      </c>
      <c r="J40" s="32">
        <f>[1]May_2026!$R44</f>
        <v>291.0309278350515</v>
      </c>
      <c r="K40" s="32">
        <f>[1]May_2026!$F44</f>
        <v>485</v>
      </c>
      <c r="L40" s="464">
        <f>[1]May_2026!$E44</f>
        <v>970</v>
      </c>
      <c r="M40" s="169">
        <f>[2]May!$G44</f>
        <v>1.0333333333333334</v>
      </c>
      <c r="N40" s="32">
        <f>[2]May!$AD44</f>
        <v>384</v>
      </c>
      <c r="O40" s="406">
        <f>[2]May!$I44</f>
        <v>0</v>
      </c>
      <c r="P40" s="32">
        <f>[1]May_2026!$I44</f>
        <v>0</v>
      </c>
      <c r="Q40" s="608">
        <f>[1]May_2026!$Q44</f>
        <v>2.6551724137930943</v>
      </c>
      <c r="R40" s="653">
        <f>($G40)/(($L40/60)*AD$3*(1/24))</f>
        <v>0.41086719223771978</v>
      </c>
      <c r="S40" s="586">
        <f>($G40)*24/(($K40)/60)/$AD$3</f>
        <v>0.82173438447543956</v>
      </c>
      <c r="T40" s="665">
        <f>(1068-((N40)-[2]May!$Z$44-[2]May!$J$44))/1068</f>
        <v>0.81554307116104874</v>
      </c>
      <c r="U40" s="945">
        <f>[1]May_2026!$T44</f>
        <v>3.6549228185549371E-2</v>
      </c>
      <c r="V40" s="1164" t="s">
        <v>1177</v>
      </c>
      <c r="W40" s="1164"/>
      <c r="X40" s="1164"/>
      <c r="Y40" s="1164"/>
      <c r="Z40" s="1164"/>
      <c r="AA40" s="1164"/>
      <c r="AB40" s="1164"/>
    </row>
    <row r="41" spans="2:28" s="19" customFormat="1" ht="107.25" customHeight="1" thickBot="1" x14ac:dyDescent="0.25">
      <c r="B41" s="168">
        <f>[1]May_2026!$B45</f>
        <v>46169</v>
      </c>
      <c r="C41" s="26" t="str">
        <f>[1]May_2026!$D45</f>
        <v>CARIB AMBER</v>
      </c>
      <c r="D41" s="27"/>
      <c r="E41" s="28">
        <f>[2]May!$E45</f>
        <v>1.0055555555555555</v>
      </c>
      <c r="F41" s="29">
        <f>[1]May_2026!$K45</f>
        <v>370.1</v>
      </c>
      <c r="G41" s="30">
        <f>[1]May_2026!$G45</f>
        <v>5142</v>
      </c>
      <c r="H41" s="29">
        <f>[1]May_2026!$L45</f>
        <v>362.17200000000003</v>
      </c>
      <c r="I41" s="31">
        <f>[1]May_2026!$O45</f>
        <v>19</v>
      </c>
      <c r="J41" s="32">
        <f>[1]May_2026!$R45</f>
        <v>215.44692737430168</v>
      </c>
      <c r="K41" s="32">
        <f>[1]May_2026!$F45</f>
        <v>1106</v>
      </c>
      <c r="L41" s="1148">
        <f>[1]May_2026!$E45</f>
        <v>1432</v>
      </c>
      <c r="M41" s="169">
        <f>[2]May!$G45</f>
        <v>0</v>
      </c>
      <c r="N41" s="32">
        <f>[2]May!$AD45</f>
        <v>430</v>
      </c>
      <c r="O41" s="406">
        <f>[2]May!$I45</f>
        <v>0</v>
      </c>
      <c r="P41" s="32">
        <f>[1]May_2026!$I45</f>
        <v>0</v>
      </c>
      <c r="Q41" s="608">
        <f>[1]May_2026!$Q45</f>
        <v>2.1421237503377455</v>
      </c>
      <c r="R41" s="995">
        <f>($G41+G42)/(($L41/60)*AD$3*(1/24))</f>
        <v>0.38786066381860007</v>
      </c>
      <c r="S41" s="586">
        <f t="shared" ref="S41:S42" si="3">($G41)*24/(($K41)/60)/$AD$3</f>
        <v>0.39381342410381875</v>
      </c>
      <c r="T41" s="1161">
        <f>(1474-((N41+N42)-[2]May!$I$45-[2]May!$J$45-[2]May!$AB$45))/1474</f>
        <v>0.65875169606512896</v>
      </c>
      <c r="U41" s="945">
        <f>[1]May_2026!$T45</f>
        <v>2.4913480998900471E-2</v>
      </c>
      <c r="V41" s="1164" t="s">
        <v>1179</v>
      </c>
      <c r="W41" s="1164"/>
      <c r="X41" s="1164"/>
      <c r="Y41" s="1164"/>
      <c r="Z41" s="1164"/>
      <c r="AA41" s="1164"/>
      <c r="AB41" s="1164"/>
    </row>
    <row r="42" spans="2:28" s="19" customFormat="1" ht="69.75" customHeight="1" thickBot="1" x14ac:dyDescent="0.25">
      <c r="B42" s="168">
        <f>[1]May_2026!$B46</f>
        <v>46169</v>
      </c>
      <c r="C42" s="26" t="str">
        <f>[1]May_2026!$D46</f>
        <v>STARMALT</v>
      </c>
      <c r="D42" s="27">
        <v>2800</v>
      </c>
      <c r="E42" s="28">
        <f>[2]May!$E46</f>
        <v>1.8541666666666667</v>
      </c>
      <c r="F42" s="29">
        <f>[1]May_2026!$K46</f>
        <v>98</v>
      </c>
      <c r="G42" s="30">
        <f>[1]May_2026!$G46</f>
        <v>1415</v>
      </c>
      <c r="H42" s="29">
        <f>[1]May_2026!$L46</f>
        <v>93.39</v>
      </c>
      <c r="I42" s="31">
        <f>[1]May_2026!$O46</f>
        <v>4</v>
      </c>
      <c r="J42" s="32">
        <f>[1]May_2026!$R46</f>
        <v>59.287709497206706</v>
      </c>
      <c r="K42" s="32">
        <f>[1]May_2026!$F46</f>
        <v>210</v>
      </c>
      <c r="L42" s="999"/>
      <c r="M42" s="169">
        <f>[2]May!$G46</f>
        <v>2.0236111111111112</v>
      </c>
      <c r="N42" s="32">
        <f>[2]May!$AD46</f>
        <v>108</v>
      </c>
      <c r="O42" s="406">
        <f>[2]May!$I46</f>
        <v>31</v>
      </c>
      <c r="P42" s="32">
        <f>[1]May_2026!$I46</f>
        <v>0</v>
      </c>
      <c r="Q42" s="608">
        <f>[1]May_2026!$Q46</f>
        <v>4.704081632653061</v>
      </c>
      <c r="R42" s="1020"/>
      <c r="S42" s="586">
        <f t="shared" si="3"/>
        <v>0.5707563025210084</v>
      </c>
      <c r="T42" s="1162"/>
      <c r="U42" s="945">
        <f>[1]May_2026!$T46</f>
        <v>2.4798452768729638E-2</v>
      </c>
      <c r="V42" s="1164" t="s">
        <v>1178</v>
      </c>
      <c r="W42" s="1164"/>
      <c r="X42" s="1164"/>
      <c r="Y42" s="1164"/>
      <c r="Z42" s="1164"/>
      <c r="AA42" s="1164"/>
      <c r="AB42" s="1164"/>
    </row>
    <row r="43" spans="2:28" s="19" customFormat="1" ht="57" customHeight="1" thickBot="1" x14ac:dyDescent="0.25">
      <c r="B43" s="168">
        <f>[1]May_2026!$B47</f>
        <v>46170</v>
      </c>
      <c r="C43" s="26" t="str">
        <f>[1]May_2026!$D47</f>
        <v>STARMALT</v>
      </c>
      <c r="D43" s="27"/>
      <c r="E43" s="28">
        <f>[2]May!$E47</f>
        <v>1.0034722222222223</v>
      </c>
      <c r="F43" s="29">
        <f>[1]May_2026!$K47</f>
        <v>101</v>
      </c>
      <c r="G43" s="30">
        <f>[1]May_2026!$G47</f>
        <v>1489</v>
      </c>
      <c r="H43" s="29">
        <f>[1]May_2026!$L47</f>
        <v>98.274000000000001</v>
      </c>
      <c r="I43" s="31">
        <f>[1]May_2026!$O47</f>
        <v>6</v>
      </c>
      <c r="J43" s="32">
        <f>[1]May_2026!$R47</f>
        <v>376.96202531645565</v>
      </c>
      <c r="K43" s="32">
        <f>[1]May_2026!$F47</f>
        <v>237</v>
      </c>
      <c r="L43" s="464">
        <f>[1]May_2026!$E47</f>
        <v>237</v>
      </c>
      <c r="M43" s="169">
        <f>[2]May!$G47</f>
        <v>1.1993055555555556</v>
      </c>
      <c r="N43" s="32">
        <f>[2]May!$AD47</f>
        <v>59</v>
      </c>
      <c r="O43" s="406">
        <f>[2]May!$I47</f>
        <v>0</v>
      </c>
      <c r="P43" s="32"/>
      <c r="Q43" s="608">
        <f>[1]May_2026!$Q47</f>
        <v>2.6990099009900979</v>
      </c>
      <c r="R43" s="653">
        <f>($G43)/(($L43/60)*AD$3*(1/24))</f>
        <v>0.53218168279970224</v>
      </c>
      <c r="S43" s="586">
        <f>($G43)*24/(($K43)/60)/$AD$3</f>
        <v>0.53218168279970213</v>
      </c>
      <c r="T43" s="665">
        <f>(287-((N43)-[2]May!$Z$47))/287</f>
        <v>0.81184668989547037</v>
      </c>
      <c r="U43" s="945">
        <f>[1]May_2026!$T47</f>
        <v>1.5865989356555393E-2</v>
      </c>
      <c r="V43" s="1164" t="s">
        <v>1180</v>
      </c>
      <c r="W43" s="1164"/>
      <c r="X43" s="1164"/>
      <c r="Y43" s="1164"/>
      <c r="Z43" s="1164"/>
      <c r="AA43" s="1164"/>
      <c r="AB43" s="1164"/>
    </row>
    <row r="44" spans="2:28" s="19" customFormat="1" ht="24" thickBot="1" x14ac:dyDescent="0.25">
      <c r="B44" s="168"/>
      <c r="C44" s="26"/>
      <c r="D44" s="27"/>
      <c r="E44" s="28"/>
      <c r="F44" s="871"/>
      <c r="G44" s="30"/>
      <c r="H44" s="871"/>
      <c r="I44" s="31"/>
      <c r="J44" s="32"/>
      <c r="K44" s="32"/>
      <c r="L44" s="635"/>
      <c r="M44" s="169"/>
      <c r="N44" s="32"/>
      <c r="O44" s="406"/>
      <c r="P44" s="32"/>
      <c r="Q44" s="960"/>
      <c r="R44" s="961"/>
      <c r="S44" s="586"/>
      <c r="T44" s="872"/>
      <c r="U44" s="945"/>
      <c r="V44" s="1164"/>
      <c r="W44" s="1164"/>
      <c r="X44" s="1164"/>
      <c r="Y44" s="1164"/>
      <c r="Z44" s="1164"/>
      <c r="AA44" s="1164"/>
      <c r="AB44" s="1164"/>
    </row>
    <row r="45" spans="2:28" s="19" customFormat="1" ht="24" hidden="1" thickBot="1" x14ac:dyDescent="0.25">
      <c r="B45" s="168"/>
      <c r="C45" s="26"/>
      <c r="D45" s="27"/>
      <c r="E45" s="28"/>
      <c r="F45" s="29"/>
      <c r="G45" s="30"/>
      <c r="H45" s="29"/>
      <c r="I45" s="31"/>
      <c r="J45" s="32"/>
      <c r="K45" s="32"/>
      <c r="L45" s="464"/>
      <c r="M45" s="169"/>
      <c r="N45" s="32"/>
      <c r="O45" s="406"/>
      <c r="P45" s="32"/>
      <c r="Q45" s="839"/>
      <c r="R45" s="653"/>
      <c r="S45" s="651"/>
      <c r="T45" s="653"/>
      <c r="U45" s="948"/>
      <c r="V45" s="1164"/>
      <c r="W45" s="1164"/>
      <c r="X45" s="1164"/>
      <c r="Y45" s="1164"/>
      <c r="Z45" s="1164"/>
      <c r="AA45" s="1164"/>
      <c r="AB45" s="1164"/>
    </row>
    <row r="46" spans="2:28" s="19" customFormat="1" ht="20.25" hidden="1" x14ac:dyDescent="0.2">
      <c r="B46" s="168"/>
      <c r="C46" s="26"/>
      <c r="D46" s="27"/>
      <c r="E46" s="28"/>
      <c r="F46" s="29"/>
      <c r="G46" s="30"/>
      <c r="H46" s="29"/>
      <c r="I46" s="31"/>
      <c r="J46" s="32"/>
      <c r="K46" s="32"/>
      <c r="L46" s="464"/>
      <c r="M46" s="169"/>
      <c r="N46" s="32"/>
      <c r="O46" s="406"/>
      <c r="P46" s="32"/>
      <c r="Q46" s="33"/>
      <c r="R46" s="527"/>
      <c r="S46" s="546"/>
      <c r="T46" s="697"/>
      <c r="U46" s="948"/>
      <c r="V46" s="1166"/>
      <c r="W46" s="1166"/>
      <c r="X46" s="1166"/>
      <c r="Y46" s="1166"/>
      <c r="Z46" s="1166"/>
      <c r="AA46" s="1166"/>
      <c r="AB46" s="1166"/>
    </row>
    <row r="47" spans="2:28" s="19" customFormat="1" ht="20.25" hidden="1" x14ac:dyDescent="0.2">
      <c r="B47" s="168">
        <f>[7]May_2025!B51</f>
        <v>0</v>
      </c>
      <c r="C47" s="26">
        <f>[7]May_2025!D51</f>
        <v>0</v>
      </c>
      <c r="D47" s="27"/>
      <c r="E47" s="28"/>
      <c r="F47" s="29"/>
      <c r="G47" s="30"/>
      <c r="H47" s="29"/>
      <c r="I47" s="31"/>
      <c r="J47" s="32"/>
      <c r="K47" s="32"/>
      <c r="L47" s="464"/>
      <c r="M47" s="169"/>
      <c r="N47" s="32"/>
      <c r="O47" s="406"/>
      <c r="P47" s="32"/>
      <c r="Q47" s="33"/>
      <c r="R47" s="527"/>
      <c r="S47" s="546"/>
      <c r="T47" s="697"/>
      <c r="U47" s="948"/>
      <c r="V47" s="1166"/>
      <c r="W47" s="1166"/>
      <c r="X47" s="1166"/>
      <c r="Y47" s="1166"/>
      <c r="Z47" s="1166"/>
      <c r="AA47" s="1166"/>
      <c r="AB47" s="1166"/>
    </row>
    <row r="48" spans="2:28" s="19" customFormat="1" ht="20.25" hidden="1" x14ac:dyDescent="0.2">
      <c r="B48" s="168"/>
      <c r="C48" s="26"/>
      <c r="D48" s="27"/>
      <c r="E48" s="28"/>
      <c r="F48" s="29"/>
      <c r="G48" s="30"/>
      <c r="H48" s="29"/>
      <c r="I48" s="31"/>
      <c r="J48" s="32"/>
      <c r="K48" s="32"/>
      <c r="L48" s="464"/>
      <c r="M48" s="169"/>
      <c r="N48" s="32"/>
      <c r="O48" s="406"/>
      <c r="P48" s="32"/>
      <c r="Q48" s="33"/>
      <c r="R48" s="527"/>
      <c r="S48" s="546"/>
      <c r="T48" s="697"/>
      <c r="U48" s="947"/>
      <c r="V48" s="1166"/>
      <c r="W48" s="1166"/>
      <c r="X48" s="1166"/>
      <c r="Y48" s="1166"/>
      <c r="Z48" s="1166"/>
      <c r="AA48" s="1166"/>
      <c r="AB48" s="1166"/>
    </row>
    <row r="49" spans="1:28" s="19" customFormat="1" ht="20.25" hidden="1" x14ac:dyDescent="0.2">
      <c r="B49" s="168"/>
      <c r="C49" s="26"/>
      <c r="D49" s="27"/>
      <c r="E49" s="28"/>
      <c r="F49" s="29"/>
      <c r="G49" s="30"/>
      <c r="H49" s="29"/>
      <c r="I49" s="31"/>
      <c r="J49" s="32"/>
      <c r="K49" s="32"/>
      <c r="L49" s="464"/>
      <c r="M49" s="169"/>
      <c r="N49" s="32"/>
      <c r="O49" s="406"/>
      <c r="P49" s="32"/>
      <c r="Q49" s="33"/>
      <c r="R49" s="527"/>
      <c r="S49" s="546"/>
      <c r="T49" s="697"/>
      <c r="U49" s="947"/>
      <c r="V49" s="1166"/>
      <c r="W49" s="1166"/>
      <c r="X49" s="1166"/>
      <c r="Y49" s="1166"/>
      <c r="Z49" s="1166"/>
      <c r="AA49" s="1166"/>
      <c r="AB49" s="1166"/>
    </row>
    <row r="50" spans="1:28" s="19" customFormat="1" ht="20.25" hidden="1" x14ac:dyDescent="0.2">
      <c r="B50" s="168"/>
      <c r="C50" s="26"/>
      <c r="D50" s="27"/>
      <c r="E50" s="28"/>
      <c r="F50" s="29"/>
      <c r="G50" s="30"/>
      <c r="H50" s="29"/>
      <c r="I50" s="31"/>
      <c r="J50" s="32"/>
      <c r="K50" s="32"/>
      <c r="L50" s="464"/>
      <c r="M50" s="169"/>
      <c r="N50" s="32"/>
      <c r="O50" s="406"/>
      <c r="P50" s="32"/>
      <c r="Q50" s="33"/>
      <c r="R50" s="527"/>
      <c r="S50" s="546"/>
      <c r="T50" s="697"/>
      <c r="U50" s="947"/>
      <c r="V50" s="1166"/>
      <c r="W50" s="1166"/>
      <c r="X50" s="1166"/>
      <c r="Y50" s="1166"/>
      <c r="Z50" s="1166"/>
      <c r="AA50" s="1166"/>
      <c r="AB50" s="1166"/>
    </row>
    <row r="51" spans="1:28" s="19" customFormat="1" ht="20.25" hidden="1" x14ac:dyDescent="0.2">
      <c r="B51" s="168"/>
      <c r="C51" s="26"/>
      <c r="D51" s="27"/>
      <c r="E51" s="28"/>
      <c r="F51" s="29"/>
      <c r="G51" s="30"/>
      <c r="H51" s="29"/>
      <c r="I51" s="31"/>
      <c r="J51" s="32"/>
      <c r="K51" s="32"/>
      <c r="L51" s="464"/>
      <c r="M51" s="169"/>
      <c r="N51" s="32"/>
      <c r="O51" s="406"/>
      <c r="P51" s="32"/>
      <c r="Q51" s="33"/>
      <c r="R51" s="527"/>
      <c r="S51" s="546"/>
      <c r="T51" s="697"/>
      <c r="U51" s="947"/>
      <c r="V51" s="1166"/>
      <c r="W51" s="1166"/>
      <c r="X51" s="1166"/>
      <c r="Y51" s="1166"/>
      <c r="Z51" s="1166"/>
      <c r="AA51" s="1166"/>
      <c r="AB51" s="1166"/>
    </row>
    <row r="52" spans="1:28" s="19" customFormat="1" ht="20.25" hidden="1" x14ac:dyDescent="0.2">
      <c r="B52" s="168"/>
      <c r="C52" s="26"/>
      <c r="D52" s="27"/>
      <c r="E52" s="28"/>
      <c r="F52" s="29"/>
      <c r="G52" s="30"/>
      <c r="H52" s="29"/>
      <c r="I52" s="31"/>
      <c r="J52" s="32"/>
      <c r="K52" s="32"/>
      <c r="L52" s="464"/>
      <c r="M52" s="169"/>
      <c r="N52" s="32"/>
      <c r="O52" s="406"/>
      <c r="P52" s="32"/>
      <c r="Q52" s="33"/>
      <c r="R52" s="527"/>
      <c r="S52" s="546"/>
      <c r="T52" s="697"/>
      <c r="U52" s="947"/>
      <c r="V52" s="1166"/>
      <c r="W52" s="1166"/>
      <c r="X52" s="1166"/>
      <c r="Y52" s="1166"/>
      <c r="Z52" s="1166"/>
      <c r="AA52" s="1166"/>
      <c r="AB52" s="1166"/>
    </row>
    <row r="53" spans="1:28" s="19" customFormat="1" ht="20.25" hidden="1" x14ac:dyDescent="0.2">
      <c r="B53" s="168"/>
      <c r="C53" s="26"/>
      <c r="D53" s="27"/>
      <c r="E53" s="28"/>
      <c r="F53" s="29"/>
      <c r="G53" s="30"/>
      <c r="H53" s="29"/>
      <c r="I53" s="31"/>
      <c r="J53" s="32"/>
      <c r="K53" s="32"/>
      <c r="L53" s="464"/>
      <c r="M53" s="169"/>
      <c r="N53" s="32"/>
      <c r="O53" s="406"/>
      <c r="P53" s="32"/>
      <c r="Q53" s="33"/>
      <c r="R53" s="527"/>
      <c r="S53" s="546"/>
      <c r="T53" s="697"/>
      <c r="U53" s="947"/>
      <c r="V53" s="1166"/>
      <c r="W53" s="1166"/>
      <c r="X53" s="1166"/>
      <c r="Y53" s="1166"/>
      <c r="Z53" s="1166"/>
      <c r="AA53" s="1166"/>
      <c r="AB53" s="1166"/>
    </row>
    <row r="54" spans="1:28" s="19" customFormat="1" ht="20.25" hidden="1" x14ac:dyDescent="0.2">
      <c r="B54" s="168"/>
      <c r="C54" s="26"/>
      <c r="D54" s="27"/>
      <c r="E54" s="28"/>
      <c r="F54" s="29"/>
      <c r="G54" s="30"/>
      <c r="H54" s="29"/>
      <c r="I54" s="31"/>
      <c r="J54" s="32"/>
      <c r="K54" s="32"/>
      <c r="L54" s="464"/>
      <c r="M54" s="169"/>
      <c r="N54" s="32"/>
      <c r="O54" s="406"/>
      <c r="P54" s="32"/>
      <c r="Q54" s="33"/>
      <c r="R54" s="527"/>
      <c r="S54" s="546"/>
      <c r="T54" s="697"/>
      <c r="U54" s="947"/>
      <c r="V54" s="1166"/>
      <c r="W54" s="1166"/>
      <c r="X54" s="1166"/>
      <c r="Y54" s="1166"/>
      <c r="Z54" s="1166"/>
      <c r="AA54" s="1166"/>
      <c r="AB54" s="1166"/>
    </row>
    <row r="55" spans="1:28" s="19" customFormat="1" ht="20.25" hidden="1" x14ac:dyDescent="0.2">
      <c r="B55" s="168"/>
      <c r="C55" s="26"/>
      <c r="D55" s="27"/>
      <c r="E55" s="28"/>
      <c r="F55" s="29"/>
      <c r="G55" s="30"/>
      <c r="H55" s="29"/>
      <c r="I55" s="31"/>
      <c r="J55" s="32"/>
      <c r="K55" s="32"/>
      <c r="L55" s="464"/>
      <c r="M55" s="169"/>
      <c r="N55" s="32"/>
      <c r="O55" s="406"/>
      <c r="P55" s="32"/>
      <c r="Q55" s="33"/>
      <c r="R55" s="527"/>
      <c r="S55" s="546"/>
      <c r="T55" s="697"/>
      <c r="U55" s="947"/>
      <c r="V55" s="1166"/>
      <c r="W55" s="1166"/>
      <c r="X55" s="1166"/>
      <c r="Y55" s="1166"/>
      <c r="Z55" s="1166"/>
      <c r="AA55" s="1166"/>
      <c r="AB55" s="1166"/>
    </row>
    <row r="56" spans="1:28" s="19" customFormat="1" ht="20.25" hidden="1" x14ac:dyDescent="0.2">
      <c r="B56" s="168"/>
      <c r="C56" s="26"/>
      <c r="D56" s="27"/>
      <c r="E56" s="28"/>
      <c r="F56" s="29"/>
      <c r="G56" s="30"/>
      <c r="H56" s="29"/>
      <c r="I56" s="31"/>
      <c r="J56" s="32"/>
      <c r="K56" s="32"/>
      <c r="L56" s="464"/>
      <c r="M56" s="169"/>
      <c r="N56" s="32"/>
      <c r="O56" s="406"/>
      <c r="P56" s="32"/>
      <c r="Q56" s="33"/>
      <c r="R56" s="527"/>
      <c r="S56" s="546"/>
      <c r="T56" s="697"/>
      <c r="U56" s="947"/>
      <c r="V56" s="1166"/>
      <c r="W56" s="1166"/>
      <c r="X56" s="1166"/>
      <c r="Y56" s="1166"/>
      <c r="Z56" s="1166"/>
      <c r="AA56" s="1166"/>
      <c r="AB56" s="1166"/>
    </row>
    <row r="57" spans="1:28" s="19" customFormat="1" ht="54.75" hidden="1" customHeight="1" x14ac:dyDescent="0.2">
      <c r="B57" s="168"/>
      <c r="C57" s="26"/>
      <c r="D57" s="27"/>
      <c r="E57" s="28"/>
      <c r="F57" s="29"/>
      <c r="G57" s="30"/>
      <c r="H57" s="29"/>
      <c r="I57" s="31"/>
      <c r="J57" s="32"/>
      <c r="K57" s="32"/>
      <c r="L57" s="464"/>
      <c r="M57" s="169"/>
      <c r="N57" s="32"/>
      <c r="O57" s="406"/>
      <c r="P57" s="32"/>
      <c r="Q57" s="33"/>
      <c r="R57" s="527"/>
      <c r="S57" s="546"/>
      <c r="T57" s="697"/>
      <c r="U57" s="947"/>
      <c r="V57" s="1166"/>
      <c r="W57" s="1166"/>
      <c r="X57" s="1166"/>
      <c r="Y57" s="1166"/>
      <c r="Z57" s="1166"/>
      <c r="AA57" s="1166"/>
      <c r="AB57" s="1166"/>
    </row>
    <row r="58" spans="1:28" s="19" customFormat="1" ht="10.5" hidden="1" customHeight="1" thickBot="1" x14ac:dyDescent="0.25">
      <c r="B58" s="168"/>
      <c r="C58" s="26"/>
      <c r="D58" s="27"/>
      <c r="E58" s="28"/>
      <c r="F58" s="29"/>
      <c r="G58" s="30"/>
      <c r="H58" s="29"/>
      <c r="I58" s="31"/>
      <c r="J58" s="32"/>
      <c r="K58" s="32"/>
      <c r="L58" s="464"/>
      <c r="M58" s="169"/>
      <c r="N58" s="32"/>
      <c r="O58" s="406"/>
      <c r="P58" s="32"/>
      <c r="Q58" s="33"/>
      <c r="R58" s="527"/>
      <c r="S58" s="546"/>
      <c r="T58" s="697"/>
      <c r="U58" s="958"/>
      <c r="V58" s="1171"/>
      <c r="W58" s="1171"/>
      <c r="X58" s="1171"/>
      <c r="Y58" s="1171"/>
      <c r="Z58" s="1171"/>
      <c r="AA58" s="1171"/>
      <c r="AB58" s="1171"/>
    </row>
    <row r="59" spans="1:28" s="19" customFormat="1" ht="78" customHeight="1" thickBot="1" x14ac:dyDescent="0.25">
      <c r="B59" s="240" t="s">
        <v>3</v>
      </c>
      <c r="C59" s="241"/>
      <c r="D59" s="242">
        <f>SUM(D4:D58)</f>
        <v>127867</v>
      </c>
      <c r="E59" s="243">
        <f>AVERAGE(E4:E58)</f>
        <v>1.2569444444444442</v>
      </c>
      <c r="F59" s="582">
        <f>SUM(F4:F58)</f>
        <v>9007.6</v>
      </c>
      <c r="G59" s="242">
        <f>SUM(G4:G58)</f>
        <v>132429</v>
      </c>
      <c r="H59" s="244">
        <f>SUM(H4:H58)</f>
        <v>8831.3336000000018</v>
      </c>
      <c r="I59" s="245">
        <f>SUM(I4:I58)</f>
        <v>337.2</v>
      </c>
      <c r="J59" s="245">
        <f>G59/(L59/60)</f>
        <v>317.35990733714101</v>
      </c>
      <c r="K59" s="242">
        <f>SUM(K4:K58)</f>
        <v>19553</v>
      </c>
      <c r="L59" s="466">
        <f>SUM(L4:L58)</f>
        <v>25037</v>
      </c>
      <c r="M59" s="246">
        <f>AVERAGE(M4:M58)</f>
        <v>1.2603819444444442</v>
      </c>
      <c r="N59" s="242">
        <f>SUM(N4:N58)</f>
        <v>8474</v>
      </c>
      <c r="O59" s="245">
        <f>SUM(O4:O58)</f>
        <v>1330</v>
      </c>
      <c r="P59" s="245">
        <f>SUM(P4:P58)</f>
        <v>653.18000000000006</v>
      </c>
      <c r="Q59" s="292">
        <f>(F59-H59)/F59</f>
        <v>1.9568630933877902E-2</v>
      </c>
      <c r="R59" s="875">
        <f>($G59)/(($L59/60)*AD3*(1/24))</f>
        <v>0.44803751624066968</v>
      </c>
      <c r="S59" s="739">
        <f>(G59)*24/((K59)/60)/AD3</f>
        <v>0.5736979130628368</v>
      </c>
      <c r="T59" s="904">
        <f>(26209-((N59)-[2]May!$H$63-[2]May!$I$63-[2]May!$J$63-[2]May!$K$63-[2]May!$L$63-[2]May!$M$63-[2]May!$N$63-[2]May!$Z$63-[2]May!$AA$63-[2]May!$AB$63-[2]May!$AC$63))/26209</f>
        <v>0.82013812049296042</v>
      </c>
      <c r="U59" s="959">
        <f>SUM(U4:U58)</f>
        <v>0.95675832697304575</v>
      </c>
      <c r="V59" s="1011"/>
      <c r="W59" s="1011"/>
      <c r="X59" s="1011"/>
      <c r="Y59" s="1011"/>
      <c r="Z59" s="1011"/>
      <c r="AA59" s="1011"/>
      <c r="AB59" s="1012"/>
    </row>
    <row r="60" spans="1:28" s="656" customFormat="1" ht="65.099999999999994" customHeight="1" thickTop="1" x14ac:dyDescent="0.2">
      <c r="B60" s="657" t="s">
        <v>861</v>
      </c>
      <c r="C60" s="658"/>
      <c r="D60" s="641"/>
      <c r="E60" s="659"/>
      <c r="F60" s="660"/>
      <c r="G60" s="641"/>
      <c r="H60" s="660"/>
      <c r="I60" s="661"/>
      <c r="J60" s="661">
        <v>350</v>
      </c>
      <c r="K60" s="641"/>
      <c r="L60" s="641"/>
      <c r="M60" s="642"/>
      <c r="N60" s="641"/>
      <c r="O60" s="643"/>
      <c r="P60" s="644"/>
      <c r="Q60" s="668">
        <v>1.7999999999999999E-2</v>
      </c>
      <c r="R60" s="666">
        <v>0.56000000000000005</v>
      </c>
      <c r="S60" s="666">
        <v>0.66</v>
      </c>
      <c r="T60" s="667">
        <v>0.8</v>
      </c>
      <c r="U60" s="1"/>
      <c r="V60" s="662"/>
      <c r="W60" s="662"/>
      <c r="X60" s="662"/>
      <c r="Y60" s="662"/>
      <c r="Z60" s="662"/>
      <c r="AA60" s="662"/>
      <c r="AB60" s="662"/>
    </row>
    <row r="61" spans="1:28" s="271" customFormat="1" ht="12" hidden="1" customHeight="1" x14ac:dyDescent="0.3">
      <c r="A61" s="274"/>
      <c r="B61" s="260"/>
      <c r="C61" s="260"/>
      <c r="D61" s="261"/>
      <c r="E61" s="262"/>
      <c r="F61" s="263"/>
      <c r="G61" s="261"/>
      <c r="H61" s="263"/>
      <c r="I61" s="264"/>
      <c r="J61" s="264"/>
      <c r="K61" s="261"/>
      <c r="L61" s="261"/>
      <c r="M61" s="265"/>
      <c r="N61" s="261"/>
      <c r="O61" s="266"/>
      <c r="P61" s="264"/>
      <c r="Q61" s="267"/>
      <c r="R61" s="268"/>
      <c r="S61" s="268"/>
      <c r="T61" s="269"/>
      <c r="U61" s="1"/>
      <c r="V61" s="270"/>
      <c r="W61" s="270"/>
      <c r="X61" s="270"/>
      <c r="Y61" s="270"/>
      <c r="Z61" s="270"/>
      <c r="AA61" s="270"/>
      <c r="AB61" s="270"/>
    </row>
    <row r="62" spans="1:28" ht="23.25" x14ac:dyDescent="0.35">
      <c r="C62" s="479"/>
      <c r="D62" s="470"/>
      <c r="E62" s="1010"/>
      <c r="F62" s="1010"/>
      <c r="G62" s="470"/>
      <c r="H62" s="476"/>
      <c r="I62" s="476"/>
      <c r="J62" s="472"/>
      <c r="K62" s="478"/>
      <c r="P62"/>
      <c r="V62" s="17"/>
    </row>
    <row r="63" spans="1:28" s="1" customFormat="1" ht="23.25" x14ac:dyDescent="0.3">
      <c r="D63" s="8"/>
      <c r="G63" s="470"/>
      <c r="H63" s="467"/>
      <c r="J63"/>
      <c r="K63"/>
      <c r="L63"/>
      <c r="M63"/>
      <c r="N63"/>
      <c r="O63" s="392"/>
      <c r="P63" s="2"/>
      <c r="R63"/>
      <c r="S63"/>
      <c r="V63"/>
    </row>
    <row r="64" spans="1:28" s="478" customFormat="1" ht="24.75" customHeight="1" x14ac:dyDescent="0.4">
      <c r="B64" s="489"/>
      <c r="C64" s="469" t="s">
        <v>849</v>
      </c>
      <c r="D64" s="820">
        <v>86200</v>
      </c>
      <c r="E64" s="1010" t="s">
        <v>559</v>
      </c>
      <c r="F64" s="1010"/>
      <c r="G64" s="470">
        <f>D64-G59</f>
        <v>-46229</v>
      </c>
      <c r="H64" s="469" t="s">
        <v>327</v>
      </c>
      <c r="I64" s="471">
        <f>G59/D64</f>
        <v>1.5362993039443156</v>
      </c>
      <c r="J64" s="472">
        <v>0</v>
      </c>
      <c r="K64" s="473"/>
      <c r="L64" s="473"/>
      <c r="M64" s="473"/>
      <c r="N64" s="473"/>
      <c r="O64" s="473"/>
      <c r="P64" s="490"/>
      <c r="Q64" s="491"/>
      <c r="R64" s="492"/>
      <c r="S64" s="493"/>
      <c r="T64" s="493"/>
      <c r="U64" s="493"/>
      <c r="V64" s="494" t="s">
        <v>48</v>
      </c>
    </row>
    <row r="65" spans="2:27" s="478" customFormat="1" ht="26.25" x14ac:dyDescent="0.4">
      <c r="B65" s="489"/>
      <c r="C65" s="469" t="s">
        <v>37</v>
      </c>
      <c r="D65" s="648">
        <f>April_26!D61+D64</f>
        <v>493889</v>
      </c>
      <c r="E65" s="1010" t="s">
        <v>36</v>
      </c>
      <c r="F65" s="1010"/>
      <c r="G65" s="470">
        <f>April_26!G61+G59</f>
        <v>586992</v>
      </c>
      <c r="H65" s="469" t="s">
        <v>326</v>
      </c>
      <c r="I65" s="474">
        <v>0</v>
      </c>
      <c r="J65" s="472"/>
      <c r="K65" s="473">
        <v>0</v>
      </c>
      <c r="L65" s="473"/>
      <c r="M65" s="473"/>
      <c r="N65" s="473"/>
      <c r="O65" s="473"/>
      <c r="P65" s="490"/>
      <c r="Q65" s="491"/>
      <c r="R65" s="492"/>
      <c r="S65" s="493"/>
      <c r="T65" s="493"/>
      <c r="U65" s="901"/>
      <c r="V65" s="494"/>
    </row>
    <row r="66" spans="2:27" ht="26.25" thickBot="1" x14ac:dyDescent="0.4">
      <c r="C66" s="475"/>
      <c r="D66" s="470"/>
      <c r="E66" s="1010"/>
      <c r="F66" s="1010"/>
      <c r="G66" s="470"/>
      <c r="H66" s="476"/>
      <c r="I66" s="476"/>
      <c r="J66" s="477"/>
      <c r="K66" s="478"/>
      <c r="P66"/>
      <c r="U66" s="902"/>
      <c r="V66" s="17"/>
    </row>
    <row r="67" spans="2:27" ht="103.5" thickTop="1" thickBot="1" x14ac:dyDescent="0.25">
      <c r="B67" s="7"/>
      <c r="C67" s="495" t="s">
        <v>19</v>
      </c>
      <c r="D67" s="496" t="s">
        <v>14</v>
      </c>
      <c r="E67" s="496" t="s">
        <v>23</v>
      </c>
      <c r="F67" s="496" t="s">
        <v>24</v>
      </c>
      <c r="G67" s="497" t="s">
        <v>15</v>
      </c>
      <c r="H67" s="496" t="s">
        <v>17</v>
      </c>
      <c r="I67" s="496" t="s">
        <v>16</v>
      </c>
      <c r="J67" s="498" t="s">
        <v>600</v>
      </c>
      <c r="K67" s="499" t="s">
        <v>599</v>
      </c>
      <c r="L67" s="473"/>
      <c r="M67" s="535"/>
      <c r="P67" s="459"/>
      <c r="Q67" s="537" t="s">
        <v>325</v>
      </c>
      <c r="R67" s="538" t="s">
        <v>467</v>
      </c>
      <c r="S67" s="539" t="s">
        <v>324</v>
      </c>
      <c r="T67" s="524" t="s">
        <v>576</v>
      </c>
    </row>
    <row r="68" spans="2:27" ht="36" customHeight="1" thickBot="1" x14ac:dyDescent="0.45">
      <c r="B68" s="8"/>
      <c r="C68" s="500">
        <v>1</v>
      </c>
      <c r="D68" s="501" t="s">
        <v>20</v>
      </c>
      <c r="E68" s="502"/>
      <c r="F68" s="502"/>
      <c r="G68" s="502"/>
      <c r="H68" s="502"/>
      <c r="I68" s="503" t="e">
        <f t="shared" ref="I68:I74" si="4">(G68-H68)/G68</f>
        <v>#DIV/0!</v>
      </c>
      <c r="J68" s="507" t="e">
        <f t="shared" ref="J68:J74" si="5">(E68)*24/(F68/60)/17000</f>
        <v>#DIV/0!</v>
      </c>
      <c r="K68" s="504" t="e">
        <f>AVERAGE(January_26!K111,February_26!J68,March_26!J66,April_26!J67,J68)</f>
        <v>#DIV/0!</v>
      </c>
      <c r="L68" s="473"/>
      <c r="P68"/>
      <c r="Q68" s="540">
        <f>S80</f>
        <v>1.9238444488200092E-2</v>
      </c>
      <c r="R68" s="558">
        <f>(((January_26!R103*January_26!G103))+(February_26!R60*(February_26!G60))+(March_26!R58*(March_26!G58))+(April_26!R57*(April_26!$G$57))+(May_26!R59*(May_26!G59)))/G65</f>
        <v>0.3740584895902429</v>
      </c>
      <c r="S68" s="558">
        <f>S79</f>
        <v>0.48519838884937738</v>
      </c>
      <c r="T68" s="568">
        <f>AVERAGE(January_26!T103,February_26!T60,March_26!T58,April_26!T57,May_26!T59)</f>
        <v>0.70156245960823982</v>
      </c>
    </row>
    <row r="69" spans="2:27" s="1" customFormat="1" ht="27.75" x14ac:dyDescent="0.4">
      <c r="B69" s="8"/>
      <c r="C69" s="505">
        <v>2</v>
      </c>
      <c r="D69" s="506" t="s">
        <v>21</v>
      </c>
      <c r="E69" s="502"/>
      <c r="F69" s="502"/>
      <c r="G69" s="502"/>
      <c r="H69" s="502"/>
      <c r="I69" s="503" t="e">
        <f>(G69-H69)/G69</f>
        <v>#DIV/0!</v>
      </c>
      <c r="J69" s="543" t="e">
        <f t="shared" si="5"/>
        <v>#DIV/0!</v>
      </c>
      <c r="K69" s="544" t="e">
        <f>AVERAGE(January_26!K112,February_26!J69,March_26!J67,April_26!J68,J69)</f>
        <v>#DIV/0!</v>
      </c>
      <c r="L69" s="473"/>
      <c r="M69"/>
      <c r="N69" s="461"/>
      <c r="O69" s="392"/>
      <c r="P69" s="2"/>
      <c r="R69"/>
      <c r="S69"/>
      <c r="V69"/>
      <c r="AA69"/>
    </row>
    <row r="70" spans="2:27" s="1" customFormat="1" ht="27.75" x14ac:dyDescent="0.4">
      <c r="B70" s="8"/>
      <c r="C70" s="500">
        <v>3</v>
      </c>
      <c r="D70" s="506" t="s">
        <v>846</v>
      </c>
      <c r="E70" s="502"/>
      <c r="F70" s="502"/>
      <c r="G70" s="534"/>
      <c r="H70" s="534"/>
      <c r="I70" s="560" t="e">
        <f>(G70-H70)/G70</f>
        <v>#DIV/0!</v>
      </c>
      <c r="J70" s="561" t="e">
        <f t="shared" si="5"/>
        <v>#DIV/0!</v>
      </c>
      <c r="K70" s="562" t="e">
        <f>AVERAGE(January_26!K113,February_26!J70,March_26!K68,April_26!J69,J70)</f>
        <v>#DIV/0!</v>
      </c>
      <c r="L70" s="473"/>
      <c r="M70"/>
      <c r="N70"/>
      <c r="O70" s="392"/>
      <c r="P70" s="2"/>
      <c r="R70"/>
      <c r="S70"/>
      <c r="V70"/>
      <c r="AA70"/>
    </row>
    <row r="71" spans="2:27" s="1" customFormat="1" ht="27.75" x14ac:dyDescent="0.4">
      <c r="B71" s="8"/>
      <c r="C71" s="505">
        <v>4</v>
      </c>
      <c r="D71" s="506" t="s">
        <v>18</v>
      </c>
      <c r="E71" s="510"/>
      <c r="F71" s="510"/>
      <c r="G71" s="510"/>
      <c r="H71" s="510"/>
      <c r="I71" s="552" t="e">
        <f>(G71-H71)/G71</f>
        <v>#DIV/0!</v>
      </c>
      <c r="J71" s="543" t="e">
        <f t="shared" si="5"/>
        <v>#DIV/0!</v>
      </c>
      <c r="K71" s="544" t="e">
        <f>AVERAGE(January_26!K114,February_26!J71,March_26!J69,April_26!J70,J71)</f>
        <v>#DIV/0!</v>
      </c>
      <c r="L71" s="473"/>
      <c r="M71"/>
      <c r="N71"/>
      <c r="O71" s="392"/>
      <c r="P71" s="2"/>
      <c r="Q71" s="159"/>
      <c r="R71" s="160"/>
      <c r="S71" s="161"/>
      <c r="T71" s="234"/>
      <c r="U71" s="234"/>
      <c r="V71"/>
    </row>
    <row r="72" spans="2:27" s="1" customFormat="1" ht="27.75" x14ac:dyDescent="0.4">
      <c r="B72" s="8"/>
      <c r="C72" s="500">
        <v>5</v>
      </c>
      <c r="D72" s="509" t="s">
        <v>26</v>
      </c>
      <c r="E72" s="510"/>
      <c r="F72" s="510"/>
      <c r="G72" s="510"/>
      <c r="H72" s="510"/>
      <c r="I72" s="552" t="e">
        <f t="shared" si="4"/>
        <v>#DIV/0!</v>
      </c>
      <c r="J72" s="508" t="e">
        <f t="shared" si="5"/>
        <v>#DIV/0!</v>
      </c>
      <c r="K72" s="525" t="e">
        <f>AVERAGE(January_26!K115,February_26!J72,March_26!J70,April_26!J71,J72)</f>
        <v>#DIV/0!</v>
      </c>
      <c r="L72" s="473"/>
      <c r="M72"/>
      <c r="O72" s="392"/>
      <c r="P72" s="2"/>
      <c r="Q72" s="159"/>
      <c r="R72"/>
      <c r="S72" s="6"/>
      <c r="T72" s="10"/>
      <c r="U72" s="10"/>
      <c r="V72"/>
    </row>
    <row r="73" spans="2:27" s="1" customFormat="1" ht="27.75" x14ac:dyDescent="0.4">
      <c r="B73" s="8"/>
      <c r="C73" s="505">
        <v>6</v>
      </c>
      <c r="D73" s="506" t="s">
        <v>25</v>
      </c>
      <c r="E73" s="510"/>
      <c r="F73" s="510"/>
      <c r="G73" s="510"/>
      <c r="H73" s="510"/>
      <c r="I73" s="553" t="e">
        <f t="shared" si="4"/>
        <v>#DIV/0!</v>
      </c>
      <c r="J73" s="554" t="e">
        <f t="shared" si="5"/>
        <v>#DIV/0!</v>
      </c>
      <c r="K73" s="555" t="e">
        <f>AVERAGE(January_26!K116,February_26!J73,March_26!J71,April_26!J72,J73)</f>
        <v>#DIV/0!</v>
      </c>
      <c r="L73" s="473"/>
      <c r="M73"/>
      <c r="N73"/>
      <c r="O73" s="392"/>
      <c r="P73" s="2"/>
      <c r="Q73" s="159"/>
      <c r="R73" s="465"/>
      <c r="S73" s="139"/>
      <c r="V73"/>
    </row>
    <row r="74" spans="2:27" s="1" customFormat="1" ht="28.5" thickBot="1" x14ac:dyDescent="0.45">
      <c r="B74" s="8"/>
      <c r="C74" s="526">
        <v>7</v>
      </c>
      <c r="D74" s="509" t="s">
        <v>847</v>
      </c>
      <c r="E74" s="510"/>
      <c r="F74" s="510"/>
      <c r="G74" s="510"/>
      <c r="H74" s="510"/>
      <c r="I74" s="552" t="e">
        <f t="shared" si="4"/>
        <v>#DIV/0!</v>
      </c>
      <c r="J74" s="543" t="e">
        <f t="shared" si="5"/>
        <v>#DIV/0!</v>
      </c>
      <c r="K74" s="544" t="e">
        <f>AVERAGE(January_26!K117,February_26!J74,March_26!J72,April_26!J73,J74)</f>
        <v>#DIV/0!</v>
      </c>
      <c r="L74" s="473"/>
      <c r="M74"/>
      <c r="N74"/>
      <c r="O74" s="392"/>
      <c r="P74" s="2"/>
      <c r="Q74" s="159"/>
      <c r="R74" s="465"/>
      <c r="S74" s="139"/>
      <c r="V74"/>
    </row>
    <row r="75" spans="2:27" s="1" customFormat="1" ht="28.5" thickBot="1" x14ac:dyDescent="0.45">
      <c r="C75" s="511"/>
      <c r="D75" s="512" t="s">
        <v>22</v>
      </c>
      <c r="E75" s="513"/>
      <c r="F75" s="513"/>
      <c r="G75" s="513"/>
      <c r="H75" s="513"/>
      <c r="I75" s="551" t="e">
        <f>((G75)-(H75))/(G75)</f>
        <v>#DIV/0!</v>
      </c>
      <c r="J75" s="514" t="e">
        <f>E75*24/((F75)/60)/17000</f>
        <v>#DIV/0!</v>
      </c>
      <c r="K75" s="515">
        <f>S68</f>
        <v>0.48519838884937738</v>
      </c>
      <c r="L75" s="473"/>
      <c r="M75"/>
      <c r="N75"/>
      <c r="O75" s="392"/>
      <c r="P75" s="139" t="s">
        <v>845</v>
      </c>
      <c r="Q75" s="159"/>
      <c r="R75"/>
      <c r="S75" s="465"/>
      <c r="V75"/>
    </row>
    <row r="76" spans="2:27" s="1" customFormat="1" ht="24" thickTop="1" x14ac:dyDescent="0.35">
      <c r="C76" s="479"/>
      <c r="D76" s="469"/>
      <c r="E76" s="480"/>
      <c r="F76" s="481"/>
      <c r="G76" s="482"/>
      <c r="H76" s="482"/>
      <c r="I76" s="483"/>
      <c r="J76" s="483"/>
      <c r="K76" s="483"/>
      <c r="L76" s="473"/>
      <c r="M76"/>
      <c r="N76"/>
      <c r="O76" s="392"/>
      <c r="P76" s="139"/>
      <c r="Q76" s="159"/>
      <c r="R76"/>
      <c r="S76"/>
      <c r="V76"/>
      <c r="W76" s="316"/>
      <c r="X76" s="317"/>
      <c r="Y76" s="317"/>
      <c r="Z76" s="317"/>
    </row>
    <row r="77" spans="2:27" s="1" customFormat="1" ht="12.75" customHeight="1" thickBot="1" x14ac:dyDescent="0.25">
      <c r="J77"/>
      <c r="K77"/>
      <c r="L77"/>
      <c r="M77"/>
      <c r="N77"/>
      <c r="O77" s="392"/>
      <c r="P77" s="2"/>
      <c r="V77" s="9"/>
    </row>
    <row r="78" spans="2:27" s="1" customFormat="1" ht="27.75" customHeight="1" thickBot="1" x14ac:dyDescent="0.3">
      <c r="C78" s="528"/>
      <c r="D78" s="528"/>
      <c r="E78" s="528"/>
      <c r="F78" s="528"/>
      <c r="G78" s="528"/>
      <c r="H78" s="528"/>
      <c r="I78" s="528"/>
      <c r="J78" s="529"/>
      <c r="K78" s="529"/>
      <c r="L78" s="529"/>
      <c r="M78" s="529"/>
      <c r="N78" s="529"/>
      <c r="O78" s="529"/>
      <c r="P78" s="530"/>
      <c r="Q78" s="528"/>
      <c r="R78"/>
      <c r="S78" s="128">
        <f>($P$79)*24/($Q$79/60)/17000</f>
        <v>0.48519838884937738</v>
      </c>
      <c r="V78" s="9"/>
    </row>
    <row r="79" spans="2:27" s="1" customFormat="1" ht="21" customHeight="1" thickTop="1" thickBot="1" x14ac:dyDescent="0.3">
      <c r="C79" s="528"/>
      <c r="D79" s="528"/>
      <c r="E79" s="528"/>
      <c r="F79" s="528"/>
      <c r="G79" s="528"/>
      <c r="H79" s="528"/>
      <c r="I79" s="528"/>
      <c r="J79" s="529"/>
      <c r="K79" s="529"/>
      <c r="L79" s="529"/>
      <c r="M79" s="529"/>
      <c r="N79" s="529"/>
      <c r="O79" s="529"/>
      <c r="P79" s="530">
        <f>G65</f>
        <v>586992</v>
      </c>
      <c r="Q79" s="531">
        <f>April_26!K57+March_26!K58+February_26!K60+January_26!K103+K59</f>
        <v>102477</v>
      </c>
      <c r="R79"/>
      <c r="S79" s="128">
        <f>($P$79)*24/($Q$79/60)/17000</f>
        <v>0.48519838884937738</v>
      </c>
      <c r="V79" s="9"/>
    </row>
    <row r="80" spans="2:27" s="1" customFormat="1" ht="21" customHeight="1" thickTop="1" thickBot="1" x14ac:dyDescent="0.35">
      <c r="C80" s="528"/>
      <c r="D80" s="528"/>
      <c r="E80" s="528"/>
      <c r="F80" s="528"/>
      <c r="G80" s="528"/>
      <c r="H80" s="528"/>
      <c r="I80" s="528"/>
      <c r="J80" s="529"/>
      <c r="K80" s="529"/>
      <c r="L80" s="529"/>
      <c r="M80" s="529"/>
      <c r="N80" s="529"/>
      <c r="O80" s="529"/>
      <c r="P80" s="530">
        <f>April_26!F57+March_26!F58+February_26!F60+January_26!F103+F59</f>
        <v>39780.775440000005</v>
      </c>
      <c r="Q80" s="532">
        <f>April_26!H57+March_26!H58+February_26!H60+January_26!H103+H59</f>
        <v>39015.455200000011</v>
      </c>
      <c r="R80"/>
      <c r="S80" s="87">
        <f>(P80-Q80)/P80</f>
        <v>1.9238444488200092E-2</v>
      </c>
      <c r="T80" s="463"/>
      <c r="U80" s="463"/>
      <c r="V80" s="9"/>
    </row>
    <row r="81" spans="3:22" s="1" customFormat="1" ht="13.5" customHeight="1" thickTop="1" x14ac:dyDescent="0.25">
      <c r="C81" s="528"/>
      <c r="D81" s="528"/>
      <c r="E81" s="528"/>
      <c r="F81" s="528"/>
      <c r="G81" s="528"/>
      <c r="H81" s="528"/>
      <c r="I81" s="528"/>
      <c r="J81" s="529"/>
      <c r="K81" s="529"/>
      <c r="L81" s="529"/>
      <c r="M81" s="529"/>
      <c r="N81" s="529"/>
      <c r="O81" s="529"/>
      <c r="P81" s="530"/>
      <c r="Q81" s="528"/>
      <c r="R81"/>
      <c r="S81"/>
      <c r="V81" s="9"/>
    </row>
    <row r="82" spans="3:22" s="1" customFormat="1" x14ac:dyDescent="0.2">
      <c r="J82"/>
      <c r="K82"/>
      <c r="L82"/>
      <c r="M82"/>
      <c r="N82"/>
      <c r="O82" s="392"/>
      <c r="P82" s="2"/>
      <c r="R82"/>
      <c r="S82"/>
      <c r="V82"/>
    </row>
    <row r="83" spans="3:22" s="1" customFormat="1" x14ac:dyDescent="0.2">
      <c r="J83"/>
      <c r="K83"/>
      <c r="L83"/>
      <c r="M83"/>
      <c r="N83"/>
      <c r="O83" s="392"/>
      <c r="P83" s="2"/>
      <c r="R83"/>
      <c r="S83"/>
      <c r="V83"/>
    </row>
    <row r="84" spans="3:22" s="1" customFormat="1" x14ac:dyDescent="0.2">
      <c r="J84"/>
      <c r="K84"/>
      <c r="L84"/>
      <c r="M84"/>
      <c r="N84"/>
      <c r="O84" s="392"/>
      <c r="P84" s="2"/>
      <c r="R84"/>
      <c r="S84"/>
      <c r="V84"/>
    </row>
    <row r="85" spans="3:22" s="1" customFormat="1" x14ac:dyDescent="0.2">
      <c r="J85"/>
      <c r="K85"/>
      <c r="L85"/>
      <c r="M85"/>
      <c r="N85"/>
      <c r="O85" s="392"/>
      <c r="P85" s="2"/>
      <c r="R85"/>
      <c r="S85"/>
      <c r="V85"/>
    </row>
    <row r="86" spans="3:22" s="1" customFormat="1" x14ac:dyDescent="0.2">
      <c r="J86"/>
      <c r="K86"/>
      <c r="L86"/>
      <c r="M86"/>
      <c r="N86"/>
      <c r="O86" s="392"/>
      <c r="P86" s="2"/>
      <c r="R86"/>
      <c r="S86"/>
      <c r="V86"/>
    </row>
    <row r="87" spans="3:22" s="1" customFormat="1" x14ac:dyDescent="0.2">
      <c r="J87"/>
      <c r="K87"/>
      <c r="L87"/>
      <c r="M87"/>
      <c r="N87"/>
      <c r="O87" s="392"/>
      <c r="P87" s="2"/>
      <c r="R87"/>
      <c r="S87"/>
      <c r="V87"/>
    </row>
    <row r="88" spans="3:22" s="1" customFormat="1" x14ac:dyDescent="0.2">
      <c r="J88"/>
      <c r="K88"/>
      <c r="L88"/>
      <c r="M88"/>
      <c r="N88"/>
      <c r="O88" s="392"/>
      <c r="P88" s="2"/>
      <c r="R88"/>
      <c r="S88"/>
      <c r="V88"/>
    </row>
    <row r="89" spans="3:22" s="1" customFormat="1" x14ac:dyDescent="0.2">
      <c r="J89"/>
      <c r="K89"/>
      <c r="L89"/>
      <c r="M89"/>
      <c r="N89"/>
      <c r="O89" s="392"/>
      <c r="P89" s="2"/>
      <c r="R89"/>
      <c r="S89"/>
      <c r="V89"/>
    </row>
    <row r="90" spans="3:22" s="1" customFormat="1" x14ac:dyDescent="0.2">
      <c r="J90"/>
      <c r="K90"/>
      <c r="L90"/>
      <c r="M90"/>
      <c r="N90"/>
      <c r="O90" s="392"/>
      <c r="P90" s="2"/>
      <c r="R90"/>
      <c r="S90"/>
      <c r="V90"/>
    </row>
    <row r="91" spans="3:22" s="1" customFormat="1" x14ac:dyDescent="0.2">
      <c r="J91"/>
      <c r="K91"/>
      <c r="L91"/>
      <c r="M91"/>
      <c r="N91"/>
      <c r="O91" s="392"/>
      <c r="P91" s="2"/>
      <c r="R91"/>
      <c r="S91"/>
      <c r="V91"/>
    </row>
    <row r="92" spans="3:22" s="1" customFormat="1" x14ac:dyDescent="0.2">
      <c r="J92"/>
      <c r="K92"/>
      <c r="L92"/>
      <c r="M92"/>
      <c r="N92"/>
      <c r="O92" s="392"/>
      <c r="P92" s="2"/>
      <c r="R92"/>
      <c r="S92"/>
      <c r="V92"/>
    </row>
    <row r="93" spans="3:22" s="1" customFormat="1" x14ac:dyDescent="0.2">
      <c r="J93"/>
      <c r="K93"/>
      <c r="L93"/>
      <c r="M93"/>
      <c r="N93"/>
      <c r="O93" s="392"/>
      <c r="P93" s="2"/>
      <c r="R93"/>
      <c r="S93"/>
      <c r="V93"/>
    </row>
    <row r="94" spans="3:22" s="1" customFormat="1" x14ac:dyDescent="0.2">
      <c r="J94"/>
      <c r="K94"/>
      <c r="L94"/>
      <c r="M94"/>
      <c r="N94"/>
      <c r="O94" s="392"/>
      <c r="P94" s="2"/>
      <c r="R94"/>
      <c r="S94"/>
      <c r="V94"/>
    </row>
    <row r="95" spans="3:22" s="1" customFormat="1" x14ac:dyDescent="0.2">
      <c r="J95"/>
      <c r="K95"/>
      <c r="L95"/>
      <c r="M95"/>
      <c r="N95"/>
      <c r="O95" s="392"/>
      <c r="P95" s="2"/>
      <c r="R95"/>
      <c r="S95"/>
      <c r="V95"/>
    </row>
    <row r="96" spans="3:22" s="1" customFormat="1" x14ac:dyDescent="0.2">
      <c r="J96"/>
      <c r="K96"/>
      <c r="L96"/>
      <c r="M96"/>
      <c r="N96"/>
      <c r="O96" s="392"/>
      <c r="P96" s="2"/>
      <c r="R96"/>
      <c r="S96"/>
      <c r="V96"/>
    </row>
    <row r="97" spans="10:22" s="1" customFormat="1" x14ac:dyDescent="0.2">
      <c r="J97"/>
      <c r="K97"/>
      <c r="L97"/>
      <c r="M97"/>
      <c r="N97"/>
      <c r="O97" s="392"/>
      <c r="P97" s="2"/>
      <c r="R97"/>
      <c r="S97"/>
      <c r="V97"/>
    </row>
    <row r="98" spans="10:22" s="1" customFormat="1" x14ac:dyDescent="0.2">
      <c r="J98"/>
      <c r="K98"/>
      <c r="L98"/>
      <c r="M98"/>
      <c r="N98"/>
      <c r="O98" s="392"/>
      <c r="P98" s="2"/>
      <c r="R98"/>
      <c r="S98"/>
      <c r="V98"/>
    </row>
    <row r="99" spans="10:22" s="1" customFormat="1" x14ac:dyDescent="0.2">
      <c r="J99"/>
      <c r="K99"/>
      <c r="L99"/>
      <c r="M99"/>
      <c r="N99"/>
      <c r="O99" s="392"/>
      <c r="P99" s="2"/>
      <c r="R99"/>
      <c r="S99"/>
      <c r="V99"/>
    </row>
    <row r="100" spans="10:22" s="1" customFormat="1" x14ac:dyDescent="0.2">
      <c r="J100"/>
      <c r="K100"/>
      <c r="L100"/>
      <c r="M100"/>
      <c r="N100"/>
      <c r="O100" s="392"/>
      <c r="P100" s="2"/>
      <c r="R100"/>
      <c r="S100"/>
      <c r="V100"/>
    </row>
    <row r="101" spans="10:22" s="1" customFormat="1" x14ac:dyDescent="0.2">
      <c r="J101"/>
      <c r="K101"/>
      <c r="L101"/>
      <c r="M101"/>
      <c r="N101"/>
      <c r="O101" s="392"/>
      <c r="P101" s="2"/>
      <c r="R101"/>
      <c r="S101"/>
      <c r="V101"/>
    </row>
    <row r="102" spans="10:22" s="1" customFormat="1" x14ac:dyDescent="0.2">
      <c r="J102"/>
      <c r="K102"/>
      <c r="L102"/>
      <c r="M102"/>
      <c r="N102"/>
      <c r="O102" s="392"/>
      <c r="P102" s="2"/>
      <c r="R102"/>
      <c r="S102"/>
      <c r="V102"/>
    </row>
    <row r="103" spans="10:22" s="1" customFormat="1" x14ac:dyDescent="0.2">
      <c r="J103"/>
      <c r="K103"/>
      <c r="L103"/>
      <c r="M103"/>
      <c r="N103"/>
      <c r="O103" s="392"/>
      <c r="P103" s="2"/>
      <c r="R103"/>
      <c r="S103"/>
      <c r="V103"/>
    </row>
    <row r="104" spans="10:22" s="1" customFormat="1" x14ac:dyDescent="0.2">
      <c r="J104"/>
      <c r="K104"/>
      <c r="L104"/>
      <c r="M104"/>
      <c r="N104"/>
      <c r="O104" s="392"/>
      <c r="P104" s="2"/>
      <c r="R104"/>
      <c r="S104"/>
      <c r="V104"/>
    </row>
    <row r="105" spans="10:22" s="1" customFormat="1" x14ac:dyDescent="0.2">
      <c r="J105"/>
      <c r="K105"/>
      <c r="L105"/>
      <c r="M105"/>
      <c r="N105"/>
      <c r="O105" s="392"/>
      <c r="P105" s="2"/>
      <c r="R105"/>
      <c r="S105"/>
      <c r="V105"/>
    </row>
    <row r="106" spans="10:22" s="1" customFormat="1" x14ac:dyDescent="0.2">
      <c r="J106"/>
      <c r="K106"/>
      <c r="L106"/>
      <c r="M106"/>
      <c r="N106"/>
      <c r="O106" s="392"/>
      <c r="P106" s="2"/>
      <c r="R106"/>
      <c r="S106"/>
      <c r="V106"/>
    </row>
    <row r="107" spans="10:22" s="1" customFormat="1" x14ac:dyDescent="0.2">
      <c r="J107"/>
      <c r="K107"/>
      <c r="L107"/>
      <c r="M107"/>
      <c r="N107"/>
      <c r="O107" s="392"/>
      <c r="P107" s="2"/>
      <c r="R107"/>
      <c r="S107"/>
      <c r="V107"/>
    </row>
    <row r="108" spans="10:22" s="1" customFormat="1" x14ac:dyDescent="0.2">
      <c r="J108"/>
      <c r="K108"/>
      <c r="L108"/>
      <c r="M108"/>
      <c r="N108"/>
      <c r="O108" s="392"/>
      <c r="P108" s="2"/>
      <c r="R108"/>
      <c r="S108"/>
      <c r="V108"/>
    </row>
    <row r="109" spans="10:22" s="1" customFormat="1" x14ac:dyDescent="0.2">
      <c r="J109"/>
      <c r="K109"/>
      <c r="L109"/>
      <c r="M109"/>
      <c r="N109"/>
      <c r="O109" s="392"/>
      <c r="P109" s="2"/>
      <c r="R109"/>
      <c r="S109"/>
      <c r="V109"/>
    </row>
    <row r="110" spans="10:22" s="1" customFormat="1" x14ac:dyDescent="0.2">
      <c r="J110"/>
      <c r="K110"/>
      <c r="L110"/>
      <c r="M110"/>
      <c r="N110"/>
      <c r="O110" s="392"/>
      <c r="P110" s="2"/>
      <c r="R110"/>
      <c r="S110"/>
      <c r="V110"/>
    </row>
    <row r="111" spans="10:22" s="1" customFormat="1" x14ac:dyDescent="0.2">
      <c r="J111"/>
      <c r="K111"/>
      <c r="L111"/>
      <c r="M111"/>
      <c r="N111"/>
      <c r="O111" s="392"/>
      <c r="P111" s="2"/>
      <c r="R111"/>
      <c r="S111"/>
      <c r="V111"/>
    </row>
    <row r="112" spans="10:22" s="1" customFormat="1" x14ac:dyDescent="0.2">
      <c r="J112"/>
      <c r="K112"/>
      <c r="L112"/>
      <c r="M112"/>
      <c r="N112"/>
      <c r="O112" s="392"/>
      <c r="P112" s="2"/>
      <c r="R112"/>
      <c r="S112"/>
      <c r="V112"/>
    </row>
    <row r="113" spans="10:22" s="1" customFormat="1" x14ac:dyDescent="0.2">
      <c r="J113"/>
      <c r="K113"/>
      <c r="L113"/>
      <c r="M113"/>
      <c r="N113"/>
      <c r="O113" s="392"/>
      <c r="P113" s="2"/>
      <c r="R113"/>
      <c r="S113"/>
      <c r="V113"/>
    </row>
    <row r="114" spans="10:22" s="1" customFormat="1" x14ac:dyDescent="0.2">
      <c r="J114"/>
      <c r="K114"/>
      <c r="L114"/>
      <c r="M114"/>
      <c r="N114"/>
      <c r="O114" s="392"/>
      <c r="P114" s="2"/>
      <c r="R114"/>
      <c r="S114"/>
      <c r="V114"/>
    </row>
    <row r="115" spans="10:22" s="1" customFormat="1" x14ac:dyDescent="0.2">
      <c r="J115"/>
      <c r="K115"/>
      <c r="L115"/>
      <c r="M115"/>
      <c r="N115"/>
      <c r="O115" s="392"/>
      <c r="P115" s="2"/>
      <c r="R115"/>
      <c r="S115"/>
      <c r="V115"/>
    </row>
    <row r="116" spans="10:22" s="1" customFormat="1" x14ac:dyDescent="0.2">
      <c r="J116"/>
      <c r="K116"/>
      <c r="L116"/>
      <c r="M116"/>
      <c r="N116"/>
      <c r="O116" s="392"/>
      <c r="P116" s="2"/>
      <c r="R116"/>
      <c r="S116"/>
      <c r="V116"/>
    </row>
    <row r="117" spans="10:22" s="1" customFormat="1" x14ac:dyDescent="0.2">
      <c r="J117"/>
      <c r="K117"/>
      <c r="L117"/>
      <c r="M117"/>
      <c r="N117"/>
      <c r="O117" s="392"/>
      <c r="P117" s="2"/>
      <c r="R117"/>
      <c r="S117"/>
      <c r="V117"/>
    </row>
    <row r="118" spans="10:22" s="1" customFormat="1" x14ac:dyDescent="0.2">
      <c r="J118"/>
      <c r="K118"/>
      <c r="L118"/>
      <c r="M118"/>
      <c r="N118"/>
      <c r="O118" s="392"/>
      <c r="P118" s="2"/>
      <c r="R118"/>
      <c r="S118"/>
      <c r="V118"/>
    </row>
    <row r="119" spans="10:22" s="1" customFormat="1" x14ac:dyDescent="0.2">
      <c r="J119"/>
      <c r="K119"/>
      <c r="L119"/>
      <c r="M119"/>
      <c r="N119"/>
      <c r="O119" s="392"/>
      <c r="P119" s="2"/>
      <c r="R119"/>
      <c r="S119"/>
      <c r="V119"/>
    </row>
    <row r="120" spans="10:22" s="1" customFormat="1" x14ac:dyDescent="0.2">
      <c r="J120"/>
      <c r="K120"/>
      <c r="L120"/>
      <c r="M120"/>
      <c r="N120"/>
      <c r="O120" s="392"/>
      <c r="P120" s="2"/>
      <c r="R120"/>
      <c r="S120"/>
      <c r="V120"/>
    </row>
    <row r="121" spans="10:22" s="1" customFormat="1" x14ac:dyDescent="0.2">
      <c r="J121"/>
      <c r="K121"/>
      <c r="L121"/>
      <c r="M121"/>
      <c r="N121"/>
      <c r="O121" s="392"/>
      <c r="P121" s="2"/>
      <c r="R121"/>
      <c r="S121"/>
      <c r="V121"/>
    </row>
    <row r="122" spans="10:22" s="1" customFormat="1" x14ac:dyDescent="0.2">
      <c r="J122"/>
      <c r="K122"/>
      <c r="L122"/>
      <c r="M122"/>
      <c r="N122"/>
      <c r="O122" s="392"/>
      <c r="P122" s="2"/>
      <c r="R122"/>
      <c r="S122"/>
      <c r="V122"/>
    </row>
    <row r="123" spans="10:22" s="1" customFormat="1" x14ac:dyDescent="0.2">
      <c r="J123"/>
      <c r="K123"/>
      <c r="L123"/>
      <c r="M123"/>
      <c r="N123"/>
      <c r="O123" s="392"/>
      <c r="P123" s="2"/>
      <c r="R123"/>
      <c r="S123"/>
      <c r="V123"/>
    </row>
    <row r="124" spans="10:22" s="1" customFormat="1" x14ac:dyDescent="0.2">
      <c r="J124"/>
      <c r="K124"/>
      <c r="L124"/>
      <c r="M124"/>
      <c r="N124"/>
      <c r="O124" s="392"/>
      <c r="P124" s="2"/>
      <c r="R124"/>
      <c r="S124"/>
      <c r="V124"/>
    </row>
    <row r="125" spans="10:22" s="1" customFormat="1" x14ac:dyDescent="0.2">
      <c r="J125"/>
      <c r="K125"/>
      <c r="L125"/>
      <c r="M125"/>
      <c r="N125"/>
      <c r="O125" s="392"/>
      <c r="P125" s="2"/>
      <c r="R125"/>
      <c r="S125"/>
      <c r="V125"/>
    </row>
    <row r="126" spans="10:22" s="1" customFormat="1" x14ac:dyDescent="0.2">
      <c r="J126"/>
      <c r="K126"/>
      <c r="L126"/>
      <c r="M126"/>
      <c r="N126"/>
      <c r="O126" s="392"/>
      <c r="P126" s="2"/>
      <c r="R126"/>
      <c r="S126"/>
      <c r="V126"/>
    </row>
    <row r="127" spans="10:22" s="1" customFormat="1" x14ac:dyDescent="0.2">
      <c r="J127"/>
      <c r="K127"/>
      <c r="L127"/>
      <c r="M127"/>
      <c r="N127"/>
      <c r="O127" s="392"/>
      <c r="P127" s="2"/>
      <c r="R127"/>
      <c r="S127"/>
      <c r="V127"/>
    </row>
    <row r="128" spans="10:22" s="1" customFormat="1" x14ac:dyDescent="0.2">
      <c r="J128"/>
      <c r="K128"/>
      <c r="L128"/>
      <c r="M128"/>
      <c r="N128"/>
      <c r="O128" s="392"/>
      <c r="P128" s="2"/>
      <c r="R128"/>
      <c r="S128"/>
      <c r="V128"/>
    </row>
    <row r="129" spans="10:22" s="1" customFormat="1" x14ac:dyDescent="0.2">
      <c r="J129"/>
      <c r="K129"/>
      <c r="L129"/>
      <c r="M129"/>
      <c r="N129"/>
      <c r="O129" s="392"/>
      <c r="P129" s="2"/>
      <c r="R129"/>
      <c r="S129"/>
      <c r="V129"/>
    </row>
    <row r="130" spans="10:22" s="1" customFormat="1" x14ac:dyDescent="0.2">
      <c r="J130"/>
      <c r="K130"/>
      <c r="L130"/>
      <c r="M130"/>
      <c r="N130"/>
      <c r="O130" s="392"/>
      <c r="P130" s="2"/>
      <c r="R130"/>
      <c r="S130"/>
      <c r="V130"/>
    </row>
    <row r="131" spans="10:22" s="1" customFormat="1" x14ac:dyDescent="0.2">
      <c r="J131"/>
      <c r="K131"/>
      <c r="L131"/>
      <c r="M131"/>
      <c r="N131"/>
      <c r="O131" s="392"/>
      <c r="P131" s="2"/>
      <c r="R131"/>
      <c r="S131"/>
      <c r="V131"/>
    </row>
    <row r="132" spans="10:22" s="1" customFormat="1" x14ac:dyDescent="0.2">
      <c r="J132"/>
      <c r="K132"/>
      <c r="L132"/>
      <c r="M132"/>
      <c r="N132"/>
      <c r="O132" s="392"/>
      <c r="P132" s="2"/>
      <c r="R132"/>
      <c r="S132"/>
      <c r="V132"/>
    </row>
    <row r="133" spans="10:22" s="1" customFormat="1" x14ac:dyDescent="0.2">
      <c r="J133"/>
      <c r="K133"/>
      <c r="L133"/>
      <c r="M133"/>
      <c r="N133"/>
      <c r="O133" s="392"/>
      <c r="P133" s="2"/>
      <c r="R133"/>
      <c r="S133"/>
      <c r="V133"/>
    </row>
    <row r="134" spans="10:22" s="1" customFormat="1" x14ac:dyDescent="0.2">
      <c r="J134"/>
      <c r="K134"/>
      <c r="L134"/>
      <c r="M134"/>
      <c r="N134"/>
      <c r="O134" s="392"/>
      <c r="P134" s="2"/>
      <c r="R134"/>
      <c r="S134"/>
      <c r="V134"/>
    </row>
    <row r="135" spans="10:22" s="1" customFormat="1" x14ac:dyDescent="0.2">
      <c r="J135"/>
      <c r="K135"/>
      <c r="L135"/>
      <c r="M135"/>
      <c r="N135"/>
      <c r="O135" s="392"/>
      <c r="P135" s="2"/>
      <c r="R135"/>
      <c r="S135"/>
      <c r="V135"/>
    </row>
    <row r="136" spans="10:22" s="1" customFormat="1" x14ac:dyDescent="0.2">
      <c r="J136"/>
      <c r="K136"/>
      <c r="L136"/>
      <c r="M136"/>
      <c r="N136"/>
      <c r="O136" s="392"/>
      <c r="P136" s="2"/>
      <c r="R136"/>
      <c r="S136"/>
      <c r="V136"/>
    </row>
    <row r="137" spans="10:22" s="1" customFormat="1" x14ac:dyDescent="0.2">
      <c r="J137"/>
      <c r="K137"/>
      <c r="L137"/>
      <c r="M137"/>
      <c r="N137"/>
      <c r="O137" s="392"/>
      <c r="P137" s="2"/>
      <c r="R137"/>
      <c r="S137"/>
      <c r="V137"/>
    </row>
    <row r="138" spans="10:22" s="1" customFormat="1" x14ac:dyDescent="0.2">
      <c r="J138"/>
      <c r="K138"/>
      <c r="L138"/>
      <c r="M138"/>
      <c r="N138"/>
      <c r="O138" s="392"/>
      <c r="P138" s="2"/>
      <c r="R138"/>
      <c r="S138"/>
      <c r="V138"/>
    </row>
    <row r="139" spans="10:22" s="1" customFormat="1" x14ac:dyDescent="0.2">
      <c r="J139"/>
      <c r="K139"/>
      <c r="L139"/>
      <c r="M139"/>
      <c r="N139"/>
      <c r="O139" s="392"/>
      <c r="P139" s="2"/>
      <c r="R139"/>
      <c r="S139"/>
      <c r="V139"/>
    </row>
    <row r="140" spans="10:22" s="1" customFormat="1" x14ac:dyDescent="0.2">
      <c r="J140"/>
      <c r="K140"/>
      <c r="L140"/>
      <c r="M140"/>
      <c r="N140"/>
      <c r="O140" s="392"/>
      <c r="P140" s="2"/>
      <c r="R140"/>
      <c r="S140"/>
      <c r="V140"/>
    </row>
    <row r="141" spans="10:22" s="1" customFormat="1" x14ac:dyDescent="0.2">
      <c r="J141"/>
      <c r="K141"/>
      <c r="L141"/>
      <c r="M141"/>
      <c r="N141"/>
      <c r="O141" s="392"/>
      <c r="P141" s="2"/>
      <c r="R141"/>
      <c r="S141"/>
      <c r="V141"/>
    </row>
    <row r="142" spans="10:22" s="1" customFormat="1" x14ac:dyDescent="0.2">
      <c r="J142"/>
      <c r="K142"/>
      <c r="L142"/>
      <c r="M142"/>
      <c r="N142"/>
      <c r="O142" s="392"/>
      <c r="P142" s="2"/>
      <c r="R142"/>
      <c r="S142"/>
      <c r="V142"/>
    </row>
    <row r="143" spans="10:22" s="1" customFormat="1" x14ac:dyDescent="0.2">
      <c r="J143"/>
      <c r="K143"/>
      <c r="L143"/>
      <c r="M143"/>
      <c r="N143"/>
      <c r="O143" s="392"/>
      <c r="P143" s="2"/>
      <c r="R143"/>
      <c r="S143"/>
      <c r="V143"/>
    </row>
    <row r="144" spans="10:22" s="1" customFormat="1" x14ac:dyDescent="0.2">
      <c r="J144"/>
      <c r="K144"/>
      <c r="L144"/>
      <c r="M144"/>
      <c r="N144"/>
      <c r="O144" s="392"/>
      <c r="P144" s="2"/>
      <c r="R144"/>
      <c r="S144"/>
      <c r="V144"/>
    </row>
    <row r="145" spans="10:22" s="1" customFormat="1" x14ac:dyDescent="0.2">
      <c r="J145"/>
      <c r="K145"/>
      <c r="L145"/>
      <c r="M145"/>
      <c r="N145"/>
      <c r="O145" s="392"/>
      <c r="P145" s="2"/>
      <c r="R145"/>
      <c r="S145"/>
      <c r="V145"/>
    </row>
    <row r="146" spans="10:22" s="1" customFormat="1" x14ac:dyDescent="0.2">
      <c r="J146"/>
      <c r="K146"/>
      <c r="L146"/>
      <c r="M146"/>
      <c r="N146"/>
      <c r="O146" s="392"/>
      <c r="P146" s="2"/>
      <c r="R146"/>
      <c r="S146"/>
      <c r="V146"/>
    </row>
    <row r="147" spans="10:22" s="1" customFormat="1" x14ac:dyDescent="0.2">
      <c r="J147"/>
      <c r="K147"/>
      <c r="L147"/>
      <c r="M147"/>
      <c r="N147"/>
      <c r="O147" s="392"/>
      <c r="P147" s="2"/>
      <c r="R147"/>
      <c r="S147"/>
      <c r="V147"/>
    </row>
    <row r="148" spans="10:22" s="1" customFormat="1" x14ac:dyDescent="0.2">
      <c r="J148"/>
      <c r="K148"/>
      <c r="L148"/>
      <c r="M148"/>
      <c r="N148"/>
      <c r="O148" s="392"/>
      <c r="P148" s="2"/>
      <c r="R148"/>
      <c r="S148"/>
      <c r="V148"/>
    </row>
    <row r="149" spans="10:22" s="1" customFormat="1" x14ac:dyDescent="0.2">
      <c r="J149"/>
      <c r="K149"/>
      <c r="L149"/>
      <c r="M149"/>
      <c r="N149"/>
      <c r="O149" s="392"/>
      <c r="P149" s="2"/>
      <c r="R149"/>
      <c r="S149"/>
      <c r="V149"/>
    </row>
    <row r="150" spans="10:22" s="1" customFormat="1" x14ac:dyDescent="0.2">
      <c r="J150"/>
      <c r="K150"/>
      <c r="L150"/>
      <c r="M150"/>
      <c r="N150"/>
      <c r="O150" s="392"/>
      <c r="P150" s="2"/>
      <c r="R150"/>
      <c r="S150"/>
      <c r="V150"/>
    </row>
    <row r="151" spans="10:22" s="1" customFormat="1" x14ac:dyDescent="0.2">
      <c r="J151"/>
      <c r="K151"/>
      <c r="L151"/>
      <c r="M151"/>
      <c r="N151"/>
      <c r="O151" s="392"/>
      <c r="P151" s="2"/>
      <c r="R151"/>
      <c r="S151"/>
      <c r="V151"/>
    </row>
    <row r="152" spans="10:22" s="1" customFormat="1" x14ac:dyDescent="0.2">
      <c r="J152"/>
      <c r="K152"/>
      <c r="L152"/>
      <c r="M152"/>
      <c r="N152"/>
      <c r="O152" s="392"/>
      <c r="P152" s="2"/>
      <c r="R152"/>
      <c r="S152"/>
      <c r="V152"/>
    </row>
    <row r="153" spans="10:22" s="1" customFormat="1" x14ac:dyDescent="0.2">
      <c r="J153"/>
      <c r="K153"/>
      <c r="L153"/>
      <c r="M153"/>
      <c r="N153"/>
      <c r="O153" s="392"/>
      <c r="P153" s="2"/>
      <c r="R153"/>
      <c r="S153"/>
      <c r="V153"/>
    </row>
    <row r="154" spans="10:22" s="1" customFormat="1" x14ac:dyDescent="0.2">
      <c r="J154"/>
      <c r="K154"/>
      <c r="L154"/>
      <c r="M154"/>
      <c r="N154"/>
      <c r="O154" s="392"/>
      <c r="P154" s="2"/>
      <c r="R154"/>
      <c r="S154"/>
      <c r="V154"/>
    </row>
    <row r="155" spans="10:22" s="1" customFormat="1" x14ac:dyDescent="0.2">
      <c r="J155"/>
      <c r="K155"/>
      <c r="L155"/>
      <c r="M155"/>
      <c r="N155"/>
      <c r="O155" s="392"/>
      <c r="P155" s="2"/>
      <c r="R155"/>
      <c r="S155"/>
      <c r="V155"/>
    </row>
    <row r="156" spans="10:22" s="1" customFormat="1" x14ac:dyDescent="0.2">
      <c r="J156"/>
      <c r="K156"/>
      <c r="L156"/>
      <c r="M156"/>
      <c r="N156"/>
      <c r="O156" s="392"/>
      <c r="P156" s="2"/>
      <c r="R156"/>
      <c r="S156"/>
      <c r="V156"/>
    </row>
    <row r="157" spans="10:22" s="1" customFormat="1" x14ac:dyDescent="0.2">
      <c r="J157"/>
      <c r="K157"/>
      <c r="L157"/>
      <c r="M157"/>
      <c r="N157"/>
      <c r="O157" s="392"/>
      <c r="P157" s="2"/>
      <c r="R157"/>
      <c r="S157"/>
      <c r="V157"/>
    </row>
    <row r="158" spans="10:22" s="1" customFormat="1" x14ac:dyDescent="0.2">
      <c r="J158"/>
      <c r="K158"/>
      <c r="L158"/>
      <c r="M158"/>
      <c r="N158"/>
      <c r="O158" s="392"/>
      <c r="P158" s="2"/>
      <c r="R158"/>
      <c r="S158"/>
      <c r="V158"/>
    </row>
    <row r="159" spans="10:22" s="1" customFormat="1" x14ac:dyDescent="0.2">
      <c r="J159"/>
      <c r="K159"/>
      <c r="L159"/>
      <c r="M159"/>
      <c r="N159"/>
      <c r="O159" s="392"/>
      <c r="P159" s="2"/>
      <c r="R159"/>
      <c r="S159"/>
      <c r="V159"/>
    </row>
    <row r="160" spans="10:22" s="1" customFormat="1" x14ac:dyDescent="0.2">
      <c r="J160"/>
      <c r="K160"/>
      <c r="L160"/>
      <c r="M160"/>
      <c r="N160"/>
      <c r="O160" s="392"/>
      <c r="P160" s="2"/>
      <c r="R160"/>
      <c r="S160"/>
      <c r="V160"/>
    </row>
    <row r="161" spans="10:22" s="1" customFormat="1" x14ac:dyDescent="0.2">
      <c r="J161"/>
      <c r="K161"/>
      <c r="L161"/>
      <c r="M161"/>
      <c r="N161"/>
      <c r="O161" s="392"/>
      <c r="P161" s="2"/>
      <c r="R161"/>
      <c r="S161"/>
      <c r="V161"/>
    </row>
    <row r="162" spans="10:22" s="1" customFormat="1" x14ac:dyDescent="0.2">
      <c r="J162"/>
      <c r="K162"/>
      <c r="L162"/>
      <c r="M162"/>
      <c r="N162"/>
      <c r="O162" s="392"/>
      <c r="P162" s="2"/>
      <c r="R162"/>
      <c r="S162"/>
      <c r="V162"/>
    </row>
    <row r="163" spans="10:22" s="1" customFormat="1" x14ac:dyDescent="0.2">
      <c r="J163"/>
      <c r="K163"/>
      <c r="L163"/>
      <c r="M163"/>
      <c r="N163"/>
      <c r="O163" s="392"/>
      <c r="P163" s="2"/>
      <c r="R163"/>
      <c r="S163"/>
      <c r="V163"/>
    </row>
    <row r="164" spans="10:22" s="1" customFormat="1" x14ac:dyDescent="0.2">
      <c r="J164"/>
      <c r="K164"/>
      <c r="L164"/>
      <c r="M164"/>
      <c r="N164"/>
      <c r="O164" s="392"/>
      <c r="P164" s="2"/>
      <c r="R164"/>
      <c r="S164"/>
      <c r="V164"/>
    </row>
    <row r="165" spans="10:22" s="1" customFormat="1" x14ac:dyDescent="0.2">
      <c r="J165"/>
      <c r="K165"/>
      <c r="L165"/>
      <c r="M165"/>
      <c r="N165"/>
      <c r="O165" s="392"/>
      <c r="P165" s="2"/>
      <c r="R165"/>
      <c r="S165"/>
      <c r="V165"/>
    </row>
    <row r="166" spans="10:22" s="1" customFormat="1" x14ac:dyDescent="0.2">
      <c r="J166"/>
      <c r="K166"/>
      <c r="L166"/>
      <c r="M166"/>
      <c r="N166"/>
      <c r="O166" s="392"/>
      <c r="P166" s="2"/>
      <c r="R166"/>
      <c r="S166"/>
      <c r="V166"/>
    </row>
    <row r="167" spans="10:22" s="1" customFormat="1" x14ac:dyDescent="0.2">
      <c r="J167"/>
      <c r="K167"/>
      <c r="L167"/>
      <c r="M167"/>
      <c r="N167"/>
      <c r="O167" s="392"/>
      <c r="P167" s="2"/>
      <c r="R167"/>
      <c r="S167"/>
      <c r="V167"/>
    </row>
    <row r="168" spans="10:22" s="1" customFormat="1" x14ac:dyDescent="0.2">
      <c r="J168"/>
      <c r="K168"/>
      <c r="L168"/>
      <c r="M168"/>
      <c r="N168"/>
      <c r="O168" s="392"/>
      <c r="P168" s="2"/>
      <c r="R168"/>
      <c r="S168"/>
      <c r="V168"/>
    </row>
    <row r="169" spans="10:22" s="1" customFormat="1" x14ac:dyDescent="0.2">
      <c r="J169"/>
      <c r="K169"/>
      <c r="L169"/>
      <c r="M169"/>
      <c r="N169"/>
      <c r="O169" s="392"/>
      <c r="P169" s="2"/>
      <c r="R169"/>
      <c r="S169"/>
      <c r="V169"/>
    </row>
    <row r="170" spans="10:22" s="1" customFormat="1" x14ac:dyDescent="0.2">
      <c r="J170"/>
      <c r="K170"/>
      <c r="L170"/>
      <c r="M170"/>
      <c r="N170"/>
      <c r="O170" s="392"/>
      <c r="P170" s="2"/>
      <c r="R170"/>
      <c r="S170"/>
      <c r="V170"/>
    </row>
    <row r="171" spans="10:22" s="1" customFormat="1" x14ac:dyDescent="0.2">
      <c r="J171"/>
      <c r="K171"/>
      <c r="L171"/>
      <c r="M171"/>
      <c r="N171"/>
      <c r="O171" s="392"/>
      <c r="P171" s="2"/>
      <c r="R171"/>
      <c r="S171"/>
      <c r="V171"/>
    </row>
    <row r="172" spans="10:22" s="1" customFormat="1" x14ac:dyDescent="0.2">
      <c r="J172"/>
      <c r="K172"/>
      <c r="L172"/>
      <c r="M172"/>
      <c r="N172"/>
      <c r="O172" s="392"/>
      <c r="P172" s="2"/>
      <c r="R172"/>
      <c r="S172"/>
      <c r="V172"/>
    </row>
    <row r="173" spans="10:22" s="1" customFormat="1" x14ac:dyDescent="0.2">
      <c r="J173"/>
      <c r="K173"/>
      <c r="L173"/>
      <c r="M173"/>
      <c r="N173"/>
      <c r="O173" s="392"/>
      <c r="P173" s="2"/>
      <c r="R173"/>
      <c r="S173"/>
      <c r="V173"/>
    </row>
    <row r="174" spans="10:22" s="1" customFormat="1" x14ac:dyDescent="0.2">
      <c r="J174"/>
      <c r="K174"/>
      <c r="L174"/>
      <c r="M174"/>
      <c r="N174"/>
      <c r="O174" s="392"/>
      <c r="P174" s="2"/>
      <c r="R174"/>
      <c r="S174"/>
      <c r="V174"/>
    </row>
    <row r="175" spans="10:22" s="1" customFormat="1" x14ac:dyDescent="0.2">
      <c r="J175"/>
      <c r="K175"/>
      <c r="L175"/>
      <c r="M175"/>
      <c r="N175"/>
      <c r="O175" s="392"/>
      <c r="P175" s="2"/>
      <c r="R175"/>
      <c r="S175"/>
      <c r="V175"/>
    </row>
    <row r="176" spans="10:22" s="1" customFormat="1" x14ac:dyDescent="0.2">
      <c r="J176"/>
      <c r="K176"/>
      <c r="L176"/>
      <c r="M176"/>
      <c r="N176"/>
      <c r="O176" s="392"/>
      <c r="P176" s="2"/>
      <c r="R176"/>
      <c r="S176"/>
      <c r="V176"/>
    </row>
    <row r="177" spans="10:22" s="1" customFormat="1" x14ac:dyDescent="0.2">
      <c r="J177"/>
      <c r="K177"/>
      <c r="L177"/>
      <c r="M177"/>
      <c r="N177"/>
      <c r="O177" s="392"/>
      <c r="P177" s="2"/>
      <c r="R177"/>
      <c r="S177"/>
      <c r="V177"/>
    </row>
    <row r="178" spans="10:22" s="1" customFormat="1" x14ac:dyDescent="0.2">
      <c r="J178"/>
      <c r="K178"/>
      <c r="L178"/>
      <c r="M178"/>
      <c r="N178"/>
      <c r="O178" s="392"/>
      <c r="P178" s="2"/>
      <c r="R178"/>
      <c r="S178"/>
      <c r="V178"/>
    </row>
    <row r="179" spans="10:22" s="1" customFormat="1" x14ac:dyDescent="0.2">
      <c r="J179"/>
      <c r="K179"/>
      <c r="L179"/>
      <c r="M179"/>
      <c r="N179"/>
      <c r="O179" s="392"/>
      <c r="P179" s="2"/>
      <c r="R179"/>
      <c r="S179"/>
      <c r="V179"/>
    </row>
    <row r="180" spans="10:22" s="1" customFormat="1" x14ac:dyDescent="0.2">
      <c r="J180"/>
      <c r="K180"/>
      <c r="L180"/>
      <c r="M180"/>
      <c r="N180"/>
      <c r="O180" s="392"/>
      <c r="P180" s="2"/>
      <c r="R180"/>
      <c r="S180"/>
      <c r="V180"/>
    </row>
    <row r="181" spans="10:22" s="1" customFormat="1" x14ac:dyDescent="0.2">
      <c r="J181"/>
      <c r="K181"/>
      <c r="L181"/>
      <c r="M181"/>
      <c r="N181"/>
      <c r="O181" s="392"/>
      <c r="P181" s="2"/>
      <c r="R181"/>
      <c r="S181"/>
      <c r="V181"/>
    </row>
    <row r="182" spans="10:22" s="1" customFormat="1" x14ac:dyDescent="0.2">
      <c r="J182"/>
      <c r="K182"/>
      <c r="L182"/>
      <c r="M182"/>
      <c r="N182"/>
      <c r="O182" s="392"/>
      <c r="P182" s="2"/>
      <c r="R182"/>
      <c r="S182"/>
      <c r="V182"/>
    </row>
    <row r="183" spans="10:22" s="1" customFormat="1" x14ac:dyDescent="0.2">
      <c r="J183"/>
      <c r="K183"/>
      <c r="L183"/>
      <c r="M183"/>
      <c r="N183"/>
      <c r="O183" s="392"/>
      <c r="P183" s="2"/>
      <c r="R183"/>
      <c r="S183"/>
      <c r="V183"/>
    </row>
    <row r="184" spans="10:22" s="1" customFormat="1" x14ac:dyDescent="0.2">
      <c r="J184"/>
      <c r="K184"/>
      <c r="L184"/>
      <c r="M184"/>
      <c r="N184"/>
      <c r="O184" s="392"/>
      <c r="P184" s="2"/>
      <c r="R184"/>
      <c r="S184"/>
      <c r="V184"/>
    </row>
    <row r="185" spans="10:22" s="1" customFormat="1" x14ac:dyDescent="0.2">
      <c r="J185"/>
      <c r="K185"/>
      <c r="L185"/>
      <c r="M185"/>
      <c r="N185"/>
      <c r="O185" s="392"/>
      <c r="P185" s="2"/>
      <c r="R185"/>
      <c r="S185"/>
      <c r="V185"/>
    </row>
    <row r="186" spans="10:22" s="1" customFormat="1" x14ac:dyDescent="0.2">
      <c r="J186"/>
      <c r="K186"/>
      <c r="L186"/>
      <c r="M186"/>
      <c r="N186"/>
      <c r="O186" s="392"/>
      <c r="P186" s="2"/>
      <c r="R186"/>
      <c r="S186"/>
      <c r="V186"/>
    </row>
    <row r="187" spans="10:22" s="1" customFormat="1" x14ac:dyDescent="0.2">
      <c r="J187"/>
      <c r="K187"/>
      <c r="L187"/>
      <c r="M187"/>
      <c r="N187"/>
      <c r="O187" s="392"/>
      <c r="P187" s="2"/>
      <c r="R187"/>
      <c r="S187"/>
      <c r="V187"/>
    </row>
    <row r="188" spans="10:22" s="1" customFormat="1" x14ac:dyDescent="0.2">
      <c r="J188"/>
      <c r="K188"/>
      <c r="L188"/>
      <c r="M188"/>
      <c r="N188"/>
      <c r="O188" s="392"/>
      <c r="P188" s="2"/>
      <c r="R188"/>
      <c r="S188"/>
      <c r="V188"/>
    </row>
    <row r="189" spans="10:22" s="1" customFormat="1" x14ac:dyDescent="0.2">
      <c r="J189"/>
      <c r="K189"/>
      <c r="L189"/>
      <c r="M189"/>
      <c r="N189"/>
      <c r="O189" s="392"/>
      <c r="P189" s="2"/>
      <c r="R189"/>
      <c r="S189"/>
      <c r="V189"/>
    </row>
    <row r="190" spans="10:22" s="1" customFormat="1" x14ac:dyDescent="0.2">
      <c r="J190"/>
      <c r="K190"/>
      <c r="L190"/>
      <c r="M190"/>
      <c r="N190"/>
      <c r="O190" s="392"/>
      <c r="P190" s="2"/>
      <c r="R190"/>
      <c r="S190"/>
      <c r="V190"/>
    </row>
    <row r="191" spans="10:22" s="1" customFormat="1" x14ac:dyDescent="0.2">
      <c r="J191"/>
      <c r="K191"/>
      <c r="L191"/>
      <c r="M191"/>
      <c r="N191"/>
      <c r="O191" s="392"/>
      <c r="P191" s="2"/>
      <c r="R191"/>
      <c r="S191"/>
      <c r="V191"/>
    </row>
    <row r="192" spans="10:22" s="1" customFormat="1" x14ac:dyDescent="0.2">
      <c r="J192"/>
      <c r="K192"/>
      <c r="L192"/>
      <c r="M192"/>
      <c r="N192"/>
      <c r="O192" s="392"/>
      <c r="P192" s="2"/>
      <c r="R192"/>
      <c r="S192"/>
      <c r="V192"/>
    </row>
    <row r="193" spans="10:22" s="1" customFormat="1" x14ac:dyDescent="0.2">
      <c r="J193"/>
      <c r="K193"/>
      <c r="L193"/>
      <c r="M193"/>
      <c r="N193"/>
      <c r="O193" s="392"/>
      <c r="P193" s="2"/>
      <c r="R193"/>
      <c r="S193"/>
      <c r="V193"/>
    </row>
    <row r="194" spans="10:22" s="1" customFormat="1" x14ac:dyDescent="0.2">
      <c r="J194"/>
      <c r="K194"/>
      <c r="L194"/>
      <c r="M194"/>
      <c r="N194"/>
      <c r="O194" s="392"/>
      <c r="P194" s="2"/>
      <c r="R194"/>
      <c r="S194"/>
      <c r="V194"/>
    </row>
    <row r="195" spans="10:22" s="1" customFormat="1" x14ac:dyDescent="0.2">
      <c r="J195"/>
      <c r="K195"/>
      <c r="L195"/>
      <c r="M195"/>
      <c r="N195"/>
      <c r="O195" s="392"/>
      <c r="P195" s="2"/>
      <c r="R195"/>
      <c r="S195"/>
      <c r="V195"/>
    </row>
    <row r="196" spans="10:22" s="1" customFormat="1" x14ac:dyDescent="0.2">
      <c r="J196"/>
      <c r="K196"/>
      <c r="L196"/>
      <c r="M196"/>
      <c r="N196"/>
      <c r="O196" s="392"/>
      <c r="P196" s="2"/>
      <c r="R196"/>
      <c r="S196"/>
      <c r="V196"/>
    </row>
    <row r="197" spans="10:22" s="1" customFormat="1" x14ac:dyDescent="0.2">
      <c r="J197"/>
      <c r="K197"/>
      <c r="L197"/>
      <c r="M197"/>
      <c r="N197"/>
      <c r="O197" s="392"/>
      <c r="P197" s="2"/>
      <c r="R197"/>
      <c r="S197"/>
      <c r="V197"/>
    </row>
    <row r="198" spans="10:22" s="1" customFormat="1" x14ac:dyDescent="0.2">
      <c r="J198"/>
      <c r="K198"/>
      <c r="L198"/>
      <c r="M198"/>
      <c r="N198"/>
      <c r="O198" s="392"/>
      <c r="P198" s="2"/>
      <c r="R198"/>
      <c r="S198"/>
      <c r="V198"/>
    </row>
    <row r="199" spans="10:22" s="1" customFormat="1" x14ac:dyDescent="0.2">
      <c r="J199"/>
      <c r="K199"/>
      <c r="L199"/>
      <c r="M199"/>
      <c r="N199"/>
      <c r="O199" s="392"/>
      <c r="P199" s="2"/>
      <c r="R199"/>
      <c r="S199"/>
      <c r="V199"/>
    </row>
    <row r="200" spans="10:22" s="1" customFormat="1" x14ac:dyDescent="0.2">
      <c r="J200"/>
      <c r="K200"/>
      <c r="L200"/>
      <c r="M200"/>
      <c r="N200"/>
      <c r="O200" s="392"/>
      <c r="P200" s="2"/>
      <c r="R200"/>
      <c r="S200"/>
      <c r="V200"/>
    </row>
    <row r="201" spans="10:22" s="1" customFormat="1" x14ac:dyDescent="0.2">
      <c r="J201"/>
      <c r="K201"/>
      <c r="L201"/>
      <c r="M201"/>
      <c r="N201"/>
      <c r="O201" s="392"/>
      <c r="P201" s="2"/>
      <c r="R201"/>
      <c r="S201"/>
      <c r="V201"/>
    </row>
    <row r="202" spans="10:22" s="1" customFormat="1" x14ac:dyDescent="0.2">
      <c r="J202"/>
      <c r="K202"/>
      <c r="L202"/>
      <c r="M202"/>
      <c r="N202"/>
      <c r="O202" s="392"/>
      <c r="P202" s="2"/>
      <c r="R202"/>
      <c r="S202"/>
      <c r="V202"/>
    </row>
    <row r="203" spans="10:22" s="1" customFormat="1" x14ac:dyDescent="0.2">
      <c r="J203"/>
      <c r="K203"/>
      <c r="L203"/>
      <c r="M203"/>
      <c r="N203"/>
      <c r="O203" s="392"/>
      <c r="P203" s="2"/>
      <c r="R203"/>
      <c r="S203"/>
      <c r="V203"/>
    </row>
    <row r="204" spans="10:22" s="1" customFormat="1" x14ac:dyDescent="0.2">
      <c r="J204"/>
      <c r="K204"/>
      <c r="L204"/>
      <c r="M204"/>
      <c r="N204"/>
      <c r="O204" s="392"/>
      <c r="P204" s="2"/>
      <c r="R204"/>
      <c r="S204"/>
      <c r="V204"/>
    </row>
    <row r="205" spans="10:22" s="1" customFormat="1" x14ac:dyDescent="0.2">
      <c r="J205"/>
      <c r="K205"/>
      <c r="L205"/>
      <c r="M205"/>
      <c r="N205"/>
      <c r="O205" s="392"/>
      <c r="P205" s="2"/>
      <c r="R205"/>
      <c r="S205"/>
      <c r="V205"/>
    </row>
    <row r="206" spans="10:22" s="1" customFormat="1" x14ac:dyDescent="0.2">
      <c r="J206"/>
      <c r="K206"/>
      <c r="L206"/>
      <c r="M206"/>
      <c r="N206"/>
      <c r="O206" s="392"/>
      <c r="P206" s="2"/>
      <c r="R206"/>
      <c r="S206"/>
      <c r="V206"/>
    </row>
    <row r="207" spans="10:22" s="1" customFormat="1" x14ac:dyDescent="0.2">
      <c r="J207"/>
      <c r="K207"/>
      <c r="L207"/>
      <c r="M207"/>
      <c r="N207"/>
      <c r="O207" s="392"/>
      <c r="P207" s="2"/>
      <c r="R207"/>
      <c r="S207"/>
      <c r="V207"/>
    </row>
    <row r="208" spans="10:22" s="1" customFormat="1" x14ac:dyDescent="0.2">
      <c r="J208"/>
      <c r="K208"/>
      <c r="L208"/>
      <c r="M208"/>
      <c r="N208"/>
      <c r="O208" s="392"/>
      <c r="P208" s="2"/>
      <c r="R208"/>
      <c r="S208"/>
      <c r="V208"/>
    </row>
    <row r="209" spans="10:22" s="1" customFormat="1" x14ac:dyDescent="0.2">
      <c r="J209"/>
      <c r="K209"/>
      <c r="L209"/>
      <c r="M209"/>
      <c r="N209"/>
      <c r="O209" s="392"/>
      <c r="P209" s="2"/>
      <c r="R209"/>
      <c r="S209"/>
      <c r="V209"/>
    </row>
    <row r="210" spans="10:22" s="1" customFormat="1" x14ac:dyDescent="0.2">
      <c r="J210"/>
      <c r="K210"/>
      <c r="L210"/>
      <c r="M210"/>
      <c r="N210"/>
      <c r="O210" s="392"/>
      <c r="P210" s="2"/>
      <c r="R210"/>
      <c r="S210"/>
      <c r="V210"/>
    </row>
    <row r="211" spans="10:22" s="1" customFormat="1" x14ac:dyDescent="0.2">
      <c r="J211"/>
      <c r="K211"/>
      <c r="L211"/>
      <c r="M211"/>
      <c r="N211"/>
      <c r="O211" s="392"/>
      <c r="P211" s="2"/>
      <c r="R211"/>
      <c r="S211"/>
      <c r="V211"/>
    </row>
    <row r="212" spans="10:22" s="1" customFormat="1" x14ac:dyDescent="0.2">
      <c r="J212"/>
      <c r="K212"/>
      <c r="L212"/>
      <c r="M212"/>
      <c r="N212"/>
      <c r="O212" s="392"/>
      <c r="P212" s="2"/>
      <c r="R212"/>
      <c r="S212"/>
      <c r="V212"/>
    </row>
    <row r="213" spans="10:22" s="1" customFormat="1" x14ac:dyDescent="0.2">
      <c r="J213"/>
      <c r="K213"/>
      <c r="L213"/>
      <c r="M213"/>
      <c r="N213"/>
      <c r="O213" s="392"/>
      <c r="P213" s="2"/>
      <c r="R213"/>
      <c r="S213"/>
      <c r="V213"/>
    </row>
    <row r="214" spans="10:22" s="1" customFormat="1" x14ac:dyDescent="0.2">
      <c r="J214"/>
      <c r="K214"/>
      <c r="L214"/>
      <c r="M214"/>
      <c r="N214"/>
      <c r="O214" s="392"/>
      <c r="P214" s="2"/>
      <c r="R214"/>
      <c r="S214"/>
      <c r="V214"/>
    </row>
    <row r="215" spans="10:22" s="1" customFormat="1" x14ac:dyDescent="0.2">
      <c r="J215"/>
      <c r="K215"/>
      <c r="L215"/>
      <c r="M215"/>
      <c r="N215"/>
      <c r="O215" s="392"/>
      <c r="P215" s="2"/>
      <c r="R215"/>
      <c r="S215"/>
      <c r="V215"/>
    </row>
    <row r="216" spans="10:22" s="1" customFormat="1" x14ac:dyDescent="0.2">
      <c r="J216"/>
      <c r="K216"/>
      <c r="L216"/>
      <c r="M216"/>
      <c r="N216"/>
      <c r="O216" s="392"/>
      <c r="P216" s="2"/>
      <c r="R216"/>
      <c r="S216"/>
      <c r="V216"/>
    </row>
    <row r="217" spans="10:22" s="1" customFormat="1" x14ac:dyDescent="0.2">
      <c r="J217"/>
      <c r="K217"/>
      <c r="L217"/>
      <c r="M217"/>
      <c r="N217"/>
      <c r="O217" s="392"/>
      <c r="P217" s="2"/>
      <c r="R217"/>
      <c r="S217"/>
      <c r="V217"/>
    </row>
    <row r="218" spans="10:22" s="1" customFormat="1" x14ac:dyDescent="0.2">
      <c r="J218"/>
      <c r="K218"/>
      <c r="L218"/>
      <c r="M218"/>
      <c r="N218"/>
      <c r="O218" s="392"/>
      <c r="P218" s="2"/>
      <c r="R218"/>
      <c r="S218"/>
      <c r="V218"/>
    </row>
    <row r="219" spans="10:22" s="1" customFormat="1" x14ac:dyDescent="0.2">
      <c r="J219"/>
      <c r="K219"/>
      <c r="L219"/>
      <c r="M219"/>
      <c r="N219"/>
      <c r="O219" s="392"/>
      <c r="P219" s="2"/>
      <c r="R219"/>
      <c r="S219"/>
      <c r="V219"/>
    </row>
    <row r="220" spans="10:22" s="1" customFormat="1" x14ac:dyDescent="0.2">
      <c r="J220"/>
      <c r="K220"/>
      <c r="L220"/>
      <c r="M220"/>
      <c r="N220"/>
      <c r="O220" s="392"/>
      <c r="P220" s="2"/>
      <c r="R220"/>
      <c r="S220"/>
      <c r="V220"/>
    </row>
    <row r="221" spans="10:22" s="1" customFormat="1" x14ac:dyDescent="0.2">
      <c r="J221"/>
      <c r="K221"/>
      <c r="L221"/>
      <c r="M221"/>
      <c r="N221"/>
      <c r="O221" s="392"/>
      <c r="P221" s="2"/>
      <c r="R221"/>
      <c r="S221"/>
      <c r="V221"/>
    </row>
    <row r="222" spans="10:22" s="1" customFormat="1" x14ac:dyDescent="0.2">
      <c r="J222"/>
      <c r="K222"/>
      <c r="L222"/>
      <c r="M222"/>
      <c r="N222"/>
      <c r="O222" s="392"/>
      <c r="P222" s="2"/>
      <c r="R222"/>
      <c r="S222"/>
      <c r="V222"/>
    </row>
    <row r="223" spans="10:22" s="1" customFormat="1" x14ac:dyDescent="0.2">
      <c r="J223"/>
      <c r="K223"/>
      <c r="L223"/>
      <c r="M223"/>
      <c r="N223"/>
      <c r="O223" s="392"/>
      <c r="P223" s="2"/>
      <c r="R223"/>
      <c r="S223"/>
      <c r="V223"/>
    </row>
    <row r="224" spans="10:22" s="1" customFormat="1" x14ac:dyDescent="0.2">
      <c r="J224"/>
      <c r="K224"/>
      <c r="L224"/>
      <c r="M224"/>
      <c r="N224"/>
      <c r="O224" s="392"/>
      <c r="P224" s="2"/>
      <c r="R224"/>
      <c r="S224"/>
      <c r="V224"/>
    </row>
    <row r="225" spans="10:22" s="1" customFormat="1" x14ac:dyDescent="0.2">
      <c r="J225"/>
      <c r="K225"/>
      <c r="L225"/>
      <c r="M225"/>
      <c r="N225"/>
      <c r="O225" s="392"/>
      <c r="P225" s="2"/>
      <c r="R225"/>
      <c r="S225"/>
      <c r="V225"/>
    </row>
    <row r="226" spans="10:22" s="1" customFormat="1" x14ac:dyDescent="0.2">
      <c r="J226"/>
      <c r="K226"/>
      <c r="L226"/>
      <c r="M226"/>
      <c r="N226"/>
      <c r="O226" s="392"/>
      <c r="P226" s="2"/>
      <c r="R226"/>
      <c r="S226"/>
      <c r="V226"/>
    </row>
    <row r="227" spans="10:22" s="1" customFormat="1" x14ac:dyDescent="0.2">
      <c r="J227"/>
      <c r="K227"/>
      <c r="L227"/>
      <c r="M227"/>
      <c r="N227"/>
      <c r="O227" s="392"/>
      <c r="P227" s="2"/>
      <c r="R227"/>
      <c r="S227"/>
      <c r="V227"/>
    </row>
    <row r="228" spans="10:22" s="1" customFormat="1" x14ac:dyDescent="0.2">
      <c r="J228"/>
      <c r="K228"/>
      <c r="L228"/>
      <c r="M228"/>
      <c r="N228"/>
      <c r="O228" s="392"/>
      <c r="P228" s="2"/>
      <c r="R228"/>
      <c r="S228"/>
      <c r="V228"/>
    </row>
    <row r="229" spans="10:22" s="1" customFormat="1" x14ac:dyDescent="0.2">
      <c r="J229"/>
      <c r="K229"/>
      <c r="L229"/>
      <c r="M229"/>
      <c r="N229"/>
      <c r="O229" s="392"/>
      <c r="P229" s="2"/>
      <c r="R229"/>
      <c r="S229"/>
      <c r="V229"/>
    </row>
    <row r="230" spans="10:22" s="1" customFormat="1" x14ac:dyDescent="0.2">
      <c r="J230"/>
      <c r="K230"/>
      <c r="L230"/>
      <c r="M230"/>
      <c r="N230"/>
      <c r="O230" s="392"/>
      <c r="P230" s="2"/>
      <c r="R230"/>
      <c r="S230"/>
      <c r="V230"/>
    </row>
    <row r="231" spans="10:22" s="1" customFormat="1" x14ac:dyDescent="0.2">
      <c r="J231"/>
      <c r="K231"/>
      <c r="L231"/>
      <c r="M231"/>
      <c r="N231"/>
      <c r="O231" s="392"/>
      <c r="P231" s="2"/>
      <c r="R231"/>
      <c r="S231"/>
      <c r="V231"/>
    </row>
    <row r="232" spans="10:22" s="1" customFormat="1" x14ac:dyDescent="0.2">
      <c r="J232"/>
      <c r="K232"/>
      <c r="L232"/>
      <c r="M232"/>
      <c r="N232"/>
      <c r="O232" s="392"/>
      <c r="P232" s="2"/>
      <c r="R232"/>
      <c r="S232"/>
      <c r="V232"/>
    </row>
    <row r="233" spans="10:22" s="1" customFormat="1" x14ac:dyDescent="0.2">
      <c r="J233"/>
      <c r="K233"/>
      <c r="L233"/>
      <c r="M233"/>
      <c r="N233"/>
      <c r="O233" s="392"/>
      <c r="P233" s="2"/>
      <c r="R233"/>
      <c r="S233"/>
      <c r="V233"/>
    </row>
    <row r="234" spans="10:22" s="1" customFormat="1" x14ac:dyDescent="0.2">
      <c r="J234"/>
      <c r="K234"/>
      <c r="L234"/>
      <c r="M234"/>
      <c r="N234"/>
      <c r="O234" s="392"/>
      <c r="P234" s="2"/>
      <c r="R234"/>
      <c r="S234"/>
      <c r="V234"/>
    </row>
    <row r="235" spans="10:22" s="1" customFormat="1" x14ac:dyDescent="0.2">
      <c r="J235"/>
      <c r="K235"/>
      <c r="L235"/>
      <c r="M235"/>
      <c r="N235"/>
      <c r="O235" s="392"/>
      <c r="P235" s="2"/>
      <c r="R235"/>
      <c r="S235"/>
      <c r="V235"/>
    </row>
    <row r="236" spans="10:22" s="1" customFormat="1" x14ac:dyDescent="0.2">
      <c r="J236"/>
      <c r="K236"/>
      <c r="L236"/>
      <c r="M236"/>
      <c r="N236"/>
      <c r="O236" s="392"/>
      <c r="P236" s="2"/>
      <c r="R236"/>
      <c r="S236"/>
      <c r="V236"/>
    </row>
    <row r="237" spans="10:22" s="1" customFormat="1" x14ac:dyDescent="0.2">
      <c r="J237"/>
      <c r="K237"/>
      <c r="L237"/>
      <c r="M237"/>
      <c r="N237"/>
      <c r="O237" s="392"/>
      <c r="P237" s="2"/>
      <c r="R237"/>
      <c r="S237"/>
      <c r="V237"/>
    </row>
    <row r="238" spans="10:22" s="1" customFormat="1" x14ac:dyDescent="0.2">
      <c r="J238"/>
      <c r="K238"/>
      <c r="L238"/>
      <c r="M238"/>
      <c r="N238"/>
      <c r="O238" s="392"/>
      <c r="P238" s="2"/>
      <c r="R238"/>
      <c r="S238"/>
      <c r="V238"/>
    </row>
    <row r="239" spans="10:22" s="1" customFormat="1" x14ac:dyDescent="0.2">
      <c r="J239"/>
      <c r="K239"/>
      <c r="L239"/>
      <c r="M239"/>
      <c r="N239"/>
      <c r="O239" s="392"/>
      <c r="P239" s="2"/>
      <c r="R239"/>
      <c r="S239"/>
      <c r="V239"/>
    </row>
    <row r="240" spans="10:22" s="1" customFormat="1" x14ac:dyDescent="0.2">
      <c r="J240"/>
      <c r="K240"/>
      <c r="L240"/>
      <c r="M240"/>
      <c r="N240"/>
      <c r="O240" s="392"/>
      <c r="P240" s="2"/>
      <c r="R240"/>
      <c r="S240"/>
      <c r="V240"/>
    </row>
    <row r="241" spans="10:22" s="1" customFormat="1" x14ac:dyDescent="0.2">
      <c r="J241"/>
      <c r="K241"/>
      <c r="L241"/>
      <c r="M241"/>
      <c r="N241"/>
      <c r="O241" s="392"/>
      <c r="P241" s="2"/>
      <c r="R241"/>
      <c r="S241"/>
      <c r="V241"/>
    </row>
    <row r="242" spans="10:22" s="1" customFormat="1" x14ac:dyDescent="0.2">
      <c r="J242"/>
      <c r="K242"/>
      <c r="L242"/>
      <c r="M242"/>
      <c r="N242"/>
      <c r="O242" s="392"/>
      <c r="P242" s="2"/>
      <c r="R242"/>
      <c r="S242"/>
      <c r="V242"/>
    </row>
    <row r="243" spans="10:22" s="1" customFormat="1" x14ac:dyDescent="0.2">
      <c r="J243"/>
      <c r="K243"/>
      <c r="L243"/>
      <c r="M243"/>
      <c r="N243"/>
      <c r="O243" s="392"/>
      <c r="P243" s="2"/>
      <c r="R243"/>
      <c r="S243"/>
      <c r="V243"/>
    </row>
    <row r="244" spans="10:22" s="1" customFormat="1" x14ac:dyDescent="0.2">
      <c r="J244"/>
      <c r="K244"/>
      <c r="L244"/>
      <c r="M244"/>
      <c r="N244"/>
      <c r="O244" s="392"/>
      <c r="P244" s="2"/>
      <c r="R244"/>
      <c r="S244"/>
      <c r="V244"/>
    </row>
    <row r="245" spans="10:22" s="1" customFormat="1" x14ac:dyDescent="0.2">
      <c r="J245"/>
      <c r="K245"/>
      <c r="L245"/>
      <c r="M245"/>
      <c r="N245"/>
      <c r="O245" s="392"/>
      <c r="P245" s="2"/>
      <c r="R245"/>
      <c r="S245"/>
      <c r="V245"/>
    </row>
    <row r="246" spans="10:22" s="1" customFormat="1" x14ac:dyDescent="0.2">
      <c r="J246"/>
      <c r="K246"/>
      <c r="L246"/>
      <c r="M246"/>
      <c r="N246"/>
      <c r="O246" s="392"/>
      <c r="P246" s="2"/>
      <c r="R246"/>
      <c r="S246"/>
      <c r="V246"/>
    </row>
    <row r="247" spans="10:22" s="1" customFormat="1" x14ac:dyDescent="0.2">
      <c r="J247"/>
      <c r="K247"/>
      <c r="L247"/>
      <c r="M247"/>
      <c r="N247"/>
      <c r="O247" s="392"/>
      <c r="P247" s="2"/>
      <c r="R247"/>
      <c r="S247"/>
      <c r="V247"/>
    </row>
    <row r="248" spans="10:22" s="1" customFormat="1" x14ac:dyDescent="0.2">
      <c r="J248"/>
      <c r="K248"/>
      <c r="L248"/>
      <c r="M248"/>
      <c r="N248"/>
      <c r="O248" s="392"/>
      <c r="P248" s="2"/>
      <c r="R248"/>
      <c r="S248"/>
      <c r="V248"/>
    </row>
    <row r="249" spans="10:22" s="1" customFormat="1" x14ac:dyDescent="0.2">
      <c r="J249"/>
      <c r="K249"/>
      <c r="L249"/>
      <c r="M249"/>
      <c r="N249"/>
      <c r="O249" s="392"/>
      <c r="P249" s="2"/>
      <c r="R249"/>
      <c r="S249"/>
      <c r="V249"/>
    </row>
    <row r="250" spans="10:22" s="1" customFormat="1" x14ac:dyDescent="0.2">
      <c r="J250"/>
      <c r="K250"/>
      <c r="L250"/>
      <c r="M250"/>
      <c r="N250"/>
      <c r="O250" s="392"/>
      <c r="P250" s="2"/>
      <c r="R250"/>
      <c r="S250"/>
      <c r="V250"/>
    </row>
    <row r="251" spans="10:22" s="1" customFormat="1" x14ac:dyDescent="0.2">
      <c r="J251"/>
      <c r="K251"/>
      <c r="L251"/>
      <c r="M251"/>
      <c r="N251"/>
      <c r="O251" s="392"/>
      <c r="P251" s="2"/>
      <c r="R251"/>
      <c r="S251"/>
      <c r="V251"/>
    </row>
    <row r="252" spans="10:22" s="1" customFormat="1" x14ac:dyDescent="0.2">
      <c r="J252"/>
      <c r="K252"/>
      <c r="L252"/>
      <c r="M252"/>
      <c r="N252"/>
      <c r="O252" s="392"/>
      <c r="P252" s="2"/>
      <c r="R252"/>
      <c r="S252"/>
      <c r="V252"/>
    </row>
    <row r="253" spans="10:22" s="1" customFormat="1" x14ac:dyDescent="0.2">
      <c r="J253"/>
      <c r="K253"/>
      <c r="L253"/>
      <c r="M253"/>
      <c r="N253"/>
      <c r="O253" s="392"/>
      <c r="P253" s="2"/>
      <c r="R253"/>
      <c r="S253"/>
      <c r="V253"/>
    </row>
    <row r="254" spans="10:22" s="1" customFormat="1" x14ac:dyDescent="0.2">
      <c r="J254"/>
      <c r="K254"/>
      <c r="L254"/>
      <c r="M254"/>
      <c r="N254"/>
      <c r="O254" s="392"/>
      <c r="P254" s="2"/>
      <c r="R254"/>
      <c r="S254"/>
      <c r="V254"/>
    </row>
    <row r="255" spans="10:22" s="1" customFormat="1" x14ac:dyDescent="0.2">
      <c r="J255"/>
      <c r="K255"/>
      <c r="L255"/>
      <c r="M255"/>
      <c r="N255"/>
      <c r="O255" s="392"/>
      <c r="P255" s="2"/>
      <c r="R255"/>
      <c r="S255"/>
      <c r="V255"/>
    </row>
    <row r="256" spans="10:22" s="1" customFormat="1" x14ac:dyDescent="0.2">
      <c r="J256"/>
      <c r="K256"/>
      <c r="L256"/>
      <c r="M256"/>
      <c r="N256"/>
      <c r="O256" s="392"/>
      <c r="P256" s="2"/>
      <c r="R256"/>
      <c r="S256"/>
      <c r="V256"/>
    </row>
    <row r="257" spans="10:22" s="1" customFormat="1" x14ac:dyDescent="0.2">
      <c r="J257"/>
      <c r="K257"/>
      <c r="L257"/>
      <c r="M257"/>
      <c r="N257"/>
      <c r="O257" s="392"/>
      <c r="P257" s="2"/>
      <c r="R257"/>
      <c r="S257"/>
      <c r="V257"/>
    </row>
    <row r="258" spans="10:22" s="1" customFormat="1" x14ac:dyDescent="0.2">
      <c r="J258"/>
      <c r="K258"/>
      <c r="L258"/>
      <c r="M258"/>
      <c r="N258"/>
      <c r="O258" s="392"/>
      <c r="P258" s="2"/>
      <c r="R258"/>
      <c r="S258"/>
      <c r="V258"/>
    </row>
    <row r="259" spans="10:22" s="1" customFormat="1" x14ac:dyDescent="0.2">
      <c r="J259"/>
      <c r="K259"/>
      <c r="L259"/>
      <c r="M259"/>
      <c r="N259"/>
      <c r="O259" s="392"/>
      <c r="P259" s="2"/>
      <c r="R259"/>
      <c r="S259"/>
      <c r="V259"/>
    </row>
    <row r="260" spans="10:22" s="1" customFormat="1" x14ac:dyDescent="0.2">
      <c r="J260"/>
      <c r="K260"/>
      <c r="L260"/>
      <c r="M260"/>
      <c r="N260"/>
      <c r="O260" s="392"/>
      <c r="P260" s="2"/>
      <c r="R260"/>
      <c r="S260"/>
      <c r="V260"/>
    </row>
    <row r="261" spans="10:22" s="1" customFormat="1" x14ac:dyDescent="0.2">
      <c r="J261"/>
      <c r="K261"/>
      <c r="L261"/>
      <c r="M261"/>
      <c r="N261"/>
      <c r="O261" s="392"/>
      <c r="P261" s="2"/>
      <c r="R261"/>
      <c r="S261"/>
      <c r="V261"/>
    </row>
    <row r="262" spans="10:22" s="1" customFormat="1" x14ac:dyDescent="0.2">
      <c r="J262"/>
      <c r="K262"/>
      <c r="L262"/>
      <c r="M262"/>
      <c r="N262"/>
      <c r="O262" s="392"/>
      <c r="P262" s="2"/>
      <c r="R262"/>
      <c r="S262"/>
      <c r="V262"/>
    </row>
    <row r="263" spans="10:22" s="1" customFormat="1" x14ac:dyDescent="0.2">
      <c r="J263"/>
      <c r="K263"/>
      <c r="L263"/>
      <c r="M263"/>
      <c r="N263"/>
      <c r="O263" s="392"/>
      <c r="P263" s="2"/>
      <c r="R263"/>
      <c r="S263"/>
      <c r="V263"/>
    </row>
    <row r="264" spans="10:22" s="1" customFormat="1" x14ac:dyDescent="0.2">
      <c r="J264"/>
      <c r="K264"/>
      <c r="L264"/>
      <c r="M264"/>
      <c r="N264"/>
      <c r="O264" s="392"/>
      <c r="P264" s="2"/>
      <c r="R264"/>
      <c r="S264"/>
      <c r="V264"/>
    </row>
    <row r="265" spans="10:22" s="1" customFormat="1" x14ac:dyDescent="0.2">
      <c r="J265"/>
      <c r="K265"/>
      <c r="L265"/>
      <c r="M265"/>
      <c r="N265"/>
      <c r="O265" s="392"/>
      <c r="P265" s="2"/>
      <c r="R265"/>
      <c r="S265"/>
      <c r="V265"/>
    </row>
    <row r="266" spans="10:22" s="1" customFormat="1" x14ac:dyDescent="0.2">
      <c r="J266"/>
      <c r="K266"/>
      <c r="L266"/>
      <c r="M266"/>
      <c r="N266"/>
      <c r="O266" s="392"/>
      <c r="P266" s="2"/>
      <c r="R266"/>
      <c r="S266"/>
      <c r="V266"/>
    </row>
    <row r="267" spans="10:22" s="1" customFormat="1" x14ac:dyDescent="0.2">
      <c r="J267"/>
      <c r="K267"/>
      <c r="L267"/>
      <c r="M267"/>
      <c r="N267"/>
      <c r="O267" s="392"/>
      <c r="P267" s="2"/>
      <c r="R267"/>
      <c r="S267"/>
      <c r="V267"/>
    </row>
    <row r="268" spans="10:22" s="1" customFormat="1" x14ac:dyDescent="0.2">
      <c r="J268"/>
      <c r="K268"/>
      <c r="L268"/>
      <c r="M268"/>
      <c r="N268"/>
      <c r="O268" s="392"/>
      <c r="P268" s="2"/>
      <c r="R268"/>
      <c r="S268"/>
      <c r="V268"/>
    </row>
    <row r="269" spans="10:22" s="1" customFormat="1" x14ac:dyDescent="0.2">
      <c r="J269"/>
      <c r="K269"/>
      <c r="L269"/>
      <c r="M269"/>
      <c r="N269"/>
      <c r="O269" s="392"/>
      <c r="P269" s="2"/>
      <c r="R269"/>
      <c r="S269"/>
      <c r="V269"/>
    </row>
    <row r="270" spans="10:22" s="1" customFormat="1" x14ac:dyDescent="0.2">
      <c r="J270"/>
      <c r="K270"/>
      <c r="L270"/>
      <c r="M270"/>
      <c r="N270"/>
      <c r="O270" s="392"/>
      <c r="P270" s="2"/>
      <c r="R270"/>
      <c r="S270"/>
      <c r="V270"/>
    </row>
    <row r="271" spans="10:22" s="1" customFormat="1" x14ac:dyDescent="0.2">
      <c r="J271"/>
      <c r="K271"/>
      <c r="L271"/>
      <c r="M271"/>
      <c r="N271"/>
      <c r="O271" s="392"/>
      <c r="P271" s="2"/>
      <c r="R271"/>
      <c r="S271"/>
      <c r="V271"/>
    </row>
    <row r="272" spans="10:22" s="1" customFormat="1" x14ac:dyDescent="0.2">
      <c r="J272"/>
      <c r="K272"/>
      <c r="L272"/>
      <c r="M272"/>
      <c r="N272"/>
      <c r="O272" s="392"/>
      <c r="P272" s="2"/>
      <c r="R272"/>
      <c r="S272"/>
      <c r="V272"/>
    </row>
    <row r="273" spans="10:22" s="1" customFormat="1" x14ac:dyDescent="0.2">
      <c r="J273"/>
      <c r="K273"/>
      <c r="L273"/>
      <c r="M273"/>
      <c r="N273"/>
      <c r="O273" s="392"/>
      <c r="P273" s="2"/>
      <c r="R273"/>
      <c r="S273"/>
      <c r="V273"/>
    </row>
    <row r="274" spans="10:22" s="1" customFormat="1" x14ac:dyDescent="0.2">
      <c r="J274"/>
      <c r="K274"/>
      <c r="L274"/>
      <c r="M274"/>
      <c r="N274"/>
      <c r="O274" s="392"/>
      <c r="P274" s="2"/>
      <c r="R274"/>
      <c r="S274"/>
      <c r="V274"/>
    </row>
    <row r="275" spans="10:22" s="1" customFormat="1" x14ac:dyDescent="0.2">
      <c r="J275"/>
      <c r="K275"/>
      <c r="L275"/>
      <c r="M275"/>
      <c r="N275"/>
      <c r="O275" s="392"/>
      <c r="P275" s="2"/>
      <c r="R275"/>
      <c r="S275"/>
      <c r="V275"/>
    </row>
    <row r="276" spans="10:22" s="1" customFormat="1" x14ac:dyDescent="0.2">
      <c r="J276"/>
      <c r="K276"/>
      <c r="L276"/>
      <c r="M276"/>
      <c r="N276"/>
      <c r="O276" s="392"/>
      <c r="P276" s="2"/>
      <c r="R276"/>
      <c r="S276"/>
      <c r="V276"/>
    </row>
    <row r="277" spans="10:22" s="1" customFormat="1" x14ac:dyDescent="0.2">
      <c r="J277"/>
      <c r="K277"/>
      <c r="L277"/>
      <c r="M277"/>
      <c r="N277"/>
      <c r="O277" s="392"/>
      <c r="P277" s="2"/>
      <c r="R277"/>
      <c r="S277"/>
      <c r="V277"/>
    </row>
    <row r="278" spans="10:22" s="1" customFormat="1" x14ac:dyDescent="0.2">
      <c r="J278"/>
      <c r="K278"/>
      <c r="L278"/>
      <c r="M278"/>
      <c r="N278"/>
      <c r="O278" s="392"/>
      <c r="P278" s="2"/>
      <c r="R278"/>
      <c r="S278"/>
      <c r="V278"/>
    </row>
    <row r="279" spans="10:22" s="1" customFormat="1" x14ac:dyDescent="0.2">
      <c r="J279"/>
      <c r="K279"/>
      <c r="L279"/>
      <c r="M279"/>
      <c r="N279"/>
      <c r="O279" s="392"/>
      <c r="P279" s="2"/>
      <c r="R279"/>
      <c r="S279"/>
      <c r="V279"/>
    </row>
    <row r="280" spans="10:22" s="1" customFormat="1" x14ac:dyDescent="0.2">
      <c r="J280"/>
      <c r="K280"/>
      <c r="L280"/>
      <c r="M280"/>
      <c r="N280"/>
      <c r="O280" s="392"/>
      <c r="P280" s="2"/>
      <c r="R280"/>
      <c r="S280"/>
      <c r="V280"/>
    </row>
    <row r="281" spans="10:22" s="1" customFormat="1" x14ac:dyDescent="0.2">
      <c r="J281"/>
      <c r="K281"/>
      <c r="L281"/>
      <c r="M281"/>
      <c r="N281"/>
      <c r="O281" s="392"/>
      <c r="P281" s="2"/>
      <c r="R281"/>
      <c r="S281"/>
      <c r="V281"/>
    </row>
    <row r="282" spans="10:22" s="1" customFormat="1" x14ac:dyDescent="0.2">
      <c r="J282"/>
      <c r="K282"/>
      <c r="L282"/>
      <c r="M282"/>
      <c r="N282"/>
      <c r="O282" s="392"/>
      <c r="P282" s="2"/>
      <c r="R282"/>
      <c r="S282"/>
      <c r="V282"/>
    </row>
    <row r="283" spans="10:22" s="1" customFormat="1" x14ac:dyDescent="0.2">
      <c r="J283"/>
      <c r="K283"/>
      <c r="L283"/>
      <c r="M283"/>
      <c r="N283"/>
      <c r="O283" s="392"/>
      <c r="P283" s="2"/>
      <c r="R283"/>
      <c r="S283"/>
      <c r="V283"/>
    </row>
    <row r="284" spans="10:22" s="1" customFormat="1" x14ac:dyDescent="0.2">
      <c r="J284"/>
      <c r="K284"/>
      <c r="L284"/>
      <c r="M284"/>
      <c r="N284"/>
      <c r="O284" s="392"/>
      <c r="P284" s="2"/>
      <c r="R284"/>
      <c r="S284"/>
      <c r="V284"/>
    </row>
    <row r="285" spans="10:22" s="1" customFormat="1" x14ac:dyDescent="0.2">
      <c r="J285"/>
      <c r="K285"/>
      <c r="L285"/>
      <c r="M285"/>
      <c r="N285"/>
      <c r="O285" s="392"/>
      <c r="P285" s="2"/>
      <c r="R285"/>
      <c r="S285"/>
      <c r="V285"/>
    </row>
    <row r="286" spans="10:22" s="1" customFormat="1" x14ac:dyDescent="0.2">
      <c r="J286"/>
      <c r="K286"/>
      <c r="L286"/>
      <c r="M286"/>
      <c r="N286"/>
      <c r="O286" s="392"/>
      <c r="P286" s="2"/>
      <c r="R286"/>
      <c r="S286"/>
      <c r="V286"/>
    </row>
    <row r="287" spans="10:22" s="1" customFormat="1" x14ac:dyDescent="0.2">
      <c r="J287"/>
      <c r="K287"/>
      <c r="L287"/>
      <c r="M287"/>
      <c r="N287"/>
      <c r="O287" s="392"/>
      <c r="P287" s="2"/>
      <c r="R287"/>
      <c r="S287"/>
      <c r="V287"/>
    </row>
    <row r="288" spans="10:22" s="1" customFormat="1" x14ac:dyDescent="0.2">
      <c r="J288"/>
      <c r="K288"/>
      <c r="L288"/>
      <c r="M288"/>
      <c r="N288"/>
      <c r="O288" s="392"/>
      <c r="P288" s="2"/>
      <c r="R288"/>
      <c r="S288"/>
      <c r="V288"/>
    </row>
    <row r="289" spans="10:22" s="1" customFormat="1" x14ac:dyDescent="0.2">
      <c r="J289"/>
      <c r="K289"/>
      <c r="L289"/>
      <c r="M289"/>
      <c r="N289"/>
      <c r="O289" s="392"/>
      <c r="P289" s="2"/>
      <c r="R289"/>
      <c r="S289"/>
      <c r="V289"/>
    </row>
    <row r="290" spans="10:22" s="1" customFormat="1" x14ac:dyDescent="0.2">
      <c r="J290"/>
      <c r="K290"/>
      <c r="L290"/>
      <c r="M290"/>
      <c r="N290"/>
      <c r="O290" s="392"/>
      <c r="P290" s="2"/>
      <c r="R290"/>
      <c r="S290"/>
      <c r="V290"/>
    </row>
    <row r="291" spans="10:22" s="1" customFormat="1" x14ac:dyDescent="0.2">
      <c r="J291"/>
      <c r="K291"/>
      <c r="L291"/>
      <c r="M291"/>
      <c r="N291"/>
      <c r="O291" s="392"/>
      <c r="P291" s="2"/>
      <c r="R291"/>
      <c r="S291"/>
      <c r="V291"/>
    </row>
    <row r="292" spans="10:22" s="1" customFormat="1" x14ac:dyDescent="0.2">
      <c r="J292"/>
      <c r="K292"/>
      <c r="L292"/>
      <c r="M292"/>
      <c r="N292"/>
      <c r="O292" s="392"/>
      <c r="P292" s="2"/>
      <c r="R292"/>
      <c r="S292"/>
      <c r="V292"/>
    </row>
    <row r="293" spans="10:22" s="1" customFormat="1" x14ac:dyDescent="0.2">
      <c r="J293"/>
      <c r="K293"/>
      <c r="L293"/>
      <c r="M293"/>
      <c r="N293"/>
      <c r="O293" s="392"/>
      <c r="P293" s="2"/>
      <c r="R293"/>
      <c r="S293"/>
      <c r="V293"/>
    </row>
    <row r="294" spans="10:22" s="1" customFormat="1" x14ac:dyDescent="0.2">
      <c r="J294"/>
      <c r="K294"/>
      <c r="L294"/>
      <c r="M294"/>
      <c r="N294"/>
      <c r="O294" s="392"/>
      <c r="P294" s="2"/>
      <c r="R294"/>
      <c r="S294"/>
      <c r="V294"/>
    </row>
    <row r="295" spans="10:22" s="1" customFormat="1" x14ac:dyDescent="0.2">
      <c r="J295"/>
      <c r="K295"/>
      <c r="L295"/>
      <c r="M295"/>
      <c r="N295"/>
      <c r="O295" s="392"/>
      <c r="P295" s="2"/>
      <c r="R295"/>
      <c r="S295"/>
      <c r="V295"/>
    </row>
    <row r="296" spans="10:22" s="1" customFormat="1" x14ac:dyDescent="0.2">
      <c r="J296"/>
      <c r="K296"/>
      <c r="L296"/>
      <c r="M296"/>
      <c r="N296"/>
      <c r="O296" s="392"/>
      <c r="P296" s="2"/>
      <c r="R296"/>
      <c r="S296"/>
      <c r="V296"/>
    </row>
    <row r="297" spans="10:22" s="1" customFormat="1" x14ac:dyDescent="0.2">
      <c r="J297"/>
      <c r="K297"/>
      <c r="L297"/>
      <c r="M297"/>
      <c r="N297"/>
      <c r="O297" s="392"/>
      <c r="P297" s="2"/>
      <c r="R297"/>
      <c r="S297"/>
      <c r="V297"/>
    </row>
    <row r="298" spans="10:22" s="1" customFormat="1" x14ac:dyDescent="0.2">
      <c r="J298"/>
      <c r="K298"/>
      <c r="L298"/>
      <c r="M298"/>
      <c r="N298"/>
      <c r="O298" s="392"/>
      <c r="P298" s="2"/>
      <c r="R298"/>
      <c r="S298"/>
      <c r="V298"/>
    </row>
    <row r="299" spans="10:22" s="1" customFormat="1" x14ac:dyDescent="0.2">
      <c r="J299"/>
      <c r="K299"/>
      <c r="L299"/>
      <c r="M299"/>
      <c r="N299"/>
      <c r="O299" s="392"/>
      <c r="P299" s="2"/>
      <c r="R299"/>
      <c r="S299"/>
      <c r="V299"/>
    </row>
    <row r="300" spans="10:22" s="1" customFormat="1" x14ac:dyDescent="0.2">
      <c r="J300"/>
      <c r="K300"/>
      <c r="L300"/>
      <c r="M300"/>
      <c r="N300"/>
      <c r="O300" s="392"/>
      <c r="P300" s="2"/>
      <c r="R300"/>
      <c r="S300"/>
      <c r="V300"/>
    </row>
    <row r="301" spans="10:22" s="1" customFormat="1" x14ac:dyDescent="0.2">
      <c r="J301"/>
      <c r="K301"/>
      <c r="L301"/>
      <c r="M301"/>
      <c r="N301"/>
      <c r="O301" s="392"/>
      <c r="P301" s="2"/>
      <c r="R301"/>
      <c r="S301"/>
      <c r="V301"/>
    </row>
    <row r="302" spans="10:22" s="1" customFormat="1" x14ac:dyDescent="0.2">
      <c r="J302"/>
      <c r="K302"/>
      <c r="L302"/>
      <c r="M302"/>
      <c r="N302"/>
      <c r="O302" s="392"/>
      <c r="P302" s="2"/>
      <c r="R302"/>
      <c r="S302"/>
      <c r="V302"/>
    </row>
    <row r="303" spans="10:22" s="1" customFormat="1" x14ac:dyDescent="0.2">
      <c r="J303"/>
      <c r="K303"/>
      <c r="L303"/>
      <c r="M303"/>
      <c r="N303"/>
      <c r="O303" s="392"/>
      <c r="P303" s="2"/>
      <c r="R303"/>
      <c r="S303"/>
      <c r="V303"/>
    </row>
    <row r="304" spans="10:22" s="1" customFormat="1" x14ac:dyDescent="0.2">
      <c r="J304"/>
      <c r="K304"/>
      <c r="L304"/>
      <c r="M304"/>
      <c r="N304"/>
      <c r="O304" s="392"/>
      <c r="P304" s="2"/>
      <c r="R304"/>
      <c r="S304"/>
      <c r="V304"/>
    </row>
    <row r="305" spans="10:22" s="1" customFormat="1" x14ac:dyDescent="0.2">
      <c r="J305"/>
      <c r="K305"/>
      <c r="L305"/>
      <c r="M305"/>
      <c r="N305"/>
      <c r="O305" s="392"/>
      <c r="P305" s="2"/>
      <c r="R305"/>
      <c r="S305"/>
      <c r="V305"/>
    </row>
    <row r="306" spans="10:22" s="1" customFormat="1" x14ac:dyDescent="0.2">
      <c r="J306"/>
      <c r="K306"/>
      <c r="L306"/>
      <c r="M306"/>
      <c r="N306"/>
      <c r="O306" s="392"/>
      <c r="P306" s="2"/>
      <c r="R306"/>
      <c r="S306"/>
      <c r="V306"/>
    </row>
    <row r="307" spans="10:22" s="1" customFormat="1" x14ac:dyDescent="0.2">
      <c r="J307"/>
      <c r="K307"/>
      <c r="L307"/>
      <c r="M307"/>
      <c r="N307"/>
      <c r="O307" s="392"/>
      <c r="P307" s="2"/>
      <c r="R307"/>
      <c r="S307"/>
      <c r="V307"/>
    </row>
    <row r="308" spans="10:22" s="1" customFormat="1" x14ac:dyDescent="0.2">
      <c r="J308"/>
      <c r="K308"/>
      <c r="L308"/>
      <c r="M308"/>
      <c r="N308"/>
      <c r="O308" s="392"/>
      <c r="P308" s="2"/>
      <c r="R308"/>
      <c r="S308"/>
      <c r="V308"/>
    </row>
    <row r="309" spans="10:22" s="1" customFormat="1" x14ac:dyDescent="0.2">
      <c r="J309"/>
      <c r="K309"/>
      <c r="L309"/>
      <c r="M309"/>
      <c r="N309"/>
      <c r="O309" s="392"/>
      <c r="P309" s="2"/>
      <c r="R309"/>
      <c r="S309"/>
      <c r="V309"/>
    </row>
    <row r="310" spans="10:22" s="1" customFormat="1" x14ac:dyDescent="0.2">
      <c r="J310"/>
      <c r="K310"/>
      <c r="L310"/>
      <c r="M310"/>
      <c r="N310"/>
      <c r="O310" s="392"/>
      <c r="P310" s="2"/>
      <c r="R310"/>
      <c r="S310"/>
      <c r="V310"/>
    </row>
    <row r="311" spans="10:22" s="1" customFormat="1" x14ac:dyDescent="0.2">
      <c r="J311"/>
      <c r="K311"/>
      <c r="L311"/>
      <c r="M311"/>
      <c r="N311"/>
      <c r="O311" s="392"/>
      <c r="P311" s="2"/>
      <c r="R311"/>
      <c r="S311"/>
      <c r="V311"/>
    </row>
    <row r="312" spans="10:22" s="1" customFormat="1" x14ac:dyDescent="0.2">
      <c r="J312"/>
      <c r="K312"/>
      <c r="L312"/>
      <c r="M312"/>
      <c r="N312"/>
      <c r="O312" s="392"/>
      <c r="P312" s="2"/>
      <c r="R312"/>
      <c r="S312"/>
      <c r="V312"/>
    </row>
    <row r="313" spans="10:22" s="1" customFormat="1" x14ac:dyDescent="0.2">
      <c r="J313"/>
      <c r="K313"/>
      <c r="L313"/>
      <c r="M313"/>
      <c r="N313"/>
      <c r="O313" s="392"/>
      <c r="P313" s="2"/>
      <c r="R313"/>
      <c r="S313"/>
      <c r="V313"/>
    </row>
    <row r="314" spans="10:22" s="1" customFormat="1" x14ac:dyDescent="0.2">
      <c r="J314"/>
      <c r="K314"/>
      <c r="L314"/>
      <c r="M314"/>
      <c r="N314"/>
      <c r="O314" s="392"/>
      <c r="P314" s="2"/>
      <c r="R314"/>
      <c r="S314"/>
      <c r="V314"/>
    </row>
    <row r="315" spans="10:22" s="1" customFormat="1" x14ac:dyDescent="0.2">
      <c r="J315"/>
      <c r="K315"/>
      <c r="L315"/>
      <c r="M315"/>
      <c r="N315"/>
      <c r="O315" s="392"/>
      <c r="P315" s="2"/>
      <c r="R315"/>
      <c r="S315"/>
      <c r="V315"/>
    </row>
    <row r="316" spans="10:22" s="1" customFormat="1" x14ac:dyDescent="0.2">
      <c r="J316"/>
      <c r="K316"/>
      <c r="L316"/>
      <c r="M316"/>
      <c r="N316"/>
      <c r="O316" s="392"/>
      <c r="P316" s="2"/>
      <c r="R316"/>
      <c r="S316"/>
      <c r="V316"/>
    </row>
    <row r="317" spans="10:22" s="1" customFormat="1" x14ac:dyDescent="0.2">
      <c r="J317"/>
      <c r="K317"/>
      <c r="L317"/>
      <c r="M317"/>
      <c r="N317"/>
      <c r="O317" s="392"/>
      <c r="P317" s="2"/>
      <c r="R317"/>
      <c r="S317"/>
      <c r="V317"/>
    </row>
    <row r="318" spans="10:22" s="1" customFormat="1" x14ac:dyDescent="0.2">
      <c r="J318"/>
      <c r="K318"/>
      <c r="L318"/>
      <c r="M318"/>
      <c r="N318"/>
      <c r="O318" s="392"/>
      <c r="P318" s="2"/>
      <c r="R318"/>
      <c r="S318"/>
      <c r="V318"/>
    </row>
    <row r="319" spans="10:22" s="1" customFormat="1" x14ac:dyDescent="0.2">
      <c r="J319"/>
      <c r="K319"/>
      <c r="L319"/>
      <c r="M319"/>
      <c r="N319"/>
      <c r="O319" s="392"/>
      <c r="P319" s="2"/>
      <c r="R319"/>
      <c r="S319"/>
      <c r="V319"/>
    </row>
    <row r="320" spans="10:22" s="1" customFormat="1" x14ac:dyDescent="0.2">
      <c r="J320"/>
      <c r="K320"/>
      <c r="L320"/>
      <c r="M320"/>
      <c r="N320"/>
      <c r="O320" s="392"/>
      <c r="P320" s="2"/>
      <c r="R320"/>
      <c r="S320"/>
      <c r="V320"/>
    </row>
    <row r="321" spans="10:22" s="1" customFormat="1" x14ac:dyDescent="0.2">
      <c r="J321"/>
      <c r="K321"/>
      <c r="L321"/>
      <c r="M321"/>
      <c r="N321"/>
      <c r="O321" s="392"/>
      <c r="P321" s="2"/>
      <c r="R321"/>
      <c r="S321"/>
      <c r="V321"/>
    </row>
    <row r="322" spans="10:22" s="1" customFormat="1" x14ac:dyDescent="0.2">
      <c r="J322"/>
      <c r="K322"/>
      <c r="L322"/>
      <c r="M322"/>
      <c r="N322"/>
      <c r="O322" s="392"/>
      <c r="P322" s="2"/>
      <c r="R322"/>
      <c r="S322"/>
      <c r="V322"/>
    </row>
    <row r="323" spans="10:22" s="1" customFormat="1" x14ac:dyDescent="0.2">
      <c r="J323"/>
      <c r="K323"/>
      <c r="L323"/>
      <c r="M323"/>
      <c r="N323"/>
      <c r="O323" s="392"/>
      <c r="P323" s="2"/>
      <c r="R323"/>
      <c r="S323"/>
      <c r="V323"/>
    </row>
    <row r="324" spans="10:22" s="1" customFormat="1" x14ac:dyDescent="0.2">
      <c r="J324"/>
      <c r="K324"/>
      <c r="L324"/>
      <c r="M324"/>
      <c r="N324"/>
      <c r="O324" s="392"/>
      <c r="P324" s="2"/>
      <c r="R324"/>
      <c r="S324"/>
      <c r="V324"/>
    </row>
    <row r="325" spans="10:22" s="1" customFormat="1" x14ac:dyDescent="0.2">
      <c r="J325"/>
      <c r="K325"/>
      <c r="L325"/>
      <c r="M325"/>
      <c r="N325"/>
      <c r="O325" s="392"/>
      <c r="P325" s="2"/>
      <c r="R325"/>
      <c r="S325"/>
      <c r="V325"/>
    </row>
    <row r="326" spans="10:22" s="1" customFormat="1" x14ac:dyDescent="0.2">
      <c r="J326"/>
      <c r="K326"/>
      <c r="L326"/>
      <c r="M326"/>
      <c r="N326"/>
      <c r="O326" s="392"/>
      <c r="P326" s="2"/>
      <c r="R326"/>
      <c r="S326"/>
      <c r="V326"/>
    </row>
    <row r="327" spans="10:22" s="1" customFormat="1" x14ac:dyDescent="0.2">
      <c r="J327"/>
      <c r="K327"/>
      <c r="L327"/>
      <c r="M327"/>
      <c r="N327"/>
      <c r="O327" s="392"/>
      <c r="P327" s="2"/>
      <c r="R327"/>
      <c r="S327"/>
      <c r="V327"/>
    </row>
    <row r="328" spans="10:22" s="1" customFormat="1" x14ac:dyDescent="0.2">
      <c r="J328"/>
      <c r="K328"/>
      <c r="L328"/>
      <c r="M328"/>
      <c r="N328"/>
      <c r="O328" s="392"/>
      <c r="P328" s="2"/>
      <c r="R328"/>
      <c r="S328"/>
      <c r="V328"/>
    </row>
    <row r="329" spans="10:22" s="1" customFormat="1" x14ac:dyDescent="0.2">
      <c r="J329"/>
      <c r="K329"/>
      <c r="L329"/>
      <c r="M329"/>
      <c r="N329"/>
      <c r="O329" s="392"/>
      <c r="P329" s="2"/>
      <c r="R329"/>
      <c r="S329"/>
      <c r="V329"/>
    </row>
    <row r="330" spans="10:22" s="1" customFormat="1" x14ac:dyDescent="0.2">
      <c r="J330"/>
      <c r="K330"/>
      <c r="L330"/>
      <c r="M330"/>
      <c r="N330"/>
      <c r="O330" s="392"/>
      <c r="P330" s="2"/>
      <c r="R330"/>
      <c r="S330"/>
      <c r="V330"/>
    </row>
    <row r="331" spans="10:22" s="1" customFormat="1" x14ac:dyDescent="0.2">
      <c r="J331"/>
      <c r="K331"/>
      <c r="L331"/>
      <c r="M331"/>
      <c r="N331"/>
      <c r="O331" s="392"/>
      <c r="P331" s="2"/>
      <c r="R331"/>
      <c r="S331"/>
      <c r="V331"/>
    </row>
    <row r="332" spans="10:22" s="1" customFormat="1" x14ac:dyDescent="0.2">
      <c r="J332"/>
      <c r="K332"/>
      <c r="L332"/>
      <c r="M332"/>
      <c r="N332"/>
      <c r="O332" s="392"/>
      <c r="P332" s="2"/>
      <c r="R332"/>
      <c r="S332"/>
      <c r="V332"/>
    </row>
    <row r="333" spans="10:22" s="1" customFormat="1" x14ac:dyDescent="0.2">
      <c r="J333"/>
      <c r="K333"/>
      <c r="L333"/>
      <c r="M333"/>
      <c r="N333"/>
      <c r="O333" s="392"/>
      <c r="P333" s="2"/>
      <c r="R333"/>
      <c r="S333"/>
      <c r="V333"/>
    </row>
    <row r="334" spans="10:22" s="1" customFormat="1" x14ac:dyDescent="0.2">
      <c r="J334"/>
      <c r="K334"/>
      <c r="L334"/>
      <c r="M334"/>
      <c r="N334"/>
      <c r="O334" s="392"/>
      <c r="P334" s="2"/>
      <c r="R334"/>
      <c r="S334"/>
      <c r="V334"/>
    </row>
    <row r="335" spans="10:22" s="1" customFormat="1" x14ac:dyDescent="0.2">
      <c r="J335"/>
      <c r="K335"/>
      <c r="L335"/>
      <c r="M335"/>
      <c r="N335"/>
      <c r="O335" s="392"/>
      <c r="P335" s="2"/>
      <c r="R335"/>
      <c r="S335"/>
      <c r="V335"/>
    </row>
    <row r="336" spans="10:22" s="1" customFormat="1" x14ac:dyDescent="0.2">
      <c r="J336"/>
      <c r="K336"/>
      <c r="L336"/>
      <c r="M336"/>
      <c r="N336"/>
      <c r="O336" s="392"/>
      <c r="P336" s="2"/>
      <c r="R336"/>
      <c r="S336"/>
      <c r="V336"/>
    </row>
    <row r="337" spans="10:22" s="1" customFormat="1" x14ac:dyDescent="0.2">
      <c r="J337"/>
      <c r="K337"/>
      <c r="L337"/>
      <c r="M337"/>
      <c r="N337"/>
      <c r="O337" s="392"/>
      <c r="P337" s="2"/>
      <c r="R337"/>
      <c r="S337"/>
      <c r="V337"/>
    </row>
    <row r="338" spans="10:22" s="1" customFormat="1" x14ac:dyDescent="0.2">
      <c r="J338"/>
      <c r="K338"/>
      <c r="L338"/>
      <c r="M338"/>
      <c r="N338"/>
      <c r="O338" s="392"/>
      <c r="P338" s="2"/>
      <c r="R338"/>
      <c r="S338"/>
      <c r="V338"/>
    </row>
    <row r="339" spans="10:22" s="1" customFormat="1" x14ac:dyDescent="0.2">
      <c r="J339"/>
      <c r="K339"/>
      <c r="L339"/>
      <c r="M339"/>
      <c r="N339"/>
      <c r="O339" s="392"/>
      <c r="P339" s="2"/>
      <c r="R339"/>
      <c r="S339"/>
      <c r="V339"/>
    </row>
    <row r="340" spans="10:22" s="1" customFormat="1" x14ac:dyDescent="0.2">
      <c r="J340"/>
      <c r="K340"/>
      <c r="L340"/>
      <c r="M340"/>
      <c r="N340"/>
      <c r="O340" s="392"/>
      <c r="P340" s="2"/>
      <c r="R340"/>
      <c r="S340"/>
      <c r="V340"/>
    </row>
    <row r="341" spans="10:22" s="1" customFormat="1" x14ac:dyDescent="0.2">
      <c r="J341"/>
      <c r="K341"/>
      <c r="L341"/>
      <c r="M341"/>
      <c r="N341"/>
      <c r="O341" s="392"/>
      <c r="P341" s="2"/>
      <c r="R341"/>
      <c r="S341"/>
      <c r="V341"/>
    </row>
    <row r="342" spans="10:22" s="1" customFormat="1" x14ac:dyDescent="0.2">
      <c r="J342"/>
      <c r="K342"/>
      <c r="L342"/>
      <c r="M342"/>
      <c r="N342"/>
      <c r="O342" s="392"/>
      <c r="P342" s="2"/>
      <c r="R342"/>
      <c r="S342"/>
      <c r="V342"/>
    </row>
    <row r="343" spans="10:22" s="1" customFormat="1" x14ac:dyDescent="0.2">
      <c r="J343"/>
      <c r="K343"/>
      <c r="L343"/>
      <c r="M343"/>
      <c r="N343"/>
      <c r="O343" s="392"/>
      <c r="P343" s="2"/>
      <c r="R343"/>
      <c r="S343"/>
      <c r="V343"/>
    </row>
    <row r="344" spans="10:22" s="1" customFormat="1" x14ac:dyDescent="0.2">
      <c r="J344"/>
      <c r="K344"/>
      <c r="L344"/>
      <c r="M344"/>
      <c r="N344"/>
      <c r="O344" s="392"/>
      <c r="P344" s="2"/>
      <c r="R344"/>
      <c r="S344"/>
      <c r="V344"/>
    </row>
    <row r="345" spans="10:22" s="1" customFormat="1" x14ac:dyDescent="0.2">
      <c r="J345"/>
      <c r="K345"/>
      <c r="L345"/>
      <c r="M345"/>
      <c r="N345"/>
      <c r="O345" s="392"/>
      <c r="P345" s="2"/>
      <c r="R345"/>
      <c r="S345"/>
      <c r="V345"/>
    </row>
    <row r="346" spans="10:22" s="1" customFormat="1" x14ac:dyDescent="0.2">
      <c r="J346"/>
      <c r="K346"/>
      <c r="L346"/>
      <c r="M346"/>
      <c r="N346"/>
      <c r="O346" s="392"/>
      <c r="P346" s="2"/>
      <c r="R346"/>
      <c r="S346"/>
      <c r="V346"/>
    </row>
    <row r="347" spans="10:22" s="1" customFormat="1" x14ac:dyDescent="0.2">
      <c r="J347"/>
      <c r="K347"/>
      <c r="L347"/>
      <c r="M347"/>
      <c r="N347"/>
      <c r="O347" s="392"/>
      <c r="P347" s="2"/>
      <c r="R347"/>
      <c r="S347"/>
      <c r="V347"/>
    </row>
    <row r="348" spans="10:22" s="1" customFormat="1" x14ac:dyDescent="0.2">
      <c r="J348"/>
      <c r="K348"/>
      <c r="L348"/>
      <c r="M348"/>
      <c r="N348"/>
      <c r="O348" s="392"/>
      <c r="P348" s="2"/>
      <c r="R348"/>
      <c r="S348"/>
      <c r="V348"/>
    </row>
    <row r="349" spans="10:22" s="1" customFormat="1" x14ac:dyDescent="0.2">
      <c r="J349"/>
      <c r="K349"/>
      <c r="L349"/>
      <c r="M349"/>
      <c r="N349"/>
      <c r="O349" s="392"/>
      <c r="P349" s="2"/>
      <c r="R349"/>
      <c r="S349"/>
      <c r="V349"/>
    </row>
    <row r="350" spans="10:22" s="1" customFormat="1" x14ac:dyDescent="0.2">
      <c r="J350"/>
      <c r="K350"/>
      <c r="L350"/>
      <c r="M350"/>
      <c r="N350"/>
      <c r="O350" s="392"/>
      <c r="P350" s="2"/>
      <c r="R350"/>
      <c r="S350"/>
      <c r="V350"/>
    </row>
    <row r="351" spans="10:22" s="1" customFormat="1" x14ac:dyDescent="0.2">
      <c r="J351"/>
      <c r="K351"/>
      <c r="L351"/>
      <c r="M351"/>
      <c r="N351"/>
      <c r="O351" s="392"/>
      <c r="P351" s="2"/>
      <c r="R351"/>
      <c r="S351"/>
      <c r="V351"/>
    </row>
    <row r="352" spans="10:22" s="1" customFormat="1" x14ac:dyDescent="0.2">
      <c r="J352"/>
      <c r="K352"/>
      <c r="L352"/>
      <c r="M352"/>
      <c r="N352"/>
      <c r="O352" s="392"/>
      <c r="P352" s="2"/>
      <c r="R352"/>
      <c r="S352"/>
      <c r="V352"/>
    </row>
    <row r="353" spans="10:22" s="1" customFormat="1" x14ac:dyDescent="0.2">
      <c r="J353"/>
      <c r="K353"/>
      <c r="L353"/>
      <c r="M353"/>
      <c r="N353"/>
      <c r="O353" s="392"/>
      <c r="P353" s="2"/>
      <c r="R353"/>
      <c r="S353"/>
      <c r="V353"/>
    </row>
    <row r="354" spans="10:22" s="1" customFormat="1" x14ac:dyDescent="0.2">
      <c r="J354"/>
      <c r="K354"/>
      <c r="L354"/>
      <c r="M354"/>
      <c r="N354"/>
      <c r="O354" s="392"/>
      <c r="P354" s="2"/>
      <c r="R354"/>
      <c r="S354"/>
      <c r="V354"/>
    </row>
    <row r="355" spans="10:22" s="1" customFormat="1" x14ac:dyDescent="0.2">
      <c r="J355"/>
      <c r="K355"/>
      <c r="L355"/>
      <c r="M355"/>
      <c r="N355"/>
      <c r="O355" s="392"/>
      <c r="P355" s="2"/>
      <c r="R355"/>
      <c r="S355"/>
      <c r="V355"/>
    </row>
    <row r="356" spans="10:22" s="1" customFormat="1" x14ac:dyDescent="0.2">
      <c r="J356"/>
      <c r="K356"/>
      <c r="L356"/>
      <c r="M356"/>
      <c r="N356"/>
      <c r="O356" s="392"/>
      <c r="P356" s="2"/>
      <c r="R356"/>
      <c r="S356"/>
      <c r="V356"/>
    </row>
    <row r="357" spans="10:22" s="1" customFormat="1" x14ac:dyDescent="0.2">
      <c r="J357"/>
      <c r="K357"/>
      <c r="L357"/>
      <c r="M357"/>
      <c r="N357"/>
      <c r="O357" s="392"/>
      <c r="P357" s="2"/>
      <c r="R357"/>
      <c r="S357"/>
      <c r="V357"/>
    </row>
    <row r="358" spans="10:22" s="1" customFormat="1" x14ac:dyDescent="0.2">
      <c r="J358"/>
      <c r="K358"/>
      <c r="L358"/>
      <c r="M358"/>
      <c r="N358"/>
      <c r="O358" s="392"/>
      <c r="P358" s="2"/>
      <c r="R358"/>
      <c r="S358"/>
      <c r="V358"/>
    </row>
    <row r="359" spans="10:22" s="1" customFormat="1" x14ac:dyDescent="0.2">
      <c r="J359"/>
      <c r="K359"/>
      <c r="L359"/>
      <c r="M359"/>
      <c r="N359"/>
      <c r="O359" s="392"/>
      <c r="P359" s="2"/>
      <c r="R359"/>
      <c r="S359"/>
      <c r="V359"/>
    </row>
    <row r="360" spans="10:22" s="1" customFormat="1" x14ac:dyDescent="0.2">
      <c r="J360"/>
      <c r="K360"/>
      <c r="L360"/>
      <c r="M360"/>
      <c r="N360"/>
      <c r="O360" s="392"/>
      <c r="P360" s="2"/>
      <c r="R360"/>
      <c r="S360"/>
      <c r="V360"/>
    </row>
    <row r="361" spans="10:22" s="1" customFormat="1" x14ac:dyDescent="0.2">
      <c r="J361"/>
      <c r="K361"/>
      <c r="L361"/>
      <c r="M361"/>
      <c r="N361"/>
      <c r="O361" s="392"/>
      <c r="P361" s="2"/>
      <c r="R361"/>
      <c r="S361"/>
      <c r="V361"/>
    </row>
    <row r="362" spans="10:22" s="1" customFormat="1" x14ac:dyDescent="0.2">
      <c r="J362"/>
      <c r="K362"/>
      <c r="L362"/>
      <c r="M362"/>
      <c r="N362"/>
      <c r="O362" s="392"/>
      <c r="P362" s="2"/>
      <c r="R362"/>
      <c r="S362"/>
      <c r="V362"/>
    </row>
    <row r="363" spans="10:22" s="1" customFormat="1" x14ac:dyDescent="0.2">
      <c r="J363"/>
      <c r="K363"/>
      <c r="L363"/>
      <c r="M363"/>
      <c r="N363"/>
      <c r="O363" s="392"/>
      <c r="P363" s="2"/>
      <c r="R363"/>
      <c r="S363"/>
      <c r="V363"/>
    </row>
    <row r="364" spans="10:22" s="1" customFormat="1" x14ac:dyDescent="0.2">
      <c r="J364"/>
      <c r="K364"/>
      <c r="L364"/>
      <c r="M364"/>
      <c r="N364"/>
      <c r="O364" s="392"/>
      <c r="P364" s="2"/>
      <c r="R364"/>
      <c r="S364"/>
      <c r="V364"/>
    </row>
    <row r="365" spans="10:22" s="1" customFormat="1" x14ac:dyDescent="0.2">
      <c r="J365"/>
      <c r="K365"/>
      <c r="L365"/>
      <c r="M365"/>
      <c r="N365"/>
      <c r="O365" s="392"/>
      <c r="P365" s="2"/>
      <c r="R365"/>
      <c r="S365"/>
      <c r="V365"/>
    </row>
    <row r="366" spans="10:22" s="1" customFormat="1" x14ac:dyDescent="0.2">
      <c r="J366"/>
      <c r="K366"/>
      <c r="L366"/>
      <c r="M366"/>
      <c r="N366"/>
      <c r="O366" s="392"/>
      <c r="P366" s="2"/>
      <c r="R366"/>
      <c r="S366"/>
      <c r="V366"/>
    </row>
    <row r="367" spans="10:22" s="1" customFormat="1" x14ac:dyDescent="0.2">
      <c r="J367"/>
      <c r="K367"/>
      <c r="L367"/>
      <c r="M367"/>
      <c r="N367"/>
      <c r="O367" s="392"/>
      <c r="P367" s="2"/>
      <c r="R367"/>
      <c r="S367"/>
      <c r="V367"/>
    </row>
    <row r="368" spans="10:22" s="1" customFormat="1" x14ac:dyDescent="0.2">
      <c r="J368"/>
      <c r="K368"/>
      <c r="L368"/>
      <c r="M368"/>
      <c r="N368"/>
      <c r="O368" s="392"/>
      <c r="P368" s="2"/>
      <c r="R368"/>
      <c r="S368"/>
      <c r="V368"/>
    </row>
    <row r="369" spans="10:22" s="1" customFormat="1" x14ac:dyDescent="0.2">
      <c r="J369"/>
      <c r="K369"/>
      <c r="L369"/>
      <c r="M369"/>
      <c r="N369"/>
      <c r="O369" s="392"/>
      <c r="P369" s="2"/>
      <c r="R369"/>
      <c r="S369"/>
      <c r="V369"/>
    </row>
    <row r="370" spans="10:22" s="1" customFormat="1" x14ac:dyDescent="0.2">
      <c r="J370"/>
      <c r="K370"/>
      <c r="L370"/>
      <c r="M370"/>
      <c r="N370"/>
      <c r="O370" s="392"/>
      <c r="P370" s="2"/>
      <c r="R370"/>
      <c r="S370"/>
      <c r="V370"/>
    </row>
    <row r="371" spans="10:22" s="1" customFormat="1" x14ac:dyDescent="0.2">
      <c r="J371"/>
      <c r="K371"/>
      <c r="L371"/>
      <c r="M371"/>
      <c r="N371"/>
      <c r="O371" s="392"/>
      <c r="P371" s="2"/>
      <c r="R371"/>
      <c r="S371"/>
      <c r="V371"/>
    </row>
    <row r="372" spans="10:22" s="1" customFormat="1" x14ac:dyDescent="0.2">
      <c r="J372"/>
      <c r="K372"/>
      <c r="L372"/>
      <c r="M372"/>
      <c r="N372"/>
      <c r="O372" s="392"/>
      <c r="P372" s="2"/>
      <c r="R372"/>
      <c r="S372"/>
      <c r="V372"/>
    </row>
    <row r="373" spans="10:22" s="1" customFormat="1" x14ac:dyDescent="0.2">
      <c r="J373"/>
      <c r="K373"/>
      <c r="L373"/>
      <c r="M373"/>
      <c r="N373"/>
      <c r="O373" s="392"/>
      <c r="P373" s="2"/>
      <c r="R373"/>
      <c r="S373"/>
      <c r="V373"/>
    </row>
    <row r="374" spans="10:22" s="1" customFormat="1" x14ac:dyDescent="0.2">
      <c r="J374"/>
      <c r="K374"/>
      <c r="L374"/>
      <c r="M374"/>
      <c r="N374"/>
      <c r="O374" s="392"/>
      <c r="P374" s="2"/>
      <c r="R374"/>
      <c r="S374"/>
      <c r="V374"/>
    </row>
    <row r="375" spans="10:22" s="1" customFormat="1" x14ac:dyDescent="0.2">
      <c r="J375"/>
      <c r="K375"/>
      <c r="L375"/>
      <c r="M375"/>
      <c r="N375"/>
      <c r="O375" s="392"/>
      <c r="P375" s="2"/>
      <c r="R375"/>
      <c r="S375"/>
      <c r="V375"/>
    </row>
    <row r="376" spans="10:22" s="1" customFormat="1" x14ac:dyDescent="0.2">
      <c r="J376"/>
      <c r="K376"/>
      <c r="L376"/>
      <c r="M376"/>
      <c r="N376"/>
      <c r="O376" s="392"/>
      <c r="P376" s="2"/>
      <c r="R376"/>
      <c r="S376"/>
      <c r="V376"/>
    </row>
    <row r="377" spans="10:22" s="1" customFormat="1" x14ac:dyDescent="0.2">
      <c r="J377"/>
      <c r="K377"/>
      <c r="L377"/>
      <c r="M377"/>
      <c r="N377"/>
      <c r="O377" s="392"/>
      <c r="P377" s="2"/>
      <c r="R377"/>
      <c r="S377"/>
      <c r="V377"/>
    </row>
    <row r="378" spans="10:22" s="1" customFormat="1" x14ac:dyDescent="0.2">
      <c r="J378"/>
      <c r="K378"/>
      <c r="L378"/>
      <c r="M378"/>
      <c r="N378"/>
      <c r="O378" s="392"/>
      <c r="P378" s="2"/>
      <c r="R378"/>
      <c r="S378"/>
      <c r="V378"/>
    </row>
    <row r="379" spans="10:22" s="1" customFormat="1" x14ac:dyDescent="0.2">
      <c r="J379"/>
      <c r="K379"/>
      <c r="L379"/>
      <c r="M379"/>
      <c r="N379"/>
      <c r="O379" s="392"/>
      <c r="P379" s="2"/>
      <c r="R379"/>
      <c r="S379"/>
      <c r="V379"/>
    </row>
    <row r="380" spans="10:22" s="1" customFormat="1" x14ac:dyDescent="0.2">
      <c r="J380"/>
      <c r="K380"/>
      <c r="L380"/>
      <c r="M380"/>
      <c r="N380"/>
      <c r="O380" s="392"/>
      <c r="P380" s="2"/>
      <c r="R380"/>
      <c r="S380"/>
      <c r="V380"/>
    </row>
    <row r="381" spans="10:22" s="1" customFormat="1" x14ac:dyDescent="0.2">
      <c r="J381"/>
      <c r="K381"/>
      <c r="L381"/>
      <c r="M381"/>
      <c r="N381"/>
      <c r="O381" s="392"/>
      <c r="P381" s="2"/>
      <c r="R381"/>
      <c r="S381"/>
      <c r="V381"/>
    </row>
    <row r="382" spans="10:22" s="1" customFormat="1" x14ac:dyDescent="0.2">
      <c r="J382"/>
      <c r="K382"/>
      <c r="L382"/>
      <c r="M382"/>
      <c r="N382"/>
      <c r="O382" s="392"/>
      <c r="P382" s="2"/>
      <c r="R382"/>
      <c r="S382"/>
      <c r="V382"/>
    </row>
    <row r="383" spans="10:22" s="1" customFormat="1" x14ac:dyDescent="0.2">
      <c r="J383"/>
      <c r="K383"/>
      <c r="L383"/>
      <c r="M383"/>
      <c r="N383"/>
      <c r="O383" s="392"/>
      <c r="P383" s="2"/>
      <c r="R383"/>
      <c r="S383"/>
      <c r="V383"/>
    </row>
    <row r="384" spans="10:22" s="1" customFormat="1" x14ac:dyDescent="0.2">
      <c r="J384"/>
      <c r="K384"/>
      <c r="L384"/>
      <c r="M384"/>
      <c r="N384"/>
      <c r="O384" s="392"/>
      <c r="P384" s="2"/>
      <c r="R384"/>
      <c r="S384"/>
      <c r="V384"/>
    </row>
    <row r="385" spans="10:22" s="1" customFormat="1" x14ac:dyDescent="0.2">
      <c r="J385"/>
      <c r="K385"/>
      <c r="L385"/>
      <c r="M385"/>
      <c r="N385"/>
      <c r="O385" s="392"/>
      <c r="P385" s="2"/>
      <c r="R385"/>
      <c r="S385"/>
      <c r="V385"/>
    </row>
    <row r="386" spans="10:22" s="1" customFormat="1" x14ac:dyDescent="0.2">
      <c r="J386"/>
      <c r="K386"/>
      <c r="L386"/>
      <c r="M386"/>
      <c r="N386"/>
      <c r="O386" s="392"/>
      <c r="P386" s="2"/>
      <c r="R386"/>
      <c r="S386"/>
      <c r="V386"/>
    </row>
    <row r="387" spans="10:22" s="1" customFormat="1" x14ac:dyDescent="0.2">
      <c r="J387"/>
      <c r="K387"/>
      <c r="L387"/>
      <c r="M387"/>
      <c r="N387"/>
      <c r="O387" s="392"/>
      <c r="P387" s="2"/>
      <c r="R387"/>
      <c r="S387"/>
      <c r="V387"/>
    </row>
    <row r="388" spans="10:22" s="1" customFormat="1" x14ac:dyDescent="0.2">
      <c r="J388"/>
      <c r="K388"/>
      <c r="L388"/>
      <c r="M388"/>
      <c r="N388"/>
      <c r="O388" s="392"/>
      <c r="P388" s="2"/>
      <c r="R388"/>
      <c r="S388"/>
      <c r="V388"/>
    </row>
    <row r="389" spans="10:22" s="1" customFormat="1" x14ac:dyDescent="0.2">
      <c r="J389"/>
      <c r="K389"/>
      <c r="L389"/>
      <c r="M389"/>
      <c r="N389"/>
      <c r="O389" s="392"/>
      <c r="P389" s="2"/>
      <c r="R389"/>
      <c r="S389"/>
      <c r="V389"/>
    </row>
    <row r="390" spans="10:22" s="1" customFormat="1" x14ac:dyDescent="0.2">
      <c r="J390"/>
      <c r="K390"/>
      <c r="L390"/>
      <c r="M390"/>
      <c r="N390"/>
      <c r="O390" s="392"/>
      <c r="P390" s="2"/>
      <c r="R390"/>
      <c r="S390"/>
      <c r="V390"/>
    </row>
    <row r="391" spans="10:22" s="1" customFormat="1" x14ac:dyDescent="0.2">
      <c r="J391"/>
      <c r="K391"/>
      <c r="L391"/>
      <c r="M391"/>
      <c r="N391"/>
      <c r="O391" s="392"/>
      <c r="P391" s="2"/>
      <c r="R391"/>
      <c r="S391"/>
      <c r="V391"/>
    </row>
    <row r="392" spans="10:22" s="1" customFormat="1" x14ac:dyDescent="0.2">
      <c r="J392"/>
      <c r="K392"/>
      <c r="L392"/>
      <c r="M392"/>
      <c r="N392"/>
      <c r="O392" s="392"/>
      <c r="P392" s="2"/>
      <c r="R392"/>
      <c r="S392"/>
      <c r="V392"/>
    </row>
    <row r="393" spans="10:22" s="1" customFormat="1" x14ac:dyDescent="0.2">
      <c r="J393"/>
      <c r="K393"/>
      <c r="L393"/>
      <c r="M393"/>
      <c r="N393"/>
      <c r="O393" s="392"/>
      <c r="P393" s="2"/>
      <c r="R393"/>
      <c r="S393"/>
      <c r="V393"/>
    </row>
    <row r="394" spans="10:22" s="1" customFormat="1" x14ac:dyDescent="0.2">
      <c r="J394"/>
      <c r="K394"/>
      <c r="L394"/>
      <c r="M394"/>
      <c r="N394"/>
      <c r="O394" s="392"/>
      <c r="P394" s="2"/>
      <c r="R394"/>
      <c r="S394"/>
      <c r="V394"/>
    </row>
    <row r="395" spans="10:22" s="1" customFormat="1" x14ac:dyDescent="0.2">
      <c r="J395"/>
      <c r="K395"/>
      <c r="L395"/>
      <c r="M395"/>
      <c r="N395"/>
      <c r="O395" s="392"/>
      <c r="P395" s="2"/>
      <c r="R395"/>
      <c r="S395"/>
      <c r="V395"/>
    </row>
    <row r="396" spans="10:22" s="1" customFormat="1" x14ac:dyDescent="0.2">
      <c r="J396"/>
      <c r="K396"/>
      <c r="L396"/>
      <c r="M396"/>
      <c r="N396"/>
      <c r="O396" s="392"/>
      <c r="P396" s="2"/>
      <c r="R396"/>
      <c r="S396"/>
      <c r="V396"/>
    </row>
    <row r="397" spans="10:22" s="1" customFormat="1" x14ac:dyDescent="0.2">
      <c r="J397"/>
      <c r="K397"/>
      <c r="L397"/>
      <c r="M397"/>
      <c r="N397"/>
      <c r="O397" s="392"/>
      <c r="P397" s="2"/>
      <c r="R397"/>
      <c r="S397"/>
      <c r="V397"/>
    </row>
    <row r="398" spans="10:22" s="1" customFormat="1" x14ac:dyDescent="0.2">
      <c r="J398"/>
      <c r="K398"/>
      <c r="L398"/>
      <c r="M398"/>
      <c r="N398"/>
      <c r="O398" s="392"/>
      <c r="P398" s="2"/>
      <c r="R398"/>
      <c r="S398"/>
      <c r="V398"/>
    </row>
    <row r="399" spans="10:22" s="1" customFormat="1" x14ac:dyDescent="0.2">
      <c r="J399"/>
      <c r="K399"/>
      <c r="L399"/>
      <c r="M399"/>
      <c r="N399"/>
      <c r="O399" s="392"/>
      <c r="P399" s="2"/>
      <c r="R399"/>
      <c r="S399"/>
      <c r="V399"/>
    </row>
    <row r="400" spans="10:22" s="1" customFormat="1" x14ac:dyDescent="0.2">
      <c r="J400"/>
      <c r="K400"/>
      <c r="L400"/>
      <c r="M400"/>
      <c r="N400"/>
      <c r="O400" s="392"/>
      <c r="P400" s="2"/>
      <c r="R400"/>
      <c r="S400"/>
      <c r="V400"/>
    </row>
    <row r="401" spans="10:22" s="1" customFormat="1" x14ac:dyDescent="0.2">
      <c r="J401"/>
      <c r="K401"/>
      <c r="L401"/>
      <c r="M401"/>
      <c r="N401"/>
      <c r="O401" s="392"/>
      <c r="P401" s="2"/>
      <c r="R401"/>
      <c r="S401"/>
      <c r="V401"/>
    </row>
    <row r="402" spans="10:22" s="1" customFormat="1" x14ac:dyDescent="0.2">
      <c r="J402"/>
      <c r="K402"/>
      <c r="L402"/>
      <c r="M402"/>
      <c r="N402"/>
      <c r="O402" s="392"/>
      <c r="P402" s="2"/>
      <c r="R402"/>
      <c r="S402"/>
      <c r="V402"/>
    </row>
    <row r="403" spans="10:22" s="1" customFormat="1" x14ac:dyDescent="0.2">
      <c r="J403"/>
      <c r="K403"/>
      <c r="L403"/>
      <c r="M403"/>
      <c r="N403"/>
      <c r="O403" s="392"/>
      <c r="P403" s="2"/>
      <c r="R403"/>
      <c r="S403"/>
      <c r="V403"/>
    </row>
    <row r="404" spans="10:22" s="1" customFormat="1" x14ac:dyDescent="0.2">
      <c r="J404"/>
      <c r="K404"/>
      <c r="L404"/>
      <c r="M404"/>
      <c r="N404"/>
      <c r="O404" s="392"/>
      <c r="P404" s="2"/>
      <c r="R404"/>
      <c r="S404"/>
      <c r="V404"/>
    </row>
    <row r="405" spans="10:22" s="1" customFormat="1" x14ac:dyDescent="0.2">
      <c r="J405"/>
      <c r="K405"/>
      <c r="L405"/>
      <c r="M405"/>
      <c r="N405"/>
      <c r="O405" s="392"/>
      <c r="P405" s="2"/>
      <c r="R405"/>
      <c r="S405"/>
      <c r="V405"/>
    </row>
    <row r="406" spans="10:22" s="1" customFormat="1" x14ac:dyDescent="0.2">
      <c r="J406"/>
      <c r="K406"/>
      <c r="L406"/>
      <c r="M406"/>
      <c r="N406"/>
      <c r="O406" s="392"/>
      <c r="P406" s="2"/>
      <c r="R406"/>
      <c r="S406"/>
      <c r="V406"/>
    </row>
    <row r="407" spans="10:22" s="1" customFormat="1" x14ac:dyDescent="0.2">
      <c r="J407"/>
      <c r="K407"/>
      <c r="L407"/>
      <c r="M407"/>
      <c r="N407"/>
      <c r="O407" s="392"/>
      <c r="P407" s="2"/>
      <c r="R407"/>
      <c r="S407"/>
      <c r="V407"/>
    </row>
    <row r="408" spans="10:22" s="1" customFormat="1" x14ac:dyDescent="0.2">
      <c r="J408"/>
      <c r="K408"/>
      <c r="L408"/>
      <c r="M408"/>
      <c r="N408"/>
      <c r="O408" s="392"/>
      <c r="P408" s="2"/>
      <c r="R408"/>
      <c r="S408"/>
      <c r="V408"/>
    </row>
    <row r="409" spans="10:22" s="1" customFormat="1" x14ac:dyDescent="0.2">
      <c r="J409"/>
      <c r="K409"/>
      <c r="L409"/>
      <c r="M409"/>
      <c r="N409"/>
      <c r="O409" s="392"/>
      <c r="P409" s="2"/>
      <c r="R409"/>
      <c r="S409"/>
      <c r="V409"/>
    </row>
    <row r="410" spans="10:22" s="1" customFormat="1" x14ac:dyDescent="0.2">
      <c r="J410"/>
      <c r="K410"/>
      <c r="L410"/>
      <c r="M410"/>
      <c r="N410"/>
      <c r="O410" s="392"/>
      <c r="P410" s="2"/>
      <c r="R410"/>
      <c r="S410"/>
      <c r="V410"/>
    </row>
    <row r="411" spans="10:22" s="1" customFormat="1" x14ac:dyDescent="0.2">
      <c r="J411"/>
      <c r="K411"/>
      <c r="L411"/>
      <c r="M411"/>
      <c r="N411"/>
      <c r="O411" s="392"/>
      <c r="P411" s="2"/>
      <c r="R411"/>
      <c r="S411"/>
      <c r="V411"/>
    </row>
    <row r="412" spans="10:22" s="1" customFormat="1" x14ac:dyDescent="0.2">
      <c r="J412"/>
      <c r="K412"/>
      <c r="L412"/>
      <c r="M412"/>
      <c r="N412"/>
      <c r="O412" s="392"/>
      <c r="P412" s="2"/>
      <c r="R412"/>
      <c r="S412"/>
      <c r="V412"/>
    </row>
    <row r="413" spans="10:22" s="1" customFormat="1" x14ac:dyDescent="0.2">
      <c r="J413"/>
      <c r="K413"/>
      <c r="L413"/>
      <c r="M413"/>
      <c r="N413"/>
      <c r="O413" s="392"/>
      <c r="P413" s="2"/>
      <c r="R413"/>
      <c r="S413"/>
      <c r="V413"/>
    </row>
    <row r="414" spans="10:22" s="1" customFormat="1" x14ac:dyDescent="0.2">
      <c r="J414"/>
      <c r="K414"/>
      <c r="L414"/>
      <c r="M414"/>
      <c r="N414"/>
      <c r="O414" s="392"/>
      <c r="P414" s="2"/>
      <c r="R414"/>
      <c r="S414"/>
      <c r="V414"/>
    </row>
    <row r="415" spans="10:22" s="1" customFormat="1" x14ac:dyDescent="0.2">
      <c r="J415"/>
      <c r="K415"/>
      <c r="L415"/>
      <c r="M415"/>
      <c r="N415"/>
      <c r="O415" s="392"/>
      <c r="P415" s="2"/>
      <c r="R415"/>
      <c r="S415"/>
      <c r="V415"/>
    </row>
    <row r="416" spans="10:22" s="1" customFormat="1" x14ac:dyDescent="0.2">
      <c r="J416"/>
      <c r="K416"/>
      <c r="L416"/>
      <c r="M416"/>
      <c r="N416"/>
      <c r="O416" s="392"/>
      <c r="P416" s="2"/>
      <c r="R416"/>
      <c r="S416"/>
      <c r="V416"/>
    </row>
    <row r="417" spans="10:22" s="1" customFormat="1" x14ac:dyDescent="0.2">
      <c r="J417"/>
      <c r="K417"/>
      <c r="L417"/>
      <c r="M417"/>
      <c r="N417"/>
      <c r="O417" s="392"/>
      <c r="P417" s="2"/>
      <c r="R417"/>
      <c r="S417"/>
      <c r="V417"/>
    </row>
    <row r="418" spans="10:22" s="1" customFormat="1" x14ac:dyDescent="0.2">
      <c r="J418"/>
      <c r="K418"/>
      <c r="L418"/>
      <c r="M418"/>
      <c r="N418"/>
      <c r="O418" s="392"/>
      <c r="P418" s="2"/>
      <c r="R418"/>
      <c r="S418"/>
      <c r="V418"/>
    </row>
    <row r="419" spans="10:22" s="1" customFormat="1" x14ac:dyDescent="0.2">
      <c r="J419"/>
      <c r="K419"/>
      <c r="L419"/>
      <c r="M419"/>
      <c r="N419"/>
      <c r="O419" s="392"/>
      <c r="P419" s="2"/>
      <c r="R419"/>
      <c r="S419"/>
      <c r="V419"/>
    </row>
    <row r="420" spans="10:22" s="1" customFormat="1" x14ac:dyDescent="0.2">
      <c r="J420"/>
      <c r="K420"/>
      <c r="L420"/>
      <c r="M420"/>
      <c r="N420"/>
      <c r="O420" s="392"/>
      <c r="P420" s="2"/>
      <c r="R420"/>
      <c r="S420"/>
      <c r="V420"/>
    </row>
    <row r="421" spans="10:22" s="1" customFormat="1" x14ac:dyDescent="0.2">
      <c r="J421"/>
      <c r="K421"/>
      <c r="L421"/>
      <c r="M421"/>
      <c r="N421"/>
      <c r="O421" s="392"/>
      <c r="P421" s="2"/>
      <c r="R421"/>
      <c r="S421"/>
      <c r="V421"/>
    </row>
    <row r="422" spans="10:22" s="1" customFormat="1" x14ac:dyDescent="0.2">
      <c r="J422"/>
      <c r="K422"/>
      <c r="L422"/>
      <c r="M422"/>
      <c r="N422"/>
      <c r="O422" s="392"/>
      <c r="P422" s="2"/>
      <c r="R422"/>
      <c r="S422"/>
      <c r="V422"/>
    </row>
    <row r="423" spans="10:22" s="1" customFormat="1" x14ac:dyDescent="0.2">
      <c r="J423"/>
      <c r="K423"/>
      <c r="L423"/>
      <c r="M423"/>
      <c r="N423"/>
      <c r="O423" s="392"/>
      <c r="P423" s="2"/>
      <c r="R423"/>
      <c r="S423"/>
      <c r="V423"/>
    </row>
    <row r="424" spans="10:22" s="1" customFormat="1" x14ac:dyDescent="0.2">
      <c r="J424"/>
      <c r="K424"/>
      <c r="L424"/>
      <c r="M424"/>
      <c r="N424"/>
      <c r="O424" s="392"/>
      <c r="P424" s="2"/>
      <c r="R424"/>
      <c r="S424"/>
      <c r="V424"/>
    </row>
    <row r="425" spans="10:22" s="1" customFormat="1" x14ac:dyDescent="0.2">
      <c r="J425"/>
      <c r="K425"/>
      <c r="L425"/>
      <c r="M425"/>
      <c r="N425"/>
      <c r="O425" s="392"/>
      <c r="P425" s="2"/>
      <c r="R425"/>
      <c r="S425"/>
      <c r="V425"/>
    </row>
    <row r="426" spans="10:22" s="1" customFormat="1" x14ac:dyDescent="0.2">
      <c r="J426"/>
      <c r="K426"/>
      <c r="L426"/>
      <c r="M426"/>
      <c r="N426"/>
      <c r="O426" s="392"/>
      <c r="P426" s="2"/>
      <c r="R426"/>
      <c r="S426"/>
      <c r="V426"/>
    </row>
    <row r="427" spans="10:22" s="1" customFormat="1" x14ac:dyDescent="0.2">
      <c r="J427"/>
      <c r="K427"/>
      <c r="L427"/>
      <c r="M427"/>
      <c r="N427"/>
      <c r="O427" s="392"/>
      <c r="P427" s="2"/>
      <c r="R427"/>
      <c r="S427"/>
      <c r="V427"/>
    </row>
    <row r="428" spans="10:22" s="1" customFormat="1" x14ac:dyDescent="0.2">
      <c r="J428"/>
      <c r="K428"/>
      <c r="L428"/>
      <c r="M428"/>
      <c r="N428"/>
      <c r="O428" s="392"/>
      <c r="P428" s="2"/>
      <c r="R428"/>
      <c r="S428"/>
      <c r="V428"/>
    </row>
    <row r="429" spans="10:22" s="1" customFormat="1" x14ac:dyDescent="0.2">
      <c r="J429"/>
      <c r="K429"/>
      <c r="L429"/>
      <c r="M429"/>
      <c r="N429"/>
      <c r="O429" s="392"/>
      <c r="P429" s="2"/>
      <c r="R429"/>
      <c r="S429"/>
      <c r="V429"/>
    </row>
    <row r="430" spans="10:22" s="1" customFormat="1" x14ac:dyDescent="0.2">
      <c r="J430"/>
      <c r="K430"/>
      <c r="L430"/>
      <c r="M430"/>
      <c r="N430"/>
      <c r="O430" s="392"/>
      <c r="P430" s="2"/>
      <c r="R430"/>
      <c r="S430"/>
      <c r="V430"/>
    </row>
    <row r="431" spans="10:22" s="1" customFormat="1" x14ac:dyDescent="0.2">
      <c r="J431"/>
      <c r="K431"/>
      <c r="L431"/>
      <c r="M431"/>
      <c r="N431"/>
      <c r="O431" s="392"/>
      <c r="P431" s="2"/>
      <c r="R431"/>
      <c r="S431"/>
      <c r="V431"/>
    </row>
    <row r="432" spans="10:22" s="1" customFormat="1" x14ac:dyDescent="0.2">
      <c r="J432"/>
      <c r="K432"/>
      <c r="L432"/>
      <c r="M432"/>
      <c r="N432"/>
      <c r="O432" s="392"/>
      <c r="P432" s="2"/>
      <c r="R432"/>
      <c r="S432"/>
      <c r="V432"/>
    </row>
    <row r="433" spans="10:22" s="1" customFormat="1" x14ac:dyDescent="0.2">
      <c r="J433"/>
      <c r="K433"/>
      <c r="L433"/>
      <c r="M433"/>
      <c r="N433"/>
      <c r="O433" s="392"/>
      <c r="P433" s="2"/>
      <c r="R433"/>
      <c r="S433"/>
      <c r="V433"/>
    </row>
    <row r="434" spans="10:22" s="1" customFormat="1" x14ac:dyDescent="0.2">
      <c r="J434"/>
      <c r="K434"/>
      <c r="L434"/>
      <c r="M434"/>
      <c r="N434"/>
      <c r="O434" s="392"/>
      <c r="P434" s="2"/>
      <c r="R434"/>
      <c r="S434"/>
      <c r="V434"/>
    </row>
    <row r="435" spans="10:22" s="1" customFormat="1" x14ac:dyDescent="0.2">
      <c r="J435"/>
      <c r="K435"/>
      <c r="L435"/>
      <c r="M435"/>
      <c r="N435"/>
      <c r="O435" s="392"/>
      <c r="P435" s="2"/>
      <c r="R435"/>
      <c r="S435"/>
      <c r="V435"/>
    </row>
    <row r="436" spans="10:22" s="1" customFormat="1" x14ac:dyDescent="0.2">
      <c r="J436"/>
      <c r="K436"/>
      <c r="L436"/>
      <c r="M436"/>
      <c r="N436"/>
      <c r="O436" s="392"/>
      <c r="P436" s="2"/>
      <c r="R436"/>
      <c r="S436"/>
      <c r="V436"/>
    </row>
    <row r="437" spans="10:22" s="1" customFormat="1" x14ac:dyDescent="0.2">
      <c r="J437"/>
      <c r="K437"/>
      <c r="L437"/>
      <c r="M437"/>
      <c r="N437"/>
      <c r="O437" s="392"/>
      <c r="P437" s="2"/>
      <c r="R437"/>
      <c r="S437"/>
      <c r="V437"/>
    </row>
    <row r="438" spans="10:22" s="1" customFormat="1" x14ac:dyDescent="0.2">
      <c r="J438"/>
      <c r="K438"/>
      <c r="L438"/>
      <c r="M438"/>
      <c r="N438"/>
      <c r="O438" s="392"/>
      <c r="P438" s="2"/>
      <c r="R438"/>
      <c r="S438"/>
      <c r="V438"/>
    </row>
    <row r="439" spans="10:22" s="1" customFormat="1" x14ac:dyDescent="0.2">
      <c r="J439"/>
      <c r="K439"/>
      <c r="L439"/>
      <c r="M439"/>
      <c r="N439"/>
      <c r="O439" s="392"/>
      <c r="P439" s="2"/>
      <c r="R439"/>
      <c r="S439"/>
      <c r="V439"/>
    </row>
    <row r="440" spans="10:22" s="1" customFormat="1" x14ac:dyDescent="0.2">
      <c r="J440"/>
      <c r="K440"/>
      <c r="L440"/>
      <c r="M440"/>
      <c r="N440"/>
      <c r="O440" s="392"/>
      <c r="P440" s="2"/>
      <c r="R440"/>
      <c r="S440"/>
      <c r="V440"/>
    </row>
    <row r="441" spans="10:22" s="1" customFormat="1" x14ac:dyDescent="0.2">
      <c r="J441"/>
      <c r="K441"/>
      <c r="L441"/>
      <c r="M441"/>
      <c r="N441"/>
      <c r="O441" s="392"/>
      <c r="P441" s="2"/>
      <c r="R441"/>
      <c r="S441"/>
      <c r="V441"/>
    </row>
    <row r="442" spans="10:22" s="1" customFormat="1" x14ac:dyDescent="0.2">
      <c r="J442"/>
      <c r="K442"/>
      <c r="L442"/>
      <c r="M442"/>
      <c r="N442"/>
      <c r="O442" s="392"/>
      <c r="P442" s="2"/>
      <c r="R442"/>
      <c r="S442"/>
      <c r="V442"/>
    </row>
    <row r="443" spans="10:22" s="1" customFormat="1" x14ac:dyDescent="0.2">
      <c r="J443"/>
      <c r="K443"/>
      <c r="L443"/>
      <c r="M443"/>
      <c r="N443"/>
      <c r="O443" s="392"/>
      <c r="P443" s="2"/>
      <c r="R443"/>
      <c r="S443"/>
      <c r="V443"/>
    </row>
    <row r="444" spans="10:22" s="1" customFormat="1" x14ac:dyDescent="0.2">
      <c r="J444"/>
      <c r="K444"/>
      <c r="L444"/>
      <c r="M444"/>
      <c r="N444"/>
      <c r="O444" s="392"/>
      <c r="P444" s="2"/>
      <c r="R444"/>
      <c r="S444"/>
      <c r="V444"/>
    </row>
    <row r="445" spans="10:22" s="1" customFormat="1" x14ac:dyDescent="0.2">
      <c r="J445"/>
      <c r="K445"/>
      <c r="L445"/>
      <c r="M445"/>
      <c r="N445"/>
      <c r="O445" s="392"/>
      <c r="P445" s="2"/>
      <c r="R445"/>
      <c r="S445"/>
      <c r="V445"/>
    </row>
    <row r="446" spans="10:22" s="1" customFormat="1" x14ac:dyDescent="0.2">
      <c r="J446"/>
      <c r="K446"/>
      <c r="L446"/>
      <c r="M446"/>
      <c r="N446"/>
      <c r="O446" s="392"/>
      <c r="P446" s="2"/>
      <c r="R446"/>
      <c r="S446"/>
      <c r="V446"/>
    </row>
    <row r="447" spans="10:22" s="1" customFormat="1" x14ac:dyDescent="0.2">
      <c r="J447"/>
      <c r="K447"/>
      <c r="L447"/>
      <c r="M447"/>
      <c r="N447"/>
      <c r="O447" s="392"/>
      <c r="P447" s="2"/>
      <c r="R447"/>
      <c r="S447"/>
      <c r="V447"/>
    </row>
    <row r="448" spans="10:22" s="1" customFormat="1" x14ac:dyDescent="0.2">
      <c r="J448"/>
      <c r="K448"/>
      <c r="L448"/>
      <c r="M448"/>
      <c r="N448"/>
      <c r="O448" s="392"/>
      <c r="P448" s="2"/>
      <c r="R448"/>
      <c r="S448"/>
      <c r="V448"/>
    </row>
    <row r="449" spans="10:22" s="1" customFormat="1" x14ac:dyDescent="0.2">
      <c r="J449"/>
      <c r="K449"/>
      <c r="L449"/>
      <c r="M449"/>
      <c r="N449"/>
      <c r="O449" s="392"/>
      <c r="P449" s="2"/>
      <c r="R449"/>
      <c r="S449"/>
      <c r="V449"/>
    </row>
    <row r="450" spans="10:22" s="1" customFormat="1" x14ac:dyDescent="0.2">
      <c r="J450"/>
      <c r="K450"/>
      <c r="L450"/>
      <c r="M450"/>
      <c r="N450"/>
      <c r="O450" s="392"/>
      <c r="P450" s="2"/>
      <c r="R450"/>
      <c r="S450"/>
      <c r="V450"/>
    </row>
    <row r="451" spans="10:22" s="1" customFormat="1" x14ac:dyDescent="0.2">
      <c r="J451"/>
      <c r="K451"/>
      <c r="L451"/>
      <c r="M451"/>
      <c r="N451"/>
      <c r="O451" s="392"/>
      <c r="P451" s="2"/>
      <c r="R451"/>
      <c r="S451"/>
      <c r="V451"/>
    </row>
    <row r="452" spans="10:22" s="1" customFormat="1" x14ac:dyDescent="0.2">
      <c r="J452"/>
      <c r="K452"/>
      <c r="L452"/>
      <c r="M452"/>
      <c r="N452"/>
      <c r="O452" s="392"/>
      <c r="P452" s="2"/>
      <c r="R452"/>
      <c r="S452"/>
      <c r="V452"/>
    </row>
    <row r="453" spans="10:22" s="1" customFormat="1" x14ac:dyDescent="0.2">
      <c r="J453"/>
      <c r="K453"/>
      <c r="L453"/>
      <c r="M453"/>
      <c r="N453"/>
      <c r="O453" s="392"/>
      <c r="P453" s="2"/>
      <c r="R453"/>
      <c r="S453"/>
      <c r="V453"/>
    </row>
    <row r="454" spans="10:22" s="1" customFormat="1" x14ac:dyDescent="0.2">
      <c r="J454"/>
      <c r="K454"/>
      <c r="L454"/>
      <c r="M454"/>
      <c r="N454"/>
      <c r="O454" s="392"/>
      <c r="P454" s="2"/>
      <c r="R454"/>
      <c r="S454"/>
      <c r="V454"/>
    </row>
    <row r="455" spans="10:22" s="1" customFormat="1" x14ac:dyDescent="0.2">
      <c r="J455"/>
      <c r="K455"/>
      <c r="L455"/>
      <c r="M455"/>
      <c r="N455"/>
      <c r="O455" s="392"/>
      <c r="P455" s="2"/>
      <c r="R455"/>
      <c r="S455"/>
      <c r="V455"/>
    </row>
    <row r="456" spans="10:22" s="1" customFormat="1" x14ac:dyDescent="0.2">
      <c r="J456"/>
      <c r="K456"/>
      <c r="L456"/>
      <c r="M456"/>
      <c r="N456"/>
      <c r="O456" s="392"/>
      <c r="P456" s="2"/>
      <c r="R456"/>
      <c r="S456"/>
      <c r="V456"/>
    </row>
    <row r="457" spans="10:22" s="1" customFormat="1" x14ac:dyDescent="0.2">
      <c r="J457"/>
      <c r="K457"/>
      <c r="L457"/>
      <c r="M457"/>
      <c r="N457"/>
      <c r="O457" s="392"/>
      <c r="P457" s="2"/>
      <c r="R457"/>
      <c r="S457"/>
      <c r="V457"/>
    </row>
    <row r="458" spans="10:22" s="1" customFormat="1" x14ac:dyDescent="0.2">
      <c r="J458"/>
      <c r="K458"/>
      <c r="L458"/>
      <c r="M458"/>
      <c r="N458"/>
      <c r="O458" s="392"/>
      <c r="P458" s="2"/>
      <c r="R458"/>
      <c r="S458"/>
      <c r="V458"/>
    </row>
    <row r="459" spans="10:22" s="1" customFormat="1" x14ac:dyDescent="0.2">
      <c r="J459"/>
      <c r="K459"/>
      <c r="L459"/>
      <c r="M459"/>
      <c r="N459"/>
      <c r="O459" s="392"/>
      <c r="P459" s="2"/>
      <c r="R459"/>
      <c r="S459"/>
      <c r="V459"/>
    </row>
    <row r="460" spans="10:22" s="1" customFormat="1" x14ac:dyDescent="0.2">
      <c r="J460"/>
      <c r="K460"/>
      <c r="L460"/>
      <c r="M460"/>
      <c r="N460"/>
      <c r="O460" s="392"/>
      <c r="P460" s="2"/>
      <c r="R460"/>
      <c r="S460"/>
      <c r="V460"/>
    </row>
    <row r="461" spans="10:22" s="1" customFormat="1" x14ac:dyDescent="0.2">
      <c r="J461"/>
      <c r="K461"/>
      <c r="L461"/>
      <c r="M461"/>
      <c r="N461"/>
      <c r="O461" s="392"/>
      <c r="P461" s="2"/>
      <c r="R461"/>
      <c r="S461"/>
      <c r="V461"/>
    </row>
    <row r="462" spans="10:22" s="1" customFormat="1" x14ac:dyDescent="0.2">
      <c r="J462"/>
      <c r="K462"/>
      <c r="L462"/>
      <c r="M462"/>
      <c r="N462"/>
      <c r="O462" s="392"/>
      <c r="P462" s="2"/>
      <c r="R462"/>
      <c r="S462"/>
      <c r="V462"/>
    </row>
    <row r="463" spans="10:22" s="1" customFormat="1" x14ac:dyDescent="0.2">
      <c r="J463"/>
      <c r="K463"/>
      <c r="L463"/>
      <c r="M463"/>
      <c r="N463"/>
      <c r="O463" s="392"/>
      <c r="P463" s="2"/>
      <c r="R463"/>
      <c r="S463"/>
      <c r="V463"/>
    </row>
    <row r="464" spans="10:22" s="1" customFormat="1" x14ac:dyDescent="0.2">
      <c r="J464"/>
      <c r="K464"/>
      <c r="L464"/>
      <c r="M464"/>
      <c r="N464"/>
      <c r="O464" s="392"/>
      <c r="P464" s="2"/>
      <c r="R464"/>
      <c r="S464"/>
      <c r="V464"/>
    </row>
    <row r="465" spans="10:22" s="1" customFormat="1" x14ac:dyDescent="0.2">
      <c r="J465"/>
      <c r="K465"/>
      <c r="L465"/>
      <c r="M465"/>
      <c r="N465"/>
      <c r="O465" s="392"/>
      <c r="P465" s="2"/>
      <c r="R465"/>
      <c r="S465"/>
      <c r="V465"/>
    </row>
    <row r="466" spans="10:22" s="1" customFormat="1" x14ac:dyDescent="0.2">
      <c r="J466"/>
      <c r="K466"/>
      <c r="L466"/>
      <c r="M466"/>
      <c r="N466"/>
      <c r="O466" s="392"/>
      <c r="P466" s="2"/>
      <c r="R466"/>
      <c r="S466"/>
      <c r="V466"/>
    </row>
    <row r="467" spans="10:22" s="1" customFormat="1" x14ac:dyDescent="0.2">
      <c r="J467"/>
      <c r="K467"/>
      <c r="L467"/>
      <c r="M467"/>
      <c r="N467"/>
      <c r="O467" s="392"/>
      <c r="P467" s="2"/>
      <c r="R467"/>
      <c r="S467"/>
      <c r="V467"/>
    </row>
    <row r="468" spans="10:22" s="1" customFormat="1" x14ac:dyDescent="0.2">
      <c r="J468"/>
      <c r="K468"/>
      <c r="L468"/>
      <c r="M468"/>
      <c r="N468"/>
      <c r="O468" s="392"/>
      <c r="P468" s="2"/>
      <c r="R468"/>
      <c r="S468"/>
      <c r="V468"/>
    </row>
    <row r="469" spans="10:22" s="1" customFormat="1" x14ac:dyDescent="0.2">
      <c r="J469"/>
      <c r="K469"/>
      <c r="L469"/>
      <c r="M469"/>
      <c r="N469"/>
      <c r="O469" s="392"/>
      <c r="P469" s="2"/>
      <c r="R469"/>
      <c r="S469"/>
      <c r="V469"/>
    </row>
    <row r="470" spans="10:22" s="1" customFormat="1" x14ac:dyDescent="0.2">
      <c r="J470"/>
      <c r="K470"/>
      <c r="L470"/>
      <c r="M470"/>
      <c r="N470"/>
      <c r="O470" s="392"/>
      <c r="P470" s="2"/>
      <c r="R470"/>
      <c r="S470"/>
      <c r="V470"/>
    </row>
    <row r="471" spans="10:22" s="1" customFormat="1" x14ac:dyDescent="0.2">
      <c r="J471"/>
      <c r="K471"/>
      <c r="L471"/>
      <c r="M471"/>
      <c r="N471"/>
      <c r="O471" s="392"/>
      <c r="P471" s="2"/>
      <c r="R471"/>
      <c r="S471"/>
      <c r="V471"/>
    </row>
    <row r="472" spans="10:22" s="1" customFormat="1" x14ac:dyDescent="0.2">
      <c r="J472"/>
      <c r="K472"/>
      <c r="L472"/>
      <c r="M472"/>
      <c r="N472"/>
      <c r="O472" s="392"/>
      <c r="P472" s="2"/>
      <c r="R472"/>
      <c r="S472"/>
      <c r="V472"/>
    </row>
    <row r="473" spans="10:22" s="1" customFormat="1" x14ac:dyDescent="0.2">
      <c r="J473"/>
      <c r="K473"/>
      <c r="L473"/>
      <c r="M473"/>
      <c r="N473"/>
      <c r="O473" s="392"/>
      <c r="P473" s="2"/>
      <c r="R473"/>
      <c r="S473"/>
      <c r="V473"/>
    </row>
    <row r="474" spans="10:22" s="1" customFormat="1" x14ac:dyDescent="0.2">
      <c r="J474"/>
      <c r="K474"/>
      <c r="L474"/>
      <c r="M474"/>
      <c r="N474"/>
      <c r="O474" s="392"/>
      <c r="P474" s="2"/>
      <c r="R474"/>
      <c r="S474"/>
      <c r="V474"/>
    </row>
    <row r="475" spans="10:22" s="1" customFormat="1" x14ac:dyDescent="0.2">
      <c r="J475"/>
      <c r="K475"/>
      <c r="L475"/>
      <c r="M475"/>
      <c r="N475"/>
      <c r="O475" s="392"/>
      <c r="P475" s="2"/>
      <c r="R475"/>
      <c r="S475"/>
      <c r="V475"/>
    </row>
    <row r="476" spans="10:22" s="1" customFormat="1" x14ac:dyDescent="0.2">
      <c r="J476"/>
      <c r="K476"/>
      <c r="L476"/>
      <c r="M476"/>
      <c r="N476"/>
      <c r="O476" s="392"/>
      <c r="P476" s="2"/>
      <c r="R476"/>
      <c r="S476"/>
      <c r="V476"/>
    </row>
    <row r="477" spans="10:22" s="1" customFormat="1" x14ac:dyDescent="0.2">
      <c r="J477"/>
      <c r="K477"/>
      <c r="L477"/>
      <c r="M477"/>
      <c r="N477"/>
      <c r="O477" s="392"/>
      <c r="P477" s="2"/>
      <c r="R477"/>
      <c r="S477"/>
      <c r="V477"/>
    </row>
    <row r="478" spans="10:22" s="1" customFormat="1" x14ac:dyDescent="0.2">
      <c r="J478"/>
      <c r="K478"/>
      <c r="L478"/>
      <c r="M478"/>
      <c r="N478"/>
      <c r="O478" s="392"/>
      <c r="P478" s="2"/>
      <c r="R478"/>
      <c r="S478"/>
      <c r="V478"/>
    </row>
    <row r="479" spans="10:22" s="1" customFormat="1" x14ac:dyDescent="0.2">
      <c r="J479"/>
      <c r="K479"/>
      <c r="L479"/>
      <c r="M479"/>
      <c r="N479"/>
      <c r="O479" s="392"/>
      <c r="P479" s="2"/>
      <c r="R479"/>
      <c r="S479"/>
      <c r="V479"/>
    </row>
    <row r="480" spans="10:22" s="1" customFormat="1" x14ac:dyDescent="0.2">
      <c r="J480"/>
      <c r="K480"/>
      <c r="L480"/>
      <c r="M480"/>
      <c r="N480"/>
      <c r="O480" s="392"/>
      <c r="P480" s="2"/>
      <c r="R480"/>
      <c r="S480"/>
      <c r="V480"/>
    </row>
    <row r="481" spans="10:22" s="1" customFormat="1" x14ac:dyDescent="0.2">
      <c r="J481"/>
      <c r="K481"/>
      <c r="L481"/>
      <c r="M481"/>
      <c r="N481"/>
      <c r="O481" s="392"/>
      <c r="P481" s="2"/>
      <c r="R481"/>
      <c r="S481"/>
      <c r="V481"/>
    </row>
    <row r="482" spans="10:22" s="1" customFormat="1" x14ac:dyDescent="0.2">
      <c r="J482"/>
      <c r="K482"/>
      <c r="L482"/>
      <c r="M482"/>
      <c r="N482"/>
      <c r="O482" s="392"/>
      <c r="P482" s="2"/>
      <c r="R482"/>
      <c r="S482"/>
      <c r="V482"/>
    </row>
    <row r="483" spans="10:22" s="1" customFormat="1" x14ac:dyDescent="0.2">
      <c r="J483"/>
      <c r="K483"/>
      <c r="L483"/>
      <c r="M483"/>
      <c r="N483"/>
      <c r="O483" s="392"/>
      <c r="P483" s="2"/>
      <c r="R483"/>
      <c r="S483"/>
      <c r="V483"/>
    </row>
    <row r="484" spans="10:22" s="1" customFormat="1" x14ac:dyDescent="0.2">
      <c r="J484"/>
      <c r="K484"/>
      <c r="L484"/>
      <c r="M484"/>
      <c r="N484"/>
      <c r="O484" s="392"/>
      <c r="P484" s="2"/>
      <c r="R484"/>
      <c r="S484"/>
      <c r="V484"/>
    </row>
    <row r="485" spans="10:22" s="1" customFormat="1" x14ac:dyDescent="0.2">
      <c r="J485"/>
      <c r="K485"/>
      <c r="L485"/>
      <c r="M485"/>
      <c r="N485"/>
      <c r="O485" s="392"/>
      <c r="P485" s="2"/>
      <c r="R485"/>
      <c r="S485"/>
      <c r="V485"/>
    </row>
    <row r="486" spans="10:22" s="1" customFormat="1" x14ac:dyDescent="0.2">
      <c r="J486"/>
      <c r="K486"/>
      <c r="L486"/>
      <c r="M486"/>
      <c r="N486"/>
      <c r="O486" s="392"/>
      <c r="P486" s="2"/>
      <c r="R486"/>
      <c r="S486"/>
      <c r="V486"/>
    </row>
    <row r="487" spans="10:22" s="1" customFormat="1" x14ac:dyDescent="0.2">
      <c r="J487"/>
      <c r="K487"/>
      <c r="L487"/>
      <c r="M487"/>
      <c r="N487"/>
      <c r="O487" s="392"/>
      <c r="P487" s="2"/>
      <c r="R487"/>
      <c r="S487"/>
      <c r="V487"/>
    </row>
    <row r="488" spans="10:22" s="1" customFormat="1" x14ac:dyDescent="0.2">
      <c r="J488"/>
      <c r="K488"/>
      <c r="L488"/>
      <c r="M488"/>
      <c r="N488"/>
      <c r="O488" s="392"/>
      <c r="P488" s="2"/>
      <c r="R488"/>
      <c r="S488"/>
      <c r="V488"/>
    </row>
    <row r="489" spans="10:22" s="1" customFormat="1" x14ac:dyDescent="0.2">
      <c r="J489"/>
      <c r="K489"/>
      <c r="L489"/>
      <c r="M489"/>
      <c r="N489"/>
      <c r="O489" s="392"/>
      <c r="P489" s="2"/>
      <c r="R489"/>
      <c r="S489"/>
      <c r="V489"/>
    </row>
    <row r="490" spans="10:22" s="1" customFormat="1" x14ac:dyDescent="0.2">
      <c r="J490"/>
      <c r="K490"/>
      <c r="L490"/>
      <c r="M490"/>
      <c r="N490"/>
      <c r="O490" s="392"/>
      <c r="P490" s="2"/>
      <c r="R490"/>
      <c r="S490"/>
      <c r="V490"/>
    </row>
    <row r="491" spans="10:22" s="1" customFormat="1" x14ac:dyDescent="0.2">
      <c r="J491"/>
      <c r="K491"/>
      <c r="L491"/>
      <c r="M491"/>
      <c r="N491"/>
      <c r="O491" s="392"/>
      <c r="P491" s="2"/>
      <c r="R491"/>
      <c r="S491"/>
      <c r="V491"/>
    </row>
    <row r="492" spans="10:22" s="1" customFormat="1" x14ac:dyDescent="0.2">
      <c r="J492"/>
      <c r="K492"/>
      <c r="L492"/>
      <c r="M492"/>
      <c r="N492"/>
      <c r="O492" s="392"/>
      <c r="P492" s="2"/>
      <c r="R492"/>
      <c r="S492"/>
      <c r="V492"/>
    </row>
    <row r="493" spans="10:22" s="1" customFormat="1" x14ac:dyDescent="0.2">
      <c r="J493"/>
      <c r="K493"/>
      <c r="L493"/>
      <c r="M493"/>
      <c r="N493"/>
      <c r="O493" s="392"/>
      <c r="P493" s="2"/>
      <c r="R493"/>
      <c r="S493"/>
      <c r="V493"/>
    </row>
    <row r="494" spans="10:22" s="1" customFormat="1" x14ac:dyDescent="0.2">
      <c r="J494"/>
      <c r="K494"/>
      <c r="L494"/>
      <c r="M494"/>
      <c r="N494"/>
      <c r="O494" s="392"/>
      <c r="P494" s="2"/>
      <c r="R494"/>
      <c r="S494"/>
      <c r="V494"/>
    </row>
    <row r="495" spans="10:22" s="1" customFormat="1" x14ac:dyDescent="0.2">
      <c r="J495"/>
      <c r="K495"/>
      <c r="L495"/>
      <c r="M495"/>
      <c r="N495"/>
      <c r="O495" s="392"/>
      <c r="P495" s="2"/>
      <c r="R495"/>
      <c r="S495"/>
      <c r="V495"/>
    </row>
    <row r="496" spans="10:22" s="1" customFormat="1" x14ac:dyDescent="0.2">
      <c r="J496"/>
      <c r="K496"/>
      <c r="L496"/>
      <c r="M496"/>
      <c r="N496"/>
      <c r="O496" s="392"/>
      <c r="P496" s="2"/>
      <c r="R496"/>
      <c r="S496"/>
      <c r="V496"/>
    </row>
    <row r="497" spans="10:22" s="1" customFormat="1" x14ac:dyDescent="0.2">
      <c r="J497"/>
      <c r="K497"/>
      <c r="L497"/>
      <c r="M497"/>
      <c r="N497"/>
      <c r="O497" s="392"/>
      <c r="P497" s="2"/>
      <c r="R497"/>
      <c r="S497"/>
      <c r="V497"/>
    </row>
    <row r="498" spans="10:22" s="1" customFormat="1" x14ac:dyDescent="0.2">
      <c r="J498"/>
      <c r="K498"/>
      <c r="L498"/>
      <c r="M498"/>
      <c r="N498"/>
      <c r="O498" s="392"/>
      <c r="P498" s="2"/>
      <c r="R498"/>
      <c r="S498"/>
      <c r="V498"/>
    </row>
    <row r="499" spans="10:22" s="1" customFormat="1" x14ac:dyDescent="0.2">
      <c r="J499"/>
      <c r="K499"/>
      <c r="L499"/>
      <c r="M499"/>
      <c r="N499"/>
      <c r="O499" s="392"/>
      <c r="P499" s="2"/>
      <c r="R499"/>
      <c r="S499"/>
      <c r="V499"/>
    </row>
    <row r="500" spans="10:22" s="1" customFormat="1" x14ac:dyDescent="0.2">
      <c r="J500"/>
      <c r="K500"/>
      <c r="L500"/>
      <c r="M500"/>
      <c r="N500"/>
      <c r="O500" s="392"/>
      <c r="P500" s="2"/>
      <c r="R500"/>
      <c r="S500"/>
      <c r="V500"/>
    </row>
    <row r="501" spans="10:22" s="1" customFormat="1" x14ac:dyDescent="0.2">
      <c r="J501"/>
      <c r="K501"/>
      <c r="L501"/>
      <c r="M501"/>
      <c r="N501"/>
      <c r="O501" s="392"/>
      <c r="P501" s="2"/>
      <c r="R501"/>
      <c r="S501"/>
      <c r="V501"/>
    </row>
    <row r="502" spans="10:22" s="1" customFormat="1" x14ac:dyDescent="0.2">
      <c r="J502"/>
      <c r="K502"/>
      <c r="L502"/>
      <c r="M502"/>
      <c r="N502"/>
      <c r="O502" s="392"/>
      <c r="P502" s="2"/>
      <c r="R502"/>
      <c r="S502"/>
      <c r="V502"/>
    </row>
    <row r="503" spans="10:22" s="1" customFormat="1" x14ac:dyDescent="0.2">
      <c r="J503"/>
      <c r="K503"/>
      <c r="L503"/>
      <c r="M503"/>
      <c r="N503"/>
      <c r="O503" s="392"/>
      <c r="P503" s="2"/>
      <c r="R503"/>
      <c r="S503"/>
      <c r="V503"/>
    </row>
    <row r="504" spans="10:22" s="1" customFormat="1" x14ac:dyDescent="0.2">
      <c r="J504"/>
      <c r="K504"/>
      <c r="L504"/>
      <c r="M504"/>
      <c r="N504"/>
      <c r="O504" s="392"/>
      <c r="P504" s="2"/>
      <c r="R504"/>
      <c r="S504"/>
      <c r="V504"/>
    </row>
    <row r="505" spans="10:22" s="1" customFormat="1" x14ac:dyDescent="0.2">
      <c r="J505"/>
      <c r="K505"/>
      <c r="L505"/>
      <c r="M505"/>
      <c r="N505"/>
      <c r="O505" s="392"/>
      <c r="P505" s="2"/>
      <c r="R505"/>
      <c r="S505"/>
      <c r="V505"/>
    </row>
    <row r="506" spans="10:22" s="1" customFormat="1" x14ac:dyDescent="0.2">
      <c r="J506"/>
      <c r="K506"/>
      <c r="L506"/>
      <c r="M506"/>
      <c r="N506"/>
      <c r="O506" s="392"/>
      <c r="P506" s="2"/>
      <c r="R506"/>
      <c r="S506"/>
      <c r="V506"/>
    </row>
    <row r="507" spans="10:22" s="1" customFormat="1" x14ac:dyDescent="0.2">
      <c r="J507"/>
      <c r="K507"/>
      <c r="L507"/>
      <c r="M507"/>
      <c r="N507"/>
      <c r="O507" s="392"/>
      <c r="P507" s="2"/>
      <c r="R507"/>
      <c r="S507"/>
      <c r="V507"/>
    </row>
    <row r="508" spans="10:22" s="1" customFormat="1" x14ac:dyDescent="0.2">
      <c r="J508"/>
      <c r="K508"/>
      <c r="L508"/>
      <c r="M508"/>
      <c r="N508"/>
      <c r="O508" s="392"/>
      <c r="P508" s="2"/>
      <c r="R508"/>
      <c r="S508"/>
      <c r="V508"/>
    </row>
    <row r="509" spans="10:22" s="1" customFormat="1" x14ac:dyDescent="0.2">
      <c r="J509"/>
      <c r="K509"/>
      <c r="L509"/>
      <c r="M509"/>
      <c r="N509"/>
      <c r="O509" s="392"/>
      <c r="P509" s="2"/>
      <c r="R509"/>
      <c r="S509"/>
      <c r="V509"/>
    </row>
    <row r="510" spans="10:22" s="1" customFormat="1" x14ac:dyDescent="0.2">
      <c r="J510"/>
      <c r="K510"/>
      <c r="L510"/>
      <c r="M510"/>
      <c r="N510"/>
      <c r="O510" s="392"/>
      <c r="P510" s="2"/>
      <c r="R510"/>
      <c r="S510"/>
      <c r="V510"/>
    </row>
    <row r="511" spans="10:22" s="1" customFormat="1" x14ac:dyDescent="0.2">
      <c r="J511"/>
      <c r="K511"/>
      <c r="L511"/>
      <c r="M511"/>
      <c r="N511"/>
      <c r="O511" s="392"/>
      <c r="P511" s="2"/>
      <c r="R511"/>
      <c r="S511"/>
      <c r="V511"/>
    </row>
    <row r="512" spans="10:22" s="1" customFormat="1" x14ac:dyDescent="0.2">
      <c r="J512"/>
      <c r="K512"/>
      <c r="L512"/>
      <c r="M512"/>
      <c r="N512"/>
      <c r="O512" s="392"/>
      <c r="P512" s="2"/>
      <c r="R512"/>
      <c r="S512"/>
      <c r="V512"/>
    </row>
    <row r="513" spans="10:22" s="1" customFormat="1" x14ac:dyDescent="0.2">
      <c r="J513"/>
      <c r="K513"/>
      <c r="L513"/>
      <c r="M513"/>
      <c r="N513"/>
      <c r="O513" s="392"/>
      <c r="P513" s="2"/>
      <c r="R513"/>
      <c r="S513"/>
      <c r="V513"/>
    </row>
    <row r="514" spans="10:22" s="1" customFormat="1" x14ac:dyDescent="0.2">
      <c r="J514"/>
      <c r="K514"/>
      <c r="L514"/>
      <c r="M514"/>
      <c r="N514"/>
      <c r="O514" s="392"/>
      <c r="P514" s="2"/>
      <c r="R514"/>
      <c r="S514"/>
      <c r="V514"/>
    </row>
    <row r="515" spans="10:22" s="1" customFormat="1" x14ac:dyDescent="0.2">
      <c r="J515"/>
      <c r="K515"/>
      <c r="L515"/>
      <c r="M515"/>
      <c r="N515"/>
      <c r="O515" s="392"/>
      <c r="P515" s="2"/>
      <c r="R515"/>
      <c r="S515"/>
      <c r="V515"/>
    </row>
    <row r="516" spans="10:22" s="1" customFormat="1" x14ac:dyDescent="0.2">
      <c r="J516"/>
      <c r="K516"/>
      <c r="L516"/>
      <c r="M516"/>
      <c r="N516"/>
      <c r="O516" s="392"/>
      <c r="P516" s="2"/>
      <c r="R516"/>
      <c r="S516"/>
      <c r="V516"/>
    </row>
    <row r="517" spans="10:22" s="1" customFormat="1" x14ac:dyDescent="0.2">
      <c r="J517"/>
      <c r="K517"/>
      <c r="L517"/>
      <c r="M517"/>
      <c r="N517"/>
      <c r="O517" s="392"/>
      <c r="P517" s="2"/>
      <c r="R517"/>
      <c r="S517"/>
      <c r="V517"/>
    </row>
    <row r="518" spans="10:22" s="1" customFormat="1" x14ac:dyDescent="0.2">
      <c r="J518"/>
      <c r="K518"/>
      <c r="L518"/>
      <c r="M518"/>
      <c r="N518"/>
      <c r="O518" s="392"/>
      <c r="P518" s="2"/>
      <c r="R518"/>
      <c r="S518"/>
      <c r="V518"/>
    </row>
    <row r="519" spans="10:22" s="1" customFormat="1" x14ac:dyDescent="0.2">
      <c r="J519"/>
      <c r="K519"/>
      <c r="L519"/>
      <c r="M519"/>
      <c r="N519"/>
      <c r="O519" s="392"/>
      <c r="P519" s="2"/>
      <c r="R519"/>
      <c r="S519"/>
      <c r="V519"/>
    </row>
    <row r="520" spans="10:22" s="1" customFormat="1" x14ac:dyDescent="0.2">
      <c r="J520"/>
      <c r="K520"/>
      <c r="L520"/>
      <c r="M520"/>
      <c r="N520"/>
      <c r="O520" s="392"/>
      <c r="P520" s="2"/>
      <c r="R520"/>
      <c r="S520"/>
      <c r="V520"/>
    </row>
    <row r="521" spans="10:22" s="1" customFormat="1" x14ac:dyDescent="0.2">
      <c r="J521"/>
      <c r="K521"/>
      <c r="L521"/>
      <c r="M521"/>
      <c r="N521"/>
      <c r="O521" s="392"/>
      <c r="P521" s="2"/>
      <c r="R521"/>
      <c r="S521"/>
      <c r="V521"/>
    </row>
    <row r="522" spans="10:22" s="1" customFormat="1" x14ac:dyDescent="0.2">
      <c r="J522"/>
      <c r="K522"/>
      <c r="L522"/>
      <c r="M522"/>
      <c r="N522"/>
      <c r="O522" s="392"/>
      <c r="P522" s="2"/>
      <c r="R522"/>
      <c r="S522"/>
      <c r="V522"/>
    </row>
    <row r="523" spans="10:22" s="1" customFormat="1" x14ac:dyDescent="0.2">
      <c r="J523"/>
      <c r="K523"/>
      <c r="L523"/>
      <c r="M523"/>
      <c r="N523"/>
      <c r="O523" s="392"/>
      <c r="P523" s="2"/>
      <c r="R523"/>
      <c r="S523"/>
      <c r="V523"/>
    </row>
    <row r="524" spans="10:22" s="1" customFormat="1" x14ac:dyDescent="0.2">
      <c r="J524"/>
      <c r="K524"/>
      <c r="L524"/>
      <c r="M524"/>
      <c r="N524"/>
      <c r="O524" s="392"/>
      <c r="P524" s="2"/>
      <c r="R524"/>
      <c r="S524"/>
      <c r="V524"/>
    </row>
    <row r="525" spans="10:22" s="1" customFormat="1" x14ac:dyDescent="0.2">
      <c r="J525"/>
      <c r="K525"/>
      <c r="L525"/>
      <c r="M525"/>
      <c r="N525"/>
      <c r="O525" s="392"/>
      <c r="P525" s="2"/>
      <c r="R525"/>
      <c r="S525"/>
      <c r="V525"/>
    </row>
    <row r="526" spans="10:22" s="1" customFormat="1" x14ac:dyDescent="0.2">
      <c r="J526"/>
      <c r="K526"/>
      <c r="L526"/>
      <c r="M526"/>
      <c r="N526"/>
      <c r="O526" s="392"/>
      <c r="P526" s="2"/>
      <c r="R526"/>
      <c r="S526"/>
      <c r="V526"/>
    </row>
    <row r="527" spans="10:22" s="1" customFormat="1" x14ac:dyDescent="0.2">
      <c r="J527"/>
      <c r="K527"/>
      <c r="L527"/>
      <c r="M527"/>
      <c r="N527"/>
      <c r="O527" s="392"/>
      <c r="P527" s="2"/>
      <c r="R527"/>
      <c r="S527"/>
      <c r="V527"/>
    </row>
    <row r="528" spans="10:22" s="1" customFormat="1" x14ac:dyDescent="0.2">
      <c r="J528"/>
      <c r="K528"/>
      <c r="L528"/>
      <c r="M528"/>
      <c r="N528"/>
      <c r="O528" s="392"/>
      <c r="P528" s="2"/>
      <c r="R528"/>
      <c r="S528"/>
      <c r="V528"/>
    </row>
    <row r="529" spans="10:22" s="1" customFormat="1" x14ac:dyDescent="0.2">
      <c r="J529"/>
      <c r="K529"/>
      <c r="L529"/>
      <c r="M529"/>
      <c r="N529"/>
      <c r="O529" s="392"/>
      <c r="P529" s="2"/>
      <c r="R529"/>
      <c r="S529"/>
      <c r="V529"/>
    </row>
    <row r="530" spans="10:22" s="1" customFormat="1" x14ac:dyDescent="0.2">
      <c r="J530"/>
      <c r="K530"/>
      <c r="L530"/>
      <c r="M530"/>
      <c r="N530"/>
      <c r="O530" s="392"/>
      <c r="P530" s="2"/>
      <c r="R530"/>
      <c r="S530"/>
      <c r="V530"/>
    </row>
    <row r="531" spans="10:22" s="1" customFormat="1" x14ac:dyDescent="0.2">
      <c r="J531"/>
      <c r="K531"/>
      <c r="L531"/>
      <c r="M531"/>
      <c r="N531"/>
      <c r="O531" s="392"/>
      <c r="P531" s="2"/>
      <c r="R531"/>
      <c r="S531"/>
      <c r="V531"/>
    </row>
    <row r="532" spans="10:22" s="1" customFormat="1" x14ac:dyDescent="0.2">
      <c r="J532"/>
      <c r="K532"/>
      <c r="L532"/>
      <c r="M532"/>
      <c r="N532"/>
      <c r="O532" s="392"/>
      <c r="P532" s="2"/>
      <c r="R532"/>
      <c r="S532"/>
      <c r="V532"/>
    </row>
    <row r="533" spans="10:22" s="1" customFormat="1" x14ac:dyDescent="0.2">
      <c r="J533"/>
      <c r="K533"/>
      <c r="L533"/>
      <c r="M533"/>
      <c r="N533"/>
      <c r="O533" s="392"/>
      <c r="P533" s="2"/>
      <c r="R533"/>
      <c r="S533"/>
      <c r="V533"/>
    </row>
    <row r="534" spans="10:22" s="1" customFormat="1" x14ac:dyDescent="0.2">
      <c r="J534"/>
      <c r="K534"/>
      <c r="L534"/>
      <c r="M534"/>
      <c r="N534"/>
      <c r="O534" s="392"/>
      <c r="P534" s="2"/>
      <c r="R534"/>
      <c r="S534"/>
      <c r="V534"/>
    </row>
    <row r="535" spans="10:22" s="1" customFormat="1" x14ac:dyDescent="0.2">
      <c r="J535"/>
      <c r="K535"/>
      <c r="L535"/>
      <c r="M535"/>
      <c r="N535"/>
      <c r="O535" s="392"/>
      <c r="P535" s="2"/>
      <c r="R535"/>
      <c r="S535"/>
      <c r="V535"/>
    </row>
    <row r="536" spans="10:22" s="1" customFormat="1" x14ac:dyDescent="0.2">
      <c r="J536"/>
      <c r="K536"/>
      <c r="L536"/>
      <c r="M536"/>
      <c r="N536"/>
      <c r="O536" s="392"/>
      <c r="P536" s="2"/>
      <c r="R536"/>
      <c r="S536"/>
      <c r="V536"/>
    </row>
    <row r="537" spans="10:22" s="1" customFormat="1" x14ac:dyDescent="0.2">
      <c r="J537"/>
      <c r="K537"/>
      <c r="L537"/>
      <c r="M537"/>
      <c r="N537"/>
      <c r="O537" s="392"/>
      <c r="P537" s="2"/>
      <c r="R537"/>
      <c r="S537"/>
      <c r="V537"/>
    </row>
    <row r="538" spans="10:22" s="1" customFormat="1" x14ac:dyDescent="0.2">
      <c r="J538"/>
      <c r="K538"/>
      <c r="L538"/>
      <c r="M538"/>
      <c r="N538"/>
      <c r="O538" s="392"/>
      <c r="P538" s="2"/>
      <c r="R538"/>
      <c r="S538"/>
      <c r="V538"/>
    </row>
    <row r="539" spans="10:22" s="1" customFormat="1" x14ac:dyDescent="0.2">
      <c r="J539"/>
      <c r="K539"/>
      <c r="L539"/>
      <c r="M539"/>
      <c r="N539"/>
      <c r="O539" s="392"/>
      <c r="P539" s="2"/>
      <c r="R539"/>
      <c r="S539"/>
      <c r="V539"/>
    </row>
    <row r="540" spans="10:22" s="1" customFormat="1" x14ac:dyDescent="0.2">
      <c r="J540"/>
      <c r="K540"/>
      <c r="L540"/>
      <c r="M540"/>
      <c r="N540"/>
      <c r="O540" s="392"/>
      <c r="P540" s="2"/>
      <c r="R540"/>
      <c r="S540"/>
      <c r="V540"/>
    </row>
    <row r="541" spans="10:22" s="1" customFormat="1" x14ac:dyDescent="0.2">
      <c r="J541"/>
      <c r="K541"/>
      <c r="L541"/>
      <c r="M541"/>
      <c r="N541"/>
      <c r="O541" s="392"/>
      <c r="P541" s="2"/>
      <c r="R541"/>
      <c r="S541"/>
      <c r="V541"/>
    </row>
    <row r="542" spans="10:22" s="1" customFormat="1" x14ac:dyDescent="0.2">
      <c r="J542"/>
      <c r="K542"/>
      <c r="L542"/>
      <c r="M542"/>
      <c r="N542"/>
      <c r="O542" s="392"/>
      <c r="P542" s="2"/>
      <c r="R542"/>
      <c r="S542"/>
      <c r="V542"/>
    </row>
    <row r="543" spans="10:22" s="1" customFormat="1" x14ac:dyDescent="0.2">
      <c r="J543"/>
      <c r="K543"/>
      <c r="L543"/>
      <c r="M543"/>
      <c r="N543"/>
      <c r="O543" s="392"/>
      <c r="P543" s="2"/>
      <c r="R543"/>
      <c r="S543"/>
      <c r="V543"/>
    </row>
    <row r="544" spans="10:22" s="1" customFormat="1" x14ac:dyDescent="0.2">
      <c r="J544"/>
      <c r="K544"/>
      <c r="L544"/>
      <c r="M544"/>
      <c r="N544"/>
      <c r="O544" s="392"/>
      <c r="P544" s="2"/>
      <c r="R544"/>
      <c r="S544"/>
      <c r="V544"/>
    </row>
    <row r="545" spans="10:22" s="1" customFormat="1" x14ac:dyDescent="0.2">
      <c r="J545"/>
      <c r="K545"/>
      <c r="L545"/>
      <c r="M545"/>
      <c r="N545"/>
      <c r="O545" s="392"/>
      <c r="P545" s="2"/>
      <c r="R545"/>
      <c r="S545"/>
      <c r="V545"/>
    </row>
    <row r="546" spans="10:22" s="1" customFormat="1" x14ac:dyDescent="0.2">
      <c r="J546"/>
      <c r="K546"/>
      <c r="L546"/>
      <c r="M546"/>
      <c r="N546"/>
      <c r="O546" s="392"/>
      <c r="P546" s="2"/>
      <c r="R546"/>
      <c r="S546"/>
      <c r="V546"/>
    </row>
    <row r="547" spans="10:22" s="1" customFormat="1" x14ac:dyDescent="0.2">
      <c r="J547"/>
      <c r="K547"/>
      <c r="L547"/>
      <c r="M547"/>
      <c r="N547"/>
      <c r="O547" s="392"/>
      <c r="P547" s="2"/>
      <c r="R547"/>
      <c r="S547"/>
      <c r="V547"/>
    </row>
    <row r="548" spans="10:22" s="1" customFormat="1" x14ac:dyDescent="0.2">
      <c r="J548"/>
      <c r="K548"/>
      <c r="L548"/>
      <c r="M548"/>
      <c r="N548"/>
      <c r="O548" s="392"/>
      <c r="P548" s="2"/>
      <c r="R548"/>
      <c r="S548"/>
      <c r="V548"/>
    </row>
    <row r="549" spans="10:22" s="1" customFormat="1" x14ac:dyDescent="0.2">
      <c r="J549"/>
      <c r="K549"/>
      <c r="L549"/>
      <c r="M549"/>
      <c r="N549"/>
      <c r="O549" s="392"/>
      <c r="P549" s="2"/>
      <c r="R549"/>
      <c r="S549"/>
      <c r="V549"/>
    </row>
    <row r="550" spans="10:22" s="1" customFormat="1" x14ac:dyDescent="0.2">
      <c r="J550"/>
      <c r="K550"/>
      <c r="L550"/>
      <c r="M550"/>
      <c r="N550"/>
      <c r="O550" s="392"/>
      <c r="P550" s="2"/>
      <c r="R550"/>
      <c r="S550"/>
      <c r="V550"/>
    </row>
    <row r="551" spans="10:22" s="1" customFormat="1" x14ac:dyDescent="0.2">
      <c r="J551"/>
      <c r="K551"/>
      <c r="L551"/>
      <c r="M551"/>
      <c r="N551"/>
      <c r="O551" s="392"/>
      <c r="P551" s="2"/>
      <c r="R551"/>
      <c r="S551"/>
      <c r="V551"/>
    </row>
    <row r="552" spans="10:22" s="1" customFormat="1" x14ac:dyDescent="0.2">
      <c r="J552"/>
      <c r="K552"/>
      <c r="L552"/>
      <c r="M552"/>
      <c r="N552"/>
      <c r="O552" s="392"/>
      <c r="P552" s="2"/>
      <c r="R552"/>
      <c r="S552"/>
      <c r="V552"/>
    </row>
    <row r="553" spans="10:22" s="1" customFormat="1" x14ac:dyDescent="0.2">
      <c r="J553"/>
      <c r="K553"/>
      <c r="L553"/>
      <c r="M553"/>
      <c r="N553"/>
      <c r="O553" s="392"/>
      <c r="P553" s="2"/>
      <c r="R553"/>
      <c r="S553"/>
      <c r="V553"/>
    </row>
    <row r="554" spans="10:22" s="1" customFormat="1" x14ac:dyDescent="0.2">
      <c r="J554"/>
      <c r="K554"/>
      <c r="L554"/>
      <c r="M554"/>
      <c r="N554"/>
      <c r="O554" s="392"/>
      <c r="P554" s="2"/>
      <c r="R554"/>
      <c r="S554"/>
      <c r="V554"/>
    </row>
    <row r="555" spans="10:22" s="1" customFormat="1" x14ac:dyDescent="0.2">
      <c r="J555"/>
      <c r="K555"/>
      <c r="L555"/>
      <c r="M555"/>
      <c r="N555"/>
      <c r="O555" s="392"/>
      <c r="P555" s="2"/>
      <c r="R555"/>
      <c r="S555"/>
      <c r="V555"/>
    </row>
    <row r="556" spans="10:22" s="1" customFormat="1" x14ac:dyDescent="0.2">
      <c r="J556"/>
      <c r="K556"/>
      <c r="L556"/>
      <c r="M556"/>
      <c r="N556"/>
      <c r="O556" s="392"/>
      <c r="P556" s="2"/>
      <c r="R556"/>
      <c r="S556"/>
      <c r="V556"/>
    </row>
    <row r="557" spans="10:22" s="1" customFormat="1" x14ac:dyDescent="0.2">
      <c r="J557"/>
      <c r="K557"/>
      <c r="L557"/>
      <c r="M557"/>
      <c r="N557"/>
      <c r="O557" s="392"/>
      <c r="P557" s="2"/>
      <c r="R557"/>
      <c r="S557"/>
      <c r="V557"/>
    </row>
    <row r="558" spans="10:22" s="1" customFormat="1" x14ac:dyDescent="0.2">
      <c r="J558"/>
      <c r="K558"/>
      <c r="L558"/>
      <c r="M558"/>
      <c r="N558"/>
      <c r="O558" s="392"/>
      <c r="P558" s="2"/>
      <c r="R558"/>
      <c r="S558"/>
      <c r="V558"/>
    </row>
    <row r="559" spans="10:22" s="1" customFormat="1" x14ac:dyDescent="0.2">
      <c r="J559"/>
      <c r="K559"/>
      <c r="L559"/>
      <c r="M559"/>
      <c r="N559"/>
      <c r="O559" s="392"/>
      <c r="P559" s="2"/>
      <c r="R559"/>
      <c r="S559"/>
      <c r="V559"/>
    </row>
    <row r="560" spans="10:22" s="1" customFormat="1" x14ac:dyDescent="0.2">
      <c r="J560"/>
      <c r="K560"/>
      <c r="L560"/>
      <c r="M560"/>
      <c r="N560"/>
      <c r="O560" s="392"/>
      <c r="P560" s="2"/>
      <c r="R560"/>
      <c r="S560"/>
      <c r="V560"/>
    </row>
    <row r="561" spans="10:22" s="1" customFormat="1" x14ac:dyDescent="0.2">
      <c r="J561"/>
      <c r="K561"/>
      <c r="L561"/>
      <c r="M561"/>
      <c r="N561"/>
      <c r="O561" s="392"/>
      <c r="P561" s="2"/>
      <c r="R561"/>
      <c r="S561"/>
      <c r="V561"/>
    </row>
    <row r="562" spans="10:22" s="1" customFormat="1" x14ac:dyDescent="0.2">
      <c r="J562"/>
      <c r="K562"/>
      <c r="L562"/>
      <c r="M562"/>
      <c r="N562"/>
      <c r="O562" s="392"/>
      <c r="P562" s="2"/>
      <c r="R562"/>
      <c r="S562"/>
      <c r="V562"/>
    </row>
    <row r="563" spans="10:22" s="1" customFormat="1" x14ac:dyDescent="0.2">
      <c r="J563"/>
      <c r="K563"/>
      <c r="L563"/>
      <c r="M563"/>
      <c r="N563"/>
      <c r="O563" s="392"/>
      <c r="P563" s="2"/>
      <c r="R563"/>
      <c r="S563"/>
      <c r="V563"/>
    </row>
    <row r="564" spans="10:22" s="1" customFormat="1" x14ac:dyDescent="0.2">
      <c r="J564"/>
      <c r="K564"/>
      <c r="L564"/>
      <c r="M564"/>
      <c r="N564"/>
      <c r="O564" s="392"/>
      <c r="P564" s="2"/>
      <c r="R564"/>
      <c r="S564"/>
      <c r="V564"/>
    </row>
    <row r="565" spans="10:22" s="1" customFormat="1" x14ac:dyDescent="0.2">
      <c r="J565"/>
      <c r="K565"/>
      <c r="L565"/>
      <c r="M565"/>
      <c r="N565"/>
      <c r="O565" s="392"/>
      <c r="P565" s="2"/>
      <c r="R565"/>
      <c r="S565"/>
      <c r="V565"/>
    </row>
    <row r="566" spans="10:22" s="1" customFormat="1" x14ac:dyDescent="0.2">
      <c r="J566"/>
      <c r="K566"/>
      <c r="L566"/>
      <c r="M566"/>
      <c r="N566"/>
      <c r="O566" s="392"/>
      <c r="P566" s="2"/>
      <c r="R566"/>
      <c r="S566"/>
      <c r="V566"/>
    </row>
    <row r="567" spans="10:22" s="1" customFormat="1" x14ac:dyDescent="0.2">
      <c r="J567"/>
      <c r="K567"/>
      <c r="L567"/>
      <c r="M567"/>
      <c r="N567"/>
      <c r="O567" s="392"/>
      <c r="P567" s="2"/>
      <c r="R567"/>
      <c r="S567"/>
      <c r="V567"/>
    </row>
    <row r="568" spans="10:22" s="1" customFormat="1" x14ac:dyDescent="0.2">
      <c r="J568"/>
      <c r="K568"/>
      <c r="L568"/>
      <c r="M568"/>
      <c r="N568"/>
      <c r="O568" s="392"/>
      <c r="P568" s="2"/>
      <c r="R568"/>
      <c r="S568"/>
      <c r="V568"/>
    </row>
    <row r="569" spans="10:22" s="1" customFormat="1" x14ac:dyDescent="0.2">
      <c r="J569"/>
      <c r="K569"/>
      <c r="L569"/>
      <c r="M569"/>
      <c r="N569"/>
      <c r="O569" s="392"/>
      <c r="P569" s="2"/>
      <c r="R569"/>
      <c r="S569"/>
      <c r="V569"/>
    </row>
    <row r="570" spans="10:22" s="1" customFormat="1" x14ac:dyDescent="0.2">
      <c r="J570"/>
      <c r="K570"/>
      <c r="L570"/>
      <c r="M570"/>
      <c r="N570"/>
      <c r="O570" s="392"/>
      <c r="P570" s="2"/>
      <c r="R570"/>
      <c r="S570"/>
      <c r="V570"/>
    </row>
    <row r="571" spans="10:22" s="1" customFormat="1" x14ac:dyDescent="0.2">
      <c r="J571"/>
      <c r="K571"/>
      <c r="L571"/>
      <c r="M571"/>
      <c r="N571"/>
      <c r="O571" s="392"/>
      <c r="P571" s="2"/>
      <c r="R571"/>
      <c r="S571"/>
      <c r="V571"/>
    </row>
    <row r="572" spans="10:22" s="1" customFormat="1" x14ac:dyDescent="0.2">
      <c r="J572"/>
      <c r="K572"/>
      <c r="L572"/>
      <c r="M572"/>
      <c r="N572"/>
      <c r="O572" s="392"/>
      <c r="P572" s="2"/>
      <c r="R572"/>
      <c r="S572"/>
      <c r="V572"/>
    </row>
    <row r="573" spans="10:22" s="1" customFormat="1" x14ac:dyDescent="0.2">
      <c r="J573"/>
      <c r="K573"/>
      <c r="L573"/>
      <c r="M573"/>
      <c r="N573"/>
      <c r="O573" s="392"/>
      <c r="P573" s="2"/>
      <c r="R573"/>
      <c r="S573"/>
      <c r="V573"/>
    </row>
    <row r="574" spans="10:22" s="1" customFormat="1" x14ac:dyDescent="0.2">
      <c r="J574"/>
      <c r="K574"/>
      <c r="L574"/>
      <c r="M574"/>
      <c r="N574"/>
      <c r="O574" s="392"/>
      <c r="P574" s="2"/>
      <c r="R574"/>
      <c r="S574"/>
      <c r="V574"/>
    </row>
    <row r="575" spans="10:22" s="1" customFormat="1" x14ac:dyDescent="0.2">
      <c r="J575"/>
      <c r="K575"/>
      <c r="L575"/>
      <c r="M575"/>
      <c r="N575"/>
      <c r="O575" s="392"/>
      <c r="P575" s="2"/>
      <c r="R575"/>
      <c r="S575"/>
      <c r="V575"/>
    </row>
    <row r="576" spans="10:22" s="1" customFormat="1" x14ac:dyDescent="0.2">
      <c r="J576"/>
      <c r="K576"/>
      <c r="L576"/>
      <c r="M576"/>
      <c r="N576"/>
      <c r="O576" s="392"/>
      <c r="P576" s="2"/>
      <c r="R576"/>
      <c r="S576"/>
      <c r="V576"/>
    </row>
    <row r="577" spans="10:22" s="1" customFormat="1" x14ac:dyDescent="0.2">
      <c r="J577"/>
      <c r="K577"/>
      <c r="L577"/>
      <c r="M577"/>
      <c r="N577"/>
      <c r="O577" s="392"/>
      <c r="P577" s="2"/>
      <c r="R577"/>
      <c r="S577"/>
      <c r="V577"/>
    </row>
    <row r="578" spans="10:22" s="1" customFormat="1" x14ac:dyDescent="0.2">
      <c r="J578"/>
      <c r="K578"/>
      <c r="L578"/>
      <c r="M578"/>
      <c r="N578"/>
      <c r="O578" s="392"/>
      <c r="P578" s="2"/>
      <c r="R578"/>
      <c r="S578"/>
      <c r="V578"/>
    </row>
    <row r="579" spans="10:22" s="1" customFormat="1" x14ac:dyDescent="0.2">
      <c r="J579"/>
      <c r="K579"/>
      <c r="L579"/>
      <c r="M579"/>
      <c r="N579"/>
      <c r="O579" s="392"/>
      <c r="P579" s="2"/>
      <c r="R579"/>
      <c r="S579"/>
      <c r="V579"/>
    </row>
    <row r="580" spans="10:22" s="1" customFormat="1" x14ac:dyDescent="0.2">
      <c r="J580"/>
      <c r="K580"/>
      <c r="L580"/>
      <c r="M580"/>
      <c r="N580"/>
      <c r="O580" s="392"/>
      <c r="P580" s="2"/>
      <c r="R580"/>
      <c r="S580"/>
      <c r="V580"/>
    </row>
    <row r="581" spans="10:22" s="1" customFormat="1" x14ac:dyDescent="0.2">
      <c r="J581"/>
      <c r="K581"/>
      <c r="L581"/>
      <c r="M581"/>
      <c r="N581"/>
      <c r="O581" s="392"/>
      <c r="P581" s="2"/>
      <c r="R581"/>
      <c r="S581"/>
      <c r="V581"/>
    </row>
    <row r="582" spans="10:22" s="1" customFormat="1" x14ac:dyDescent="0.2">
      <c r="J582"/>
      <c r="K582"/>
      <c r="L582"/>
      <c r="M582"/>
      <c r="N582"/>
      <c r="O582" s="392"/>
      <c r="P582" s="2"/>
      <c r="R582"/>
      <c r="S582"/>
      <c r="V582"/>
    </row>
    <row r="583" spans="10:22" s="1" customFormat="1" x14ac:dyDescent="0.2">
      <c r="J583"/>
      <c r="K583"/>
      <c r="L583"/>
      <c r="M583"/>
      <c r="N583"/>
      <c r="O583" s="392"/>
      <c r="P583" s="2"/>
      <c r="R583"/>
      <c r="S583"/>
      <c r="V583"/>
    </row>
    <row r="584" spans="10:22" s="1" customFormat="1" x14ac:dyDescent="0.2">
      <c r="J584"/>
      <c r="K584"/>
      <c r="L584"/>
      <c r="M584"/>
      <c r="N584"/>
      <c r="O584" s="392"/>
      <c r="P584" s="2"/>
      <c r="R584"/>
      <c r="S584"/>
      <c r="V584"/>
    </row>
    <row r="585" spans="10:22" s="1" customFormat="1" x14ac:dyDescent="0.2">
      <c r="J585"/>
      <c r="K585"/>
      <c r="L585"/>
      <c r="M585"/>
      <c r="N585"/>
      <c r="O585" s="392"/>
      <c r="P585" s="2"/>
      <c r="R585"/>
      <c r="S585"/>
      <c r="V585"/>
    </row>
    <row r="586" spans="10:22" s="1" customFormat="1" x14ac:dyDescent="0.2">
      <c r="J586"/>
      <c r="K586"/>
      <c r="L586"/>
      <c r="M586"/>
      <c r="N586"/>
      <c r="O586" s="392"/>
      <c r="P586" s="2"/>
      <c r="R586"/>
      <c r="S586"/>
      <c r="V586"/>
    </row>
    <row r="587" spans="10:22" s="1" customFormat="1" x14ac:dyDescent="0.2">
      <c r="J587"/>
      <c r="K587"/>
      <c r="L587"/>
      <c r="M587"/>
      <c r="N587"/>
      <c r="O587" s="392"/>
      <c r="P587" s="2"/>
      <c r="R587"/>
      <c r="S587"/>
      <c r="V587"/>
    </row>
    <row r="588" spans="10:22" s="1" customFormat="1" x14ac:dyDescent="0.2">
      <c r="J588"/>
      <c r="K588"/>
      <c r="L588"/>
      <c r="M588"/>
      <c r="N588"/>
      <c r="O588" s="392"/>
      <c r="P588" s="2"/>
      <c r="R588"/>
      <c r="S588"/>
      <c r="V588"/>
    </row>
    <row r="589" spans="10:22" s="1" customFormat="1" x14ac:dyDescent="0.2">
      <c r="J589"/>
      <c r="K589"/>
      <c r="L589"/>
      <c r="M589"/>
      <c r="N589"/>
      <c r="O589" s="392"/>
      <c r="P589" s="2"/>
      <c r="R589"/>
      <c r="S589"/>
      <c r="V589"/>
    </row>
    <row r="590" spans="10:22" s="1" customFormat="1" x14ac:dyDescent="0.2">
      <c r="J590"/>
      <c r="K590"/>
      <c r="L590"/>
      <c r="M590"/>
      <c r="N590"/>
      <c r="O590" s="392"/>
      <c r="P590" s="2"/>
      <c r="R590"/>
      <c r="S590"/>
      <c r="V590"/>
    </row>
    <row r="591" spans="10:22" s="1" customFormat="1" x14ac:dyDescent="0.2">
      <c r="J591"/>
      <c r="K591"/>
      <c r="L591"/>
      <c r="M591"/>
      <c r="N591"/>
      <c r="O591" s="392"/>
      <c r="P591" s="2"/>
      <c r="R591"/>
      <c r="S591"/>
      <c r="V591"/>
    </row>
    <row r="592" spans="10:22" s="1" customFormat="1" x14ac:dyDescent="0.2">
      <c r="J592"/>
      <c r="K592"/>
      <c r="L592"/>
      <c r="M592"/>
      <c r="N592"/>
      <c r="O592" s="392"/>
      <c r="P592" s="2"/>
      <c r="R592"/>
      <c r="S592"/>
      <c r="V592"/>
    </row>
    <row r="593" spans="10:22" s="1" customFormat="1" x14ac:dyDescent="0.2">
      <c r="J593"/>
      <c r="K593"/>
      <c r="L593"/>
      <c r="M593"/>
      <c r="N593"/>
      <c r="O593" s="392"/>
      <c r="P593" s="2"/>
      <c r="R593"/>
      <c r="S593"/>
      <c r="V593"/>
    </row>
    <row r="594" spans="10:22" s="1" customFormat="1" x14ac:dyDescent="0.2">
      <c r="J594"/>
      <c r="K594"/>
      <c r="L594"/>
      <c r="M594"/>
      <c r="N594"/>
      <c r="O594" s="392"/>
      <c r="P594" s="2"/>
      <c r="R594"/>
      <c r="S594"/>
      <c r="V594"/>
    </row>
    <row r="595" spans="10:22" s="1" customFormat="1" x14ac:dyDescent="0.2">
      <c r="J595"/>
      <c r="K595"/>
      <c r="L595"/>
      <c r="M595"/>
      <c r="N595"/>
      <c r="O595" s="392"/>
      <c r="P595" s="2"/>
      <c r="R595"/>
      <c r="S595"/>
      <c r="V595"/>
    </row>
    <row r="596" spans="10:22" s="1" customFormat="1" x14ac:dyDescent="0.2">
      <c r="J596"/>
      <c r="K596"/>
      <c r="L596"/>
      <c r="M596"/>
      <c r="N596"/>
      <c r="O596" s="392"/>
      <c r="P596" s="2"/>
      <c r="R596"/>
      <c r="S596"/>
      <c r="V596"/>
    </row>
    <row r="597" spans="10:22" s="1" customFormat="1" x14ac:dyDescent="0.2">
      <c r="J597"/>
      <c r="K597"/>
      <c r="L597"/>
      <c r="M597"/>
      <c r="N597"/>
      <c r="O597" s="392"/>
      <c r="P597" s="2"/>
      <c r="R597"/>
      <c r="S597"/>
      <c r="V597"/>
    </row>
    <row r="598" spans="10:22" s="1" customFormat="1" x14ac:dyDescent="0.2">
      <c r="J598"/>
      <c r="K598"/>
      <c r="L598"/>
      <c r="M598"/>
      <c r="N598"/>
      <c r="O598" s="392"/>
      <c r="P598" s="2"/>
      <c r="R598"/>
      <c r="S598"/>
      <c r="V598"/>
    </row>
    <row r="599" spans="10:22" s="1" customFormat="1" x14ac:dyDescent="0.2">
      <c r="J599"/>
      <c r="K599"/>
      <c r="L599"/>
      <c r="M599"/>
      <c r="N599"/>
      <c r="O599" s="392"/>
      <c r="P599" s="2"/>
      <c r="R599"/>
      <c r="S599"/>
      <c r="V599"/>
    </row>
    <row r="600" spans="10:22" s="1" customFormat="1" x14ac:dyDescent="0.2">
      <c r="J600"/>
      <c r="K600"/>
      <c r="L600"/>
      <c r="M600"/>
      <c r="N600"/>
      <c r="O600" s="392"/>
      <c r="P600" s="2"/>
      <c r="R600"/>
      <c r="S600"/>
      <c r="V600"/>
    </row>
    <row r="601" spans="10:22" s="1" customFormat="1" x14ac:dyDescent="0.2">
      <c r="J601"/>
      <c r="K601"/>
      <c r="L601"/>
      <c r="M601"/>
      <c r="N601"/>
      <c r="O601" s="392"/>
      <c r="P601" s="2"/>
      <c r="R601"/>
      <c r="S601"/>
      <c r="V601"/>
    </row>
    <row r="602" spans="10:22" s="1" customFormat="1" x14ac:dyDescent="0.2">
      <c r="J602"/>
      <c r="K602"/>
      <c r="L602"/>
      <c r="M602"/>
      <c r="N602"/>
      <c r="O602" s="392"/>
      <c r="P602" s="2"/>
      <c r="R602"/>
      <c r="S602"/>
      <c r="V602"/>
    </row>
    <row r="603" spans="10:22" s="1" customFormat="1" x14ac:dyDescent="0.2">
      <c r="J603"/>
      <c r="K603"/>
      <c r="L603"/>
      <c r="M603"/>
      <c r="N603"/>
      <c r="O603" s="392"/>
      <c r="P603" s="2"/>
      <c r="R603"/>
      <c r="S603"/>
      <c r="V603"/>
    </row>
    <row r="604" spans="10:22" s="1" customFormat="1" x14ac:dyDescent="0.2">
      <c r="J604"/>
      <c r="K604"/>
      <c r="L604"/>
      <c r="M604"/>
      <c r="N604"/>
      <c r="O604" s="392"/>
      <c r="P604" s="2"/>
      <c r="R604"/>
      <c r="S604"/>
      <c r="V604"/>
    </row>
    <row r="605" spans="10:22" s="1" customFormat="1" x14ac:dyDescent="0.2">
      <c r="J605"/>
      <c r="K605"/>
      <c r="L605"/>
      <c r="M605"/>
      <c r="N605"/>
      <c r="O605" s="392"/>
      <c r="P605" s="2"/>
      <c r="R605"/>
      <c r="S605"/>
      <c r="V605"/>
    </row>
    <row r="606" spans="10:22" s="1" customFormat="1" x14ac:dyDescent="0.2">
      <c r="J606"/>
      <c r="K606"/>
      <c r="L606"/>
      <c r="M606"/>
      <c r="N606"/>
      <c r="O606" s="392"/>
      <c r="P606" s="2"/>
      <c r="R606"/>
      <c r="S606"/>
      <c r="V606"/>
    </row>
    <row r="607" spans="10:22" s="1" customFormat="1" x14ac:dyDescent="0.2">
      <c r="J607"/>
      <c r="K607"/>
      <c r="L607"/>
      <c r="M607"/>
      <c r="N607"/>
      <c r="O607" s="392"/>
      <c r="P607" s="2"/>
      <c r="R607"/>
      <c r="S607"/>
      <c r="V607"/>
    </row>
    <row r="608" spans="10:22" s="1" customFormat="1" x14ac:dyDescent="0.2">
      <c r="J608"/>
      <c r="K608"/>
      <c r="L608"/>
      <c r="M608"/>
      <c r="N608"/>
      <c r="O608" s="392"/>
      <c r="P608" s="2"/>
      <c r="R608"/>
      <c r="S608"/>
      <c r="V608"/>
    </row>
    <row r="609" spans="10:22" s="1" customFormat="1" x14ac:dyDescent="0.2">
      <c r="J609"/>
      <c r="K609"/>
      <c r="L609"/>
      <c r="M609"/>
      <c r="N609"/>
      <c r="O609" s="392"/>
      <c r="P609" s="2"/>
      <c r="R609"/>
      <c r="S609"/>
      <c r="V609"/>
    </row>
    <row r="610" spans="10:22" s="1" customFormat="1" x14ac:dyDescent="0.2">
      <c r="J610"/>
      <c r="K610"/>
      <c r="L610"/>
      <c r="M610"/>
      <c r="N610"/>
      <c r="O610" s="392"/>
      <c r="P610" s="2"/>
      <c r="R610"/>
      <c r="S610"/>
      <c r="V610"/>
    </row>
    <row r="611" spans="10:22" s="1" customFormat="1" x14ac:dyDescent="0.2">
      <c r="J611"/>
      <c r="K611"/>
      <c r="L611"/>
      <c r="M611"/>
      <c r="N611"/>
      <c r="O611" s="392"/>
      <c r="P611" s="2"/>
      <c r="R611"/>
      <c r="S611"/>
      <c r="V611"/>
    </row>
    <row r="612" spans="10:22" s="1" customFormat="1" x14ac:dyDescent="0.2">
      <c r="J612"/>
      <c r="K612"/>
      <c r="L612"/>
      <c r="M612"/>
      <c r="N612"/>
      <c r="O612" s="392"/>
      <c r="P612" s="2"/>
      <c r="R612"/>
      <c r="S612"/>
      <c r="V612"/>
    </row>
    <row r="613" spans="10:22" s="1" customFormat="1" x14ac:dyDescent="0.2">
      <c r="J613"/>
      <c r="K613"/>
      <c r="L613"/>
      <c r="M613"/>
      <c r="N613"/>
      <c r="O613" s="392"/>
      <c r="P613" s="2"/>
      <c r="R613"/>
      <c r="S613"/>
      <c r="V613"/>
    </row>
    <row r="614" spans="10:22" s="1" customFormat="1" x14ac:dyDescent="0.2">
      <c r="J614"/>
      <c r="K614"/>
      <c r="L614"/>
      <c r="M614"/>
      <c r="N614"/>
      <c r="O614" s="392"/>
      <c r="P614" s="2"/>
      <c r="R614"/>
      <c r="S614"/>
      <c r="V614"/>
    </row>
    <row r="615" spans="10:22" s="1" customFormat="1" x14ac:dyDescent="0.2">
      <c r="J615"/>
      <c r="K615"/>
      <c r="L615"/>
      <c r="M615"/>
      <c r="N615"/>
      <c r="O615" s="392"/>
      <c r="P615" s="2"/>
      <c r="R615"/>
      <c r="S615"/>
      <c r="V615"/>
    </row>
    <row r="616" spans="10:22" s="1" customFormat="1" x14ac:dyDescent="0.2">
      <c r="J616"/>
      <c r="K616"/>
      <c r="L616"/>
      <c r="M616"/>
      <c r="N616"/>
      <c r="O616" s="392"/>
      <c r="P616" s="2"/>
      <c r="R616"/>
      <c r="S616"/>
      <c r="V616"/>
    </row>
    <row r="617" spans="10:22" s="1" customFormat="1" x14ac:dyDescent="0.2">
      <c r="J617"/>
      <c r="K617"/>
      <c r="L617"/>
      <c r="M617"/>
      <c r="N617"/>
      <c r="O617" s="392"/>
      <c r="P617" s="2"/>
      <c r="R617"/>
      <c r="S617"/>
      <c r="V617"/>
    </row>
    <row r="618" spans="10:22" s="1" customFormat="1" x14ac:dyDescent="0.2">
      <c r="J618"/>
      <c r="K618"/>
      <c r="L618"/>
      <c r="M618"/>
      <c r="N618"/>
      <c r="O618" s="392"/>
      <c r="P618" s="2"/>
      <c r="R618"/>
      <c r="S618"/>
      <c r="V618"/>
    </row>
    <row r="619" spans="10:22" s="1" customFormat="1" x14ac:dyDescent="0.2">
      <c r="J619"/>
      <c r="K619"/>
      <c r="L619"/>
      <c r="M619"/>
      <c r="N619"/>
      <c r="O619" s="392"/>
      <c r="P619" s="2"/>
      <c r="R619"/>
      <c r="S619"/>
      <c r="V619"/>
    </row>
    <row r="620" spans="10:22" s="1" customFormat="1" x14ac:dyDescent="0.2">
      <c r="J620"/>
      <c r="K620"/>
      <c r="L620"/>
      <c r="M620"/>
      <c r="N620"/>
      <c r="O620" s="392"/>
      <c r="P620" s="2"/>
      <c r="R620"/>
      <c r="S620"/>
      <c r="V620"/>
    </row>
    <row r="621" spans="10:22" s="1" customFormat="1" x14ac:dyDescent="0.2">
      <c r="J621"/>
      <c r="K621"/>
      <c r="L621"/>
      <c r="M621"/>
      <c r="N621"/>
      <c r="O621" s="392"/>
      <c r="P621" s="2"/>
      <c r="R621"/>
      <c r="S621"/>
      <c r="V621"/>
    </row>
    <row r="622" spans="10:22" s="1" customFormat="1" x14ac:dyDescent="0.2">
      <c r="J622"/>
      <c r="K622"/>
      <c r="L622"/>
      <c r="M622"/>
      <c r="N622"/>
      <c r="O622" s="392"/>
      <c r="P622" s="2"/>
      <c r="R622"/>
      <c r="S622"/>
      <c r="V622"/>
    </row>
    <row r="623" spans="10:22" s="1" customFormat="1" x14ac:dyDescent="0.2">
      <c r="J623"/>
      <c r="K623"/>
      <c r="L623"/>
      <c r="M623"/>
      <c r="N623"/>
      <c r="O623" s="392"/>
      <c r="P623" s="2"/>
      <c r="R623"/>
      <c r="S623"/>
      <c r="V623"/>
    </row>
    <row r="624" spans="10:22" s="1" customFormat="1" x14ac:dyDescent="0.2">
      <c r="J624"/>
      <c r="K624"/>
      <c r="L624"/>
      <c r="M624"/>
      <c r="N624"/>
      <c r="O624" s="392"/>
      <c r="P624" s="2"/>
      <c r="R624"/>
      <c r="S624"/>
      <c r="V624"/>
    </row>
    <row r="625" spans="10:22" s="1" customFormat="1" x14ac:dyDescent="0.2">
      <c r="J625"/>
      <c r="K625"/>
      <c r="L625"/>
      <c r="M625"/>
      <c r="N625"/>
      <c r="O625" s="392"/>
      <c r="P625" s="2"/>
      <c r="R625"/>
      <c r="S625"/>
      <c r="V625"/>
    </row>
    <row r="626" spans="10:22" s="1" customFormat="1" x14ac:dyDescent="0.2">
      <c r="J626"/>
      <c r="K626"/>
      <c r="L626"/>
      <c r="M626"/>
      <c r="N626"/>
      <c r="O626" s="392"/>
      <c r="P626" s="2"/>
      <c r="R626"/>
      <c r="S626"/>
      <c r="V626"/>
    </row>
    <row r="627" spans="10:22" s="1" customFormat="1" x14ac:dyDescent="0.2">
      <c r="J627"/>
      <c r="K627"/>
      <c r="L627"/>
      <c r="M627"/>
      <c r="N627"/>
      <c r="O627" s="392"/>
      <c r="P627" s="2"/>
      <c r="R627"/>
      <c r="S627"/>
      <c r="V627"/>
    </row>
    <row r="628" spans="10:22" s="1" customFormat="1" x14ac:dyDescent="0.2">
      <c r="J628"/>
      <c r="K628"/>
      <c r="L628"/>
      <c r="M628"/>
      <c r="N628"/>
      <c r="O628" s="392"/>
      <c r="P628" s="2"/>
      <c r="R628"/>
      <c r="S628"/>
      <c r="V628"/>
    </row>
    <row r="629" spans="10:22" s="1" customFormat="1" x14ac:dyDescent="0.2">
      <c r="J629"/>
      <c r="K629"/>
      <c r="L629"/>
      <c r="M629"/>
      <c r="N629"/>
      <c r="O629" s="392"/>
      <c r="P629" s="2"/>
      <c r="R629"/>
      <c r="S629"/>
      <c r="V629"/>
    </row>
    <row r="630" spans="10:22" s="1" customFormat="1" x14ac:dyDescent="0.2">
      <c r="J630"/>
      <c r="K630"/>
      <c r="L630"/>
      <c r="M630"/>
      <c r="N630"/>
      <c r="O630" s="392"/>
      <c r="P630" s="2"/>
      <c r="R630"/>
      <c r="S630"/>
      <c r="V630"/>
    </row>
    <row r="631" spans="10:22" s="1" customFormat="1" x14ac:dyDescent="0.2">
      <c r="J631"/>
      <c r="K631"/>
      <c r="L631"/>
      <c r="M631"/>
      <c r="N631"/>
      <c r="O631" s="392"/>
      <c r="P631" s="2"/>
      <c r="R631"/>
      <c r="S631"/>
      <c r="V631"/>
    </row>
    <row r="632" spans="10:22" s="1" customFormat="1" x14ac:dyDescent="0.2">
      <c r="J632"/>
      <c r="K632"/>
      <c r="L632"/>
      <c r="M632"/>
      <c r="N632"/>
      <c r="O632" s="392"/>
      <c r="P632" s="2"/>
      <c r="R632"/>
      <c r="S632"/>
      <c r="V632"/>
    </row>
    <row r="633" spans="10:22" s="1" customFormat="1" x14ac:dyDescent="0.2">
      <c r="J633"/>
      <c r="K633"/>
      <c r="L633"/>
      <c r="M633"/>
      <c r="N633"/>
      <c r="O633" s="392"/>
      <c r="P633" s="2"/>
      <c r="R633"/>
      <c r="S633"/>
      <c r="V633"/>
    </row>
    <row r="634" spans="10:22" s="1" customFormat="1" x14ac:dyDescent="0.2">
      <c r="J634"/>
      <c r="K634"/>
      <c r="L634"/>
      <c r="M634"/>
      <c r="N634"/>
      <c r="O634" s="392"/>
      <c r="P634" s="2"/>
      <c r="R634"/>
      <c r="S634"/>
      <c r="V634"/>
    </row>
    <row r="635" spans="10:22" s="1" customFormat="1" x14ac:dyDescent="0.2">
      <c r="J635"/>
      <c r="K635"/>
      <c r="L635"/>
      <c r="M635"/>
      <c r="N635"/>
      <c r="O635" s="392"/>
      <c r="P635" s="2"/>
      <c r="R635"/>
      <c r="S635"/>
      <c r="V635"/>
    </row>
    <row r="636" spans="10:22" s="1" customFormat="1" x14ac:dyDescent="0.2">
      <c r="J636"/>
      <c r="K636"/>
      <c r="L636"/>
      <c r="M636"/>
      <c r="N636"/>
      <c r="O636" s="392"/>
      <c r="P636" s="2"/>
      <c r="R636"/>
      <c r="S636"/>
      <c r="V636"/>
    </row>
    <row r="637" spans="10:22" s="1" customFormat="1" x14ac:dyDescent="0.2">
      <c r="J637"/>
      <c r="K637"/>
      <c r="L637"/>
      <c r="M637"/>
      <c r="N637"/>
      <c r="O637" s="392"/>
      <c r="P637" s="2"/>
      <c r="R637"/>
      <c r="S637"/>
      <c r="V637"/>
    </row>
    <row r="638" spans="10:22" s="1" customFormat="1" x14ac:dyDescent="0.2">
      <c r="J638"/>
      <c r="K638"/>
      <c r="L638"/>
      <c r="M638"/>
      <c r="N638"/>
      <c r="O638" s="392"/>
      <c r="P638" s="2"/>
      <c r="R638"/>
      <c r="S638"/>
      <c r="V638"/>
    </row>
    <row r="639" spans="10:22" s="1" customFormat="1" x14ac:dyDescent="0.2">
      <c r="J639"/>
      <c r="K639"/>
      <c r="L639"/>
      <c r="M639"/>
      <c r="N639"/>
      <c r="O639" s="392"/>
      <c r="P639" s="2"/>
      <c r="R639"/>
      <c r="S639"/>
      <c r="V639"/>
    </row>
    <row r="640" spans="10:22" s="1" customFormat="1" x14ac:dyDescent="0.2">
      <c r="J640"/>
      <c r="K640"/>
      <c r="L640"/>
      <c r="M640"/>
      <c r="N640"/>
      <c r="O640" s="392"/>
      <c r="P640" s="2"/>
      <c r="R640"/>
      <c r="S640"/>
      <c r="V640"/>
    </row>
    <row r="641" spans="10:22" s="1" customFormat="1" x14ac:dyDescent="0.2">
      <c r="J641"/>
      <c r="K641"/>
      <c r="L641"/>
      <c r="M641"/>
      <c r="N641"/>
      <c r="O641" s="392"/>
      <c r="P641" s="2"/>
      <c r="R641"/>
      <c r="S641"/>
      <c r="V641"/>
    </row>
    <row r="642" spans="10:22" s="1" customFormat="1" x14ac:dyDescent="0.2">
      <c r="J642"/>
      <c r="K642"/>
      <c r="L642"/>
      <c r="M642"/>
      <c r="N642"/>
      <c r="O642" s="392"/>
      <c r="P642" s="2"/>
      <c r="R642"/>
      <c r="S642"/>
      <c r="V642"/>
    </row>
    <row r="643" spans="10:22" s="1" customFormat="1" x14ac:dyDescent="0.2">
      <c r="J643"/>
      <c r="K643"/>
      <c r="L643"/>
      <c r="M643"/>
      <c r="N643"/>
      <c r="O643" s="392"/>
      <c r="P643" s="2"/>
      <c r="R643"/>
      <c r="S643"/>
      <c r="V643"/>
    </row>
    <row r="644" spans="10:22" s="1" customFormat="1" x14ac:dyDescent="0.2">
      <c r="J644"/>
      <c r="K644"/>
      <c r="L644"/>
      <c r="M644"/>
      <c r="N644"/>
      <c r="O644" s="392"/>
      <c r="P644" s="2"/>
      <c r="R644"/>
      <c r="S644"/>
      <c r="V644"/>
    </row>
    <row r="645" spans="10:22" s="1" customFormat="1" x14ac:dyDescent="0.2">
      <c r="J645"/>
      <c r="K645"/>
      <c r="L645"/>
      <c r="M645"/>
      <c r="N645"/>
      <c r="O645" s="392"/>
      <c r="P645" s="2"/>
      <c r="R645"/>
      <c r="S645"/>
      <c r="V645"/>
    </row>
    <row r="646" spans="10:22" s="1" customFormat="1" x14ac:dyDescent="0.2">
      <c r="J646"/>
      <c r="K646"/>
      <c r="L646"/>
      <c r="M646"/>
      <c r="N646"/>
      <c r="O646" s="392"/>
      <c r="P646" s="2"/>
      <c r="R646"/>
      <c r="S646"/>
      <c r="V646"/>
    </row>
    <row r="647" spans="10:22" s="1" customFormat="1" x14ac:dyDescent="0.2">
      <c r="J647"/>
      <c r="K647"/>
      <c r="L647"/>
      <c r="M647"/>
      <c r="N647"/>
      <c r="O647" s="392"/>
      <c r="P647" s="2"/>
      <c r="R647"/>
      <c r="S647"/>
      <c r="V647"/>
    </row>
    <row r="648" spans="10:22" s="1" customFormat="1" x14ac:dyDescent="0.2">
      <c r="J648"/>
      <c r="K648"/>
      <c r="L648"/>
      <c r="M648"/>
      <c r="N648"/>
      <c r="O648" s="392"/>
      <c r="P648" s="2"/>
      <c r="R648"/>
      <c r="S648"/>
      <c r="V648"/>
    </row>
    <row r="649" spans="10:22" s="1" customFormat="1" x14ac:dyDescent="0.2">
      <c r="J649"/>
      <c r="K649"/>
      <c r="L649"/>
      <c r="M649"/>
      <c r="N649"/>
      <c r="O649" s="392"/>
      <c r="P649" s="2"/>
      <c r="R649"/>
      <c r="S649"/>
      <c r="V649"/>
    </row>
    <row r="650" spans="10:22" s="1" customFormat="1" x14ac:dyDescent="0.2">
      <c r="J650"/>
      <c r="K650"/>
      <c r="L650"/>
      <c r="M650"/>
      <c r="N650"/>
      <c r="O650" s="392"/>
      <c r="P650" s="2"/>
      <c r="R650"/>
      <c r="S650"/>
      <c r="V650"/>
    </row>
    <row r="651" spans="10:22" s="1" customFormat="1" x14ac:dyDescent="0.2">
      <c r="J651"/>
      <c r="K651"/>
      <c r="L651"/>
      <c r="M651"/>
      <c r="N651"/>
      <c r="O651" s="392"/>
      <c r="P651" s="2"/>
      <c r="R651"/>
      <c r="S651"/>
      <c r="V651"/>
    </row>
    <row r="652" spans="10:22" s="1" customFormat="1" x14ac:dyDescent="0.2">
      <c r="J652"/>
      <c r="K652"/>
      <c r="L652"/>
      <c r="M652"/>
      <c r="N652"/>
      <c r="O652" s="392"/>
      <c r="P652" s="2"/>
      <c r="R652"/>
      <c r="S652"/>
      <c r="V652"/>
    </row>
    <row r="653" spans="10:22" s="1" customFormat="1" x14ac:dyDescent="0.2">
      <c r="J653"/>
      <c r="K653"/>
      <c r="L653"/>
      <c r="M653"/>
      <c r="N653"/>
      <c r="O653" s="392"/>
      <c r="P653" s="2"/>
      <c r="R653"/>
      <c r="S653"/>
      <c r="V653"/>
    </row>
    <row r="654" spans="10:22" s="1" customFormat="1" x14ac:dyDescent="0.2">
      <c r="J654"/>
      <c r="K654"/>
      <c r="L654"/>
      <c r="M654"/>
      <c r="N654"/>
      <c r="O654" s="392"/>
      <c r="P654" s="2"/>
      <c r="R654"/>
      <c r="S654"/>
      <c r="V654"/>
    </row>
    <row r="655" spans="10:22" s="1" customFormat="1" x14ac:dyDescent="0.2">
      <c r="J655"/>
      <c r="K655"/>
      <c r="L655"/>
      <c r="M655"/>
      <c r="N655"/>
      <c r="O655" s="392"/>
      <c r="P655" s="2"/>
      <c r="R655"/>
      <c r="S655"/>
      <c r="V655"/>
    </row>
    <row r="656" spans="10:22" s="1" customFormat="1" x14ac:dyDescent="0.2">
      <c r="J656"/>
      <c r="K656"/>
      <c r="L656"/>
      <c r="M656"/>
      <c r="N656"/>
      <c r="O656" s="392"/>
      <c r="P656" s="2"/>
      <c r="R656"/>
      <c r="S656"/>
      <c r="V656"/>
    </row>
    <row r="657" spans="10:22" s="1" customFormat="1" x14ac:dyDescent="0.2">
      <c r="J657"/>
      <c r="K657"/>
      <c r="L657"/>
      <c r="M657"/>
      <c r="N657"/>
      <c r="O657" s="392"/>
      <c r="P657" s="2"/>
      <c r="R657"/>
      <c r="S657"/>
      <c r="V657"/>
    </row>
    <row r="658" spans="10:22" s="1" customFormat="1" x14ac:dyDescent="0.2">
      <c r="J658"/>
      <c r="K658"/>
      <c r="L658"/>
      <c r="M658"/>
      <c r="N658"/>
      <c r="O658" s="392"/>
      <c r="P658" s="2"/>
      <c r="R658"/>
      <c r="S658"/>
      <c r="V658"/>
    </row>
    <row r="659" spans="10:22" s="1" customFormat="1" x14ac:dyDescent="0.2">
      <c r="J659"/>
      <c r="K659"/>
      <c r="L659"/>
      <c r="M659"/>
      <c r="N659"/>
      <c r="O659" s="392"/>
      <c r="P659" s="2"/>
      <c r="R659"/>
      <c r="S659"/>
      <c r="V659"/>
    </row>
    <row r="660" spans="10:22" s="1" customFormat="1" x14ac:dyDescent="0.2">
      <c r="J660"/>
      <c r="K660"/>
      <c r="L660"/>
      <c r="M660"/>
      <c r="N660"/>
      <c r="O660" s="392"/>
      <c r="P660" s="2"/>
      <c r="R660"/>
      <c r="S660"/>
      <c r="V660"/>
    </row>
    <row r="661" spans="10:22" s="1" customFormat="1" x14ac:dyDescent="0.2">
      <c r="J661"/>
      <c r="K661"/>
      <c r="L661"/>
      <c r="M661"/>
      <c r="N661"/>
      <c r="O661" s="392"/>
      <c r="P661" s="2"/>
      <c r="R661"/>
      <c r="S661"/>
      <c r="V661"/>
    </row>
    <row r="662" spans="10:22" s="1" customFormat="1" x14ac:dyDescent="0.2">
      <c r="J662"/>
      <c r="K662"/>
      <c r="L662"/>
      <c r="M662"/>
      <c r="N662"/>
      <c r="O662" s="392"/>
      <c r="P662" s="2"/>
      <c r="R662"/>
      <c r="S662"/>
      <c r="V662"/>
    </row>
    <row r="663" spans="10:22" s="1" customFormat="1" x14ac:dyDescent="0.2">
      <c r="J663"/>
      <c r="K663"/>
      <c r="L663"/>
      <c r="M663"/>
      <c r="N663"/>
      <c r="O663" s="392"/>
      <c r="P663" s="2"/>
      <c r="R663"/>
      <c r="S663"/>
      <c r="V663"/>
    </row>
    <row r="664" spans="10:22" s="1" customFormat="1" x14ac:dyDescent="0.2">
      <c r="J664"/>
      <c r="K664"/>
      <c r="L664"/>
      <c r="M664"/>
      <c r="N664"/>
      <c r="O664" s="392"/>
      <c r="P664" s="2"/>
      <c r="R664"/>
      <c r="S664"/>
      <c r="V664"/>
    </row>
    <row r="665" spans="10:22" s="1" customFormat="1" x14ac:dyDescent="0.2">
      <c r="J665"/>
      <c r="K665"/>
      <c r="L665"/>
      <c r="M665"/>
      <c r="N665"/>
      <c r="O665" s="392"/>
      <c r="P665" s="2"/>
      <c r="R665"/>
      <c r="S665"/>
      <c r="V665"/>
    </row>
    <row r="666" spans="10:22" s="1" customFormat="1" x14ac:dyDescent="0.2">
      <c r="J666"/>
      <c r="K666"/>
      <c r="L666"/>
      <c r="M666"/>
      <c r="N666"/>
      <c r="O666" s="392"/>
      <c r="P666" s="2"/>
      <c r="R666"/>
      <c r="S666"/>
      <c r="V666"/>
    </row>
    <row r="667" spans="10:22" s="1" customFormat="1" x14ac:dyDescent="0.2">
      <c r="J667"/>
      <c r="K667"/>
      <c r="L667"/>
      <c r="M667"/>
      <c r="N667"/>
      <c r="O667" s="392"/>
      <c r="P667" s="2"/>
      <c r="R667"/>
      <c r="S667"/>
      <c r="V667"/>
    </row>
    <row r="668" spans="10:22" s="1" customFormat="1" x14ac:dyDescent="0.2">
      <c r="J668"/>
      <c r="K668"/>
      <c r="L668"/>
      <c r="M668"/>
      <c r="N668"/>
      <c r="O668" s="392"/>
      <c r="P668" s="2"/>
      <c r="R668"/>
      <c r="S668"/>
      <c r="V668"/>
    </row>
    <row r="669" spans="10:22" s="1" customFormat="1" x14ac:dyDescent="0.2">
      <c r="J669"/>
      <c r="K669"/>
      <c r="L669"/>
      <c r="M669"/>
      <c r="N669"/>
      <c r="O669" s="392"/>
      <c r="P669" s="2"/>
      <c r="R669"/>
      <c r="S669"/>
      <c r="V669"/>
    </row>
    <row r="670" spans="10:22" s="1" customFormat="1" x14ac:dyDescent="0.2">
      <c r="J670"/>
      <c r="K670"/>
      <c r="L670"/>
      <c r="M670"/>
      <c r="N670"/>
      <c r="O670" s="392"/>
      <c r="P670" s="2"/>
      <c r="R670"/>
      <c r="S670"/>
      <c r="V670"/>
    </row>
    <row r="671" spans="10:22" s="1" customFormat="1" x14ac:dyDescent="0.2">
      <c r="J671"/>
      <c r="K671"/>
      <c r="L671"/>
      <c r="M671"/>
      <c r="N671"/>
      <c r="O671" s="392"/>
      <c r="P671" s="2"/>
      <c r="R671"/>
      <c r="S671"/>
      <c r="V671"/>
    </row>
    <row r="672" spans="10:22" s="1" customFormat="1" x14ac:dyDescent="0.2">
      <c r="J672"/>
      <c r="K672"/>
      <c r="L672"/>
      <c r="M672"/>
      <c r="N672"/>
      <c r="O672" s="392"/>
      <c r="P672" s="2"/>
      <c r="R672"/>
      <c r="S672"/>
      <c r="V672"/>
    </row>
    <row r="673" spans="10:22" s="1" customFormat="1" x14ac:dyDescent="0.2">
      <c r="J673"/>
      <c r="K673"/>
      <c r="L673"/>
      <c r="M673"/>
      <c r="N673"/>
      <c r="O673" s="392"/>
      <c r="P673" s="2"/>
      <c r="R673"/>
      <c r="S673"/>
      <c r="V673"/>
    </row>
    <row r="674" spans="10:22" s="1" customFormat="1" x14ac:dyDescent="0.2">
      <c r="J674"/>
      <c r="K674"/>
      <c r="L674"/>
      <c r="M674"/>
      <c r="N674"/>
      <c r="O674" s="392"/>
      <c r="P674" s="2"/>
      <c r="R674"/>
      <c r="S674"/>
      <c r="V674"/>
    </row>
    <row r="675" spans="10:22" s="1" customFormat="1" x14ac:dyDescent="0.2">
      <c r="J675"/>
      <c r="K675"/>
      <c r="L675"/>
      <c r="M675"/>
      <c r="N675"/>
      <c r="O675" s="392"/>
      <c r="P675" s="2"/>
      <c r="R675"/>
      <c r="S675"/>
      <c r="V675"/>
    </row>
    <row r="65404" spans="13:13" x14ac:dyDescent="0.2">
      <c r="M65404">
        <v>4</v>
      </c>
    </row>
  </sheetData>
  <mergeCells count="108">
    <mergeCell ref="V34:AB34"/>
    <mergeCell ref="R29:R31"/>
    <mergeCell ref="T29:T31"/>
    <mergeCell ref="L29:L31"/>
    <mergeCell ref="L41:L42"/>
    <mergeCell ref="T41:T42"/>
    <mergeCell ref="R41:R42"/>
    <mergeCell ref="L27:L28"/>
    <mergeCell ref="R27:R28"/>
    <mergeCell ref="T27:T28"/>
    <mergeCell ref="L32:L33"/>
    <mergeCell ref="R32:R33"/>
    <mergeCell ref="T32:T33"/>
    <mergeCell ref="R34:R36"/>
    <mergeCell ref="T34:T36"/>
    <mergeCell ref="L34:L36"/>
    <mergeCell ref="L37:L39"/>
    <mergeCell ref="T37:T39"/>
    <mergeCell ref="R37:R39"/>
    <mergeCell ref="V47:AB47"/>
    <mergeCell ref="V43:AB43"/>
    <mergeCell ref="V37:AB37"/>
    <mergeCell ref="V39:AB39"/>
    <mergeCell ref="V40:AB40"/>
    <mergeCell ref="V44:AB44"/>
    <mergeCell ref="V45:AB45"/>
    <mergeCell ref="V42:AB42"/>
    <mergeCell ref="V46:AB46"/>
    <mergeCell ref="V41:AB41"/>
    <mergeCell ref="E66:F66"/>
    <mergeCell ref="V50:AB50"/>
    <mergeCell ref="V51:AB51"/>
    <mergeCell ref="V52:AB52"/>
    <mergeCell ref="V53:AB53"/>
    <mergeCell ref="V59:AB59"/>
    <mergeCell ref="E62:F62"/>
    <mergeCell ref="E65:F65"/>
    <mergeCell ref="V57:AB57"/>
    <mergeCell ref="E64:F64"/>
    <mergeCell ref="V58:AB58"/>
    <mergeCell ref="V55:AB55"/>
    <mergeCell ref="V56:AB56"/>
    <mergeCell ref="V54:AB54"/>
    <mergeCell ref="V48:AB48"/>
    <mergeCell ref="V49:AB49"/>
    <mergeCell ref="V11:AB11"/>
    <mergeCell ref="V12:AB12"/>
    <mergeCell ref="V18:AB18"/>
    <mergeCell ref="V9:AB9"/>
    <mergeCell ref="V10:AB10"/>
    <mergeCell ref="B2:V2"/>
    <mergeCell ref="V3:AB3"/>
    <mergeCell ref="V4:AB4"/>
    <mergeCell ref="V5:AB5"/>
    <mergeCell ref="V6:AB6"/>
    <mergeCell ref="V7:AB7"/>
    <mergeCell ref="V8:AB8"/>
    <mergeCell ref="R4:R5"/>
    <mergeCell ref="T4:T5"/>
    <mergeCell ref="L4:L5"/>
    <mergeCell ref="Q6:Q7"/>
    <mergeCell ref="R6:R7"/>
    <mergeCell ref="T6:T7"/>
    <mergeCell ref="U6:U7"/>
    <mergeCell ref="L6:L7"/>
    <mergeCell ref="F6:F7"/>
    <mergeCell ref="H6:H7"/>
    <mergeCell ref="V16:AB16"/>
    <mergeCell ref="V17:AB17"/>
    <mergeCell ref="V15:AB15"/>
    <mergeCell ref="V13:AB13"/>
    <mergeCell ref="V14:AB14"/>
    <mergeCell ref="V35:AB35"/>
    <mergeCell ref="V38:AB38"/>
    <mergeCell ref="T24:T25"/>
    <mergeCell ref="V21:AB21"/>
    <mergeCell ref="V24:AB24"/>
    <mergeCell ref="V20:AB20"/>
    <mergeCell ref="V22:AB22"/>
    <mergeCell ref="V19:AB19"/>
    <mergeCell ref="V23:AB23"/>
    <mergeCell ref="V25:AB25"/>
    <mergeCell ref="V26:AB26"/>
    <mergeCell ref="V32:AB32"/>
    <mergeCell ref="V27:AB27"/>
    <mergeCell ref="V28:AB28"/>
    <mergeCell ref="V30:AB30"/>
    <mergeCell ref="V31:AB31"/>
    <mergeCell ref="V36:AB36"/>
    <mergeCell ref="V29:AB29"/>
    <mergeCell ref="V33:AB33"/>
    <mergeCell ref="T9:T11"/>
    <mergeCell ref="R24:R25"/>
    <mergeCell ref="L12:L13"/>
    <mergeCell ref="T12:T13"/>
    <mergeCell ref="R12:R13"/>
    <mergeCell ref="T16:T17"/>
    <mergeCell ref="R16:R17"/>
    <mergeCell ref="L16:L17"/>
    <mergeCell ref="L18:L19"/>
    <mergeCell ref="L24:L25"/>
    <mergeCell ref="L9:L11"/>
    <mergeCell ref="L20:L23"/>
    <mergeCell ref="R20:R23"/>
    <mergeCell ref="T20:T23"/>
    <mergeCell ref="R18:R19"/>
    <mergeCell ref="T18:T19"/>
    <mergeCell ref="R9:R11"/>
  </mergeCells>
  <conditionalFormatting sqref="I68:I74">
    <cfRule type="cellIs" dxfId="1077" priority="1893" stopIfTrue="1" operator="lessThan">
      <formula>0%</formula>
    </cfRule>
    <cfRule type="cellIs" dxfId="1076" priority="1892" stopIfTrue="1" operator="greaterThan">
      <formula>1.5%</formula>
    </cfRule>
  </conditionalFormatting>
  <conditionalFormatting sqref="I75">
    <cfRule type="cellIs" dxfId="1075" priority="1748" stopIfTrue="1" operator="greaterThan">
      <formula>1.1</formula>
    </cfRule>
    <cfRule type="cellIs" dxfId="1074" priority="1747" stopIfTrue="1" operator="greaterThan">
      <formula>0.011</formula>
    </cfRule>
  </conditionalFormatting>
  <conditionalFormatting sqref="J3">
    <cfRule type="cellIs" dxfId="1073" priority="600" stopIfTrue="1" operator="lessThan">
      <formula>438</formula>
    </cfRule>
    <cfRule type="cellIs" dxfId="1072" priority="598" stopIfTrue="1" operator="lessThan">
      <formula>456.25</formula>
    </cfRule>
  </conditionalFormatting>
  <conditionalFormatting sqref="J4:J59">
    <cfRule type="cellIs" dxfId="1071" priority="100" stopIfTrue="1" operator="lessThan">
      <formula>350</formula>
    </cfRule>
  </conditionalFormatting>
  <conditionalFormatting sqref="J60:J61">
    <cfRule type="cellIs" dxfId="1070" priority="395" stopIfTrue="1" operator="lessThan">
      <formula>462</formula>
    </cfRule>
  </conditionalFormatting>
  <conditionalFormatting sqref="J63 B2 J77:J65536">
    <cfRule type="cellIs" dxfId="1069" priority="2012" stopIfTrue="1" operator="lessThan">
      <formula>438</formula>
    </cfRule>
  </conditionalFormatting>
  <conditionalFormatting sqref="J63">
    <cfRule type="cellIs" dxfId="1068" priority="2007" stopIfTrue="1" operator="lessThan">
      <formula>462</formula>
    </cfRule>
  </conditionalFormatting>
  <conditionalFormatting sqref="J68:K76">
    <cfRule type="cellIs" dxfId="1067" priority="1406" stopIfTrue="1" operator="lessThan">
      <formula>73%</formula>
    </cfRule>
  </conditionalFormatting>
  <conditionalFormatting sqref="K5:K44 K45:L58">
    <cfRule type="cellIs" dxfId="1066" priority="65" stopIfTrue="1" operator="lessThan">
      <formula>540</formula>
    </cfRule>
  </conditionalFormatting>
  <conditionalFormatting sqref="K4:L4 L6 L8:L9 L12 L14:L16 L18 L20 L24 L26:L27 L29 L32 L34 L37">
    <cfRule type="cellIs" dxfId="1065" priority="331" stopIfTrue="1" operator="lessThan">
      <formula>540</formula>
    </cfRule>
  </conditionalFormatting>
  <conditionalFormatting sqref="L40:L41 L43">
    <cfRule type="cellIs" dxfId="1064" priority="5" stopIfTrue="1" operator="lessThan">
      <formula>540</formula>
    </cfRule>
  </conditionalFormatting>
  <conditionalFormatting sqref="Q4:Q6 Q8:Q43 Q45:Q58">
    <cfRule type="cellIs" dxfId="1063" priority="97" stopIfTrue="1" operator="greaterThan">
      <formula>1.84</formula>
    </cfRule>
  </conditionalFormatting>
  <conditionalFormatting sqref="Q59">
    <cfRule type="cellIs" dxfId="1062" priority="29" stopIfTrue="1" operator="greaterThan">
      <formula>0.0184</formula>
    </cfRule>
    <cfRule type="cellIs" dxfId="1061" priority="30" stopIfTrue="1" operator="greaterThan">
      <formula>1.84</formula>
    </cfRule>
  </conditionalFormatting>
  <conditionalFormatting sqref="Q60:Q61">
    <cfRule type="cellIs" dxfId="1060" priority="394" stopIfTrue="1" operator="greaterThan">
      <formula>1.1</formula>
    </cfRule>
  </conditionalFormatting>
  <conditionalFormatting sqref="Q63:Q64">
    <cfRule type="cellIs" dxfId="1059" priority="2005" stopIfTrue="1" operator="greaterThan">
      <formula>1.1</formula>
    </cfRule>
  </conditionalFormatting>
  <conditionalFormatting sqref="Q64:Q65 I76">
    <cfRule type="cellIs" dxfId="1058" priority="2008" stopIfTrue="1" operator="greaterThan">
      <formula>1.5%</formula>
    </cfRule>
    <cfRule type="cellIs" dxfId="1057" priority="2009" stopIfTrue="1" operator="lessThan">
      <formula>0%</formula>
    </cfRule>
  </conditionalFormatting>
  <conditionalFormatting sqref="Q68">
    <cfRule type="cellIs" dxfId="1056" priority="1750" stopIfTrue="1" operator="greaterThan">
      <formula>1.1</formula>
    </cfRule>
    <cfRule type="cellIs" dxfId="1055" priority="1749" stopIfTrue="1" operator="greaterThan">
      <formula>0.011</formula>
    </cfRule>
  </conditionalFormatting>
  <conditionalFormatting sqref="R4 R6 R8:R9 R12">
    <cfRule type="cellIs" dxfId="1054" priority="328" stopIfTrue="1" operator="lessThan">
      <formula>0.67</formula>
    </cfRule>
    <cfRule type="cellIs" dxfId="1053" priority="327" stopIfTrue="1" operator="lessThan">
      <formula>0.94</formula>
    </cfRule>
    <cfRule type="cellIs" dxfId="1052" priority="326" stopIfTrue="1" operator="lessThan">
      <formula>0.95</formula>
    </cfRule>
  </conditionalFormatting>
  <conditionalFormatting sqref="R14:R16 R18 R20">
    <cfRule type="cellIs" dxfId="1051" priority="33" stopIfTrue="1" operator="lessThan">
      <formula>0.95</formula>
    </cfRule>
    <cfRule type="cellIs" dxfId="1050" priority="34" stopIfTrue="1" operator="lessThan">
      <formula>0.94</formula>
    </cfRule>
    <cfRule type="cellIs" dxfId="1049" priority="35" stopIfTrue="1" operator="lessThan">
      <formula>0.67</formula>
    </cfRule>
  </conditionalFormatting>
  <conditionalFormatting sqref="R24">
    <cfRule type="cellIs" dxfId="1048" priority="25" stopIfTrue="1" operator="lessThan">
      <formula>0.94</formula>
    </cfRule>
    <cfRule type="cellIs" dxfId="1047" priority="26" stopIfTrue="1" operator="lessThan">
      <formula>0.67</formula>
    </cfRule>
    <cfRule type="cellIs" dxfId="1046" priority="24" stopIfTrue="1" operator="lessThan">
      <formula>0.95</formula>
    </cfRule>
  </conditionalFormatting>
  <conditionalFormatting sqref="R26:R27">
    <cfRule type="cellIs" dxfId="1045" priority="22" stopIfTrue="1" operator="lessThan">
      <formula>0.67</formula>
    </cfRule>
    <cfRule type="cellIs" dxfId="1044" priority="20" stopIfTrue="1" operator="lessThan">
      <formula>0.95</formula>
    </cfRule>
    <cfRule type="cellIs" dxfId="1043" priority="21" stopIfTrue="1" operator="lessThan">
      <formula>0.94</formula>
    </cfRule>
  </conditionalFormatting>
  <conditionalFormatting sqref="R29">
    <cfRule type="cellIs" dxfId="1042" priority="18" stopIfTrue="1" operator="lessThan">
      <formula>0.67</formula>
    </cfRule>
    <cfRule type="cellIs" dxfId="1041" priority="17" stopIfTrue="1" operator="lessThan">
      <formula>0.94</formula>
    </cfRule>
    <cfRule type="cellIs" dxfId="1040" priority="16" stopIfTrue="1" operator="lessThan">
      <formula>0.95</formula>
    </cfRule>
  </conditionalFormatting>
  <conditionalFormatting sqref="R32 R34 R37">
    <cfRule type="cellIs" dxfId="1039" priority="15" stopIfTrue="1" operator="lessThan">
      <formula>0.67</formula>
    </cfRule>
    <cfRule type="cellIs" dxfId="1038" priority="14" stopIfTrue="1" operator="lessThan">
      <formula>0.94</formula>
    </cfRule>
    <cfRule type="cellIs" dxfId="1037" priority="13" stopIfTrue="1" operator="lessThan">
      <formula>0.95</formula>
    </cfRule>
  </conditionalFormatting>
  <conditionalFormatting sqref="R40:R41">
    <cfRule type="cellIs" dxfId="1036" priority="7" stopIfTrue="1" operator="lessThan">
      <formula>0.95</formula>
    </cfRule>
    <cfRule type="cellIs" dxfId="1035" priority="8" stopIfTrue="1" operator="lessThan">
      <formula>0.94</formula>
    </cfRule>
    <cfRule type="cellIs" dxfId="1034" priority="9" stopIfTrue="1" operator="lessThan">
      <formula>0.67</formula>
    </cfRule>
  </conditionalFormatting>
  <conditionalFormatting sqref="R43">
    <cfRule type="cellIs" dxfId="1033" priority="2" stopIfTrue="1" operator="lessThan">
      <formula>0.94</formula>
    </cfRule>
    <cfRule type="cellIs" dxfId="1032" priority="3" stopIfTrue="1" operator="lessThan">
      <formula>0.67</formula>
    </cfRule>
    <cfRule type="cellIs" dxfId="1031" priority="1" stopIfTrue="1" operator="lessThan">
      <formula>0.95</formula>
    </cfRule>
  </conditionalFormatting>
  <conditionalFormatting sqref="R45:R59">
    <cfRule type="cellIs" dxfId="1030" priority="42" stopIfTrue="1" operator="lessThan">
      <formula>0.56</formula>
    </cfRule>
  </conditionalFormatting>
  <conditionalFormatting sqref="R61 R63">
    <cfRule type="cellIs" dxfId="1029" priority="1971" stopIfTrue="1" operator="lessThan">
      <formula>0.6</formula>
    </cfRule>
  </conditionalFormatting>
  <conditionalFormatting sqref="R68">
    <cfRule type="cellIs" dxfId="1028" priority="1751" stopIfTrue="1" operator="lessThan">
      <formula>0.56</formula>
    </cfRule>
  </conditionalFormatting>
  <conditionalFormatting sqref="S3">
    <cfRule type="cellIs" dxfId="1027" priority="601" stopIfTrue="1" operator="lessThan">
      <formula>0.65</formula>
    </cfRule>
  </conditionalFormatting>
  <conditionalFormatting sqref="S4:S45">
    <cfRule type="cellIs" dxfId="1026" priority="39" stopIfTrue="1" operator="lessThan">
      <formula>0.66</formula>
    </cfRule>
  </conditionalFormatting>
  <conditionalFormatting sqref="S46:S58">
    <cfRule type="cellIs" dxfId="1025" priority="399" stopIfTrue="1" operator="lessThan">
      <formula>0.66</formula>
    </cfRule>
  </conditionalFormatting>
  <conditionalFormatting sqref="S59">
    <cfRule type="cellIs" dxfId="1024" priority="41" stopIfTrue="1" operator="lessThan">
      <formula>0.74</formula>
    </cfRule>
  </conditionalFormatting>
  <conditionalFormatting sqref="S61 S63 S68">
    <cfRule type="cellIs" dxfId="1023" priority="2006" stopIfTrue="1" operator="lessThan">
      <formula>0.66</formula>
    </cfRule>
  </conditionalFormatting>
  <conditionalFormatting sqref="S78:S79">
    <cfRule type="cellIs" dxfId="1022" priority="1933" stopIfTrue="1" operator="lessThan">
      <formula>0.74</formula>
    </cfRule>
  </conditionalFormatting>
  <conditionalFormatting sqref="S80">
    <cfRule type="cellIs" dxfId="1021" priority="1932" stopIfTrue="1" operator="greaterThan">
      <formula>1.1</formula>
    </cfRule>
  </conditionalFormatting>
  <conditionalFormatting sqref="S64:T65">
    <cfRule type="cellIs" dxfId="1020" priority="2011" stopIfTrue="1" operator="lessThan">
      <formula>75%</formula>
    </cfRule>
  </conditionalFormatting>
  <conditionalFormatting sqref="T4 T6 T8:T9 T12">
    <cfRule type="cellIs" dxfId="1019" priority="329" stopIfTrue="1" operator="lessThan">
      <formula>0.84</formula>
    </cfRule>
    <cfRule type="cellIs" dxfId="1018" priority="324" stopIfTrue="1" operator="lessThan">
      <formula>0.84</formula>
    </cfRule>
  </conditionalFormatting>
  <conditionalFormatting sqref="T14:T16 T18 T20">
    <cfRule type="cellIs" dxfId="1017" priority="36" stopIfTrue="1" operator="lessThan">
      <formula>0.8</formula>
    </cfRule>
    <cfRule type="cellIs" dxfId="1016" priority="31" stopIfTrue="1" operator="lessThan">
      <formula>0.8</formula>
    </cfRule>
  </conditionalFormatting>
  <conditionalFormatting sqref="T24">
    <cfRule type="cellIs" dxfId="1015" priority="28" stopIfTrue="1" operator="lessThan">
      <formula>0.84</formula>
    </cfRule>
    <cfRule type="cellIs" dxfId="1014" priority="27" stopIfTrue="1" operator="lessThan">
      <formula>0.84</formula>
    </cfRule>
  </conditionalFormatting>
  <conditionalFormatting sqref="T26:T27 T29">
    <cfRule type="cellIs" dxfId="1013" priority="23" stopIfTrue="1" operator="lessThan">
      <formula>0.8</formula>
    </cfRule>
    <cfRule type="cellIs" dxfId="1012" priority="19" stopIfTrue="1" operator="lessThan">
      <formula>0.8</formula>
    </cfRule>
  </conditionalFormatting>
  <conditionalFormatting sqref="T32 T34 T37">
    <cfRule type="cellIs" dxfId="1011" priority="11" stopIfTrue="1" operator="lessThan">
      <formula>0.8</formula>
    </cfRule>
    <cfRule type="cellIs" dxfId="1010" priority="12" stopIfTrue="1" operator="lessThan">
      <formula>0.8</formula>
    </cfRule>
  </conditionalFormatting>
  <conditionalFormatting sqref="T40:T41">
    <cfRule type="cellIs" dxfId="1009" priority="10" stopIfTrue="1" operator="lessThan">
      <formula>0.8</formula>
    </cfRule>
  </conditionalFormatting>
  <conditionalFormatting sqref="T43">
    <cfRule type="cellIs" dxfId="1008" priority="4" stopIfTrue="1" operator="lessThan">
      <formula>0.8</formula>
    </cfRule>
  </conditionalFormatting>
  <conditionalFormatting sqref="T43:T45 T40:T41">
    <cfRule type="cellIs" dxfId="1007" priority="6" stopIfTrue="1" operator="lessThan">
      <formula>0.8</formula>
    </cfRule>
  </conditionalFormatting>
  <conditionalFormatting sqref="T46:T58">
    <cfRule type="cellIs" dxfId="1006" priority="400" stopIfTrue="1" operator="lessThan">
      <formula>0.84</formula>
    </cfRule>
  </conditionalFormatting>
  <conditionalFormatting sqref="T59">
    <cfRule type="cellIs" dxfId="1005" priority="40" stopIfTrue="1" operator="lessThan">
      <formula>0.8</formula>
    </cfRule>
  </conditionalFormatting>
  <conditionalFormatting sqref="T61 T63">
    <cfRule type="cellIs" dxfId="1004" priority="1972" stopIfTrue="1" operator="lessThan">
      <formula>0.95</formula>
    </cfRule>
  </conditionalFormatting>
  <conditionalFormatting sqref="T67">
    <cfRule type="cellIs" dxfId="1003" priority="1965" stopIfTrue="1" operator="lessThan">
      <formula>0.65</formula>
    </cfRule>
  </conditionalFormatting>
  <conditionalFormatting sqref="T68">
    <cfRule type="cellIs" dxfId="1002" priority="1837" stopIfTrue="1" operator="lessThan">
      <formula>0.95</formula>
    </cfRule>
  </conditionalFormatting>
  <conditionalFormatting sqref="U4:U6 U8:U58">
    <cfRule type="cellIs" dxfId="1001" priority="43" stopIfTrue="1" operator="greaterThan">
      <formula>1.8</formula>
    </cfRule>
  </conditionalFormatting>
  <conditionalFormatting sqref="U64">
    <cfRule type="cellIs" dxfId="1000" priority="46" stopIfTrue="1" operator="lessThan">
      <formula>75%</formula>
    </cfRule>
  </conditionalFormatting>
  <conditionalFormatting sqref="U65">
    <cfRule type="cellIs" dxfId="999" priority="45" stopIfTrue="1" operator="lessThan">
      <formula>0.65</formula>
    </cfRule>
  </conditionalFormatting>
  <conditionalFormatting sqref="U66">
    <cfRule type="cellIs" dxfId="998" priority="44" stopIfTrue="1" operator="lessThan">
      <formula>0.95</formula>
    </cfRule>
  </conditionalFormatting>
  <printOptions horizontalCentered="1"/>
  <pageMargins left="0.10312499999999999" right="0.5" top="0.25" bottom="0.27" header="0.25" footer="0.27"/>
  <pageSetup scale="23" fitToHeight="0" orientation="landscape" r:id="rId1"/>
  <headerFooter alignWithMargins="0"/>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16541-A67C-4E49-87CF-0E35C4246B88}">
  <sheetPr codeName="Sheet32">
    <pageSetUpPr fitToPage="1"/>
  </sheetPr>
  <dimension ref="B2:AC65447"/>
  <sheetViews>
    <sheetView showZeros="0" showWhiteSpace="0" zoomScale="60" zoomScaleNormal="60" zoomScaleSheetLayoutView="70" workbookViewId="0">
      <pane xSplit="3" ySplit="3" topLeftCell="E23" activePane="bottomRight" state="frozen"/>
      <selection pane="topRight" activeCell="D1" sqref="D1"/>
      <selection pane="bottomLeft" activeCell="A4" sqref="A4"/>
      <selection pane="bottomRight" activeCell="S52" sqref="S52"/>
    </sheetView>
  </sheetViews>
  <sheetFormatPr defaultColWidth="9.42578125" defaultRowHeight="12.75" outlineLevelCol="1" x14ac:dyDescent="0.2"/>
  <cols>
    <col min="1" max="1" width="3.42578125" customWidth="1"/>
    <col min="2" max="2" width="21.42578125" style="1" customWidth="1"/>
    <col min="3" max="3" width="58.5703125" style="1" customWidth="1"/>
    <col min="4" max="4" width="24.5703125" style="1" customWidth="1"/>
    <col min="5" max="5" width="25.5703125" style="1" customWidth="1"/>
    <col min="6" max="6" width="21.5703125" style="1" customWidth="1" outlineLevel="1"/>
    <col min="7" max="7" width="26.42578125" customWidth="1"/>
    <col min="8" max="8" width="20.42578125" customWidth="1" outlineLevel="1"/>
    <col min="9" max="9" width="22.42578125" style="1" customWidth="1" outlineLevel="1"/>
    <col min="10" max="10" width="22.42578125" customWidth="1"/>
    <col min="11" max="11" width="23.42578125" customWidth="1" outlineLevel="1"/>
    <col min="12" max="12" width="17.42578125" customWidth="1" outlineLevel="1"/>
    <col min="13" max="13" width="17" customWidth="1" outlineLevel="1"/>
    <col min="14" max="14" width="13.42578125" customWidth="1" outlineLevel="1"/>
    <col min="15" max="15" width="12.5703125" style="392" customWidth="1" outlineLevel="1"/>
    <col min="16" max="16" width="15" style="2" customWidth="1" outlineLevel="1"/>
    <col min="17" max="17" width="14.42578125" style="1" customWidth="1"/>
    <col min="18" max="18" width="27.140625" customWidth="1"/>
    <col min="19" max="19" width="19.42578125" customWidth="1"/>
    <col min="20" max="20" width="20.5703125" style="1" customWidth="1"/>
    <col min="21" max="21" width="12" customWidth="1"/>
    <col min="22" max="22" width="17" customWidth="1"/>
    <col min="23" max="23" width="15.42578125" customWidth="1"/>
    <col min="24" max="24" width="15.5703125" customWidth="1"/>
    <col min="25" max="25" width="14" customWidth="1"/>
    <col min="26" max="26" width="25.5703125" customWidth="1"/>
    <col min="27" max="27" width="125" customWidth="1"/>
    <col min="28" max="28" width="13.42578125" bestFit="1" customWidth="1"/>
    <col min="29" max="29" width="15.5703125" bestFit="1" customWidth="1"/>
  </cols>
  <sheetData>
    <row r="2" spans="2:29" ht="24" thickBot="1" x14ac:dyDescent="0.4">
      <c r="B2" s="1022" t="s">
        <v>964</v>
      </c>
      <c r="C2" s="1022"/>
      <c r="D2" s="1022"/>
      <c r="E2" s="1022"/>
      <c r="F2" s="1022"/>
      <c r="G2" s="1022"/>
      <c r="H2" s="1022"/>
      <c r="I2" s="1022"/>
      <c r="J2" s="1022"/>
      <c r="K2" s="1022"/>
      <c r="L2" s="1022"/>
      <c r="M2" s="1022"/>
      <c r="N2" s="1022"/>
      <c r="O2" s="1022"/>
      <c r="P2" s="1022"/>
      <c r="Q2" s="1022"/>
      <c r="R2" s="1022"/>
      <c r="S2" s="1022"/>
      <c r="T2" s="1022"/>
      <c r="U2" s="1022"/>
    </row>
    <row r="3" spans="2:29" ht="135.75" customHeight="1" thickTop="1" thickBot="1" x14ac:dyDescent="0.25">
      <c r="B3" s="583" t="s">
        <v>0</v>
      </c>
      <c r="C3" s="669" t="s">
        <v>2</v>
      </c>
      <c r="D3" s="669" t="s">
        <v>12</v>
      </c>
      <c r="E3" s="669" t="s">
        <v>11</v>
      </c>
      <c r="F3" s="671" t="s">
        <v>15</v>
      </c>
      <c r="G3" s="669" t="s">
        <v>9</v>
      </c>
      <c r="H3" s="671" t="s">
        <v>17</v>
      </c>
      <c r="I3" s="671" t="s">
        <v>5</v>
      </c>
      <c r="J3" s="669" t="s">
        <v>958</v>
      </c>
      <c r="K3" s="671" t="s">
        <v>4</v>
      </c>
      <c r="L3" s="670" t="s">
        <v>843</v>
      </c>
      <c r="M3" s="671" t="s">
        <v>161</v>
      </c>
      <c r="N3" s="671" t="s">
        <v>10</v>
      </c>
      <c r="O3" s="671" t="s">
        <v>622</v>
      </c>
      <c r="P3" s="673" t="s">
        <v>34</v>
      </c>
      <c r="Q3" s="674" t="s">
        <v>957</v>
      </c>
      <c r="R3" s="584" t="s">
        <v>473</v>
      </c>
      <c r="S3" s="547" t="s">
        <v>860</v>
      </c>
      <c r="T3" s="584" t="s">
        <v>862</v>
      </c>
      <c r="U3" s="1023" t="s">
        <v>1</v>
      </c>
      <c r="V3" s="1024"/>
      <c r="W3" s="1024"/>
      <c r="X3" s="1024"/>
      <c r="Y3" s="1024"/>
      <c r="Z3" s="1024"/>
      <c r="AA3" s="1025"/>
      <c r="AB3">
        <v>18000</v>
      </c>
      <c r="AC3">
        <v>17000</v>
      </c>
    </row>
    <row r="4" spans="2:29" s="19" customFormat="1" ht="51" customHeight="1" thickTop="1" thickBot="1" x14ac:dyDescent="0.25">
      <c r="B4" s="168">
        <f>[1]June_2026!$B8</f>
        <v>46192</v>
      </c>
      <c r="C4" s="26" t="str">
        <f>[1]June_2026!$D8</f>
        <v>STAG</v>
      </c>
      <c r="D4" s="27"/>
      <c r="E4" s="28">
        <f>[2]Jun!$E8</f>
        <v>0.79166666666666663</v>
      </c>
      <c r="F4" s="29">
        <f>[1]June_2026!$J8</f>
        <v>31.5</v>
      </c>
      <c r="G4" s="30">
        <f>[1]June_2026!$G8</f>
        <v>464</v>
      </c>
      <c r="H4" s="29">
        <f>[1]June_2026!K8</f>
        <v>30.624000000000002</v>
      </c>
      <c r="I4" s="31">
        <f>[1]June_2026!$N8</f>
        <v>4.5</v>
      </c>
      <c r="J4" s="32">
        <f>[1]June_2026!$Q8</f>
        <v>181.9607843137255</v>
      </c>
      <c r="K4" s="32">
        <f>[1]June_2026!$F8</f>
        <v>93</v>
      </c>
      <c r="L4" s="654">
        <f>[1]June_2026!$E8</f>
        <v>153</v>
      </c>
      <c r="M4" s="169">
        <f>[2]Jun!$G8</f>
        <v>0.91666666666666663</v>
      </c>
      <c r="N4" s="32">
        <f>[1]June_2026!$M8</f>
        <v>34</v>
      </c>
      <c r="O4" s="406">
        <f>[2]Jun!$I8</f>
        <v>0</v>
      </c>
      <c r="P4" s="32">
        <f>[1]June_2026!$I8</f>
        <v>0</v>
      </c>
      <c r="Q4" s="608">
        <f>[1]June_2026!$P8</f>
        <v>2.7809523809523737</v>
      </c>
      <c r="R4" s="727">
        <f>($G4)/(($L4/60)*AC$3*(1/24))</f>
        <v>0.25688581314878894</v>
      </c>
      <c r="S4" s="651">
        <f>($G4)*24/(($K4)/60)/$AC$3</f>
        <v>0.42261859582542693</v>
      </c>
      <c r="T4" s="727">
        <f>(300-((N4)-0))/300</f>
        <v>0.88666666666666671</v>
      </c>
      <c r="U4" s="1164" t="s">
        <v>1181</v>
      </c>
      <c r="V4" s="1164"/>
      <c r="W4" s="1164"/>
      <c r="X4" s="1164"/>
      <c r="Y4" s="1164"/>
      <c r="Z4" s="1164"/>
      <c r="AA4" s="1164"/>
    </row>
    <row r="5" spans="2:29" s="19" customFormat="1" ht="132" customHeight="1" thickBot="1" x14ac:dyDescent="0.25">
      <c r="B5" s="168">
        <f>[1]June_2026!$B9</f>
        <v>46193</v>
      </c>
      <c r="C5" s="26" t="str">
        <f>[1]June_2026!$D9</f>
        <v>STAG</v>
      </c>
      <c r="D5" s="27"/>
      <c r="E5" s="28">
        <f>[2]Jun!$E9</f>
        <v>0.40972222222222221</v>
      </c>
      <c r="F5" s="29">
        <f>[1]June_2026!$J9</f>
        <v>246.2</v>
      </c>
      <c r="G5" s="30">
        <f>[1]June_2026!$G9</f>
        <v>3602</v>
      </c>
      <c r="H5" s="29">
        <f>[1]June_2026!K9</f>
        <v>237.732</v>
      </c>
      <c r="I5" s="31">
        <f>[1]June_2026!$N9</f>
        <v>7</v>
      </c>
      <c r="J5" s="32">
        <f>[1]June_2026!$Q9</f>
        <v>246.15034168564921</v>
      </c>
      <c r="K5" s="32">
        <f>[1]June_2026!$F9</f>
        <v>685</v>
      </c>
      <c r="L5" s="654">
        <f>[1]June_2026!$E9</f>
        <v>878</v>
      </c>
      <c r="M5" s="169">
        <f>[2]Jun!$G9</f>
        <v>0.9770833333333333</v>
      </c>
      <c r="N5" s="32">
        <f>[1]June_2026!$M9</f>
        <v>484</v>
      </c>
      <c r="O5" s="406">
        <f>[2]Jun!$I9</f>
        <v>0</v>
      </c>
      <c r="P5" s="32">
        <f>[1]June_2026!$I9</f>
        <v>0</v>
      </c>
      <c r="Q5" s="608">
        <f>[1]June_2026!$P9</f>
        <v>3.4394800974817183</v>
      </c>
      <c r="R5" s="727">
        <f t="shared" ref="R5:R6" si="0">($G5)/(($L5/60)*AC$3*(1/24))</f>
        <v>0.34750636473268126</v>
      </c>
      <c r="S5" s="651">
        <f t="shared" ref="S5" si="1">($G5)*24/(($K5)/60)/$AC$3</f>
        <v>0.44541691713181625</v>
      </c>
      <c r="T5" s="727">
        <f>(987-((N5)-[2]Jun!$K$9-[2]Jun!$Z$9))/987</f>
        <v>0.5835866261398176</v>
      </c>
      <c r="U5" s="1164" t="s">
        <v>1182</v>
      </c>
      <c r="V5" s="1164"/>
      <c r="W5" s="1164"/>
      <c r="X5" s="1164"/>
      <c r="Y5" s="1164"/>
      <c r="Z5" s="1164"/>
      <c r="AA5" s="1164"/>
    </row>
    <row r="6" spans="2:29" s="19" customFormat="1" ht="61.5" customHeight="1" thickBot="1" x14ac:dyDescent="0.25">
      <c r="B6" s="168">
        <f>[1]June_2026!$B10</f>
        <v>46194</v>
      </c>
      <c r="C6" s="26" t="str">
        <f>[1]June_2026!$D10</f>
        <v>STAR MALT</v>
      </c>
      <c r="D6" s="27"/>
      <c r="E6" s="28">
        <f>[2]Jun!$E10</f>
        <v>0.83819444444444446</v>
      </c>
      <c r="F6" s="29">
        <f>[1]June_2026!$J10</f>
        <v>102.30000000000001</v>
      </c>
      <c r="G6" s="30">
        <f>[1]June_2026!$G10</f>
        <v>1505</v>
      </c>
      <c r="H6" s="29">
        <f>[1]June_2026!K10</f>
        <v>99.33</v>
      </c>
      <c r="I6" s="31">
        <f>[1]June_2026!$N10</f>
        <v>3</v>
      </c>
      <c r="J6" s="32">
        <f>[1]June_2026!$Q10</f>
        <v>167.22222222222223</v>
      </c>
      <c r="K6" s="32">
        <f>[1]June_2026!$F10</f>
        <v>233</v>
      </c>
      <c r="L6" s="654">
        <f>[1]June_2026!$E10</f>
        <v>540</v>
      </c>
      <c r="M6" s="169">
        <f>[2]Jun!$G10</f>
        <v>1.0458333333333334</v>
      </c>
      <c r="N6" s="32">
        <f>[1]June_2026!$M10</f>
        <v>349</v>
      </c>
      <c r="O6" s="406">
        <f>[2]Jun!$I10</f>
        <v>0</v>
      </c>
      <c r="P6" s="32">
        <f>[1]June_2026!$I10</f>
        <v>0</v>
      </c>
      <c r="Q6" s="608">
        <f>[1]June_2026!$P10</f>
        <v>2.9032258064516254</v>
      </c>
      <c r="R6" s="727">
        <f t="shared" si="0"/>
        <v>0.23607843137254902</v>
      </c>
      <c r="S6" s="651">
        <f>($G6)*24/(($K6)/60)/$AC$3</f>
        <v>0.54713456197929811</v>
      </c>
      <c r="T6" s="727">
        <f>(561-((N6)-[2]Jun!$Z$10))/561</f>
        <v>0.51515151515151514</v>
      </c>
      <c r="U6" s="1164" t="s">
        <v>1210</v>
      </c>
      <c r="V6" s="1164"/>
      <c r="W6" s="1164"/>
      <c r="X6" s="1164"/>
      <c r="Y6" s="1164"/>
      <c r="Z6" s="1164"/>
      <c r="AA6" s="1164"/>
    </row>
    <row r="7" spans="2:29" s="19" customFormat="1" ht="102.95" customHeight="1" thickBot="1" x14ac:dyDescent="0.25">
      <c r="B7" s="168">
        <f>[1]June_2026!$B11</f>
        <v>46195</v>
      </c>
      <c r="C7" s="26" t="str">
        <f>[1]June_2026!$D11</f>
        <v>STAR MALT</v>
      </c>
      <c r="D7" s="27"/>
      <c r="E7" s="28">
        <f>[2]Jun!$E11</f>
        <v>1.0069444444444444</v>
      </c>
      <c r="F7" s="29">
        <f>[1]June_2026!$J11</f>
        <v>293.7</v>
      </c>
      <c r="G7" s="30">
        <f>[1]June_2026!$G11</f>
        <v>4380</v>
      </c>
      <c r="H7" s="29">
        <f>[1]June_2026!K11</f>
        <v>289.08000000000004</v>
      </c>
      <c r="I7" s="31">
        <f>[1]June_2026!$N11</f>
        <v>4</v>
      </c>
      <c r="J7" s="32">
        <f>[1]June_2026!$Q11</f>
        <v>183.77622377622379</v>
      </c>
      <c r="K7" s="32">
        <f>[1]June_2026!$F11</f>
        <v>818</v>
      </c>
      <c r="L7" s="1148">
        <f>[1]June_2026!$E11</f>
        <v>1430</v>
      </c>
      <c r="M7" s="169">
        <f>[2]Jun!$G11</f>
        <v>1.6666666666666667</v>
      </c>
      <c r="N7" s="32">
        <f>[1]June_2026!$M11</f>
        <v>397</v>
      </c>
      <c r="O7" s="406">
        <f>[2]Jun!$I11</f>
        <v>0</v>
      </c>
      <c r="P7" s="32">
        <f>[1]June_2026!$I11</f>
        <v>0</v>
      </c>
      <c r="Q7" s="608">
        <f>[1]June_2026!$P11</f>
        <v>1.5730337078651508</v>
      </c>
      <c r="R7" s="995">
        <f>($G7+G8)/(($L7/60)*AC$3*(1/24))</f>
        <v>0.42761661867544226</v>
      </c>
      <c r="S7" s="651">
        <f t="shared" ref="S7:S26" si="2">($G7)*24/(($K7)/60)/$AC$3</f>
        <v>0.45355961455486843</v>
      </c>
      <c r="T7" s="995">
        <f>(1509-((N7+N8)-[2]Jun!$Z$11-[2]Jun!$AB$11-[2]Jun!$Z$12-[2]Jun!$L$12-[2]Jun!$K$11-[2]Jun!$J$12-[2]Jun!$I$12-[2]Jun!$H$110))/1509</f>
        <v>0.72432074221338638</v>
      </c>
      <c r="U7" s="1164" t="s">
        <v>1184</v>
      </c>
      <c r="V7" s="1164"/>
      <c r="W7" s="1164"/>
      <c r="X7" s="1164"/>
      <c r="Y7" s="1164"/>
      <c r="Z7" s="1164"/>
      <c r="AA7" s="1164"/>
    </row>
    <row r="8" spans="2:29" s="19" customFormat="1" ht="78.95" customHeight="1" thickBot="1" x14ac:dyDescent="0.25">
      <c r="B8" s="168">
        <f>[1]June_2026!$B12</f>
        <v>46195</v>
      </c>
      <c r="C8" s="26" t="str">
        <f>[1]June_2026!$D12</f>
        <v>CARIB AMBER</v>
      </c>
      <c r="D8" s="27">
        <v>8400</v>
      </c>
      <c r="E8" s="28">
        <f>[2]Jun!$E12</f>
        <v>1.7256944444444444</v>
      </c>
      <c r="F8" s="29">
        <f>[1]June_2026!$J12</f>
        <v>206.1</v>
      </c>
      <c r="G8" s="30">
        <f>[1]June_2026!$G12</f>
        <v>2839</v>
      </c>
      <c r="H8" s="29">
        <f>[1]June_2026!K12</f>
        <v>200.67400000000001</v>
      </c>
      <c r="I8" s="31">
        <f>[1]June_2026!$N12</f>
        <v>0</v>
      </c>
      <c r="J8" s="32">
        <f>[1]June_2026!$Q12</f>
        <v>119.11888111888112</v>
      </c>
      <c r="K8" s="32">
        <f>[1]June_2026!$F12</f>
        <v>353</v>
      </c>
      <c r="L8" s="999"/>
      <c r="M8" s="169">
        <f>[2]Jun!$G12</f>
        <v>2.0479166666666666</v>
      </c>
      <c r="N8" s="32">
        <f>[1]June_2026!$M12</f>
        <v>152</v>
      </c>
      <c r="O8" s="406">
        <f>[2]Jun!$I12</f>
        <v>59</v>
      </c>
      <c r="P8" s="32">
        <f>[1]June_2026!$I12</f>
        <v>0</v>
      </c>
      <c r="Q8" s="608">
        <f>[1]June_2026!$P12</f>
        <v>2.6327025715671946</v>
      </c>
      <c r="R8" s="1020"/>
      <c r="S8" s="651">
        <f t="shared" si="2"/>
        <v>0.68124645892351277</v>
      </c>
      <c r="T8" s="1020"/>
      <c r="U8" s="1164" t="s">
        <v>1183</v>
      </c>
      <c r="V8" s="1164"/>
      <c r="W8" s="1164"/>
      <c r="X8" s="1164"/>
      <c r="Y8" s="1164"/>
      <c r="Z8" s="1164"/>
      <c r="AA8" s="1164"/>
    </row>
    <row r="9" spans="2:29" s="19" customFormat="1" ht="60.75" customHeight="1" thickBot="1" x14ac:dyDescent="0.25">
      <c r="B9" s="168">
        <f>[1]June_2026!$B13</f>
        <v>46196</v>
      </c>
      <c r="C9" s="26" t="str">
        <f>[1]June_2026!$D13</f>
        <v>CARIB AMBER</v>
      </c>
      <c r="D9" s="27"/>
      <c r="E9" s="28">
        <f>[2]Jun!$E13</f>
        <v>1.0069444444444444</v>
      </c>
      <c r="F9" s="29">
        <f>[1]June_2026!$J13</f>
        <v>173.7</v>
      </c>
      <c r="G9" s="30">
        <f>[1]June_2026!$G13</f>
        <v>2565</v>
      </c>
      <c r="H9" s="29">
        <f>[1]June_2026!K13</f>
        <v>169.29000000000002</v>
      </c>
      <c r="I9" s="31">
        <f>[1]June_2026!$N13</f>
        <v>2</v>
      </c>
      <c r="J9" s="32">
        <f>[1]June_2026!$Q13</f>
        <v>107.62237762237763</v>
      </c>
      <c r="K9" s="32">
        <f>[1]June_2026!$F13</f>
        <v>379</v>
      </c>
      <c r="L9" s="1148">
        <f>[1]June_2026!$E13</f>
        <v>1430</v>
      </c>
      <c r="M9" s="169">
        <f>[2]Jun!$G13</f>
        <v>1.3256944444444445</v>
      </c>
      <c r="N9" s="32">
        <f>[1]June_2026!$M13</f>
        <v>107</v>
      </c>
      <c r="O9" s="406">
        <f>[2]Jun!$I13</f>
        <v>0</v>
      </c>
      <c r="P9" s="32">
        <f>[1]June_2026!$I13</f>
        <v>0</v>
      </c>
      <c r="Q9" s="608">
        <f>[1]June_2026!$P13</f>
        <v>2.5388601036269249</v>
      </c>
      <c r="R9" s="995">
        <f>($G9+G10+G11)/(($L9/60)*AC$3*(1/24))</f>
        <v>0.32365939942410538</v>
      </c>
      <c r="S9" s="651">
        <f t="shared" si="2"/>
        <v>0.57327331988204255</v>
      </c>
      <c r="T9" s="995">
        <f>(1510-((N9+N10+N11)-[2]Jun!$J$13-[2]Jun!$I$14-[2]Jun!$I$15-[2]Jun!$J$15-[2]Jun!$Z$13-[2]Jun!$Z$14-[2]Jun!$Z$15-[2]Jun!$AB$14))/1510</f>
        <v>0.64635761589403973</v>
      </c>
      <c r="U9" s="1165" t="s">
        <v>1185</v>
      </c>
      <c r="V9" s="1164"/>
      <c r="W9" s="1164"/>
      <c r="X9" s="1164"/>
      <c r="Y9" s="1164"/>
      <c r="Z9" s="1164"/>
      <c r="AA9" s="1164"/>
    </row>
    <row r="10" spans="2:29" s="19" customFormat="1" ht="59.25" customHeight="1" thickBot="1" x14ac:dyDescent="0.25">
      <c r="B10" s="168">
        <f>[1]June_2026!$B14</f>
        <v>46196</v>
      </c>
      <c r="C10" s="26" t="str">
        <f>[1]June_2026!$D14</f>
        <v>STAG</v>
      </c>
      <c r="D10" s="27">
        <v>1348</v>
      </c>
      <c r="E10" s="28">
        <f>[2]Jun!$E14</f>
        <v>1.3055555555555556</v>
      </c>
      <c r="F10" s="29">
        <f>[1]June_2026!$J14</f>
        <v>88</v>
      </c>
      <c r="G10" s="30">
        <f>[1]June_2026!$G14</f>
        <v>1308</v>
      </c>
      <c r="H10" s="29">
        <f>[1]June_2026!K14</f>
        <v>86.328000000000003</v>
      </c>
      <c r="I10" s="31">
        <f>[1]June_2026!$N14</f>
        <v>3</v>
      </c>
      <c r="J10" s="32">
        <f>[1]June_2026!$Q14</f>
        <v>54.881118881118887</v>
      </c>
      <c r="K10" s="32">
        <f>[1]June_2026!$F14</f>
        <v>148</v>
      </c>
      <c r="L10" s="1016"/>
      <c r="M10" s="169">
        <f>[2]Jun!$G14</f>
        <v>1.4916666666666667</v>
      </c>
      <c r="N10" s="32">
        <f>[1]June_2026!$M14</f>
        <v>78</v>
      </c>
      <c r="O10" s="406">
        <f>[2]Jun!$I14</f>
        <v>10</v>
      </c>
      <c r="P10" s="32">
        <f>[1]June_2026!$I14</f>
        <v>0</v>
      </c>
      <c r="Q10" s="608">
        <f>[1]June_2026!$P14</f>
        <v>1.8999999999999966</v>
      </c>
      <c r="R10" s="996"/>
      <c r="S10" s="651">
        <f>($G10)*24/(($K10)/60)/$AC$3</f>
        <v>0.74861685214626394</v>
      </c>
      <c r="T10" s="996"/>
      <c r="U10" s="1165" t="s">
        <v>1186</v>
      </c>
      <c r="V10" s="1164"/>
      <c r="W10" s="1164"/>
      <c r="X10" s="1164"/>
      <c r="Y10" s="1164"/>
      <c r="Z10" s="1164"/>
      <c r="AA10" s="1164"/>
    </row>
    <row r="11" spans="2:29" s="19" customFormat="1" ht="83.25" customHeight="1" thickBot="1" x14ac:dyDescent="0.25">
      <c r="B11" s="168">
        <f>[1]June_2026!$B15</f>
        <v>46196</v>
      </c>
      <c r="C11" s="26" t="str">
        <f>[1]June_2026!$D15</f>
        <v>GUINNESS</v>
      </c>
      <c r="D11" s="27">
        <v>5600</v>
      </c>
      <c r="E11" s="28">
        <f>[2]Jun!$E15</f>
        <v>1.5208333333333333</v>
      </c>
      <c r="F11" s="29">
        <f>[1]June_2026!$J15</f>
        <v>105.1</v>
      </c>
      <c r="G11" s="30">
        <f>[1]June_2026!$G15</f>
        <v>1591</v>
      </c>
      <c r="H11" s="29">
        <f>[1]June_2026!K15</f>
        <v>105.006</v>
      </c>
      <c r="I11" s="31">
        <f>[1]June_2026!$N15</f>
        <v>16</v>
      </c>
      <c r="J11" s="32">
        <f>[1]June_2026!$Q15</f>
        <v>66.75524475524476</v>
      </c>
      <c r="K11" s="32">
        <f>[1]June_2026!$F15</f>
        <v>622</v>
      </c>
      <c r="L11" s="999"/>
      <c r="M11" s="169">
        <f>[2]Jun!$G15</f>
        <v>2.0486111111111112</v>
      </c>
      <c r="N11" s="32">
        <f>[1]June_2026!$M15</f>
        <v>499</v>
      </c>
      <c r="O11" s="406">
        <f>[2]Jun!$I15</f>
        <v>18</v>
      </c>
      <c r="P11" s="32">
        <f>[1]June_2026!$I15</f>
        <v>0</v>
      </c>
      <c r="Q11" s="608">
        <f>[1]June_2026!$P15</f>
        <v>8.9438629876302661E-2</v>
      </c>
      <c r="R11" s="1020"/>
      <c r="S11" s="651">
        <f t="shared" si="2"/>
        <v>0.21666729714393795</v>
      </c>
      <c r="T11" s="1020"/>
      <c r="U11" s="1165" t="s">
        <v>1187</v>
      </c>
      <c r="V11" s="1164"/>
      <c r="W11" s="1164"/>
      <c r="X11" s="1164"/>
      <c r="Y11" s="1164"/>
      <c r="Z11" s="1164"/>
      <c r="AA11" s="1164"/>
    </row>
    <row r="12" spans="2:29" s="19" customFormat="1" ht="73.5" customHeight="1" thickBot="1" x14ac:dyDescent="0.25">
      <c r="B12" s="168">
        <f>[1]June_2026!$B16</f>
        <v>46197</v>
      </c>
      <c r="C12" s="26" t="str">
        <f>[1]June_2026!$D16</f>
        <v>GUINNESS</v>
      </c>
      <c r="D12" s="27"/>
      <c r="E12" s="28">
        <f>[2]Jun!$E16</f>
        <v>1.0125</v>
      </c>
      <c r="F12" s="29">
        <f>[1]June_2026!$J16</f>
        <v>255.9</v>
      </c>
      <c r="G12" s="30">
        <f>[1]June_2026!$G16</f>
        <v>3871</v>
      </c>
      <c r="H12" s="29">
        <f>[1]June_2026!K16</f>
        <v>255.48600000000002</v>
      </c>
      <c r="I12" s="31">
        <f>[1]June_2026!$N16</f>
        <v>8</v>
      </c>
      <c r="J12" s="32">
        <f>[1]June_2026!$Q16</f>
        <v>163.33333333333334</v>
      </c>
      <c r="K12" s="32">
        <f>[1]June_2026!$F16</f>
        <v>559</v>
      </c>
      <c r="L12" s="1148">
        <f>[1]June_2026!$E16</f>
        <v>1422</v>
      </c>
      <c r="M12" s="169">
        <f>[2]Jun!$G16</f>
        <v>0.47638888888888886</v>
      </c>
      <c r="N12" s="32">
        <f>[1]June_2026!$M16</f>
        <v>133</v>
      </c>
      <c r="O12" s="406">
        <f>[2]Jun!$I16</f>
        <v>0</v>
      </c>
      <c r="P12" s="32">
        <f>[1]June_2026!$I16</f>
        <v>52</v>
      </c>
      <c r="Q12" s="608">
        <f>[1]June_2026!$P16</f>
        <v>0.16178194607267968</v>
      </c>
      <c r="R12" s="995">
        <f>($G12+G13)/(($L12/60)*AC$3*(1/24))</f>
        <v>0.48756515264333583</v>
      </c>
      <c r="S12" s="651">
        <f t="shared" si="2"/>
        <v>0.58657687046195939</v>
      </c>
      <c r="T12" s="995">
        <f>(1509-((N12+N13)-[2]Jun!$Z$11-[2]Jun!$AB$11-[2]Jun!$Z$12-[2]Jun!$L$12-[2]Jun!$K$11-[2]Jun!$J$12-[2]Jun!$I$12-[2]Jun!$H$110))/1509</f>
        <v>0.7468522200132538</v>
      </c>
      <c r="U12" s="1164" t="s">
        <v>1189</v>
      </c>
      <c r="V12" s="1164"/>
      <c r="W12" s="1164"/>
      <c r="X12" s="1164"/>
      <c r="Y12" s="1164"/>
      <c r="Z12" s="1164"/>
      <c r="AA12" s="1164"/>
    </row>
    <row r="13" spans="2:29" s="19" customFormat="1" ht="105.75" customHeight="1" thickBot="1" x14ac:dyDescent="0.25">
      <c r="B13" s="168">
        <f>[1]June_2026!$B17</f>
        <v>46197</v>
      </c>
      <c r="C13" s="26" t="str">
        <f>[1]June_2026!$D17</f>
        <v>CARIB AMBER</v>
      </c>
      <c r="D13" s="27"/>
      <c r="E13" s="28">
        <f>[2]Jun!$E17</f>
        <v>1.5625</v>
      </c>
      <c r="F13" s="29">
        <f>[1]June_2026!$J17</f>
        <v>305.5</v>
      </c>
      <c r="G13" s="30">
        <f>[1]June_2026!$G17</f>
        <v>4314</v>
      </c>
      <c r="H13" s="29">
        <f>[1]June_2026!K17</f>
        <v>299.35399999999998</v>
      </c>
      <c r="I13" s="31">
        <f>[1]June_2026!$N17</f>
        <v>3</v>
      </c>
      <c r="J13" s="32">
        <f>[1]June_2026!$Q17</f>
        <v>182.02531645569621</v>
      </c>
      <c r="K13" s="32">
        <f>[1]June_2026!$F17</f>
        <v>601</v>
      </c>
      <c r="L13" s="999"/>
      <c r="M13" s="169">
        <f>[2]Jun!$G17</f>
        <v>2.0458333333333334</v>
      </c>
      <c r="N13" s="32">
        <f>[1]June_2026!$M17</f>
        <v>382</v>
      </c>
      <c r="O13" s="406">
        <f>[2]Jun!$I17</f>
        <v>55</v>
      </c>
      <c r="P13" s="32">
        <f>[1]June_2026!$I17</f>
        <v>0</v>
      </c>
      <c r="Q13" s="608">
        <f>[1]June_2026!$P17</f>
        <v>2.0117839607201358</v>
      </c>
      <c r="R13" s="1020"/>
      <c r="S13" s="651">
        <f t="shared" si="2"/>
        <v>0.60802192424390711</v>
      </c>
      <c r="T13" s="1020"/>
      <c r="U13" s="1164" t="s">
        <v>1188</v>
      </c>
      <c r="V13" s="1164"/>
      <c r="W13" s="1164"/>
      <c r="X13" s="1164"/>
      <c r="Y13" s="1164"/>
      <c r="Z13" s="1164"/>
      <c r="AA13" s="1164"/>
    </row>
    <row r="14" spans="2:29" s="19" customFormat="1" ht="48" customHeight="1" thickBot="1" x14ac:dyDescent="0.25">
      <c r="B14" s="168">
        <f>[1]June_2026!$B18</f>
        <v>46198</v>
      </c>
      <c r="C14" s="26" t="str">
        <f>[1]June_2026!$D18</f>
        <v>CARIB AMBER</v>
      </c>
      <c r="D14" s="27">
        <v>7000</v>
      </c>
      <c r="E14" s="28">
        <f>[2]Jun!$E18</f>
        <v>1.0083333333333333</v>
      </c>
      <c r="F14" s="29">
        <f>[1]June_2026!$J18</f>
        <v>77.2</v>
      </c>
      <c r="G14" s="30">
        <f>[1]June_2026!$G18</f>
        <v>1145</v>
      </c>
      <c r="H14" s="29">
        <f>[1]June_2026!K18</f>
        <v>75.570000000000007</v>
      </c>
      <c r="I14" s="31">
        <f>[1]June_2026!$N18</f>
        <v>1</v>
      </c>
      <c r="J14" s="32">
        <f>[1]June_2026!$Q18</f>
        <v>48.109243697478988</v>
      </c>
      <c r="K14" s="32">
        <f>[1]June_2026!$F18</f>
        <v>113</v>
      </c>
      <c r="L14" s="1148">
        <f>[1]June_2026!$E18</f>
        <v>1428</v>
      </c>
      <c r="M14" s="169">
        <f>[2]Jun!$G18</f>
        <v>1.1534722222222222</v>
      </c>
      <c r="N14" s="32">
        <f>[1]June_2026!$M18</f>
        <v>30</v>
      </c>
      <c r="O14" s="406">
        <f>[2]Jun!$I18</f>
        <v>0</v>
      </c>
      <c r="P14" s="32">
        <f>[1]June_2026!$I18</f>
        <v>0</v>
      </c>
      <c r="Q14" s="608">
        <f>[1]June_2026!$P18</f>
        <v>2.1113989637305637</v>
      </c>
      <c r="R14" s="995">
        <f>($G14+G15+G16+G17)/(($L14/60)*AC$3*(1/24))</f>
        <v>0.54127533366287695</v>
      </c>
      <c r="S14" s="651">
        <f t="shared" si="2"/>
        <v>0.85830296720458099</v>
      </c>
      <c r="T14" s="995">
        <f>(1492-((N14+N15+N16+N17)-[2]Jun!$I$21-[2]Jun!$I$20-[2]Jun!$I$19-[2]Jun!$H$19-[2]Jun!$J$19-[2]Jun!$K$19-[2]Jun!$L$19-[2]Jun!$Z$21-[2]Jun!$Z$19-[2]Jun!$Z$18-[2]Jun!$AB$20))/1492</f>
        <v>0.83914209115281502</v>
      </c>
      <c r="U14" s="1165" t="s">
        <v>1193</v>
      </c>
      <c r="V14" s="1164"/>
      <c r="W14" s="1164"/>
      <c r="X14" s="1164"/>
      <c r="Y14" s="1164"/>
      <c r="Z14" s="1164"/>
      <c r="AA14" s="1164"/>
    </row>
    <row r="15" spans="2:29" s="19" customFormat="1" ht="95.25" customHeight="1" thickBot="1" x14ac:dyDescent="0.25">
      <c r="B15" s="168">
        <f>[1]June_2026!$B19</f>
        <v>46198</v>
      </c>
      <c r="C15" s="26" t="str">
        <f>[1]June_2026!$D19</f>
        <v>STAG</v>
      </c>
      <c r="D15" s="27"/>
      <c r="E15" s="28">
        <f>[2]Jun!$E19</f>
        <v>1.1145833333333333</v>
      </c>
      <c r="F15" s="29">
        <f>[1]June_2026!$J19</f>
        <v>347.5</v>
      </c>
      <c r="G15" s="30">
        <f>[1]June_2026!$G19</f>
        <v>5162</v>
      </c>
      <c r="H15" s="29">
        <f>[1]June_2026!K19</f>
        <v>340.69200000000001</v>
      </c>
      <c r="I15" s="31">
        <f>[1]June_2026!$N19</f>
        <v>48</v>
      </c>
      <c r="J15" s="32">
        <f>[1]June_2026!$Q19</f>
        <v>216.890756302521</v>
      </c>
      <c r="K15" s="32">
        <f>[1]June_2026!$F19</f>
        <v>695</v>
      </c>
      <c r="L15" s="1016"/>
      <c r="M15" s="169">
        <f>[2]Jun!$G19</f>
        <v>0</v>
      </c>
      <c r="N15" s="32">
        <f>[1]June_2026!$M19</f>
        <v>168</v>
      </c>
      <c r="O15" s="406">
        <f>[2]Jun!$I19</f>
        <v>29</v>
      </c>
      <c r="P15" s="32">
        <f>[1]June_2026!$I19</f>
        <v>0</v>
      </c>
      <c r="Q15" s="608">
        <f>[1]June_2026!$P19</f>
        <v>1.9591366906474801</v>
      </c>
      <c r="R15" s="996"/>
      <c r="S15" s="651">
        <f t="shared" si="2"/>
        <v>0.62913922979263637</v>
      </c>
      <c r="T15" s="996"/>
      <c r="U15" s="1165" t="s">
        <v>1192</v>
      </c>
      <c r="V15" s="1164"/>
      <c r="W15" s="1164"/>
      <c r="X15" s="1164"/>
      <c r="Y15" s="1164"/>
      <c r="Z15" s="1164"/>
      <c r="AA15" s="1164"/>
    </row>
    <row r="16" spans="2:29" s="19" customFormat="1" ht="78.75" customHeight="1" thickBot="1" x14ac:dyDescent="0.25">
      <c r="B16" s="168">
        <f>[1]June_2026!$B20</f>
        <v>46198</v>
      </c>
      <c r="C16" s="26" t="str">
        <f>[1]June_2026!$D20</f>
        <v>CARIB FLINT</v>
      </c>
      <c r="D16" s="27"/>
      <c r="E16" s="28">
        <f>[2]Jun!$E20</f>
        <v>1.6666666666666667</v>
      </c>
      <c r="F16" s="989">
        <f>[1]June_2026!$J20</f>
        <v>191.3</v>
      </c>
      <c r="G16" s="30">
        <f>[1]June_2026!$G20</f>
        <v>1783</v>
      </c>
      <c r="H16" s="989">
        <f>[1]June_2026!K20</f>
        <v>185.988</v>
      </c>
      <c r="I16" s="31">
        <f>[1]June_2026!$N20</f>
        <v>0</v>
      </c>
      <c r="J16" s="32">
        <f>[1]June_2026!$Q20</f>
        <v>48.109243697478988</v>
      </c>
      <c r="K16" s="32">
        <f>[1]June_2026!$F20</f>
        <v>234</v>
      </c>
      <c r="L16" s="1016"/>
      <c r="M16" s="169">
        <f>[2]Jun!$G20</f>
        <v>0</v>
      </c>
      <c r="N16" s="32">
        <f>[1]June_2026!$M20</f>
        <v>93</v>
      </c>
      <c r="O16" s="406">
        <f>[2]Jun!$I20</f>
        <v>37</v>
      </c>
      <c r="P16" s="32">
        <f>[1]June_2026!$I20</f>
        <v>0</v>
      </c>
      <c r="Q16" s="608">
        <f>[1]June_2026!$P20</f>
        <v>2.776790381599588</v>
      </c>
      <c r="R16" s="996"/>
      <c r="S16" s="651">
        <f t="shared" si="2"/>
        <v>0.64542986425339377</v>
      </c>
      <c r="T16" s="996"/>
      <c r="U16" s="1165" t="s">
        <v>1191</v>
      </c>
      <c r="V16" s="1164"/>
      <c r="W16" s="1164"/>
      <c r="X16" s="1164"/>
      <c r="Y16" s="1164"/>
      <c r="Z16" s="1164"/>
      <c r="AA16" s="1164"/>
    </row>
    <row r="17" spans="2:27" s="19" customFormat="1" ht="70.5" customHeight="1" thickBot="1" x14ac:dyDescent="0.25">
      <c r="B17" s="168">
        <f>[1]June_2026!$B21</f>
        <v>46198</v>
      </c>
      <c r="C17" s="26" t="str">
        <f>[1]June_2026!$D21</f>
        <v>CARIB AMBER</v>
      </c>
      <c r="D17" s="27"/>
      <c r="E17" s="28">
        <f>[2]Jun!$E21</f>
        <v>1.8444444444444446</v>
      </c>
      <c r="F17" s="990"/>
      <c r="G17" s="30">
        <f>[1]June_2026!$G21</f>
        <v>1035</v>
      </c>
      <c r="H17" s="990"/>
      <c r="I17" s="31">
        <f>[1]June_2026!$N21</f>
        <v>0</v>
      </c>
      <c r="J17" s="32">
        <f>[1]June_2026!$Q21</f>
        <v>43.487394957983192</v>
      </c>
      <c r="K17" s="32">
        <f>[1]June_2026!$F21</f>
        <v>222</v>
      </c>
      <c r="L17" s="1016"/>
      <c r="M17" s="169">
        <f>[2]Jun!$G21</f>
        <v>2.036111111111111</v>
      </c>
      <c r="N17" s="32">
        <f>[1]June_2026!$M21</f>
        <v>121</v>
      </c>
      <c r="O17" s="406">
        <f>[2]Jun!$I21</f>
        <v>12</v>
      </c>
      <c r="P17" s="32">
        <f>[1]June_2026!$I21</f>
        <v>0</v>
      </c>
      <c r="Q17" s="608">
        <f>[1]June_2026!$P21</f>
        <v>0</v>
      </c>
      <c r="R17" s="996"/>
      <c r="S17" s="651">
        <f t="shared" si="2"/>
        <v>0.39491255961844196</v>
      </c>
      <c r="T17" s="996"/>
      <c r="U17" s="1165" t="s">
        <v>1190</v>
      </c>
      <c r="V17" s="1164"/>
      <c r="W17" s="1164"/>
      <c r="X17" s="1164"/>
      <c r="Y17" s="1164"/>
      <c r="Z17" s="1164"/>
      <c r="AA17" s="1164"/>
    </row>
    <row r="18" spans="2:27" s="19" customFormat="1" ht="94.5" customHeight="1" thickBot="1" x14ac:dyDescent="0.25">
      <c r="B18" s="168">
        <f>[1]June_2026!$B22</f>
        <v>46199</v>
      </c>
      <c r="C18" s="26" t="str">
        <f>[1]June_2026!$D22</f>
        <v>CARIB AMBER</v>
      </c>
      <c r="D18" s="27"/>
      <c r="E18" s="28">
        <f>[2]Jun!$E22</f>
        <v>1.0173611111111112</v>
      </c>
      <c r="F18" s="29">
        <f>[1]June_2026!$J22</f>
        <v>185.3</v>
      </c>
      <c r="G18" s="30">
        <f>[1]June_2026!$G22</f>
        <v>2766</v>
      </c>
      <c r="H18" s="29">
        <f>[1]June_2026!K22</f>
        <v>182.55600000000001</v>
      </c>
      <c r="I18" s="31">
        <f>[1]June_2026!$N22</f>
        <v>6</v>
      </c>
      <c r="J18" s="32">
        <f>[1]June_2026!$Q22</f>
        <v>134.38056680161944</v>
      </c>
      <c r="K18" s="32">
        <f>[1]June_2026!$F22</f>
        <v>393</v>
      </c>
      <c r="L18" s="1148">
        <f>[1]June_2026!$E22</f>
        <v>1235</v>
      </c>
      <c r="M18" s="169">
        <f>[2]Jun!$G22</f>
        <v>1.3680555555555556</v>
      </c>
      <c r="N18" s="32">
        <f>[1]June_2026!$M22</f>
        <v>125</v>
      </c>
      <c r="O18" s="406">
        <f>[2]Jun!$I22</f>
        <v>0</v>
      </c>
      <c r="P18" s="32">
        <f>[1]June_2026!$I22</f>
        <v>0</v>
      </c>
      <c r="Q18" s="608">
        <f>[1]June_2026!$P22</f>
        <v>1.4808418780356178</v>
      </c>
      <c r="R18" s="995">
        <f>($G18+G19)/(($L18/60)*AC$3*(1/24))</f>
        <v>0.18971374136699215</v>
      </c>
      <c r="S18" s="651">
        <f t="shared" si="2"/>
        <v>0.59617422541535703</v>
      </c>
      <c r="T18" s="995">
        <f>(1260-((N18+N19)-[2]Jun!$J$22-[2]Jun!$I$23-[2]Jun!$J$23-[2]Jun!$L$22-[2]Jun!$Z$23-[2]Jun!$AB$22))/1260</f>
        <v>0.40238095238095239</v>
      </c>
      <c r="U18" s="1165" t="s">
        <v>1195</v>
      </c>
      <c r="V18" s="1164"/>
      <c r="W18" s="1164"/>
      <c r="X18" s="1164"/>
      <c r="Y18" s="1164"/>
      <c r="Z18" s="1164"/>
      <c r="AA18" s="1164"/>
    </row>
    <row r="19" spans="2:27" s="19" customFormat="1" ht="66.75" customHeight="1" thickBot="1" x14ac:dyDescent="0.25">
      <c r="B19" s="168">
        <f>[1]June_2026!$B23</f>
        <v>46199</v>
      </c>
      <c r="C19" s="26" t="str">
        <f>[1]June_2026!$D23</f>
        <v>TING</v>
      </c>
      <c r="D19" s="27">
        <v>3600</v>
      </c>
      <c r="E19" s="28">
        <f>[2]Jun!$E23</f>
        <v>0</v>
      </c>
      <c r="F19" s="29">
        <f>[1]June_2026!$J23</f>
        <v>0</v>
      </c>
      <c r="G19" s="30"/>
      <c r="H19" s="29">
        <f>[1]June_2026!K23</f>
        <v>0</v>
      </c>
      <c r="I19" s="31">
        <f>[1]June_2026!$N23</f>
        <v>0</v>
      </c>
      <c r="J19" s="32"/>
      <c r="K19" s="32">
        <f>[1]June_2026!$F23</f>
        <v>0</v>
      </c>
      <c r="L19" s="999"/>
      <c r="M19" s="169">
        <f>[2]Jun!$G23</f>
        <v>1.875</v>
      </c>
      <c r="N19" s="32">
        <f>[1]June_2026!$M23</f>
        <v>810</v>
      </c>
      <c r="O19" s="406">
        <f>[2]Jun!$I23</f>
        <v>45</v>
      </c>
      <c r="P19" s="32">
        <f>[1]June_2026!$I23</f>
        <v>0</v>
      </c>
      <c r="Q19" s="608"/>
      <c r="R19" s="1020"/>
      <c r="S19" s="651"/>
      <c r="T19" s="1020"/>
      <c r="U19" s="1165" t="s">
        <v>1196</v>
      </c>
      <c r="V19" s="1164"/>
      <c r="W19" s="1164"/>
      <c r="X19" s="1164"/>
      <c r="Y19" s="1164"/>
      <c r="Z19" s="1164"/>
      <c r="AA19" s="1164"/>
    </row>
    <row r="20" spans="2:27" s="19" customFormat="1" ht="117" customHeight="1" thickBot="1" x14ac:dyDescent="0.25">
      <c r="B20" s="168">
        <f>[1]June_2026!$B24</f>
        <v>46200</v>
      </c>
      <c r="C20" s="26" t="str">
        <f>[1]June_2026!$D24</f>
        <v>CARIB AMBER</v>
      </c>
      <c r="D20" s="27"/>
      <c r="E20" s="28">
        <f>[2]Jun!$E24</f>
        <v>0.50694444444444442</v>
      </c>
      <c r="F20" s="29">
        <f>[1]June_2026!$J24</f>
        <v>109</v>
      </c>
      <c r="G20" s="30">
        <f>[1]June_2026!$G24</f>
        <v>1581</v>
      </c>
      <c r="H20" s="29">
        <f>[1]June_2026!K24</f>
        <v>104.346</v>
      </c>
      <c r="I20" s="31">
        <f>[1]June_2026!$N24</f>
        <v>33</v>
      </c>
      <c r="J20" s="32">
        <f>[1]June_2026!$Q24</f>
        <v>112.6603325415677</v>
      </c>
      <c r="K20" s="32">
        <f>[1]June_2026!$F24</f>
        <v>145</v>
      </c>
      <c r="L20" s="1148">
        <f>[1]June_2026!$E24</f>
        <v>842</v>
      </c>
      <c r="M20" s="169">
        <f>[2]Jun!$G24</f>
        <v>0.34722222222222221</v>
      </c>
      <c r="N20" s="32">
        <f>[1]June_2026!$M24</f>
        <v>474</v>
      </c>
      <c r="O20" s="406">
        <f>[2]Jun!$I24</f>
        <v>0</v>
      </c>
      <c r="P20" s="32">
        <f>[1]June_2026!$I24</f>
        <v>0</v>
      </c>
      <c r="Q20" s="608">
        <f>[1]June_2026!$P24</f>
        <v>4.2697247706421981</v>
      </c>
      <c r="R20" s="995">
        <f>($G20+G21)/(($L20/60)*AC$3*(1/24))</f>
        <v>0.36850076847841273</v>
      </c>
      <c r="S20" s="651">
        <f t="shared" si="2"/>
        <v>0.9235862068965518</v>
      </c>
      <c r="T20" s="995">
        <f>(957-((N20+N21)-[2]Jun!$Z$24-[2]Jun!$J$24-[2]Jun!$K$24-[2]Jun!$I$25))/957</f>
        <v>0.63113897596656221</v>
      </c>
      <c r="U20" s="1165" t="s">
        <v>1197</v>
      </c>
      <c r="V20" s="1164"/>
      <c r="W20" s="1164"/>
      <c r="X20" s="1164"/>
      <c r="Y20" s="1164"/>
      <c r="Z20" s="1164"/>
      <c r="AA20" s="1164"/>
    </row>
    <row r="21" spans="2:27" s="19" customFormat="1" ht="39.75" customHeight="1" thickBot="1" x14ac:dyDescent="0.25">
      <c r="B21" s="168">
        <f>[1]June_2026!$B25</f>
        <v>46200</v>
      </c>
      <c r="C21" s="26" t="str">
        <f>[1]June_2026!$D25</f>
        <v>STAG</v>
      </c>
      <c r="D21" s="27">
        <v>7000</v>
      </c>
      <c r="E21" s="28">
        <f>[2]Jun!$E25</f>
        <v>0.72916666666666663</v>
      </c>
      <c r="F21" s="29">
        <f>[1]June_2026!$J25</f>
        <v>140</v>
      </c>
      <c r="G21" s="30">
        <f>[1]June_2026!$G25</f>
        <v>2082</v>
      </c>
      <c r="H21" s="29">
        <f>[1]June_2026!K25</f>
        <v>137.41200000000001</v>
      </c>
      <c r="I21" s="31">
        <f>[1]June_2026!$N25</f>
        <v>2</v>
      </c>
      <c r="J21" s="32">
        <f>[1]June_2026!$Q25</f>
        <v>148.36104513064134</v>
      </c>
      <c r="K21" s="32">
        <f>[1]June_2026!$F25</f>
        <v>262</v>
      </c>
      <c r="L21" s="999"/>
      <c r="M21" s="169">
        <f>[2]Jun!$G25</f>
        <v>0.95625000000000004</v>
      </c>
      <c r="N21" s="32">
        <f>[1]June_2026!$M25</f>
        <v>54</v>
      </c>
      <c r="O21" s="406">
        <f>[2]Jun!$I25</f>
        <v>20</v>
      </c>
      <c r="P21" s="32">
        <f>[1]June_2026!$I25</f>
        <v>0</v>
      </c>
      <c r="Q21" s="608">
        <f>[1]June_2026!$P25</f>
        <v>1.8485714285714241</v>
      </c>
      <c r="R21" s="1020"/>
      <c r="S21" s="651">
        <f t="shared" si="2"/>
        <v>0.67312079030085326</v>
      </c>
      <c r="T21" s="1020"/>
      <c r="U21" s="1165" t="s">
        <v>1194</v>
      </c>
      <c r="V21" s="1164"/>
      <c r="W21" s="1164"/>
      <c r="X21" s="1164"/>
      <c r="Y21" s="1164"/>
      <c r="Z21" s="1164"/>
      <c r="AA21" s="1164"/>
    </row>
    <row r="22" spans="2:27" s="19" customFormat="1" ht="64.5" customHeight="1" thickBot="1" x14ac:dyDescent="0.25">
      <c r="B22" s="168">
        <f>[1]June_2026!$B26</f>
        <v>46202</v>
      </c>
      <c r="C22" s="26" t="str">
        <f>[1]June_2026!$D26</f>
        <v>STAG</v>
      </c>
      <c r="D22" s="27"/>
      <c r="E22" s="28">
        <f>[2]Jun!$E26</f>
        <v>1.1041666666666667</v>
      </c>
      <c r="F22" s="29">
        <f>[1]June_2026!$J26</f>
        <v>152.19999999999999</v>
      </c>
      <c r="G22" s="30">
        <f>[1]June_2026!$G26</f>
        <v>2286</v>
      </c>
      <c r="H22" s="29">
        <f>[1]June_2026!K26</f>
        <v>150.876</v>
      </c>
      <c r="I22" s="31">
        <f>[1]June_2026!$N26</f>
        <v>2</v>
      </c>
      <c r="J22" s="32">
        <f>[1]June_2026!$Q26</f>
        <v>101.90193164933135</v>
      </c>
      <c r="K22" s="32">
        <f>[1]June_2026!$F26</f>
        <v>310</v>
      </c>
      <c r="L22" s="1148">
        <f>[1]June_2026!$E26</f>
        <v>1346</v>
      </c>
      <c r="M22" s="169">
        <f>[2]Jun!$G26</f>
        <v>1.4173611111111111</v>
      </c>
      <c r="N22" s="32">
        <f>[1]June_2026!$M26</f>
        <v>141</v>
      </c>
      <c r="O22" s="406">
        <f>[2]Jun!$I26</f>
        <v>0</v>
      </c>
      <c r="P22" s="32">
        <f>[1]June_2026!$I26</f>
        <v>0</v>
      </c>
      <c r="Q22" s="608">
        <f>[1]June_2026!$P26</f>
        <v>0.86990801576871479</v>
      </c>
      <c r="R22" s="995">
        <f>($G22+G23+G24)/(($L22/60)*AC$3*(1/24))</f>
        <v>0.34744515339568222</v>
      </c>
      <c r="S22" s="651">
        <f t="shared" si="2"/>
        <v>0.62463757115749519</v>
      </c>
      <c r="T22" s="995">
        <f>(1480-((N22+N23+N24)-[2]Jun!$I$27-[2]Jun!$H$28-[2]Jun!$I$28-[2]Jun!$J$27-[2]Jun!$L$26-[2]Jun!$L$27-[2]Jun!$M$27-[2]Jun!$M$28-[2]Jun!$Z$26-[2]Jun!$Z$27-[2]Jun!$Z$28-[2]Jun!$AA$27-[2]Jun!$AB$27))/1480</f>
        <v>0.79594594594594592</v>
      </c>
      <c r="U22" s="1165" t="s">
        <v>1198</v>
      </c>
      <c r="V22" s="1164"/>
      <c r="W22" s="1164"/>
      <c r="X22" s="1164"/>
      <c r="Y22" s="1164"/>
      <c r="Z22" s="1164"/>
      <c r="AA22" s="1164"/>
    </row>
    <row r="23" spans="2:27" s="19" customFormat="1" ht="111.75" customHeight="1" thickBot="1" x14ac:dyDescent="0.25">
      <c r="B23" s="168">
        <f>[1]June_2026!$B27</f>
        <v>46202</v>
      </c>
      <c r="C23" s="26" t="str">
        <f>[1]June_2026!$D27</f>
        <v>TING</v>
      </c>
      <c r="D23" s="27">
        <v>1800</v>
      </c>
      <c r="E23" s="28">
        <f>[2]Jun!$E27</f>
        <v>1.4680555555555554</v>
      </c>
      <c r="F23" s="29">
        <f>[1]June_2026!$J27</f>
        <v>118.80000000000001</v>
      </c>
      <c r="G23" s="30">
        <f>[1]June_2026!$G27</f>
        <v>1756</v>
      </c>
      <c r="H23" s="29">
        <f>[1]June_2026!K27</f>
        <v>115.896</v>
      </c>
      <c r="I23" s="31">
        <f>[1]June_2026!$N27</f>
        <v>1</v>
      </c>
      <c r="J23" s="32">
        <f>[1]June_2026!$Q27</f>
        <v>78.276374442793468</v>
      </c>
      <c r="K23" s="32">
        <f>[1]June_2026!$F27</f>
        <v>211</v>
      </c>
      <c r="L23" s="1016"/>
      <c r="M23" s="169">
        <f>[2]Jun!$G27</f>
        <v>0.71527777777777779</v>
      </c>
      <c r="N23" s="32">
        <f>[1]June_2026!$M27</f>
        <v>254</v>
      </c>
      <c r="O23" s="406">
        <f>[2]Jun!$I27</f>
        <v>53</v>
      </c>
      <c r="P23" s="32">
        <f>[1]June_2026!$I27</f>
        <v>0</v>
      </c>
      <c r="Q23" s="608">
        <f>[1]June_2026!$P27</f>
        <v>2.4444444444444531</v>
      </c>
      <c r="R23" s="996"/>
      <c r="S23" s="651">
        <f>($G23)*24/(($K23)/60)/$AC$3</f>
        <v>0.70494563702258151</v>
      </c>
      <c r="T23" s="996"/>
      <c r="U23" s="1165" t="s">
        <v>1200</v>
      </c>
      <c r="V23" s="1164"/>
      <c r="W23" s="1164"/>
      <c r="X23" s="1164"/>
      <c r="Y23" s="1164"/>
      <c r="Z23" s="1164"/>
      <c r="AA23" s="1164"/>
    </row>
    <row r="24" spans="2:27" s="19" customFormat="1" ht="90.75" customHeight="1" thickBot="1" x14ac:dyDescent="0.25">
      <c r="B24" s="168">
        <f>[1]June_2026!$B28</f>
        <v>46202</v>
      </c>
      <c r="C24" s="26" t="str">
        <f>[1]June_2026!$D28</f>
        <v>GINSENG UP ORIGINAL</v>
      </c>
      <c r="D24" s="27">
        <v>1500</v>
      </c>
      <c r="E24" s="28">
        <f>[2]Jun!$E28</f>
        <v>1.7749999999999999</v>
      </c>
      <c r="F24" s="29">
        <f>[1]June_2026!$J28</f>
        <v>100.7</v>
      </c>
      <c r="G24" s="30">
        <f>[1]June_2026!$G28</f>
        <v>1479</v>
      </c>
      <c r="H24" s="29">
        <f>[1]June_2026!K28</f>
        <v>97.614000000000004</v>
      </c>
      <c r="I24" s="31">
        <f>[1]June_2026!$N28</f>
        <v>11</v>
      </c>
      <c r="J24" s="32">
        <f>[1]June_2026!$Q28</f>
        <v>65.928677563150075</v>
      </c>
      <c r="K24" s="32">
        <f>[1]June_2026!$F28</f>
        <v>211</v>
      </c>
      <c r="L24" s="999"/>
      <c r="M24" s="169">
        <f>[2]Jun!$G28</f>
        <v>2.0277777777777777</v>
      </c>
      <c r="N24" s="32">
        <f>[1]June_2026!$M28</f>
        <v>257</v>
      </c>
      <c r="O24" s="406">
        <f>[2]Jun!$I28</f>
        <v>60</v>
      </c>
      <c r="P24" s="32">
        <f>[1]June_2026!$I28</f>
        <v>0</v>
      </c>
      <c r="Q24" s="608">
        <f>[1]June_2026!$P28</f>
        <v>3.0645481628599787</v>
      </c>
      <c r="R24" s="996"/>
      <c r="S24" s="651">
        <f t="shared" si="2"/>
        <v>0.59374407582938393</v>
      </c>
      <c r="T24" s="996"/>
      <c r="U24" s="1165" t="s">
        <v>1199</v>
      </c>
      <c r="V24" s="1164"/>
      <c r="W24" s="1164"/>
      <c r="X24" s="1164"/>
      <c r="Y24" s="1164"/>
      <c r="Z24" s="1164"/>
      <c r="AA24" s="1164"/>
    </row>
    <row r="25" spans="2:27" s="19" customFormat="1" ht="81.75" customHeight="1" thickBot="1" x14ac:dyDescent="0.25">
      <c r="B25" s="168">
        <f>[1]June_2026!$B29</f>
        <v>46203</v>
      </c>
      <c r="C25" s="26" t="str">
        <f>[1]June_2026!$D29</f>
        <v>STAG</v>
      </c>
      <c r="D25" s="27">
        <v>1400</v>
      </c>
      <c r="E25" s="28">
        <f>[2]Jun!$E29</f>
        <v>1.2569444444444444</v>
      </c>
      <c r="F25" s="29">
        <f>[1]June_2026!$J29</f>
        <v>96.5</v>
      </c>
      <c r="G25" s="30">
        <f>[1]June_2026!$G29</f>
        <v>1436</v>
      </c>
      <c r="H25" s="29">
        <f>[1]June_2026!K29</f>
        <v>94.77600000000001</v>
      </c>
      <c r="I25" s="31">
        <f>[1]June_2026!$N29</f>
        <v>5</v>
      </c>
      <c r="J25" s="32">
        <f>[1]June_2026!$Q29</f>
        <v>62.209386281588451</v>
      </c>
      <c r="K25" s="32">
        <f>[1]June_2026!$F29</f>
        <v>194</v>
      </c>
      <c r="L25" s="1148">
        <f>[1]June_2026!$E29</f>
        <v>1385</v>
      </c>
      <c r="M25" s="169">
        <f>[2]Jun!$G29</f>
        <v>1.4520833333333334</v>
      </c>
      <c r="N25" s="32">
        <f>[1]June_2026!$M29</f>
        <v>400</v>
      </c>
      <c r="O25" s="406">
        <f>[2]Jun!$I29</f>
        <v>160</v>
      </c>
      <c r="P25" s="32">
        <f>[1]June_2026!$I29</f>
        <v>0</v>
      </c>
      <c r="Q25" s="608">
        <f>[1]June_2026!$P29</f>
        <v>1.7865284974093156</v>
      </c>
      <c r="R25" s="995">
        <f>($G25+G26)/(($L25/60)*AC$3*(1/24))</f>
        <v>0.42041027819069876</v>
      </c>
      <c r="S25" s="651">
        <f t="shared" si="2"/>
        <v>0.62699818071558511</v>
      </c>
      <c r="T25" s="995">
        <f>(1480-((N25+N26)-[2]Jun!$H$30-[2]Jun!$I$29-[2]Jun!$I$30-[2]Jun!$L$29-[2]Jun!$Z$30-[2]Jun!$Z$31-[2]Jun!$AB$30))/1480</f>
        <v>0.7533783783783784</v>
      </c>
      <c r="U25" s="1165" t="s">
        <v>1202</v>
      </c>
      <c r="V25" s="1164"/>
      <c r="W25" s="1164"/>
      <c r="X25" s="1164"/>
      <c r="Y25" s="1164"/>
      <c r="Z25" s="1164"/>
      <c r="AA25" s="1164"/>
    </row>
    <row r="26" spans="2:27" s="19" customFormat="1" ht="132" customHeight="1" thickBot="1" x14ac:dyDescent="0.25">
      <c r="B26" s="168">
        <f>[1]June_2026!$B30</f>
        <v>46203</v>
      </c>
      <c r="C26" s="26" t="str">
        <f>[1]June_2026!$D30</f>
        <v>CARIB AMBER</v>
      </c>
      <c r="D26" s="27">
        <v>5600</v>
      </c>
      <c r="E26" s="28">
        <f>[2]Jun!$E30</f>
        <v>1.4097222222222223</v>
      </c>
      <c r="F26" s="29">
        <f>[1]June_2026!$J30</f>
        <v>367.9</v>
      </c>
      <c r="G26" s="30">
        <f>[1]June_2026!$G30</f>
        <v>5438</v>
      </c>
      <c r="H26" s="29">
        <f>[1]June_2026!K30</f>
        <v>358.90800000000002</v>
      </c>
      <c r="I26" s="31">
        <f>[1]June_2026!$N30</f>
        <v>3</v>
      </c>
      <c r="J26" s="32">
        <f>[1]June_2026!$Q30</f>
        <v>235.58122743682313</v>
      </c>
      <c r="K26" s="32">
        <f>[1]June_2026!$F30</f>
        <v>750</v>
      </c>
      <c r="L26" s="999"/>
      <c r="M26" s="169">
        <f>[2]Jun!$G30</f>
        <v>2.0277777777777777</v>
      </c>
      <c r="N26" s="32">
        <f>[1]June_2026!$M30</f>
        <v>207</v>
      </c>
      <c r="O26" s="406">
        <f>[2]Jun!$I30</f>
        <v>27</v>
      </c>
      <c r="P26" s="32">
        <f>[1]June_2026!$I30</f>
        <v>0</v>
      </c>
      <c r="Q26" s="608">
        <f>[1]June_2026!$P30</f>
        <v>2.444142430008144</v>
      </c>
      <c r="R26" s="1020"/>
      <c r="S26" s="651">
        <f t="shared" si="2"/>
        <v>0.61417411764705876</v>
      </c>
      <c r="T26" s="1020"/>
      <c r="U26" s="1165" t="s">
        <v>1201</v>
      </c>
      <c r="V26" s="1164"/>
      <c r="W26" s="1164"/>
      <c r="X26" s="1164"/>
      <c r="Y26" s="1164"/>
      <c r="Z26" s="1164"/>
      <c r="AA26" s="1164"/>
    </row>
    <row r="27" spans="2:27" s="19" customFormat="1" ht="87.75" hidden="1" customHeight="1" thickBot="1" x14ac:dyDescent="0.25">
      <c r="B27" s="168"/>
      <c r="C27" s="26"/>
      <c r="D27" s="27"/>
      <c r="E27" s="28"/>
      <c r="F27" s="369"/>
      <c r="G27" s="30"/>
      <c r="H27" s="369"/>
      <c r="I27" s="31"/>
      <c r="J27" s="32"/>
      <c r="K27" s="32"/>
      <c r="L27" s="965"/>
      <c r="M27" s="169"/>
      <c r="N27" s="32"/>
      <c r="O27" s="406"/>
      <c r="P27" s="32"/>
      <c r="Q27" s="608"/>
      <c r="R27" s="995"/>
      <c r="S27" s="651"/>
      <c r="T27" s="995"/>
      <c r="U27" s="1165"/>
      <c r="V27" s="1164"/>
      <c r="W27" s="1164"/>
      <c r="X27" s="1164"/>
      <c r="Y27" s="1164"/>
      <c r="Z27" s="1164"/>
      <c r="AA27" s="1164"/>
    </row>
    <row r="28" spans="2:27" s="19" customFormat="1" ht="135" hidden="1" customHeight="1" thickBot="1" x14ac:dyDescent="0.25">
      <c r="B28" s="168"/>
      <c r="C28" s="26"/>
      <c r="D28" s="27"/>
      <c r="E28" s="28"/>
      <c r="F28" s="369"/>
      <c r="G28" s="30"/>
      <c r="H28" s="369"/>
      <c r="I28" s="31"/>
      <c r="J28" s="32"/>
      <c r="K28" s="32"/>
      <c r="L28" s="635"/>
      <c r="M28" s="169"/>
      <c r="N28" s="32"/>
      <c r="O28" s="406"/>
      <c r="P28" s="32"/>
      <c r="Q28" s="608"/>
      <c r="R28" s="1020"/>
      <c r="S28" s="651"/>
      <c r="T28" s="1020"/>
      <c r="U28" s="1165"/>
      <c r="V28" s="1164"/>
      <c r="W28" s="1164"/>
      <c r="X28" s="1164"/>
      <c r="Y28" s="1164"/>
      <c r="Z28" s="1164"/>
      <c r="AA28" s="1164"/>
    </row>
    <row r="29" spans="2:27" s="19" customFormat="1" ht="73.5" hidden="1" customHeight="1" thickBot="1" x14ac:dyDescent="0.25">
      <c r="B29" s="168"/>
      <c r="C29" s="26"/>
      <c r="D29" s="27"/>
      <c r="E29" s="28"/>
      <c r="F29" s="369"/>
      <c r="G29" s="30"/>
      <c r="H29" s="369"/>
      <c r="I29" s="31"/>
      <c r="J29" s="32"/>
      <c r="K29" s="32"/>
      <c r="L29" s="965"/>
      <c r="M29" s="169"/>
      <c r="N29" s="32"/>
      <c r="O29" s="406"/>
      <c r="P29" s="32"/>
      <c r="Q29" s="608"/>
      <c r="R29" s="995"/>
      <c r="S29" s="651"/>
      <c r="T29" s="995"/>
      <c r="U29" s="1165"/>
      <c r="V29" s="1164"/>
      <c r="W29" s="1164"/>
      <c r="X29" s="1164"/>
      <c r="Y29" s="1164"/>
      <c r="Z29" s="1164"/>
      <c r="AA29" s="1164"/>
    </row>
    <row r="30" spans="2:27" s="19" customFormat="1" ht="42.75" hidden="1" customHeight="1" thickBot="1" x14ac:dyDescent="0.25">
      <c r="B30" s="168"/>
      <c r="C30" s="26"/>
      <c r="D30" s="27"/>
      <c r="E30" s="28"/>
      <c r="F30" s="369"/>
      <c r="G30" s="30"/>
      <c r="H30" s="369"/>
      <c r="I30" s="31"/>
      <c r="J30" s="32"/>
      <c r="K30" s="32"/>
      <c r="L30" s="966"/>
      <c r="M30" s="169"/>
      <c r="N30" s="32"/>
      <c r="O30" s="406"/>
      <c r="P30" s="32"/>
      <c r="Q30" s="608"/>
      <c r="R30" s="996"/>
      <c r="S30" s="651"/>
      <c r="T30" s="996"/>
      <c r="U30" s="1165"/>
      <c r="V30" s="1164"/>
      <c r="W30" s="1164"/>
      <c r="X30" s="1164"/>
      <c r="Y30" s="1164"/>
      <c r="Z30" s="1164"/>
      <c r="AA30" s="1164"/>
    </row>
    <row r="31" spans="2:27" s="19" customFormat="1" ht="69.75" hidden="1" customHeight="1" thickBot="1" x14ac:dyDescent="0.25">
      <c r="B31" s="168"/>
      <c r="C31" s="26"/>
      <c r="D31" s="27"/>
      <c r="E31" s="28"/>
      <c r="F31" s="369"/>
      <c r="G31" s="30"/>
      <c r="H31" s="369"/>
      <c r="I31" s="31"/>
      <c r="J31" s="32"/>
      <c r="K31" s="32"/>
      <c r="L31" s="635"/>
      <c r="M31" s="169"/>
      <c r="N31" s="32"/>
      <c r="O31" s="406"/>
      <c r="P31" s="32"/>
      <c r="Q31" s="608"/>
      <c r="R31" s="1020"/>
      <c r="S31" s="651"/>
      <c r="T31" s="1020"/>
      <c r="U31" s="1165"/>
      <c r="V31" s="1164"/>
      <c r="W31" s="1164"/>
      <c r="X31" s="1164"/>
      <c r="Y31" s="1164"/>
      <c r="Z31" s="1164"/>
      <c r="AA31" s="1164"/>
    </row>
    <row r="32" spans="2:27" s="19" customFormat="1" ht="107.25" hidden="1" customHeight="1" thickBot="1" x14ac:dyDescent="0.25">
      <c r="B32" s="168"/>
      <c r="C32" s="26"/>
      <c r="D32" s="27"/>
      <c r="E32" s="28"/>
      <c r="F32" s="369"/>
      <c r="G32" s="30"/>
      <c r="H32" s="369"/>
      <c r="I32" s="31"/>
      <c r="J32" s="32"/>
      <c r="K32" s="32"/>
      <c r="L32" s="843"/>
      <c r="M32" s="169"/>
      <c r="N32" s="32"/>
      <c r="O32" s="406"/>
      <c r="P32" s="32"/>
      <c r="Q32" s="608"/>
      <c r="R32" s="995"/>
      <c r="S32" s="651"/>
      <c r="T32" s="995"/>
      <c r="U32" s="1165"/>
      <c r="V32" s="1164"/>
      <c r="W32" s="1164"/>
      <c r="X32" s="1164"/>
      <c r="Y32" s="1164"/>
      <c r="Z32" s="1164"/>
      <c r="AA32" s="1164"/>
    </row>
    <row r="33" spans="2:27" s="19" customFormat="1" ht="62.25" hidden="1" customHeight="1" thickBot="1" x14ac:dyDescent="0.25">
      <c r="B33" s="168"/>
      <c r="C33" s="26"/>
      <c r="D33" s="27"/>
      <c r="E33" s="28"/>
      <c r="F33" s="369"/>
      <c r="G33" s="30"/>
      <c r="H33" s="369"/>
      <c r="I33" s="31"/>
      <c r="J33" s="32"/>
      <c r="K33" s="32"/>
      <c r="L33" s="843"/>
      <c r="M33" s="169"/>
      <c r="N33" s="32"/>
      <c r="O33" s="406"/>
      <c r="P33" s="32"/>
      <c r="Q33" s="608"/>
      <c r="R33" s="1020"/>
      <c r="S33" s="651"/>
      <c r="T33" s="1020"/>
      <c r="U33" s="1165"/>
      <c r="V33" s="1164"/>
      <c r="W33" s="1164"/>
      <c r="X33" s="1164"/>
      <c r="Y33" s="1164"/>
      <c r="Z33" s="1164"/>
      <c r="AA33" s="1164"/>
    </row>
    <row r="34" spans="2:27" s="19" customFormat="1" ht="107.25" hidden="1" customHeight="1" thickBot="1" x14ac:dyDescent="0.25">
      <c r="B34" s="168"/>
      <c r="C34" s="26"/>
      <c r="D34" s="27"/>
      <c r="E34" s="28"/>
      <c r="F34" s="369"/>
      <c r="G34" s="30"/>
      <c r="H34" s="369"/>
      <c r="I34" s="31"/>
      <c r="J34" s="32"/>
      <c r="K34" s="32"/>
      <c r="L34" s="799"/>
      <c r="M34" s="169"/>
      <c r="N34" s="32"/>
      <c r="O34" s="406"/>
      <c r="P34" s="32"/>
      <c r="Q34" s="608"/>
      <c r="R34" s="653"/>
      <c r="S34" s="651"/>
      <c r="T34" s="653"/>
      <c r="U34" s="1165"/>
      <c r="V34" s="1164"/>
      <c r="W34" s="1164"/>
      <c r="X34" s="1164"/>
      <c r="Y34" s="1164"/>
      <c r="Z34" s="1164"/>
      <c r="AA34" s="1164"/>
    </row>
    <row r="35" spans="2:27" s="19" customFormat="1" ht="52.15" hidden="1" customHeight="1" thickBot="1" x14ac:dyDescent="0.25">
      <c r="B35" s="168"/>
      <c r="C35" s="26"/>
      <c r="D35" s="27"/>
      <c r="E35" s="28"/>
      <c r="F35" s="369"/>
      <c r="G35" s="30"/>
      <c r="H35" s="369"/>
      <c r="I35" s="31"/>
      <c r="J35" s="32"/>
      <c r="K35" s="32"/>
      <c r="L35" s="843"/>
      <c r="M35" s="169"/>
      <c r="N35" s="32"/>
      <c r="O35" s="406"/>
      <c r="P35" s="32"/>
      <c r="Q35" s="608"/>
      <c r="R35" s="995"/>
      <c r="S35" s="651"/>
      <c r="T35" s="995"/>
      <c r="U35" s="1165"/>
      <c r="V35" s="1164"/>
      <c r="W35" s="1164"/>
      <c r="X35" s="1164"/>
      <c r="Y35" s="1164"/>
      <c r="Z35" s="1164"/>
      <c r="AA35" s="1164"/>
    </row>
    <row r="36" spans="2:27" s="19" customFormat="1" ht="145.15" hidden="1" customHeight="1" thickBot="1" x14ac:dyDescent="0.25">
      <c r="B36" s="168"/>
      <c r="C36" s="26"/>
      <c r="D36" s="27"/>
      <c r="E36" s="28"/>
      <c r="F36" s="369"/>
      <c r="G36" s="30"/>
      <c r="H36" s="369"/>
      <c r="I36" s="31"/>
      <c r="J36" s="32"/>
      <c r="K36" s="32"/>
      <c r="L36" s="843"/>
      <c r="M36" s="169"/>
      <c r="N36" s="32"/>
      <c r="O36" s="406"/>
      <c r="P36" s="32"/>
      <c r="Q36" s="608"/>
      <c r="R36" s="1020"/>
      <c r="S36" s="651"/>
      <c r="T36" s="1020"/>
      <c r="U36" s="1165"/>
      <c r="V36" s="1164"/>
      <c r="W36" s="1164"/>
      <c r="X36" s="1164"/>
      <c r="Y36" s="1164"/>
      <c r="Z36" s="1164"/>
      <c r="AA36" s="1164"/>
    </row>
    <row r="37" spans="2:27" s="19" customFormat="1" ht="37.15" hidden="1" customHeight="1" thickBot="1" x14ac:dyDescent="0.25">
      <c r="B37" s="168"/>
      <c r="C37" s="26"/>
      <c r="D37" s="27"/>
      <c r="E37" s="28"/>
      <c r="F37" s="369"/>
      <c r="G37" s="30"/>
      <c r="H37" s="369"/>
      <c r="I37" s="31"/>
      <c r="J37" s="32"/>
      <c r="K37" s="32"/>
      <c r="L37" s="965"/>
      <c r="M37" s="169"/>
      <c r="N37" s="32"/>
      <c r="O37" s="406"/>
      <c r="P37" s="32"/>
      <c r="Q37" s="608"/>
      <c r="R37" s="995"/>
      <c r="S37" s="651"/>
      <c r="T37" s="1172"/>
      <c r="U37" s="1165"/>
      <c r="V37" s="1164"/>
      <c r="W37" s="1164"/>
      <c r="X37" s="1164"/>
      <c r="Y37" s="1164"/>
      <c r="Z37" s="1164"/>
      <c r="AA37" s="1164"/>
    </row>
    <row r="38" spans="2:27" s="19" customFormat="1" ht="166.15" hidden="1" customHeight="1" thickBot="1" x14ac:dyDescent="0.25">
      <c r="B38" s="168"/>
      <c r="C38" s="26"/>
      <c r="D38" s="27"/>
      <c r="E38" s="28"/>
      <c r="F38" s="964"/>
      <c r="G38" s="30"/>
      <c r="H38" s="964"/>
      <c r="I38" s="31"/>
      <c r="J38" s="32"/>
      <c r="K38" s="32"/>
      <c r="L38" s="966"/>
      <c r="M38" s="169"/>
      <c r="N38" s="32"/>
      <c r="O38" s="406"/>
      <c r="P38" s="32"/>
      <c r="Q38" s="842"/>
      <c r="R38" s="996"/>
      <c r="S38" s="651"/>
      <c r="T38" s="1173"/>
      <c r="U38" s="1165"/>
      <c r="V38" s="1164"/>
      <c r="W38" s="1164"/>
      <c r="X38" s="1164"/>
      <c r="Y38" s="1164"/>
      <c r="Z38" s="1164"/>
      <c r="AA38" s="1164"/>
    </row>
    <row r="39" spans="2:27" s="19" customFormat="1" ht="58.9" hidden="1" customHeight="1" thickBot="1" x14ac:dyDescent="0.25">
      <c r="B39" s="168"/>
      <c r="C39" s="26"/>
      <c r="D39" s="27"/>
      <c r="E39" s="28"/>
      <c r="F39" s="969"/>
      <c r="G39" s="30"/>
      <c r="H39" s="969"/>
      <c r="I39" s="31"/>
      <c r="J39" s="32"/>
      <c r="K39" s="32"/>
      <c r="L39" s="966"/>
      <c r="M39" s="169"/>
      <c r="N39" s="32"/>
      <c r="O39" s="406"/>
      <c r="P39" s="32"/>
      <c r="Q39" s="967"/>
      <c r="R39" s="996"/>
      <c r="S39" s="651"/>
      <c r="T39" s="1173"/>
      <c r="U39" s="1165"/>
      <c r="V39" s="1164"/>
      <c r="W39" s="1164"/>
      <c r="X39" s="1164"/>
      <c r="Y39" s="1164"/>
      <c r="Z39" s="1164"/>
      <c r="AA39" s="1164"/>
    </row>
    <row r="40" spans="2:27" s="19" customFormat="1" ht="50.45" hidden="1" customHeight="1" thickBot="1" x14ac:dyDescent="0.25">
      <c r="B40" s="168"/>
      <c r="C40" s="26"/>
      <c r="D40" s="27"/>
      <c r="E40" s="28"/>
      <c r="F40" s="871"/>
      <c r="G40" s="30"/>
      <c r="H40" s="871"/>
      <c r="I40" s="31"/>
      <c r="J40" s="32"/>
      <c r="K40" s="32"/>
      <c r="L40" s="966"/>
      <c r="M40" s="169"/>
      <c r="N40" s="32"/>
      <c r="O40" s="406"/>
      <c r="P40" s="32"/>
      <c r="Q40" s="968"/>
      <c r="R40" s="1020"/>
      <c r="S40" s="651"/>
      <c r="T40" s="1173"/>
      <c r="U40" s="1165"/>
      <c r="V40" s="1164"/>
      <c r="W40" s="1164"/>
      <c r="X40" s="1164"/>
      <c r="Y40" s="1164"/>
      <c r="Z40" s="1164"/>
      <c r="AA40" s="1164"/>
    </row>
    <row r="41" spans="2:27" s="19" customFormat="1" ht="54.75" hidden="1" customHeight="1" thickBot="1" x14ac:dyDescent="0.25">
      <c r="B41" s="168"/>
      <c r="C41" s="26"/>
      <c r="D41" s="27"/>
      <c r="E41" s="28"/>
      <c r="F41" s="964"/>
      <c r="G41" s="30"/>
      <c r="H41" s="964"/>
      <c r="I41" s="31"/>
      <c r="J41" s="32"/>
      <c r="K41" s="650"/>
      <c r="L41" s="843"/>
      <c r="M41" s="836"/>
      <c r="N41" s="32"/>
      <c r="O41" s="406"/>
      <c r="P41" s="32"/>
      <c r="Q41" s="842"/>
      <c r="R41" s="995"/>
      <c r="S41" s="651"/>
      <c r="T41" s="995"/>
      <c r="U41" s="1165"/>
      <c r="V41" s="1164"/>
      <c r="W41" s="1164"/>
      <c r="X41" s="1164"/>
      <c r="Y41" s="1164"/>
      <c r="Z41" s="1164"/>
      <c r="AA41" s="1164"/>
    </row>
    <row r="42" spans="2:27" s="19" customFormat="1" ht="54.75" hidden="1" customHeight="1" thickBot="1" x14ac:dyDescent="0.25">
      <c r="B42" s="168"/>
      <c r="C42" s="26"/>
      <c r="D42" s="27"/>
      <c r="E42" s="28"/>
      <c r="F42" s="871"/>
      <c r="G42" s="30"/>
      <c r="H42" s="871"/>
      <c r="I42" s="31"/>
      <c r="J42" s="32"/>
      <c r="K42" s="650"/>
      <c r="L42" s="843"/>
      <c r="M42" s="836"/>
      <c r="N42" s="32"/>
      <c r="O42" s="406"/>
      <c r="P42" s="32"/>
      <c r="Q42" s="968"/>
      <c r="R42" s="996"/>
      <c r="S42" s="651"/>
      <c r="T42" s="996"/>
      <c r="U42" s="1165"/>
      <c r="V42" s="1164"/>
      <c r="W42" s="1164"/>
      <c r="X42" s="1164"/>
      <c r="Y42" s="1164"/>
      <c r="Z42" s="1164"/>
      <c r="AA42" s="1164"/>
    </row>
    <row r="43" spans="2:27" s="19" customFormat="1" ht="97.5" hidden="1" customHeight="1" thickBot="1" x14ac:dyDescent="0.25">
      <c r="B43" s="168"/>
      <c r="C43" s="26"/>
      <c r="D43" s="27"/>
      <c r="E43" s="28"/>
      <c r="F43" s="369"/>
      <c r="G43" s="30"/>
      <c r="H43" s="369"/>
      <c r="I43" s="31"/>
      <c r="J43" s="32"/>
      <c r="K43" s="650"/>
      <c r="L43" s="843"/>
      <c r="M43" s="836"/>
      <c r="N43" s="32"/>
      <c r="O43" s="406"/>
      <c r="P43" s="32"/>
      <c r="Q43" s="840"/>
      <c r="R43" s="1020"/>
      <c r="S43" s="651"/>
      <c r="T43" s="1020"/>
      <c r="U43" s="1165"/>
      <c r="V43" s="1164"/>
      <c r="W43" s="1164"/>
      <c r="X43" s="1164"/>
      <c r="Y43" s="1164"/>
      <c r="Z43" s="1164"/>
      <c r="AA43" s="1164"/>
    </row>
    <row r="44" spans="2:27" s="19" customFormat="1" ht="69" hidden="1" customHeight="1" thickBot="1" x14ac:dyDescent="0.25">
      <c r="B44" s="168"/>
      <c r="C44" s="26"/>
      <c r="D44" s="27"/>
      <c r="E44" s="28"/>
      <c r="F44" s="369"/>
      <c r="G44" s="30"/>
      <c r="H44" s="369"/>
      <c r="I44" s="31"/>
      <c r="J44" s="32"/>
      <c r="K44" s="650"/>
      <c r="L44" s="965"/>
      <c r="M44" s="836"/>
      <c r="N44" s="32"/>
      <c r="O44" s="406"/>
      <c r="P44" s="32"/>
      <c r="Q44" s="840"/>
      <c r="R44" s="995"/>
      <c r="S44" s="651"/>
      <c r="T44" s="995"/>
      <c r="U44" s="1165"/>
      <c r="V44" s="1164"/>
      <c r="W44" s="1164"/>
      <c r="X44" s="1164"/>
      <c r="Y44" s="1164"/>
      <c r="Z44" s="1164"/>
      <c r="AA44" s="1164"/>
    </row>
    <row r="45" spans="2:27" s="19" customFormat="1" ht="99" hidden="1" customHeight="1" thickBot="1" x14ac:dyDescent="0.25">
      <c r="B45" s="168"/>
      <c r="C45" s="26"/>
      <c r="D45" s="27"/>
      <c r="E45" s="28"/>
      <c r="F45" s="369"/>
      <c r="G45" s="30"/>
      <c r="H45" s="369"/>
      <c r="I45" s="31"/>
      <c r="J45" s="32"/>
      <c r="K45" s="650"/>
      <c r="L45" s="635"/>
      <c r="M45" s="836"/>
      <c r="N45" s="32"/>
      <c r="O45" s="406"/>
      <c r="P45" s="32"/>
      <c r="Q45" s="840"/>
      <c r="R45" s="1020"/>
      <c r="S45" s="651"/>
      <c r="T45" s="1020"/>
      <c r="U45" s="1165"/>
      <c r="V45" s="1164"/>
      <c r="W45" s="1164"/>
      <c r="X45" s="1164"/>
      <c r="Y45" s="1164"/>
      <c r="Z45" s="1164"/>
      <c r="AA45" s="1164"/>
    </row>
    <row r="46" spans="2:27" s="19" customFormat="1" ht="20.25" hidden="1" customHeight="1" thickBot="1" x14ac:dyDescent="0.25">
      <c r="B46" s="168">
        <f>[7]June_2025!$B50</f>
        <v>0</v>
      </c>
      <c r="C46" s="26">
        <f>[7]June_2025!$D50</f>
        <v>0</v>
      </c>
      <c r="D46" s="27"/>
      <c r="E46" s="28">
        <f>[8]Jun!$E50</f>
        <v>0</v>
      </c>
      <c r="F46" s="369">
        <f>[7]June_2025!$J50</f>
        <v>0</v>
      </c>
      <c r="G46" s="30">
        <f>[7]June_2025!$G50</f>
        <v>0</v>
      </c>
      <c r="H46" s="369">
        <f>[7]June_2025!K50</f>
        <v>0</v>
      </c>
      <c r="I46" s="31">
        <f>[7]June_2025!$N50</f>
        <v>0</v>
      </c>
      <c r="J46" s="32"/>
      <c r="K46" s="650">
        <f>[7]June_2025!$F50</f>
        <v>0</v>
      </c>
      <c r="L46" s="843"/>
      <c r="M46" s="169"/>
      <c r="N46" s="32"/>
      <c r="O46" s="406"/>
      <c r="P46" s="32"/>
      <c r="Q46" s="842"/>
      <c r="R46" s="841"/>
      <c r="S46" s="546"/>
      <c r="T46" s="841"/>
      <c r="U46" s="1165"/>
      <c r="V46" s="1164"/>
      <c r="W46" s="1164"/>
      <c r="X46" s="1164"/>
      <c r="Y46" s="1164"/>
      <c r="Z46" s="1164"/>
      <c r="AA46" s="1164"/>
    </row>
    <row r="47" spans="2:27" s="19" customFormat="1" ht="20.25" hidden="1" customHeight="1" x14ac:dyDescent="0.2">
      <c r="B47" s="168">
        <f>[7]June_2025!$B51</f>
        <v>0</v>
      </c>
      <c r="C47" s="26">
        <f>[7]June_2025!$D51</f>
        <v>0</v>
      </c>
      <c r="D47" s="27"/>
      <c r="E47" s="28">
        <f>[8]Jun!$E51</f>
        <v>0</v>
      </c>
      <c r="F47" s="369">
        <f>[7]June_2025!$J51</f>
        <v>0</v>
      </c>
      <c r="G47" s="30">
        <f>[7]June_2025!$G51</f>
        <v>0</v>
      </c>
      <c r="H47" s="369">
        <f>[7]June_2025!K51</f>
        <v>0</v>
      </c>
      <c r="I47" s="31">
        <f>[7]June_2025!$N51</f>
        <v>0</v>
      </c>
      <c r="J47" s="32"/>
      <c r="K47" s="650">
        <f>[7]June_2025!$F51</f>
        <v>0</v>
      </c>
      <c r="L47" s="464"/>
      <c r="M47" s="169"/>
      <c r="N47" s="32"/>
      <c r="O47" s="406"/>
      <c r="P47" s="32"/>
      <c r="Q47" s="842"/>
      <c r="R47" s="527"/>
      <c r="S47" s="546"/>
      <c r="T47" s="548"/>
      <c r="U47" s="1165"/>
      <c r="V47" s="1164"/>
      <c r="W47" s="1164"/>
      <c r="X47" s="1164"/>
      <c r="Y47" s="1164"/>
      <c r="Z47" s="1164"/>
      <c r="AA47" s="1164"/>
    </row>
    <row r="48" spans="2:27" s="19" customFormat="1" ht="20.25" hidden="1" customHeight="1" x14ac:dyDescent="0.2">
      <c r="B48" s="168">
        <f>[7]June_2025!$B52</f>
        <v>0</v>
      </c>
      <c r="C48" s="26">
        <f>[7]June_2025!$D52</f>
        <v>0</v>
      </c>
      <c r="D48" s="27"/>
      <c r="E48" s="28">
        <f>[8]Jun!$E52</f>
        <v>0</v>
      </c>
      <c r="F48" s="369">
        <f>[7]June_2025!$J52</f>
        <v>0</v>
      </c>
      <c r="G48" s="30">
        <f>[7]June_2025!$G52</f>
        <v>0</v>
      </c>
      <c r="H48" s="369">
        <f>[7]June_2025!K52</f>
        <v>0</v>
      </c>
      <c r="I48" s="31">
        <f>[7]June_2025!$N52</f>
        <v>0</v>
      </c>
      <c r="J48" s="32"/>
      <c r="K48" s="650">
        <f>[7]June_2025!$F52</f>
        <v>0</v>
      </c>
      <c r="L48" s="464"/>
      <c r="M48" s="169"/>
      <c r="N48" s="32"/>
      <c r="O48" s="406"/>
      <c r="P48" s="32"/>
      <c r="Q48" s="842"/>
      <c r="R48" s="527"/>
      <c r="S48" s="546"/>
      <c r="T48" s="548"/>
      <c r="U48" s="1165"/>
      <c r="V48" s="1164"/>
      <c r="W48" s="1164"/>
      <c r="X48" s="1164"/>
      <c r="Y48" s="1164"/>
      <c r="Z48" s="1164"/>
      <c r="AA48" s="1164"/>
    </row>
    <row r="49" spans="2:27" s="19" customFormat="1" ht="20.25" hidden="1" customHeight="1" x14ac:dyDescent="0.2">
      <c r="B49" s="168">
        <f>[7]June_2025!$B53</f>
        <v>0</v>
      </c>
      <c r="C49" s="26">
        <f>[7]June_2025!$D53</f>
        <v>0</v>
      </c>
      <c r="D49" s="27"/>
      <c r="E49" s="28">
        <f>[8]Jun!$E53</f>
        <v>0</v>
      </c>
      <c r="F49" s="369">
        <f>[7]June_2025!$J53</f>
        <v>0</v>
      </c>
      <c r="G49" s="30">
        <f>[7]June_2025!$G53</f>
        <v>0</v>
      </c>
      <c r="H49" s="369">
        <f>[7]June_2025!K53</f>
        <v>0</v>
      </c>
      <c r="I49" s="31">
        <f>[7]June_2025!$N53</f>
        <v>0</v>
      </c>
      <c r="J49" s="32"/>
      <c r="K49" s="650">
        <f>[7]June_2025!$F53</f>
        <v>0</v>
      </c>
      <c r="L49" s="464"/>
      <c r="M49" s="169"/>
      <c r="N49" s="32"/>
      <c r="O49" s="406"/>
      <c r="P49" s="32"/>
      <c r="Q49" s="842"/>
      <c r="R49" s="527"/>
      <c r="S49" s="546"/>
      <c r="T49" s="548"/>
      <c r="U49" s="1165"/>
      <c r="V49" s="1164"/>
      <c r="W49" s="1164"/>
      <c r="X49" s="1164"/>
      <c r="Y49" s="1164"/>
      <c r="Z49" s="1164"/>
      <c r="AA49" s="1164"/>
    </row>
    <row r="50" spans="2:27" s="19" customFormat="1" ht="20.25" hidden="1" customHeight="1" x14ac:dyDescent="0.2">
      <c r="B50" s="168"/>
      <c r="C50" s="26"/>
      <c r="D50" s="27"/>
      <c r="E50" s="28">
        <f>[8]Jun!$E54</f>
        <v>0</v>
      </c>
      <c r="F50" s="369">
        <f>[7]June_2025!$J54</f>
        <v>0</v>
      </c>
      <c r="G50" s="30">
        <f>[7]June_2025!$G54</f>
        <v>0</v>
      </c>
      <c r="H50" s="369">
        <f>[7]June_2025!K54</f>
        <v>0</v>
      </c>
      <c r="I50" s="31">
        <f>[7]June_2025!$N54</f>
        <v>0</v>
      </c>
      <c r="J50" s="32"/>
      <c r="K50" s="650">
        <f>[7]June_2025!$F54</f>
        <v>0</v>
      </c>
      <c r="L50" s="464"/>
      <c r="M50" s="169"/>
      <c r="N50" s="32"/>
      <c r="O50" s="406"/>
      <c r="P50" s="32"/>
      <c r="Q50" s="842"/>
      <c r="R50" s="527"/>
      <c r="S50" s="546"/>
      <c r="T50" s="548"/>
      <c r="U50" s="1165"/>
      <c r="V50" s="1164"/>
      <c r="W50" s="1164"/>
      <c r="X50" s="1164"/>
      <c r="Y50" s="1164"/>
      <c r="Z50" s="1164"/>
      <c r="AA50" s="1164"/>
    </row>
    <row r="51" spans="2:27" s="19" customFormat="1" ht="21" hidden="1" customHeight="1" thickBot="1" x14ac:dyDescent="0.25">
      <c r="B51" s="168"/>
      <c r="C51" s="26"/>
      <c r="D51" s="27"/>
      <c r="E51" s="28">
        <f>[8]Jun!$E55</f>
        <v>0</v>
      </c>
      <c r="F51" s="369">
        <f>[7]June_2025!$J55</f>
        <v>0</v>
      </c>
      <c r="G51" s="30">
        <f>[7]June_2025!$G55</f>
        <v>0</v>
      </c>
      <c r="H51" s="369">
        <f>[7]June_2025!K55</f>
        <v>0</v>
      </c>
      <c r="I51" s="31">
        <f>[7]June_2025!$N55</f>
        <v>0</v>
      </c>
      <c r="J51" s="32"/>
      <c r="K51" s="650">
        <f>[7]June_2025!$F55</f>
        <v>0</v>
      </c>
      <c r="L51" s="464"/>
      <c r="M51" s="169"/>
      <c r="N51" s="32"/>
      <c r="O51" s="406"/>
      <c r="P51" s="32"/>
      <c r="Q51" s="842"/>
      <c r="R51" s="527"/>
      <c r="S51" s="546"/>
      <c r="T51" s="548"/>
      <c r="U51" s="1165"/>
      <c r="V51" s="1164"/>
      <c r="W51" s="1164"/>
      <c r="X51" s="1164"/>
      <c r="Y51" s="1164"/>
      <c r="Z51" s="1164"/>
      <c r="AA51" s="1164"/>
    </row>
    <row r="52" spans="2:27" s="19" customFormat="1" ht="59.25" customHeight="1" thickBot="1" x14ac:dyDescent="0.25">
      <c r="B52" s="240" t="s">
        <v>3</v>
      </c>
      <c r="C52" s="241"/>
      <c r="D52" s="242">
        <f>SUM(D4:D51)</f>
        <v>43248</v>
      </c>
      <c r="E52" s="243">
        <f>AVERAGE(E4:E51)</f>
        <v>0.89937739463601507</v>
      </c>
      <c r="F52" s="244">
        <f>SUM(F4:F51)</f>
        <v>3694.4</v>
      </c>
      <c r="G52" s="242">
        <f>SUM(G4:G51)</f>
        <v>54388</v>
      </c>
      <c r="H52" s="244">
        <f>SUM(H4:H51)</f>
        <v>3617.538</v>
      </c>
      <c r="I52" s="245">
        <f>SUM(I4:I51)</f>
        <v>162.5</v>
      </c>
      <c r="J52" s="245">
        <f>G52/(L52/60)</f>
        <v>269.93796012904295</v>
      </c>
      <c r="K52" s="242">
        <f>SUM(K4:K51)</f>
        <v>8231</v>
      </c>
      <c r="L52" s="466">
        <f>SUM(L4:L51)</f>
        <v>12089</v>
      </c>
      <c r="M52" s="246">
        <f>AVERAGE(M4:M51)</f>
        <v>1.2790760869565219</v>
      </c>
      <c r="N52" s="242">
        <f>SUM(N4:N51)</f>
        <v>5749</v>
      </c>
      <c r="O52" s="245">
        <f>SUM(O4:O51)</f>
        <v>585</v>
      </c>
      <c r="P52" s="245">
        <f>SUM(P4:P51)</f>
        <v>52</v>
      </c>
      <c r="Q52" s="292">
        <f>(F52-H52)/F52</f>
        <v>2.0805002165439606E-2</v>
      </c>
      <c r="R52" s="556">
        <f>(G52)*24/((L52)/60)/$AC$3</f>
        <v>0.38108888488806064</v>
      </c>
      <c r="S52" s="556">
        <f>(G52)*24/((K52)/60)/$AC$3</f>
        <v>0.55971127802354081</v>
      </c>
      <c r="T52" s="559">
        <f>(11511-((N52)-[2]Jun!$H$57-[2]Jun!$I$57-[2]Jun!$J$57-[2]Jun!$K$57-[2]Jun!$L$57-[2]Jun!$M$57-[2]Jun!$N$57-[2]Jun!$Z$57-[2]Jun!$AA$57-[2]Jun!$AB$57-[2]Jun!$AC$57))/11511</f>
        <v>0.64599079141690552</v>
      </c>
      <c r="U52" s="1165"/>
      <c r="V52" s="1164"/>
      <c r="W52" s="1164"/>
      <c r="X52" s="1164"/>
      <c r="Y52" s="1164"/>
      <c r="Z52" s="1164"/>
      <c r="AA52" s="1164"/>
    </row>
    <row r="53" spans="2:27" s="709" customFormat="1" ht="65.099999999999994" customHeight="1" thickTop="1" x14ac:dyDescent="0.2">
      <c r="B53" s="698" t="s">
        <v>861</v>
      </c>
      <c r="C53" s="699"/>
      <c r="D53" s="700"/>
      <c r="E53" s="701"/>
      <c r="F53" s="702"/>
      <c r="G53" s="700"/>
      <c r="H53" s="702"/>
      <c r="I53" s="703"/>
      <c r="J53" s="703">
        <v>350</v>
      </c>
      <c r="K53" s="700"/>
      <c r="L53" s="700"/>
      <c r="M53" s="704"/>
      <c r="N53" s="700"/>
      <c r="O53" s="705"/>
      <c r="P53" s="706"/>
      <c r="Q53" s="707">
        <v>1.7999999999999999E-2</v>
      </c>
      <c r="R53" s="666">
        <v>0.56000000000000005</v>
      </c>
      <c r="S53" s="666">
        <v>0.66</v>
      </c>
      <c r="T53" s="667">
        <v>0.8</v>
      </c>
      <c r="U53" s="708"/>
      <c r="V53" s="708"/>
      <c r="W53" s="708"/>
      <c r="X53" s="708"/>
      <c r="Y53" s="708"/>
      <c r="Z53" s="708"/>
      <c r="AA53" s="708"/>
    </row>
    <row r="54" spans="2:27" s="271" customFormat="1" ht="49.5" customHeight="1" x14ac:dyDescent="0.3">
      <c r="B54" s="609"/>
      <c r="C54" s="609"/>
      <c r="D54" s="610"/>
      <c r="E54" s="611"/>
      <c r="F54" s="612"/>
      <c r="G54" s="610"/>
      <c r="H54" s="612"/>
      <c r="I54" s="613"/>
      <c r="J54" s="613"/>
      <c r="K54" s="610"/>
      <c r="L54" s="610"/>
      <c r="M54" s="614"/>
      <c r="N54" s="610"/>
      <c r="O54" s="615"/>
      <c r="P54" s="613"/>
      <c r="Q54" s="616"/>
      <c r="R54" s="607"/>
      <c r="S54" s="607"/>
      <c r="T54" s="617"/>
      <c r="U54" s="270"/>
      <c r="V54" s="270"/>
      <c r="W54" s="270"/>
      <c r="X54" s="270"/>
      <c r="Y54" s="270"/>
      <c r="Z54" s="270"/>
      <c r="AA54" s="270"/>
    </row>
    <row r="55" spans="2:27" s="271" customFormat="1" ht="49.5" customHeight="1" x14ac:dyDescent="0.3">
      <c r="B55" s="609"/>
      <c r="C55" s="609"/>
      <c r="D55" s="610"/>
      <c r="E55" s="611"/>
      <c r="F55" s="612"/>
      <c r="G55" s="610"/>
      <c r="H55" s="612"/>
      <c r="I55" s="613"/>
      <c r="J55" s="613"/>
      <c r="K55" s="610"/>
      <c r="L55" s="610"/>
      <c r="M55" s="614"/>
      <c r="N55" s="610"/>
      <c r="O55" s="615"/>
      <c r="P55" s="613" t="s">
        <v>845</v>
      </c>
      <c r="Q55" s="616"/>
      <c r="R55" s="607"/>
      <c r="S55" s="607"/>
      <c r="T55" s="617"/>
      <c r="U55" s="270"/>
      <c r="V55" s="270"/>
      <c r="W55" s="270"/>
      <c r="X55" s="270"/>
      <c r="Y55" s="270"/>
      <c r="Z55" s="270" t="s">
        <v>845</v>
      </c>
      <c r="AA55" s="270"/>
    </row>
    <row r="56" spans="2:27" s="1" customFormat="1" ht="23.25" x14ac:dyDescent="0.3">
      <c r="G56" s="470"/>
      <c r="H56" s="467"/>
      <c r="J56"/>
      <c r="K56"/>
      <c r="L56"/>
      <c r="M56"/>
      <c r="N56"/>
      <c r="O56" s="392"/>
      <c r="P56" s="2"/>
      <c r="R56"/>
      <c r="S56"/>
      <c r="U56"/>
    </row>
    <row r="57" spans="2:27" s="478" customFormat="1" ht="24.75" customHeight="1" x14ac:dyDescent="0.35">
      <c r="B57" s="489"/>
      <c r="C57" s="469" t="s">
        <v>849</v>
      </c>
      <c r="D57" s="818">
        <v>122850</v>
      </c>
      <c r="E57" s="1010" t="s">
        <v>565</v>
      </c>
      <c r="F57" s="1010"/>
      <c r="G57" s="470">
        <f>D57-G52</f>
        <v>68462</v>
      </c>
      <c r="H57" s="469" t="s">
        <v>327</v>
      </c>
      <c r="I57" s="471">
        <f>G52/D57</f>
        <v>0.4427187627187627</v>
      </c>
      <c r="J57" s="472">
        <v>0</v>
      </c>
      <c r="K57" s="473"/>
      <c r="L57" s="473"/>
      <c r="M57" s="473"/>
      <c r="N57" s="473"/>
      <c r="O57" s="473"/>
      <c r="P57" s="490"/>
      <c r="Q57" s="491"/>
      <c r="R57" s="492"/>
      <c r="S57" s="493"/>
      <c r="T57" s="493"/>
      <c r="U57" s="494" t="s">
        <v>48</v>
      </c>
    </row>
    <row r="58" spans="2:27" s="478" customFormat="1" ht="23.25" x14ac:dyDescent="0.35">
      <c r="B58" s="489"/>
      <c r="C58" s="469" t="s">
        <v>37</v>
      </c>
      <c r="D58" s="470">
        <f>May_26!D65+D57</f>
        <v>616739</v>
      </c>
      <c r="E58" s="1010" t="s">
        <v>36</v>
      </c>
      <c r="F58" s="1010"/>
      <c r="G58" s="470">
        <f>May_26!G65+G52</f>
        <v>641380</v>
      </c>
      <c r="H58" s="469" t="s">
        <v>326</v>
      </c>
      <c r="I58" s="474">
        <v>0</v>
      </c>
      <c r="J58" s="472"/>
      <c r="K58" s="473">
        <v>0</v>
      </c>
      <c r="L58" s="473"/>
      <c r="M58" s="473"/>
      <c r="N58" s="473"/>
      <c r="O58" s="473"/>
      <c r="P58" s="490"/>
      <c r="Q58" s="491"/>
      <c r="R58" s="492"/>
      <c r="S58" s="493"/>
      <c r="T58" s="493"/>
      <c r="U58" s="494"/>
    </row>
    <row r="59" spans="2:27" ht="24" thickBot="1" x14ac:dyDescent="0.4">
      <c r="C59" s="475"/>
      <c r="D59" s="470"/>
      <c r="E59" s="1010"/>
      <c r="F59" s="1010"/>
      <c r="G59" s="470"/>
      <c r="H59" s="476"/>
      <c r="I59" s="476"/>
      <c r="J59" s="477"/>
      <c r="K59" s="478"/>
      <c r="P59"/>
      <c r="U59" s="17"/>
    </row>
    <row r="60" spans="2:27" ht="82.5" thickTop="1" thickBot="1" x14ac:dyDescent="0.25">
      <c r="B60" s="7"/>
      <c r="C60" s="495" t="s">
        <v>19</v>
      </c>
      <c r="D60" s="496" t="s">
        <v>14</v>
      </c>
      <c r="E60" s="496" t="s">
        <v>23</v>
      </c>
      <c r="F60" s="496" t="s">
        <v>24</v>
      </c>
      <c r="G60" s="497" t="s">
        <v>15</v>
      </c>
      <c r="H60" s="496" t="s">
        <v>17</v>
      </c>
      <c r="I60" s="496" t="s">
        <v>16</v>
      </c>
      <c r="J60" s="498" t="s">
        <v>600</v>
      </c>
      <c r="K60" s="499" t="s">
        <v>599</v>
      </c>
      <c r="L60" s="473"/>
      <c r="M60" s="535"/>
      <c r="P60" s="459"/>
      <c r="Q60" s="537" t="s">
        <v>325</v>
      </c>
      <c r="R60" s="538" t="s">
        <v>467</v>
      </c>
      <c r="S60" s="539" t="s">
        <v>324</v>
      </c>
      <c r="T60" s="524" t="s">
        <v>576</v>
      </c>
    </row>
    <row r="61" spans="2:27" ht="36" customHeight="1" thickBot="1" x14ac:dyDescent="0.45">
      <c r="B61" s="8"/>
      <c r="C61" s="500">
        <v>1</v>
      </c>
      <c r="D61" s="501" t="s">
        <v>20</v>
      </c>
      <c r="E61" s="502"/>
      <c r="F61" s="502"/>
      <c r="G61" s="502"/>
      <c r="H61" s="502"/>
      <c r="I61" s="552" t="e">
        <f t="shared" ref="I61:I67" si="3">(G61-H61)/G61</f>
        <v>#DIV/0!</v>
      </c>
      <c r="J61" s="543" t="e">
        <f t="shared" ref="J61:J67" si="4">(E61)*24/(F61/60)/17000</f>
        <v>#DIV/0!</v>
      </c>
      <c r="K61" s="544" t="e">
        <f>AVERAGE(January_26!J111,February_26!J68,March_26!J66,April_26!J66,June_26!J61)</f>
        <v>#DIV/0!</v>
      </c>
      <c r="L61" s="473"/>
      <c r="P61"/>
      <c r="Q61" s="540">
        <f>S79</f>
        <v>1.9371566220872317E-2</v>
      </c>
      <c r="R61" s="558">
        <f>(((January_26!R103*January_26!G103))+(February_26!R60*(February_26!G60))+(March_26!R58*(March_26!G58))+(April_26!R57*(April_26!$G$57))+(May_26!R59*(May_26!G59))+(June_26!R52*(June_26!G52)))/G58</f>
        <v>0.37465465588706803</v>
      </c>
      <c r="S61" s="558">
        <f>S78</f>
        <v>0.49073832806598811</v>
      </c>
      <c r="T61" s="568">
        <f>AVERAGE(January_26!T103,February_26!T60,March_26!T58,April_26!T57,May_26!T59,T52)</f>
        <v>0.69230051490968414</v>
      </c>
    </row>
    <row r="62" spans="2:27" s="1" customFormat="1" ht="27.75" x14ac:dyDescent="0.4">
      <c r="B62" s="8"/>
      <c r="C62" s="505">
        <v>2</v>
      </c>
      <c r="D62" s="506" t="s">
        <v>21</v>
      </c>
      <c r="E62" s="502"/>
      <c r="F62" s="502"/>
      <c r="G62" s="502"/>
      <c r="H62" s="502"/>
      <c r="I62" s="552" t="e">
        <f t="shared" si="3"/>
        <v>#DIV/0!</v>
      </c>
      <c r="J62" s="543" t="e">
        <f t="shared" si="4"/>
        <v>#DIV/0!</v>
      </c>
      <c r="K62" s="544" t="e">
        <f>AVERAGE(January_26!J112,February_26!J68,March_26!J66,April_26!J66,May_26!J68,J62)</f>
        <v>#DIV/0!</v>
      </c>
      <c r="L62" s="473"/>
      <c r="M62"/>
      <c r="N62" s="461"/>
      <c r="O62" s="392"/>
      <c r="P62" s="2"/>
      <c r="R62"/>
      <c r="S62"/>
      <c r="U62"/>
      <c r="Z62"/>
    </row>
    <row r="63" spans="2:27" s="1" customFormat="1" ht="27.75" x14ac:dyDescent="0.4">
      <c r="B63" s="8"/>
      <c r="C63" s="500">
        <v>3</v>
      </c>
      <c r="D63" s="506" t="s">
        <v>846</v>
      </c>
      <c r="E63" s="502"/>
      <c r="F63" s="502"/>
      <c r="G63" s="534"/>
      <c r="H63" s="534"/>
      <c r="I63" s="552" t="e">
        <f t="shared" si="3"/>
        <v>#DIV/0!</v>
      </c>
      <c r="J63" s="543" t="e">
        <f t="shared" si="4"/>
        <v>#DIV/0!</v>
      </c>
      <c r="K63" s="544" t="e">
        <f>AVERAGE(J63)</f>
        <v>#DIV/0!</v>
      </c>
      <c r="L63" s="473"/>
      <c r="M63"/>
      <c r="N63"/>
      <c r="O63" s="392"/>
      <c r="P63" s="2"/>
      <c r="R63"/>
      <c r="S63"/>
      <c r="U63"/>
      <c r="Z63"/>
    </row>
    <row r="64" spans="2:27" s="1" customFormat="1" ht="27.75" x14ac:dyDescent="0.4">
      <c r="B64" s="8"/>
      <c r="C64" s="505">
        <v>4</v>
      </c>
      <c r="D64" s="506" t="s">
        <v>18</v>
      </c>
      <c r="E64" s="510"/>
      <c r="F64" s="510"/>
      <c r="G64" s="510"/>
      <c r="H64" s="510"/>
      <c r="I64" s="552" t="e">
        <f t="shared" si="3"/>
        <v>#DIV/0!</v>
      </c>
      <c r="J64" s="543" t="e">
        <f t="shared" si="4"/>
        <v>#DIV/0!</v>
      </c>
      <c r="K64" s="544" t="e">
        <f>AVERAGE(January_26!J114,February_26!J71,March_26!J69,May_26!J71,J64)</f>
        <v>#DIV/0!</v>
      </c>
      <c r="L64" s="473"/>
      <c r="M64"/>
      <c r="N64"/>
      <c r="O64" s="392"/>
      <c r="P64" s="2"/>
      <c r="Q64" s="159"/>
      <c r="R64" s="160"/>
      <c r="S64" s="161"/>
      <c r="T64" s="234"/>
      <c r="U64"/>
    </row>
    <row r="65" spans="2:25" s="1" customFormat="1" ht="27.75" x14ac:dyDescent="0.4">
      <c r="B65" s="8"/>
      <c r="C65" s="500">
        <v>5</v>
      </c>
      <c r="D65" s="509" t="s">
        <v>26</v>
      </c>
      <c r="E65" s="510"/>
      <c r="F65" s="510"/>
      <c r="G65" s="510"/>
      <c r="H65" s="510"/>
      <c r="I65" s="552" t="e">
        <f t="shared" si="3"/>
        <v>#DIV/0!</v>
      </c>
      <c r="J65" s="543" t="e">
        <f t="shared" si="4"/>
        <v>#DIV/0!</v>
      </c>
      <c r="K65" s="544" t="e">
        <f>AVERAGE(January_26!J115,February_26!J72,March_26!J70,May_26!J72,J65)</f>
        <v>#DIV/0!</v>
      </c>
      <c r="L65" s="473"/>
      <c r="M65"/>
      <c r="O65" s="392"/>
      <c r="P65" s="2"/>
      <c r="Q65" s="159"/>
      <c r="R65"/>
      <c r="S65" s="6"/>
      <c r="T65" s="10"/>
      <c r="U65"/>
    </row>
    <row r="66" spans="2:25" s="1" customFormat="1" ht="27.75" x14ac:dyDescent="0.4">
      <c r="B66" s="8"/>
      <c r="C66" s="505">
        <v>6</v>
      </c>
      <c r="D66" s="506" t="s">
        <v>25</v>
      </c>
      <c r="E66" s="510"/>
      <c r="F66" s="510"/>
      <c r="G66" s="510"/>
      <c r="H66" s="510"/>
      <c r="I66" s="552" t="e">
        <f t="shared" si="3"/>
        <v>#DIV/0!</v>
      </c>
      <c r="J66" s="543" t="e">
        <f>(E66)*24/(F66/60)/17000</f>
        <v>#DIV/0!</v>
      </c>
      <c r="K66" s="544" t="e">
        <f>AVERAGE(January_26!J116,March_26!J71,J66)</f>
        <v>#DIV/0!</v>
      </c>
      <c r="L66" s="473"/>
      <c r="M66"/>
      <c r="N66"/>
      <c r="O66" s="392"/>
      <c r="P66" s="2"/>
      <c r="Q66" s="159"/>
      <c r="R66" s="465"/>
      <c r="S66" s="139"/>
      <c r="U66"/>
    </row>
    <row r="67" spans="2:25" s="1" customFormat="1" ht="28.5" thickBot="1" x14ac:dyDescent="0.45">
      <c r="B67" s="8"/>
      <c r="C67" s="526">
        <v>7</v>
      </c>
      <c r="D67" s="509" t="s">
        <v>847</v>
      </c>
      <c r="E67" s="510"/>
      <c r="F67" s="510"/>
      <c r="G67" s="510"/>
      <c r="H67" s="510"/>
      <c r="I67" s="552" t="e">
        <f t="shared" si="3"/>
        <v>#DIV/0!</v>
      </c>
      <c r="J67" s="543" t="e">
        <f t="shared" si="4"/>
        <v>#DIV/0!</v>
      </c>
      <c r="K67" s="544" t="e">
        <f>AVERAGE(January_26!J117,February_26!J74,March_26!K72,J67)</f>
        <v>#DIV/0!</v>
      </c>
      <c r="L67" s="473"/>
      <c r="M67"/>
      <c r="N67"/>
      <c r="O67" s="392"/>
      <c r="P67" s="2"/>
      <c r="Q67" s="159"/>
      <c r="R67" s="465"/>
      <c r="S67" s="139"/>
      <c r="U67"/>
    </row>
    <row r="68" spans="2:25" s="1" customFormat="1" ht="28.5" thickBot="1" x14ac:dyDescent="0.45">
      <c r="C68" s="511"/>
      <c r="D68" s="512" t="s">
        <v>22</v>
      </c>
      <c r="E68" s="513">
        <f>SUM(E61:E67)</f>
        <v>0</v>
      </c>
      <c r="F68" s="513">
        <f>SUM(F61:F67)</f>
        <v>0</v>
      </c>
      <c r="G68" s="513">
        <f>SUM(G61:G67)</f>
        <v>0</v>
      </c>
      <c r="H68" s="513">
        <f>SUM(H61:H67)</f>
        <v>0</v>
      </c>
      <c r="I68" s="551" t="e">
        <f>((G68)-(H68))/(G68)</f>
        <v>#DIV/0!</v>
      </c>
      <c r="J68" s="514" t="e">
        <f>E68*24/((F68)/60)/17000</f>
        <v>#DIV/0!</v>
      </c>
      <c r="K68" s="515">
        <f>S61</f>
        <v>0.49073832806598811</v>
      </c>
      <c r="L68" s="473"/>
      <c r="M68"/>
      <c r="N68"/>
      <c r="O68" s="392"/>
      <c r="P68" s="139" t="s">
        <v>845</v>
      </c>
      <c r="Q68" s="159"/>
      <c r="R68"/>
      <c r="S68" s="465"/>
      <c r="U68"/>
    </row>
    <row r="69" spans="2:25" s="1" customFormat="1" ht="24" thickTop="1" x14ac:dyDescent="0.35">
      <c r="C69" s="479"/>
      <c r="D69" s="469"/>
      <c r="E69" s="480"/>
      <c r="F69" s="481"/>
      <c r="G69" s="482"/>
      <c r="H69" s="482"/>
      <c r="I69" s="483"/>
      <c r="J69" s="483"/>
      <c r="K69" s="483"/>
      <c r="L69" s="473"/>
      <c r="M69"/>
      <c r="N69"/>
      <c r="O69" s="392"/>
      <c r="P69" s="139"/>
      <c r="Q69" s="159"/>
      <c r="R69"/>
      <c r="S69"/>
      <c r="U69"/>
      <c r="V69" s="316"/>
      <c r="W69" s="317"/>
      <c r="X69" s="317"/>
      <c r="Y69" s="317"/>
    </row>
    <row r="70" spans="2:25" s="1" customFormat="1" ht="18" x14ac:dyDescent="0.25">
      <c r="C70" s="311"/>
      <c r="D70" s="153"/>
      <c r="E70" s="312"/>
      <c r="F70" s="313"/>
      <c r="G70" s="314"/>
      <c r="H70" s="314"/>
      <c r="I70" s="315"/>
      <c r="J70" s="315"/>
      <c r="K70" s="315"/>
      <c r="L70" s="315"/>
      <c r="M70"/>
      <c r="N70"/>
      <c r="O70" s="392"/>
      <c r="P70" s="139"/>
      <c r="Q70" s="159"/>
      <c r="R70"/>
      <c r="S70"/>
      <c r="U70"/>
      <c r="V70" s="316"/>
      <c r="W70" s="317"/>
      <c r="X70" s="317"/>
      <c r="Y70" s="317"/>
    </row>
    <row r="71" spans="2:25" s="1" customFormat="1" ht="27" customHeight="1" thickBot="1" x14ac:dyDescent="0.4">
      <c r="C71" s="311"/>
      <c r="D71" s="1125" t="s">
        <v>618</v>
      </c>
      <c r="E71" s="1125"/>
      <c r="F71" s="1125"/>
      <c r="G71" s="1125"/>
      <c r="H71" s="1125"/>
      <c r="I71" s="1125"/>
      <c r="J71" s="1125"/>
      <c r="K71" s="1125"/>
      <c r="L71" s="1125"/>
      <c r="M71" s="1125"/>
      <c r="N71" s="1125"/>
      <c r="O71" s="1125"/>
      <c r="P71" s="1125"/>
      <c r="Q71" s="1125"/>
      <c r="R71"/>
      <c r="S71"/>
      <c r="U71"/>
      <c r="V71" s="316"/>
      <c r="W71" s="317"/>
      <c r="X71" s="317"/>
      <c r="Y71" s="317"/>
    </row>
    <row r="72" spans="2:25" s="1" customFormat="1" ht="24" customHeight="1" thickBot="1" x14ac:dyDescent="0.4">
      <c r="C72" s="322"/>
      <c r="D72" s="332" t="s">
        <v>605</v>
      </c>
      <c r="E72" s="333" t="s">
        <v>606</v>
      </c>
      <c r="F72" s="334" t="s">
        <v>607</v>
      </c>
      <c r="G72" s="333" t="s">
        <v>608</v>
      </c>
      <c r="H72" s="334" t="s">
        <v>609</v>
      </c>
      <c r="I72" s="333" t="s">
        <v>610</v>
      </c>
      <c r="J72" s="334" t="s">
        <v>611</v>
      </c>
      <c r="K72" s="333" t="s">
        <v>612</v>
      </c>
      <c r="L72" s="333"/>
      <c r="M72" s="333" t="s">
        <v>613</v>
      </c>
      <c r="N72" s="333" t="s">
        <v>614</v>
      </c>
      <c r="O72" s="334" t="s">
        <v>615</v>
      </c>
      <c r="P72" s="335" t="s">
        <v>616</v>
      </c>
      <c r="Q72" s="329" t="s">
        <v>617</v>
      </c>
      <c r="R72"/>
      <c r="S72"/>
      <c r="U72"/>
    </row>
    <row r="73" spans="2:25" s="1" customFormat="1" ht="23.25" customHeight="1" x14ac:dyDescent="0.35">
      <c r="C73" s="330">
        <v>2016</v>
      </c>
      <c r="D73" s="324">
        <f>[6]Jan!$I$57</f>
        <v>7</v>
      </c>
      <c r="E73" s="325">
        <f>[6]Feb!$I$57</f>
        <v>9</v>
      </c>
      <c r="F73" s="326">
        <f>[6]Mar!$I$57</f>
        <v>8</v>
      </c>
      <c r="G73" s="325">
        <f>[6]Apr!$I$57</f>
        <v>12</v>
      </c>
      <c r="H73" s="326">
        <f>[6]May!$I$57</f>
        <v>11</v>
      </c>
      <c r="I73" s="325">
        <f>[6]Jun!$I$57</f>
        <v>10</v>
      </c>
      <c r="J73" s="326">
        <f>[6]Jul!$I$57</f>
        <v>12</v>
      </c>
      <c r="K73" s="325">
        <f>[6]Aug!$I$57</f>
        <v>9</v>
      </c>
      <c r="L73" s="325"/>
      <c r="M73" s="325">
        <f>[6]Sep!$I$57</f>
        <v>13</v>
      </c>
      <c r="N73" s="325">
        <f>[6]Oct!$I$57</f>
        <v>5</v>
      </c>
      <c r="O73" s="326">
        <f>[6]Nov!$I$57</f>
        <v>9</v>
      </c>
      <c r="P73" s="327">
        <f>[6]Dec!$I$57</f>
        <v>14</v>
      </c>
      <c r="Q73" s="328">
        <f>SUM(D73:P73)</f>
        <v>119</v>
      </c>
      <c r="R73"/>
      <c r="S73"/>
      <c r="U73"/>
    </row>
    <row r="74" spans="2:25" s="1" customFormat="1" ht="24" customHeight="1" thickBot="1" x14ac:dyDescent="0.4">
      <c r="C74" s="331">
        <v>2017</v>
      </c>
      <c r="D74" s="321">
        <f>[4]Jan!$I$57</f>
        <v>13</v>
      </c>
      <c r="E74" s="318">
        <f>[4]Feb!$I$57</f>
        <v>8</v>
      </c>
      <c r="F74" s="318">
        <f>[4]Mar!$I$57</f>
        <v>12</v>
      </c>
      <c r="G74" s="318">
        <f>[4]Apr!$I$57</f>
        <v>5</v>
      </c>
      <c r="H74" s="318">
        <f>[4]May!$I$57</f>
        <v>11</v>
      </c>
      <c r="I74" s="318">
        <f>[4]Jun!$I$57</f>
        <v>13</v>
      </c>
      <c r="J74" s="318">
        <f>[4]Jul!$I$57</f>
        <v>9</v>
      </c>
      <c r="K74" s="318">
        <f>[4]Aug!$I$57</f>
        <v>15</v>
      </c>
      <c r="L74" s="318"/>
      <c r="M74" s="318">
        <f>[4]Sep!$I$57</f>
        <v>8</v>
      </c>
      <c r="N74" s="318">
        <f>[4]Oct!$I$57</f>
        <v>12</v>
      </c>
      <c r="O74" s="318">
        <f>[4]Nov!$I$57</f>
        <v>18</v>
      </c>
      <c r="P74" s="398">
        <f>[4]Dec!$I$57</f>
        <v>14</v>
      </c>
      <c r="Q74" s="323">
        <f>SUM(D74:P74)</f>
        <v>138</v>
      </c>
      <c r="R74"/>
      <c r="S74"/>
      <c r="U74" s="9"/>
    </row>
    <row r="75" spans="2:25" s="1" customFormat="1" ht="20.25" customHeight="1" x14ac:dyDescent="0.3">
      <c r="C75" s="371" t="s">
        <v>619</v>
      </c>
      <c r="D75" s="372">
        <f>+(D74-D73)/D73</f>
        <v>0.8571428571428571</v>
      </c>
      <c r="E75" s="372">
        <f t="shared" ref="E75:P75" si="5">+(E74-E73)/E73</f>
        <v>-0.1111111111111111</v>
      </c>
      <c r="F75" s="372">
        <f t="shared" si="5"/>
        <v>0.5</v>
      </c>
      <c r="G75" s="372">
        <f t="shared" si="5"/>
        <v>-0.58333333333333337</v>
      </c>
      <c r="H75" s="372">
        <f t="shared" si="5"/>
        <v>0</v>
      </c>
      <c r="I75" s="372">
        <f t="shared" si="5"/>
        <v>0.3</v>
      </c>
      <c r="J75" s="372">
        <f t="shared" si="5"/>
        <v>-0.25</v>
      </c>
      <c r="K75" s="372">
        <f t="shared" si="5"/>
        <v>0.66666666666666663</v>
      </c>
      <c r="L75" s="372"/>
      <c r="M75" s="372">
        <f t="shared" si="5"/>
        <v>-0.38461538461538464</v>
      </c>
      <c r="N75" s="372">
        <f t="shared" si="5"/>
        <v>1.4</v>
      </c>
      <c r="O75" s="372">
        <f t="shared" si="5"/>
        <v>1</v>
      </c>
      <c r="P75" s="372">
        <f t="shared" si="5"/>
        <v>0</v>
      </c>
      <c r="Q75" s="373">
        <f>+(Q74-Q73)/Q73</f>
        <v>0.15966386554621848</v>
      </c>
      <c r="U75" s="9"/>
    </row>
    <row r="76" spans="2:25" s="1" customFormat="1" ht="12.75" customHeight="1" thickBot="1" x14ac:dyDescent="0.25">
      <c r="J76"/>
      <c r="K76"/>
      <c r="L76"/>
      <c r="M76"/>
      <c r="N76"/>
      <c r="O76" s="392"/>
      <c r="P76" s="2"/>
      <c r="U76" s="9"/>
    </row>
    <row r="77" spans="2:25" s="1" customFormat="1" ht="27.75" customHeight="1" thickBot="1" x14ac:dyDescent="0.3">
      <c r="C77" s="528"/>
      <c r="D77" s="528"/>
      <c r="E77" s="528"/>
      <c r="F77" s="528"/>
      <c r="G77" s="528"/>
      <c r="H77" s="528"/>
      <c r="I77" s="528"/>
      <c r="J77" s="529"/>
      <c r="K77" s="529"/>
      <c r="L77" s="529"/>
      <c r="M77" s="529"/>
      <c r="N77" s="529"/>
      <c r="O77" s="529"/>
      <c r="P77" s="530"/>
      <c r="Q77" s="528"/>
      <c r="R77"/>
      <c r="S77" s="128">
        <f>($P$78)*24/($Q$78/60)/17000</f>
        <v>0.49073832806598811</v>
      </c>
      <c r="U77" s="9"/>
    </row>
    <row r="78" spans="2:25" s="1" customFormat="1" ht="21" customHeight="1" thickTop="1" thickBot="1" x14ac:dyDescent="0.3">
      <c r="C78" s="528"/>
      <c r="D78" s="528"/>
      <c r="E78" s="528"/>
      <c r="F78" s="528"/>
      <c r="G78" s="528"/>
      <c r="H78" s="528"/>
      <c r="I78" s="528"/>
      <c r="J78" s="529"/>
      <c r="K78" s="529"/>
      <c r="L78" s="529"/>
      <c r="M78" s="529"/>
      <c r="N78" s="529"/>
      <c r="O78" s="529"/>
      <c r="P78" s="530">
        <f>G58</f>
        <v>641380</v>
      </c>
      <c r="Q78" s="531">
        <f>May_26!K59+April_26!K57+March_26!K58+February_26!K60+January_26!K103+K52</f>
        <v>110708</v>
      </c>
      <c r="R78"/>
      <c r="S78" s="128">
        <f>($P$78)*24/($Q$78/60)/17000</f>
        <v>0.49073832806598811</v>
      </c>
      <c r="U78" s="9"/>
    </row>
    <row r="79" spans="2:25" s="1" customFormat="1" ht="21" customHeight="1" thickTop="1" thickBot="1" x14ac:dyDescent="0.35">
      <c r="C79" s="528"/>
      <c r="D79" s="528"/>
      <c r="E79" s="528"/>
      <c r="F79" s="528"/>
      <c r="G79" s="528"/>
      <c r="H79" s="528"/>
      <c r="I79" s="528"/>
      <c r="J79" s="529"/>
      <c r="K79" s="529"/>
      <c r="L79" s="529"/>
      <c r="M79" s="529"/>
      <c r="N79" s="529"/>
      <c r="O79" s="529"/>
      <c r="P79" s="530">
        <f>May_26!F59+April_26!F57+March_26!F58+February_26!F60+January_26!F103+F52</f>
        <v>43475.175440000006</v>
      </c>
      <c r="Q79" s="532">
        <f>May_26!H59+April_26!H57+March_26!H58+February_26!H60+January_26!H103+H52</f>
        <v>42632.993200000004</v>
      </c>
      <c r="R79"/>
      <c r="S79" s="87">
        <f>(P79-Q79)/P79</f>
        <v>1.9371566220872317E-2</v>
      </c>
      <c r="T79" s="463"/>
      <c r="U79" s="9"/>
    </row>
    <row r="80" spans="2:25" s="1" customFormat="1" ht="13.5" customHeight="1" thickTop="1" x14ac:dyDescent="0.25">
      <c r="C80" s="528"/>
      <c r="D80" s="528"/>
      <c r="E80" s="528"/>
      <c r="F80" s="528"/>
      <c r="G80" s="528"/>
      <c r="H80" s="528"/>
      <c r="I80" s="528"/>
      <c r="J80" s="529"/>
      <c r="K80" s="529"/>
      <c r="L80" s="529"/>
      <c r="M80" s="529"/>
      <c r="N80" s="529"/>
      <c r="O80" s="529"/>
      <c r="P80" s="530"/>
      <c r="Q80" s="528"/>
      <c r="R80"/>
      <c r="S80"/>
      <c r="U80" s="9"/>
    </row>
    <row r="81" spans="2:21" s="1" customFormat="1" ht="20.25" customHeight="1" x14ac:dyDescent="0.2">
      <c r="C81" s="1174" t="s">
        <v>620</v>
      </c>
      <c r="D81" s="1174"/>
      <c r="E81" s="1174"/>
      <c r="F81" s="1174"/>
      <c r="G81" s="1174"/>
      <c r="H81" s="1174"/>
      <c r="I81" s="1174"/>
      <c r="J81" s="1174"/>
      <c r="K81" s="1174"/>
      <c r="L81" s="1174"/>
      <c r="M81" s="1174"/>
      <c r="N81" s="1174"/>
      <c r="O81" s="1174"/>
      <c r="P81" s="1174"/>
      <c r="Q81" s="1174"/>
      <c r="R81"/>
      <c r="S81"/>
      <c r="U81" s="9"/>
    </row>
    <row r="82" spans="2:21" s="1" customFormat="1" ht="21.75" customHeight="1" thickBot="1" x14ac:dyDescent="0.25">
      <c r="C82" s="1174"/>
      <c r="D82" s="1174"/>
      <c r="E82" s="1174"/>
      <c r="F82" s="1174"/>
      <c r="G82" s="1174"/>
      <c r="H82" s="1174"/>
      <c r="I82" s="1174"/>
      <c r="J82" s="1174"/>
      <c r="K82" s="1174"/>
      <c r="L82" s="1174"/>
      <c r="M82" s="1174"/>
      <c r="N82" s="1174"/>
      <c r="O82" s="1174"/>
      <c r="P82" s="1174"/>
      <c r="Q82" s="1174"/>
      <c r="R82"/>
      <c r="S82"/>
      <c r="U82" s="9"/>
    </row>
    <row r="83" spans="2:21" s="1" customFormat="1" ht="21" customHeight="1" thickBot="1" x14ac:dyDescent="0.35">
      <c r="C83" s="351"/>
      <c r="D83" s="352" t="s">
        <v>605</v>
      </c>
      <c r="E83" s="353" t="s">
        <v>606</v>
      </c>
      <c r="F83" s="353" t="s">
        <v>607</v>
      </c>
      <c r="G83" s="353" t="s">
        <v>608</v>
      </c>
      <c r="H83" s="353" t="s">
        <v>609</v>
      </c>
      <c r="I83" s="353" t="s">
        <v>610</v>
      </c>
      <c r="J83" s="353" t="s">
        <v>611</v>
      </c>
      <c r="K83" s="353" t="s">
        <v>612</v>
      </c>
      <c r="L83" s="353"/>
      <c r="M83" s="353" t="s">
        <v>613</v>
      </c>
      <c r="N83" s="353" t="s">
        <v>614</v>
      </c>
      <c r="O83" s="394" t="s">
        <v>615</v>
      </c>
      <c r="P83" s="354" t="s">
        <v>616</v>
      </c>
      <c r="Q83" s="355" t="s">
        <v>379</v>
      </c>
      <c r="R83"/>
      <c r="S83"/>
      <c r="U83" s="9"/>
    </row>
    <row r="84" spans="2:21" s="1" customFormat="1" ht="21" customHeight="1" thickBot="1" x14ac:dyDescent="0.35">
      <c r="C84" s="356">
        <v>2016</v>
      </c>
      <c r="D84" s="357">
        <v>257</v>
      </c>
      <c r="E84" s="358">
        <v>234</v>
      </c>
      <c r="F84" s="358">
        <v>300</v>
      </c>
      <c r="G84" s="358">
        <v>547</v>
      </c>
      <c r="H84" s="358">
        <v>196</v>
      </c>
      <c r="I84" s="358">
        <v>373</v>
      </c>
      <c r="J84" s="359">
        <f>[6]Jul!$I$54</f>
        <v>480</v>
      </c>
      <c r="K84" s="359">
        <f>[6]Aug!$I$54</f>
        <v>300</v>
      </c>
      <c r="L84" s="359"/>
      <c r="M84" s="359">
        <f>[6]Sep!$I$54</f>
        <v>370</v>
      </c>
      <c r="N84" s="359">
        <f>[6]Oct!$I$54</f>
        <v>74</v>
      </c>
      <c r="O84" s="359">
        <f>[6]Nov!$I54</f>
        <v>263</v>
      </c>
      <c r="P84" s="360">
        <f>[6]Dec!$I$54</f>
        <v>434</v>
      </c>
      <c r="Q84" s="361">
        <f>SUM(D84:K84)</f>
        <v>2687</v>
      </c>
      <c r="R84"/>
      <c r="S84"/>
      <c r="U84" s="9"/>
    </row>
    <row r="85" spans="2:21" s="1" customFormat="1" ht="21" customHeight="1" thickBot="1" x14ac:dyDescent="0.35">
      <c r="C85" s="362">
        <v>2017</v>
      </c>
      <c r="D85" s="363">
        <f>436</f>
        <v>436</v>
      </c>
      <c r="E85" s="364">
        <v>148</v>
      </c>
      <c r="F85" s="364">
        <f>316</f>
        <v>316</v>
      </c>
      <c r="G85" s="364">
        <v>314</v>
      </c>
      <c r="H85" s="364">
        <v>259</v>
      </c>
      <c r="I85" s="365">
        <f>[4]Jun!$I$54</f>
        <v>558</v>
      </c>
      <c r="J85" s="365">
        <f>[4]Jul!$I$54</f>
        <v>220</v>
      </c>
      <c r="K85" s="365">
        <f>[4]Aug!$I$54</f>
        <v>441</v>
      </c>
      <c r="L85" s="365"/>
      <c r="M85" s="365">
        <f>[4]Sep!$I$54</f>
        <v>191</v>
      </c>
      <c r="N85" s="365">
        <f>[4]Oct!$I$54</f>
        <v>592</v>
      </c>
      <c r="O85" s="365">
        <f>[4]Nov!$I$54</f>
        <v>543</v>
      </c>
      <c r="P85" s="366">
        <f>[4]Dec!$I$54</f>
        <v>647</v>
      </c>
      <c r="Q85" s="367">
        <f>SUM(D85:P85)</f>
        <v>4665</v>
      </c>
      <c r="R85"/>
      <c r="S85"/>
      <c r="U85" s="9"/>
    </row>
    <row r="86" spans="2:21" s="1" customFormat="1" ht="20.25" customHeight="1" x14ac:dyDescent="0.3">
      <c r="C86" s="371" t="s">
        <v>619</v>
      </c>
      <c r="D86" s="372">
        <f t="shared" ref="D86:P86" si="6">+(D85-D84)/D84</f>
        <v>0.69649805447470814</v>
      </c>
      <c r="E86" s="372">
        <f t="shared" si="6"/>
        <v>-0.36752136752136755</v>
      </c>
      <c r="F86" s="372">
        <f t="shared" si="6"/>
        <v>5.3333333333333337E-2</v>
      </c>
      <c r="G86" s="372">
        <f t="shared" si="6"/>
        <v>-0.42595978062157219</v>
      </c>
      <c r="H86" s="372">
        <f t="shared" si="6"/>
        <v>0.32142857142857145</v>
      </c>
      <c r="I86" s="372">
        <f t="shared" si="6"/>
        <v>0.49597855227882037</v>
      </c>
      <c r="J86" s="372">
        <f t="shared" si="6"/>
        <v>-0.54166666666666663</v>
      </c>
      <c r="K86" s="372">
        <f t="shared" si="6"/>
        <v>0.47</v>
      </c>
      <c r="L86" s="372"/>
      <c r="M86" s="372">
        <f t="shared" si="6"/>
        <v>-0.48378378378378378</v>
      </c>
      <c r="N86" s="372">
        <f t="shared" si="6"/>
        <v>7</v>
      </c>
      <c r="O86" s="372">
        <f t="shared" si="6"/>
        <v>1.064638783269962</v>
      </c>
      <c r="P86" s="372">
        <f t="shared" si="6"/>
        <v>0.49078341013824883</v>
      </c>
      <c r="Q86" s="373">
        <f>+(Q85-Q84)/Q84</f>
        <v>0.73613695571269078</v>
      </c>
      <c r="R86"/>
      <c r="S86"/>
      <c r="U86" s="9"/>
    </row>
    <row r="87" spans="2:21" s="1" customFormat="1" x14ac:dyDescent="0.2">
      <c r="J87"/>
      <c r="K87"/>
      <c r="L87"/>
      <c r="M87"/>
      <c r="N87"/>
      <c r="O87" s="392"/>
      <c r="P87" s="2"/>
      <c r="R87"/>
      <c r="S87"/>
      <c r="U87"/>
    </row>
    <row r="88" spans="2:21" s="1" customFormat="1" x14ac:dyDescent="0.2">
      <c r="J88"/>
      <c r="K88"/>
      <c r="L88"/>
      <c r="M88"/>
      <c r="N88"/>
      <c r="O88" s="392"/>
      <c r="P88" s="2"/>
      <c r="R88"/>
      <c r="S88"/>
      <c r="U88"/>
    </row>
    <row r="89" spans="2:21" s="1" customFormat="1" ht="24" thickBot="1" x14ac:dyDescent="0.4">
      <c r="C89" s="1133" t="s">
        <v>796</v>
      </c>
      <c r="D89" s="1133"/>
      <c r="E89" s="1133"/>
      <c r="J89"/>
      <c r="K89"/>
      <c r="L89"/>
      <c r="M89"/>
      <c r="N89"/>
      <c r="O89" s="392"/>
      <c r="P89" s="2"/>
      <c r="R89"/>
      <c r="S89"/>
      <c r="U89"/>
    </row>
    <row r="90" spans="2:21" s="1" customFormat="1" ht="18.75" thickBot="1" x14ac:dyDescent="0.3">
      <c r="C90" s="417" t="s">
        <v>778</v>
      </c>
      <c r="D90" s="418" t="s">
        <v>779</v>
      </c>
      <c r="E90" s="419" t="s">
        <v>780</v>
      </c>
      <c r="F90" s="419" t="s">
        <v>797</v>
      </c>
      <c r="J90"/>
      <c r="K90"/>
      <c r="L90"/>
      <c r="M90"/>
      <c r="N90"/>
      <c r="O90" s="392"/>
      <c r="P90" s="2"/>
      <c r="R90"/>
      <c r="S90"/>
      <c r="U90"/>
    </row>
    <row r="91" spans="2:21" s="1" customFormat="1" ht="18" x14ac:dyDescent="0.25">
      <c r="B91" s="316" t="s">
        <v>3</v>
      </c>
      <c r="C91" s="428">
        <f>[4]Dec!$C$58</f>
        <v>14</v>
      </c>
      <c r="D91" s="424">
        <f>[4]Dec!$D$58</f>
        <v>32</v>
      </c>
      <c r="E91" s="420">
        <f>[4]Dec!$E$58</f>
        <v>19</v>
      </c>
      <c r="F91" s="420">
        <f>[4]Dec!$I$55</f>
        <v>10.783333333333333</v>
      </c>
      <c r="J91"/>
      <c r="K91"/>
      <c r="L91"/>
      <c r="M91"/>
      <c r="N91"/>
      <c r="O91" s="392"/>
      <c r="P91" s="2"/>
      <c r="R91"/>
      <c r="S91"/>
      <c r="U91"/>
    </row>
    <row r="92" spans="2:21" s="1" customFormat="1" ht="18.75" thickBot="1" x14ac:dyDescent="0.3">
      <c r="B92" s="316" t="s">
        <v>617</v>
      </c>
      <c r="C92" s="429">
        <f>[4]Dec!$C$65</f>
        <v>138</v>
      </c>
      <c r="D92" s="425">
        <f>[4]Dec!$D$65</f>
        <v>345</v>
      </c>
      <c r="E92" s="421">
        <f>[4]Dec!$E$65</f>
        <v>230</v>
      </c>
      <c r="F92" s="432">
        <f>[4]Dec!$F$65</f>
        <v>77.75</v>
      </c>
      <c r="J92"/>
      <c r="K92"/>
      <c r="L92"/>
      <c r="M92"/>
      <c r="N92"/>
      <c r="O92" s="392"/>
      <c r="P92" s="2"/>
      <c r="R92"/>
      <c r="S92"/>
      <c r="U92"/>
    </row>
    <row r="93" spans="2:21" s="1" customFormat="1" ht="18.75" x14ac:dyDescent="0.3">
      <c r="B93" s="316" t="s">
        <v>3</v>
      </c>
      <c r="C93" s="430" t="s">
        <v>658</v>
      </c>
      <c r="D93" s="426">
        <f>[4]Dec!$D$60</f>
        <v>1.6842105263157894</v>
      </c>
      <c r="E93" s="422">
        <f>[4]Dec!$E$60</f>
        <v>18.161403508771929</v>
      </c>
      <c r="J93"/>
      <c r="K93"/>
      <c r="L93"/>
      <c r="M93"/>
      <c r="N93"/>
      <c r="O93" s="392"/>
      <c r="P93" s="2"/>
      <c r="R93"/>
      <c r="S93"/>
      <c r="U93"/>
    </row>
    <row r="94" spans="2:21" s="1" customFormat="1" ht="19.5" thickBot="1" x14ac:dyDescent="0.35">
      <c r="B94" s="316" t="s">
        <v>617</v>
      </c>
      <c r="C94" s="431" t="s">
        <v>658</v>
      </c>
      <c r="D94" s="427">
        <f>[4]Dec!$D$67</f>
        <v>1.5</v>
      </c>
      <c r="E94" s="423">
        <f>[4]Dec!$E$67</f>
        <v>116.625</v>
      </c>
      <c r="J94"/>
      <c r="K94"/>
      <c r="L94"/>
      <c r="M94"/>
      <c r="N94"/>
      <c r="O94" s="392"/>
      <c r="P94" s="2"/>
      <c r="R94"/>
      <c r="S94"/>
      <c r="U94"/>
    </row>
    <row r="95" spans="2:21" s="1" customFormat="1" x14ac:dyDescent="0.2">
      <c r="J95"/>
      <c r="K95"/>
      <c r="L95"/>
      <c r="M95"/>
      <c r="N95"/>
      <c r="O95" s="392"/>
      <c r="P95" s="2"/>
      <c r="R95"/>
      <c r="S95"/>
      <c r="U95"/>
    </row>
    <row r="96" spans="2:21" s="1" customFormat="1" x14ac:dyDescent="0.2">
      <c r="J96"/>
      <c r="K96"/>
      <c r="L96"/>
      <c r="M96"/>
      <c r="N96"/>
      <c r="O96" s="392"/>
      <c r="P96" s="2"/>
      <c r="R96"/>
      <c r="S96"/>
      <c r="U96"/>
    </row>
    <row r="97" spans="2:21" s="1" customFormat="1" ht="24" thickBot="1" x14ac:dyDescent="0.4">
      <c r="C97" s="1133" t="s">
        <v>798</v>
      </c>
      <c r="D97" s="1133"/>
      <c r="E97" s="1133"/>
      <c r="J97"/>
      <c r="K97"/>
      <c r="L97"/>
      <c r="M97"/>
      <c r="N97"/>
      <c r="O97" s="392"/>
      <c r="P97" s="2"/>
      <c r="R97"/>
      <c r="S97"/>
      <c r="U97"/>
    </row>
    <row r="98" spans="2:21" s="1" customFormat="1" ht="18.75" thickBot="1" x14ac:dyDescent="0.3">
      <c r="C98" s="417" t="s">
        <v>778</v>
      </c>
      <c r="D98" s="418" t="s">
        <v>779</v>
      </c>
      <c r="E98" s="419" t="s">
        <v>780</v>
      </c>
      <c r="F98" s="419" t="s">
        <v>797</v>
      </c>
      <c r="J98"/>
      <c r="K98"/>
      <c r="L98"/>
      <c r="M98"/>
      <c r="N98"/>
      <c r="O98" s="392"/>
      <c r="P98" s="2"/>
      <c r="R98"/>
      <c r="S98"/>
      <c r="U98"/>
    </row>
    <row r="99" spans="2:21" s="1" customFormat="1" ht="18" x14ac:dyDescent="0.25">
      <c r="B99" s="316" t="s">
        <v>3</v>
      </c>
      <c r="C99" s="428">
        <f>[6]Dec!$C$58</f>
        <v>14</v>
      </c>
      <c r="D99" s="424">
        <f>[6]Dec!$D$58</f>
        <v>33</v>
      </c>
      <c r="E99" s="420">
        <f>[6]Dec!$E$58</f>
        <v>20</v>
      </c>
      <c r="F99" s="420">
        <f>[6]Dec!$I$55</f>
        <v>7.2333333333333334</v>
      </c>
      <c r="J99"/>
      <c r="K99"/>
      <c r="L99"/>
      <c r="M99"/>
      <c r="N99"/>
      <c r="O99" s="392"/>
      <c r="P99" s="2"/>
      <c r="R99"/>
      <c r="S99"/>
      <c r="U99"/>
    </row>
    <row r="100" spans="2:21" s="1" customFormat="1" ht="18.75" thickBot="1" x14ac:dyDescent="0.3">
      <c r="B100" s="316" t="s">
        <v>617</v>
      </c>
      <c r="C100" s="429">
        <f>[6]Dec!$C$64</f>
        <v>119</v>
      </c>
      <c r="D100" s="425">
        <f>[6]Dec!$D$64</f>
        <v>337</v>
      </c>
      <c r="E100" s="421">
        <f>[6]Dec!$E$64</f>
        <v>236</v>
      </c>
      <c r="F100" s="432">
        <f>[6]Dec!$F$64</f>
        <v>63.8</v>
      </c>
      <c r="J100"/>
      <c r="K100"/>
      <c r="L100"/>
      <c r="M100"/>
      <c r="N100"/>
      <c r="O100" s="392"/>
      <c r="P100" s="2"/>
      <c r="R100"/>
      <c r="S100"/>
      <c r="U100"/>
    </row>
    <row r="101" spans="2:21" s="1" customFormat="1" ht="18.75" x14ac:dyDescent="0.3">
      <c r="B101" s="316" t="s">
        <v>3</v>
      </c>
      <c r="C101" s="430" t="s">
        <v>658</v>
      </c>
      <c r="D101" s="426">
        <f>[6]Dec!$D$60</f>
        <v>1.65</v>
      </c>
      <c r="E101" s="422">
        <f>[6]Dec!$E$60</f>
        <v>11.934999999999999</v>
      </c>
      <c r="J101"/>
      <c r="K101"/>
      <c r="L101"/>
      <c r="M101"/>
      <c r="N101"/>
      <c r="O101" s="392"/>
      <c r="P101" s="2"/>
      <c r="R101"/>
      <c r="S101"/>
      <c r="U101"/>
    </row>
    <row r="102" spans="2:21" s="1" customFormat="1" ht="19.5" thickBot="1" x14ac:dyDescent="0.35">
      <c r="B102" s="316" t="s">
        <v>617</v>
      </c>
      <c r="C102" s="431" t="s">
        <v>658</v>
      </c>
      <c r="D102" s="427">
        <f>[6]Dec!$D$66</f>
        <v>1.4279661016949152</v>
      </c>
      <c r="E102" s="423">
        <f>[6]Dec!$E$66</f>
        <v>91.104237288135593</v>
      </c>
      <c r="J102"/>
      <c r="K102"/>
      <c r="L102"/>
      <c r="M102"/>
      <c r="N102"/>
      <c r="O102" s="392"/>
      <c r="P102" s="2"/>
      <c r="R102"/>
      <c r="S102"/>
      <c r="U102"/>
    </row>
    <row r="103" spans="2:21" s="1" customFormat="1" x14ac:dyDescent="0.2">
      <c r="J103"/>
      <c r="K103"/>
      <c r="L103"/>
      <c r="M103"/>
      <c r="N103"/>
      <c r="O103" s="392"/>
      <c r="P103" s="2"/>
      <c r="R103"/>
      <c r="S103"/>
      <c r="U103"/>
    </row>
    <row r="104" spans="2:21" s="1" customFormat="1" x14ac:dyDescent="0.2">
      <c r="J104"/>
      <c r="K104"/>
      <c r="L104"/>
      <c r="M104"/>
      <c r="N104"/>
      <c r="O104" s="392"/>
      <c r="P104" s="2"/>
      <c r="R104"/>
      <c r="S104"/>
      <c r="U104"/>
    </row>
    <row r="105" spans="2:21" s="1" customFormat="1" x14ac:dyDescent="0.2">
      <c r="J105"/>
      <c r="K105"/>
      <c r="L105"/>
      <c r="M105"/>
      <c r="N105"/>
      <c r="O105" s="392"/>
      <c r="P105" s="2"/>
      <c r="R105"/>
      <c r="S105"/>
      <c r="U105"/>
    </row>
    <row r="106" spans="2:21" s="1" customFormat="1" x14ac:dyDescent="0.2">
      <c r="J106"/>
      <c r="K106"/>
      <c r="L106"/>
      <c r="M106"/>
      <c r="N106"/>
      <c r="O106" s="392"/>
      <c r="P106" s="2"/>
      <c r="R106"/>
      <c r="S106"/>
      <c r="U106"/>
    </row>
    <row r="107" spans="2:21" s="1" customFormat="1" x14ac:dyDescent="0.2">
      <c r="J107"/>
      <c r="K107"/>
      <c r="L107"/>
      <c r="M107"/>
      <c r="N107"/>
      <c r="O107" s="392"/>
      <c r="P107" s="2"/>
      <c r="R107"/>
      <c r="S107"/>
      <c r="U107"/>
    </row>
    <row r="108" spans="2:21" s="1" customFormat="1" x14ac:dyDescent="0.2">
      <c r="J108"/>
      <c r="K108"/>
      <c r="L108"/>
      <c r="M108"/>
      <c r="N108"/>
      <c r="O108" s="392"/>
      <c r="P108" s="2"/>
      <c r="R108"/>
      <c r="S108"/>
      <c r="U108"/>
    </row>
    <row r="109" spans="2:21" s="1" customFormat="1" x14ac:dyDescent="0.2">
      <c r="J109"/>
      <c r="K109"/>
      <c r="L109"/>
      <c r="M109"/>
      <c r="N109"/>
      <c r="O109" s="392"/>
      <c r="P109" s="2"/>
      <c r="R109"/>
      <c r="S109"/>
      <c r="U109"/>
    </row>
    <row r="110" spans="2:21" s="1" customFormat="1" x14ac:dyDescent="0.2">
      <c r="J110"/>
      <c r="K110"/>
      <c r="L110"/>
      <c r="M110"/>
      <c r="N110"/>
      <c r="O110" s="392"/>
      <c r="P110" s="2"/>
      <c r="R110"/>
      <c r="S110"/>
      <c r="U110"/>
    </row>
    <row r="111" spans="2:21" s="1" customFormat="1" x14ac:dyDescent="0.2">
      <c r="J111"/>
      <c r="K111"/>
      <c r="L111"/>
      <c r="M111"/>
      <c r="N111"/>
      <c r="O111" s="392"/>
      <c r="P111" s="2"/>
      <c r="R111"/>
      <c r="S111"/>
      <c r="U111"/>
    </row>
    <row r="112" spans="2:21" s="1" customFormat="1" x14ac:dyDescent="0.2">
      <c r="J112"/>
      <c r="K112"/>
      <c r="L112"/>
      <c r="M112"/>
      <c r="N112"/>
      <c r="O112" s="392"/>
      <c r="P112" s="2"/>
      <c r="R112"/>
      <c r="S112"/>
      <c r="U112"/>
    </row>
    <row r="113" spans="10:21" s="1" customFormat="1" x14ac:dyDescent="0.2">
      <c r="J113"/>
      <c r="K113"/>
      <c r="L113"/>
      <c r="M113"/>
      <c r="N113"/>
      <c r="O113" s="392"/>
      <c r="P113" s="2"/>
      <c r="R113"/>
      <c r="S113"/>
      <c r="U113"/>
    </row>
    <row r="114" spans="10:21" s="1" customFormat="1" x14ac:dyDescent="0.2">
      <c r="J114"/>
      <c r="K114"/>
      <c r="L114"/>
      <c r="M114"/>
      <c r="N114"/>
      <c r="O114" s="392"/>
      <c r="P114" s="2"/>
      <c r="R114"/>
      <c r="S114"/>
      <c r="U114"/>
    </row>
    <row r="115" spans="10:21" s="1" customFormat="1" x14ac:dyDescent="0.2">
      <c r="J115"/>
      <c r="K115"/>
      <c r="L115"/>
      <c r="M115"/>
      <c r="N115"/>
      <c r="O115" s="392"/>
      <c r="P115" s="2"/>
      <c r="R115"/>
      <c r="S115"/>
      <c r="U115"/>
    </row>
    <row r="116" spans="10:21" s="1" customFormat="1" x14ac:dyDescent="0.2">
      <c r="J116"/>
      <c r="K116"/>
      <c r="L116"/>
      <c r="M116"/>
      <c r="N116"/>
      <c r="O116" s="392"/>
      <c r="P116" s="2"/>
      <c r="R116"/>
      <c r="S116"/>
      <c r="U116"/>
    </row>
    <row r="117" spans="10:21" s="1" customFormat="1" x14ac:dyDescent="0.2">
      <c r="J117"/>
      <c r="K117"/>
      <c r="L117"/>
      <c r="M117"/>
      <c r="N117"/>
      <c r="O117" s="392"/>
      <c r="P117" s="2"/>
      <c r="R117"/>
      <c r="S117"/>
      <c r="U117"/>
    </row>
    <row r="118" spans="10:21" s="1" customFormat="1" x14ac:dyDescent="0.2">
      <c r="J118"/>
      <c r="K118"/>
      <c r="L118"/>
      <c r="M118"/>
      <c r="N118"/>
      <c r="O118" s="392"/>
      <c r="P118" s="2"/>
      <c r="R118"/>
      <c r="S118"/>
      <c r="U118"/>
    </row>
    <row r="119" spans="10:21" s="1" customFormat="1" x14ac:dyDescent="0.2">
      <c r="J119"/>
      <c r="K119"/>
      <c r="L119"/>
      <c r="M119"/>
      <c r="N119"/>
      <c r="O119" s="392"/>
      <c r="P119" s="2"/>
      <c r="R119"/>
      <c r="S119"/>
      <c r="U119"/>
    </row>
    <row r="120" spans="10:21" s="1" customFormat="1" x14ac:dyDescent="0.2">
      <c r="J120"/>
      <c r="K120"/>
      <c r="L120"/>
      <c r="M120"/>
      <c r="N120"/>
      <c r="O120" s="392"/>
      <c r="P120" s="2"/>
      <c r="R120"/>
      <c r="S120"/>
      <c r="U120"/>
    </row>
    <row r="121" spans="10:21" s="1" customFormat="1" x14ac:dyDescent="0.2">
      <c r="J121"/>
      <c r="K121"/>
      <c r="L121"/>
      <c r="M121"/>
      <c r="N121"/>
      <c r="O121" s="392"/>
      <c r="P121" s="2"/>
      <c r="R121"/>
      <c r="S121"/>
      <c r="U121"/>
    </row>
    <row r="122" spans="10:21" s="1" customFormat="1" x14ac:dyDescent="0.2">
      <c r="J122"/>
      <c r="K122"/>
      <c r="L122"/>
      <c r="M122"/>
      <c r="N122"/>
      <c r="O122" s="392"/>
      <c r="P122" s="2"/>
      <c r="R122"/>
      <c r="S122"/>
      <c r="U122"/>
    </row>
    <row r="123" spans="10:21" s="1" customFormat="1" x14ac:dyDescent="0.2">
      <c r="J123"/>
      <c r="K123"/>
      <c r="L123"/>
      <c r="M123"/>
      <c r="N123"/>
      <c r="O123" s="392"/>
      <c r="P123" s="2"/>
      <c r="R123"/>
      <c r="S123"/>
      <c r="U123"/>
    </row>
    <row r="124" spans="10:21" s="1" customFormat="1" x14ac:dyDescent="0.2">
      <c r="J124"/>
      <c r="K124"/>
      <c r="L124"/>
      <c r="M124"/>
      <c r="N124"/>
      <c r="O124" s="392"/>
      <c r="P124" s="2"/>
      <c r="R124"/>
      <c r="S124"/>
      <c r="U124"/>
    </row>
    <row r="125" spans="10:21" s="1" customFormat="1" x14ac:dyDescent="0.2">
      <c r="J125"/>
      <c r="K125"/>
      <c r="L125"/>
      <c r="M125"/>
      <c r="N125"/>
      <c r="O125" s="392"/>
      <c r="P125" s="2"/>
      <c r="R125"/>
      <c r="S125"/>
      <c r="U125"/>
    </row>
    <row r="126" spans="10:21" s="1" customFormat="1" x14ac:dyDescent="0.2">
      <c r="J126"/>
      <c r="K126"/>
      <c r="L126"/>
      <c r="M126"/>
      <c r="N126"/>
      <c r="O126" s="392"/>
      <c r="P126" s="2"/>
      <c r="R126"/>
      <c r="S126"/>
      <c r="U126"/>
    </row>
    <row r="127" spans="10:21" s="1" customFormat="1" x14ac:dyDescent="0.2">
      <c r="J127"/>
      <c r="K127"/>
      <c r="L127"/>
      <c r="M127"/>
      <c r="N127"/>
      <c r="O127" s="392"/>
      <c r="P127" s="2"/>
      <c r="R127"/>
      <c r="S127"/>
      <c r="U127"/>
    </row>
    <row r="128" spans="10:21" s="1" customFormat="1" x14ac:dyDescent="0.2">
      <c r="J128"/>
      <c r="K128"/>
      <c r="L128"/>
      <c r="M128"/>
      <c r="N128"/>
      <c r="O128" s="392"/>
      <c r="P128" s="2"/>
      <c r="R128"/>
      <c r="S128"/>
      <c r="U128"/>
    </row>
    <row r="129" spans="10:21" s="1" customFormat="1" x14ac:dyDescent="0.2">
      <c r="J129"/>
      <c r="K129"/>
      <c r="L129"/>
      <c r="M129"/>
      <c r="N129"/>
      <c r="O129" s="392"/>
      <c r="P129" s="2"/>
      <c r="R129"/>
      <c r="S129"/>
      <c r="U129"/>
    </row>
    <row r="130" spans="10:21" s="1" customFormat="1" x14ac:dyDescent="0.2">
      <c r="J130"/>
      <c r="K130"/>
      <c r="L130"/>
      <c r="M130"/>
      <c r="N130"/>
      <c r="O130" s="392"/>
      <c r="P130" s="2"/>
      <c r="R130"/>
      <c r="S130"/>
      <c r="U130"/>
    </row>
    <row r="131" spans="10:21" s="1" customFormat="1" x14ac:dyDescent="0.2">
      <c r="J131"/>
      <c r="K131"/>
      <c r="L131"/>
      <c r="M131"/>
      <c r="N131"/>
      <c r="O131" s="392"/>
      <c r="P131" s="2"/>
      <c r="R131"/>
      <c r="S131"/>
      <c r="U131"/>
    </row>
    <row r="132" spans="10:21" s="1" customFormat="1" x14ac:dyDescent="0.2">
      <c r="J132"/>
      <c r="K132"/>
      <c r="L132"/>
      <c r="M132"/>
      <c r="N132"/>
      <c r="O132" s="392"/>
      <c r="P132" s="2"/>
      <c r="R132"/>
      <c r="S132"/>
      <c r="U132"/>
    </row>
    <row r="133" spans="10:21" s="1" customFormat="1" x14ac:dyDescent="0.2">
      <c r="J133"/>
      <c r="K133"/>
      <c r="L133"/>
      <c r="M133"/>
      <c r="N133"/>
      <c r="O133" s="392"/>
      <c r="P133" s="2"/>
      <c r="R133"/>
      <c r="S133"/>
      <c r="U133"/>
    </row>
    <row r="134" spans="10:21" s="1" customFormat="1" x14ac:dyDescent="0.2">
      <c r="J134"/>
      <c r="K134"/>
      <c r="L134"/>
      <c r="M134"/>
      <c r="N134"/>
      <c r="O134" s="392"/>
      <c r="P134" s="2"/>
      <c r="R134"/>
      <c r="S134"/>
      <c r="U134"/>
    </row>
    <row r="135" spans="10:21" s="1" customFormat="1" x14ac:dyDescent="0.2">
      <c r="J135"/>
      <c r="K135"/>
      <c r="L135"/>
      <c r="M135"/>
      <c r="N135"/>
      <c r="O135" s="392"/>
      <c r="P135" s="2"/>
      <c r="R135"/>
      <c r="S135"/>
      <c r="U135"/>
    </row>
    <row r="136" spans="10:21" s="1" customFormat="1" x14ac:dyDescent="0.2">
      <c r="J136"/>
      <c r="K136"/>
      <c r="L136"/>
      <c r="M136"/>
      <c r="N136"/>
      <c r="O136" s="392"/>
      <c r="P136" s="2"/>
      <c r="R136"/>
      <c r="S136"/>
      <c r="U136"/>
    </row>
    <row r="137" spans="10:21" s="1" customFormat="1" x14ac:dyDescent="0.2">
      <c r="J137"/>
      <c r="K137"/>
      <c r="L137"/>
      <c r="M137"/>
      <c r="N137"/>
      <c r="O137" s="392"/>
      <c r="P137" s="2"/>
      <c r="R137"/>
      <c r="S137"/>
      <c r="U137"/>
    </row>
    <row r="138" spans="10:21" s="1" customFormat="1" x14ac:dyDescent="0.2">
      <c r="J138"/>
      <c r="K138"/>
      <c r="L138"/>
      <c r="M138"/>
      <c r="N138"/>
      <c r="O138" s="392"/>
      <c r="P138" s="2"/>
      <c r="R138"/>
      <c r="S138"/>
      <c r="U138"/>
    </row>
    <row r="139" spans="10:21" s="1" customFormat="1" x14ac:dyDescent="0.2">
      <c r="J139"/>
      <c r="K139"/>
      <c r="L139"/>
      <c r="M139"/>
      <c r="N139"/>
      <c r="O139" s="392"/>
      <c r="P139" s="2"/>
      <c r="R139"/>
      <c r="S139"/>
      <c r="U139"/>
    </row>
    <row r="140" spans="10:21" s="1" customFormat="1" x14ac:dyDescent="0.2">
      <c r="J140"/>
      <c r="K140"/>
      <c r="L140"/>
      <c r="M140"/>
      <c r="N140"/>
      <c r="O140" s="392"/>
      <c r="P140" s="2"/>
      <c r="R140"/>
      <c r="S140"/>
      <c r="U140"/>
    </row>
    <row r="141" spans="10:21" s="1" customFormat="1" x14ac:dyDescent="0.2">
      <c r="J141"/>
      <c r="K141"/>
      <c r="L141"/>
      <c r="M141"/>
      <c r="N141"/>
      <c r="O141" s="392"/>
      <c r="P141" s="2"/>
      <c r="R141"/>
      <c r="S141"/>
      <c r="U141"/>
    </row>
    <row r="142" spans="10:21" s="1" customFormat="1" x14ac:dyDescent="0.2">
      <c r="J142"/>
      <c r="K142"/>
      <c r="L142"/>
      <c r="M142"/>
      <c r="N142"/>
      <c r="O142" s="392"/>
      <c r="P142" s="2"/>
      <c r="R142"/>
      <c r="S142"/>
      <c r="U142"/>
    </row>
    <row r="143" spans="10:21" s="1" customFormat="1" x14ac:dyDescent="0.2">
      <c r="J143"/>
      <c r="K143"/>
      <c r="L143"/>
      <c r="M143"/>
      <c r="N143"/>
      <c r="O143" s="392"/>
      <c r="P143" s="2"/>
      <c r="R143"/>
      <c r="S143"/>
      <c r="U143"/>
    </row>
    <row r="144" spans="10:21" s="1" customFormat="1" x14ac:dyDescent="0.2">
      <c r="J144"/>
      <c r="K144"/>
      <c r="L144"/>
      <c r="M144"/>
      <c r="N144"/>
      <c r="O144" s="392"/>
      <c r="P144" s="2"/>
      <c r="R144"/>
      <c r="S144"/>
      <c r="U144"/>
    </row>
    <row r="145" spans="10:21" s="1" customFormat="1" x14ac:dyDescent="0.2">
      <c r="J145"/>
      <c r="K145"/>
      <c r="L145"/>
      <c r="M145"/>
      <c r="N145"/>
      <c r="O145" s="392"/>
      <c r="P145" s="2"/>
      <c r="R145"/>
      <c r="S145"/>
      <c r="U145"/>
    </row>
    <row r="146" spans="10:21" s="1" customFormat="1" x14ac:dyDescent="0.2">
      <c r="J146"/>
      <c r="K146"/>
      <c r="L146"/>
      <c r="M146"/>
      <c r="N146"/>
      <c r="O146" s="392"/>
      <c r="P146" s="2"/>
      <c r="R146"/>
      <c r="S146"/>
      <c r="U146"/>
    </row>
    <row r="147" spans="10:21" s="1" customFormat="1" x14ac:dyDescent="0.2">
      <c r="J147"/>
      <c r="K147"/>
      <c r="L147"/>
      <c r="M147"/>
      <c r="N147"/>
      <c r="O147" s="392"/>
      <c r="P147" s="2"/>
      <c r="R147"/>
      <c r="S147"/>
      <c r="U147"/>
    </row>
    <row r="148" spans="10:21" s="1" customFormat="1" x14ac:dyDescent="0.2">
      <c r="J148"/>
      <c r="K148"/>
      <c r="L148"/>
      <c r="M148"/>
      <c r="N148"/>
      <c r="O148" s="392"/>
      <c r="P148" s="2"/>
      <c r="R148"/>
      <c r="S148"/>
      <c r="U148"/>
    </row>
    <row r="149" spans="10:21" s="1" customFormat="1" x14ac:dyDescent="0.2">
      <c r="J149"/>
      <c r="K149"/>
      <c r="L149"/>
      <c r="M149"/>
      <c r="N149"/>
      <c r="O149" s="392"/>
      <c r="P149" s="2"/>
      <c r="R149"/>
      <c r="S149"/>
      <c r="U149"/>
    </row>
    <row r="150" spans="10:21" s="1" customFormat="1" x14ac:dyDescent="0.2">
      <c r="J150"/>
      <c r="K150"/>
      <c r="L150"/>
      <c r="M150"/>
      <c r="N150"/>
      <c r="O150" s="392"/>
      <c r="P150" s="2"/>
      <c r="R150"/>
      <c r="S150"/>
      <c r="U150"/>
    </row>
    <row r="151" spans="10:21" s="1" customFormat="1" x14ac:dyDescent="0.2">
      <c r="J151"/>
      <c r="K151"/>
      <c r="L151"/>
      <c r="M151"/>
      <c r="N151"/>
      <c r="O151" s="392"/>
      <c r="P151" s="2"/>
      <c r="R151"/>
      <c r="S151"/>
      <c r="U151"/>
    </row>
    <row r="152" spans="10:21" s="1" customFormat="1" x14ac:dyDescent="0.2">
      <c r="J152"/>
      <c r="K152"/>
      <c r="L152"/>
      <c r="M152"/>
      <c r="N152"/>
      <c r="O152" s="392"/>
      <c r="P152" s="2"/>
      <c r="R152"/>
      <c r="S152"/>
      <c r="U152"/>
    </row>
    <row r="153" spans="10:21" s="1" customFormat="1" x14ac:dyDescent="0.2">
      <c r="J153"/>
      <c r="K153"/>
      <c r="L153"/>
      <c r="M153"/>
      <c r="N153"/>
      <c r="O153" s="392"/>
      <c r="P153" s="2"/>
      <c r="R153"/>
      <c r="S153"/>
      <c r="U153"/>
    </row>
    <row r="154" spans="10:21" s="1" customFormat="1" x14ac:dyDescent="0.2">
      <c r="J154"/>
      <c r="K154"/>
      <c r="L154"/>
      <c r="M154"/>
      <c r="N154"/>
      <c r="O154" s="392"/>
      <c r="P154" s="2"/>
      <c r="R154"/>
      <c r="S154"/>
      <c r="U154"/>
    </row>
    <row r="155" spans="10:21" s="1" customFormat="1" x14ac:dyDescent="0.2">
      <c r="J155"/>
      <c r="K155"/>
      <c r="L155"/>
      <c r="M155"/>
      <c r="N155"/>
      <c r="O155" s="392"/>
      <c r="P155" s="2"/>
      <c r="R155"/>
      <c r="S155"/>
      <c r="U155"/>
    </row>
    <row r="156" spans="10:21" s="1" customFormat="1" x14ac:dyDescent="0.2">
      <c r="J156"/>
      <c r="K156"/>
      <c r="L156"/>
      <c r="M156"/>
      <c r="N156"/>
      <c r="O156" s="392"/>
      <c r="P156" s="2"/>
      <c r="R156"/>
      <c r="S156"/>
      <c r="U156"/>
    </row>
    <row r="157" spans="10:21" s="1" customFormat="1" x14ac:dyDescent="0.2">
      <c r="J157"/>
      <c r="K157"/>
      <c r="L157"/>
      <c r="M157"/>
      <c r="N157"/>
      <c r="O157" s="392"/>
      <c r="P157" s="2"/>
      <c r="R157"/>
      <c r="S157"/>
      <c r="U157"/>
    </row>
    <row r="158" spans="10:21" s="1" customFormat="1" x14ac:dyDescent="0.2">
      <c r="J158"/>
      <c r="K158"/>
      <c r="L158"/>
      <c r="M158"/>
      <c r="N158"/>
      <c r="O158" s="392"/>
      <c r="P158" s="2"/>
      <c r="R158"/>
      <c r="S158"/>
      <c r="U158"/>
    </row>
    <row r="159" spans="10:21" s="1" customFormat="1" x14ac:dyDescent="0.2">
      <c r="J159"/>
      <c r="K159"/>
      <c r="L159"/>
      <c r="M159"/>
      <c r="N159"/>
      <c r="O159" s="392"/>
      <c r="P159" s="2"/>
      <c r="R159"/>
      <c r="S159"/>
      <c r="U159"/>
    </row>
    <row r="160" spans="10:21" s="1" customFormat="1" x14ac:dyDescent="0.2">
      <c r="J160"/>
      <c r="K160"/>
      <c r="L160"/>
      <c r="M160"/>
      <c r="N160"/>
      <c r="O160" s="392"/>
      <c r="P160" s="2"/>
      <c r="R160"/>
      <c r="S160"/>
      <c r="U160"/>
    </row>
    <row r="161" spans="10:21" s="1" customFormat="1" x14ac:dyDescent="0.2">
      <c r="J161"/>
      <c r="K161"/>
      <c r="L161"/>
      <c r="M161"/>
      <c r="N161"/>
      <c r="O161" s="392"/>
      <c r="P161" s="2"/>
      <c r="R161"/>
      <c r="S161"/>
      <c r="U161"/>
    </row>
    <row r="162" spans="10:21" s="1" customFormat="1" x14ac:dyDescent="0.2">
      <c r="J162"/>
      <c r="K162"/>
      <c r="L162"/>
      <c r="M162"/>
      <c r="N162"/>
      <c r="O162" s="392"/>
      <c r="P162" s="2"/>
      <c r="R162"/>
      <c r="S162"/>
      <c r="U162"/>
    </row>
    <row r="163" spans="10:21" s="1" customFormat="1" x14ac:dyDescent="0.2">
      <c r="J163"/>
      <c r="K163"/>
      <c r="L163"/>
      <c r="M163"/>
      <c r="N163"/>
      <c r="O163" s="392"/>
      <c r="P163" s="2"/>
      <c r="R163"/>
      <c r="S163"/>
      <c r="U163"/>
    </row>
    <row r="164" spans="10:21" s="1" customFormat="1" x14ac:dyDescent="0.2">
      <c r="J164"/>
      <c r="K164"/>
      <c r="L164"/>
      <c r="M164"/>
      <c r="N164"/>
      <c r="O164" s="392"/>
      <c r="P164" s="2"/>
      <c r="R164"/>
      <c r="S164"/>
      <c r="U164"/>
    </row>
    <row r="165" spans="10:21" s="1" customFormat="1" x14ac:dyDescent="0.2">
      <c r="J165"/>
      <c r="K165"/>
      <c r="L165"/>
      <c r="M165"/>
      <c r="N165"/>
      <c r="O165" s="392"/>
      <c r="P165" s="2"/>
      <c r="R165"/>
      <c r="S165"/>
      <c r="U165"/>
    </row>
    <row r="166" spans="10:21" s="1" customFormat="1" x14ac:dyDescent="0.2">
      <c r="J166"/>
      <c r="K166"/>
      <c r="L166"/>
      <c r="M166"/>
      <c r="N166"/>
      <c r="O166" s="392"/>
      <c r="P166" s="2"/>
      <c r="R166"/>
      <c r="S166"/>
      <c r="U166"/>
    </row>
    <row r="167" spans="10:21" s="1" customFormat="1" x14ac:dyDescent="0.2">
      <c r="J167"/>
      <c r="K167"/>
      <c r="L167"/>
      <c r="M167"/>
      <c r="N167"/>
      <c r="O167" s="392"/>
      <c r="P167" s="2"/>
      <c r="R167"/>
      <c r="S167"/>
      <c r="U167"/>
    </row>
    <row r="168" spans="10:21" s="1" customFormat="1" x14ac:dyDescent="0.2">
      <c r="J168"/>
      <c r="K168"/>
      <c r="L168"/>
      <c r="M168"/>
      <c r="N168"/>
      <c r="O168" s="392"/>
      <c r="P168" s="2"/>
      <c r="R168"/>
      <c r="S168"/>
      <c r="U168"/>
    </row>
    <row r="169" spans="10:21" s="1" customFormat="1" x14ac:dyDescent="0.2">
      <c r="J169"/>
      <c r="K169"/>
      <c r="L169"/>
      <c r="M169"/>
      <c r="N169"/>
      <c r="O169" s="392"/>
      <c r="P169" s="2"/>
      <c r="R169"/>
      <c r="S169"/>
      <c r="U169"/>
    </row>
    <row r="170" spans="10:21" s="1" customFormat="1" x14ac:dyDescent="0.2">
      <c r="J170"/>
      <c r="K170"/>
      <c r="L170"/>
      <c r="M170"/>
      <c r="N170"/>
      <c r="O170" s="392"/>
      <c r="P170" s="2"/>
      <c r="R170"/>
      <c r="S170"/>
      <c r="U170"/>
    </row>
    <row r="171" spans="10:21" s="1" customFormat="1" x14ac:dyDescent="0.2">
      <c r="J171"/>
      <c r="K171"/>
      <c r="L171"/>
      <c r="M171"/>
      <c r="N171"/>
      <c r="O171" s="392"/>
      <c r="P171" s="2"/>
      <c r="R171"/>
      <c r="S171"/>
      <c r="U171"/>
    </row>
    <row r="172" spans="10:21" s="1" customFormat="1" x14ac:dyDescent="0.2">
      <c r="J172"/>
      <c r="K172"/>
      <c r="L172"/>
      <c r="M172"/>
      <c r="N172"/>
      <c r="O172" s="392"/>
      <c r="P172" s="2"/>
      <c r="R172"/>
      <c r="S172"/>
      <c r="U172"/>
    </row>
    <row r="173" spans="10:21" s="1" customFormat="1" x14ac:dyDescent="0.2">
      <c r="J173"/>
      <c r="K173"/>
      <c r="L173"/>
      <c r="M173"/>
      <c r="N173"/>
      <c r="O173" s="392"/>
      <c r="P173" s="2"/>
      <c r="R173"/>
      <c r="S173"/>
      <c r="U173"/>
    </row>
    <row r="174" spans="10:21" s="1" customFormat="1" x14ac:dyDescent="0.2">
      <c r="J174"/>
      <c r="K174"/>
      <c r="L174"/>
      <c r="M174"/>
      <c r="N174"/>
      <c r="O174" s="392"/>
      <c r="P174" s="2"/>
      <c r="R174"/>
      <c r="S174"/>
      <c r="U174"/>
    </row>
    <row r="175" spans="10:21" s="1" customFormat="1" x14ac:dyDescent="0.2">
      <c r="J175"/>
      <c r="K175"/>
      <c r="L175"/>
      <c r="M175"/>
      <c r="N175"/>
      <c r="O175" s="392"/>
      <c r="P175" s="2"/>
      <c r="R175"/>
      <c r="S175"/>
      <c r="U175"/>
    </row>
    <row r="176" spans="10:21" s="1" customFormat="1" x14ac:dyDescent="0.2">
      <c r="J176"/>
      <c r="K176"/>
      <c r="L176"/>
      <c r="M176"/>
      <c r="N176"/>
      <c r="O176" s="392"/>
      <c r="P176" s="2"/>
      <c r="R176"/>
      <c r="S176"/>
      <c r="U176"/>
    </row>
    <row r="177" spans="10:21" s="1" customFormat="1" x14ac:dyDescent="0.2">
      <c r="J177"/>
      <c r="K177"/>
      <c r="L177"/>
      <c r="M177"/>
      <c r="N177"/>
      <c r="O177" s="392"/>
      <c r="P177" s="2"/>
      <c r="R177"/>
      <c r="S177"/>
      <c r="U177"/>
    </row>
    <row r="178" spans="10:21" s="1" customFormat="1" x14ac:dyDescent="0.2">
      <c r="J178"/>
      <c r="K178"/>
      <c r="L178"/>
      <c r="M178"/>
      <c r="N178"/>
      <c r="O178" s="392"/>
      <c r="P178" s="2"/>
      <c r="R178"/>
      <c r="S178"/>
      <c r="U178"/>
    </row>
    <row r="179" spans="10:21" s="1" customFormat="1" x14ac:dyDescent="0.2">
      <c r="J179"/>
      <c r="K179"/>
      <c r="L179"/>
      <c r="M179"/>
      <c r="N179"/>
      <c r="O179" s="392"/>
      <c r="P179" s="2"/>
      <c r="R179"/>
      <c r="S179"/>
      <c r="U179"/>
    </row>
    <row r="180" spans="10:21" s="1" customFormat="1" x14ac:dyDescent="0.2">
      <c r="J180"/>
      <c r="K180"/>
      <c r="L180"/>
      <c r="M180"/>
      <c r="N180"/>
      <c r="O180" s="392"/>
      <c r="P180" s="2"/>
      <c r="R180"/>
      <c r="S180"/>
      <c r="U180"/>
    </row>
    <row r="181" spans="10:21" s="1" customFormat="1" x14ac:dyDescent="0.2">
      <c r="J181"/>
      <c r="K181"/>
      <c r="L181"/>
      <c r="M181"/>
      <c r="N181"/>
      <c r="O181" s="392"/>
      <c r="P181" s="2"/>
      <c r="R181"/>
      <c r="S181"/>
      <c r="U181"/>
    </row>
    <row r="182" spans="10:21" s="1" customFormat="1" x14ac:dyDescent="0.2">
      <c r="J182"/>
      <c r="K182"/>
      <c r="L182"/>
      <c r="M182"/>
      <c r="N182"/>
      <c r="O182" s="392"/>
      <c r="P182" s="2"/>
      <c r="R182"/>
      <c r="S182"/>
      <c r="U182"/>
    </row>
    <row r="183" spans="10:21" s="1" customFormat="1" x14ac:dyDescent="0.2">
      <c r="J183"/>
      <c r="K183"/>
      <c r="L183"/>
      <c r="M183"/>
      <c r="N183"/>
      <c r="O183" s="392"/>
      <c r="P183" s="2"/>
      <c r="R183"/>
      <c r="S183"/>
      <c r="U183"/>
    </row>
    <row r="184" spans="10:21" s="1" customFormat="1" x14ac:dyDescent="0.2">
      <c r="J184"/>
      <c r="K184"/>
      <c r="L184"/>
      <c r="M184"/>
      <c r="N184"/>
      <c r="O184" s="392"/>
      <c r="P184" s="2"/>
      <c r="R184"/>
      <c r="S184"/>
      <c r="U184"/>
    </row>
    <row r="185" spans="10:21" s="1" customFormat="1" x14ac:dyDescent="0.2">
      <c r="J185"/>
      <c r="K185"/>
      <c r="L185"/>
      <c r="M185"/>
      <c r="N185"/>
      <c r="O185" s="392"/>
      <c r="P185" s="2"/>
      <c r="R185"/>
      <c r="S185"/>
      <c r="U185"/>
    </row>
    <row r="186" spans="10:21" s="1" customFormat="1" x14ac:dyDescent="0.2">
      <c r="J186"/>
      <c r="K186"/>
      <c r="L186"/>
      <c r="M186"/>
      <c r="N186"/>
      <c r="O186" s="392"/>
      <c r="P186" s="2"/>
      <c r="R186"/>
      <c r="S186"/>
      <c r="U186"/>
    </row>
    <row r="187" spans="10:21" s="1" customFormat="1" x14ac:dyDescent="0.2">
      <c r="J187"/>
      <c r="K187"/>
      <c r="L187"/>
      <c r="M187"/>
      <c r="N187"/>
      <c r="O187" s="392"/>
      <c r="P187" s="2"/>
      <c r="R187"/>
      <c r="S187"/>
      <c r="U187"/>
    </row>
    <row r="188" spans="10:21" s="1" customFormat="1" x14ac:dyDescent="0.2">
      <c r="J188"/>
      <c r="K188"/>
      <c r="L188"/>
      <c r="M188"/>
      <c r="N188"/>
      <c r="O188" s="392"/>
      <c r="P188" s="2"/>
      <c r="R188"/>
      <c r="S188"/>
      <c r="U188"/>
    </row>
    <row r="189" spans="10:21" s="1" customFormat="1" x14ac:dyDescent="0.2">
      <c r="J189"/>
      <c r="K189"/>
      <c r="L189"/>
      <c r="M189"/>
      <c r="N189"/>
      <c r="O189" s="392"/>
      <c r="P189" s="2"/>
      <c r="R189"/>
      <c r="S189"/>
      <c r="U189"/>
    </row>
    <row r="190" spans="10:21" s="1" customFormat="1" x14ac:dyDescent="0.2">
      <c r="J190"/>
      <c r="K190"/>
      <c r="L190"/>
      <c r="M190"/>
      <c r="N190"/>
      <c r="O190" s="392"/>
      <c r="P190" s="2"/>
      <c r="R190"/>
      <c r="S190"/>
      <c r="U190"/>
    </row>
    <row r="191" spans="10:21" s="1" customFormat="1" x14ac:dyDescent="0.2">
      <c r="J191"/>
      <c r="K191"/>
      <c r="L191"/>
      <c r="M191"/>
      <c r="N191"/>
      <c r="O191" s="392"/>
      <c r="P191" s="2"/>
      <c r="R191"/>
      <c r="S191"/>
      <c r="U191"/>
    </row>
    <row r="192" spans="10:21" s="1" customFormat="1" x14ac:dyDescent="0.2">
      <c r="J192"/>
      <c r="K192"/>
      <c r="L192"/>
      <c r="M192"/>
      <c r="N192"/>
      <c r="O192" s="392"/>
      <c r="P192" s="2"/>
      <c r="R192"/>
      <c r="S192"/>
      <c r="U192"/>
    </row>
    <row r="193" spans="10:21" s="1" customFormat="1" x14ac:dyDescent="0.2">
      <c r="J193"/>
      <c r="K193"/>
      <c r="L193"/>
      <c r="M193"/>
      <c r="N193"/>
      <c r="O193" s="392"/>
      <c r="P193" s="2"/>
      <c r="R193"/>
      <c r="S193"/>
      <c r="U193"/>
    </row>
    <row r="194" spans="10:21" s="1" customFormat="1" x14ac:dyDescent="0.2">
      <c r="J194"/>
      <c r="K194"/>
      <c r="L194"/>
      <c r="M194"/>
      <c r="N194"/>
      <c r="O194" s="392"/>
      <c r="P194" s="2"/>
      <c r="R194"/>
      <c r="S194"/>
      <c r="U194"/>
    </row>
    <row r="195" spans="10:21" s="1" customFormat="1" x14ac:dyDescent="0.2">
      <c r="J195"/>
      <c r="K195"/>
      <c r="L195"/>
      <c r="M195"/>
      <c r="N195"/>
      <c r="O195" s="392"/>
      <c r="P195" s="2"/>
      <c r="R195"/>
      <c r="S195"/>
      <c r="U195"/>
    </row>
    <row r="196" spans="10:21" s="1" customFormat="1" x14ac:dyDescent="0.2">
      <c r="J196"/>
      <c r="K196"/>
      <c r="L196"/>
      <c r="M196"/>
      <c r="N196"/>
      <c r="O196" s="392"/>
      <c r="P196" s="2"/>
      <c r="R196"/>
      <c r="S196"/>
      <c r="U196"/>
    </row>
    <row r="197" spans="10:21" s="1" customFormat="1" x14ac:dyDescent="0.2">
      <c r="J197"/>
      <c r="K197"/>
      <c r="L197"/>
      <c r="M197"/>
      <c r="N197"/>
      <c r="O197" s="392"/>
      <c r="P197" s="2"/>
      <c r="R197"/>
      <c r="S197"/>
      <c r="U197"/>
    </row>
    <row r="198" spans="10:21" s="1" customFormat="1" x14ac:dyDescent="0.2">
      <c r="J198"/>
      <c r="K198"/>
      <c r="L198"/>
      <c r="M198"/>
      <c r="N198"/>
      <c r="O198" s="392"/>
      <c r="P198" s="2"/>
      <c r="R198"/>
      <c r="S198"/>
      <c r="U198"/>
    </row>
    <row r="199" spans="10:21" s="1" customFormat="1" x14ac:dyDescent="0.2">
      <c r="J199"/>
      <c r="K199"/>
      <c r="L199"/>
      <c r="M199"/>
      <c r="N199"/>
      <c r="O199" s="392"/>
      <c r="P199" s="2"/>
      <c r="R199"/>
      <c r="S199"/>
      <c r="U199"/>
    </row>
    <row r="200" spans="10:21" s="1" customFormat="1" x14ac:dyDescent="0.2">
      <c r="J200"/>
      <c r="K200"/>
      <c r="L200"/>
      <c r="M200"/>
      <c r="N200"/>
      <c r="O200" s="392"/>
      <c r="P200" s="2"/>
      <c r="R200"/>
      <c r="S200"/>
      <c r="U200"/>
    </row>
    <row r="201" spans="10:21" s="1" customFormat="1" x14ac:dyDescent="0.2">
      <c r="J201"/>
      <c r="K201"/>
      <c r="L201"/>
      <c r="M201"/>
      <c r="N201"/>
      <c r="O201" s="392"/>
      <c r="P201" s="2"/>
      <c r="R201"/>
      <c r="S201"/>
      <c r="U201"/>
    </row>
    <row r="202" spans="10:21" s="1" customFormat="1" x14ac:dyDescent="0.2">
      <c r="J202"/>
      <c r="K202"/>
      <c r="L202"/>
      <c r="M202"/>
      <c r="N202"/>
      <c r="O202" s="392"/>
      <c r="P202" s="2"/>
      <c r="R202"/>
      <c r="S202"/>
      <c r="U202"/>
    </row>
    <row r="203" spans="10:21" s="1" customFormat="1" x14ac:dyDescent="0.2">
      <c r="J203"/>
      <c r="K203"/>
      <c r="L203"/>
      <c r="M203"/>
      <c r="N203"/>
      <c r="O203" s="392"/>
      <c r="P203" s="2"/>
      <c r="R203"/>
      <c r="S203"/>
      <c r="U203"/>
    </row>
    <row r="204" spans="10:21" s="1" customFormat="1" x14ac:dyDescent="0.2">
      <c r="J204"/>
      <c r="K204"/>
      <c r="L204"/>
      <c r="M204"/>
      <c r="N204"/>
      <c r="O204" s="392"/>
      <c r="P204" s="2"/>
      <c r="R204"/>
      <c r="S204"/>
      <c r="U204"/>
    </row>
    <row r="205" spans="10:21" s="1" customFormat="1" x14ac:dyDescent="0.2">
      <c r="J205"/>
      <c r="K205"/>
      <c r="L205"/>
      <c r="M205"/>
      <c r="N205"/>
      <c r="O205" s="392"/>
      <c r="P205" s="2"/>
      <c r="R205"/>
      <c r="S205"/>
      <c r="U205"/>
    </row>
    <row r="206" spans="10:21" s="1" customFormat="1" x14ac:dyDescent="0.2">
      <c r="J206"/>
      <c r="K206"/>
      <c r="L206"/>
      <c r="M206"/>
      <c r="N206"/>
      <c r="O206" s="392"/>
      <c r="P206" s="2"/>
      <c r="R206"/>
      <c r="S206"/>
      <c r="U206"/>
    </row>
    <row r="207" spans="10:21" s="1" customFormat="1" x14ac:dyDescent="0.2">
      <c r="J207"/>
      <c r="K207"/>
      <c r="L207"/>
      <c r="M207"/>
      <c r="N207"/>
      <c r="O207" s="392"/>
      <c r="P207" s="2"/>
      <c r="R207"/>
      <c r="S207"/>
      <c r="U207"/>
    </row>
    <row r="208" spans="10:21" s="1" customFormat="1" x14ac:dyDescent="0.2">
      <c r="J208"/>
      <c r="K208"/>
      <c r="L208"/>
      <c r="M208"/>
      <c r="N208"/>
      <c r="O208" s="392"/>
      <c r="P208" s="2"/>
      <c r="R208"/>
      <c r="S208"/>
      <c r="U208"/>
    </row>
    <row r="209" spans="10:21" s="1" customFormat="1" x14ac:dyDescent="0.2">
      <c r="J209"/>
      <c r="K209"/>
      <c r="L209"/>
      <c r="M209"/>
      <c r="N209"/>
      <c r="O209" s="392"/>
      <c r="P209" s="2"/>
      <c r="R209"/>
      <c r="S209"/>
      <c r="U209"/>
    </row>
    <row r="210" spans="10:21" s="1" customFormat="1" x14ac:dyDescent="0.2">
      <c r="J210"/>
      <c r="K210"/>
      <c r="L210"/>
      <c r="M210"/>
      <c r="N210"/>
      <c r="O210" s="392"/>
      <c r="P210" s="2"/>
      <c r="R210"/>
      <c r="S210"/>
      <c r="U210"/>
    </row>
    <row r="211" spans="10:21" s="1" customFormat="1" x14ac:dyDescent="0.2">
      <c r="J211"/>
      <c r="K211"/>
      <c r="L211"/>
      <c r="M211"/>
      <c r="N211"/>
      <c r="O211" s="392"/>
      <c r="P211" s="2"/>
      <c r="R211"/>
      <c r="S211"/>
      <c r="U211"/>
    </row>
    <row r="212" spans="10:21" s="1" customFormat="1" x14ac:dyDescent="0.2">
      <c r="J212"/>
      <c r="K212"/>
      <c r="L212"/>
      <c r="M212"/>
      <c r="N212"/>
      <c r="O212" s="392"/>
      <c r="P212" s="2"/>
      <c r="R212"/>
      <c r="S212"/>
      <c r="U212"/>
    </row>
    <row r="213" spans="10:21" s="1" customFormat="1" x14ac:dyDescent="0.2">
      <c r="J213"/>
      <c r="K213"/>
      <c r="L213"/>
      <c r="M213"/>
      <c r="N213"/>
      <c r="O213" s="392"/>
      <c r="P213" s="2"/>
      <c r="R213"/>
      <c r="S213"/>
      <c r="U213"/>
    </row>
    <row r="214" spans="10:21" s="1" customFormat="1" x14ac:dyDescent="0.2">
      <c r="J214"/>
      <c r="K214"/>
      <c r="L214"/>
      <c r="M214"/>
      <c r="N214"/>
      <c r="O214" s="392"/>
      <c r="P214" s="2"/>
      <c r="R214"/>
      <c r="S214"/>
      <c r="U214"/>
    </row>
    <row r="215" spans="10:21" s="1" customFormat="1" x14ac:dyDescent="0.2">
      <c r="J215"/>
      <c r="K215"/>
      <c r="L215"/>
      <c r="M215"/>
      <c r="N215"/>
      <c r="O215" s="392"/>
      <c r="P215" s="2"/>
      <c r="R215"/>
      <c r="S215"/>
      <c r="U215"/>
    </row>
    <row r="216" spans="10:21" s="1" customFormat="1" x14ac:dyDescent="0.2">
      <c r="J216"/>
      <c r="K216"/>
      <c r="L216"/>
      <c r="M216"/>
      <c r="N216"/>
      <c r="O216" s="392"/>
      <c r="P216" s="2"/>
      <c r="R216"/>
      <c r="S216"/>
      <c r="U216"/>
    </row>
    <row r="217" spans="10:21" s="1" customFormat="1" x14ac:dyDescent="0.2">
      <c r="J217"/>
      <c r="K217"/>
      <c r="L217"/>
      <c r="M217"/>
      <c r="N217"/>
      <c r="O217" s="392"/>
      <c r="P217" s="2"/>
      <c r="R217"/>
      <c r="S217"/>
      <c r="U217"/>
    </row>
    <row r="218" spans="10:21" s="1" customFormat="1" x14ac:dyDescent="0.2">
      <c r="J218"/>
      <c r="K218"/>
      <c r="L218"/>
      <c r="M218"/>
      <c r="N218"/>
      <c r="O218" s="392"/>
      <c r="P218" s="2"/>
      <c r="R218"/>
      <c r="S218"/>
      <c r="U218"/>
    </row>
    <row r="219" spans="10:21" s="1" customFormat="1" x14ac:dyDescent="0.2">
      <c r="J219"/>
      <c r="K219"/>
      <c r="L219"/>
      <c r="M219"/>
      <c r="N219"/>
      <c r="O219" s="392"/>
      <c r="P219" s="2"/>
      <c r="R219"/>
      <c r="S219"/>
      <c r="U219"/>
    </row>
    <row r="220" spans="10:21" s="1" customFormat="1" x14ac:dyDescent="0.2">
      <c r="J220"/>
      <c r="K220"/>
      <c r="L220"/>
      <c r="M220"/>
      <c r="N220"/>
      <c r="O220" s="392"/>
      <c r="P220" s="2"/>
      <c r="R220"/>
      <c r="S220"/>
      <c r="U220"/>
    </row>
    <row r="221" spans="10:21" s="1" customFormat="1" x14ac:dyDescent="0.2">
      <c r="J221"/>
      <c r="K221"/>
      <c r="L221"/>
      <c r="M221"/>
      <c r="N221"/>
      <c r="O221" s="392"/>
      <c r="P221" s="2"/>
      <c r="R221"/>
      <c r="S221"/>
      <c r="U221"/>
    </row>
    <row r="222" spans="10:21" s="1" customFormat="1" x14ac:dyDescent="0.2">
      <c r="J222"/>
      <c r="K222"/>
      <c r="L222"/>
      <c r="M222"/>
      <c r="N222"/>
      <c r="O222" s="392"/>
      <c r="P222" s="2"/>
      <c r="R222"/>
      <c r="S222"/>
      <c r="U222"/>
    </row>
    <row r="223" spans="10:21" s="1" customFormat="1" x14ac:dyDescent="0.2">
      <c r="J223"/>
      <c r="K223"/>
      <c r="L223"/>
      <c r="M223"/>
      <c r="N223"/>
      <c r="O223" s="392"/>
      <c r="P223" s="2"/>
      <c r="R223"/>
      <c r="S223"/>
      <c r="U223"/>
    </row>
    <row r="224" spans="10:21" s="1" customFormat="1" x14ac:dyDescent="0.2">
      <c r="J224"/>
      <c r="K224"/>
      <c r="L224"/>
      <c r="M224"/>
      <c r="N224"/>
      <c r="O224" s="392"/>
      <c r="P224" s="2"/>
      <c r="R224"/>
      <c r="S224"/>
      <c r="U224"/>
    </row>
    <row r="225" spans="10:21" s="1" customFormat="1" x14ac:dyDescent="0.2">
      <c r="J225"/>
      <c r="K225"/>
      <c r="L225"/>
      <c r="M225"/>
      <c r="N225"/>
      <c r="O225" s="392"/>
      <c r="P225" s="2"/>
      <c r="R225"/>
      <c r="S225"/>
      <c r="U225"/>
    </row>
    <row r="226" spans="10:21" s="1" customFormat="1" x14ac:dyDescent="0.2">
      <c r="J226"/>
      <c r="K226"/>
      <c r="L226"/>
      <c r="M226"/>
      <c r="N226"/>
      <c r="O226" s="392"/>
      <c r="P226" s="2"/>
      <c r="R226"/>
      <c r="S226"/>
      <c r="U226"/>
    </row>
    <row r="227" spans="10:21" s="1" customFormat="1" x14ac:dyDescent="0.2">
      <c r="J227"/>
      <c r="K227"/>
      <c r="L227"/>
      <c r="M227"/>
      <c r="N227"/>
      <c r="O227" s="392"/>
      <c r="P227" s="2"/>
      <c r="R227"/>
      <c r="S227"/>
      <c r="U227"/>
    </row>
    <row r="228" spans="10:21" s="1" customFormat="1" x14ac:dyDescent="0.2">
      <c r="J228"/>
      <c r="K228"/>
      <c r="L228"/>
      <c r="M228"/>
      <c r="N228"/>
      <c r="O228" s="392"/>
      <c r="P228" s="2"/>
      <c r="R228"/>
      <c r="S228"/>
      <c r="U228"/>
    </row>
    <row r="229" spans="10:21" s="1" customFormat="1" x14ac:dyDescent="0.2">
      <c r="J229"/>
      <c r="K229"/>
      <c r="L229"/>
      <c r="M229"/>
      <c r="N229"/>
      <c r="O229" s="392"/>
      <c r="P229" s="2"/>
      <c r="R229"/>
      <c r="S229"/>
      <c r="U229"/>
    </row>
    <row r="230" spans="10:21" s="1" customFormat="1" x14ac:dyDescent="0.2">
      <c r="J230"/>
      <c r="K230"/>
      <c r="L230"/>
      <c r="M230"/>
      <c r="N230"/>
      <c r="O230" s="392"/>
      <c r="P230" s="2"/>
      <c r="R230"/>
      <c r="S230"/>
      <c r="U230"/>
    </row>
    <row r="231" spans="10:21" s="1" customFormat="1" x14ac:dyDescent="0.2">
      <c r="J231"/>
      <c r="K231"/>
      <c r="L231"/>
      <c r="M231"/>
      <c r="N231"/>
      <c r="O231" s="392"/>
      <c r="P231" s="2"/>
      <c r="R231"/>
      <c r="S231"/>
      <c r="U231"/>
    </row>
    <row r="232" spans="10:21" s="1" customFormat="1" x14ac:dyDescent="0.2">
      <c r="J232"/>
      <c r="K232"/>
      <c r="L232"/>
      <c r="M232"/>
      <c r="N232"/>
      <c r="O232" s="392"/>
      <c r="P232" s="2"/>
      <c r="R232"/>
      <c r="S232"/>
      <c r="U232"/>
    </row>
    <row r="233" spans="10:21" s="1" customFormat="1" x14ac:dyDescent="0.2">
      <c r="J233"/>
      <c r="K233"/>
      <c r="L233"/>
      <c r="M233"/>
      <c r="N233"/>
      <c r="O233" s="392"/>
      <c r="P233" s="2"/>
      <c r="R233"/>
      <c r="S233"/>
      <c r="U233"/>
    </row>
    <row r="234" spans="10:21" s="1" customFormat="1" x14ac:dyDescent="0.2">
      <c r="J234"/>
      <c r="K234"/>
      <c r="L234"/>
      <c r="M234"/>
      <c r="N234"/>
      <c r="O234" s="392"/>
      <c r="P234" s="2"/>
      <c r="R234"/>
      <c r="S234"/>
      <c r="U234"/>
    </row>
    <row r="235" spans="10:21" s="1" customFormat="1" x14ac:dyDescent="0.2">
      <c r="J235"/>
      <c r="K235"/>
      <c r="L235"/>
      <c r="M235"/>
      <c r="N235"/>
      <c r="O235" s="392"/>
      <c r="P235" s="2"/>
      <c r="R235"/>
      <c r="S235"/>
      <c r="U235"/>
    </row>
    <row r="236" spans="10:21" s="1" customFormat="1" x14ac:dyDescent="0.2">
      <c r="J236"/>
      <c r="K236"/>
      <c r="L236"/>
      <c r="M236"/>
      <c r="N236"/>
      <c r="O236" s="392"/>
      <c r="P236" s="2"/>
      <c r="R236"/>
      <c r="S236"/>
      <c r="U236"/>
    </row>
    <row r="237" spans="10:21" s="1" customFormat="1" x14ac:dyDescent="0.2">
      <c r="J237"/>
      <c r="K237"/>
      <c r="L237"/>
      <c r="M237"/>
      <c r="N237"/>
      <c r="O237" s="392"/>
      <c r="P237" s="2"/>
      <c r="R237"/>
      <c r="S237"/>
      <c r="U237"/>
    </row>
    <row r="238" spans="10:21" s="1" customFormat="1" x14ac:dyDescent="0.2">
      <c r="J238"/>
      <c r="K238"/>
      <c r="L238"/>
      <c r="M238"/>
      <c r="N238"/>
      <c r="O238" s="392"/>
      <c r="P238" s="2"/>
      <c r="R238"/>
      <c r="S238"/>
      <c r="U238"/>
    </row>
    <row r="239" spans="10:21" s="1" customFormat="1" x14ac:dyDescent="0.2">
      <c r="J239"/>
      <c r="K239"/>
      <c r="L239"/>
      <c r="M239"/>
      <c r="N239"/>
      <c r="O239" s="392"/>
      <c r="P239" s="2"/>
      <c r="R239"/>
      <c r="S239"/>
      <c r="U239"/>
    </row>
    <row r="240" spans="10:21" s="1" customFormat="1" x14ac:dyDescent="0.2">
      <c r="J240"/>
      <c r="K240"/>
      <c r="L240"/>
      <c r="M240"/>
      <c r="N240"/>
      <c r="O240" s="392"/>
      <c r="P240" s="2"/>
      <c r="R240"/>
      <c r="S240"/>
      <c r="U240"/>
    </row>
    <row r="241" spans="10:21" s="1" customFormat="1" x14ac:dyDescent="0.2">
      <c r="J241"/>
      <c r="K241"/>
      <c r="L241"/>
      <c r="M241"/>
      <c r="N241"/>
      <c r="O241" s="392"/>
      <c r="P241" s="2"/>
      <c r="R241"/>
      <c r="S241"/>
      <c r="U241"/>
    </row>
    <row r="242" spans="10:21" s="1" customFormat="1" x14ac:dyDescent="0.2">
      <c r="J242"/>
      <c r="K242"/>
      <c r="L242"/>
      <c r="M242"/>
      <c r="N242"/>
      <c r="O242" s="392"/>
      <c r="P242" s="2"/>
      <c r="R242"/>
      <c r="S242"/>
      <c r="U242"/>
    </row>
    <row r="243" spans="10:21" s="1" customFormat="1" x14ac:dyDescent="0.2">
      <c r="J243"/>
      <c r="K243"/>
      <c r="L243"/>
      <c r="M243"/>
      <c r="N243"/>
      <c r="O243" s="392"/>
      <c r="P243" s="2"/>
      <c r="R243"/>
      <c r="S243"/>
      <c r="U243"/>
    </row>
    <row r="244" spans="10:21" s="1" customFormat="1" x14ac:dyDescent="0.2">
      <c r="J244"/>
      <c r="K244"/>
      <c r="L244"/>
      <c r="M244"/>
      <c r="N244"/>
      <c r="O244" s="392"/>
      <c r="P244" s="2"/>
      <c r="R244"/>
      <c r="S244"/>
      <c r="U244"/>
    </row>
    <row r="245" spans="10:21" s="1" customFormat="1" x14ac:dyDescent="0.2">
      <c r="J245"/>
      <c r="K245"/>
      <c r="L245"/>
      <c r="M245"/>
      <c r="N245"/>
      <c r="O245" s="392"/>
      <c r="P245" s="2"/>
      <c r="R245"/>
      <c r="S245"/>
      <c r="U245"/>
    </row>
    <row r="246" spans="10:21" s="1" customFormat="1" x14ac:dyDescent="0.2">
      <c r="J246"/>
      <c r="K246"/>
      <c r="L246"/>
      <c r="M246"/>
      <c r="N246"/>
      <c r="O246" s="392"/>
      <c r="P246" s="2"/>
      <c r="R246"/>
      <c r="S246"/>
      <c r="U246"/>
    </row>
    <row r="247" spans="10:21" s="1" customFormat="1" x14ac:dyDescent="0.2">
      <c r="J247"/>
      <c r="K247"/>
      <c r="L247"/>
      <c r="M247"/>
      <c r="N247"/>
      <c r="O247" s="392"/>
      <c r="P247" s="2"/>
      <c r="R247"/>
      <c r="S247"/>
      <c r="U247"/>
    </row>
    <row r="248" spans="10:21" s="1" customFormat="1" x14ac:dyDescent="0.2">
      <c r="J248"/>
      <c r="K248"/>
      <c r="L248"/>
      <c r="M248"/>
      <c r="N248"/>
      <c r="O248" s="392"/>
      <c r="P248" s="2"/>
      <c r="R248"/>
      <c r="S248"/>
      <c r="U248"/>
    </row>
    <row r="249" spans="10:21" s="1" customFormat="1" x14ac:dyDescent="0.2">
      <c r="J249"/>
      <c r="K249"/>
      <c r="L249"/>
      <c r="M249"/>
      <c r="N249"/>
      <c r="O249" s="392"/>
      <c r="P249" s="2"/>
      <c r="R249"/>
      <c r="S249"/>
      <c r="U249"/>
    </row>
    <row r="250" spans="10:21" s="1" customFormat="1" x14ac:dyDescent="0.2">
      <c r="J250"/>
      <c r="K250"/>
      <c r="L250"/>
      <c r="M250"/>
      <c r="N250"/>
      <c r="O250" s="392"/>
      <c r="P250" s="2"/>
      <c r="R250"/>
      <c r="S250"/>
      <c r="U250"/>
    </row>
    <row r="251" spans="10:21" s="1" customFormat="1" x14ac:dyDescent="0.2">
      <c r="J251"/>
      <c r="K251"/>
      <c r="L251"/>
      <c r="M251"/>
      <c r="N251"/>
      <c r="O251" s="392"/>
      <c r="P251" s="2"/>
      <c r="R251"/>
      <c r="S251"/>
      <c r="U251"/>
    </row>
    <row r="252" spans="10:21" s="1" customFormat="1" x14ac:dyDescent="0.2">
      <c r="J252"/>
      <c r="K252"/>
      <c r="L252"/>
      <c r="M252"/>
      <c r="N252"/>
      <c r="O252" s="392"/>
      <c r="P252" s="2"/>
      <c r="R252"/>
      <c r="S252"/>
      <c r="U252"/>
    </row>
    <row r="253" spans="10:21" s="1" customFormat="1" x14ac:dyDescent="0.2">
      <c r="J253"/>
      <c r="K253"/>
      <c r="L253"/>
      <c r="M253"/>
      <c r="N253"/>
      <c r="O253" s="392"/>
      <c r="P253" s="2"/>
      <c r="R253"/>
      <c r="S253"/>
      <c r="U253"/>
    </row>
    <row r="254" spans="10:21" s="1" customFormat="1" x14ac:dyDescent="0.2">
      <c r="J254"/>
      <c r="K254"/>
      <c r="L254"/>
      <c r="M254"/>
      <c r="N254"/>
      <c r="O254" s="392"/>
      <c r="P254" s="2"/>
      <c r="R254"/>
      <c r="S254"/>
      <c r="U254"/>
    </row>
    <row r="255" spans="10:21" s="1" customFormat="1" x14ac:dyDescent="0.2">
      <c r="J255"/>
      <c r="K255"/>
      <c r="L255"/>
      <c r="M255"/>
      <c r="N255"/>
      <c r="O255" s="392"/>
      <c r="P255" s="2"/>
      <c r="R255"/>
      <c r="S255"/>
      <c r="U255"/>
    </row>
    <row r="256" spans="10:21" s="1" customFormat="1" x14ac:dyDescent="0.2">
      <c r="J256"/>
      <c r="K256"/>
      <c r="L256"/>
      <c r="M256"/>
      <c r="N256"/>
      <c r="O256" s="392"/>
      <c r="P256" s="2"/>
      <c r="R256"/>
      <c r="S256"/>
      <c r="U256"/>
    </row>
    <row r="257" spans="10:21" s="1" customFormat="1" x14ac:dyDescent="0.2">
      <c r="J257"/>
      <c r="K257"/>
      <c r="L257"/>
      <c r="M257"/>
      <c r="N257"/>
      <c r="O257" s="392"/>
      <c r="P257" s="2"/>
      <c r="R257"/>
      <c r="S257"/>
      <c r="U257"/>
    </row>
    <row r="258" spans="10:21" s="1" customFormat="1" x14ac:dyDescent="0.2">
      <c r="J258"/>
      <c r="K258"/>
      <c r="L258"/>
      <c r="M258"/>
      <c r="N258"/>
      <c r="O258" s="392"/>
      <c r="P258" s="2"/>
      <c r="R258"/>
      <c r="S258"/>
      <c r="U258"/>
    </row>
    <row r="259" spans="10:21" s="1" customFormat="1" x14ac:dyDescent="0.2">
      <c r="J259"/>
      <c r="K259"/>
      <c r="L259"/>
      <c r="M259"/>
      <c r="N259"/>
      <c r="O259" s="392"/>
      <c r="P259" s="2"/>
      <c r="R259"/>
      <c r="S259"/>
      <c r="U259"/>
    </row>
    <row r="260" spans="10:21" s="1" customFormat="1" x14ac:dyDescent="0.2">
      <c r="J260"/>
      <c r="K260"/>
      <c r="L260"/>
      <c r="M260"/>
      <c r="N260"/>
      <c r="O260" s="392"/>
      <c r="P260" s="2"/>
      <c r="R260"/>
      <c r="S260"/>
      <c r="U260"/>
    </row>
    <row r="261" spans="10:21" s="1" customFormat="1" x14ac:dyDescent="0.2">
      <c r="J261"/>
      <c r="K261"/>
      <c r="L261"/>
      <c r="M261"/>
      <c r="N261"/>
      <c r="O261" s="392"/>
      <c r="P261" s="2"/>
      <c r="R261"/>
      <c r="S261"/>
      <c r="U261"/>
    </row>
    <row r="262" spans="10:21" s="1" customFormat="1" x14ac:dyDescent="0.2">
      <c r="J262"/>
      <c r="K262"/>
      <c r="L262"/>
      <c r="M262"/>
      <c r="N262"/>
      <c r="O262" s="392"/>
      <c r="P262" s="2"/>
      <c r="R262"/>
      <c r="S262"/>
      <c r="U262"/>
    </row>
    <row r="263" spans="10:21" s="1" customFormat="1" x14ac:dyDescent="0.2">
      <c r="J263"/>
      <c r="K263"/>
      <c r="L263"/>
      <c r="M263"/>
      <c r="N263"/>
      <c r="O263" s="392"/>
      <c r="P263" s="2"/>
      <c r="R263"/>
      <c r="S263"/>
      <c r="U263"/>
    </row>
    <row r="264" spans="10:21" s="1" customFormat="1" x14ac:dyDescent="0.2">
      <c r="J264"/>
      <c r="K264"/>
      <c r="L264"/>
      <c r="M264"/>
      <c r="N264"/>
      <c r="O264" s="392"/>
      <c r="P264" s="2"/>
      <c r="R264"/>
      <c r="S264"/>
      <c r="U264"/>
    </row>
    <row r="265" spans="10:21" s="1" customFormat="1" x14ac:dyDescent="0.2">
      <c r="J265"/>
      <c r="K265"/>
      <c r="L265"/>
      <c r="M265"/>
      <c r="N265"/>
      <c r="O265" s="392"/>
      <c r="P265" s="2"/>
      <c r="R265"/>
      <c r="S265"/>
      <c r="U265"/>
    </row>
    <row r="266" spans="10:21" s="1" customFormat="1" x14ac:dyDescent="0.2">
      <c r="J266"/>
      <c r="K266"/>
      <c r="L266"/>
      <c r="M266"/>
      <c r="N266"/>
      <c r="O266" s="392"/>
      <c r="P266" s="2"/>
      <c r="R266"/>
      <c r="S266"/>
      <c r="U266"/>
    </row>
    <row r="267" spans="10:21" s="1" customFormat="1" x14ac:dyDescent="0.2">
      <c r="J267"/>
      <c r="K267"/>
      <c r="L267"/>
      <c r="M267"/>
      <c r="N267"/>
      <c r="O267" s="392"/>
      <c r="P267" s="2"/>
      <c r="R267"/>
      <c r="S267"/>
      <c r="U267"/>
    </row>
    <row r="268" spans="10:21" s="1" customFormat="1" x14ac:dyDescent="0.2">
      <c r="J268"/>
      <c r="K268"/>
      <c r="L268"/>
      <c r="M268"/>
      <c r="N268"/>
      <c r="O268" s="392"/>
      <c r="P268" s="2"/>
      <c r="R268"/>
      <c r="S268"/>
      <c r="U268"/>
    </row>
    <row r="269" spans="10:21" s="1" customFormat="1" x14ac:dyDescent="0.2">
      <c r="J269"/>
      <c r="K269"/>
      <c r="L269"/>
      <c r="M269"/>
      <c r="N269"/>
      <c r="O269" s="392"/>
      <c r="P269" s="2"/>
      <c r="R269"/>
      <c r="S269"/>
      <c r="U269"/>
    </row>
    <row r="270" spans="10:21" s="1" customFormat="1" x14ac:dyDescent="0.2">
      <c r="J270"/>
      <c r="K270"/>
      <c r="L270"/>
      <c r="M270"/>
      <c r="N270"/>
      <c r="O270" s="392"/>
      <c r="P270" s="2"/>
      <c r="R270"/>
      <c r="S270"/>
      <c r="U270"/>
    </row>
    <row r="271" spans="10:21" s="1" customFormat="1" x14ac:dyDescent="0.2">
      <c r="J271"/>
      <c r="K271"/>
      <c r="L271"/>
      <c r="M271"/>
      <c r="N271"/>
      <c r="O271" s="392"/>
      <c r="P271" s="2"/>
      <c r="R271"/>
      <c r="S271"/>
      <c r="U271"/>
    </row>
    <row r="272" spans="10:21" s="1" customFormat="1" x14ac:dyDescent="0.2">
      <c r="J272"/>
      <c r="K272"/>
      <c r="L272"/>
      <c r="M272"/>
      <c r="N272"/>
      <c r="O272" s="392"/>
      <c r="P272" s="2"/>
      <c r="R272"/>
      <c r="S272"/>
      <c r="U272"/>
    </row>
    <row r="273" spans="10:21" s="1" customFormat="1" x14ac:dyDescent="0.2">
      <c r="J273"/>
      <c r="K273"/>
      <c r="L273"/>
      <c r="M273"/>
      <c r="N273"/>
      <c r="O273" s="392"/>
      <c r="P273" s="2"/>
      <c r="R273"/>
      <c r="S273"/>
      <c r="U273"/>
    </row>
    <row r="274" spans="10:21" s="1" customFormat="1" x14ac:dyDescent="0.2">
      <c r="J274"/>
      <c r="K274"/>
      <c r="L274"/>
      <c r="M274"/>
      <c r="N274"/>
      <c r="O274" s="392"/>
      <c r="P274" s="2"/>
      <c r="R274"/>
      <c r="S274"/>
      <c r="U274"/>
    </row>
    <row r="275" spans="10:21" s="1" customFormat="1" x14ac:dyDescent="0.2">
      <c r="J275"/>
      <c r="K275"/>
      <c r="L275"/>
      <c r="M275"/>
      <c r="N275"/>
      <c r="O275" s="392"/>
      <c r="P275" s="2"/>
      <c r="R275"/>
      <c r="S275"/>
      <c r="U275"/>
    </row>
    <row r="276" spans="10:21" s="1" customFormat="1" x14ac:dyDescent="0.2">
      <c r="J276"/>
      <c r="K276"/>
      <c r="L276"/>
      <c r="M276"/>
      <c r="N276"/>
      <c r="O276" s="392"/>
      <c r="P276" s="2"/>
      <c r="R276"/>
      <c r="S276"/>
      <c r="U276"/>
    </row>
    <row r="277" spans="10:21" s="1" customFormat="1" x14ac:dyDescent="0.2">
      <c r="J277"/>
      <c r="K277"/>
      <c r="L277"/>
      <c r="M277"/>
      <c r="N277"/>
      <c r="O277" s="392"/>
      <c r="P277" s="2"/>
      <c r="R277"/>
      <c r="S277"/>
      <c r="U277"/>
    </row>
    <row r="278" spans="10:21" s="1" customFormat="1" x14ac:dyDescent="0.2">
      <c r="J278"/>
      <c r="K278"/>
      <c r="L278"/>
      <c r="M278"/>
      <c r="N278"/>
      <c r="O278" s="392"/>
      <c r="P278" s="2"/>
      <c r="R278"/>
      <c r="S278"/>
      <c r="U278"/>
    </row>
    <row r="279" spans="10:21" s="1" customFormat="1" x14ac:dyDescent="0.2">
      <c r="J279"/>
      <c r="K279"/>
      <c r="L279"/>
      <c r="M279"/>
      <c r="N279"/>
      <c r="O279" s="392"/>
      <c r="P279" s="2"/>
      <c r="R279"/>
      <c r="S279"/>
      <c r="U279"/>
    </row>
    <row r="280" spans="10:21" s="1" customFormat="1" x14ac:dyDescent="0.2">
      <c r="J280"/>
      <c r="K280"/>
      <c r="L280"/>
      <c r="M280"/>
      <c r="N280"/>
      <c r="O280" s="392"/>
      <c r="P280" s="2"/>
      <c r="R280"/>
      <c r="S280"/>
      <c r="U280"/>
    </row>
    <row r="281" spans="10:21" s="1" customFormat="1" x14ac:dyDescent="0.2">
      <c r="J281"/>
      <c r="K281"/>
      <c r="L281"/>
      <c r="M281"/>
      <c r="N281"/>
      <c r="O281" s="392"/>
      <c r="P281" s="2"/>
      <c r="R281"/>
      <c r="S281"/>
      <c r="U281"/>
    </row>
    <row r="282" spans="10:21" s="1" customFormat="1" x14ac:dyDescent="0.2">
      <c r="J282"/>
      <c r="K282"/>
      <c r="L282"/>
      <c r="M282"/>
      <c r="N282"/>
      <c r="O282" s="392"/>
      <c r="P282" s="2"/>
      <c r="R282"/>
      <c r="S282"/>
      <c r="U282"/>
    </row>
    <row r="283" spans="10:21" s="1" customFormat="1" x14ac:dyDescent="0.2">
      <c r="J283"/>
      <c r="K283"/>
      <c r="L283"/>
      <c r="M283"/>
      <c r="N283"/>
      <c r="O283" s="392"/>
      <c r="P283" s="2"/>
      <c r="R283"/>
      <c r="S283"/>
      <c r="U283"/>
    </row>
    <row r="284" spans="10:21" s="1" customFormat="1" x14ac:dyDescent="0.2">
      <c r="J284"/>
      <c r="K284"/>
      <c r="L284"/>
      <c r="M284"/>
      <c r="N284"/>
      <c r="O284" s="392"/>
      <c r="P284" s="2"/>
      <c r="R284"/>
      <c r="S284"/>
      <c r="U284"/>
    </row>
    <row r="285" spans="10:21" s="1" customFormat="1" x14ac:dyDescent="0.2">
      <c r="J285"/>
      <c r="K285"/>
      <c r="L285"/>
      <c r="M285"/>
      <c r="N285"/>
      <c r="O285" s="392"/>
      <c r="P285" s="2"/>
      <c r="R285"/>
      <c r="S285"/>
      <c r="U285"/>
    </row>
    <row r="286" spans="10:21" s="1" customFormat="1" x14ac:dyDescent="0.2">
      <c r="J286"/>
      <c r="K286"/>
      <c r="L286"/>
      <c r="M286"/>
      <c r="N286"/>
      <c r="O286" s="392"/>
      <c r="P286" s="2"/>
      <c r="R286"/>
      <c r="S286"/>
      <c r="U286"/>
    </row>
    <row r="287" spans="10:21" s="1" customFormat="1" x14ac:dyDescent="0.2">
      <c r="J287"/>
      <c r="K287"/>
      <c r="L287"/>
      <c r="M287"/>
      <c r="N287"/>
      <c r="O287" s="392"/>
      <c r="P287" s="2"/>
      <c r="R287"/>
      <c r="S287"/>
      <c r="U287"/>
    </row>
    <row r="288" spans="10:21" s="1" customFormat="1" x14ac:dyDescent="0.2">
      <c r="J288"/>
      <c r="K288"/>
      <c r="L288"/>
      <c r="M288"/>
      <c r="N288"/>
      <c r="O288" s="392"/>
      <c r="P288" s="2"/>
      <c r="R288"/>
      <c r="S288"/>
      <c r="U288"/>
    </row>
    <row r="289" spans="10:21" s="1" customFormat="1" x14ac:dyDescent="0.2">
      <c r="J289"/>
      <c r="K289"/>
      <c r="L289"/>
      <c r="M289"/>
      <c r="N289"/>
      <c r="O289" s="392"/>
      <c r="P289" s="2"/>
      <c r="R289"/>
      <c r="S289"/>
      <c r="U289"/>
    </row>
    <row r="290" spans="10:21" s="1" customFormat="1" x14ac:dyDescent="0.2">
      <c r="J290"/>
      <c r="K290"/>
      <c r="L290"/>
      <c r="M290"/>
      <c r="N290"/>
      <c r="O290" s="392"/>
      <c r="P290" s="2"/>
      <c r="R290"/>
      <c r="S290"/>
      <c r="U290"/>
    </row>
    <row r="291" spans="10:21" s="1" customFormat="1" x14ac:dyDescent="0.2">
      <c r="J291"/>
      <c r="K291"/>
      <c r="L291"/>
      <c r="M291"/>
      <c r="N291"/>
      <c r="O291" s="392"/>
      <c r="P291" s="2"/>
      <c r="R291"/>
      <c r="S291"/>
      <c r="U291"/>
    </row>
    <row r="292" spans="10:21" s="1" customFormat="1" x14ac:dyDescent="0.2">
      <c r="J292"/>
      <c r="K292"/>
      <c r="L292"/>
      <c r="M292"/>
      <c r="N292"/>
      <c r="O292" s="392"/>
      <c r="P292" s="2"/>
      <c r="R292"/>
      <c r="S292"/>
      <c r="U292"/>
    </row>
    <row r="293" spans="10:21" s="1" customFormat="1" x14ac:dyDescent="0.2">
      <c r="J293"/>
      <c r="K293"/>
      <c r="L293"/>
      <c r="M293"/>
      <c r="N293"/>
      <c r="O293" s="392"/>
      <c r="P293" s="2"/>
      <c r="R293"/>
      <c r="S293"/>
      <c r="U293"/>
    </row>
    <row r="294" spans="10:21" s="1" customFormat="1" x14ac:dyDescent="0.2">
      <c r="J294"/>
      <c r="K294"/>
      <c r="L294"/>
      <c r="M294"/>
      <c r="N294"/>
      <c r="O294" s="392"/>
      <c r="P294" s="2"/>
      <c r="R294"/>
      <c r="S294"/>
      <c r="U294"/>
    </row>
    <row r="295" spans="10:21" s="1" customFormat="1" x14ac:dyDescent="0.2">
      <c r="J295"/>
      <c r="K295"/>
      <c r="L295"/>
      <c r="M295"/>
      <c r="N295"/>
      <c r="O295" s="392"/>
      <c r="P295" s="2"/>
      <c r="R295"/>
      <c r="S295"/>
      <c r="U295"/>
    </row>
    <row r="296" spans="10:21" s="1" customFormat="1" x14ac:dyDescent="0.2">
      <c r="J296"/>
      <c r="K296"/>
      <c r="L296"/>
      <c r="M296"/>
      <c r="N296"/>
      <c r="O296" s="392"/>
      <c r="P296" s="2"/>
      <c r="R296"/>
      <c r="S296"/>
      <c r="U296"/>
    </row>
    <row r="297" spans="10:21" s="1" customFormat="1" x14ac:dyDescent="0.2">
      <c r="J297"/>
      <c r="K297"/>
      <c r="L297"/>
      <c r="M297"/>
      <c r="N297"/>
      <c r="O297" s="392"/>
      <c r="P297" s="2"/>
      <c r="R297"/>
      <c r="S297"/>
      <c r="U297"/>
    </row>
    <row r="298" spans="10:21" s="1" customFormat="1" x14ac:dyDescent="0.2">
      <c r="J298"/>
      <c r="K298"/>
      <c r="L298"/>
      <c r="M298"/>
      <c r="N298"/>
      <c r="O298" s="392"/>
      <c r="P298" s="2"/>
      <c r="R298"/>
      <c r="S298"/>
      <c r="U298"/>
    </row>
    <row r="299" spans="10:21" s="1" customFormat="1" x14ac:dyDescent="0.2">
      <c r="J299"/>
      <c r="K299"/>
      <c r="L299"/>
      <c r="M299"/>
      <c r="N299"/>
      <c r="O299" s="392"/>
      <c r="P299" s="2"/>
      <c r="R299"/>
      <c r="S299"/>
      <c r="U299"/>
    </row>
    <row r="300" spans="10:21" s="1" customFormat="1" x14ac:dyDescent="0.2">
      <c r="J300"/>
      <c r="K300"/>
      <c r="L300"/>
      <c r="M300"/>
      <c r="N300"/>
      <c r="O300" s="392"/>
      <c r="P300" s="2"/>
      <c r="R300"/>
      <c r="S300"/>
      <c r="U300"/>
    </row>
    <row r="301" spans="10:21" s="1" customFormat="1" x14ac:dyDescent="0.2">
      <c r="J301"/>
      <c r="K301"/>
      <c r="L301"/>
      <c r="M301"/>
      <c r="N301"/>
      <c r="O301" s="392"/>
      <c r="P301" s="2"/>
      <c r="R301"/>
      <c r="S301"/>
      <c r="U301"/>
    </row>
    <row r="302" spans="10:21" s="1" customFormat="1" x14ac:dyDescent="0.2">
      <c r="J302"/>
      <c r="K302"/>
      <c r="L302"/>
      <c r="M302"/>
      <c r="N302"/>
      <c r="O302" s="392"/>
      <c r="P302" s="2"/>
      <c r="R302"/>
      <c r="S302"/>
      <c r="U302"/>
    </row>
    <row r="303" spans="10:21" s="1" customFormat="1" x14ac:dyDescent="0.2">
      <c r="J303"/>
      <c r="K303"/>
      <c r="L303"/>
      <c r="M303"/>
      <c r="N303"/>
      <c r="O303" s="392"/>
      <c r="P303" s="2"/>
      <c r="R303"/>
      <c r="S303"/>
      <c r="U303"/>
    </row>
    <row r="304" spans="10:21" s="1" customFormat="1" x14ac:dyDescent="0.2">
      <c r="J304"/>
      <c r="K304"/>
      <c r="L304"/>
      <c r="M304"/>
      <c r="N304"/>
      <c r="O304" s="392"/>
      <c r="P304" s="2"/>
      <c r="R304"/>
      <c r="S304"/>
      <c r="U304"/>
    </row>
    <row r="305" spans="10:21" s="1" customFormat="1" x14ac:dyDescent="0.2">
      <c r="J305"/>
      <c r="K305"/>
      <c r="L305"/>
      <c r="M305"/>
      <c r="N305"/>
      <c r="O305" s="392"/>
      <c r="P305" s="2"/>
      <c r="R305"/>
      <c r="S305"/>
      <c r="U305"/>
    </row>
    <row r="306" spans="10:21" s="1" customFormat="1" x14ac:dyDescent="0.2">
      <c r="J306"/>
      <c r="K306"/>
      <c r="L306"/>
      <c r="M306"/>
      <c r="N306"/>
      <c r="O306" s="392"/>
      <c r="P306" s="2"/>
      <c r="R306"/>
      <c r="S306"/>
      <c r="U306"/>
    </row>
    <row r="307" spans="10:21" s="1" customFormat="1" x14ac:dyDescent="0.2">
      <c r="J307"/>
      <c r="K307"/>
      <c r="L307"/>
      <c r="M307"/>
      <c r="N307"/>
      <c r="O307" s="392"/>
      <c r="P307" s="2"/>
      <c r="R307"/>
      <c r="S307"/>
      <c r="U307"/>
    </row>
    <row r="308" spans="10:21" s="1" customFormat="1" x14ac:dyDescent="0.2">
      <c r="J308"/>
      <c r="K308"/>
      <c r="L308"/>
      <c r="M308"/>
      <c r="N308"/>
      <c r="O308" s="392"/>
      <c r="P308" s="2"/>
      <c r="R308"/>
      <c r="S308"/>
      <c r="U308"/>
    </row>
    <row r="309" spans="10:21" s="1" customFormat="1" x14ac:dyDescent="0.2">
      <c r="J309"/>
      <c r="K309"/>
      <c r="L309"/>
      <c r="M309"/>
      <c r="N309"/>
      <c r="O309" s="392"/>
      <c r="P309" s="2"/>
      <c r="R309"/>
      <c r="S309"/>
      <c r="U309"/>
    </row>
    <row r="310" spans="10:21" s="1" customFormat="1" x14ac:dyDescent="0.2">
      <c r="J310"/>
      <c r="K310"/>
      <c r="L310"/>
      <c r="M310"/>
      <c r="N310"/>
      <c r="O310" s="392"/>
      <c r="P310" s="2"/>
      <c r="R310"/>
      <c r="S310"/>
      <c r="U310"/>
    </row>
    <row r="311" spans="10:21" s="1" customFormat="1" x14ac:dyDescent="0.2">
      <c r="J311"/>
      <c r="K311"/>
      <c r="L311"/>
      <c r="M311"/>
      <c r="N311"/>
      <c r="O311" s="392"/>
      <c r="P311" s="2"/>
      <c r="R311"/>
      <c r="S311"/>
      <c r="U311"/>
    </row>
    <row r="312" spans="10:21" s="1" customFormat="1" x14ac:dyDescent="0.2">
      <c r="J312"/>
      <c r="K312"/>
      <c r="L312"/>
      <c r="M312"/>
      <c r="N312"/>
      <c r="O312" s="392"/>
      <c r="P312" s="2"/>
      <c r="R312"/>
      <c r="S312"/>
      <c r="U312"/>
    </row>
    <row r="313" spans="10:21" s="1" customFormat="1" x14ac:dyDescent="0.2">
      <c r="J313"/>
      <c r="K313"/>
      <c r="L313"/>
      <c r="M313"/>
      <c r="N313"/>
      <c r="O313" s="392"/>
      <c r="P313" s="2"/>
      <c r="R313"/>
      <c r="S313"/>
      <c r="U313"/>
    </row>
    <row r="314" spans="10:21" s="1" customFormat="1" x14ac:dyDescent="0.2">
      <c r="J314"/>
      <c r="K314"/>
      <c r="L314"/>
      <c r="M314"/>
      <c r="N314"/>
      <c r="O314" s="392"/>
      <c r="P314" s="2"/>
      <c r="R314"/>
      <c r="S314"/>
      <c r="U314"/>
    </row>
    <row r="315" spans="10:21" s="1" customFormat="1" x14ac:dyDescent="0.2">
      <c r="J315"/>
      <c r="K315"/>
      <c r="L315"/>
      <c r="M315"/>
      <c r="N315"/>
      <c r="O315" s="392"/>
      <c r="P315" s="2"/>
      <c r="R315"/>
      <c r="S315"/>
      <c r="U315"/>
    </row>
    <row r="316" spans="10:21" s="1" customFormat="1" x14ac:dyDescent="0.2">
      <c r="J316"/>
      <c r="K316"/>
      <c r="L316"/>
      <c r="M316"/>
      <c r="N316"/>
      <c r="O316" s="392"/>
      <c r="P316" s="2"/>
      <c r="R316"/>
      <c r="S316"/>
      <c r="U316"/>
    </row>
    <row r="317" spans="10:21" s="1" customFormat="1" x14ac:dyDescent="0.2">
      <c r="J317"/>
      <c r="K317"/>
      <c r="L317"/>
      <c r="M317"/>
      <c r="N317"/>
      <c r="O317" s="392"/>
      <c r="P317" s="2"/>
      <c r="R317"/>
      <c r="S317"/>
      <c r="U317"/>
    </row>
    <row r="318" spans="10:21" s="1" customFormat="1" x14ac:dyDescent="0.2">
      <c r="J318"/>
      <c r="K318"/>
      <c r="L318"/>
      <c r="M318"/>
      <c r="N318"/>
      <c r="O318" s="392"/>
      <c r="P318" s="2"/>
      <c r="R318"/>
      <c r="S318"/>
      <c r="U318"/>
    </row>
    <row r="319" spans="10:21" s="1" customFormat="1" x14ac:dyDescent="0.2">
      <c r="J319"/>
      <c r="K319"/>
      <c r="L319"/>
      <c r="M319"/>
      <c r="N319"/>
      <c r="O319" s="392"/>
      <c r="P319" s="2"/>
      <c r="R319"/>
      <c r="S319"/>
      <c r="U319"/>
    </row>
    <row r="320" spans="10:21" s="1" customFormat="1" x14ac:dyDescent="0.2">
      <c r="J320"/>
      <c r="K320"/>
      <c r="L320"/>
      <c r="M320"/>
      <c r="N320"/>
      <c r="O320" s="392"/>
      <c r="P320" s="2"/>
      <c r="R320"/>
      <c r="S320"/>
      <c r="U320"/>
    </row>
    <row r="321" spans="10:21" s="1" customFormat="1" x14ac:dyDescent="0.2">
      <c r="J321"/>
      <c r="K321"/>
      <c r="L321"/>
      <c r="M321"/>
      <c r="N321"/>
      <c r="O321" s="392"/>
      <c r="P321" s="2"/>
      <c r="R321"/>
      <c r="S321"/>
      <c r="U321"/>
    </row>
    <row r="322" spans="10:21" s="1" customFormat="1" x14ac:dyDescent="0.2">
      <c r="J322"/>
      <c r="K322"/>
      <c r="L322"/>
      <c r="M322"/>
      <c r="N322"/>
      <c r="O322" s="392"/>
      <c r="P322" s="2"/>
      <c r="R322"/>
      <c r="S322"/>
      <c r="U322"/>
    </row>
    <row r="323" spans="10:21" s="1" customFormat="1" x14ac:dyDescent="0.2">
      <c r="J323"/>
      <c r="K323"/>
      <c r="L323"/>
      <c r="M323"/>
      <c r="N323"/>
      <c r="O323" s="392"/>
      <c r="P323" s="2"/>
      <c r="R323"/>
      <c r="S323"/>
      <c r="U323"/>
    </row>
    <row r="324" spans="10:21" s="1" customFormat="1" x14ac:dyDescent="0.2">
      <c r="J324"/>
      <c r="K324"/>
      <c r="L324"/>
      <c r="M324"/>
      <c r="N324"/>
      <c r="O324" s="392"/>
      <c r="P324" s="2"/>
      <c r="R324"/>
      <c r="S324"/>
      <c r="U324"/>
    </row>
    <row r="325" spans="10:21" s="1" customFormat="1" x14ac:dyDescent="0.2">
      <c r="J325"/>
      <c r="K325"/>
      <c r="L325"/>
      <c r="M325"/>
      <c r="N325"/>
      <c r="O325" s="392"/>
      <c r="P325" s="2"/>
      <c r="R325"/>
      <c r="S325"/>
      <c r="U325"/>
    </row>
    <row r="326" spans="10:21" s="1" customFormat="1" x14ac:dyDescent="0.2">
      <c r="J326"/>
      <c r="K326"/>
      <c r="L326"/>
      <c r="M326"/>
      <c r="N326"/>
      <c r="O326" s="392"/>
      <c r="P326" s="2"/>
      <c r="R326"/>
      <c r="S326"/>
      <c r="U326"/>
    </row>
    <row r="327" spans="10:21" s="1" customFormat="1" x14ac:dyDescent="0.2">
      <c r="J327"/>
      <c r="K327"/>
      <c r="L327"/>
      <c r="M327"/>
      <c r="N327"/>
      <c r="O327" s="392"/>
      <c r="P327" s="2"/>
      <c r="R327"/>
      <c r="S327"/>
      <c r="U327"/>
    </row>
    <row r="328" spans="10:21" s="1" customFormat="1" x14ac:dyDescent="0.2">
      <c r="J328"/>
      <c r="K328"/>
      <c r="L328"/>
      <c r="M328"/>
      <c r="N328"/>
      <c r="O328" s="392"/>
      <c r="P328" s="2"/>
      <c r="R328"/>
      <c r="S328"/>
      <c r="U328"/>
    </row>
    <row r="329" spans="10:21" s="1" customFormat="1" x14ac:dyDescent="0.2">
      <c r="J329"/>
      <c r="K329"/>
      <c r="L329"/>
      <c r="M329"/>
      <c r="N329"/>
      <c r="O329" s="392"/>
      <c r="P329" s="2"/>
      <c r="R329"/>
      <c r="S329"/>
      <c r="U329"/>
    </row>
    <row r="330" spans="10:21" s="1" customFormat="1" x14ac:dyDescent="0.2">
      <c r="J330"/>
      <c r="K330"/>
      <c r="L330"/>
      <c r="M330"/>
      <c r="N330"/>
      <c r="O330" s="392"/>
      <c r="P330" s="2"/>
      <c r="R330"/>
      <c r="S330"/>
      <c r="U330"/>
    </row>
    <row r="331" spans="10:21" s="1" customFormat="1" x14ac:dyDescent="0.2">
      <c r="J331"/>
      <c r="K331"/>
      <c r="L331"/>
      <c r="M331"/>
      <c r="N331"/>
      <c r="O331" s="392"/>
      <c r="P331" s="2"/>
      <c r="R331"/>
      <c r="S331"/>
      <c r="U331"/>
    </row>
    <row r="332" spans="10:21" s="1" customFormat="1" x14ac:dyDescent="0.2">
      <c r="J332"/>
      <c r="K332"/>
      <c r="L332"/>
      <c r="M332"/>
      <c r="N332"/>
      <c r="O332" s="392"/>
      <c r="P332" s="2"/>
      <c r="R332"/>
      <c r="S332"/>
      <c r="U332"/>
    </row>
    <row r="333" spans="10:21" s="1" customFormat="1" x14ac:dyDescent="0.2">
      <c r="J333"/>
      <c r="K333"/>
      <c r="L333"/>
      <c r="M333"/>
      <c r="N333"/>
      <c r="O333" s="392"/>
      <c r="P333" s="2"/>
      <c r="R333"/>
      <c r="S333"/>
      <c r="U333"/>
    </row>
    <row r="334" spans="10:21" s="1" customFormat="1" x14ac:dyDescent="0.2">
      <c r="J334"/>
      <c r="K334"/>
      <c r="L334"/>
      <c r="M334"/>
      <c r="N334"/>
      <c r="O334" s="392"/>
      <c r="P334" s="2"/>
      <c r="R334"/>
      <c r="S334"/>
      <c r="U334"/>
    </row>
    <row r="335" spans="10:21" s="1" customFormat="1" x14ac:dyDescent="0.2">
      <c r="J335"/>
      <c r="K335"/>
      <c r="L335"/>
      <c r="M335"/>
      <c r="N335"/>
      <c r="O335" s="392"/>
      <c r="P335" s="2"/>
      <c r="R335"/>
      <c r="S335"/>
      <c r="U335"/>
    </row>
    <row r="336" spans="10:21" s="1" customFormat="1" x14ac:dyDescent="0.2">
      <c r="J336"/>
      <c r="K336"/>
      <c r="L336"/>
      <c r="M336"/>
      <c r="N336"/>
      <c r="O336" s="392"/>
      <c r="P336" s="2"/>
      <c r="R336"/>
      <c r="S336"/>
      <c r="U336"/>
    </row>
    <row r="337" spans="10:21" s="1" customFormat="1" x14ac:dyDescent="0.2">
      <c r="J337"/>
      <c r="K337"/>
      <c r="L337"/>
      <c r="M337"/>
      <c r="N337"/>
      <c r="O337" s="392"/>
      <c r="P337" s="2"/>
      <c r="R337"/>
      <c r="S337"/>
      <c r="U337"/>
    </row>
    <row r="338" spans="10:21" s="1" customFormat="1" x14ac:dyDescent="0.2">
      <c r="J338"/>
      <c r="K338"/>
      <c r="L338"/>
      <c r="M338"/>
      <c r="N338"/>
      <c r="O338" s="392"/>
      <c r="P338" s="2"/>
      <c r="R338"/>
      <c r="S338"/>
      <c r="U338"/>
    </row>
    <row r="339" spans="10:21" s="1" customFormat="1" x14ac:dyDescent="0.2">
      <c r="J339"/>
      <c r="K339"/>
      <c r="L339"/>
      <c r="M339"/>
      <c r="N339"/>
      <c r="O339" s="392"/>
      <c r="P339" s="2"/>
      <c r="R339"/>
      <c r="S339"/>
      <c r="U339"/>
    </row>
    <row r="340" spans="10:21" s="1" customFormat="1" x14ac:dyDescent="0.2">
      <c r="J340"/>
      <c r="K340"/>
      <c r="L340"/>
      <c r="M340"/>
      <c r="N340"/>
      <c r="O340" s="392"/>
      <c r="P340" s="2"/>
      <c r="R340"/>
      <c r="S340"/>
      <c r="U340"/>
    </row>
    <row r="341" spans="10:21" s="1" customFormat="1" x14ac:dyDescent="0.2">
      <c r="J341"/>
      <c r="K341"/>
      <c r="L341"/>
      <c r="M341"/>
      <c r="N341"/>
      <c r="O341" s="392"/>
      <c r="P341" s="2"/>
      <c r="R341"/>
      <c r="S341"/>
      <c r="U341"/>
    </row>
    <row r="342" spans="10:21" s="1" customFormat="1" x14ac:dyDescent="0.2">
      <c r="J342"/>
      <c r="K342"/>
      <c r="L342"/>
      <c r="M342"/>
      <c r="N342"/>
      <c r="O342" s="392"/>
      <c r="P342" s="2"/>
      <c r="R342"/>
      <c r="S342"/>
      <c r="U342"/>
    </row>
    <row r="343" spans="10:21" s="1" customFormat="1" x14ac:dyDescent="0.2">
      <c r="J343"/>
      <c r="K343"/>
      <c r="L343"/>
      <c r="M343"/>
      <c r="N343"/>
      <c r="O343" s="392"/>
      <c r="P343" s="2"/>
      <c r="R343"/>
      <c r="S343"/>
      <c r="U343"/>
    </row>
    <row r="344" spans="10:21" s="1" customFormat="1" x14ac:dyDescent="0.2">
      <c r="J344"/>
      <c r="K344"/>
      <c r="L344"/>
      <c r="M344"/>
      <c r="N344"/>
      <c r="O344" s="392"/>
      <c r="P344" s="2"/>
      <c r="R344"/>
      <c r="S344"/>
      <c r="U344"/>
    </row>
    <row r="345" spans="10:21" s="1" customFormat="1" x14ac:dyDescent="0.2">
      <c r="J345"/>
      <c r="K345"/>
      <c r="L345"/>
      <c r="M345"/>
      <c r="N345"/>
      <c r="O345" s="392"/>
      <c r="P345" s="2"/>
      <c r="R345"/>
      <c r="S345"/>
      <c r="U345"/>
    </row>
    <row r="346" spans="10:21" s="1" customFormat="1" x14ac:dyDescent="0.2">
      <c r="J346"/>
      <c r="K346"/>
      <c r="L346"/>
      <c r="M346"/>
      <c r="N346"/>
      <c r="O346" s="392"/>
      <c r="P346" s="2"/>
      <c r="R346"/>
      <c r="S346"/>
      <c r="U346"/>
    </row>
    <row r="347" spans="10:21" s="1" customFormat="1" x14ac:dyDescent="0.2">
      <c r="J347"/>
      <c r="K347"/>
      <c r="L347"/>
      <c r="M347"/>
      <c r="N347"/>
      <c r="O347" s="392"/>
      <c r="P347" s="2"/>
      <c r="R347"/>
      <c r="S347"/>
      <c r="U347"/>
    </row>
    <row r="348" spans="10:21" s="1" customFormat="1" x14ac:dyDescent="0.2">
      <c r="J348"/>
      <c r="K348"/>
      <c r="L348"/>
      <c r="M348"/>
      <c r="N348"/>
      <c r="O348" s="392"/>
      <c r="P348" s="2"/>
      <c r="R348"/>
      <c r="S348"/>
      <c r="U348"/>
    </row>
    <row r="349" spans="10:21" s="1" customFormat="1" x14ac:dyDescent="0.2">
      <c r="J349"/>
      <c r="K349"/>
      <c r="L349"/>
      <c r="M349"/>
      <c r="N349"/>
      <c r="O349" s="392"/>
      <c r="P349" s="2"/>
      <c r="R349"/>
      <c r="S349"/>
      <c r="U349"/>
    </row>
    <row r="350" spans="10:21" s="1" customFormat="1" x14ac:dyDescent="0.2">
      <c r="J350"/>
      <c r="K350"/>
      <c r="L350"/>
      <c r="M350"/>
      <c r="N350"/>
      <c r="O350" s="392"/>
      <c r="P350" s="2"/>
      <c r="R350"/>
      <c r="S350"/>
      <c r="U350"/>
    </row>
    <row r="351" spans="10:21" s="1" customFormat="1" x14ac:dyDescent="0.2">
      <c r="J351"/>
      <c r="K351"/>
      <c r="L351"/>
      <c r="M351"/>
      <c r="N351"/>
      <c r="O351" s="392"/>
      <c r="P351" s="2"/>
      <c r="R351"/>
      <c r="S351"/>
      <c r="U351"/>
    </row>
    <row r="352" spans="10:21" s="1" customFormat="1" x14ac:dyDescent="0.2">
      <c r="J352"/>
      <c r="K352"/>
      <c r="L352"/>
      <c r="M352"/>
      <c r="N352"/>
      <c r="O352" s="392"/>
      <c r="P352" s="2"/>
      <c r="R352"/>
      <c r="S352"/>
      <c r="U352"/>
    </row>
    <row r="353" spans="10:21" s="1" customFormat="1" x14ac:dyDescent="0.2">
      <c r="J353"/>
      <c r="K353"/>
      <c r="L353"/>
      <c r="M353"/>
      <c r="N353"/>
      <c r="O353" s="392"/>
      <c r="P353" s="2"/>
      <c r="R353"/>
      <c r="S353"/>
      <c r="U353"/>
    </row>
    <row r="354" spans="10:21" s="1" customFormat="1" x14ac:dyDescent="0.2">
      <c r="J354"/>
      <c r="K354"/>
      <c r="L354"/>
      <c r="M354"/>
      <c r="N354"/>
      <c r="O354" s="392"/>
      <c r="P354" s="2"/>
      <c r="R354"/>
      <c r="S354"/>
      <c r="U354"/>
    </row>
    <row r="355" spans="10:21" s="1" customFormat="1" x14ac:dyDescent="0.2">
      <c r="J355"/>
      <c r="K355"/>
      <c r="L355"/>
      <c r="M355"/>
      <c r="N355"/>
      <c r="O355" s="392"/>
      <c r="P355" s="2"/>
      <c r="R355"/>
      <c r="S355"/>
      <c r="U355"/>
    </row>
    <row r="356" spans="10:21" s="1" customFormat="1" x14ac:dyDescent="0.2">
      <c r="J356"/>
      <c r="K356"/>
      <c r="L356"/>
      <c r="M356"/>
      <c r="N356"/>
      <c r="O356" s="392"/>
      <c r="P356" s="2"/>
      <c r="R356"/>
      <c r="S356"/>
      <c r="U356"/>
    </row>
    <row r="357" spans="10:21" s="1" customFormat="1" x14ac:dyDescent="0.2">
      <c r="J357"/>
      <c r="K357"/>
      <c r="L357"/>
      <c r="M357"/>
      <c r="N357"/>
      <c r="O357" s="392"/>
      <c r="P357" s="2"/>
      <c r="R357"/>
      <c r="S357"/>
      <c r="U357"/>
    </row>
    <row r="358" spans="10:21" s="1" customFormat="1" x14ac:dyDescent="0.2">
      <c r="J358"/>
      <c r="K358"/>
      <c r="L358"/>
      <c r="M358"/>
      <c r="N358"/>
      <c r="O358" s="392"/>
      <c r="P358" s="2"/>
      <c r="R358"/>
      <c r="S358"/>
      <c r="U358"/>
    </row>
    <row r="359" spans="10:21" s="1" customFormat="1" x14ac:dyDescent="0.2">
      <c r="J359"/>
      <c r="K359"/>
      <c r="L359"/>
      <c r="M359"/>
      <c r="N359"/>
      <c r="O359" s="392"/>
      <c r="P359" s="2"/>
      <c r="R359"/>
      <c r="S359"/>
      <c r="U359"/>
    </row>
    <row r="360" spans="10:21" s="1" customFormat="1" x14ac:dyDescent="0.2">
      <c r="J360"/>
      <c r="K360"/>
      <c r="L360"/>
      <c r="M360"/>
      <c r="N360"/>
      <c r="O360" s="392"/>
      <c r="P360" s="2"/>
      <c r="R360"/>
      <c r="S360"/>
      <c r="U360"/>
    </row>
    <row r="361" spans="10:21" s="1" customFormat="1" x14ac:dyDescent="0.2">
      <c r="J361"/>
      <c r="K361"/>
      <c r="L361"/>
      <c r="M361"/>
      <c r="N361"/>
      <c r="O361" s="392"/>
      <c r="P361" s="2"/>
      <c r="R361"/>
      <c r="S361"/>
      <c r="U361"/>
    </row>
    <row r="362" spans="10:21" s="1" customFormat="1" x14ac:dyDescent="0.2">
      <c r="J362"/>
      <c r="K362"/>
      <c r="L362"/>
      <c r="M362"/>
      <c r="N362"/>
      <c r="O362" s="392"/>
      <c r="P362" s="2"/>
      <c r="R362"/>
      <c r="S362"/>
      <c r="U362"/>
    </row>
    <row r="363" spans="10:21" s="1" customFormat="1" x14ac:dyDescent="0.2">
      <c r="J363"/>
      <c r="K363"/>
      <c r="L363"/>
      <c r="M363"/>
      <c r="N363"/>
      <c r="O363" s="392"/>
      <c r="P363" s="2"/>
      <c r="R363"/>
      <c r="S363"/>
      <c r="U363"/>
    </row>
    <row r="364" spans="10:21" s="1" customFormat="1" x14ac:dyDescent="0.2">
      <c r="J364"/>
      <c r="K364"/>
      <c r="L364"/>
      <c r="M364"/>
      <c r="N364"/>
      <c r="O364" s="392"/>
      <c r="P364" s="2"/>
      <c r="R364"/>
      <c r="S364"/>
      <c r="U364"/>
    </row>
    <row r="365" spans="10:21" s="1" customFormat="1" x14ac:dyDescent="0.2">
      <c r="J365"/>
      <c r="K365"/>
      <c r="L365"/>
      <c r="M365"/>
      <c r="N365"/>
      <c r="O365" s="392"/>
      <c r="P365" s="2"/>
      <c r="R365"/>
      <c r="S365"/>
      <c r="U365"/>
    </row>
    <row r="366" spans="10:21" s="1" customFormat="1" x14ac:dyDescent="0.2">
      <c r="J366"/>
      <c r="K366"/>
      <c r="L366"/>
      <c r="M366"/>
      <c r="N366"/>
      <c r="O366" s="392"/>
      <c r="P366" s="2"/>
      <c r="R366"/>
      <c r="S366"/>
      <c r="U366"/>
    </row>
    <row r="367" spans="10:21" s="1" customFormat="1" x14ac:dyDescent="0.2">
      <c r="J367"/>
      <c r="K367"/>
      <c r="L367"/>
      <c r="M367"/>
      <c r="N367"/>
      <c r="O367" s="392"/>
      <c r="P367" s="2"/>
      <c r="R367"/>
      <c r="S367"/>
      <c r="U367"/>
    </row>
    <row r="368" spans="10:21" s="1" customFormat="1" x14ac:dyDescent="0.2">
      <c r="J368"/>
      <c r="K368"/>
      <c r="L368"/>
      <c r="M368"/>
      <c r="N368"/>
      <c r="O368" s="392"/>
      <c r="P368" s="2"/>
      <c r="R368"/>
      <c r="S368"/>
      <c r="U368"/>
    </row>
    <row r="369" spans="10:21" s="1" customFormat="1" x14ac:dyDescent="0.2">
      <c r="J369"/>
      <c r="K369"/>
      <c r="L369"/>
      <c r="M369"/>
      <c r="N369"/>
      <c r="O369" s="392"/>
      <c r="P369" s="2"/>
      <c r="R369"/>
      <c r="S369"/>
      <c r="U369"/>
    </row>
    <row r="370" spans="10:21" s="1" customFormat="1" x14ac:dyDescent="0.2">
      <c r="J370"/>
      <c r="K370"/>
      <c r="L370"/>
      <c r="M370"/>
      <c r="N370"/>
      <c r="O370" s="392"/>
      <c r="P370" s="2"/>
      <c r="R370"/>
      <c r="S370"/>
      <c r="U370"/>
    </row>
    <row r="371" spans="10:21" s="1" customFormat="1" x14ac:dyDescent="0.2">
      <c r="J371"/>
      <c r="K371"/>
      <c r="L371"/>
      <c r="M371"/>
      <c r="N371"/>
      <c r="O371" s="392"/>
      <c r="P371" s="2"/>
      <c r="R371"/>
      <c r="S371"/>
      <c r="U371"/>
    </row>
    <row r="372" spans="10:21" s="1" customFormat="1" x14ac:dyDescent="0.2">
      <c r="J372"/>
      <c r="K372"/>
      <c r="L372"/>
      <c r="M372"/>
      <c r="N372"/>
      <c r="O372" s="392"/>
      <c r="P372" s="2"/>
      <c r="R372"/>
      <c r="S372"/>
      <c r="U372"/>
    </row>
    <row r="373" spans="10:21" s="1" customFormat="1" x14ac:dyDescent="0.2">
      <c r="J373"/>
      <c r="K373"/>
      <c r="L373"/>
      <c r="M373"/>
      <c r="N373"/>
      <c r="O373" s="392"/>
      <c r="P373" s="2"/>
      <c r="R373"/>
      <c r="S373"/>
      <c r="U373"/>
    </row>
    <row r="374" spans="10:21" s="1" customFormat="1" x14ac:dyDescent="0.2">
      <c r="J374"/>
      <c r="K374"/>
      <c r="L374"/>
      <c r="M374"/>
      <c r="N374"/>
      <c r="O374" s="392"/>
      <c r="P374" s="2"/>
      <c r="R374"/>
      <c r="S374"/>
      <c r="U374"/>
    </row>
    <row r="375" spans="10:21" s="1" customFormat="1" x14ac:dyDescent="0.2">
      <c r="J375"/>
      <c r="K375"/>
      <c r="L375"/>
      <c r="M375"/>
      <c r="N375"/>
      <c r="O375" s="392"/>
      <c r="P375" s="2"/>
      <c r="R375"/>
      <c r="S375"/>
      <c r="U375"/>
    </row>
    <row r="376" spans="10:21" s="1" customFormat="1" x14ac:dyDescent="0.2">
      <c r="J376"/>
      <c r="K376"/>
      <c r="L376"/>
      <c r="M376"/>
      <c r="N376"/>
      <c r="O376" s="392"/>
      <c r="P376" s="2"/>
      <c r="R376"/>
      <c r="S376"/>
      <c r="U376"/>
    </row>
    <row r="377" spans="10:21" s="1" customFormat="1" x14ac:dyDescent="0.2">
      <c r="J377"/>
      <c r="K377"/>
      <c r="L377"/>
      <c r="M377"/>
      <c r="N377"/>
      <c r="O377" s="392"/>
      <c r="P377" s="2"/>
      <c r="R377"/>
      <c r="S377"/>
      <c r="U377"/>
    </row>
    <row r="378" spans="10:21" s="1" customFormat="1" x14ac:dyDescent="0.2">
      <c r="J378"/>
      <c r="K378"/>
      <c r="L378"/>
      <c r="M378"/>
      <c r="N378"/>
      <c r="O378" s="392"/>
      <c r="P378" s="2"/>
      <c r="R378"/>
      <c r="S378"/>
      <c r="U378"/>
    </row>
    <row r="379" spans="10:21" s="1" customFormat="1" x14ac:dyDescent="0.2">
      <c r="J379"/>
      <c r="K379"/>
      <c r="L379"/>
      <c r="M379"/>
      <c r="N379"/>
      <c r="O379" s="392"/>
      <c r="P379" s="2"/>
      <c r="R379"/>
      <c r="S379"/>
      <c r="U379"/>
    </row>
    <row r="380" spans="10:21" s="1" customFormat="1" x14ac:dyDescent="0.2">
      <c r="J380"/>
      <c r="K380"/>
      <c r="L380"/>
      <c r="M380"/>
      <c r="N380"/>
      <c r="O380" s="392"/>
      <c r="P380" s="2"/>
      <c r="R380"/>
      <c r="S380"/>
      <c r="U380"/>
    </row>
    <row r="381" spans="10:21" s="1" customFormat="1" x14ac:dyDescent="0.2">
      <c r="J381"/>
      <c r="K381"/>
      <c r="L381"/>
      <c r="M381"/>
      <c r="N381"/>
      <c r="O381" s="392"/>
      <c r="P381" s="2"/>
      <c r="R381"/>
      <c r="S381"/>
      <c r="U381"/>
    </row>
    <row r="382" spans="10:21" s="1" customFormat="1" x14ac:dyDescent="0.2">
      <c r="J382"/>
      <c r="K382"/>
      <c r="L382"/>
      <c r="M382"/>
      <c r="N382"/>
      <c r="O382" s="392"/>
      <c r="P382" s="2"/>
      <c r="R382"/>
      <c r="S382"/>
      <c r="U382"/>
    </row>
    <row r="383" spans="10:21" s="1" customFormat="1" x14ac:dyDescent="0.2">
      <c r="J383"/>
      <c r="K383"/>
      <c r="L383"/>
      <c r="M383"/>
      <c r="N383"/>
      <c r="O383" s="392"/>
      <c r="P383" s="2"/>
      <c r="R383"/>
      <c r="S383"/>
      <c r="U383"/>
    </row>
    <row r="384" spans="10:21" s="1" customFormat="1" x14ac:dyDescent="0.2">
      <c r="J384"/>
      <c r="K384"/>
      <c r="L384"/>
      <c r="M384"/>
      <c r="N384"/>
      <c r="O384" s="392"/>
      <c r="P384" s="2"/>
      <c r="R384"/>
      <c r="S384"/>
      <c r="U384"/>
    </row>
    <row r="385" spans="10:21" s="1" customFormat="1" x14ac:dyDescent="0.2">
      <c r="J385"/>
      <c r="K385"/>
      <c r="L385"/>
      <c r="M385"/>
      <c r="N385"/>
      <c r="O385" s="392"/>
      <c r="P385" s="2"/>
      <c r="R385"/>
      <c r="S385"/>
      <c r="U385"/>
    </row>
    <row r="386" spans="10:21" s="1" customFormat="1" x14ac:dyDescent="0.2">
      <c r="J386"/>
      <c r="K386"/>
      <c r="L386"/>
      <c r="M386"/>
      <c r="N386"/>
      <c r="O386" s="392"/>
      <c r="P386" s="2"/>
      <c r="R386"/>
      <c r="S386"/>
      <c r="U386"/>
    </row>
    <row r="387" spans="10:21" s="1" customFormat="1" x14ac:dyDescent="0.2">
      <c r="J387"/>
      <c r="K387"/>
      <c r="L387"/>
      <c r="M387"/>
      <c r="N387"/>
      <c r="O387" s="392"/>
      <c r="P387" s="2"/>
      <c r="R387"/>
      <c r="S387"/>
      <c r="U387"/>
    </row>
    <row r="388" spans="10:21" s="1" customFormat="1" x14ac:dyDescent="0.2">
      <c r="J388"/>
      <c r="K388"/>
      <c r="L388"/>
      <c r="M388"/>
      <c r="N388"/>
      <c r="O388" s="392"/>
      <c r="P388" s="2"/>
      <c r="R388"/>
      <c r="S388"/>
      <c r="U388"/>
    </row>
    <row r="389" spans="10:21" s="1" customFormat="1" x14ac:dyDescent="0.2">
      <c r="J389"/>
      <c r="K389"/>
      <c r="L389"/>
      <c r="M389"/>
      <c r="N389"/>
      <c r="O389" s="392"/>
      <c r="P389" s="2"/>
      <c r="R389"/>
      <c r="S389"/>
      <c r="U389"/>
    </row>
    <row r="390" spans="10:21" s="1" customFormat="1" x14ac:dyDescent="0.2">
      <c r="J390"/>
      <c r="K390"/>
      <c r="L390"/>
      <c r="M390"/>
      <c r="N390"/>
      <c r="O390" s="392"/>
      <c r="P390" s="2"/>
      <c r="R390"/>
      <c r="S390"/>
      <c r="U390"/>
    </row>
    <row r="391" spans="10:21" s="1" customFormat="1" x14ac:dyDescent="0.2">
      <c r="J391"/>
      <c r="K391"/>
      <c r="L391"/>
      <c r="M391"/>
      <c r="N391"/>
      <c r="O391" s="392"/>
      <c r="P391" s="2"/>
      <c r="R391"/>
      <c r="S391"/>
      <c r="U391"/>
    </row>
    <row r="392" spans="10:21" s="1" customFormat="1" x14ac:dyDescent="0.2">
      <c r="J392"/>
      <c r="K392"/>
      <c r="L392"/>
      <c r="M392"/>
      <c r="N392"/>
      <c r="O392" s="392"/>
      <c r="P392" s="2"/>
      <c r="R392"/>
      <c r="S392"/>
      <c r="U392"/>
    </row>
    <row r="393" spans="10:21" s="1" customFormat="1" x14ac:dyDescent="0.2">
      <c r="J393"/>
      <c r="K393"/>
      <c r="L393"/>
      <c r="M393"/>
      <c r="N393"/>
      <c r="O393" s="392"/>
      <c r="P393" s="2"/>
      <c r="R393"/>
      <c r="S393"/>
      <c r="U393"/>
    </row>
    <row r="394" spans="10:21" s="1" customFormat="1" x14ac:dyDescent="0.2">
      <c r="J394"/>
      <c r="K394"/>
      <c r="L394"/>
      <c r="M394"/>
      <c r="N394"/>
      <c r="O394" s="392"/>
      <c r="P394" s="2"/>
      <c r="R394"/>
      <c r="S394"/>
      <c r="U394"/>
    </row>
    <row r="395" spans="10:21" s="1" customFormat="1" x14ac:dyDescent="0.2">
      <c r="J395"/>
      <c r="K395"/>
      <c r="L395"/>
      <c r="M395"/>
      <c r="N395"/>
      <c r="O395" s="392"/>
      <c r="P395" s="2"/>
      <c r="R395"/>
      <c r="S395"/>
      <c r="U395"/>
    </row>
    <row r="396" spans="10:21" s="1" customFormat="1" x14ac:dyDescent="0.2">
      <c r="J396"/>
      <c r="K396"/>
      <c r="L396"/>
      <c r="M396"/>
      <c r="N396"/>
      <c r="O396" s="392"/>
      <c r="P396" s="2"/>
      <c r="R396"/>
      <c r="S396"/>
      <c r="U396"/>
    </row>
    <row r="397" spans="10:21" s="1" customFormat="1" x14ac:dyDescent="0.2">
      <c r="J397"/>
      <c r="K397"/>
      <c r="L397"/>
      <c r="M397"/>
      <c r="N397"/>
      <c r="O397" s="392"/>
      <c r="P397" s="2"/>
      <c r="R397"/>
      <c r="S397"/>
      <c r="U397"/>
    </row>
    <row r="398" spans="10:21" s="1" customFormat="1" x14ac:dyDescent="0.2">
      <c r="J398"/>
      <c r="K398"/>
      <c r="L398"/>
      <c r="M398"/>
      <c r="N398"/>
      <c r="O398" s="392"/>
      <c r="P398" s="2"/>
      <c r="R398"/>
      <c r="S398"/>
      <c r="U398"/>
    </row>
    <row r="399" spans="10:21" s="1" customFormat="1" x14ac:dyDescent="0.2">
      <c r="J399"/>
      <c r="K399"/>
      <c r="L399"/>
      <c r="M399"/>
      <c r="N399"/>
      <c r="O399" s="392"/>
      <c r="P399" s="2"/>
      <c r="R399"/>
      <c r="S399"/>
      <c r="U399"/>
    </row>
    <row r="400" spans="10:21" s="1" customFormat="1" x14ac:dyDescent="0.2">
      <c r="J400"/>
      <c r="K400"/>
      <c r="L400"/>
      <c r="M400"/>
      <c r="N400"/>
      <c r="O400" s="392"/>
      <c r="P400" s="2"/>
      <c r="R400"/>
      <c r="S400"/>
      <c r="U400"/>
    </row>
    <row r="401" spans="10:21" s="1" customFormat="1" x14ac:dyDescent="0.2">
      <c r="J401"/>
      <c r="K401"/>
      <c r="L401"/>
      <c r="M401"/>
      <c r="N401"/>
      <c r="O401" s="392"/>
      <c r="P401" s="2"/>
      <c r="R401"/>
      <c r="S401"/>
      <c r="U401"/>
    </row>
    <row r="402" spans="10:21" s="1" customFormat="1" x14ac:dyDescent="0.2">
      <c r="J402"/>
      <c r="K402"/>
      <c r="L402"/>
      <c r="M402"/>
      <c r="N402"/>
      <c r="O402" s="392"/>
      <c r="P402" s="2"/>
      <c r="R402"/>
      <c r="S402"/>
      <c r="U402"/>
    </row>
    <row r="403" spans="10:21" s="1" customFormat="1" x14ac:dyDescent="0.2">
      <c r="J403"/>
      <c r="K403"/>
      <c r="L403"/>
      <c r="M403"/>
      <c r="N403"/>
      <c r="O403" s="392"/>
      <c r="P403" s="2"/>
      <c r="R403"/>
      <c r="S403"/>
      <c r="U403"/>
    </row>
    <row r="404" spans="10:21" s="1" customFormat="1" x14ac:dyDescent="0.2">
      <c r="J404"/>
      <c r="K404"/>
      <c r="L404"/>
      <c r="M404"/>
      <c r="N404"/>
      <c r="O404" s="392"/>
      <c r="P404" s="2"/>
      <c r="R404"/>
      <c r="S404"/>
      <c r="U404"/>
    </row>
    <row r="405" spans="10:21" s="1" customFormat="1" x14ac:dyDescent="0.2">
      <c r="J405"/>
      <c r="K405"/>
      <c r="L405"/>
      <c r="M405"/>
      <c r="N405"/>
      <c r="O405" s="392"/>
      <c r="P405" s="2"/>
      <c r="R405"/>
      <c r="S405"/>
      <c r="U405"/>
    </row>
    <row r="406" spans="10:21" s="1" customFormat="1" x14ac:dyDescent="0.2">
      <c r="J406"/>
      <c r="K406"/>
      <c r="L406"/>
      <c r="M406"/>
      <c r="N406"/>
      <c r="O406" s="392"/>
      <c r="P406" s="2"/>
      <c r="R406"/>
      <c r="S406"/>
      <c r="U406"/>
    </row>
    <row r="407" spans="10:21" s="1" customFormat="1" x14ac:dyDescent="0.2">
      <c r="J407"/>
      <c r="K407"/>
      <c r="L407"/>
      <c r="M407"/>
      <c r="N407"/>
      <c r="O407" s="392"/>
      <c r="P407" s="2"/>
      <c r="R407"/>
      <c r="S407"/>
      <c r="U407"/>
    </row>
    <row r="408" spans="10:21" s="1" customFormat="1" x14ac:dyDescent="0.2">
      <c r="J408"/>
      <c r="K408"/>
      <c r="L408"/>
      <c r="M408"/>
      <c r="N408"/>
      <c r="O408" s="392"/>
      <c r="P408" s="2"/>
      <c r="R408"/>
      <c r="S408"/>
      <c r="U408"/>
    </row>
    <row r="409" spans="10:21" s="1" customFormat="1" x14ac:dyDescent="0.2">
      <c r="J409"/>
      <c r="K409"/>
      <c r="L409"/>
      <c r="M409"/>
      <c r="N409"/>
      <c r="O409" s="392"/>
      <c r="P409" s="2"/>
      <c r="R409"/>
      <c r="S409"/>
      <c r="U409"/>
    </row>
    <row r="410" spans="10:21" s="1" customFormat="1" x14ac:dyDescent="0.2">
      <c r="J410"/>
      <c r="K410"/>
      <c r="L410"/>
      <c r="M410"/>
      <c r="N410"/>
      <c r="O410" s="392"/>
      <c r="P410" s="2"/>
      <c r="R410"/>
      <c r="S410"/>
      <c r="U410"/>
    </row>
    <row r="411" spans="10:21" s="1" customFormat="1" x14ac:dyDescent="0.2">
      <c r="J411"/>
      <c r="K411"/>
      <c r="L411"/>
      <c r="M411"/>
      <c r="N411"/>
      <c r="O411" s="392"/>
      <c r="P411" s="2"/>
      <c r="R411"/>
      <c r="S411"/>
      <c r="U411"/>
    </row>
    <row r="412" spans="10:21" s="1" customFormat="1" x14ac:dyDescent="0.2">
      <c r="J412"/>
      <c r="K412"/>
      <c r="L412"/>
      <c r="M412"/>
      <c r="N412"/>
      <c r="O412" s="392"/>
      <c r="P412" s="2"/>
      <c r="R412"/>
      <c r="S412"/>
      <c r="U412"/>
    </row>
    <row r="413" spans="10:21" s="1" customFormat="1" x14ac:dyDescent="0.2">
      <c r="J413"/>
      <c r="K413"/>
      <c r="L413"/>
      <c r="M413"/>
      <c r="N413"/>
      <c r="O413" s="392"/>
      <c r="P413" s="2"/>
      <c r="R413"/>
      <c r="S413"/>
      <c r="U413"/>
    </row>
    <row r="414" spans="10:21" s="1" customFormat="1" x14ac:dyDescent="0.2">
      <c r="J414"/>
      <c r="K414"/>
      <c r="L414"/>
      <c r="M414"/>
      <c r="N414"/>
      <c r="O414" s="392"/>
      <c r="P414" s="2"/>
      <c r="R414"/>
      <c r="S414"/>
      <c r="U414"/>
    </row>
    <row r="415" spans="10:21" s="1" customFormat="1" x14ac:dyDescent="0.2">
      <c r="J415"/>
      <c r="K415"/>
      <c r="L415"/>
      <c r="M415"/>
      <c r="N415"/>
      <c r="O415" s="392"/>
      <c r="P415" s="2"/>
      <c r="R415"/>
      <c r="S415"/>
      <c r="U415"/>
    </row>
    <row r="416" spans="10:21" s="1" customFormat="1" x14ac:dyDescent="0.2">
      <c r="J416"/>
      <c r="K416"/>
      <c r="L416"/>
      <c r="M416"/>
      <c r="N416"/>
      <c r="O416" s="392"/>
      <c r="P416" s="2"/>
      <c r="R416"/>
      <c r="S416"/>
      <c r="U416"/>
    </row>
    <row r="417" spans="10:21" s="1" customFormat="1" x14ac:dyDescent="0.2">
      <c r="J417"/>
      <c r="K417"/>
      <c r="L417"/>
      <c r="M417"/>
      <c r="N417"/>
      <c r="O417" s="392"/>
      <c r="P417" s="2"/>
      <c r="R417"/>
      <c r="S417"/>
      <c r="U417"/>
    </row>
    <row r="418" spans="10:21" s="1" customFormat="1" x14ac:dyDescent="0.2">
      <c r="J418"/>
      <c r="K418"/>
      <c r="L418"/>
      <c r="M418"/>
      <c r="N418"/>
      <c r="O418" s="392"/>
      <c r="P418" s="2"/>
      <c r="R418"/>
      <c r="S418"/>
      <c r="U418"/>
    </row>
    <row r="419" spans="10:21" s="1" customFormat="1" x14ac:dyDescent="0.2">
      <c r="J419"/>
      <c r="K419"/>
      <c r="L419"/>
      <c r="M419"/>
      <c r="N419"/>
      <c r="O419" s="392"/>
      <c r="P419" s="2"/>
      <c r="R419"/>
      <c r="S419"/>
      <c r="U419"/>
    </row>
    <row r="420" spans="10:21" s="1" customFormat="1" x14ac:dyDescent="0.2">
      <c r="J420"/>
      <c r="K420"/>
      <c r="L420"/>
      <c r="M420"/>
      <c r="N420"/>
      <c r="O420" s="392"/>
      <c r="P420" s="2"/>
      <c r="R420"/>
      <c r="S420"/>
      <c r="U420"/>
    </row>
    <row r="421" spans="10:21" s="1" customFormat="1" x14ac:dyDescent="0.2">
      <c r="J421"/>
      <c r="K421"/>
      <c r="L421"/>
      <c r="M421"/>
      <c r="N421"/>
      <c r="O421" s="392"/>
      <c r="P421" s="2"/>
      <c r="R421"/>
      <c r="S421"/>
      <c r="U421"/>
    </row>
    <row r="422" spans="10:21" s="1" customFormat="1" x14ac:dyDescent="0.2">
      <c r="J422"/>
      <c r="K422"/>
      <c r="L422"/>
      <c r="M422"/>
      <c r="N422"/>
      <c r="O422" s="392"/>
      <c r="P422" s="2"/>
      <c r="R422"/>
      <c r="S422"/>
      <c r="U422"/>
    </row>
    <row r="423" spans="10:21" s="1" customFormat="1" x14ac:dyDescent="0.2">
      <c r="J423"/>
      <c r="K423"/>
      <c r="L423"/>
      <c r="M423"/>
      <c r="N423"/>
      <c r="O423" s="392"/>
      <c r="P423" s="2"/>
      <c r="R423"/>
      <c r="S423"/>
      <c r="U423"/>
    </row>
    <row r="424" spans="10:21" s="1" customFormat="1" x14ac:dyDescent="0.2">
      <c r="J424"/>
      <c r="K424"/>
      <c r="L424"/>
      <c r="M424"/>
      <c r="N424"/>
      <c r="O424" s="392"/>
      <c r="P424" s="2"/>
      <c r="R424"/>
      <c r="S424"/>
      <c r="U424"/>
    </row>
    <row r="425" spans="10:21" s="1" customFormat="1" x14ac:dyDescent="0.2">
      <c r="J425"/>
      <c r="K425"/>
      <c r="L425"/>
      <c r="M425"/>
      <c r="N425"/>
      <c r="O425" s="392"/>
      <c r="P425" s="2"/>
      <c r="R425"/>
      <c r="S425"/>
      <c r="U425"/>
    </row>
    <row r="426" spans="10:21" s="1" customFormat="1" x14ac:dyDescent="0.2">
      <c r="J426"/>
      <c r="K426"/>
      <c r="L426"/>
      <c r="M426"/>
      <c r="N426"/>
      <c r="O426" s="392"/>
      <c r="P426" s="2"/>
      <c r="R426"/>
      <c r="S426"/>
      <c r="U426"/>
    </row>
    <row r="427" spans="10:21" s="1" customFormat="1" x14ac:dyDescent="0.2">
      <c r="J427"/>
      <c r="K427"/>
      <c r="L427"/>
      <c r="M427"/>
      <c r="N427"/>
      <c r="O427" s="392"/>
      <c r="P427" s="2"/>
      <c r="R427"/>
      <c r="S427"/>
      <c r="U427"/>
    </row>
    <row r="428" spans="10:21" s="1" customFormat="1" x14ac:dyDescent="0.2">
      <c r="J428"/>
      <c r="K428"/>
      <c r="L428"/>
      <c r="M428"/>
      <c r="N428"/>
      <c r="O428" s="392"/>
      <c r="P428" s="2"/>
      <c r="R428"/>
      <c r="S428"/>
      <c r="U428"/>
    </row>
    <row r="429" spans="10:21" s="1" customFormat="1" x14ac:dyDescent="0.2">
      <c r="J429"/>
      <c r="K429"/>
      <c r="L429"/>
      <c r="M429"/>
      <c r="N429"/>
      <c r="O429" s="392"/>
      <c r="P429" s="2"/>
      <c r="R429"/>
      <c r="S429"/>
      <c r="U429"/>
    </row>
    <row r="430" spans="10:21" s="1" customFormat="1" x14ac:dyDescent="0.2">
      <c r="J430"/>
      <c r="K430"/>
      <c r="L430"/>
      <c r="M430"/>
      <c r="N430"/>
      <c r="O430" s="392"/>
      <c r="P430" s="2"/>
      <c r="R430"/>
      <c r="S430"/>
      <c r="U430"/>
    </row>
    <row r="431" spans="10:21" s="1" customFormat="1" x14ac:dyDescent="0.2">
      <c r="J431"/>
      <c r="K431"/>
      <c r="L431"/>
      <c r="M431"/>
      <c r="N431"/>
      <c r="O431" s="392"/>
      <c r="P431" s="2"/>
      <c r="R431"/>
      <c r="S431"/>
      <c r="U431"/>
    </row>
    <row r="432" spans="10:21" s="1" customFormat="1" x14ac:dyDescent="0.2">
      <c r="J432"/>
      <c r="K432"/>
      <c r="L432"/>
      <c r="M432"/>
      <c r="N432"/>
      <c r="O432" s="392"/>
      <c r="P432" s="2"/>
      <c r="R432"/>
      <c r="S432"/>
      <c r="U432"/>
    </row>
    <row r="433" spans="10:21" s="1" customFormat="1" x14ac:dyDescent="0.2">
      <c r="J433"/>
      <c r="K433"/>
      <c r="L433"/>
      <c r="M433"/>
      <c r="N433"/>
      <c r="O433" s="392"/>
      <c r="P433" s="2"/>
      <c r="R433"/>
      <c r="S433"/>
      <c r="U433"/>
    </row>
    <row r="434" spans="10:21" s="1" customFormat="1" x14ac:dyDescent="0.2">
      <c r="J434"/>
      <c r="K434"/>
      <c r="L434"/>
      <c r="M434"/>
      <c r="N434"/>
      <c r="O434" s="392"/>
      <c r="P434" s="2"/>
      <c r="R434"/>
      <c r="S434"/>
      <c r="U434"/>
    </row>
    <row r="435" spans="10:21" s="1" customFormat="1" x14ac:dyDescent="0.2">
      <c r="J435"/>
      <c r="K435"/>
      <c r="L435"/>
      <c r="M435"/>
      <c r="N435"/>
      <c r="O435" s="392"/>
      <c r="P435" s="2"/>
      <c r="R435"/>
      <c r="S435"/>
      <c r="U435"/>
    </row>
    <row r="436" spans="10:21" s="1" customFormat="1" x14ac:dyDescent="0.2">
      <c r="J436"/>
      <c r="K436"/>
      <c r="L436"/>
      <c r="M436"/>
      <c r="N436"/>
      <c r="O436" s="392"/>
      <c r="P436" s="2"/>
      <c r="R436"/>
      <c r="S436"/>
      <c r="U436"/>
    </row>
    <row r="437" spans="10:21" s="1" customFormat="1" x14ac:dyDescent="0.2">
      <c r="J437"/>
      <c r="K437"/>
      <c r="L437"/>
      <c r="M437"/>
      <c r="N437"/>
      <c r="O437" s="392"/>
      <c r="P437" s="2"/>
      <c r="R437"/>
      <c r="S437"/>
      <c r="U437"/>
    </row>
    <row r="438" spans="10:21" s="1" customFormat="1" x14ac:dyDescent="0.2">
      <c r="J438"/>
      <c r="K438"/>
      <c r="L438"/>
      <c r="M438"/>
      <c r="N438"/>
      <c r="O438" s="392"/>
      <c r="P438" s="2"/>
      <c r="R438"/>
      <c r="S438"/>
      <c r="U438"/>
    </row>
    <row r="439" spans="10:21" s="1" customFormat="1" x14ac:dyDescent="0.2">
      <c r="J439"/>
      <c r="K439"/>
      <c r="L439"/>
      <c r="M439"/>
      <c r="N439"/>
      <c r="O439" s="392"/>
      <c r="P439" s="2"/>
      <c r="R439"/>
      <c r="S439"/>
      <c r="U439"/>
    </row>
    <row r="440" spans="10:21" s="1" customFormat="1" x14ac:dyDescent="0.2">
      <c r="J440"/>
      <c r="K440"/>
      <c r="L440"/>
      <c r="M440"/>
      <c r="N440"/>
      <c r="O440" s="392"/>
      <c r="P440" s="2"/>
      <c r="R440"/>
      <c r="S440"/>
      <c r="U440"/>
    </row>
    <row r="441" spans="10:21" s="1" customFormat="1" x14ac:dyDescent="0.2">
      <c r="J441"/>
      <c r="K441"/>
      <c r="L441"/>
      <c r="M441"/>
      <c r="N441"/>
      <c r="O441" s="392"/>
      <c r="P441" s="2"/>
      <c r="R441"/>
      <c r="S441"/>
      <c r="U441"/>
    </row>
    <row r="442" spans="10:21" s="1" customFormat="1" x14ac:dyDescent="0.2">
      <c r="J442"/>
      <c r="K442"/>
      <c r="L442"/>
      <c r="M442"/>
      <c r="N442"/>
      <c r="O442" s="392"/>
      <c r="P442" s="2"/>
      <c r="R442"/>
      <c r="S442"/>
      <c r="U442"/>
    </row>
    <row r="443" spans="10:21" s="1" customFormat="1" x14ac:dyDescent="0.2">
      <c r="J443"/>
      <c r="K443"/>
      <c r="L443"/>
      <c r="M443"/>
      <c r="N443"/>
      <c r="O443" s="392"/>
      <c r="P443" s="2"/>
      <c r="R443"/>
      <c r="S443"/>
      <c r="U443"/>
    </row>
    <row r="444" spans="10:21" s="1" customFormat="1" x14ac:dyDescent="0.2">
      <c r="J444"/>
      <c r="K444"/>
      <c r="L444"/>
      <c r="M444"/>
      <c r="N444"/>
      <c r="O444" s="392"/>
      <c r="P444" s="2"/>
      <c r="R444"/>
      <c r="S444"/>
      <c r="U444"/>
    </row>
    <row r="445" spans="10:21" s="1" customFormat="1" x14ac:dyDescent="0.2">
      <c r="J445"/>
      <c r="K445"/>
      <c r="L445"/>
      <c r="M445"/>
      <c r="N445"/>
      <c r="O445" s="392"/>
      <c r="P445" s="2"/>
      <c r="R445"/>
      <c r="S445"/>
      <c r="U445"/>
    </row>
    <row r="446" spans="10:21" s="1" customFormat="1" x14ac:dyDescent="0.2">
      <c r="J446"/>
      <c r="K446"/>
      <c r="L446"/>
      <c r="M446"/>
      <c r="N446"/>
      <c r="O446" s="392"/>
      <c r="P446" s="2"/>
      <c r="R446"/>
      <c r="S446"/>
      <c r="U446"/>
    </row>
    <row r="447" spans="10:21" s="1" customFormat="1" x14ac:dyDescent="0.2">
      <c r="J447"/>
      <c r="K447"/>
      <c r="L447"/>
      <c r="M447"/>
      <c r="N447"/>
      <c r="O447" s="392"/>
      <c r="P447" s="2"/>
      <c r="R447"/>
      <c r="S447"/>
      <c r="U447"/>
    </row>
    <row r="448" spans="10:21" s="1" customFormat="1" x14ac:dyDescent="0.2">
      <c r="J448"/>
      <c r="K448"/>
      <c r="L448"/>
      <c r="M448"/>
      <c r="N448"/>
      <c r="O448" s="392"/>
      <c r="P448" s="2"/>
      <c r="R448"/>
      <c r="S448"/>
      <c r="U448"/>
    </row>
    <row r="449" spans="10:21" s="1" customFormat="1" x14ac:dyDescent="0.2">
      <c r="J449"/>
      <c r="K449"/>
      <c r="L449"/>
      <c r="M449"/>
      <c r="N449"/>
      <c r="O449" s="392"/>
      <c r="P449" s="2"/>
      <c r="R449"/>
      <c r="S449"/>
      <c r="U449"/>
    </row>
    <row r="450" spans="10:21" s="1" customFormat="1" x14ac:dyDescent="0.2">
      <c r="J450"/>
      <c r="K450"/>
      <c r="L450"/>
      <c r="M450"/>
      <c r="N450"/>
      <c r="O450" s="392"/>
      <c r="P450" s="2"/>
      <c r="R450"/>
      <c r="S450"/>
      <c r="U450"/>
    </row>
    <row r="451" spans="10:21" s="1" customFormat="1" x14ac:dyDescent="0.2">
      <c r="J451"/>
      <c r="K451"/>
      <c r="L451"/>
      <c r="M451"/>
      <c r="N451"/>
      <c r="O451" s="392"/>
      <c r="P451" s="2"/>
      <c r="R451"/>
      <c r="S451"/>
      <c r="U451"/>
    </row>
    <row r="452" spans="10:21" s="1" customFormat="1" x14ac:dyDescent="0.2">
      <c r="J452"/>
      <c r="K452"/>
      <c r="L452"/>
      <c r="M452"/>
      <c r="N452"/>
      <c r="O452" s="392"/>
      <c r="P452" s="2"/>
      <c r="R452"/>
      <c r="S452"/>
      <c r="U452"/>
    </row>
    <row r="453" spans="10:21" s="1" customFormat="1" x14ac:dyDescent="0.2">
      <c r="J453"/>
      <c r="K453"/>
      <c r="L453"/>
      <c r="M453"/>
      <c r="N453"/>
      <c r="O453" s="392"/>
      <c r="P453" s="2"/>
      <c r="R453"/>
      <c r="S453"/>
      <c r="U453"/>
    </row>
    <row r="454" spans="10:21" s="1" customFormat="1" x14ac:dyDescent="0.2">
      <c r="J454"/>
      <c r="K454"/>
      <c r="L454"/>
      <c r="M454"/>
      <c r="N454"/>
      <c r="O454" s="392"/>
      <c r="P454" s="2"/>
      <c r="R454"/>
      <c r="S454"/>
      <c r="U454"/>
    </row>
    <row r="455" spans="10:21" s="1" customFormat="1" x14ac:dyDescent="0.2">
      <c r="J455"/>
      <c r="K455"/>
      <c r="L455"/>
      <c r="M455"/>
      <c r="N455"/>
      <c r="O455" s="392"/>
      <c r="P455" s="2"/>
      <c r="R455"/>
      <c r="S455"/>
      <c r="U455"/>
    </row>
    <row r="456" spans="10:21" s="1" customFormat="1" x14ac:dyDescent="0.2">
      <c r="J456"/>
      <c r="K456"/>
      <c r="L456"/>
      <c r="M456"/>
      <c r="N456"/>
      <c r="O456" s="392"/>
      <c r="P456" s="2"/>
      <c r="R456"/>
      <c r="S456"/>
      <c r="U456"/>
    </row>
    <row r="457" spans="10:21" s="1" customFormat="1" x14ac:dyDescent="0.2">
      <c r="J457"/>
      <c r="K457"/>
      <c r="L457"/>
      <c r="M457"/>
      <c r="N457"/>
      <c r="O457" s="392"/>
      <c r="P457" s="2"/>
      <c r="R457"/>
      <c r="S457"/>
      <c r="U457"/>
    </row>
    <row r="458" spans="10:21" s="1" customFormat="1" x14ac:dyDescent="0.2">
      <c r="J458"/>
      <c r="K458"/>
      <c r="L458"/>
      <c r="M458"/>
      <c r="N458"/>
      <c r="O458" s="392"/>
      <c r="P458" s="2"/>
      <c r="R458"/>
      <c r="S458"/>
      <c r="U458"/>
    </row>
    <row r="459" spans="10:21" s="1" customFormat="1" x14ac:dyDescent="0.2">
      <c r="J459"/>
      <c r="K459"/>
      <c r="L459"/>
      <c r="M459"/>
      <c r="N459"/>
      <c r="O459" s="392"/>
      <c r="P459" s="2"/>
      <c r="R459"/>
      <c r="S459"/>
      <c r="U459"/>
    </row>
    <row r="460" spans="10:21" s="1" customFormat="1" x14ac:dyDescent="0.2">
      <c r="J460"/>
      <c r="K460"/>
      <c r="L460"/>
      <c r="M460"/>
      <c r="N460"/>
      <c r="O460" s="392"/>
      <c r="P460" s="2"/>
      <c r="R460"/>
      <c r="S460"/>
      <c r="U460"/>
    </row>
    <row r="461" spans="10:21" s="1" customFormat="1" x14ac:dyDescent="0.2">
      <c r="J461"/>
      <c r="K461"/>
      <c r="L461"/>
      <c r="M461"/>
      <c r="N461"/>
      <c r="O461" s="392"/>
      <c r="P461" s="2"/>
      <c r="R461"/>
      <c r="S461"/>
      <c r="U461"/>
    </row>
    <row r="462" spans="10:21" s="1" customFormat="1" x14ac:dyDescent="0.2">
      <c r="J462"/>
      <c r="K462"/>
      <c r="L462"/>
      <c r="M462"/>
      <c r="N462"/>
      <c r="O462" s="392"/>
      <c r="P462" s="2"/>
      <c r="R462"/>
      <c r="S462"/>
      <c r="U462"/>
    </row>
    <row r="463" spans="10:21" s="1" customFormat="1" x14ac:dyDescent="0.2">
      <c r="J463"/>
      <c r="K463"/>
      <c r="L463"/>
      <c r="M463"/>
      <c r="N463"/>
      <c r="O463" s="392"/>
      <c r="P463" s="2"/>
      <c r="R463"/>
      <c r="S463"/>
      <c r="U463"/>
    </row>
    <row r="464" spans="10:21" s="1" customFormat="1" x14ac:dyDescent="0.2">
      <c r="J464"/>
      <c r="K464"/>
      <c r="L464"/>
      <c r="M464"/>
      <c r="N464"/>
      <c r="O464" s="392"/>
      <c r="P464" s="2"/>
      <c r="R464"/>
      <c r="S464"/>
      <c r="U464"/>
    </row>
    <row r="465" spans="10:21" s="1" customFormat="1" x14ac:dyDescent="0.2">
      <c r="J465"/>
      <c r="K465"/>
      <c r="L465"/>
      <c r="M465"/>
      <c r="N465"/>
      <c r="O465" s="392"/>
      <c r="P465" s="2"/>
      <c r="R465"/>
      <c r="S465"/>
      <c r="U465"/>
    </row>
    <row r="466" spans="10:21" s="1" customFormat="1" x14ac:dyDescent="0.2">
      <c r="J466"/>
      <c r="K466"/>
      <c r="L466"/>
      <c r="M466"/>
      <c r="N466"/>
      <c r="O466" s="392"/>
      <c r="P466" s="2"/>
      <c r="R466"/>
      <c r="S466"/>
      <c r="U466"/>
    </row>
    <row r="467" spans="10:21" s="1" customFormat="1" x14ac:dyDescent="0.2">
      <c r="J467"/>
      <c r="K467"/>
      <c r="L467"/>
      <c r="M467"/>
      <c r="N467"/>
      <c r="O467" s="392"/>
      <c r="P467" s="2"/>
      <c r="R467"/>
      <c r="S467"/>
      <c r="U467"/>
    </row>
    <row r="468" spans="10:21" s="1" customFormat="1" x14ac:dyDescent="0.2">
      <c r="J468"/>
      <c r="K468"/>
      <c r="L468"/>
      <c r="M468"/>
      <c r="N468"/>
      <c r="O468" s="392"/>
      <c r="P468" s="2"/>
      <c r="R468"/>
      <c r="S468"/>
      <c r="U468"/>
    </row>
    <row r="469" spans="10:21" s="1" customFormat="1" x14ac:dyDescent="0.2">
      <c r="J469"/>
      <c r="K469"/>
      <c r="L469"/>
      <c r="M469"/>
      <c r="N469"/>
      <c r="O469" s="392"/>
      <c r="P469" s="2"/>
      <c r="R469"/>
      <c r="S469"/>
      <c r="U469"/>
    </row>
    <row r="470" spans="10:21" s="1" customFormat="1" x14ac:dyDescent="0.2">
      <c r="J470"/>
      <c r="K470"/>
      <c r="L470"/>
      <c r="M470"/>
      <c r="N470"/>
      <c r="O470" s="392"/>
      <c r="P470" s="2"/>
      <c r="R470"/>
      <c r="S470"/>
      <c r="U470"/>
    </row>
    <row r="471" spans="10:21" s="1" customFormat="1" x14ac:dyDescent="0.2">
      <c r="J471"/>
      <c r="K471"/>
      <c r="L471"/>
      <c r="M471"/>
      <c r="N471"/>
      <c r="O471" s="392"/>
      <c r="P471" s="2"/>
      <c r="R471"/>
      <c r="S471"/>
      <c r="U471"/>
    </row>
    <row r="472" spans="10:21" s="1" customFormat="1" x14ac:dyDescent="0.2">
      <c r="J472"/>
      <c r="K472"/>
      <c r="L472"/>
      <c r="M472"/>
      <c r="N472"/>
      <c r="O472" s="392"/>
      <c r="P472" s="2"/>
      <c r="R472"/>
      <c r="S472"/>
      <c r="U472"/>
    </row>
    <row r="473" spans="10:21" s="1" customFormat="1" x14ac:dyDescent="0.2">
      <c r="J473"/>
      <c r="K473"/>
      <c r="L473"/>
      <c r="M473"/>
      <c r="N473"/>
      <c r="O473" s="392"/>
      <c r="P473" s="2"/>
      <c r="R473"/>
      <c r="S473"/>
      <c r="U473"/>
    </row>
    <row r="474" spans="10:21" s="1" customFormat="1" x14ac:dyDescent="0.2">
      <c r="J474"/>
      <c r="K474"/>
      <c r="L474"/>
      <c r="M474"/>
      <c r="N474"/>
      <c r="O474" s="392"/>
      <c r="P474" s="2"/>
      <c r="R474"/>
      <c r="S474"/>
      <c r="U474"/>
    </row>
    <row r="475" spans="10:21" s="1" customFormat="1" x14ac:dyDescent="0.2">
      <c r="J475"/>
      <c r="K475"/>
      <c r="L475"/>
      <c r="M475"/>
      <c r="N475"/>
      <c r="O475" s="392"/>
      <c r="P475" s="2"/>
      <c r="R475"/>
      <c r="S475"/>
      <c r="U475"/>
    </row>
    <row r="476" spans="10:21" s="1" customFormat="1" x14ac:dyDescent="0.2">
      <c r="J476"/>
      <c r="K476"/>
      <c r="L476"/>
      <c r="M476"/>
      <c r="N476"/>
      <c r="O476" s="392"/>
      <c r="P476" s="2"/>
      <c r="R476"/>
      <c r="S476"/>
      <c r="U476"/>
    </row>
    <row r="477" spans="10:21" s="1" customFormat="1" x14ac:dyDescent="0.2">
      <c r="J477"/>
      <c r="K477"/>
      <c r="L477"/>
      <c r="M477"/>
      <c r="N477"/>
      <c r="O477" s="392"/>
      <c r="P477" s="2"/>
      <c r="R477"/>
      <c r="S477"/>
      <c r="U477"/>
    </row>
    <row r="478" spans="10:21" s="1" customFormat="1" x14ac:dyDescent="0.2">
      <c r="J478"/>
      <c r="K478"/>
      <c r="L478"/>
      <c r="M478"/>
      <c r="N478"/>
      <c r="O478" s="392"/>
      <c r="P478" s="2"/>
      <c r="R478"/>
      <c r="S478"/>
      <c r="U478"/>
    </row>
    <row r="479" spans="10:21" s="1" customFormat="1" x14ac:dyDescent="0.2">
      <c r="J479"/>
      <c r="K479"/>
      <c r="L479"/>
      <c r="M479"/>
      <c r="N479"/>
      <c r="O479" s="392"/>
      <c r="P479" s="2"/>
      <c r="R479"/>
      <c r="S479"/>
      <c r="U479"/>
    </row>
    <row r="480" spans="10:21" s="1" customFormat="1" x14ac:dyDescent="0.2">
      <c r="J480"/>
      <c r="K480"/>
      <c r="L480"/>
      <c r="M480"/>
      <c r="N480"/>
      <c r="O480" s="392"/>
      <c r="P480" s="2"/>
      <c r="R480"/>
      <c r="S480"/>
      <c r="U480"/>
    </row>
    <row r="481" spans="10:21" s="1" customFormat="1" x14ac:dyDescent="0.2">
      <c r="J481"/>
      <c r="K481"/>
      <c r="L481"/>
      <c r="M481"/>
      <c r="N481"/>
      <c r="O481" s="392"/>
      <c r="P481" s="2"/>
      <c r="R481"/>
      <c r="S481"/>
      <c r="U481"/>
    </row>
    <row r="482" spans="10:21" s="1" customFormat="1" x14ac:dyDescent="0.2">
      <c r="J482"/>
      <c r="K482"/>
      <c r="L482"/>
      <c r="M482"/>
      <c r="N482"/>
      <c r="O482" s="392"/>
      <c r="P482" s="2"/>
      <c r="R482"/>
      <c r="S482"/>
      <c r="U482"/>
    </row>
    <row r="483" spans="10:21" s="1" customFormat="1" x14ac:dyDescent="0.2">
      <c r="J483"/>
      <c r="K483"/>
      <c r="L483"/>
      <c r="M483"/>
      <c r="N483"/>
      <c r="O483" s="392"/>
      <c r="P483" s="2"/>
      <c r="R483"/>
      <c r="S483"/>
      <c r="U483"/>
    </row>
    <row r="484" spans="10:21" s="1" customFormat="1" x14ac:dyDescent="0.2">
      <c r="J484"/>
      <c r="K484"/>
      <c r="L484"/>
      <c r="M484"/>
      <c r="N484"/>
      <c r="O484" s="392"/>
      <c r="P484" s="2"/>
      <c r="R484"/>
      <c r="S484"/>
      <c r="U484"/>
    </row>
    <row r="485" spans="10:21" s="1" customFormat="1" x14ac:dyDescent="0.2">
      <c r="J485"/>
      <c r="K485"/>
      <c r="L485"/>
      <c r="M485"/>
      <c r="N485"/>
      <c r="O485" s="392"/>
      <c r="P485" s="2"/>
      <c r="R485"/>
      <c r="S485"/>
      <c r="U485"/>
    </row>
    <row r="486" spans="10:21" s="1" customFormat="1" x14ac:dyDescent="0.2">
      <c r="J486"/>
      <c r="K486"/>
      <c r="L486"/>
      <c r="M486"/>
      <c r="N486"/>
      <c r="O486" s="392"/>
      <c r="P486" s="2"/>
      <c r="R486"/>
      <c r="S486"/>
      <c r="U486"/>
    </row>
    <row r="487" spans="10:21" s="1" customFormat="1" x14ac:dyDescent="0.2">
      <c r="J487"/>
      <c r="K487"/>
      <c r="L487"/>
      <c r="M487"/>
      <c r="N487"/>
      <c r="O487" s="392"/>
      <c r="P487" s="2"/>
      <c r="R487"/>
      <c r="S487"/>
      <c r="U487"/>
    </row>
    <row r="488" spans="10:21" s="1" customFormat="1" x14ac:dyDescent="0.2">
      <c r="J488"/>
      <c r="K488"/>
      <c r="L488"/>
      <c r="M488"/>
      <c r="N488"/>
      <c r="O488" s="392"/>
      <c r="P488" s="2"/>
      <c r="R488"/>
      <c r="S488"/>
      <c r="U488"/>
    </row>
    <row r="489" spans="10:21" s="1" customFormat="1" x14ac:dyDescent="0.2">
      <c r="J489"/>
      <c r="K489"/>
      <c r="L489"/>
      <c r="M489"/>
      <c r="N489"/>
      <c r="O489" s="392"/>
      <c r="P489" s="2"/>
      <c r="R489"/>
      <c r="S489"/>
      <c r="U489"/>
    </row>
    <row r="490" spans="10:21" s="1" customFormat="1" x14ac:dyDescent="0.2">
      <c r="J490"/>
      <c r="K490"/>
      <c r="L490"/>
      <c r="M490"/>
      <c r="N490"/>
      <c r="O490" s="392"/>
      <c r="P490" s="2"/>
      <c r="R490"/>
      <c r="S490"/>
      <c r="U490"/>
    </row>
    <row r="491" spans="10:21" s="1" customFormat="1" x14ac:dyDescent="0.2">
      <c r="J491"/>
      <c r="K491"/>
      <c r="L491"/>
      <c r="M491"/>
      <c r="N491"/>
      <c r="O491" s="392"/>
      <c r="P491" s="2"/>
      <c r="R491"/>
      <c r="S491"/>
      <c r="U491"/>
    </row>
    <row r="492" spans="10:21" s="1" customFormat="1" x14ac:dyDescent="0.2">
      <c r="J492"/>
      <c r="K492"/>
      <c r="L492"/>
      <c r="M492"/>
      <c r="N492"/>
      <c r="O492" s="392"/>
      <c r="P492" s="2"/>
      <c r="R492"/>
      <c r="S492"/>
      <c r="U492"/>
    </row>
    <row r="493" spans="10:21" s="1" customFormat="1" x14ac:dyDescent="0.2">
      <c r="J493"/>
      <c r="K493"/>
      <c r="L493"/>
      <c r="M493"/>
      <c r="N493"/>
      <c r="O493" s="392"/>
      <c r="P493" s="2"/>
      <c r="R493"/>
      <c r="S493"/>
      <c r="U493"/>
    </row>
    <row r="494" spans="10:21" s="1" customFormat="1" x14ac:dyDescent="0.2">
      <c r="J494"/>
      <c r="K494"/>
      <c r="L494"/>
      <c r="M494"/>
      <c r="N494"/>
      <c r="O494" s="392"/>
      <c r="P494" s="2"/>
      <c r="R494"/>
      <c r="S494"/>
      <c r="U494"/>
    </row>
    <row r="495" spans="10:21" s="1" customFormat="1" x14ac:dyDescent="0.2">
      <c r="J495"/>
      <c r="K495"/>
      <c r="L495"/>
      <c r="M495"/>
      <c r="N495"/>
      <c r="O495" s="392"/>
      <c r="P495" s="2"/>
      <c r="R495"/>
      <c r="S495"/>
      <c r="U495"/>
    </row>
    <row r="496" spans="10:21" s="1" customFormat="1" x14ac:dyDescent="0.2">
      <c r="J496"/>
      <c r="K496"/>
      <c r="L496"/>
      <c r="M496"/>
      <c r="N496"/>
      <c r="O496" s="392"/>
      <c r="P496" s="2"/>
      <c r="R496"/>
      <c r="S496"/>
      <c r="U496"/>
    </row>
    <row r="497" spans="10:21" s="1" customFormat="1" x14ac:dyDescent="0.2">
      <c r="J497"/>
      <c r="K497"/>
      <c r="L497"/>
      <c r="M497"/>
      <c r="N497"/>
      <c r="O497" s="392"/>
      <c r="P497" s="2"/>
      <c r="R497"/>
      <c r="S497"/>
      <c r="U497"/>
    </row>
    <row r="498" spans="10:21" s="1" customFormat="1" x14ac:dyDescent="0.2">
      <c r="J498"/>
      <c r="K498"/>
      <c r="L498"/>
      <c r="M498"/>
      <c r="N498"/>
      <c r="O498" s="392"/>
      <c r="P498" s="2"/>
      <c r="R498"/>
      <c r="S498"/>
      <c r="U498"/>
    </row>
    <row r="499" spans="10:21" s="1" customFormat="1" x14ac:dyDescent="0.2">
      <c r="J499"/>
      <c r="K499"/>
      <c r="L499"/>
      <c r="M499"/>
      <c r="N499"/>
      <c r="O499" s="392"/>
      <c r="P499" s="2"/>
      <c r="R499"/>
      <c r="S499"/>
      <c r="U499"/>
    </row>
    <row r="500" spans="10:21" s="1" customFormat="1" x14ac:dyDescent="0.2">
      <c r="J500"/>
      <c r="K500"/>
      <c r="L500"/>
      <c r="M500"/>
      <c r="N500"/>
      <c r="O500" s="392"/>
      <c r="P500" s="2"/>
      <c r="R500"/>
      <c r="S500"/>
      <c r="U500"/>
    </row>
    <row r="501" spans="10:21" s="1" customFormat="1" x14ac:dyDescent="0.2">
      <c r="J501"/>
      <c r="K501"/>
      <c r="L501"/>
      <c r="M501"/>
      <c r="N501"/>
      <c r="O501" s="392"/>
      <c r="P501" s="2"/>
      <c r="R501"/>
      <c r="S501"/>
      <c r="U501"/>
    </row>
    <row r="502" spans="10:21" s="1" customFormat="1" x14ac:dyDescent="0.2">
      <c r="J502"/>
      <c r="K502"/>
      <c r="L502"/>
      <c r="M502"/>
      <c r="N502"/>
      <c r="O502" s="392"/>
      <c r="P502" s="2"/>
      <c r="R502"/>
      <c r="S502"/>
      <c r="U502"/>
    </row>
    <row r="503" spans="10:21" s="1" customFormat="1" x14ac:dyDescent="0.2">
      <c r="J503"/>
      <c r="K503"/>
      <c r="L503"/>
      <c r="M503"/>
      <c r="N503"/>
      <c r="O503" s="392"/>
      <c r="P503" s="2"/>
      <c r="R503"/>
      <c r="S503"/>
      <c r="U503"/>
    </row>
    <row r="504" spans="10:21" s="1" customFormat="1" x14ac:dyDescent="0.2">
      <c r="J504"/>
      <c r="K504"/>
      <c r="L504"/>
      <c r="M504"/>
      <c r="N504"/>
      <c r="O504" s="392"/>
      <c r="P504" s="2"/>
      <c r="R504"/>
      <c r="S504"/>
      <c r="U504"/>
    </row>
    <row r="505" spans="10:21" s="1" customFormat="1" x14ac:dyDescent="0.2">
      <c r="J505"/>
      <c r="K505"/>
      <c r="L505"/>
      <c r="M505"/>
      <c r="N505"/>
      <c r="O505" s="392"/>
      <c r="P505" s="2"/>
      <c r="R505"/>
      <c r="S505"/>
      <c r="U505"/>
    </row>
    <row r="506" spans="10:21" s="1" customFormat="1" x14ac:dyDescent="0.2">
      <c r="J506"/>
      <c r="K506"/>
      <c r="L506"/>
      <c r="M506"/>
      <c r="N506"/>
      <c r="O506" s="392"/>
      <c r="P506" s="2"/>
      <c r="R506"/>
      <c r="S506"/>
      <c r="U506"/>
    </row>
    <row r="507" spans="10:21" s="1" customFormat="1" x14ac:dyDescent="0.2">
      <c r="J507"/>
      <c r="K507"/>
      <c r="L507"/>
      <c r="M507"/>
      <c r="N507"/>
      <c r="O507" s="392"/>
      <c r="P507" s="2"/>
      <c r="R507"/>
      <c r="S507"/>
      <c r="U507"/>
    </row>
    <row r="508" spans="10:21" s="1" customFormat="1" x14ac:dyDescent="0.2">
      <c r="J508"/>
      <c r="K508"/>
      <c r="L508"/>
      <c r="M508"/>
      <c r="N508"/>
      <c r="O508" s="392"/>
      <c r="P508" s="2"/>
      <c r="R508"/>
      <c r="S508"/>
      <c r="U508"/>
    </row>
    <row r="509" spans="10:21" s="1" customFormat="1" x14ac:dyDescent="0.2">
      <c r="J509"/>
      <c r="K509"/>
      <c r="L509"/>
      <c r="M509"/>
      <c r="N509"/>
      <c r="O509" s="392"/>
      <c r="P509" s="2"/>
      <c r="R509"/>
      <c r="S509"/>
      <c r="U509"/>
    </row>
    <row r="510" spans="10:21" s="1" customFormat="1" x14ac:dyDescent="0.2">
      <c r="J510"/>
      <c r="K510"/>
      <c r="L510"/>
      <c r="M510"/>
      <c r="N510"/>
      <c r="O510" s="392"/>
      <c r="P510" s="2"/>
      <c r="R510"/>
      <c r="S510"/>
      <c r="U510"/>
    </row>
    <row r="511" spans="10:21" s="1" customFormat="1" x14ac:dyDescent="0.2">
      <c r="J511"/>
      <c r="K511"/>
      <c r="L511"/>
      <c r="M511"/>
      <c r="N511"/>
      <c r="O511" s="392"/>
      <c r="P511" s="2"/>
      <c r="R511"/>
      <c r="S511"/>
      <c r="U511"/>
    </row>
    <row r="512" spans="10:21" s="1" customFormat="1" x14ac:dyDescent="0.2">
      <c r="J512"/>
      <c r="K512"/>
      <c r="L512"/>
      <c r="M512"/>
      <c r="N512"/>
      <c r="O512" s="392"/>
      <c r="P512" s="2"/>
      <c r="R512"/>
      <c r="S512"/>
      <c r="U512"/>
    </row>
    <row r="513" spans="10:21" s="1" customFormat="1" x14ac:dyDescent="0.2">
      <c r="J513"/>
      <c r="K513"/>
      <c r="L513"/>
      <c r="M513"/>
      <c r="N513"/>
      <c r="O513" s="392"/>
      <c r="P513" s="2"/>
      <c r="R513"/>
      <c r="S513"/>
      <c r="U513"/>
    </row>
    <row r="514" spans="10:21" s="1" customFormat="1" x14ac:dyDescent="0.2">
      <c r="J514"/>
      <c r="K514"/>
      <c r="L514"/>
      <c r="M514"/>
      <c r="N514"/>
      <c r="O514" s="392"/>
      <c r="P514" s="2"/>
      <c r="R514"/>
      <c r="S514"/>
      <c r="U514"/>
    </row>
    <row r="515" spans="10:21" s="1" customFormat="1" x14ac:dyDescent="0.2">
      <c r="J515"/>
      <c r="K515"/>
      <c r="L515"/>
      <c r="M515"/>
      <c r="N515"/>
      <c r="O515" s="392"/>
      <c r="P515" s="2"/>
      <c r="R515"/>
      <c r="S515"/>
      <c r="U515"/>
    </row>
    <row r="516" spans="10:21" s="1" customFormat="1" x14ac:dyDescent="0.2">
      <c r="J516"/>
      <c r="K516"/>
      <c r="L516"/>
      <c r="M516"/>
      <c r="N516"/>
      <c r="O516" s="392"/>
      <c r="P516" s="2"/>
      <c r="R516"/>
      <c r="S516"/>
      <c r="U516"/>
    </row>
    <row r="517" spans="10:21" s="1" customFormat="1" x14ac:dyDescent="0.2">
      <c r="J517"/>
      <c r="K517"/>
      <c r="L517"/>
      <c r="M517"/>
      <c r="N517"/>
      <c r="O517" s="392"/>
      <c r="P517" s="2"/>
      <c r="R517"/>
      <c r="S517"/>
      <c r="U517"/>
    </row>
    <row r="518" spans="10:21" s="1" customFormat="1" x14ac:dyDescent="0.2">
      <c r="J518"/>
      <c r="K518"/>
      <c r="L518"/>
      <c r="M518"/>
      <c r="N518"/>
      <c r="O518" s="392"/>
      <c r="P518" s="2"/>
      <c r="R518"/>
      <c r="S518"/>
      <c r="U518"/>
    </row>
    <row r="519" spans="10:21" s="1" customFormat="1" x14ac:dyDescent="0.2">
      <c r="J519"/>
      <c r="K519"/>
      <c r="L519"/>
      <c r="M519"/>
      <c r="N519"/>
      <c r="O519" s="392"/>
      <c r="P519" s="2"/>
      <c r="R519"/>
      <c r="S519"/>
      <c r="U519"/>
    </row>
    <row r="520" spans="10:21" s="1" customFormat="1" x14ac:dyDescent="0.2">
      <c r="J520"/>
      <c r="K520"/>
      <c r="L520"/>
      <c r="M520"/>
      <c r="N520"/>
      <c r="O520" s="392"/>
      <c r="P520" s="2"/>
      <c r="R520"/>
      <c r="S520"/>
      <c r="U520"/>
    </row>
    <row r="521" spans="10:21" s="1" customFormat="1" x14ac:dyDescent="0.2">
      <c r="J521"/>
      <c r="K521"/>
      <c r="L521"/>
      <c r="M521"/>
      <c r="N521"/>
      <c r="O521" s="392"/>
      <c r="P521" s="2"/>
      <c r="R521"/>
      <c r="S521"/>
      <c r="U521"/>
    </row>
    <row r="522" spans="10:21" s="1" customFormat="1" x14ac:dyDescent="0.2">
      <c r="J522"/>
      <c r="K522"/>
      <c r="L522"/>
      <c r="M522"/>
      <c r="N522"/>
      <c r="O522" s="392"/>
      <c r="P522" s="2"/>
      <c r="R522"/>
      <c r="S522"/>
      <c r="U522"/>
    </row>
    <row r="523" spans="10:21" s="1" customFormat="1" x14ac:dyDescent="0.2">
      <c r="J523"/>
      <c r="K523"/>
      <c r="L523"/>
      <c r="M523"/>
      <c r="N523"/>
      <c r="O523" s="392"/>
      <c r="P523" s="2"/>
      <c r="R523"/>
      <c r="S523"/>
      <c r="U523"/>
    </row>
    <row r="524" spans="10:21" s="1" customFormat="1" x14ac:dyDescent="0.2">
      <c r="J524"/>
      <c r="K524"/>
      <c r="L524"/>
      <c r="M524"/>
      <c r="N524"/>
      <c r="O524" s="392"/>
      <c r="P524" s="2"/>
      <c r="R524"/>
      <c r="S524"/>
      <c r="U524"/>
    </row>
    <row r="525" spans="10:21" s="1" customFormat="1" x14ac:dyDescent="0.2">
      <c r="J525"/>
      <c r="K525"/>
      <c r="L525"/>
      <c r="M525"/>
      <c r="N525"/>
      <c r="O525" s="392"/>
      <c r="P525" s="2"/>
      <c r="R525"/>
      <c r="S525"/>
      <c r="U525"/>
    </row>
    <row r="526" spans="10:21" s="1" customFormat="1" x14ac:dyDescent="0.2">
      <c r="J526"/>
      <c r="K526"/>
      <c r="L526"/>
      <c r="M526"/>
      <c r="N526"/>
      <c r="O526" s="392"/>
      <c r="P526" s="2"/>
      <c r="R526"/>
      <c r="S526"/>
      <c r="U526"/>
    </row>
    <row r="527" spans="10:21" s="1" customFormat="1" x14ac:dyDescent="0.2">
      <c r="J527"/>
      <c r="K527"/>
      <c r="L527"/>
      <c r="M527"/>
      <c r="N527"/>
      <c r="O527" s="392"/>
      <c r="P527" s="2"/>
      <c r="R527"/>
      <c r="S527"/>
      <c r="U527"/>
    </row>
    <row r="528" spans="10:21" s="1" customFormat="1" x14ac:dyDescent="0.2">
      <c r="J528"/>
      <c r="K528"/>
      <c r="L528"/>
      <c r="M528"/>
      <c r="N528"/>
      <c r="O528" s="392"/>
      <c r="P528" s="2"/>
      <c r="R528"/>
      <c r="S528"/>
      <c r="U528"/>
    </row>
    <row r="529" spans="10:21" s="1" customFormat="1" x14ac:dyDescent="0.2">
      <c r="J529"/>
      <c r="K529"/>
      <c r="L529"/>
      <c r="M529"/>
      <c r="N529"/>
      <c r="O529" s="392"/>
      <c r="P529" s="2"/>
      <c r="R529"/>
      <c r="S529"/>
      <c r="U529"/>
    </row>
    <row r="530" spans="10:21" s="1" customFormat="1" x14ac:dyDescent="0.2">
      <c r="J530"/>
      <c r="K530"/>
      <c r="L530"/>
      <c r="M530"/>
      <c r="N530"/>
      <c r="O530" s="392"/>
      <c r="P530" s="2"/>
      <c r="R530"/>
      <c r="S530"/>
      <c r="U530"/>
    </row>
    <row r="531" spans="10:21" s="1" customFormat="1" x14ac:dyDescent="0.2">
      <c r="J531"/>
      <c r="K531"/>
      <c r="L531"/>
      <c r="M531"/>
      <c r="N531"/>
      <c r="O531" s="392"/>
      <c r="P531" s="2"/>
      <c r="R531"/>
      <c r="S531"/>
      <c r="U531"/>
    </row>
    <row r="532" spans="10:21" s="1" customFormat="1" x14ac:dyDescent="0.2">
      <c r="J532"/>
      <c r="K532"/>
      <c r="L532"/>
      <c r="M532"/>
      <c r="N532"/>
      <c r="O532" s="392"/>
      <c r="P532" s="2"/>
      <c r="R532"/>
      <c r="S532"/>
      <c r="U532"/>
    </row>
    <row r="533" spans="10:21" s="1" customFormat="1" x14ac:dyDescent="0.2">
      <c r="J533"/>
      <c r="K533"/>
      <c r="L533"/>
      <c r="M533"/>
      <c r="N533"/>
      <c r="O533" s="392"/>
      <c r="P533" s="2"/>
      <c r="R533"/>
      <c r="S533"/>
      <c r="U533"/>
    </row>
    <row r="534" spans="10:21" s="1" customFormat="1" x14ac:dyDescent="0.2">
      <c r="J534"/>
      <c r="K534"/>
      <c r="L534"/>
      <c r="M534"/>
      <c r="N534"/>
      <c r="O534" s="392"/>
      <c r="P534" s="2"/>
      <c r="R534"/>
      <c r="S534"/>
      <c r="U534"/>
    </row>
    <row r="535" spans="10:21" s="1" customFormat="1" x14ac:dyDescent="0.2">
      <c r="J535"/>
      <c r="K535"/>
      <c r="L535"/>
      <c r="M535"/>
      <c r="N535"/>
      <c r="O535" s="392"/>
      <c r="P535" s="2"/>
      <c r="R535"/>
      <c r="S535"/>
      <c r="U535"/>
    </row>
    <row r="536" spans="10:21" s="1" customFormat="1" x14ac:dyDescent="0.2">
      <c r="J536"/>
      <c r="K536"/>
      <c r="L536"/>
      <c r="M536"/>
      <c r="N536"/>
      <c r="O536" s="392"/>
      <c r="P536" s="2"/>
      <c r="R536"/>
      <c r="S536"/>
      <c r="U536"/>
    </row>
    <row r="537" spans="10:21" s="1" customFormat="1" x14ac:dyDescent="0.2">
      <c r="J537"/>
      <c r="K537"/>
      <c r="L537"/>
      <c r="M537"/>
      <c r="N537"/>
      <c r="O537" s="392"/>
      <c r="P537" s="2"/>
      <c r="R537"/>
      <c r="S537"/>
      <c r="U537"/>
    </row>
    <row r="538" spans="10:21" s="1" customFormat="1" x14ac:dyDescent="0.2">
      <c r="J538"/>
      <c r="K538"/>
      <c r="L538"/>
      <c r="M538"/>
      <c r="N538"/>
      <c r="O538" s="392"/>
      <c r="P538" s="2"/>
      <c r="R538"/>
      <c r="S538"/>
      <c r="U538"/>
    </row>
    <row r="539" spans="10:21" s="1" customFormat="1" x14ac:dyDescent="0.2">
      <c r="J539"/>
      <c r="K539"/>
      <c r="L539"/>
      <c r="M539"/>
      <c r="N539"/>
      <c r="O539" s="392"/>
      <c r="P539" s="2"/>
      <c r="R539"/>
      <c r="S539"/>
      <c r="U539"/>
    </row>
    <row r="540" spans="10:21" s="1" customFormat="1" x14ac:dyDescent="0.2">
      <c r="J540"/>
      <c r="K540"/>
      <c r="L540"/>
      <c r="M540"/>
      <c r="N540"/>
      <c r="O540" s="392"/>
      <c r="P540" s="2"/>
      <c r="R540"/>
      <c r="S540"/>
      <c r="U540"/>
    </row>
    <row r="541" spans="10:21" s="1" customFormat="1" x14ac:dyDescent="0.2">
      <c r="J541"/>
      <c r="K541"/>
      <c r="L541"/>
      <c r="M541"/>
      <c r="N541"/>
      <c r="O541" s="392"/>
      <c r="P541" s="2"/>
      <c r="R541"/>
      <c r="S541"/>
      <c r="U541"/>
    </row>
    <row r="542" spans="10:21" s="1" customFormat="1" x14ac:dyDescent="0.2">
      <c r="J542"/>
      <c r="K542"/>
      <c r="L542"/>
      <c r="M542"/>
      <c r="N542"/>
      <c r="O542" s="392"/>
      <c r="P542" s="2"/>
      <c r="R542"/>
      <c r="S542"/>
      <c r="U542"/>
    </row>
    <row r="543" spans="10:21" s="1" customFormat="1" x14ac:dyDescent="0.2">
      <c r="J543"/>
      <c r="K543"/>
      <c r="L543"/>
      <c r="M543"/>
      <c r="N543"/>
      <c r="O543" s="392"/>
      <c r="P543" s="2"/>
      <c r="R543"/>
      <c r="S543"/>
      <c r="U543"/>
    </row>
    <row r="544" spans="10:21" s="1" customFormat="1" x14ac:dyDescent="0.2">
      <c r="J544"/>
      <c r="K544"/>
      <c r="L544"/>
      <c r="M544"/>
      <c r="N544"/>
      <c r="O544" s="392"/>
      <c r="P544" s="2"/>
      <c r="R544"/>
      <c r="S544"/>
      <c r="U544"/>
    </row>
    <row r="545" spans="10:21" s="1" customFormat="1" x14ac:dyDescent="0.2">
      <c r="J545"/>
      <c r="K545"/>
      <c r="L545"/>
      <c r="M545"/>
      <c r="N545"/>
      <c r="O545" s="392"/>
      <c r="P545" s="2"/>
      <c r="R545"/>
      <c r="S545"/>
      <c r="U545"/>
    </row>
    <row r="546" spans="10:21" s="1" customFormat="1" x14ac:dyDescent="0.2">
      <c r="J546"/>
      <c r="K546"/>
      <c r="L546"/>
      <c r="M546"/>
      <c r="N546"/>
      <c r="O546" s="392"/>
      <c r="P546" s="2"/>
      <c r="R546"/>
      <c r="S546"/>
      <c r="U546"/>
    </row>
    <row r="547" spans="10:21" s="1" customFormat="1" x14ac:dyDescent="0.2">
      <c r="J547"/>
      <c r="K547"/>
      <c r="L547"/>
      <c r="M547"/>
      <c r="N547"/>
      <c r="O547" s="392"/>
      <c r="P547" s="2"/>
      <c r="R547"/>
      <c r="S547"/>
      <c r="U547"/>
    </row>
    <row r="548" spans="10:21" s="1" customFormat="1" x14ac:dyDescent="0.2">
      <c r="J548"/>
      <c r="K548"/>
      <c r="L548"/>
      <c r="M548"/>
      <c r="N548"/>
      <c r="O548" s="392"/>
      <c r="P548" s="2"/>
      <c r="R548"/>
      <c r="S548"/>
      <c r="U548"/>
    </row>
    <row r="549" spans="10:21" s="1" customFormat="1" x14ac:dyDescent="0.2">
      <c r="J549"/>
      <c r="K549"/>
      <c r="L549"/>
      <c r="M549"/>
      <c r="N549"/>
      <c r="O549" s="392"/>
      <c r="P549" s="2"/>
      <c r="R549"/>
      <c r="S549"/>
      <c r="U549"/>
    </row>
    <row r="550" spans="10:21" s="1" customFormat="1" x14ac:dyDescent="0.2">
      <c r="J550"/>
      <c r="K550"/>
      <c r="L550"/>
      <c r="M550"/>
      <c r="N550"/>
      <c r="O550" s="392"/>
      <c r="P550" s="2"/>
      <c r="R550"/>
      <c r="S550"/>
      <c r="U550"/>
    </row>
    <row r="551" spans="10:21" s="1" customFormat="1" x14ac:dyDescent="0.2">
      <c r="J551"/>
      <c r="K551"/>
      <c r="L551"/>
      <c r="M551"/>
      <c r="N551"/>
      <c r="O551" s="392"/>
      <c r="P551" s="2"/>
      <c r="R551"/>
      <c r="S551"/>
      <c r="U551"/>
    </row>
    <row r="552" spans="10:21" s="1" customFormat="1" x14ac:dyDescent="0.2">
      <c r="J552"/>
      <c r="K552"/>
      <c r="L552"/>
      <c r="M552"/>
      <c r="N552"/>
      <c r="O552" s="392"/>
      <c r="P552" s="2"/>
      <c r="R552"/>
      <c r="S552"/>
      <c r="U552"/>
    </row>
    <row r="553" spans="10:21" s="1" customFormat="1" x14ac:dyDescent="0.2">
      <c r="J553"/>
      <c r="K553"/>
      <c r="L553"/>
      <c r="M553"/>
      <c r="N553"/>
      <c r="O553" s="392"/>
      <c r="P553" s="2"/>
      <c r="R553"/>
      <c r="S553"/>
      <c r="U553"/>
    </row>
    <row r="554" spans="10:21" s="1" customFormat="1" x14ac:dyDescent="0.2">
      <c r="J554"/>
      <c r="K554"/>
      <c r="L554"/>
      <c r="M554"/>
      <c r="N554"/>
      <c r="O554" s="392"/>
      <c r="P554" s="2"/>
      <c r="R554"/>
      <c r="S554"/>
      <c r="U554"/>
    </row>
    <row r="555" spans="10:21" s="1" customFormat="1" x14ac:dyDescent="0.2">
      <c r="J555"/>
      <c r="K555"/>
      <c r="L555"/>
      <c r="M555"/>
      <c r="N555"/>
      <c r="O555" s="392"/>
      <c r="P555" s="2"/>
      <c r="R555"/>
      <c r="S555"/>
      <c r="U555"/>
    </row>
    <row r="556" spans="10:21" s="1" customFormat="1" x14ac:dyDescent="0.2">
      <c r="J556"/>
      <c r="K556"/>
      <c r="L556"/>
      <c r="M556"/>
      <c r="N556"/>
      <c r="O556" s="392"/>
      <c r="P556" s="2"/>
      <c r="R556"/>
      <c r="S556"/>
      <c r="U556"/>
    </row>
    <row r="557" spans="10:21" s="1" customFormat="1" x14ac:dyDescent="0.2">
      <c r="J557"/>
      <c r="K557"/>
      <c r="L557"/>
      <c r="M557"/>
      <c r="N557"/>
      <c r="O557" s="392"/>
      <c r="P557" s="2"/>
      <c r="R557"/>
      <c r="S557"/>
      <c r="U557"/>
    </row>
    <row r="558" spans="10:21" s="1" customFormat="1" x14ac:dyDescent="0.2">
      <c r="J558"/>
      <c r="K558"/>
      <c r="L558"/>
      <c r="M558"/>
      <c r="N558"/>
      <c r="O558" s="392"/>
      <c r="P558" s="2"/>
      <c r="R558"/>
      <c r="S558"/>
      <c r="U558"/>
    </row>
    <row r="559" spans="10:21" s="1" customFormat="1" x14ac:dyDescent="0.2">
      <c r="J559"/>
      <c r="K559"/>
      <c r="L559"/>
      <c r="M559"/>
      <c r="N559"/>
      <c r="O559" s="392"/>
      <c r="P559" s="2"/>
      <c r="R559"/>
      <c r="S559"/>
      <c r="U559"/>
    </row>
    <row r="560" spans="10:21" s="1" customFormat="1" x14ac:dyDescent="0.2">
      <c r="J560"/>
      <c r="K560"/>
      <c r="L560"/>
      <c r="M560"/>
      <c r="N560"/>
      <c r="O560" s="392"/>
      <c r="P560" s="2"/>
      <c r="R560"/>
      <c r="S560"/>
      <c r="U560"/>
    </row>
    <row r="561" spans="10:21" s="1" customFormat="1" x14ac:dyDescent="0.2">
      <c r="J561"/>
      <c r="K561"/>
      <c r="L561"/>
      <c r="M561"/>
      <c r="N561"/>
      <c r="O561" s="392"/>
      <c r="P561" s="2"/>
      <c r="R561"/>
      <c r="S561"/>
      <c r="U561"/>
    </row>
    <row r="562" spans="10:21" s="1" customFormat="1" x14ac:dyDescent="0.2">
      <c r="J562"/>
      <c r="K562"/>
      <c r="L562"/>
      <c r="M562"/>
      <c r="N562"/>
      <c r="O562" s="392"/>
      <c r="P562" s="2"/>
      <c r="R562"/>
      <c r="S562"/>
      <c r="U562"/>
    </row>
    <row r="563" spans="10:21" s="1" customFormat="1" x14ac:dyDescent="0.2">
      <c r="J563"/>
      <c r="K563"/>
      <c r="L563"/>
      <c r="M563"/>
      <c r="N563"/>
      <c r="O563" s="392"/>
      <c r="P563" s="2"/>
      <c r="R563"/>
      <c r="S563"/>
      <c r="U563"/>
    </row>
    <row r="564" spans="10:21" s="1" customFormat="1" x14ac:dyDescent="0.2">
      <c r="J564"/>
      <c r="K564"/>
      <c r="L564"/>
      <c r="M564"/>
      <c r="N564"/>
      <c r="O564" s="392"/>
      <c r="P564" s="2"/>
      <c r="R564"/>
      <c r="S564"/>
      <c r="U564"/>
    </row>
    <row r="565" spans="10:21" s="1" customFormat="1" x14ac:dyDescent="0.2">
      <c r="J565"/>
      <c r="K565"/>
      <c r="L565"/>
      <c r="M565"/>
      <c r="N565"/>
      <c r="O565" s="392"/>
      <c r="P565" s="2"/>
      <c r="R565"/>
      <c r="S565"/>
      <c r="U565"/>
    </row>
    <row r="566" spans="10:21" s="1" customFormat="1" x14ac:dyDescent="0.2">
      <c r="J566"/>
      <c r="K566"/>
      <c r="L566"/>
      <c r="M566"/>
      <c r="N566"/>
      <c r="O566" s="392"/>
      <c r="P566" s="2"/>
      <c r="R566"/>
      <c r="S566"/>
      <c r="U566"/>
    </row>
    <row r="567" spans="10:21" s="1" customFormat="1" x14ac:dyDescent="0.2">
      <c r="J567"/>
      <c r="K567"/>
      <c r="L567"/>
      <c r="M567"/>
      <c r="N567"/>
      <c r="O567" s="392"/>
      <c r="P567" s="2"/>
      <c r="R567"/>
      <c r="S567"/>
      <c r="U567"/>
    </row>
    <row r="568" spans="10:21" s="1" customFormat="1" x14ac:dyDescent="0.2">
      <c r="J568"/>
      <c r="K568"/>
      <c r="L568"/>
      <c r="M568"/>
      <c r="N568"/>
      <c r="O568" s="392"/>
      <c r="P568" s="2"/>
      <c r="R568"/>
      <c r="S568"/>
      <c r="U568"/>
    </row>
    <row r="569" spans="10:21" s="1" customFormat="1" x14ac:dyDescent="0.2">
      <c r="J569"/>
      <c r="K569"/>
      <c r="L569"/>
      <c r="M569"/>
      <c r="N569"/>
      <c r="O569" s="392"/>
      <c r="P569" s="2"/>
      <c r="R569"/>
      <c r="S569"/>
      <c r="U569"/>
    </row>
    <row r="570" spans="10:21" s="1" customFormat="1" x14ac:dyDescent="0.2">
      <c r="J570"/>
      <c r="K570"/>
      <c r="L570"/>
      <c r="M570"/>
      <c r="N570"/>
      <c r="O570" s="392"/>
      <c r="P570" s="2"/>
      <c r="R570"/>
      <c r="S570"/>
      <c r="U570"/>
    </row>
    <row r="571" spans="10:21" s="1" customFormat="1" x14ac:dyDescent="0.2">
      <c r="J571"/>
      <c r="K571"/>
      <c r="L571"/>
      <c r="M571"/>
      <c r="N571"/>
      <c r="O571" s="392"/>
      <c r="P571" s="2"/>
      <c r="R571"/>
      <c r="S571"/>
      <c r="U571"/>
    </row>
    <row r="572" spans="10:21" s="1" customFormat="1" x14ac:dyDescent="0.2">
      <c r="J572"/>
      <c r="K572"/>
      <c r="L572"/>
      <c r="M572"/>
      <c r="N572"/>
      <c r="O572" s="392"/>
      <c r="P572" s="2"/>
      <c r="R572"/>
      <c r="S572"/>
      <c r="U572"/>
    </row>
    <row r="573" spans="10:21" s="1" customFormat="1" x14ac:dyDescent="0.2">
      <c r="J573"/>
      <c r="K573"/>
      <c r="L573"/>
      <c r="M573"/>
      <c r="N573"/>
      <c r="O573" s="392"/>
      <c r="P573" s="2"/>
      <c r="R573"/>
      <c r="S573"/>
      <c r="U573"/>
    </row>
    <row r="574" spans="10:21" s="1" customFormat="1" x14ac:dyDescent="0.2">
      <c r="J574"/>
      <c r="K574"/>
      <c r="L574"/>
      <c r="M574"/>
      <c r="N574"/>
      <c r="O574" s="392"/>
      <c r="P574" s="2"/>
      <c r="R574"/>
      <c r="S574"/>
      <c r="U574"/>
    </row>
    <row r="575" spans="10:21" s="1" customFormat="1" x14ac:dyDescent="0.2">
      <c r="J575"/>
      <c r="K575"/>
      <c r="L575"/>
      <c r="M575"/>
      <c r="N575"/>
      <c r="O575" s="392"/>
      <c r="P575" s="2"/>
      <c r="R575"/>
      <c r="S575"/>
      <c r="U575"/>
    </row>
    <row r="576" spans="10:21" s="1" customFormat="1" x14ac:dyDescent="0.2">
      <c r="J576"/>
      <c r="K576"/>
      <c r="L576"/>
      <c r="M576"/>
      <c r="N576"/>
      <c r="O576" s="392"/>
      <c r="P576" s="2"/>
      <c r="R576"/>
      <c r="S576"/>
      <c r="U576"/>
    </row>
    <row r="577" spans="10:21" s="1" customFormat="1" x14ac:dyDescent="0.2">
      <c r="J577"/>
      <c r="K577"/>
      <c r="L577"/>
      <c r="M577"/>
      <c r="N577"/>
      <c r="O577" s="392"/>
      <c r="P577" s="2"/>
      <c r="R577"/>
      <c r="S577"/>
      <c r="U577"/>
    </row>
    <row r="578" spans="10:21" s="1" customFormat="1" x14ac:dyDescent="0.2">
      <c r="J578"/>
      <c r="K578"/>
      <c r="L578"/>
      <c r="M578"/>
      <c r="N578"/>
      <c r="O578" s="392"/>
      <c r="P578" s="2"/>
      <c r="R578"/>
      <c r="S578"/>
      <c r="U578"/>
    </row>
    <row r="579" spans="10:21" s="1" customFormat="1" x14ac:dyDescent="0.2">
      <c r="J579"/>
      <c r="K579"/>
      <c r="L579"/>
      <c r="M579"/>
      <c r="N579"/>
      <c r="O579" s="392"/>
      <c r="P579" s="2"/>
      <c r="R579"/>
      <c r="S579"/>
      <c r="U579"/>
    </row>
    <row r="580" spans="10:21" s="1" customFormat="1" x14ac:dyDescent="0.2">
      <c r="J580"/>
      <c r="K580"/>
      <c r="L580"/>
      <c r="M580"/>
      <c r="N580"/>
      <c r="O580" s="392"/>
      <c r="P580" s="2"/>
      <c r="R580"/>
      <c r="S580"/>
      <c r="U580"/>
    </row>
    <row r="581" spans="10:21" s="1" customFormat="1" x14ac:dyDescent="0.2">
      <c r="J581"/>
      <c r="K581"/>
      <c r="L581"/>
      <c r="M581"/>
      <c r="N581"/>
      <c r="O581" s="392"/>
      <c r="P581" s="2"/>
      <c r="R581"/>
      <c r="S581"/>
      <c r="U581"/>
    </row>
    <row r="582" spans="10:21" s="1" customFormat="1" x14ac:dyDescent="0.2">
      <c r="J582"/>
      <c r="K582"/>
      <c r="L582"/>
      <c r="M582"/>
      <c r="N582"/>
      <c r="O582" s="392"/>
      <c r="P582" s="2"/>
      <c r="R582"/>
      <c r="S582"/>
      <c r="U582"/>
    </row>
    <row r="583" spans="10:21" s="1" customFormat="1" x14ac:dyDescent="0.2">
      <c r="J583"/>
      <c r="K583"/>
      <c r="L583"/>
      <c r="M583"/>
      <c r="N583"/>
      <c r="O583" s="392"/>
      <c r="P583" s="2"/>
      <c r="R583"/>
      <c r="S583"/>
      <c r="U583"/>
    </row>
    <row r="584" spans="10:21" s="1" customFormat="1" x14ac:dyDescent="0.2">
      <c r="J584"/>
      <c r="K584"/>
      <c r="L584"/>
      <c r="M584"/>
      <c r="N584"/>
      <c r="O584" s="392"/>
      <c r="P584" s="2"/>
      <c r="R584"/>
      <c r="S584"/>
      <c r="U584"/>
    </row>
    <row r="585" spans="10:21" s="1" customFormat="1" x14ac:dyDescent="0.2">
      <c r="J585"/>
      <c r="K585"/>
      <c r="L585"/>
      <c r="M585"/>
      <c r="N585"/>
      <c r="O585" s="392"/>
      <c r="P585" s="2"/>
      <c r="R585"/>
      <c r="S585"/>
      <c r="U585"/>
    </row>
    <row r="586" spans="10:21" s="1" customFormat="1" x14ac:dyDescent="0.2">
      <c r="J586"/>
      <c r="K586"/>
      <c r="L586"/>
      <c r="M586"/>
      <c r="N586"/>
      <c r="O586" s="392"/>
      <c r="P586" s="2"/>
      <c r="R586"/>
      <c r="S586"/>
      <c r="U586"/>
    </row>
    <row r="587" spans="10:21" s="1" customFormat="1" x14ac:dyDescent="0.2">
      <c r="J587"/>
      <c r="K587"/>
      <c r="L587"/>
      <c r="M587"/>
      <c r="N587"/>
      <c r="O587" s="392"/>
      <c r="P587" s="2"/>
      <c r="R587"/>
      <c r="S587"/>
      <c r="U587"/>
    </row>
    <row r="588" spans="10:21" s="1" customFormat="1" x14ac:dyDescent="0.2">
      <c r="J588"/>
      <c r="K588"/>
      <c r="L588"/>
      <c r="M588"/>
      <c r="N588"/>
      <c r="O588" s="392"/>
      <c r="P588" s="2"/>
      <c r="R588"/>
      <c r="S588"/>
      <c r="U588"/>
    </row>
    <row r="589" spans="10:21" s="1" customFormat="1" x14ac:dyDescent="0.2">
      <c r="J589"/>
      <c r="K589"/>
      <c r="L589"/>
      <c r="M589"/>
      <c r="N589"/>
      <c r="O589" s="392"/>
      <c r="P589" s="2"/>
      <c r="R589"/>
      <c r="S589"/>
      <c r="U589"/>
    </row>
    <row r="590" spans="10:21" s="1" customFormat="1" x14ac:dyDescent="0.2">
      <c r="J590"/>
      <c r="K590"/>
      <c r="L590"/>
      <c r="M590"/>
      <c r="N590"/>
      <c r="O590" s="392"/>
      <c r="P590" s="2"/>
      <c r="R590"/>
      <c r="S590"/>
      <c r="U590"/>
    </row>
    <row r="591" spans="10:21" s="1" customFormat="1" x14ac:dyDescent="0.2">
      <c r="J591"/>
      <c r="K591"/>
      <c r="L591"/>
      <c r="M591"/>
      <c r="N591"/>
      <c r="O591" s="392"/>
      <c r="P591" s="2"/>
      <c r="R591"/>
      <c r="S591"/>
      <c r="U591"/>
    </row>
    <row r="592" spans="10:21" s="1" customFormat="1" x14ac:dyDescent="0.2">
      <c r="J592"/>
      <c r="K592"/>
      <c r="L592"/>
      <c r="M592"/>
      <c r="N592"/>
      <c r="O592" s="392"/>
      <c r="P592" s="2"/>
      <c r="R592"/>
      <c r="S592"/>
      <c r="U592"/>
    </row>
    <row r="593" spans="10:21" s="1" customFormat="1" x14ac:dyDescent="0.2">
      <c r="J593"/>
      <c r="K593"/>
      <c r="L593"/>
      <c r="M593"/>
      <c r="N593"/>
      <c r="O593" s="392"/>
      <c r="P593" s="2"/>
      <c r="R593"/>
      <c r="S593"/>
      <c r="U593"/>
    </row>
    <row r="594" spans="10:21" s="1" customFormat="1" x14ac:dyDescent="0.2">
      <c r="J594"/>
      <c r="K594"/>
      <c r="L594"/>
      <c r="M594"/>
      <c r="N594"/>
      <c r="O594" s="392"/>
      <c r="P594" s="2"/>
      <c r="R594"/>
      <c r="S594"/>
      <c r="U594"/>
    </row>
    <row r="595" spans="10:21" s="1" customFormat="1" x14ac:dyDescent="0.2">
      <c r="J595"/>
      <c r="K595"/>
      <c r="L595"/>
      <c r="M595"/>
      <c r="N595"/>
      <c r="O595" s="392"/>
      <c r="P595" s="2"/>
      <c r="R595"/>
      <c r="S595"/>
      <c r="U595"/>
    </row>
    <row r="596" spans="10:21" s="1" customFormat="1" x14ac:dyDescent="0.2">
      <c r="J596"/>
      <c r="K596"/>
      <c r="L596"/>
      <c r="M596"/>
      <c r="N596"/>
      <c r="O596" s="392"/>
      <c r="P596" s="2"/>
      <c r="R596"/>
      <c r="S596"/>
      <c r="U596"/>
    </row>
    <row r="597" spans="10:21" s="1" customFormat="1" x14ac:dyDescent="0.2">
      <c r="J597"/>
      <c r="K597"/>
      <c r="L597"/>
      <c r="M597"/>
      <c r="N597"/>
      <c r="O597" s="392"/>
      <c r="P597" s="2"/>
      <c r="R597"/>
      <c r="S597"/>
      <c r="U597"/>
    </row>
    <row r="598" spans="10:21" s="1" customFormat="1" x14ac:dyDescent="0.2">
      <c r="J598"/>
      <c r="K598"/>
      <c r="L598"/>
      <c r="M598"/>
      <c r="N598"/>
      <c r="O598" s="392"/>
      <c r="P598" s="2"/>
      <c r="R598"/>
      <c r="S598"/>
      <c r="U598"/>
    </row>
    <row r="599" spans="10:21" s="1" customFormat="1" x14ac:dyDescent="0.2">
      <c r="J599"/>
      <c r="K599"/>
      <c r="L599"/>
      <c r="M599"/>
      <c r="N599"/>
      <c r="O599" s="392"/>
      <c r="P599" s="2"/>
      <c r="R599"/>
      <c r="S599"/>
      <c r="U599"/>
    </row>
    <row r="600" spans="10:21" s="1" customFormat="1" x14ac:dyDescent="0.2">
      <c r="J600"/>
      <c r="K600"/>
      <c r="L600"/>
      <c r="M600"/>
      <c r="N600"/>
      <c r="O600" s="392"/>
      <c r="P600" s="2"/>
      <c r="R600"/>
      <c r="S600"/>
      <c r="U600"/>
    </row>
    <row r="601" spans="10:21" s="1" customFormat="1" x14ac:dyDescent="0.2">
      <c r="J601"/>
      <c r="K601"/>
      <c r="L601"/>
      <c r="M601"/>
      <c r="N601"/>
      <c r="O601" s="392"/>
      <c r="P601" s="2"/>
      <c r="R601"/>
      <c r="S601"/>
      <c r="U601"/>
    </row>
    <row r="602" spans="10:21" s="1" customFormat="1" x14ac:dyDescent="0.2">
      <c r="J602"/>
      <c r="K602"/>
      <c r="L602"/>
      <c r="M602"/>
      <c r="N602"/>
      <c r="O602" s="392"/>
      <c r="P602" s="2"/>
      <c r="R602"/>
      <c r="S602"/>
      <c r="U602"/>
    </row>
    <row r="603" spans="10:21" s="1" customFormat="1" x14ac:dyDescent="0.2">
      <c r="J603"/>
      <c r="K603"/>
      <c r="L603"/>
      <c r="M603"/>
      <c r="N603"/>
      <c r="O603" s="392"/>
      <c r="P603" s="2"/>
      <c r="R603"/>
      <c r="S603"/>
      <c r="U603"/>
    </row>
    <row r="604" spans="10:21" s="1" customFormat="1" x14ac:dyDescent="0.2">
      <c r="J604"/>
      <c r="K604"/>
      <c r="L604"/>
      <c r="M604"/>
      <c r="N604"/>
      <c r="O604" s="392"/>
      <c r="P604" s="2"/>
      <c r="R604"/>
      <c r="S604"/>
      <c r="U604"/>
    </row>
    <row r="605" spans="10:21" s="1" customFormat="1" x14ac:dyDescent="0.2">
      <c r="J605"/>
      <c r="K605"/>
      <c r="L605"/>
      <c r="M605"/>
      <c r="N605"/>
      <c r="O605" s="392"/>
      <c r="P605" s="2"/>
      <c r="R605"/>
      <c r="S605"/>
      <c r="U605"/>
    </row>
    <row r="606" spans="10:21" s="1" customFormat="1" x14ac:dyDescent="0.2">
      <c r="J606"/>
      <c r="K606"/>
      <c r="L606"/>
      <c r="M606"/>
      <c r="N606"/>
      <c r="O606" s="392"/>
      <c r="P606" s="2"/>
      <c r="R606"/>
      <c r="S606"/>
      <c r="U606"/>
    </row>
    <row r="607" spans="10:21" s="1" customFormat="1" x14ac:dyDescent="0.2">
      <c r="J607"/>
      <c r="K607"/>
      <c r="L607"/>
      <c r="M607"/>
      <c r="N607"/>
      <c r="O607" s="392"/>
      <c r="P607" s="2"/>
      <c r="R607"/>
      <c r="S607"/>
      <c r="U607"/>
    </row>
    <row r="608" spans="10:21" s="1" customFormat="1" x14ac:dyDescent="0.2">
      <c r="J608"/>
      <c r="K608"/>
      <c r="L608"/>
      <c r="M608"/>
      <c r="N608"/>
      <c r="O608" s="392"/>
      <c r="P608" s="2"/>
      <c r="R608"/>
      <c r="S608"/>
      <c r="U608"/>
    </row>
    <row r="609" spans="10:21" s="1" customFormat="1" x14ac:dyDescent="0.2">
      <c r="J609"/>
      <c r="K609"/>
      <c r="L609"/>
      <c r="M609"/>
      <c r="N609"/>
      <c r="O609" s="392"/>
      <c r="P609" s="2"/>
      <c r="R609"/>
      <c r="S609"/>
      <c r="U609"/>
    </row>
    <row r="610" spans="10:21" s="1" customFormat="1" x14ac:dyDescent="0.2">
      <c r="J610"/>
      <c r="K610"/>
      <c r="L610"/>
      <c r="M610"/>
      <c r="N610"/>
      <c r="O610" s="392"/>
      <c r="P610" s="2"/>
      <c r="R610"/>
      <c r="S610"/>
      <c r="U610"/>
    </row>
    <row r="611" spans="10:21" s="1" customFormat="1" x14ac:dyDescent="0.2">
      <c r="J611"/>
      <c r="K611"/>
      <c r="L611"/>
      <c r="M611"/>
      <c r="N611"/>
      <c r="O611" s="392"/>
      <c r="P611" s="2"/>
      <c r="R611"/>
      <c r="S611"/>
      <c r="U611"/>
    </row>
    <row r="612" spans="10:21" s="1" customFormat="1" x14ac:dyDescent="0.2">
      <c r="J612"/>
      <c r="K612"/>
      <c r="L612"/>
      <c r="M612"/>
      <c r="N612"/>
      <c r="O612" s="392"/>
      <c r="P612" s="2"/>
      <c r="R612"/>
      <c r="S612"/>
      <c r="U612"/>
    </row>
    <row r="613" spans="10:21" s="1" customFormat="1" x14ac:dyDescent="0.2">
      <c r="J613"/>
      <c r="K613"/>
      <c r="L613"/>
      <c r="M613"/>
      <c r="N613"/>
      <c r="O613" s="392"/>
      <c r="P613" s="2"/>
      <c r="R613"/>
      <c r="S613"/>
      <c r="U613"/>
    </row>
    <row r="614" spans="10:21" s="1" customFormat="1" x14ac:dyDescent="0.2">
      <c r="J614"/>
      <c r="K614"/>
      <c r="L614"/>
      <c r="M614"/>
      <c r="N614"/>
      <c r="O614" s="392"/>
      <c r="P614" s="2"/>
      <c r="R614"/>
      <c r="S614"/>
      <c r="U614"/>
    </row>
    <row r="615" spans="10:21" s="1" customFormat="1" x14ac:dyDescent="0.2">
      <c r="J615"/>
      <c r="K615"/>
      <c r="L615"/>
      <c r="M615"/>
      <c r="N615"/>
      <c r="O615" s="392"/>
      <c r="P615" s="2"/>
      <c r="R615"/>
      <c r="S615"/>
      <c r="U615"/>
    </row>
    <row r="616" spans="10:21" s="1" customFormat="1" x14ac:dyDescent="0.2">
      <c r="J616"/>
      <c r="K616"/>
      <c r="L616"/>
      <c r="M616"/>
      <c r="N616"/>
      <c r="O616" s="392"/>
      <c r="P616" s="2"/>
      <c r="R616"/>
      <c r="S616"/>
      <c r="U616"/>
    </row>
    <row r="617" spans="10:21" s="1" customFormat="1" x14ac:dyDescent="0.2">
      <c r="J617"/>
      <c r="K617"/>
      <c r="L617"/>
      <c r="M617"/>
      <c r="N617"/>
      <c r="O617" s="392"/>
      <c r="P617" s="2"/>
      <c r="R617"/>
      <c r="S617"/>
      <c r="U617"/>
    </row>
    <row r="618" spans="10:21" s="1" customFormat="1" x14ac:dyDescent="0.2">
      <c r="J618"/>
      <c r="K618"/>
      <c r="L618"/>
      <c r="M618"/>
      <c r="N618"/>
      <c r="O618" s="392"/>
      <c r="P618" s="2"/>
      <c r="R618"/>
      <c r="S618"/>
      <c r="U618"/>
    </row>
    <row r="619" spans="10:21" s="1" customFormat="1" x14ac:dyDescent="0.2">
      <c r="J619"/>
      <c r="K619"/>
      <c r="L619"/>
      <c r="M619"/>
      <c r="N619"/>
      <c r="O619" s="392"/>
      <c r="P619" s="2"/>
      <c r="R619"/>
      <c r="S619"/>
      <c r="U619"/>
    </row>
    <row r="620" spans="10:21" s="1" customFormat="1" x14ac:dyDescent="0.2">
      <c r="J620"/>
      <c r="K620"/>
      <c r="L620"/>
      <c r="M620"/>
      <c r="N620"/>
      <c r="O620" s="392"/>
      <c r="P620" s="2"/>
      <c r="R620"/>
      <c r="S620"/>
      <c r="U620"/>
    </row>
    <row r="621" spans="10:21" s="1" customFormat="1" x14ac:dyDescent="0.2">
      <c r="J621"/>
      <c r="K621"/>
      <c r="L621"/>
      <c r="M621"/>
      <c r="N621"/>
      <c r="O621" s="392"/>
      <c r="P621" s="2"/>
      <c r="R621"/>
      <c r="S621"/>
      <c r="U621"/>
    </row>
    <row r="622" spans="10:21" s="1" customFormat="1" x14ac:dyDescent="0.2">
      <c r="J622"/>
      <c r="K622"/>
      <c r="L622"/>
      <c r="M622"/>
      <c r="N622"/>
      <c r="O622" s="392"/>
      <c r="P622" s="2"/>
      <c r="R622"/>
      <c r="S622"/>
      <c r="U622"/>
    </row>
    <row r="623" spans="10:21" s="1" customFormat="1" x14ac:dyDescent="0.2">
      <c r="J623"/>
      <c r="K623"/>
      <c r="L623"/>
      <c r="M623"/>
      <c r="N623"/>
      <c r="O623" s="392"/>
      <c r="P623" s="2"/>
      <c r="R623"/>
      <c r="S623"/>
      <c r="U623"/>
    </row>
    <row r="624" spans="10:21" s="1" customFormat="1" x14ac:dyDescent="0.2">
      <c r="J624"/>
      <c r="K624"/>
      <c r="L624"/>
      <c r="M624"/>
      <c r="N624"/>
      <c r="O624" s="392"/>
      <c r="P624" s="2"/>
      <c r="R624"/>
      <c r="S624"/>
      <c r="U624"/>
    </row>
    <row r="625" spans="10:21" s="1" customFormat="1" x14ac:dyDescent="0.2">
      <c r="J625"/>
      <c r="K625"/>
      <c r="L625"/>
      <c r="M625"/>
      <c r="N625"/>
      <c r="O625" s="392"/>
      <c r="P625" s="2"/>
      <c r="R625"/>
      <c r="S625"/>
      <c r="U625"/>
    </row>
    <row r="626" spans="10:21" s="1" customFormat="1" x14ac:dyDescent="0.2">
      <c r="J626"/>
      <c r="K626"/>
      <c r="L626"/>
      <c r="M626"/>
      <c r="N626"/>
      <c r="O626" s="392"/>
      <c r="P626" s="2"/>
      <c r="R626"/>
      <c r="S626"/>
      <c r="U626"/>
    </row>
    <row r="627" spans="10:21" s="1" customFormat="1" x14ac:dyDescent="0.2">
      <c r="J627"/>
      <c r="K627"/>
      <c r="L627"/>
      <c r="M627"/>
      <c r="N627"/>
      <c r="O627" s="392"/>
      <c r="P627" s="2"/>
      <c r="R627"/>
      <c r="S627"/>
      <c r="U627"/>
    </row>
    <row r="628" spans="10:21" s="1" customFormat="1" x14ac:dyDescent="0.2">
      <c r="J628"/>
      <c r="K628"/>
      <c r="L628"/>
      <c r="M628"/>
      <c r="N628"/>
      <c r="O628" s="392"/>
      <c r="P628" s="2"/>
      <c r="R628"/>
      <c r="S628"/>
      <c r="U628"/>
    </row>
    <row r="629" spans="10:21" s="1" customFormat="1" x14ac:dyDescent="0.2">
      <c r="J629"/>
      <c r="K629"/>
      <c r="L629"/>
      <c r="M629"/>
      <c r="N629"/>
      <c r="O629" s="392"/>
      <c r="P629" s="2"/>
      <c r="R629"/>
      <c r="S629"/>
      <c r="U629"/>
    </row>
    <row r="630" spans="10:21" s="1" customFormat="1" x14ac:dyDescent="0.2">
      <c r="J630"/>
      <c r="K630"/>
      <c r="L630"/>
      <c r="M630"/>
      <c r="N630"/>
      <c r="O630" s="392"/>
      <c r="P630" s="2"/>
      <c r="R630"/>
      <c r="S630"/>
      <c r="U630"/>
    </row>
    <row r="631" spans="10:21" s="1" customFormat="1" x14ac:dyDescent="0.2">
      <c r="J631"/>
      <c r="K631"/>
      <c r="L631"/>
      <c r="M631"/>
      <c r="N631"/>
      <c r="O631" s="392"/>
      <c r="P631" s="2"/>
      <c r="R631"/>
      <c r="S631"/>
      <c r="U631"/>
    </row>
    <row r="632" spans="10:21" s="1" customFormat="1" x14ac:dyDescent="0.2">
      <c r="J632"/>
      <c r="K632"/>
      <c r="L632"/>
      <c r="M632"/>
      <c r="N632"/>
      <c r="O632" s="392"/>
      <c r="P632" s="2"/>
      <c r="R632"/>
      <c r="S632"/>
      <c r="U632"/>
    </row>
    <row r="633" spans="10:21" s="1" customFormat="1" x14ac:dyDescent="0.2">
      <c r="J633"/>
      <c r="K633"/>
      <c r="L633"/>
      <c r="M633"/>
      <c r="N633"/>
      <c r="O633" s="392"/>
      <c r="P633" s="2"/>
      <c r="R633"/>
      <c r="S633"/>
      <c r="U633"/>
    </row>
    <row r="634" spans="10:21" s="1" customFormat="1" x14ac:dyDescent="0.2">
      <c r="J634"/>
      <c r="K634"/>
      <c r="L634"/>
      <c r="M634"/>
      <c r="N634"/>
      <c r="O634" s="392"/>
      <c r="P634" s="2"/>
      <c r="R634"/>
      <c r="S634"/>
      <c r="U634"/>
    </row>
    <row r="635" spans="10:21" s="1" customFormat="1" x14ac:dyDescent="0.2">
      <c r="J635"/>
      <c r="K635"/>
      <c r="L635"/>
      <c r="M635"/>
      <c r="N635"/>
      <c r="O635" s="392"/>
      <c r="P635" s="2"/>
      <c r="R635"/>
      <c r="S635"/>
      <c r="U635"/>
    </row>
    <row r="636" spans="10:21" s="1" customFormat="1" x14ac:dyDescent="0.2">
      <c r="J636"/>
      <c r="K636"/>
      <c r="L636"/>
      <c r="M636"/>
      <c r="N636"/>
      <c r="O636" s="392"/>
      <c r="P636" s="2"/>
      <c r="R636"/>
      <c r="S636"/>
      <c r="U636"/>
    </row>
    <row r="637" spans="10:21" s="1" customFormat="1" x14ac:dyDescent="0.2">
      <c r="J637"/>
      <c r="K637"/>
      <c r="L637"/>
      <c r="M637"/>
      <c r="N637"/>
      <c r="O637" s="392"/>
      <c r="P637" s="2"/>
      <c r="R637"/>
      <c r="S637"/>
      <c r="U637"/>
    </row>
    <row r="638" spans="10:21" s="1" customFormat="1" x14ac:dyDescent="0.2">
      <c r="J638"/>
      <c r="K638"/>
      <c r="L638"/>
      <c r="M638"/>
      <c r="N638"/>
      <c r="O638" s="392"/>
      <c r="P638" s="2"/>
      <c r="R638"/>
      <c r="S638"/>
      <c r="U638"/>
    </row>
    <row r="639" spans="10:21" s="1" customFormat="1" x14ac:dyDescent="0.2">
      <c r="J639"/>
      <c r="K639"/>
      <c r="L639"/>
      <c r="M639"/>
      <c r="N639"/>
      <c r="O639" s="392"/>
      <c r="P639" s="2"/>
      <c r="R639"/>
      <c r="S639"/>
      <c r="U639"/>
    </row>
    <row r="640" spans="10:21" s="1" customFormat="1" x14ac:dyDescent="0.2">
      <c r="J640"/>
      <c r="K640"/>
      <c r="L640"/>
      <c r="M640"/>
      <c r="N640"/>
      <c r="O640" s="392"/>
      <c r="P640" s="2"/>
      <c r="R640"/>
      <c r="S640"/>
      <c r="U640"/>
    </row>
    <row r="641" spans="10:21" s="1" customFormat="1" x14ac:dyDescent="0.2">
      <c r="J641"/>
      <c r="K641"/>
      <c r="L641"/>
      <c r="M641"/>
      <c r="N641"/>
      <c r="O641" s="392"/>
      <c r="P641" s="2"/>
      <c r="R641"/>
      <c r="S641"/>
      <c r="U641"/>
    </row>
    <row r="642" spans="10:21" s="1" customFormat="1" x14ac:dyDescent="0.2">
      <c r="J642"/>
      <c r="K642"/>
      <c r="L642"/>
      <c r="M642"/>
      <c r="N642"/>
      <c r="O642" s="392"/>
      <c r="P642" s="2"/>
      <c r="R642"/>
      <c r="S642"/>
      <c r="U642"/>
    </row>
    <row r="643" spans="10:21" s="1" customFormat="1" x14ac:dyDescent="0.2">
      <c r="J643"/>
      <c r="K643"/>
      <c r="L643"/>
      <c r="M643"/>
      <c r="N643"/>
      <c r="O643" s="392"/>
      <c r="P643" s="2"/>
      <c r="R643"/>
      <c r="S643"/>
      <c r="U643"/>
    </row>
    <row r="644" spans="10:21" s="1" customFormat="1" x14ac:dyDescent="0.2">
      <c r="J644"/>
      <c r="K644"/>
      <c r="L644"/>
      <c r="M644"/>
      <c r="N644"/>
      <c r="O644" s="392"/>
      <c r="P644" s="2"/>
      <c r="R644"/>
      <c r="S644"/>
      <c r="U644"/>
    </row>
    <row r="645" spans="10:21" s="1" customFormat="1" x14ac:dyDescent="0.2">
      <c r="J645"/>
      <c r="K645"/>
      <c r="L645"/>
      <c r="M645"/>
      <c r="N645"/>
      <c r="O645" s="392"/>
      <c r="P645" s="2"/>
      <c r="R645"/>
      <c r="S645"/>
      <c r="U645"/>
    </row>
    <row r="646" spans="10:21" s="1" customFormat="1" x14ac:dyDescent="0.2">
      <c r="J646"/>
      <c r="K646"/>
      <c r="L646"/>
      <c r="M646"/>
      <c r="N646"/>
      <c r="O646" s="392"/>
      <c r="P646" s="2"/>
      <c r="R646"/>
      <c r="S646"/>
      <c r="U646"/>
    </row>
    <row r="647" spans="10:21" s="1" customFormat="1" x14ac:dyDescent="0.2">
      <c r="J647"/>
      <c r="K647"/>
      <c r="L647"/>
      <c r="M647"/>
      <c r="N647"/>
      <c r="O647" s="392"/>
      <c r="P647" s="2"/>
      <c r="R647"/>
      <c r="S647"/>
      <c r="U647"/>
    </row>
    <row r="648" spans="10:21" s="1" customFormat="1" x14ac:dyDescent="0.2">
      <c r="J648"/>
      <c r="K648"/>
      <c r="L648"/>
      <c r="M648"/>
      <c r="N648"/>
      <c r="O648" s="392"/>
      <c r="P648" s="2"/>
      <c r="R648"/>
      <c r="S648"/>
      <c r="U648"/>
    </row>
    <row r="649" spans="10:21" s="1" customFormat="1" x14ac:dyDescent="0.2">
      <c r="J649"/>
      <c r="K649"/>
      <c r="L649"/>
      <c r="M649"/>
      <c r="N649"/>
      <c r="O649" s="392"/>
      <c r="P649" s="2"/>
      <c r="R649"/>
      <c r="S649"/>
      <c r="U649"/>
    </row>
    <row r="650" spans="10:21" s="1" customFormat="1" x14ac:dyDescent="0.2">
      <c r="J650"/>
      <c r="K650"/>
      <c r="L650"/>
      <c r="M650"/>
      <c r="N650"/>
      <c r="O650" s="392"/>
      <c r="P650" s="2"/>
      <c r="R650"/>
      <c r="S650"/>
      <c r="U650"/>
    </row>
    <row r="651" spans="10:21" s="1" customFormat="1" x14ac:dyDescent="0.2">
      <c r="J651"/>
      <c r="K651"/>
      <c r="L651"/>
      <c r="M651"/>
      <c r="N651"/>
      <c r="O651" s="392"/>
      <c r="P651" s="2"/>
      <c r="R651"/>
      <c r="S651"/>
      <c r="U651"/>
    </row>
    <row r="652" spans="10:21" s="1" customFormat="1" x14ac:dyDescent="0.2">
      <c r="J652"/>
      <c r="K652"/>
      <c r="L652"/>
      <c r="M652"/>
      <c r="N652"/>
      <c r="O652" s="392"/>
      <c r="P652" s="2"/>
      <c r="R652"/>
      <c r="S652"/>
      <c r="U652"/>
    </row>
    <row r="653" spans="10:21" s="1" customFormat="1" x14ac:dyDescent="0.2">
      <c r="J653"/>
      <c r="K653"/>
      <c r="L653"/>
      <c r="M653"/>
      <c r="N653"/>
      <c r="O653" s="392"/>
      <c r="P653" s="2"/>
      <c r="R653"/>
      <c r="S653"/>
      <c r="U653"/>
    </row>
    <row r="654" spans="10:21" s="1" customFormat="1" x14ac:dyDescent="0.2">
      <c r="J654"/>
      <c r="K654"/>
      <c r="L654"/>
      <c r="M654"/>
      <c r="N654"/>
      <c r="O654" s="392"/>
      <c r="P654" s="2"/>
      <c r="R654"/>
      <c r="S654"/>
      <c r="U654"/>
    </row>
    <row r="655" spans="10:21" s="1" customFormat="1" x14ac:dyDescent="0.2">
      <c r="J655"/>
      <c r="K655"/>
      <c r="L655"/>
      <c r="M655"/>
      <c r="N655"/>
      <c r="O655" s="392"/>
      <c r="P655" s="2"/>
      <c r="R655"/>
      <c r="S655"/>
      <c r="U655"/>
    </row>
    <row r="656" spans="10:21" s="1" customFormat="1" x14ac:dyDescent="0.2">
      <c r="J656"/>
      <c r="K656"/>
      <c r="L656"/>
      <c r="M656"/>
      <c r="N656"/>
      <c r="O656" s="392"/>
      <c r="P656" s="2"/>
      <c r="R656"/>
      <c r="S656"/>
      <c r="U656"/>
    </row>
    <row r="657" spans="10:21" s="1" customFormat="1" x14ac:dyDescent="0.2">
      <c r="J657"/>
      <c r="K657"/>
      <c r="L657"/>
      <c r="M657"/>
      <c r="N657"/>
      <c r="O657" s="392"/>
      <c r="P657" s="2"/>
      <c r="R657"/>
      <c r="S657"/>
      <c r="U657"/>
    </row>
    <row r="658" spans="10:21" s="1" customFormat="1" x14ac:dyDescent="0.2">
      <c r="J658"/>
      <c r="K658"/>
      <c r="L658"/>
      <c r="M658"/>
      <c r="N658"/>
      <c r="O658" s="392"/>
      <c r="P658" s="2"/>
      <c r="R658"/>
      <c r="S658"/>
      <c r="U658"/>
    </row>
    <row r="659" spans="10:21" s="1" customFormat="1" x14ac:dyDescent="0.2">
      <c r="J659"/>
      <c r="K659"/>
      <c r="L659"/>
      <c r="M659"/>
      <c r="N659"/>
      <c r="O659" s="392"/>
      <c r="P659" s="2"/>
      <c r="R659"/>
      <c r="S659"/>
      <c r="U659"/>
    </row>
    <row r="660" spans="10:21" s="1" customFormat="1" x14ac:dyDescent="0.2">
      <c r="J660"/>
      <c r="K660"/>
      <c r="L660"/>
      <c r="M660"/>
      <c r="N660"/>
      <c r="O660" s="392"/>
      <c r="P660" s="2"/>
      <c r="R660"/>
      <c r="S660"/>
      <c r="U660"/>
    </row>
    <row r="661" spans="10:21" s="1" customFormat="1" x14ac:dyDescent="0.2">
      <c r="J661"/>
      <c r="K661"/>
      <c r="L661"/>
      <c r="M661"/>
      <c r="N661"/>
      <c r="O661" s="392"/>
      <c r="P661" s="2"/>
      <c r="R661"/>
      <c r="S661"/>
      <c r="U661"/>
    </row>
    <row r="662" spans="10:21" s="1" customFormat="1" x14ac:dyDescent="0.2">
      <c r="J662"/>
      <c r="K662"/>
      <c r="L662"/>
      <c r="M662"/>
      <c r="N662"/>
      <c r="O662" s="392"/>
      <c r="P662" s="2"/>
      <c r="R662"/>
      <c r="S662"/>
      <c r="U662"/>
    </row>
    <row r="663" spans="10:21" s="1" customFormat="1" x14ac:dyDescent="0.2">
      <c r="J663"/>
      <c r="K663"/>
      <c r="L663"/>
      <c r="M663"/>
      <c r="N663"/>
      <c r="O663" s="392"/>
      <c r="P663" s="2"/>
      <c r="R663"/>
      <c r="S663"/>
      <c r="U663"/>
    </row>
    <row r="664" spans="10:21" s="1" customFormat="1" x14ac:dyDescent="0.2">
      <c r="J664"/>
      <c r="K664"/>
      <c r="L664"/>
      <c r="M664"/>
      <c r="N664"/>
      <c r="O664" s="392"/>
      <c r="P664" s="2"/>
      <c r="R664"/>
      <c r="S664"/>
      <c r="U664"/>
    </row>
    <row r="665" spans="10:21" s="1" customFormat="1" x14ac:dyDescent="0.2">
      <c r="J665"/>
      <c r="K665"/>
      <c r="L665"/>
      <c r="M665"/>
      <c r="N665"/>
      <c r="O665" s="392"/>
      <c r="P665" s="2"/>
      <c r="R665"/>
      <c r="S665"/>
      <c r="U665"/>
    </row>
    <row r="666" spans="10:21" s="1" customFormat="1" x14ac:dyDescent="0.2">
      <c r="J666"/>
      <c r="K666"/>
      <c r="L666"/>
      <c r="M666"/>
      <c r="N666"/>
      <c r="O666" s="392"/>
      <c r="P666" s="2"/>
      <c r="R666"/>
      <c r="S666"/>
      <c r="U666"/>
    </row>
    <row r="667" spans="10:21" s="1" customFormat="1" x14ac:dyDescent="0.2">
      <c r="J667"/>
      <c r="K667"/>
      <c r="L667"/>
      <c r="M667"/>
      <c r="N667"/>
      <c r="O667" s="392"/>
      <c r="P667" s="2"/>
      <c r="R667"/>
      <c r="S667"/>
      <c r="U667"/>
    </row>
    <row r="668" spans="10:21" s="1" customFormat="1" x14ac:dyDescent="0.2">
      <c r="J668"/>
      <c r="K668"/>
      <c r="L668"/>
      <c r="M668"/>
      <c r="N668"/>
      <c r="O668" s="392"/>
      <c r="P668" s="2"/>
      <c r="R668"/>
      <c r="S668"/>
      <c r="U668"/>
    </row>
    <row r="669" spans="10:21" s="1" customFormat="1" x14ac:dyDescent="0.2">
      <c r="J669"/>
      <c r="K669"/>
      <c r="L669"/>
      <c r="M669"/>
      <c r="N669"/>
      <c r="O669" s="392"/>
      <c r="P669" s="2"/>
      <c r="R669"/>
      <c r="S669"/>
      <c r="U669"/>
    </row>
    <row r="670" spans="10:21" s="1" customFormat="1" x14ac:dyDescent="0.2">
      <c r="J670"/>
      <c r="K670"/>
      <c r="L670"/>
      <c r="M670"/>
      <c r="N670"/>
      <c r="O670" s="392"/>
      <c r="P670" s="2"/>
      <c r="R670"/>
      <c r="S670"/>
      <c r="U670"/>
    </row>
    <row r="671" spans="10:21" s="1" customFormat="1" x14ac:dyDescent="0.2">
      <c r="J671"/>
      <c r="K671"/>
      <c r="L671"/>
      <c r="M671"/>
      <c r="N671"/>
      <c r="O671" s="392"/>
      <c r="P671" s="2"/>
      <c r="R671"/>
      <c r="S671"/>
      <c r="U671"/>
    </row>
    <row r="672" spans="10:21" s="1" customFormat="1" x14ac:dyDescent="0.2">
      <c r="J672"/>
      <c r="K672"/>
      <c r="L672"/>
      <c r="M672"/>
      <c r="N672"/>
      <c r="O672" s="392"/>
      <c r="P672" s="2"/>
      <c r="R672"/>
      <c r="S672"/>
      <c r="U672"/>
    </row>
    <row r="673" spans="10:21" s="1" customFormat="1" x14ac:dyDescent="0.2">
      <c r="J673"/>
      <c r="K673"/>
      <c r="L673"/>
      <c r="M673"/>
      <c r="N673"/>
      <c r="O673" s="392"/>
      <c r="P673" s="2"/>
      <c r="R673"/>
      <c r="S673"/>
      <c r="U673"/>
    </row>
    <row r="674" spans="10:21" s="1" customFormat="1" x14ac:dyDescent="0.2">
      <c r="J674"/>
      <c r="K674"/>
      <c r="L674"/>
      <c r="M674"/>
      <c r="N674"/>
      <c r="O674" s="392"/>
      <c r="P674" s="2"/>
      <c r="R674"/>
      <c r="S674"/>
      <c r="U674"/>
    </row>
    <row r="675" spans="10:21" s="1" customFormat="1" x14ac:dyDescent="0.2">
      <c r="J675"/>
      <c r="K675"/>
      <c r="L675"/>
      <c r="M675"/>
      <c r="N675"/>
      <c r="O675" s="392"/>
      <c r="P675" s="2"/>
      <c r="R675"/>
      <c r="S675"/>
      <c r="U675"/>
    </row>
    <row r="676" spans="10:21" s="1" customFormat="1" x14ac:dyDescent="0.2">
      <c r="J676"/>
      <c r="K676"/>
      <c r="L676"/>
      <c r="M676"/>
      <c r="N676"/>
      <c r="O676" s="392"/>
      <c r="P676" s="2"/>
      <c r="R676"/>
      <c r="S676"/>
      <c r="U676"/>
    </row>
    <row r="677" spans="10:21" s="1" customFormat="1" x14ac:dyDescent="0.2">
      <c r="J677"/>
      <c r="K677"/>
      <c r="L677"/>
      <c r="M677"/>
      <c r="N677"/>
      <c r="O677" s="392"/>
      <c r="P677" s="2"/>
      <c r="R677"/>
      <c r="S677"/>
      <c r="U677"/>
    </row>
    <row r="678" spans="10:21" s="1" customFormat="1" x14ac:dyDescent="0.2">
      <c r="J678"/>
      <c r="K678"/>
      <c r="L678"/>
      <c r="M678"/>
      <c r="N678"/>
      <c r="O678" s="392"/>
      <c r="P678" s="2"/>
      <c r="R678"/>
      <c r="S678"/>
      <c r="U678"/>
    </row>
    <row r="679" spans="10:21" s="1" customFormat="1" x14ac:dyDescent="0.2">
      <c r="J679"/>
      <c r="K679"/>
      <c r="L679"/>
      <c r="M679"/>
      <c r="N679"/>
      <c r="O679" s="392"/>
      <c r="P679" s="2"/>
      <c r="R679"/>
      <c r="S679"/>
      <c r="U679"/>
    </row>
    <row r="680" spans="10:21" s="1" customFormat="1" x14ac:dyDescent="0.2">
      <c r="J680"/>
      <c r="K680"/>
      <c r="L680"/>
      <c r="M680"/>
      <c r="N680"/>
      <c r="O680" s="392"/>
      <c r="P680" s="2"/>
      <c r="R680"/>
      <c r="S680"/>
      <c r="U680"/>
    </row>
    <row r="681" spans="10:21" s="1" customFormat="1" x14ac:dyDescent="0.2">
      <c r="J681"/>
      <c r="K681"/>
      <c r="L681"/>
      <c r="M681"/>
      <c r="N681"/>
      <c r="O681" s="392"/>
      <c r="P681" s="2"/>
      <c r="R681"/>
      <c r="S681"/>
      <c r="U681"/>
    </row>
    <row r="682" spans="10:21" s="1" customFormat="1" x14ac:dyDescent="0.2">
      <c r="J682"/>
      <c r="K682"/>
      <c r="L682"/>
      <c r="M682"/>
      <c r="N682"/>
      <c r="O682" s="392"/>
      <c r="P682" s="2"/>
      <c r="R682"/>
      <c r="S682"/>
      <c r="U682"/>
    </row>
    <row r="683" spans="10:21" s="1" customFormat="1" x14ac:dyDescent="0.2">
      <c r="J683"/>
      <c r="K683"/>
      <c r="L683"/>
      <c r="M683"/>
      <c r="N683"/>
      <c r="O683" s="392"/>
      <c r="P683" s="2"/>
      <c r="R683"/>
      <c r="S683"/>
      <c r="U683"/>
    </row>
    <row r="684" spans="10:21" s="1" customFormat="1" x14ac:dyDescent="0.2">
      <c r="J684"/>
      <c r="K684"/>
      <c r="L684"/>
      <c r="M684"/>
      <c r="N684"/>
      <c r="O684" s="392"/>
      <c r="P684" s="2"/>
      <c r="R684"/>
      <c r="S684"/>
      <c r="U684"/>
    </row>
    <row r="685" spans="10:21" s="1" customFormat="1" x14ac:dyDescent="0.2">
      <c r="J685"/>
      <c r="K685"/>
      <c r="L685"/>
      <c r="M685"/>
      <c r="N685"/>
      <c r="O685" s="392"/>
      <c r="P685" s="2"/>
      <c r="R685"/>
      <c r="S685"/>
      <c r="U685"/>
    </row>
    <row r="686" spans="10:21" s="1" customFormat="1" x14ac:dyDescent="0.2">
      <c r="J686"/>
      <c r="K686"/>
      <c r="L686"/>
      <c r="M686"/>
      <c r="N686"/>
      <c r="O686" s="392"/>
      <c r="P686" s="2"/>
      <c r="R686"/>
      <c r="S686"/>
      <c r="U686"/>
    </row>
    <row r="687" spans="10:21" s="1" customFormat="1" x14ac:dyDescent="0.2">
      <c r="J687"/>
      <c r="K687"/>
      <c r="L687"/>
      <c r="M687"/>
      <c r="N687"/>
      <c r="O687" s="392"/>
      <c r="P687" s="2"/>
      <c r="R687"/>
      <c r="S687"/>
      <c r="U687"/>
    </row>
    <row r="688" spans="10:21" s="1" customFormat="1" x14ac:dyDescent="0.2">
      <c r="J688"/>
      <c r="K688"/>
      <c r="L688"/>
      <c r="M688"/>
      <c r="N688"/>
      <c r="O688" s="392"/>
      <c r="P688" s="2"/>
      <c r="R688"/>
      <c r="S688"/>
      <c r="U688"/>
    </row>
    <row r="689" spans="10:21" s="1" customFormat="1" x14ac:dyDescent="0.2">
      <c r="J689"/>
      <c r="K689"/>
      <c r="L689"/>
      <c r="M689"/>
      <c r="N689"/>
      <c r="O689" s="392"/>
      <c r="P689" s="2"/>
      <c r="R689"/>
      <c r="S689"/>
      <c r="U689"/>
    </row>
    <row r="690" spans="10:21" s="1" customFormat="1" x14ac:dyDescent="0.2">
      <c r="J690"/>
      <c r="K690"/>
      <c r="L690"/>
      <c r="M690"/>
      <c r="N690"/>
      <c r="O690" s="392"/>
      <c r="P690" s="2"/>
      <c r="R690"/>
      <c r="S690"/>
      <c r="U690"/>
    </row>
    <row r="691" spans="10:21" s="1" customFormat="1" x14ac:dyDescent="0.2">
      <c r="J691"/>
      <c r="K691"/>
      <c r="L691"/>
      <c r="M691"/>
      <c r="N691"/>
      <c r="O691" s="392"/>
      <c r="P691" s="2"/>
      <c r="R691"/>
      <c r="S691"/>
      <c r="U691"/>
    </row>
    <row r="692" spans="10:21" s="1" customFormat="1" x14ac:dyDescent="0.2">
      <c r="J692"/>
      <c r="K692"/>
      <c r="L692"/>
      <c r="M692"/>
      <c r="N692"/>
      <c r="O692" s="392"/>
      <c r="P692" s="2"/>
      <c r="R692"/>
      <c r="S692"/>
      <c r="U692"/>
    </row>
    <row r="693" spans="10:21" s="1" customFormat="1" x14ac:dyDescent="0.2">
      <c r="J693"/>
      <c r="K693"/>
      <c r="L693"/>
      <c r="M693"/>
      <c r="N693"/>
      <c r="O693" s="392"/>
      <c r="P693" s="2"/>
      <c r="R693"/>
      <c r="S693"/>
      <c r="U693"/>
    </row>
    <row r="694" spans="10:21" s="1" customFormat="1" x14ac:dyDescent="0.2">
      <c r="J694"/>
      <c r="K694"/>
      <c r="L694"/>
      <c r="M694"/>
      <c r="N694"/>
      <c r="O694" s="392"/>
      <c r="P694" s="2"/>
      <c r="R694"/>
      <c r="S694"/>
      <c r="U694"/>
    </row>
    <row r="695" spans="10:21" s="1" customFormat="1" x14ac:dyDescent="0.2">
      <c r="J695"/>
      <c r="K695"/>
      <c r="L695"/>
      <c r="M695"/>
      <c r="N695"/>
      <c r="O695" s="392"/>
      <c r="P695" s="2"/>
      <c r="R695"/>
      <c r="S695"/>
      <c r="U695"/>
    </row>
    <row r="696" spans="10:21" s="1" customFormat="1" x14ac:dyDescent="0.2">
      <c r="J696"/>
      <c r="K696"/>
      <c r="L696"/>
      <c r="M696"/>
      <c r="N696"/>
      <c r="O696" s="392"/>
      <c r="P696" s="2"/>
      <c r="R696"/>
      <c r="S696"/>
      <c r="U696"/>
    </row>
    <row r="697" spans="10:21" s="1" customFormat="1" x14ac:dyDescent="0.2">
      <c r="J697"/>
      <c r="K697"/>
      <c r="L697"/>
      <c r="M697"/>
      <c r="N697"/>
      <c r="O697" s="392"/>
      <c r="P697" s="2"/>
      <c r="R697"/>
      <c r="S697"/>
      <c r="U697"/>
    </row>
    <row r="698" spans="10:21" s="1" customFormat="1" x14ac:dyDescent="0.2">
      <c r="J698"/>
      <c r="K698"/>
      <c r="L698"/>
      <c r="M698"/>
      <c r="N698"/>
      <c r="O698" s="392"/>
      <c r="P698" s="2"/>
      <c r="R698"/>
      <c r="S698"/>
      <c r="U698"/>
    </row>
    <row r="699" spans="10:21" s="1" customFormat="1" x14ac:dyDescent="0.2">
      <c r="J699"/>
      <c r="K699"/>
      <c r="L699"/>
      <c r="M699"/>
      <c r="N699"/>
      <c r="O699" s="392"/>
      <c r="P699" s="2"/>
      <c r="R699"/>
      <c r="S699"/>
      <c r="U699"/>
    </row>
    <row r="700" spans="10:21" s="1" customFormat="1" x14ac:dyDescent="0.2">
      <c r="J700"/>
      <c r="K700"/>
      <c r="L700"/>
      <c r="M700"/>
      <c r="N700"/>
      <c r="O700" s="392"/>
      <c r="P700" s="2"/>
      <c r="R700"/>
      <c r="S700"/>
      <c r="U700"/>
    </row>
    <row r="701" spans="10:21" s="1" customFormat="1" x14ac:dyDescent="0.2">
      <c r="J701"/>
      <c r="K701"/>
      <c r="L701"/>
      <c r="M701"/>
      <c r="N701"/>
      <c r="O701" s="392"/>
      <c r="P701" s="2"/>
      <c r="R701"/>
      <c r="S701"/>
      <c r="U701"/>
    </row>
    <row r="702" spans="10:21" s="1" customFormat="1" x14ac:dyDescent="0.2">
      <c r="J702"/>
      <c r="K702"/>
      <c r="L702"/>
      <c r="M702"/>
      <c r="N702"/>
      <c r="O702" s="392"/>
      <c r="P702" s="2"/>
      <c r="R702"/>
      <c r="S702"/>
      <c r="U702"/>
    </row>
    <row r="703" spans="10:21" s="1" customFormat="1" x14ac:dyDescent="0.2">
      <c r="J703"/>
      <c r="K703"/>
      <c r="L703"/>
      <c r="M703"/>
      <c r="N703"/>
      <c r="O703" s="392"/>
      <c r="P703" s="2"/>
      <c r="R703"/>
      <c r="S703"/>
      <c r="U703"/>
    </row>
    <row r="704" spans="10:21" s="1" customFormat="1" x14ac:dyDescent="0.2">
      <c r="J704"/>
      <c r="K704"/>
      <c r="L704"/>
      <c r="M704"/>
      <c r="N704"/>
      <c r="O704" s="392"/>
      <c r="P704" s="2"/>
      <c r="R704"/>
      <c r="S704"/>
      <c r="U704"/>
    </row>
    <row r="705" spans="10:21" s="1" customFormat="1" x14ac:dyDescent="0.2">
      <c r="J705"/>
      <c r="K705"/>
      <c r="L705"/>
      <c r="M705"/>
      <c r="N705"/>
      <c r="O705" s="392"/>
      <c r="P705" s="2"/>
      <c r="R705"/>
      <c r="S705"/>
      <c r="U705"/>
    </row>
    <row r="706" spans="10:21" s="1" customFormat="1" x14ac:dyDescent="0.2">
      <c r="J706"/>
      <c r="K706"/>
      <c r="L706"/>
      <c r="M706"/>
      <c r="N706"/>
      <c r="O706" s="392"/>
      <c r="P706" s="2"/>
      <c r="R706"/>
      <c r="S706"/>
      <c r="U706"/>
    </row>
    <row r="707" spans="10:21" s="1" customFormat="1" x14ac:dyDescent="0.2">
      <c r="J707"/>
      <c r="K707"/>
      <c r="L707"/>
      <c r="M707"/>
      <c r="N707"/>
      <c r="O707" s="392"/>
      <c r="P707" s="2"/>
      <c r="R707"/>
      <c r="S707"/>
      <c r="U707"/>
    </row>
    <row r="708" spans="10:21" s="1" customFormat="1" x14ac:dyDescent="0.2">
      <c r="J708"/>
      <c r="K708"/>
      <c r="L708"/>
      <c r="M708"/>
      <c r="N708"/>
      <c r="O708" s="392"/>
      <c r="P708" s="2"/>
      <c r="R708"/>
      <c r="S708"/>
      <c r="U708"/>
    </row>
    <row r="709" spans="10:21" s="1" customFormat="1" x14ac:dyDescent="0.2">
      <c r="J709"/>
      <c r="K709"/>
      <c r="L709"/>
      <c r="M709"/>
      <c r="N709"/>
      <c r="O709" s="392"/>
      <c r="P709" s="2"/>
      <c r="R709"/>
      <c r="S709"/>
      <c r="U709"/>
    </row>
    <row r="710" spans="10:21" s="1" customFormat="1" x14ac:dyDescent="0.2">
      <c r="J710"/>
      <c r="K710"/>
      <c r="L710"/>
      <c r="M710"/>
      <c r="N710"/>
      <c r="O710" s="392"/>
      <c r="P710" s="2"/>
      <c r="R710"/>
      <c r="S710"/>
      <c r="U710"/>
    </row>
    <row r="711" spans="10:21" s="1" customFormat="1" x14ac:dyDescent="0.2">
      <c r="J711"/>
      <c r="K711"/>
      <c r="L711"/>
      <c r="M711"/>
      <c r="N711"/>
      <c r="O711" s="392"/>
      <c r="P711" s="2"/>
      <c r="R711"/>
      <c r="S711"/>
      <c r="U711"/>
    </row>
    <row r="712" spans="10:21" s="1" customFormat="1" x14ac:dyDescent="0.2">
      <c r="J712"/>
      <c r="K712"/>
      <c r="L712"/>
      <c r="M712"/>
      <c r="N712"/>
      <c r="O712" s="392"/>
      <c r="P712" s="2"/>
      <c r="R712"/>
      <c r="S712"/>
      <c r="U712"/>
    </row>
    <row r="713" spans="10:21" s="1" customFormat="1" x14ac:dyDescent="0.2">
      <c r="J713"/>
      <c r="K713"/>
      <c r="L713"/>
      <c r="M713"/>
      <c r="N713"/>
      <c r="O713" s="392"/>
      <c r="P713" s="2"/>
      <c r="R713"/>
      <c r="S713"/>
      <c r="U713"/>
    </row>
    <row r="714" spans="10:21" s="1" customFormat="1" x14ac:dyDescent="0.2">
      <c r="J714"/>
      <c r="K714"/>
      <c r="L714"/>
      <c r="M714"/>
      <c r="N714"/>
      <c r="O714" s="392"/>
      <c r="P714" s="2"/>
      <c r="R714"/>
      <c r="S714"/>
      <c r="U714"/>
    </row>
    <row r="715" spans="10:21" s="1" customFormat="1" x14ac:dyDescent="0.2">
      <c r="J715"/>
      <c r="K715"/>
      <c r="L715"/>
      <c r="M715"/>
      <c r="N715"/>
      <c r="O715" s="392"/>
      <c r="P715" s="2"/>
      <c r="R715"/>
      <c r="S715"/>
      <c r="U715"/>
    </row>
    <row r="716" spans="10:21" s="1" customFormat="1" x14ac:dyDescent="0.2">
      <c r="J716"/>
      <c r="K716"/>
      <c r="L716"/>
      <c r="M716"/>
      <c r="N716"/>
      <c r="O716" s="392"/>
      <c r="P716" s="2"/>
      <c r="R716"/>
      <c r="S716"/>
      <c r="U716"/>
    </row>
    <row r="717" spans="10:21" s="1" customFormat="1" x14ac:dyDescent="0.2">
      <c r="J717"/>
      <c r="K717"/>
      <c r="L717"/>
      <c r="M717"/>
      <c r="N717"/>
      <c r="O717" s="392"/>
      <c r="P717" s="2"/>
      <c r="R717"/>
      <c r="S717"/>
      <c r="U717"/>
    </row>
    <row r="718" spans="10:21" s="1" customFormat="1" x14ac:dyDescent="0.2">
      <c r="J718"/>
      <c r="K718"/>
      <c r="L718"/>
      <c r="M718"/>
      <c r="N718"/>
      <c r="O718" s="392"/>
      <c r="P718" s="2"/>
      <c r="R718"/>
      <c r="S718"/>
      <c r="U718"/>
    </row>
    <row r="65447" spans="13:13" x14ac:dyDescent="0.2">
      <c r="M65447">
        <v>4</v>
      </c>
    </row>
  </sheetData>
  <mergeCells count="98">
    <mergeCell ref="H16:H17"/>
    <mergeCell ref="F16:F17"/>
    <mergeCell ref="L22:L24"/>
    <mergeCell ref="L18:L19"/>
    <mergeCell ref="L20:L21"/>
    <mergeCell ref="C97:E97"/>
    <mergeCell ref="E57:F57"/>
    <mergeCell ref="E58:F58"/>
    <mergeCell ref="E59:F59"/>
    <mergeCell ref="D71:Q71"/>
    <mergeCell ref="C81:Q82"/>
    <mergeCell ref="C89:E89"/>
    <mergeCell ref="U37:AA37"/>
    <mergeCell ref="U36:AA36"/>
    <mergeCell ref="U47:AA47"/>
    <mergeCell ref="U46:AA46"/>
    <mergeCell ref="U45:AA45"/>
    <mergeCell ref="U52:AA52"/>
    <mergeCell ref="U51:AA51"/>
    <mergeCell ref="U50:AA50"/>
    <mergeCell ref="U49:AA49"/>
    <mergeCell ref="U48:AA48"/>
    <mergeCell ref="R27:R28"/>
    <mergeCell ref="T27:T28"/>
    <mergeCell ref="R22:R24"/>
    <mergeCell ref="T22:T24"/>
    <mergeCell ref="B2:U2"/>
    <mergeCell ref="U3:AA3"/>
    <mergeCell ref="U4:AA4"/>
    <mergeCell ref="U5:AA5"/>
    <mergeCell ref="U6:AA6"/>
    <mergeCell ref="U7:AA7"/>
    <mergeCell ref="U16:AA16"/>
    <mergeCell ref="U24:AA24"/>
    <mergeCell ref="L7:L8"/>
    <mergeCell ref="L9:L11"/>
    <mergeCell ref="L12:L13"/>
    <mergeCell ref="L14:L17"/>
    <mergeCell ref="R35:R36"/>
    <mergeCell ref="T35:T36"/>
    <mergeCell ref="T32:T33"/>
    <mergeCell ref="R32:R33"/>
    <mergeCell ref="R29:R31"/>
    <mergeCell ref="T29:T31"/>
    <mergeCell ref="U13:AA13"/>
    <mergeCell ref="U19:AA19"/>
    <mergeCell ref="U14:AA14"/>
    <mergeCell ref="U18:AA18"/>
    <mergeCell ref="U15:AA15"/>
    <mergeCell ref="U11:AA11"/>
    <mergeCell ref="U8:AA8"/>
    <mergeCell ref="U12:AA12"/>
    <mergeCell ref="U9:AA9"/>
    <mergeCell ref="U10:AA10"/>
    <mergeCell ref="R7:R8"/>
    <mergeCell ref="T7:T8"/>
    <mergeCell ref="R9:R11"/>
    <mergeCell ref="T9:T11"/>
    <mergeCell ref="R12:R13"/>
    <mergeCell ref="T12:T13"/>
    <mergeCell ref="U28:AA28"/>
    <mergeCell ref="U21:AA21"/>
    <mergeCell ref="U26:AA26"/>
    <mergeCell ref="U27:AA27"/>
    <mergeCell ref="U35:AA35"/>
    <mergeCell ref="U25:AA25"/>
    <mergeCell ref="U29:AA29"/>
    <mergeCell ref="U32:AA32"/>
    <mergeCell ref="U22:AA22"/>
    <mergeCell ref="U23:AA23"/>
    <mergeCell ref="U34:AA34"/>
    <mergeCell ref="U33:AA33"/>
    <mergeCell ref="U30:AA30"/>
    <mergeCell ref="U31:AA31"/>
    <mergeCell ref="R14:R17"/>
    <mergeCell ref="T14:T17"/>
    <mergeCell ref="T18:T19"/>
    <mergeCell ref="T20:T21"/>
    <mergeCell ref="U20:AA20"/>
    <mergeCell ref="U17:AA17"/>
    <mergeCell ref="R18:R19"/>
    <mergeCell ref="R20:R21"/>
    <mergeCell ref="L25:L26"/>
    <mergeCell ref="R25:R26"/>
    <mergeCell ref="T25:T26"/>
    <mergeCell ref="U44:AA44"/>
    <mergeCell ref="R41:R43"/>
    <mergeCell ref="T41:T43"/>
    <mergeCell ref="R37:R40"/>
    <mergeCell ref="T37:T40"/>
    <mergeCell ref="U43:AA43"/>
    <mergeCell ref="U42:AA42"/>
    <mergeCell ref="U40:AA40"/>
    <mergeCell ref="R44:R45"/>
    <mergeCell ref="T44:T45"/>
    <mergeCell ref="U41:AA41"/>
    <mergeCell ref="U39:AA39"/>
    <mergeCell ref="U38:AA38"/>
  </mergeCells>
  <conditionalFormatting sqref="I61:I67">
    <cfRule type="cellIs" dxfId="997" priority="2358" stopIfTrue="1" operator="lessThan">
      <formula>0%</formula>
    </cfRule>
    <cfRule type="cellIs" dxfId="996" priority="2357" stopIfTrue="1" operator="greaterThan">
      <formula>1.5%</formula>
    </cfRule>
  </conditionalFormatting>
  <conditionalFormatting sqref="I68">
    <cfRule type="cellIs" dxfId="995" priority="2295" stopIfTrue="1" operator="greaterThan">
      <formula>1.1</formula>
    </cfRule>
    <cfRule type="cellIs" dxfId="994" priority="2294" stopIfTrue="1" operator="greaterThan">
      <formula>0.011</formula>
    </cfRule>
  </conditionalFormatting>
  <conditionalFormatting sqref="J3">
    <cfRule type="cellIs" dxfId="993" priority="589" stopIfTrue="1" operator="lessThan">
      <formula>456.25</formula>
    </cfRule>
    <cfRule type="cellIs" dxfId="992" priority="591" stopIfTrue="1" operator="lessThan">
      <formula>438</formula>
    </cfRule>
  </conditionalFormatting>
  <conditionalFormatting sqref="J4:J52">
    <cfRule type="cellIs" dxfId="991" priority="2390" stopIfTrue="1" operator="lessThan">
      <formula>524</formula>
    </cfRule>
  </conditionalFormatting>
  <conditionalFormatting sqref="J53:J56">
    <cfRule type="cellIs" dxfId="990" priority="597" stopIfTrue="1" operator="lessThan">
      <formula>462</formula>
    </cfRule>
  </conditionalFormatting>
  <conditionalFormatting sqref="J56 B2 J76:J80 J83:J84 J87:J65536">
    <cfRule type="cellIs" dxfId="989" priority="2477" stopIfTrue="1" operator="lessThan">
      <formula>438</formula>
    </cfRule>
  </conditionalFormatting>
  <conditionalFormatting sqref="J61:J70">
    <cfRule type="cellIs" dxfId="988" priority="2283" stopIfTrue="1" operator="lessThan">
      <formula>73%</formula>
    </cfRule>
  </conditionalFormatting>
  <conditionalFormatting sqref="K61:K69">
    <cfRule type="cellIs" dxfId="987" priority="2428" stopIfTrue="1" operator="lessThan">
      <formula>73%</formula>
    </cfRule>
  </conditionalFormatting>
  <conditionalFormatting sqref="K4:L4 K5:K51 L47:L51">
    <cfRule type="cellIs" dxfId="986" priority="2366" stopIfTrue="1" operator="lessThan">
      <formula>540</formula>
    </cfRule>
  </conditionalFormatting>
  <conditionalFormatting sqref="K70:L70">
    <cfRule type="cellIs" dxfId="985" priority="2429" stopIfTrue="1" operator="lessThan">
      <formula>73%</formula>
    </cfRule>
  </conditionalFormatting>
  <conditionalFormatting sqref="L5:L7 L9 L12 L14 L18 L20 L22 L25 L27 L29 L32">
    <cfRule type="cellIs" dxfId="984" priority="22" stopIfTrue="1" operator="lessThan">
      <formula>540</formula>
    </cfRule>
  </conditionalFormatting>
  <conditionalFormatting sqref="L35 L37 L41 L44">
    <cfRule type="cellIs" dxfId="983" priority="13" stopIfTrue="1" operator="lessThan">
      <formula>540</formula>
    </cfRule>
  </conditionalFormatting>
  <conditionalFormatting sqref="Q4:Q38 Q41 Q43:Q51">
    <cfRule type="cellIs" dxfId="982" priority="2391" stopIfTrue="1" operator="greaterThan">
      <formula>1.1</formula>
    </cfRule>
  </conditionalFormatting>
  <conditionalFormatting sqref="Q52">
    <cfRule type="cellIs" dxfId="981" priority="5" stopIfTrue="1" operator="greaterThan">
      <formula>0.0184</formula>
    </cfRule>
    <cfRule type="cellIs" dxfId="980" priority="6" stopIfTrue="1" operator="greaterThan">
      <formula>1.84</formula>
    </cfRule>
  </conditionalFormatting>
  <conditionalFormatting sqref="Q53:Q57">
    <cfRule type="cellIs" dxfId="979" priority="595" stopIfTrue="1" operator="greaterThan">
      <formula>1.1</formula>
    </cfRule>
  </conditionalFormatting>
  <conditionalFormatting sqref="Q57:Q58 I69:I70">
    <cfRule type="cellIs" dxfId="978" priority="2473" stopIfTrue="1" operator="greaterThan">
      <formula>1.5%</formula>
    </cfRule>
    <cfRule type="cellIs" dxfId="977" priority="2474" stopIfTrue="1" operator="lessThan">
      <formula>0%</formula>
    </cfRule>
  </conditionalFormatting>
  <conditionalFormatting sqref="Q61">
    <cfRule type="cellIs" dxfId="976" priority="2296" stopIfTrue="1" operator="greaterThan">
      <formula>0.011</formula>
    </cfRule>
    <cfRule type="cellIs" dxfId="975" priority="2297" stopIfTrue="1" operator="greaterThan">
      <formula>1.1</formula>
    </cfRule>
  </conditionalFormatting>
  <conditionalFormatting sqref="R4:R7 R9 R27 R29">
    <cfRule type="cellIs" dxfId="974" priority="23" stopIfTrue="1" operator="lessThan">
      <formula>0.56</formula>
    </cfRule>
  </conditionalFormatting>
  <conditionalFormatting sqref="R12 R14">
    <cfRule type="cellIs" dxfId="973" priority="8" stopIfTrue="1" operator="lessThan">
      <formula>0.56</formula>
    </cfRule>
  </conditionalFormatting>
  <conditionalFormatting sqref="R18 R20 R22">
    <cfRule type="cellIs" dxfId="972" priority="4" stopIfTrue="1" operator="lessThan">
      <formula>0.56</formula>
    </cfRule>
  </conditionalFormatting>
  <conditionalFormatting sqref="R25">
    <cfRule type="cellIs" dxfId="971" priority="2" stopIfTrue="1" operator="lessThan">
      <formula>0.56</formula>
    </cfRule>
  </conditionalFormatting>
  <conditionalFormatting sqref="R32">
    <cfRule type="cellIs" dxfId="970" priority="18" stopIfTrue="1" operator="lessThan">
      <formula>0.56</formula>
    </cfRule>
  </conditionalFormatting>
  <conditionalFormatting sqref="R34:R35">
    <cfRule type="cellIs" dxfId="969" priority="11" stopIfTrue="1" operator="lessThan">
      <formula>0.56</formula>
    </cfRule>
  </conditionalFormatting>
  <conditionalFormatting sqref="R37 R41 R44">
    <cfRule type="cellIs" dxfId="968" priority="10" stopIfTrue="1" operator="lessThan">
      <formula>0.56</formula>
    </cfRule>
  </conditionalFormatting>
  <conditionalFormatting sqref="R47:R51">
    <cfRule type="cellIs" dxfId="967" priority="91" stopIfTrue="1" operator="lessThan">
      <formula>0.67</formula>
    </cfRule>
  </conditionalFormatting>
  <conditionalFormatting sqref="R52">
    <cfRule type="cellIs" dxfId="966" priority="20" stopIfTrue="1" operator="lessThan">
      <formula>0.66</formula>
    </cfRule>
  </conditionalFormatting>
  <conditionalFormatting sqref="R53:R56">
    <cfRule type="cellIs" dxfId="965" priority="593" stopIfTrue="1" operator="lessThan">
      <formula>0.6</formula>
    </cfRule>
  </conditionalFormatting>
  <conditionalFormatting sqref="R61:S61">
    <cfRule type="cellIs" dxfId="964" priority="2298" stopIfTrue="1" operator="lessThan">
      <formula>0.74</formula>
    </cfRule>
  </conditionalFormatting>
  <conditionalFormatting sqref="S3">
    <cfRule type="cellIs" dxfId="963" priority="592" stopIfTrue="1" operator="lessThan">
      <formula>0.65</formula>
    </cfRule>
  </conditionalFormatting>
  <conditionalFormatting sqref="S4:S45">
    <cfRule type="cellIs" dxfId="962" priority="24" stopIfTrue="1" operator="lessThan">
      <formula>0.66</formula>
    </cfRule>
  </conditionalFormatting>
  <conditionalFormatting sqref="S46:S56">
    <cfRule type="cellIs" dxfId="961" priority="61" stopIfTrue="1" operator="lessThan">
      <formula>0.74</formula>
    </cfRule>
  </conditionalFormatting>
  <conditionalFormatting sqref="S77:S78">
    <cfRule type="cellIs" dxfId="960" priority="2398" stopIfTrue="1" operator="lessThan">
      <formula>0.74</formula>
    </cfRule>
  </conditionalFormatting>
  <conditionalFormatting sqref="S79">
    <cfRule type="cellIs" dxfId="959" priority="2397" stopIfTrue="1" operator="greaterThan">
      <formula>1.1</formula>
    </cfRule>
  </conditionalFormatting>
  <conditionalFormatting sqref="S57:T58">
    <cfRule type="cellIs" dxfId="958" priority="2476" stopIfTrue="1" operator="lessThan">
      <formula>75%</formula>
    </cfRule>
  </conditionalFormatting>
  <conditionalFormatting sqref="T4:T7 T9 T27 T29">
    <cfRule type="cellIs" dxfId="957" priority="21" stopIfTrue="1" operator="lessThan">
      <formula>0.8</formula>
    </cfRule>
  </conditionalFormatting>
  <conditionalFormatting sqref="T12 T14">
    <cfRule type="cellIs" dxfId="956" priority="7" stopIfTrue="1" operator="lessThan">
      <formula>0.8</formula>
    </cfRule>
  </conditionalFormatting>
  <conditionalFormatting sqref="T18 T20 T22">
    <cfRule type="cellIs" dxfId="955" priority="3" stopIfTrue="1" operator="lessThan">
      <formula>0.8</formula>
    </cfRule>
  </conditionalFormatting>
  <conditionalFormatting sqref="T25">
    <cfRule type="cellIs" dxfId="954" priority="1" stopIfTrue="1" operator="lessThan">
      <formula>0.8</formula>
    </cfRule>
  </conditionalFormatting>
  <conditionalFormatting sqref="T32">
    <cfRule type="cellIs" dxfId="953" priority="19" stopIfTrue="1" operator="lessThan">
      <formula>0.8</formula>
    </cfRule>
  </conditionalFormatting>
  <conditionalFormatting sqref="T34:T35">
    <cfRule type="cellIs" dxfId="952" priority="12" stopIfTrue="1" operator="lessThan">
      <formula>0.8</formula>
    </cfRule>
  </conditionalFormatting>
  <conditionalFormatting sqref="T37 T41 T44">
    <cfRule type="cellIs" dxfId="951" priority="9" stopIfTrue="1" operator="lessThan">
      <formula>0.8</formula>
    </cfRule>
  </conditionalFormatting>
  <conditionalFormatting sqref="T47:T56">
    <cfRule type="cellIs" dxfId="950" priority="92" stopIfTrue="1" operator="lessThan">
      <formula>0.95</formula>
    </cfRule>
  </conditionalFormatting>
  <conditionalFormatting sqref="T60">
    <cfRule type="cellIs" dxfId="949" priority="2430" stopIfTrue="1" operator="lessThan">
      <formula>0.65</formula>
    </cfRule>
  </conditionalFormatting>
  <conditionalFormatting sqref="T61">
    <cfRule type="cellIs" dxfId="948" priority="2302" stopIfTrue="1" operator="lessThan">
      <formula>0.95</formula>
    </cfRule>
  </conditionalFormatting>
  <printOptions horizontalCentered="1"/>
  <pageMargins left="0.10312499999999999" right="0.5" top="0.25" bottom="0.27" header="0.25" footer="0.27"/>
  <pageSetup scale="20" fitToHeight="0" orientation="landscape" r:id="rId1"/>
  <headerFooter alignWithMargins="0"/>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1A9BF-8EF5-43BC-A10B-17EC7523F53A}">
  <sheetPr codeName="Sheet25">
    <pageSetUpPr fitToPage="1"/>
  </sheetPr>
  <dimension ref="B1:L628"/>
  <sheetViews>
    <sheetView showGridLines="0" zoomScale="110" zoomScaleNormal="110" workbookViewId="0">
      <pane xSplit="3" ySplit="137" topLeftCell="D251" activePane="bottomRight" state="frozen"/>
      <selection activeCell="A136" sqref="A136"/>
      <selection pane="topRight" activeCell="D136" sqref="D136"/>
      <selection pane="bottomLeft" activeCell="A138" sqref="A138"/>
      <selection pane="bottomRight" activeCell="E262" sqref="E262"/>
    </sheetView>
  </sheetViews>
  <sheetFormatPr defaultRowHeight="12.75" x14ac:dyDescent="0.2"/>
  <cols>
    <col min="1" max="1" width="4" customWidth="1"/>
    <col min="2" max="2" width="0.42578125" customWidth="1"/>
    <col min="3" max="3" width="16.5703125" customWidth="1"/>
    <col min="4" max="4" width="25.42578125" customWidth="1"/>
    <col min="5" max="5" width="23.5703125" customWidth="1"/>
    <col min="6" max="6" width="10.5703125" customWidth="1"/>
    <col min="7" max="7" width="10" customWidth="1"/>
    <col min="8" max="8" width="8" customWidth="1"/>
    <col min="9" max="9" width="11.42578125" customWidth="1"/>
    <col min="10" max="10" width="70.42578125" hidden="1" customWidth="1"/>
    <col min="11" max="11" width="27.42578125" bestFit="1" customWidth="1"/>
  </cols>
  <sheetData>
    <row r="1" spans="5:12" ht="15.75" hidden="1" x14ac:dyDescent="0.25">
      <c r="E1" s="434" t="s">
        <v>628</v>
      </c>
      <c r="I1" t="str">
        <f>(J1&amp;K1)</f>
        <v>CaribShandy Ginger</v>
      </c>
      <c r="J1" s="339" t="s">
        <v>628</v>
      </c>
      <c r="K1" s="344" t="s">
        <v>792</v>
      </c>
      <c r="L1" s="407">
        <v>20</v>
      </c>
    </row>
    <row r="2" spans="5:12" ht="15.75" hidden="1" x14ac:dyDescent="0.25">
      <c r="E2" s="434" t="s">
        <v>629</v>
      </c>
      <c r="I2" t="str">
        <f t="shared" ref="I2:I65" si="0">(J2&amp;K2)</f>
        <v>CaribShandy Lime</v>
      </c>
      <c r="J2" s="339" t="s">
        <v>628</v>
      </c>
      <c r="K2" s="340" t="s">
        <v>791</v>
      </c>
      <c r="L2" s="407">
        <v>20</v>
      </c>
    </row>
    <row r="3" spans="5:12" ht="15.75" hidden="1" x14ac:dyDescent="0.25">
      <c r="E3" s="434" t="s">
        <v>373</v>
      </c>
      <c r="I3" t="str">
        <f t="shared" si="0"/>
        <v>CaribShandy Sorrel</v>
      </c>
      <c r="J3" s="339" t="s">
        <v>628</v>
      </c>
      <c r="K3" s="340" t="s">
        <v>645</v>
      </c>
      <c r="L3" s="407">
        <v>45</v>
      </c>
    </row>
    <row r="4" spans="5:12" ht="15.75" hidden="1" x14ac:dyDescent="0.25">
      <c r="E4" s="434" t="s">
        <v>630</v>
      </c>
      <c r="I4" t="str">
        <f t="shared" si="0"/>
        <v>CaribStag</v>
      </c>
      <c r="J4" s="339" t="s">
        <v>628</v>
      </c>
      <c r="K4" s="340" t="s">
        <v>629</v>
      </c>
      <c r="L4" s="408">
        <v>10</v>
      </c>
    </row>
    <row r="5" spans="5:12" ht="15.75" hidden="1" x14ac:dyDescent="0.25">
      <c r="E5" s="434" t="s">
        <v>787</v>
      </c>
      <c r="I5" t="str">
        <f t="shared" si="0"/>
        <v>CaribGuinness</v>
      </c>
      <c r="J5" s="339" t="s">
        <v>628</v>
      </c>
      <c r="K5" s="341" t="s">
        <v>373</v>
      </c>
      <c r="L5" s="409">
        <v>25</v>
      </c>
    </row>
    <row r="6" spans="5:12" ht="15.75" hidden="1" x14ac:dyDescent="0.25">
      <c r="E6" s="434" t="s">
        <v>374</v>
      </c>
      <c r="I6" t="str">
        <f t="shared" si="0"/>
        <v>CaribMackeson</v>
      </c>
      <c r="J6" s="339" t="s">
        <v>628</v>
      </c>
      <c r="K6" s="341" t="s">
        <v>630</v>
      </c>
      <c r="L6" s="409">
        <v>20</v>
      </c>
    </row>
    <row r="7" spans="5:12" ht="15.75" hidden="1" x14ac:dyDescent="0.25">
      <c r="E7" s="434" t="s">
        <v>793</v>
      </c>
      <c r="I7" t="str">
        <f t="shared" si="0"/>
        <v xml:space="preserve">CaribStar Malt </v>
      </c>
      <c r="J7" s="339" t="s">
        <v>628</v>
      </c>
      <c r="K7" s="341" t="s">
        <v>788</v>
      </c>
      <c r="L7" s="409">
        <v>30</v>
      </c>
    </row>
    <row r="8" spans="5:12" ht="15.75" hidden="1" x14ac:dyDescent="0.25">
      <c r="E8" s="434" t="s">
        <v>631</v>
      </c>
      <c r="I8" t="str">
        <f t="shared" si="0"/>
        <v>CaribVita Malt</v>
      </c>
      <c r="J8" s="339" t="s">
        <v>628</v>
      </c>
      <c r="K8" s="341" t="s">
        <v>374</v>
      </c>
      <c r="L8" s="409">
        <v>100</v>
      </c>
    </row>
    <row r="9" spans="5:12" ht="15.75" hidden="1" x14ac:dyDescent="0.25">
      <c r="E9" s="434" t="s">
        <v>799</v>
      </c>
      <c r="I9" t="str">
        <f t="shared" si="0"/>
        <v>CaribGinseng Up (Original)</v>
      </c>
      <c r="J9" s="339" t="s">
        <v>628</v>
      </c>
      <c r="K9" s="341" t="s">
        <v>793</v>
      </c>
      <c r="L9" s="409">
        <v>40</v>
      </c>
    </row>
    <row r="10" spans="5:12" ht="15.75" hidden="1" x14ac:dyDescent="0.25">
      <c r="E10" s="434" t="s">
        <v>645</v>
      </c>
      <c r="I10" t="str">
        <f t="shared" si="0"/>
        <v>CaribTing</v>
      </c>
      <c r="J10" s="339" t="s">
        <v>628</v>
      </c>
      <c r="K10" s="341" t="s">
        <v>631</v>
      </c>
      <c r="L10" s="409">
        <v>60</v>
      </c>
    </row>
    <row r="11" spans="5:12" ht="15.75" hidden="1" x14ac:dyDescent="0.25">
      <c r="E11" s="434" t="s">
        <v>792</v>
      </c>
      <c r="I11" t="str">
        <f t="shared" si="0"/>
        <v>CaribJ. Cool</v>
      </c>
      <c r="J11" s="339" t="s">
        <v>628</v>
      </c>
      <c r="K11" s="341" t="s">
        <v>799</v>
      </c>
      <c r="L11" s="409">
        <v>120</v>
      </c>
    </row>
    <row r="12" spans="5:12" ht="16.5" hidden="1" thickBot="1" x14ac:dyDescent="0.3">
      <c r="E12" s="434" t="s">
        <v>791</v>
      </c>
      <c r="I12" t="str">
        <f t="shared" si="0"/>
        <v>Carib (Local)Carib (Export)</v>
      </c>
      <c r="J12" s="375" t="s">
        <v>794</v>
      </c>
      <c r="K12" s="346" t="s">
        <v>795</v>
      </c>
      <c r="L12" s="410">
        <v>7</v>
      </c>
    </row>
    <row r="13" spans="5:12" ht="15.75" hidden="1" x14ac:dyDescent="0.25">
      <c r="E13" s="434" t="s">
        <v>794</v>
      </c>
      <c r="I13" t="str">
        <f t="shared" si="0"/>
        <v>StagShandy Ginger</v>
      </c>
      <c r="J13" s="342" t="s">
        <v>629</v>
      </c>
      <c r="K13" s="344" t="s">
        <v>792</v>
      </c>
      <c r="L13" s="409">
        <v>20</v>
      </c>
    </row>
    <row r="14" spans="5:12" ht="15.75" hidden="1" x14ac:dyDescent="0.25">
      <c r="E14" s="434" t="s">
        <v>795</v>
      </c>
      <c r="I14" t="str">
        <f t="shared" si="0"/>
        <v>StagShandy Lime</v>
      </c>
      <c r="J14" s="339" t="s">
        <v>629</v>
      </c>
      <c r="K14" s="340" t="s">
        <v>791</v>
      </c>
      <c r="L14" s="407">
        <v>20</v>
      </c>
    </row>
    <row r="15" spans="5:12" ht="15.75" hidden="1" x14ac:dyDescent="0.25">
      <c r="E15" s="434" t="s">
        <v>789</v>
      </c>
      <c r="I15" t="str">
        <f t="shared" si="0"/>
        <v>StagShandy Sorrel</v>
      </c>
      <c r="J15" s="339" t="s">
        <v>629</v>
      </c>
      <c r="K15" s="340" t="s">
        <v>645</v>
      </c>
      <c r="L15" s="407">
        <v>45</v>
      </c>
    </row>
    <row r="16" spans="5:12" ht="15.75" hidden="1" x14ac:dyDescent="0.25">
      <c r="E16" s="434" t="s">
        <v>790</v>
      </c>
      <c r="I16" t="str">
        <f t="shared" si="0"/>
        <v>StagCarib</v>
      </c>
      <c r="J16" s="339" t="s">
        <v>629</v>
      </c>
      <c r="K16" s="340" t="s">
        <v>628</v>
      </c>
      <c r="L16" s="408">
        <v>10</v>
      </c>
    </row>
    <row r="17" spans="9:12" ht="15.75" hidden="1" x14ac:dyDescent="0.25">
      <c r="I17" t="str">
        <f t="shared" si="0"/>
        <v>StagGuinness</v>
      </c>
      <c r="J17" s="339" t="s">
        <v>629</v>
      </c>
      <c r="K17" s="341" t="s">
        <v>373</v>
      </c>
      <c r="L17" s="409">
        <v>25</v>
      </c>
    </row>
    <row r="18" spans="9:12" ht="15.75" hidden="1" x14ac:dyDescent="0.25">
      <c r="I18" t="str">
        <f t="shared" si="0"/>
        <v>StagMackeson</v>
      </c>
      <c r="J18" s="339" t="s">
        <v>629</v>
      </c>
      <c r="K18" s="341" t="s">
        <v>630</v>
      </c>
      <c r="L18" s="409">
        <v>20</v>
      </c>
    </row>
    <row r="19" spans="9:12" ht="15.75" hidden="1" x14ac:dyDescent="0.25">
      <c r="I19" t="str">
        <f t="shared" si="0"/>
        <v xml:space="preserve">StagStar Malt </v>
      </c>
      <c r="J19" s="339" t="s">
        <v>629</v>
      </c>
      <c r="K19" s="341" t="s">
        <v>788</v>
      </c>
      <c r="L19" s="409">
        <v>30</v>
      </c>
    </row>
    <row r="20" spans="9:12" ht="15.75" hidden="1" x14ac:dyDescent="0.25">
      <c r="I20" t="str">
        <f t="shared" si="0"/>
        <v>StagVita Malt</v>
      </c>
      <c r="J20" s="339" t="s">
        <v>629</v>
      </c>
      <c r="K20" s="341" t="s">
        <v>374</v>
      </c>
      <c r="L20" s="409">
        <v>100</v>
      </c>
    </row>
    <row r="21" spans="9:12" ht="15.75" hidden="1" x14ac:dyDescent="0.25">
      <c r="I21" t="str">
        <f t="shared" si="0"/>
        <v>StagGinseng Up (Original)</v>
      </c>
      <c r="J21" s="339" t="s">
        <v>629</v>
      </c>
      <c r="K21" s="341" t="s">
        <v>793</v>
      </c>
      <c r="L21" s="409">
        <v>40</v>
      </c>
    </row>
    <row r="22" spans="9:12" ht="15.75" hidden="1" x14ac:dyDescent="0.25">
      <c r="I22" t="str">
        <f t="shared" si="0"/>
        <v>StagTing</v>
      </c>
      <c r="J22" s="339" t="s">
        <v>629</v>
      </c>
      <c r="K22" s="341" t="s">
        <v>631</v>
      </c>
      <c r="L22" s="409">
        <v>60</v>
      </c>
    </row>
    <row r="23" spans="9:12" ht="15.75" hidden="1" x14ac:dyDescent="0.25">
      <c r="I23" t="str">
        <f t="shared" si="0"/>
        <v>StagJ. Cool</v>
      </c>
      <c r="J23" s="339" t="s">
        <v>629</v>
      </c>
      <c r="K23" s="341" t="s">
        <v>799</v>
      </c>
      <c r="L23" s="409">
        <v>120</v>
      </c>
    </row>
    <row r="24" spans="9:12" ht="16.5" hidden="1" thickBot="1" x14ac:dyDescent="0.3">
      <c r="I24" t="str">
        <f t="shared" si="0"/>
        <v>Stag (Local)Stag (Export)</v>
      </c>
      <c r="J24" s="414" t="s">
        <v>789</v>
      </c>
      <c r="K24" s="415" t="s">
        <v>790</v>
      </c>
      <c r="L24" s="416">
        <v>7</v>
      </c>
    </row>
    <row r="25" spans="9:12" ht="15.75" hidden="1" x14ac:dyDescent="0.25">
      <c r="I25" t="str">
        <f t="shared" si="0"/>
        <v>GuinnessShandy Ginger</v>
      </c>
      <c r="J25" s="339" t="s">
        <v>373</v>
      </c>
      <c r="K25" s="344" t="s">
        <v>792</v>
      </c>
      <c r="L25" s="407">
        <v>45</v>
      </c>
    </row>
    <row r="26" spans="9:12" ht="15.75" hidden="1" x14ac:dyDescent="0.25">
      <c r="I26" t="str">
        <f t="shared" si="0"/>
        <v>GuinnessShandy Lime</v>
      </c>
      <c r="J26" s="339" t="s">
        <v>373</v>
      </c>
      <c r="K26" s="340" t="s">
        <v>791</v>
      </c>
      <c r="L26" s="407">
        <v>45</v>
      </c>
    </row>
    <row r="27" spans="9:12" ht="15.75" hidden="1" x14ac:dyDescent="0.25">
      <c r="I27" t="str">
        <f t="shared" si="0"/>
        <v>GuinnessShandy Sorrel</v>
      </c>
      <c r="J27" s="339" t="s">
        <v>373</v>
      </c>
      <c r="K27" s="340" t="s">
        <v>645</v>
      </c>
      <c r="L27" s="407">
        <v>45</v>
      </c>
    </row>
    <row r="28" spans="9:12" ht="15.75" hidden="1" x14ac:dyDescent="0.25">
      <c r="I28" t="str">
        <f t="shared" si="0"/>
        <v>GuinnessCarib</v>
      </c>
      <c r="J28" s="339" t="s">
        <v>373</v>
      </c>
      <c r="K28" s="340" t="s">
        <v>628</v>
      </c>
      <c r="L28" s="407">
        <v>45</v>
      </c>
    </row>
    <row r="29" spans="9:12" ht="15.75" hidden="1" x14ac:dyDescent="0.25">
      <c r="I29" t="str">
        <f t="shared" si="0"/>
        <v>GuinnessStag</v>
      </c>
      <c r="J29" s="339" t="s">
        <v>373</v>
      </c>
      <c r="K29" s="341" t="s">
        <v>629</v>
      </c>
      <c r="L29" s="407">
        <v>45</v>
      </c>
    </row>
    <row r="30" spans="9:12" ht="15.75" hidden="1" x14ac:dyDescent="0.25">
      <c r="I30" t="str">
        <f t="shared" si="0"/>
        <v>GuinnessMackeson</v>
      </c>
      <c r="J30" s="339" t="s">
        <v>373</v>
      </c>
      <c r="K30" s="341" t="s">
        <v>630</v>
      </c>
      <c r="L30" s="407">
        <v>30</v>
      </c>
    </row>
    <row r="31" spans="9:12" ht="15.75" hidden="1" x14ac:dyDescent="0.25">
      <c r="I31" t="str">
        <f t="shared" si="0"/>
        <v>GuinnessStar Malt</v>
      </c>
      <c r="J31" s="339" t="s">
        <v>373</v>
      </c>
      <c r="K31" s="341" t="s">
        <v>787</v>
      </c>
      <c r="L31" s="407">
        <v>45</v>
      </c>
    </row>
    <row r="32" spans="9:12" ht="15.75" hidden="1" x14ac:dyDescent="0.25">
      <c r="I32" t="str">
        <f t="shared" si="0"/>
        <v>GuinnessVita Malt</v>
      </c>
      <c r="J32" s="339" t="s">
        <v>373</v>
      </c>
      <c r="K32" s="341" t="s">
        <v>374</v>
      </c>
      <c r="L32" s="407">
        <v>100</v>
      </c>
    </row>
    <row r="33" spans="9:12" ht="15.75" hidden="1" x14ac:dyDescent="0.25">
      <c r="I33" t="str">
        <f t="shared" si="0"/>
        <v>GuinnessGinseng Up (Original)</v>
      </c>
      <c r="J33" s="339" t="s">
        <v>373</v>
      </c>
      <c r="K33" s="341" t="s">
        <v>793</v>
      </c>
      <c r="L33" s="407">
        <v>45</v>
      </c>
    </row>
    <row r="34" spans="9:12" ht="15.75" hidden="1" x14ac:dyDescent="0.25">
      <c r="I34" t="str">
        <f t="shared" si="0"/>
        <v>GuinnessTing</v>
      </c>
      <c r="J34" s="339" t="s">
        <v>373</v>
      </c>
      <c r="K34" s="341" t="s">
        <v>631</v>
      </c>
      <c r="L34" s="407">
        <v>45</v>
      </c>
    </row>
    <row r="35" spans="9:12" ht="16.5" hidden="1" thickBot="1" x14ac:dyDescent="0.3">
      <c r="I35" t="str">
        <f t="shared" si="0"/>
        <v>GuinnessJ. Cool</v>
      </c>
      <c r="J35" s="375" t="s">
        <v>373</v>
      </c>
      <c r="K35" s="346" t="s">
        <v>799</v>
      </c>
      <c r="L35" s="410">
        <v>120</v>
      </c>
    </row>
    <row r="36" spans="9:12" ht="15.75" hidden="1" x14ac:dyDescent="0.25">
      <c r="I36" t="str">
        <f t="shared" si="0"/>
        <v>MackesonShandy Ginger</v>
      </c>
      <c r="J36" s="342" t="s">
        <v>630</v>
      </c>
      <c r="K36" s="344" t="s">
        <v>792</v>
      </c>
      <c r="L36" s="409">
        <v>45</v>
      </c>
    </row>
    <row r="37" spans="9:12" ht="15.75" hidden="1" x14ac:dyDescent="0.25">
      <c r="I37" t="str">
        <f t="shared" si="0"/>
        <v>MackesonShandy Lime</v>
      </c>
      <c r="J37" s="339" t="s">
        <v>630</v>
      </c>
      <c r="K37" s="340" t="s">
        <v>791</v>
      </c>
      <c r="L37" s="407">
        <v>45</v>
      </c>
    </row>
    <row r="38" spans="9:12" ht="15.75" hidden="1" x14ac:dyDescent="0.25">
      <c r="I38" t="str">
        <f t="shared" si="0"/>
        <v>MackesonShandy Sorrel</v>
      </c>
      <c r="J38" s="339" t="s">
        <v>630</v>
      </c>
      <c r="K38" s="340" t="s">
        <v>645</v>
      </c>
      <c r="L38" s="407">
        <v>45</v>
      </c>
    </row>
    <row r="39" spans="9:12" ht="15.75" hidden="1" x14ac:dyDescent="0.25">
      <c r="I39" t="str">
        <f t="shared" si="0"/>
        <v>MackesonCarib</v>
      </c>
      <c r="J39" s="339" t="s">
        <v>630</v>
      </c>
      <c r="K39" s="340" t="s">
        <v>628</v>
      </c>
      <c r="L39" s="407">
        <v>45</v>
      </c>
    </row>
    <row r="40" spans="9:12" ht="15.75" hidden="1" x14ac:dyDescent="0.25">
      <c r="I40" t="str">
        <f t="shared" si="0"/>
        <v>MackesonStag</v>
      </c>
      <c r="J40" s="339" t="s">
        <v>630</v>
      </c>
      <c r="K40" s="340" t="s">
        <v>629</v>
      </c>
      <c r="L40" s="407">
        <v>45</v>
      </c>
    </row>
    <row r="41" spans="9:12" ht="15.75" hidden="1" x14ac:dyDescent="0.25">
      <c r="I41" t="str">
        <f t="shared" si="0"/>
        <v>MackesonGuinness</v>
      </c>
      <c r="J41" s="339" t="s">
        <v>630</v>
      </c>
      <c r="K41" s="341" t="s">
        <v>373</v>
      </c>
      <c r="L41" s="407">
        <v>30</v>
      </c>
    </row>
    <row r="42" spans="9:12" ht="15.75" hidden="1" x14ac:dyDescent="0.25">
      <c r="I42" t="str">
        <f t="shared" si="0"/>
        <v>MackesonStar Malt</v>
      </c>
      <c r="J42" s="339" t="s">
        <v>630</v>
      </c>
      <c r="K42" s="341" t="s">
        <v>787</v>
      </c>
      <c r="L42" s="407">
        <v>30</v>
      </c>
    </row>
    <row r="43" spans="9:12" ht="15.75" hidden="1" x14ac:dyDescent="0.25">
      <c r="I43" t="str">
        <f t="shared" si="0"/>
        <v>MackesonVita Malt</v>
      </c>
      <c r="J43" s="339" t="s">
        <v>630</v>
      </c>
      <c r="K43" s="341" t="s">
        <v>374</v>
      </c>
      <c r="L43" s="407">
        <v>100</v>
      </c>
    </row>
    <row r="44" spans="9:12" ht="15.75" hidden="1" x14ac:dyDescent="0.25">
      <c r="I44" t="str">
        <f t="shared" si="0"/>
        <v>MackesonGinseng Up (Original)</v>
      </c>
      <c r="J44" s="339" t="s">
        <v>630</v>
      </c>
      <c r="K44" s="341" t="s">
        <v>793</v>
      </c>
      <c r="L44" s="407">
        <v>45</v>
      </c>
    </row>
    <row r="45" spans="9:12" ht="15.75" hidden="1" x14ac:dyDescent="0.25">
      <c r="I45" t="str">
        <f t="shared" si="0"/>
        <v>MackesonTing</v>
      </c>
      <c r="J45" s="339" t="s">
        <v>630</v>
      </c>
      <c r="K45" s="341" t="s">
        <v>631</v>
      </c>
      <c r="L45" s="407">
        <v>45</v>
      </c>
    </row>
    <row r="46" spans="9:12" ht="16.5" hidden="1" thickBot="1" x14ac:dyDescent="0.3">
      <c r="I46" t="str">
        <f t="shared" si="0"/>
        <v>MackesonJ. Cool</v>
      </c>
      <c r="J46" s="375" t="s">
        <v>630</v>
      </c>
      <c r="K46" s="346" t="s">
        <v>799</v>
      </c>
      <c r="L46" s="410">
        <v>120</v>
      </c>
    </row>
    <row r="47" spans="9:12" ht="15.75" hidden="1" x14ac:dyDescent="0.25">
      <c r="I47" t="str">
        <f t="shared" si="0"/>
        <v>Vita MaltShandy Ginger</v>
      </c>
      <c r="J47" s="342" t="s">
        <v>374</v>
      </c>
      <c r="K47" s="344" t="s">
        <v>792</v>
      </c>
      <c r="L47" s="409">
        <v>100</v>
      </c>
    </row>
    <row r="48" spans="9:12" ht="15.75" hidden="1" x14ac:dyDescent="0.25">
      <c r="I48" t="str">
        <f t="shared" si="0"/>
        <v>Vita MaltShandy Lime</v>
      </c>
      <c r="J48" s="339" t="s">
        <v>374</v>
      </c>
      <c r="K48" s="340" t="s">
        <v>791</v>
      </c>
      <c r="L48" s="407">
        <v>100</v>
      </c>
    </row>
    <row r="49" spans="9:12" ht="15.75" hidden="1" x14ac:dyDescent="0.25">
      <c r="I49" t="str">
        <f t="shared" si="0"/>
        <v>Vita MaltShandy Sorrel</v>
      </c>
      <c r="J49" s="339" t="s">
        <v>374</v>
      </c>
      <c r="K49" s="340" t="s">
        <v>645</v>
      </c>
      <c r="L49" s="407">
        <v>100</v>
      </c>
    </row>
    <row r="50" spans="9:12" ht="15.75" hidden="1" x14ac:dyDescent="0.25">
      <c r="I50" t="str">
        <f t="shared" si="0"/>
        <v>Vita MaltCarib</v>
      </c>
      <c r="J50" s="339" t="s">
        <v>374</v>
      </c>
      <c r="K50" s="340" t="s">
        <v>628</v>
      </c>
      <c r="L50" s="407">
        <v>100</v>
      </c>
    </row>
    <row r="51" spans="9:12" ht="15.75" hidden="1" x14ac:dyDescent="0.25">
      <c r="I51" t="str">
        <f t="shared" si="0"/>
        <v>Vita MaltStag</v>
      </c>
      <c r="J51" s="339" t="s">
        <v>374</v>
      </c>
      <c r="K51" s="340" t="s">
        <v>629</v>
      </c>
      <c r="L51" s="407">
        <v>100</v>
      </c>
    </row>
    <row r="52" spans="9:12" ht="15.75" hidden="1" x14ac:dyDescent="0.25">
      <c r="I52" t="str">
        <f t="shared" si="0"/>
        <v>Vita MaltGuinness</v>
      </c>
      <c r="J52" s="339" t="s">
        <v>374</v>
      </c>
      <c r="K52" s="341" t="s">
        <v>373</v>
      </c>
      <c r="L52" s="407">
        <v>100</v>
      </c>
    </row>
    <row r="53" spans="9:12" ht="15.75" hidden="1" x14ac:dyDescent="0.25">
      <c r="I53" t="str">
        <f t="shared" si="0"/>
        <v>Vita MaltMackeson</v>
      </c>
      <c r="J53" s="339" t="s">
        <v>374</v>
      </c>
      <c r="K53" s="341" t="s">
        <v>630</v>
      </c>
      <c r="L53" s="407">
        <v>100</v>
      </c>
    </row>
    <row r="54" spans="9:12" ht="15.75" hidden="1" x14ac:dyDescent="0.25">
      <c r="I54" t="str">
        <f t="shared" si="0"/>
        <v>Vita MaltStar Malt</v>
      </c>
      <c r="J54" s="339" t="s">
        <v>374</v>
      </c>
      <c r="K54" s="341" t="s">
        <v>787</v>
      </c>
      <c r="L54" s="407">
        <v>100</v>
      </c>
    </row>
    <row r="55" spans="9:12" ht="15.75" hidden="1" x14ac:dyDescent="0.25">
      <c r="I55" t="str">
        <f t="shared" si="0"/>
        <v>Vita MaltGinseng Up (Original)</v>
      </c>
      <c r="J55" s="339" t="s">
        <v>374</v>
      </c>
      <c r="K55" s="341" t="s">
        <v>793</v>
      </c>
      <c r="L55" s="407">
        <v>100</v>
      </c>
    </row>
    <row r="56" spans="9:12" ht="15.75" hidden="1" x14ac:dyDescent="0.25">
      <c r="I56" t="str">
        <f t="shared" si="0"/>
        <v>Vita MaltTing</v>
      </c>
      <c r="J56" s="339" t="s">
        <v>374</v>
      </c>
      <c r="K56" s="341" t="s">
        <v>631</v>
      </c>
      <c r="L56" s="407">
        <v>100</v>
      </c>
    </row>
    <row r="57" spans="9:12" ht="15.75" hidden="1" thickBot="1" x14ac:dyDescent="0.25">
      <c r="I57" t="str">
        <f>(J57&amp;K68)</f>
        <v>Vita MaltJ. Cool</v>
      </c>
      <c r="J57" s="375" t="s">
        <v>374</v>
      </c>
      <c r="K57" s="346" t="s">
        <v>799</v>
      </c>
      <c r="L57" s="433">
        <v>150</v>
      </c>
    </row>
    <row r="58" spans="9:12" ht="15.75" hidden="1" x14ac:dyDescent="0.25">
      <c r="I58" t="str">
        <f t="shared" si="0"/>
        <v>TingShandy Ginger</v>
      </c>
      <c r="J58" s="342" t="s">
        <v>631</v>
      </c>
      <c r="K58" s="344" t="s">
        <v>792</v>
      </c>
      <c r="L58" s="409">
        <v>45</v>
      </c>
    </row>
    <row r="59" spans="9:12" ht="15.75" hidden="1" x14ac:dyDescent="0.25">
      <c r="I59" t="str">
        <f t="shared" si="0"/>
        <v>TingShandy Lime</v>
      </c>
      <c r="J59" s="339" t="s">
        <v>631</v>
      </c>
      <c r="K59" s="340" t="s">
        <v>791</v>
      </c>
      <c r="L59" s="407">
        <v>45</v>
      </c>
    </row>
    <row r="60" spans="9:12" ht="15.75" hidden="1" x14ac:dyDescent="0.25">
      <c r="I60" t="str">
        <f t="shared" si="0"/>
        <v>TingShandy Sorrel</v>
      </c>
      <c r="J60" s="339" t="s">
        <v>631</v>
      </c>
      <c r="K60" s="340" t="s">
        <v>645</v>
      </c>
      <c r="L60" s="407">
        <v>45</v>
      </c>
    </row>
    <row r="61" spans="9:12" ht="15.75" hidden="1" x14ac:dyDescent="0.25">
      <c r="I61" t="str">
        <f t="shared" si="0"/>
        <v>TingCarib</v>
      </c>
      <c r="J61" s="339" t="s">
        <v>631</v>
      </c>
      <c r="K61" s="340" t="s">
        <v>628</v>
      </c>
      <c r="L61" s="407">
        <v>45</v>
      </c>
    </row>
    <row r="62" spans="9:12" ht="15.75" hidden="1" x14ac:dyDescent="0.25">
      <c r="I62" t="str">
        <f t="shared" si="0"/>
        <v>TingStag</v>
      </c>
      <c r="J62" s="339" t="s">
        <v>631</v>
      </c>
      <c r="K62" s="340" t="s">
        <v>629</v>
      </c>
      <c r="L62" s="407">
        <v>45</v>
      </c>
    </row>
    <row r="63" spans="9:12" ht="15.75" hidden="1" x14ac:dyDescent="0.25">
      <c r="I63" t="str">
        <f t="shared" si="0"/>
        <v>TingVita Malt</v>
      </c>
      <c r="J63" s="339" t="s">
        <v>631</v>
      </c>
      <c r="K63" s="341" t="s">
        <v>374</v>
      </c>
      <c r="L63" s="407">
        <v>100</v>
      </c>
    </row>
    <row r="64" spans="9:12" ht="15.75" hidden="1" x14ac:dyDescent="0.25">
      <c r="I64" t="str">
        <f t="shared" si="0"/>
        <v>TingGuinness</v>
      </c>
      <c r="J64" s="339" t="s">
        <v>631</v>
      </c>
      <c r="K64" s="341" t="s">
        <v>373</v>
      </c>
      <c r="L64" s="407">
        <v>60</v>
      </c>
    </row>
    <row r="65" spans="9:12" ht="15.75" hidden="1" x14ac:dyDescent="0.25">
      <c r="I65" t="str">
        <f t="shared" si="0"/>
        <v>TingMackeson</v>
      </c>
      <c r="J65" s="339" t="s">
        <v>631</v>
      </c>
      <c r="K65" s="341" t="s">
        <v>630</v>
      </c>
      <c r="L65" s="407">
        <v>45</v>
      </c>
    </row>
    <row r="66" spans="9:12" ht="15.75" hidden="1" x14ac:dyDescent="0.25">
      <c r="I66" t="str">
        <f t="shared" ref="I66:I129" si="1">(J66&amp;K66)</f>
        <v>TingStar Malt</v>
      </c>
      <c r="J66" s="339" t="s">
        <v>631</v>
      </c>
      <c r="K66" s="341" t="s">
        <v>787</v>
      </c>
      <c r="L66" s="407">
        <v>45</v>
      </c>
    </row>
    <row r="67" spans="9:12" ht="15.75" hidden="1" x14ac:dyDescent="0.25">
      <c r="I67" t="str">
        <f t="shared" si="1"/>
        <v>TingGinseng Up (Original)</v>
      </c>
      <c r="J67" s="339" t="s">
        <v>631</v>
      </c>
      <c r="K67" s="341" t="s">
        <v>793</v>
      </c>
      <c r="L67" s="407">
        <v>40</v>
      </c>
    </row>
    <row r="68" spans="9:12" ht="16.5" hidden="1" thickBot="1" x14ac:dyDescent="0.3">
      <c r="I68" t="str">
        <f t="shared" si="1"/>
        <v>TingJ. Cool</v>
      </c>
      <c r="J68" s="375" t="s">
        <v>631</v>
      </c>
      <c r="K68" s="346" t="s">
        <v>799</v>
      </c>
      <c r="L68" s="410">
        <v>120</v>
      </c>
    </row>
    <row r="69" spans="9:12" ht="15.75" hidden="1" x14ac:dyDescent="0.25">
      <c r="I69" t="str">
        <f t="shared" si="1"/>
        <v>J. CoolShandy Ginger</v>
      </c>
      <c r="J69" s="339" t="s">
        <v>799</v>
      </c>
      <c r="K69" s="344" t="s">
        <v>792</v>
      </c>
      <c r="L69" s="409">
        <v>100</v>
      </c>
    </row>
    <row r="70" spans="9:12" ht="15.75" hidden="1" x14ac:dyDescent="0.25">
      <c r="I70" t="str">
        <f t="shared" si="1"/>
        <v>J. CoolShandy Lime</v>
      </c>
      <c r="J70" s="339" t="s">
        <v>799</v>
      </c>
      <c r="K70" s="340" t="s">
        <v>791</v>
      </c>
      <c r="L70" s="407">
        <v>100</v>
      </c>
    </row>
    <row r="71" spans="9:12" ht="15.75" hidden="1" x14ac:dyDescent="0.25">
      <c r="I71" t="str">
        <f t="shared" si="1"/>
        <v>J. CoolShandy Sorrel</v>
      </c>
      <c r="J71" s="339" t="s">
        <v>799</v>
      </c>
      <c r="K71" s="340" t="s">
        <v>645</v>
      </c>
      <c r="L71" s="407">
        <v>100</v>
      </c>
    </row>
    <row r="72" spans="9:12" ht="15.75" hidden="1" x14ac:dyDescent="0.25">
      <c r="I72" t="str">
        <f t="shared" si="1"/>
        <v>J. CoolCarib</v>
      </c>
      <c r="J72" s="339" t="s">
        <v>799</v>
      </c>
      <c r="K72" s="343" t="s">
        <v>628</v>
      </c>
      <c r="L72" s="407">
        <v>100</v>
      </c>
    </row>
    <row r="73" spans="9:12" ht="15.75" hidden="1" x14ac:dyDescent="0.25">
      <c r="I73" t="str">
        <f t="shared" si="1"/>
        <v>J. CoolStag</v>
      </c>
      <c r="J73" s="339" t="s">
        <v>799</v>
      </c>
      <c r="K73" s="343" t="s">
        <v>629</v>
      </c>
      <c r="L73" s="407">
        <v>100</v>
      </c>
    </row>
    <row r="74" spans="9:12" ht="15" hidden="1" x14ac:dyDescent="0.2">
      <c r="I74" t="str">
        <f t="shared" si="1"/>
        <v>J. CoolVita Malt</v>
      </c>
      <c r="J74" s="339" t="s">
        <v>799</v>
      </c>
      <c r="K74" s="343" t="s">
        <v>374</v>
      </c>
      <c r="L74" s="411">
        <v>150</v>
      </c>
    </row>
    <row r="75" spans="9:12" ht="15.75" hidden="1" x14ac:dyDescent="0.25">
      <c r="I75" t="str">
        <f t="shared" si="1"/>
        <v>J. CoolGuinness</v>
      </c>
      <c r="J75" s="339" t="s">
        <v>799</v>
      </c>
      <c r="K75" s="344" t="s">
        <v>373</v>
      </c>
      <c r="L75" s="407">
        <v>110</v>
      </c>
    </row>
    <row r="76" spans="9:12" ht="15.75" hidden="1" x14ac:dyDescent="0.25">
      <c r="I76" t="str">
        <f t="shared" si="1"/>
        <v>J. CoolMackeson</v>
      </c>
      <c r="J76" s="339" t="s">
        <v>799</v>
      </c>
      <c r="K76" s="341" t="s">
        <v>630</v>
      </c>
      <c r="L76" s="407">
        <v>100</v>
      </c>
    </row>
    <row r="77" spans="9:12" ht="15.75" hidden="1" x14ac:dyDescent="0.25">
      <c r="I77" t="str">
        <f t="shared" si="1"/>
        <v>J. CoolStar Malt</v>
      </c>
      <c r="J77" s="339" t="s">
        <v>799</v>
      </c>
      <c r="K77" s="341" t="s">
        <v>787</v>
      </c>
      <c r="L77" s="407">
        <v>100</v>
      </c>
    </row>
    <row r="78" spans="9:12" ht="15.75" hidden="1" x14ac:dyDescent="0.25">
      <c r="I78" t="str">
        <f t="shared" si="1"/>
        <v>J. CoolGinseng Up (Original)</v>
      </c>
      <c r="J78" s="339" t="s">
        <v>799</v>
      </c>
      <c r="K78" s="341" t="s">
        <v>793</v>
      </c>
      <c r="L78" s="407">
        <v>100</v>
      </c>
    </row>
    <row r="79" spans="9:12" ht="15.75" hidden="1" x14ac:dyDescent="0.25">
      <c r="I79" t="str">
        <f t="shared" si="1"/>
        <v>J. CoolTing</v>
      </c>
      <c r="J79" s="339" t="s">
        <v>799</v>
      </c>
      <c r="K79" s="344" t="s">
        <v>631</v>
      </c>
      <c r="L79" s="407">
        <v>100</v>
      </c>
    </row>
    <row r="80" spans="9:12" ht="16.5" hidden="1" thickBot="1" x14ac:dyDescent="0.3">
      <c r="I80" t="str">
        <f t="shared" si="1"/>
        <v>J. CoolJ. Cool</v>
      </c>
      <c r="J80" s="375" t="s">
        <v>799</v>
      </c>
      <c r="K80" s="346" t="s">
        <v>799</v>
      </c>
      <c r="L80" s="410">
        <v>20</v>
      </c>
    </row>
    <row r="81" spans="9:12" ht="15.75" hidden="1" x14ac:dyDescent="0.25">
      <c r="I81" t="str">
        <f t="shared" si="1"/>
        <v>Star MaltShandy Ginger</v>
      </c>
      <c r="J81" s="342" t="s">
        <v>787</v>
      </c>
      <c r="K81" s="344" t="s">
        <v>792</v>
      </c>
      <c r="L81" s="409">
        <v>45</v>
      </c>
    </row>
    <row r="82" spans="9:12" ht="15.75" hidden="1" x14ac:dyDescent="0.25">
      <c r="I82" t="str">
        <f t="shared" si="1"/>
        <v>Star MaltShandy Lime</v>
      </c>
      <c r="J82" s="339" t="s">
        <v>787</v>
      </c>
      <c r="K82" s="340" t="s">
        <v>791</v>
      </c>
      <c r="L82" s="407">
        <v>45</v>
      </c>
    </row>
    <row r="83" spans="9:12" ht="15.75" hidden="1" x14ac:dyDescent="0.25">
      <c r="I83" t="str">
        <f t="shared" si="1"/>
        <v>Star MaltShandy Sorrel</v>
      </c>
      <c r="J83" s="339" t="s">
        <v>787</v>
      </c>
      <c r="K83" s="340" t="s">
        <v>645</v>
      </c>
      <c r="L83" s="407">
        <v>45</v>
      </c>
    </row>
    <row r="84" spans="9:12" ht="15.75" hidden="1" x14ac:dyDescent="0.25">
      <c r="I84" t="str">
        <f t="shared" si="1"/>
        <v>Star MaltCarib</v>
      </c>
      <c r="J84" s="339" t="s">
        <v>787</v>
      </c>
      <c r="K84" s="343" t="s">
        <v>628</v>
      </c>
      <c r="L84" s="407">
        <v>45</v>
      </c>
    </row>
    <row r="85" spans="9:12" ht="15.75" hidden="1" x14ac:dyDescent="0.25">
      <c r="I85" t="str">
        <f t="shared" si="1"/>
        <v>Star MaltStag</v>
      </c>
      <c r="J85" s="339" t="s">
        <v>787</v>
      </c>
      <c r="K85" s="343" t="s">
        <v>629</v>
      </c>
      <c r="L85" s="407">
        <v>45</v>
      </c>
    </row>
    <row r="86" spans="9:12" ht="15.75" hidden="1" x14ac:dyDescent="0.25">
      <c r="I86" t="str">
        <f t="shared" si="1"/>
        <v>Star MaltVita Malt</v>
      </c>
      <c r="J86" s="339" t="s">
        <v>787</v>
      </c>
      <c r="K86" s="343" t="s">
        <v>374</v>
      </c>
      <c r="L86" s="407">
        <v>100</v>
      </c>
    </row>
    <row r="87" spans="9:12" ht="15.75" hidden="1" x14ac:dyDescent="0.25">
      <c r="I87" t="str">
        <f t="shared" si="1"/>
        <v>Star MaltGuinness</v>
      </c>
      <c r="J87" s="339" t="s">
        <v>787</v>
      </c>
      <c r="K87" s="344" t="s">
        <v>373</v>
      </c>
      <c r="L87" s="407">
        <v>100</v>
      </c>
    </row>
    <row r="88" spans="9:12" ht="15.75" hidden="1" x14ac:dyDescent="0.25">
      <c r="I88" t="str">
        <f t="shared" si="1"/>
        <v>Star MaltMackeson</v>
      </c>
      <c r="J88" s="339" t="s">
        <v>787</v>
      </c>
      <c r="K88" s="344" t="s">
        <v>630</v>
      </c>
      <c r="L88" s="412">
        <v>30</v>
      </c>
    </row>
    <row r="89" spans="9:12" ht="15.75" hidden="1" x14ac:dyDescent="0.25">
      <c r="I89" t="str">
        <f t="shared" si="1"/>
        <v>Star MaltGinseng Up (Original)</v>
      </c>
      <c r="J89" s="339" t="s">
        <v>787</v>
      </c>
      <c r="K89" s="341" t="s">
        <v>793</v>
      </c>
      <c r="L89" s="412">
        <v>45</v>
      </c>
    </row>
    <row r="90" spans="9:12" ht="15.75" hidden="1" x14ac:dyDescent="0.25">
      <c r="I90" t="str">
        <f t="shared" si="1"/>
        <v>Star MaltTing</v>
      </c>
      <c r="J90" s="339" t="s">
        <v>787</v>
      </c>
      <c r="K90" s="340" t="s">
        <v>631</v>
      </c>
      <c r="L90" s="412">
        <v>45</v>
      </c>
    </row>
    <row r="91" spans="9:12" ht="16.5" hidden="1" thickBot="1" x14ac:dyDescent="0.3">
      <c r="I91" t="str">
        <f t="shared" si="1"/>
        <v>Star MaltJ. Cool</v>
      </c>
      <c r="J91" s="375" t="s">
        <v>787</v>
      </c>
      <c r="K91" s="346" t="s">
        <v>799</v>
      </c>
      <c r="L91" s="410">
        <v>120</v>
      </c>
    </row>
    <row r="92" spans="9:12" ht="15.75" hidden="1" x14ac:dyDescent="0.25">
      <c r="I92" t="str">
        <f t="shared" si="1"/>
        <v>Ginseng Up (Original)Shandy Ginger</v>
      </c>
      <c r="J92" s="339" t="s">
        <v>793</v>
      </c>
      <c r="K92" s="344" t="s">
        <v>792</v>
      </c>
      <c r="L92" s="407">
        <v>100</v>
      </c>
    </row>
    <row r="93" spans="9:12" ht="15.75" hidden="1" x14ac:dyDescent="0.25">
      <c r="I93" t="str">
        <f t="shared" si="1"/>
        <v>Ginseng Up (Original)Shandy Lime</v>
      </c>
      <c r="J93" s="339" t="s">
        <v>793</v>
      </c>
      <c r="K93" s="340" t="s">
        <v>791</v>
      </c>
      <c r="L93" s="407">
        <v>100</v>
      </c>
    </row>
    <row r="94" spans="9:12" ht="15.75" hidden="1" x14ac:dyDescent="0.25">
      <c r="I94" t="str">
        <f t="shared" si="1"/>
        <v>Ginseng Up (Original)Shandy Sorrel</v>
      </c>
      <c r="J94" s="339" t="s">
        <v>793</v>
      </c>
      <c r="K94" s="340" t="s">
        <v>645</v>
      </c>
      <c r="L94" s="407">
        <v>100</v>
      </c>
    </row>
    <row r="95" spans="9:12" ht="15.75" hidden="1" x14ac:dyDescent="0.25">
      <c r="I95" t="str">
        <f t="shared" si="1"/>
        <v>Ginseng Up (Original)Carib</v>
      </c>
      <c r="J95" s="339" t="s">
        <v>793</v>
      </c>
      <c r="K95" s="343" t="s">
        <v>628</v>
      </c>
      <c r="L95" s="407">
        <v>100</v>
      </c>
    </row>
    <row r="96" spans="9:12" ht="15.75" hidden="1" x14ac:dyDescent="0.25">
      <c r="I96" t="str">
        <f t="shared" si="1"/>
        <v>Ginseng Up (Original)Stag</v>
      </c>
      <c r="J96" s="339" t="s">
        <v>793</v>
      </c>
      <c r="K96" s="343" t="s">
        <v>629</v>
      </c>
      <c r="L96" s="407">
        <v>100</v>
      </c>
    </row>
    <row r="97" spans="9:12" ht="15.75" hidden="1" x14ac:dyDescent="0.25">
      <c r="I97" t="str">
        <f t="shared" si="1"/>
        <v>Ginseng Up (Original)Vita Malt</v>
      </c>
      <c r="J97" s="339" t="s">
        <v>793</v>
      </c>
      <c r="K97" s="343" t="s">
        <v>374</v>
      </c>
      <c r="L97" s="407">
        <v>130</v>
      </c>
    </row>
    <row r="98" spans="9:12" ht="15.75" hidden="1" x14ac:dyDescent="0.25">
      <c r="I98" t="str">
        <f t="shared" si="1"/>
        <v>Ginseng Up (Original)Guinness</v>
      </c>
      <c r="J98" s="339" t="s">
        <v>793</v>
      </c>
      <c r="K98" s="344" t="s">
        <v>373</v>
      </c>
      <c r="L98" s="407">
        <v>100</v>
      </c>
    </row>
    <row r="99" spans="9:12" ht="15.75" hidden="1" x14ac:dyDescent="0.25">
      <c r="I99" t="str">
        <f t="shared" si="1"/>
        <v>Ginseng Up (Original)Mackeson</v>
      </c>
      <c r="J99" s="339" t="s">
        <v>793</v>
      </c>
      <c r="K99" s="344" t="s">
        <v>630</v>
      </c>
      <c r="L99" s="407">
        <v>100</v>
      </c>
    </row>
    <row r="100" spans="9:12" ht="15.75" hidden="1" x14ac:dyDescent="0.25">
      <c r="I100" t="str">
        <f t="shared" si="1"/>
        <v>Ginseng Up (Original)Star Malt</v>
      </c>
      <c r="J100" s="339" t="s">
        <v>793</v>
      </c>
      <c r="K100" s="341" t="s">
        <v>787</v>
      </c>
      <c r="L100" s="407">
        <v>100</v>
      </c>
    </row>
    <row r="101" spans="9:12" ht="15.75" hidden="1" x14ac:dyDescent="0.25">
      <c r="I101" t="str">
        <f t="shared" si="1"/>
        <v>Ginseng Up (Original)Ting</v>
      </c>
      <c r="J101" s="339" t="s">
        <v>793</v>
      </c>
      <c r="K101" s="345" t="s">
        <v>631</v>
      </c>
      <c r="L101" s="407">
        <v>100</v>
      </c>
    </row>
    <row r="102" spans="9:12" ht="16.5" hidden="1" thickBot="1" x14ac:dyDescent="0.3">
      <c r="I102" t="str">
        <f t="shared" si="1"/>
        <v>Ginseng Up (Original)J. Cool</v>
      </c>
      <c r="J102" s="375" t="s">
        <v>793</v>
      </c>
      <c r="K102" s="346" t="s">
        <v>799</v>
      </c>
      <c r="L102" s="410">
        <v>120</v>
      </c>
    </row>
    <row r="103" spans="9:12" ht="15.75" hidden="1" x14ac:dyDescent="0.25">
      <c r="I103" t="str">
        <f t="shared" si="1"/>
        <v>Shandy SorrelShandy Ginger</v>
      </c>
      <c r="J103" s="342" t="s">
        <v>645</v>
      </c>
      <c r="K103" s="340" t="s">
        <v>792</v>
      </c>
      <c r="L103" s="412">
        <v>45</v>
      </c>
    </row>
    <row r="104" spans="9:12" ht="15.75" hidden="1" x14ac:dyDescent="0.25">
      <c r="I104" t="str">
        <f t="shared" si="1"/>
        <v>Shandy SorrelShandy Lime</v>
      </c>
      <c r="J104" s="339" t="s">
        <v>645</v>
      </c>
      <c r="K104" s="343" t="s">
        <v>791</v>
      </c>
      <c r="L104" s="412">
        <v>45</v>
      </c>
    </row>
    <row r="105" spans="9:12" ht="15.75" hidden="1" x14ac:dyDescent="0.25">
      <c r="I105" t="str">
        <f t="shared" si="1"/>
        <v>Shandy SorrelCarib</v>
      </c>
      <c r="J105" s="339" t="s">
        <v>645</v>
      </c>
      <c r="K105" s="343" t="s">
        <v>628</v>
      </c>
      <c r="L105" s="412">
        <v>100</v>
      </c>
    </row>
    <row r="106" spans="9:12" ht="15.75" hidden="1" x14ac:dyDescent="0.25">
      <c r="I106" t="str">
        <f t="shared" si="1"/>
        <v>Shandy SorrelStag</v>
      </c>
      <c r="J106" s="339" t="s">
        <v>645</v>
      </c>
      <c r="K106" s="343" t="s">
        <v>629</v>
      </c>
      <c r="L106" s="412">
        <v>100</v>
      </c>
    </row>
    <row r="107" spans="9:12" ht="15.75" hidden="1" x14ac:dyDescent="0.25">
      <c r="I107" t="str">
        <f t="shared" si="1"/>
        <v>Shandy SorrelVita Malt</v>
      </c>
      <c r="J107" s="339" t="s">
        <v>645</v>
      </c>
      <c r="K107" s="340" t="s">
        <v>374</v>
      </c>
      <c r="L107" s="412">
        <v>130</v>
      </c>
    </row>
    <row r="108" spans="9:12" ht="15.75" hidden="1" x14ac:dyDescent="0.25">
      <c r="I108" t="str">
        <f t="shared" si="1"/>
        <v>Shandy SorrelGuinness</v>
      </c>
      <c r="J108" s="339" t="s">
        <v>645</v>
      </c>
      <c r="K108" s="340" t="s">
        <v>373</v>
      </c>
      <c r="L108" s="412">
        <v>100</v>
      </c>
    </row>
    <row r="109" spans="9:12" ht="15.75" hidden="1" x14ac:dyDescent="0.25">
      <c r="I109" t="str">
        <f t="shared" si="1"/>
        <v>Shandy SorrelMackeson</v>
      </c>
      <c r="J109" s="339" t="s">
        <v>645</v>
      </c>
      <c r="K109" s="341" t="s">
        <v>630</v>
      </c>
      <c r="L109" s="412">
        <v>100</v>
      </c>
    </row>
    <row r="110" spans="9:12" ht="15.75" hidden="1" x14ac:dyDescent="0.25">
      <c r="I110" t="str">
        <f t="shared" si="1"/>
        <v>Shandy SorrelStar Malt</v>
      </c>
      <c r="J110" s="339" t="s">
        <v>645</v>
      </c>
      <c r="K110" s="341" t="s">
        <v>787</v>
      </c>
      <c r="L110" s="412">
        <v>100</v>
      </c>
    </row>
    <row r="111" spans="9:12" ht="15.75" hidden="1" x14ac:dyDescent="0.25">
      <c r="I111" t="str">
        <f t="shared" si="1"/>
        <v>Shandy SorrelGinseng Up (Original)</v>
      </c>
      <c r="J111" s="339" t="s">
        <v>645</v>
      </c>
      <c r="K111" s="341" t="s">
        <v>793</v>
      </c>
      <c r="L111" s="412">
        <v>100</v>
      </c>
    </row>
    <row r="112" spans="9:12" ht="15.75" hidden="1" x14ac:dyDescent="0.25">
      <c r="I112" t="str">
        <f t="shared" si="1"/>
        <v>Shandy SorrelTing</v>
      </c>
      <c r="J112" s="339" t="s">
        <v>645</v>
      </c>
      <c r="K112" s="374" t="s">
        <v>631</v>
      </c>
      <c r="L112" s="412">
        <v>100</v>
      </c>
    </row>
    <row r="113" spans="9:12" ht="16.5" hidden="1" thickBot="1" x14ac:dyDescent="0.3">
      <c r="I113" t="str">
        <f t="shared" si="1"/>
        <v>Shandy SorrelJ. Cool</v>
      </c>
      <c r="J113" s="375" t="s">
        <v>645</v>
      </c>
      <c r="K113" s="346" t="s">
        <v>799</v>
      </c>
      <c r="L113" s="410">
        <v>120</v>
      </c>
    </row>
    <row r="114" spans="9:12" ht="15.75" hidden="1" x14ac:dyDescent="0.25">
      <c r="I114" t="str">
        <f t="shared" si="1"/>
        <v>Shandy LimeShandy Sorrel</v>
      </c>
      <c r="J114" s="339" t="s">
        <v>791</v>
      </c>
      <c r="K114" s="374" t="s">
        <v>645</v>
      </c>
      <c r="L114" s="412">
        <v>45</v>
      </c>
    </row>
    <row r="115" spans="9:12" ht="15.75" hidden="1" x14ac:dyDescent="0.25">
      <c r="I115" t="str">
        <f t="shared" si="1"/>
        <v>Shandy LimeShandy Ginger</v>
      </c>
      <c r="J115" s="339" t="s">
        <v>791</v>
      </c>
      <c r="K115" s="340" t="s">
        <v>792</v>
      </c>
      <c r="L115" s="412">
        <v>20</v>
      </c>
    </row>
    <row r="116" spans="9:12" ht="15.75" hidden="1" x14ac:dyDescent="0.25">
      <c r="I116" t="str">
        <f t="shared" si="1"/>
        <v>Shandy LimeCarib</v>
      </c>
      <c r="J116" s="339" t="s">
        <v>791</v>
      </c>
      <c r="K116" s="343" t="s">
        <v>628</v>
      </c>
      <c r="L116" s="412">
        <v>45</v>
      </c>
    </row>
    <row r="117" spans="9:12" ht="15.75" hidden="1" x14ac:dyDescent="0.25">
      <c r="I117" t="str">
        <f t="shared" si="1"/>
        <v>Shandy LimeStag</v>
      </c>
      <c r="J117" s="339" t="s">
        <v>791</v>
      </c>
      <c r="K117" s="343" t="s">
        <v>629</v>
      </c>
      <c r="L117" s="412">
        <v>45</v>
      </c>
    </row>
    <row r="118" spans="9:12" ht="15.75" hidden="1" x14ac:dyDescent="0.25">
      <c r="I118" t="str">
        <f t="shared" si="1"/>
        <v>Shandy LimeVita Malt</v>
      </c>
      <c r="J118" s="339" t="s">
        <v>791</v>
      </c>
      <c r="K118" s="340" t="s">
        <v>374</v>
      </c>
      <c r="L118" s="412">
        <v>100</v>
      </c>
    </row>
    <row r="119" spans="9:12" ht="15.75" hidden="1" x14ac:dyDescent="0.25">
      <c r="I119" t="str">
        <f t="shared" si="1"/>
        <v>Shandy LimeGuinness</v>
      </c>
      <c r="J119" s="339" t="s">
        <v>791</v>
      </c>
      <c r="K119" s="343" t="s">
        <v>373</v>
      </c>
      <c r="L119" s="412">
        <v>60</v>
      </c>
    </row>
    <row r="120" spans="9:12" ht="15.75" hidden="1" x14ac:dyDescent="0.25">
      <c r="I120" t="str">
        <f t="shared" si="1"/>
        <v>Shandy LimeMackeson</v>
      </c>
      <c r="J120" s="339" t="s">
        <v>791</v>
      </c>
      <c r="K120" s="343" t="s">
        <v>630</v>
      </c>
      <c r="L120" s="412">
        <v>45</v>
      </c>
    </row>
    <row r="121" spans="9:12" ht="15.75" hidden="1" x14ac:dyDescent="0.25">
      <c r="I121" t="str">
        <f t="shared" si="1"/>
        <v>Shandy LimeStar Malt</v>
      </c>
      <c r="J121" s="339" t="s">
        <v>791</v>
      </c>
      <c r="K121" s="343" t="s">
        <v>787</v>
      </c>
      <c r="L121" s="412">
        <v>45</v>
      </c>
    </row>
    <row r="122" spans="9:12" ht="15.75" hidden="1" x14ac:dyDescent="0.25">
      <c r="I122" t="str">
        <f t="shared" si="1"/>
        <v>Shandy LimeGinseng Up (Original)</v>
      </c>
      <c r="J122" s="339" t="s">
        <v>791</v>
      </c>
      <c r="K122" s="341" t="s">
        <v>793</v>
      </c>
      <c r="L122" s="412">
        <v>45</v>
      </c>
    </row>
    <row r="123" spans="9:12" ht="15.75" hidden="1" x14ac:dyDescent="0.25">
      <c r="I123" t="str">
        <f t="shared" si="1"/>
        <v>Shandy LimeTing</v>
      </c>
      <c r="J123" s="339" t="s">
        <v>791</v>
      </c>
      <c r="K123" s="374" t="s">
        <v>631</v>
      </c>
      <c r="L123" s="412">
        <v>45</v>
      </c>
    </row>
    <row r="124" spans="9:12" ht="16.5" hidden="1" thickBot="1" x14ac:dyDescent="0.3">
      <c r="I124" t="str">
        <f t="shared" si="1"/>
        <v>Shandy LimeJ. Cool</v>
      </c>
      <c r="J124" s="375" t="s">
        <v>791</v>
      </c>
      <c r="K124" s="346" t="s">
        <v>799</v>
      </c>
      <c r="L124" s="410">
        <v>120</v>
      </c>
    </row>
    <row r="125" spans="9:12" ht="15.75" hidden="1" x14ac:dyDescent="0.25">
      <c r="I125" t="str">
        <f t="shared" si="1"/>
        <v>Shandy GingerShandy Sorrel</v>
      </c>
      <c r="J125" s="342" t="s">
        <v>792</v>
      </c>
      <c r="K125" s="374" t="s">
        <v>645</v>
      </c>
      <c r="L125" s="412">
        <v>45</v>
      </c>
    </row>
    <row r="126" spans="9:12" ht="15.75" hidden="1" x14ac:dyDescent="0.25">
      <c r="I126" t="str">
        <f t="shared" si="1"/>
        <v>Shandy GingerShandy Lime</v>
      </c>
      <c r="J126" s="342" t="s">
        <v>792</v>
      </c>
      <c r="K126" s="343" t="s">
        <v>791</v>
      </c>
      <c r="L126" s="412">
        <v>20</v>
      </c>
    </row>
    <row r="127" spans="9:12" ht="15.75" hidden="1" x14ac:dyDescent="0.25">
      <c r="I127" t="str">
        <f t="shared" si="1"/>
        <v>Shandy GingerCarib</v>
      </c>
      <c r="J127" s="342" t="s">
        <v>792</v>
      </c>
      <c r="K127" s="343" t="s">
        <v>628</v>
      </c>
      <c r="L127" s="412">
        <v>45</v>
      </c>
    </row>
    <row r="128" spans="9:12" ht="15.75" hidden="1" x14ac:dyDescent="0.25">
      <c r="I128" t="str">
        <f t="shared" si="1"/>
        <v>Shandy GingerStag</v>
      </c>
      <c r="J128" s="342" t="s">
        <v>792</v>
      </c>
      <c r="K128" s="343" t="s">
        <v>629</v>
      </c>
      <c r="L128" s="412">
        <v>45</v>
      </c>
    </row>
    <row r="129" spans="2:12" ht="15.75" hidden="1" x14ac:dyDescent="0.25">
      <c r="I129" t="str">
        <f t="shared" si="1"/>
        <v>Shandy GingerVita Malt</v>
      </c>
      <c r="J129" s="342" t="s">
        <v>792</v>
      </c>
      <c r="K129" s="340" t="s">
        <v>374</v>
      </c>
      <c r="L129" s="412">
        <v>100</v>
      </c>
    </row>
    <row r="130" spans="2:12" ht="15.75" hidden="1" x14ac:dyDescent="0.25">
      <c r="I130" t="str">
        <f t="shared" ref="I130:I135" si="2">(J130&amp;K130)</f>
        <v>Shandy GingerGuinness</v>
      </c>
      <c r="J130" s="342" t="s">
        <v>792</v>
      </c>
      <c r="K130" s="343" t="s">
        <v>373</v>
      </c>
      <c r="L130" s="412">
        <v>60</v>
      </c>
    </row>
    <row r="131" spans="2:12" ht="15.75" hidden="1" x14ac:dyDescent="0.25">
      <c r="I131" t="str">
        <f t="shared" si="2"/>
        <v>Shandy GingerMackeson</v>
      </c>
      <c r="J131" s="342" t="s">
        <v>792</v>
      </c>
      <c r="K131" s="343" t="s">
        <v>630</v>
      </c>
      <c r="L131" s="412">
        <v>45</v>
      </c>
    </row>
    <row r="132" spans="2:12" ht="15.75" hidden="1" x14ac:dyDescent="0.25">
      <c r="I132" t="str">
        <f t="shared" si="2"/>
        <v>Shandy GingerStar Malt</v>
      </c>
      <c r="J132" s="342" t="s">
        <v>792</v>
      </c>
      <c r="K132" s="343" t="s">
        <v>787</v>
      </c>
      <c r="L132" s="412">
        <v>45</v>
      </c>
    </row>
    <row r="133" spans="2:12" ht="15.75" hidden="1" x14ac:dyDescent="0.25">
      <c r="I133" t="str">
        <f t="shared" si="2"/>
        <v>Shandy GingerGinseng Up (Original)</v>
      </c>
      <c r="J133" s="342" t="s">
        <v>792</v>
      </c>
      <c r="K133" s="341" t="s">
        <v>793</v>
      </c>
      <c r="L133" s="412">
        <v>45</v>
      </c>
    </row>
    <row r="134" spans="2:12" ht="15.75" hidden="1" x14ac:dyDescent="0.25">
      <c r="I134" t="str">
        <f t="shared" si="2"/>
        <v>Shandy GingerTing</v>
      </c>
      <c r="J134" s="342" t="s">
        <v>792</v>
      </c>
      <c r="K134" s="374" t="s">
        <v>631</v>
      </c>
      <c r="L134" s="412">
        <v>45</v>
      </c>
    </row>
    <row r="135" spans="2:12" ht="16.5" hidden="1" thickBot="1" x14ac:dyDescent="0.3">
      <c r="I135" t="str">
        <f t="shared" si="2"/>
        <v>Shandy GingerJ. Cool</v>
      </c>
      <c r="J135" s="375" t="s">
        <v>792</v>
      </c>
      <c r="K135" s="346" t="s">
        <v>799</v>
      </c>
      <c r="L135" s="410">
        <v>120</v>
      </c>
    </row>
    <row r="136" spans="2:12" ht="13.5" thickBot="1" x14ac:dyDescent="0.25"/>
    <row r="137" spans="2:12" ht="33.75" thickBot="1" x14ac:dyDescent="0.3">
      <c r="C137" s="445" t="s">
        <v>0</v>
      </c>
      <c r="D137" s="446" t="s">
        <v>626</v>
      </c>
      <c r="E137" s="446" t="s">
        <v>627</v>
      </c>
      <c r="F137" s="451" t="s">
        <v>810</v>
      </c>
      <c r="G137" s="452" t="s">
        <v>811</v>
      </c>
      <c r="H137" s="447" t="s">
        <v>809</v>
      </c>
      <c r="I137" s="448" t="s">
        <v>808</v>
      </c>
      <c r="J137" s="447" t="s">
        <v>1</v>
      </c>
    </row>
    <row r="138" spans="2:12" ht="16.5" thickTop="1" x14ac:dyDescent="0.25">
      <c r="B138" t="str">
        <f>(D138&amp;E138)</f>
        <v>CaribShandy Sorrel</v>
      </c>
      <c r="C138" s="438">
        <v>43073</v>
      </c>
      <c r="D138" s="341" t="s">
        <v>628</v>
      </c>
      <c r="E138" s="341" t="s">
        <v>645</v>
      </c>
      <c r="F138" s="453">
        <f>VLOOKUP(B138,$I$1:$L$135,4,0)</f>
        <v>45</v>
      </c>
      <c r="G138" s="442">
        <v>45</v>
      </c>
      <c r="H138" s="439">
        <f>G138-F138</f>
        <v>0</v>
      </c>
      <c r="I138" s="443">
        <f>IF(G138&lt;=F138,1,0)</f>
        <v>1</v>
      </c>
      <c r="J138" s="440" t="s">
        <v>806</v>
      </c>
    </row>
    <row r="139" spans="2:12" ht="15.75" x14ac:dyDescent="0.25">
      <c r="B139" t="str">
        <f>(D139&amp;E139)</f>
        <v>Shandy SorrelGinseng Up (Original)</v>
      </c>
      <c r="C139" s="435">
        <v>43073</v>
      </c>
      <c r="D139" s="340" t="s">
        <v>645</v>
      </c>
      <c r="E139" s="340" t="s">
        <v>793</v>
      </c>
      <c r="F139" s="454">
        <f>VLOOKUP(B139,$I$1:$L$135,4,0)</f>
        <v>100</v>
      </c>
      <c r="G139" s="436">
        <v>101</v>
      </c>
      <c r="H139" s="437">
        <f>G139-F139</f>
        <v>1</v>
      </c>
      <c r="I139" s="444">
        <f t="shared" ref="I139:I147" si="3">IF(G139&lt;=F139,1,0)</f>
        <v>0</v>
      </c>
      <c r="J139" s="440"/>
    </row>
    <row r="140" spans="2:12" ht="15.75" x14ac:dyDescent="0.25">
      <c r="B140" t="str">
        <f t="shared" ref="B140:B319" si="4">(D140&amp;E140)</f>
        <v>StagShandy Lime</v>
      </c>
      <c r="C140" s="435">
        <v>43075</v>
      </c>
      <c r="D140" s="340" t="s">
        <v>629</v>
      </c>
      <c r="E140" s="340" t="s">
        <v>791</v>
      </c>
      <c r="F140" s="454">
        <f t="shared" ref="F140:F152" si="5">VLOOKUP(B140,$I$1:$L$135,4,0)</f>
        <v>20</v>
      </c>
      <c r="G140" s="436">
        <v>27</v>
      </c>
      <c r="H140" s="437">
        <f t="shared" ref="H140:H147" si="6">G140-F140</f>
        <v>7</v>
      </c>
      <c r="I140" s="444">
        <f t="shared" si="3"/>
        <v>0</v>
      </c>
      <c r="J140" s="440" t="s">
        <v>805</v>
      </c>
    </row>
    <row r="141" spans="2:12" ht="15.75" x14ac:dyDescent="0.25">
      <c r="B141" t="str">
        <f t="shared" si="4"/>
        <v>Shandy LimeVita Malt</v>
      </c>
      <c r="C141" s="435">
        <v>43075</v>
      </c>
      <c r="D141" s="340" t="s">
        <v>791</v>
      </c>
      <c r="E141" s="340" t="s">
        <v>374</v>
      </c>
      <c r="F141" s="454">
        <f t="shared" si="5"/>
        <v>100</v>
      </c>
      <c r="G141" s="436">
        <v>100</v>
      </c>
      <c r="H141" s="437">
        <f t="shared" si="6"/>
        <v>0</v>
      </c>
      <c r="I141" s="444">
        <f t="shared" si="3"/>
        <v>1</v>
      </c>
      <c r="J141" s="440"/>
    </row>
    <row r="142" spans="2:12" ht="15.75" x14ac:dyDescent="0.25">
      <c r="B142" t="str">
        <f t="shared" si="4"/>
        <v>Vita MaltCarib</v>
      </c>
      <c r="C142" s="435">
        <v>43077</v>
      </c>
      <c r="D142" s="340" t="s">
        <v>374</v>
      </c>
      <c r="E142" s="340" t="s">
        <v>628</v>
      </c>
      <c r="F142" s="454">
        <f t="shared" si="5"/>
        <v>100</v>
      </c>
      <c r="G142" s="436">
        <v>100</v>
      </c>
      <c r="H142" s="437">
        <f t="shared" si="6"/>
        <v>0</v>
      </c>
      <c r="I142" s="444">
        <f t="shared" si="3"/>
        <v>1</v>
      </c>
      <c r="J142" s="440" t="s">
        <v>804</v>
      </c>
    </row>
    <row r="143" spans="2:12" ht="15.75" x14ac:dyDescent="0.25">
      <c r="B143" t="str">
        <f t="shared" si="4"/>
        <v>CaribStag</v>
      </c>
      <c r="C143" s="435">
        <v>43080</v>
      </c>
      <c r="D143" s="340" t="s">
        <v>628</v>
      </c>
      <c r="E143" s="340" t="s">
        <v>629</v>
      </c>
      <c r="F143" s="454">
        <f t="shared" si="5"/>
        <v>10</v>
      </c>
      <c r="G143" s="436">
        <v>7</v>
      </c>
      <c r="H143" s="437">
        <f t="shared" si="6"/>
        <v>-3</v>
      </c>
      <c r="I143" s="444">
        <f t="shared" si="3"/>
        <v>1</v>
      </c>
      <c r="J143" s="440"/>
    </row>
    <row r="144" spans="2:12" ht="15.75" x14ac:dyDescent="0.25">
      <c r="B144" t="str">
        <f t="shared" si="4"/>
        <v>CaribStag</v>
      </c>
      <c r="C144" s="435">
        <v>43081</v>
      </c>
      <c r="D144" s="340" t="s">
        <v>628</v>
      </c>
      <c r="E144" s="340" t="s">
        <v>629</v>
      </c>
      <c r="F144" s="454">
        <f t="shared" si="5"/>
        <v>10</v>
      </c>
      <c r="G144" s="436">
        <v>10</v>
      </c>
      <c r="H144" s="437">
        <f t="shared" si="6"/>
        <v>0</v>
      </c>
      <c r="I144" s="444">
        <f t="shared" si="3"/>
        <v>1</v>
      </c>
      <c r="J144" s="440" t="s">
        <v>802</v>
      </c>
    </row>
    <row r="145" spans="2:10" ht="15.75" x14ac:dyDescent="0.25">
      <c r="B145" t="str">
        <f t="shared" si="4"/>
        <v>StagGuinness</v>
      </c>
      <c r="C145" s="435">
        <v>43081</v>
      </c>
      <c r="D145" s="340" t="s">
        <v>629</v>
      </c>
      <c r="E145" s="340" t="s">
        <v>373</v>
      </c>
      <c r="F145" s="454">
        <f t="shared" si="5"/>
        <v>25</v>
      </c>
      <c r="G145" s="436">
        <v>25</v>
      </c>
      <c r="H145" s="437">
        <f t="shared" si="6"/>
        <v>0</v>
      </c>
      <c r="I145" s="444">
        <f t="shared" si="3"/>
        <v>1</v>
      </c>
      <c r="J145" s="440"/>
    </row>
    <row r="146" spans="2:10" ht="15.75" x14ac:dyDescent="0.25">
      <c r="B146" t="str">
        <f t="shared" si="4"/>
        <v>Star MaltCarib</v>
      </c>
      <c r="C146" s="435">
        <v>43083</v>
      </c>
      <c r="D146" s="340" t="s">
        <v>787</v>
      </c>
      <c r="E146" s="340" t="s">
        <v>628</v>
      </c>
      <c r="F146" s="454">
        <f t="shared" si="5"/>
        <v>45</v>
      </c>
      <c r="G146" s="436">
        <v>43</v>
      </c>
      <c r="H146" s="437">
        <f t="shared" si="6"/>
        <v>-2</v>
      </c>
      <c r="I146" s="444">
        <f t="shared" si="3"/>
        <v>1</v>
      </c>
      <c r="J146" s="440" t="s">
        <v>803</v>
      </c>
    </row>
    <row r="147" spans="2:10" ht="15.75" x14ac:dyDescent="0.25">
      <c r="B147" t="str">
        <f t="shared" si="4"/>
        <v>Vita MaltShandy Ginger</v>
      </c>
      <c r="C147" s="435">
        <v>43084</v>
      </c>
      <c r="D147" s="340" t="s">
        <v>374</v>
      </c>
      <c r="E147" s="340" t="s">
        <v>792</v>
      </c>
      <c r="F147" s="454">
        <f t="shared" si="5"/>
        <v>100</v>
      </c>
      <c r="G147" s="436">
        <v>103</v>
      </c>
      <c r="H147" s="437">
        <f t="shared" si="6"/>
        <v>3</v>
      </c>
      <c r="I147" s="444">
        <f t="shared" si="3"/>
        <v>0</v>
      </c>
      <c r="J147" s="440" t="s">
        <v>827</v>
      </c>
    </row>
    <row r="148" spans="2:10" ht="15.75" x14ac:dyDescent="0.25">
      <c r="B148" t="str">
        <f t="shared" si="4"/>
        <v>StagCarib</v>
      </c>
      <c r="C148" s="435">
        <v>43096</v>
      </c>
      <c r="D148" s="340" t="s">
        <v>629</v>
      </c>
      <c r="E148" s="340" t="s">
        <v>628</v>
      </c>
      <c r="F148" s="454">
        <f t="shared" si="5"/>
        <v>10</v>
      </c>
      <c r="G148" s="436">
        <v>26</v>
      </c>
      <c r="H148" s="437">
        <f>G148-F148</f>
        <v>16</v>
      </c>
      <c r="I148" s="444">
        <f>IF(G148&lt;=F148,1,0)</f>
        <v>0</v>
      </c>
      <c r="J148" s="440"/>
    </row>
    <row r="149" spans="2:10" ht="15.75" x14ac:dyDescent="0.25">
      <c r="B149" t="str">
        <f t="shared" si="4"/>
        <v>CaribStag</v>
      </c>
      <c r="C149" s="435">
        <v>43097</v>
      </c>
      <c r="D149" s="340" t="s">
        <v>628</v>
      </c>
      <c r="E149" s="340" t="s">
        <v>629</v>
      </c>
      <c r="F149" s="454">
        <f t="shared" si="5"/>
        <v>10</v>
      </c>
      <c r="G149" s="436">
        <v>15</v>
      </c>
      <c r="H149" s="437">
        <f>G149-F149</f>
        <v>5</v>
      </c>
      <c r="I149" s="444">
        <f>IF(G149&lt;=F149,1,0)</f>
        <v>0</v>
      </c>
      <c r="J149" s="440"/>
    </row>
    <row r="150" spans="2:10" ht="15.75" x14ac:dyDescent="0.25">
      <c r="B150" t="str">
        <f t="shared" si="4"/>
        <v>Vita MaltShandy Lime</v>
      </c>
      <c r="C150" s="435">
        <v>43098</v>
      </c>
      <c r="D150" s="340" t="s">
        <v>374</v>
      </c>
      <c r="E150" s="340" t="s">
        <v>791</v>
      </c>
      <c r="F150" s="454">
        <f t="shared" si="5"/>
        <v>100</v>
      </c>
      <c r="G150" s="436">
        <v>100</v>
      </c>
      <c r="H150" s="437">
        <f>G150-F150</f>
        <v>0</v>
      </c>
      <c r="I150" s="444">
        <f>IF(G150&lt;=F150,1,0)</f>
        <v>1</v>
      </c>
      <c r="J150" s="440"/>
    </row>
    <row r="151" spans="2:10" ht="15.75" x14ac:dyDescent="0.25">
      <c r="B151" t="str">
        <f t="shared" si="4"/>
        <v>CaribGuinness</v>
      </c>
      <c r="C151" s="435">
        <v>43105</v>
      </c>
      <c r="D151" s="340" t="s">
        <v>628</v>
      </c>
      <c r="E151" s="340" t="s">
        <v>373</v>
      </c>
      <c r="F151" s="454">
        <f t="shared" si="5"/>
        <v>25</v>
      </c>
      <c r="G151" s="436">
        <v>35</v>
      </c>
      <c r="H151" s="437">
        <f>G151-F151</f>
        <v>10</v>
      </c>
      <c r="I151" s="444">
        <f>IF(G151&lt;=F151,1,0)</f>
        <v>0</v>
      </c>
      <c r="J151" s="440"/>
    </row>
    <row r="152" spans="2:10" ht="15.75" x14ac:dyDescent="0.25">
      <c r="B152" t="str">
        <f t="shared" si="4"/>
        <v>Stag (Local)Stag (Export)</v>
      </c>
      <c r="C152" s="435">
        <v>43108</v>
      </c>
      <c r="D152" s="340" t="s">
        <v>789</v>
      </c>
      <c r="E152" s="340" t="s">
        <v>790</v>
      </c>
      <c r="F152" s="454">
        <f t="shared" si="5"/>
        <v>7</v>
      </c>
      <c r="G152" s="1181">
        <v>19</v>
      </c>
      <c r="H152" s="1177">
        <f>G152-F152</f>
        <v>12</v>
      </c>
      <c r="I152" s="1179">
        <f>IF(G152&lt;=F152,1,0)</f>
        <v>0</v>
      </c>
      <c r="J152" s="440"/>
    </row>
    <row r="153" spans="2:10" ht="15.75" x14ac:dyDescent="0.25">
      <c r="B153" t="str">
        <f t="shared" si="4"/>
        <v>Stag (Export)Stag (Local)</v>
      </c>
      <c r="C153" s="435">
        <v>43108</v>
      </c>
      <c r="D153" s="340" t="s">
        <v>790</v>
      </c>
      <c r="E153" s="340" t="s">
        <v>789</v>
      </c>
      <c r="F153" s="460"/>
      <c r="G153" s="1182"/>
      <c r="H153" s="1178"/>
      <c r="I153" s="1180"/>
      <c r="J153" s="440"/>
    </row>
    <row r="154" spans="2:10" ht="15.75" x14ac:dyDescent="0.25">
      <c r="B154" t="str">
        <f t="shared" si="4"/>
        <v>Carib (Export)Carib (Local)</v>
      </c>
      <c r="C154" s="435">
        <v>43109</v>
      </c>
      <c r="D154" s="340" t="s">
        <v>795</v>
      </c>
      <c r="E154" s="340" t="s">
        <v>794</v>
      </c>
      <c r="F154" s="457">
        <v>7</v>
      </c>
      <c r="G154" s="436">
        <v>24</v>
      </c>
      <c r="H154" s="437">
        <f t="shared" ref="H154:H170" si="7">G154-F154</f>
        <v>17</v>
      </c>
      <c r="I154" s="444">
        <f t="shared" ref="I154:I170" si="8">IF(G154&lt;=F154,1,0)</f>
        <v>0</v>
      </c>
      <c r="J154" s="440" t="s">
        <v>837</v>
      </c>
    </row>
    <row r="155" spans="2:10" ht="15.75" x14ac:dyDescent="0.25">
      <c r="B155" t="str">
        <f t="shared" si="4"/>
        <v>Carib (Local)Star Malt</v>
      </c>
      <c r="C155" s="435">
        <v>43109</v>
      </c>
      <c r="D155" s="340" t="s">
        <v>794</v>
      </c>
      <c r="E155" s="340" t="s">
        <v>787</v>
      </c>
      <c r="F155" s="457">
        <v>20</v>
      </c>
      <c r="G155" s="436">
        <v>25</v>
      </c>
      <c r="H155" s="437">
        <f t="shared" si="7"/>
        <v>5</v>
      </c>
      <c r="I155" s="444">
        <f t="shared" si="8"/>
        <v>0</v>
      </c>
      <c r="J155" s="440" t="s">
        <v>839</v>
      </c>
    </row>
    <row r="156" spans="2:10" ht="15.75" x14ac:dyDescent="0.25">
      <c r="B156" t="str">
        <f t="shared" si="4"/>
        <v>TingGinseng Up (Original)</v>
      </c>
      <c r="C156" s="435">
        <v>43112</v>
      </c>
      <c r="D156" s="340" t="s">
        <v>631</v>
      </c>
      <c r="E156" s="340" t="s">
        <v>793</v>
      </c>
      <c r="F156" s="457">
        <v>40</v>
      </c>
      <c r="G156" s="436">
        <v>51</v>
      </c>
      <c r="H156" s="437">
        <f t="shared" si="7"/>
        <v>11</v>
      </c>
      <c r="I156" s="444">
        <f t="shared" si="8"/>
        <v>0</v>
      </c>
      <c r="J156" s="440" t="s">
        <v>840</v>
      </c>
    </row>
    <row r="157" spans="2:10" ht="15.75" x14ac:dyDescent="0.25">
      <c r="B157" t="str">
        <f t="shared" si="4"/>
        <v>MackesonCarib</v>
      </c>
      <c r="C157" s="435">
        <v>43116</v>
      </c>
      <c r="D157" s="340" t="s">
        <v>630</v>
      </c>
      <c r="E157" s="340" t="s">
        <v>628</v>
      </c>
      <c r="F157" s="457">
        <v>45</v>
      </c>
      <c r="G157" s="436">
        <v>47</v>
      </c>
      <c r="H157" s="437">
        <f t="shared" si="7"/>
        <v>2</v>
      </c>
      <c r="I157" s="444">
        <f t="shared" si="8"/>
        <v>0</v>
      </c>
      <c r="J157" s="458"/>
    </row>
    <row r="158" spans="2:10" ht="15.75" x14ac:dyDescent="0.25">
      <c r="B158" t="str">
        <f t="shared" si="4"/>
        <v>CaribStag</v>
      </c>
      <c r="C158" s="435">
        <v>43117</v>
      </c>
      <c r="D158" s="340" t="s">
        <v>628</v>
      </c>
      <c r="E158" s="340" t="s">
        <v>629</v>
      </c>
      <c r="F158" s="457">
        <v>10</v>
      </c>
      <c r="G158" s="436">
        <v>18</v>
      </c>
      <c r="H158" s="437">
        <f t="shared" si="7"/>
        <v>8</v>
      </c>
      <c r="I158" s="444">
        <f t="shared" si="8"/>
        <v>0</v>
      </c>
      <c r="J158" s="458" t="s">
        <v>838</v>
      </c>
    </row>
    <row r="159" spans="2:10" ht="15.75" x14ac:dyDescent="0.25">
      <c r="B159" t="str">
        <f t="shared" si="4"/>
        <v>StagGuinness</v>
      </c>
      <c r="C159" s="435">
        <v>43118</v>
      </c>
      <c r="D159" s="340" t="s">
        <v>629</v>
      </c>
      <c r="E159" s="340" t="s">
        <v>373</v>
      </c>
      <c r="F159" s="457">
        <v>25</v>
      </c>
      <c r="G159" s="436">
        <v>42</v>
      </c>
      <c r="H159" s="437">
        <f t="shared" si="7"/>
        <v>17</v>
      </c>
      <c r="I159" s="444">
        <f t="shared" si="8"/>
        <v>0</v>
      </c>
      <c r="J159" s="458"/>
    </row>
    <row r="160" spans="2:10" ht="15.75" x14ac:dyDescent="0.25">
      <c r="B160" t="str">
        <f t="shared" si="4"/>
        <v>Guinness</v>
      </c>
      <c r="C160" s="435">
        <v>43123</v>
      </c>
      <c r="D160" s="340"/>
      <c r="E160" s="340" t="s">
        <v>373</v>
      </c>
      <c r="F160" s="457">
        <v>26</v>
      </c>
      <c r="G160" s="436">
        <v>26</v>
      </c>
      <c r="H160" s="437">
        <f t="shared" si="7"/>
        <v>0</v>
      </c>
      <c r="I160" s="444">
        <f t="shared" si="8"/>
        <v>1</v>
      </c>
      <c r="J160" s="458" t="s">
        <v>841</v>
      </c>
    </row>
    <row r="161" spans="2:10" ht="15.75" x14ac:dyDescent="0.25">
      <c r="B161" t="str">
        <f t="shared" si="4"/>
        <v>J. CoolJ. Cool</v>
      </c>
      <c r="C161" s="435">
        <v>43124</v>
      </c>
      <c r="D161" s="340" t="s">
        <v>799</v>
      </c>
      <c r="E161" s="340" t="s">
        <v>799</v>
      </c>
      <c r="F161" s="457">
        <v>20</v>
      </c>
      <c r="G161" s="436">
        <v>22</v>
      </c>
      <c r="H161" s="437">
        <f t="shared" si="7"/>
        <v>2</v>
      </c>
      <c r="I161" s="444">
        <f t="shared" si="8"/>
        <v>0</v>
      </c>
      <c r="J161" s="458" t="s">
        <v>842</v>
      </c>
    </row>
    <row r="162" spans="2:10" ht="15.75" x14ac:dyDescent="0.25">
      <c r="B162" t="str">
        <f t="shared" si="4"/>
        <v>J. CoolJ. Cool</v>
      </c>
      <c r="C162" s="435">
        <v>43124</v>
      </c>
      <c r="D162" s="340" t="s">
        <v>799</v>
      </c>
      <c r="E162" s="340" t="s">
        <v>799</v>
      </c>
      <c r="F162" s="457">
        <v>20</v>
      </c>
      <c r="G162" s="436">
        <v>23</v>
      </c>
      <c r="H162" s="437">
        <f t="shared" si="7"/>
        <v>3</v>
      </c>
      <c r="I162" s="444">
        <f t="shared" si="8"/>
        <v>0</v>
      </c>
      <c r="J162" s="458" t="s">
        <v>842</v>
      </c>
    </row>
    <row r="163" spans="2:10" ht="15.75" x14ac:dyDescent="0.25">
      <c r="B163" t="str">
        <f t="shared" si="4"/>
        <v>Carib (Export)Carib (Local)</v>
      </c>
      <c r="C163" s="435">
        <v>43126</v>
      </c>
      <c r="D163" s="340" t="s">
        <v>795</v>
      </c>
      <c r="E163" s="340" t="s">
        <v>794</v>
      </c>
      <c r="F163" s="457">
        <v>7</v>
      </c>
      <c r="G163" s="436">
        <v>3</v>
      </c>
      <c r="H163" s="437">
        <f t="shared" si="7"/>
        <v>-4</v>
      </c>
      <c r="I163" s="444">
        <f t="shared" si="8"/>
        <v>1</v>
      </c>
      <c r="J163" s="458" t="s">
        <v>842</v>
      </c>
    </row>
    <row r="164" spans="2:10" ht="15.75" x14ac:dyDescent="0.25">
      <c r="B164" t="str">
        <f t="shared" si="4"/>
        <v>Carib (Local)Stag (Local)</v>
      </c>
      <c r="C164" s="435">
        <v>43126</v>
      </c>
      <c r="D164" s="340" t="s">
        <v>794</v>
      </c>
      <c r="E164" s="340" t="s">
        <v>789</v>
      </c>
      <c r="F164" s="457">
        <v>10</v>
      </c>
      <c r="G164" s="436">
        <v>11</v>
      </c>
      <c r="H164" s="437">
        <f t="shared" si="7"/>
        <v>1</v>
      </c>
      <c r="I164" s="444">
        <f t="shared" si="8"/>
        <v>0</v>
      </c>
      <c r="J164" s="458" t="s">
        <v>842</v>
      </c>
    </row>
    <row r="165" spans="2:10" ht="15.75" x14ac:dyDescent="0.25">
      <c r="B165" t="str">
        <f t="shared" si="4"/>
        <v>Star MaltCarib</v>
      </c>
      <c r="C165" s="435">
        <v>43129</v>
      </c>
      <c r="D165" s="340" t="s">
        <v>787</v>
      </c>
      <c r="E165" s="340" t="s">
        <v>628</v>
      </c>
      <c r="F165" s="457">
        <v>45</v>
      </c>
      <c r="G165" s="436">
        <v>45</v>
      </c>
      <c r="H165" s="437">
        <f t="shared" si="7"/>
        <v>0</v>
      </c>
      <c r="I165" s="444">
        <f t="shared" si="8"/>
        <v>1</v>
      </c>
      <c r="J165" s="458" t="s">
        <v>842</v>
      </c>
    </row>
    <row r="166" spans="2:10" ht="15.75" x14ac:dyDescent="0.25">
      <c r="B166" t="str">
        <f t="shared" si="4"/>
        <v>StagCarib</v>
      </c>
      <c r="C166" s="435">
        <v>43130</v>
      </c>
      <c r="D166" s="340" t="s">
        <v>629</v>
      </c>
      <c r="E166" s="340" t="s">
        <v>628</v>
      </c>
      <c r="F166" s="457">
        <v>10</v>
      </c>
      <c r="G166" s="436">
        <v>35</v>
      </c>
      <c r="H166" s="437">
        <f t="shared" si="7"/>
        <v>25</v>
      </c>
      <c r="I166" s="444">
        <f t="shared" si="8"/>
        <v>0</v>
      </c>
      <c r="J166" s="458" t="s">
        <v>842</v>
      </c>
    </row>
    <row r="167" spans="2:10" ht="15.75" x14ac:dyDescent="0.25">
      <c r="B167" t="str">
        <f t="shared" si="4"/>
        <v>StagCarib</v>
      </c>
      <c r="C167" s="435">
        <v>43131</v>
      </c>
      <c r="D167" s="340" t="s">
        <v>629</v>
      </c>
      <c r="E167" s="340" t="s">
        <v>628</v>
      </c>
      <c r="F167" s="457">
        <v>10</v>
      </c>
      <c r="G167" s="436">
        <v>10</v>
      </c>
      <c r="H167" s="437">
        <f t="shared" si="7"/>
        <v>0</v>
      </c>
      <c r="I167" s="444">
        <f t="shared" si="8"/>
        <v>1</v>
      </c>
      <c r="J167" s="458" t="s">
        <v>842</v>
      </c>
    </row>
    <row r="168" spans="2:10" ht="15.75" x14ac:dyDescent="0.25">
      <c r="B168" t="str">
        <f t="shared" si="4"/>
        <v>CaribShandy Ginger</v>
      </c>
      <c r="C168" s="435">
        <v>43131</v>
      </c>
      <c r="D168" s="340" t="s">
        <v>628</v>
      </c>
      <c r="E168" s="340" t="s">
        <v>792</v>
      </c>
      <c r="F168" s="457">
        <v>20</v>
      </c>
      <c r="G168" s="436">
        <v>17</v>
      </c>
      <c r="H168" s="437">
        <f t="shared" si="7"/>
        <v>-3</v>
      </c>
      <c r="I168" s="444">
        <f t="shared" si="8"/>
        <v>1</v>
      </c>
      <c r="J168" s="458" t="s">
        <v>842</v>
      </c>
    </row>
    <row r="169" spans="2:10" ht="15.75" x14ac:dyDescent="0.25">
      <c r="B169" t="str">
        <f t="shared" si="4"/>
        <v>CaribStar Malt</v>
      </c>
      <c r="C169" s="435">
        <v>43136</v>
      </c>
      <c r="D169" s="340" t="s">
        <v>628</v>
      </c>
      <c r="E169" s="340" t="s">
        <v>787</v>
      </c>
      <c r="F169" s="457">
        <v>30</v>
      </c>
      <c r="G169" s="436">
        <v>30</v>
      </c>
      <c r="H169" s="437">
        <f t="shared" si="7"/>
        <v>0</v>
      </c>
      <c r="I169" s="444">
        <f t="shared" si="8"/>
        <v>1</v>
      </c>
      <c r="J169" s="458"/>
    </row>
    <row r="170" spans="2:10" ht="15.75" x14ac:dyDescent="0.25">
      <c r="B170" t="str">
        <f t="shared" si="4"/>
        <v>Star MaltCarib</v>
      </c>
      <c r="C170" s="435">
        <v>43136</v>
      </c>
      <c r="D170" s="340" t="s">
        <v>787</v>
      </c>
      <c r="E170" s="340" t="s">
        <v>628</v>
      </c>
      <c r="F170" s="457">
        <v>45</v>
      </c>
      <c r="G170" s="436">
        <v>45</v>
      </c>
      <c r="H170" s="437">
        <f t="shared" si="7"/>
        <v>0</v>
      </c>
      <c r="I170" s="444">
        <f t="shared" si="8"/>
        <v>1</v>
      </c>
      <c r="J170" s="458"/>
    </row>
    <row r="171" spans="2:10" ht="15.75" x14ac:dyDescent="0.25">
      <c r="B171" t="str">
        <f t="shared" si="4"/>
        <v>J. CoolJ. Cool</v>
      </c>
      <c r="C171" s="435">
        <v>43140</v>
      </c>
      <c r="D171" s="340" t="s">
        <v>799</v>
      </c>
      <c r="E171" s="340" t="s">
        <v>799</v>
      </c>
      <c r="F171" s="457">
        <f>20*3</f>
        <v>60</v>
      </c>
      <c r="G171" s="436">
        <f>20+20+23</f>
        <v>63</v>
      </c>
      <c r="H171" s="437">
        <f t="shared" ref="H171:H176" si="9">G171-F171</f>
        <v>3</v>
      </c>
      <c r="I171" s="444">
        <f t="shared" ref="I171:I176" si="10">IF(G171&lt;=F171,1,0)</f>
        <v>0</v>
      </c>
      <c r="J171" s="458"/>
    </row>
    <row r="172" spans="2:10" ht="15.75" x14ac:dyDescent="0.25">
      <c r="B172" t="str">
        <f t="shared" si="4"/>
        <v>StagCarib</v>
      </c>
      <c r="C172" s="435">
        <v>43143</v>
      </c>
      <c r="D172" s="340" t="s">
        <v>629</v>
      </c>
      <c r="E172" s="340" t="s">
        <v>628</v>
      </c>
      <c r="F172" s="457">
        <v>10</v>
      </c>
      <c r="G172" s="436">
        <v>9</v>
      </c>
      <c r="H172" s="437">
        <f t="shared" si="9"/>
        <v>-1</v>
      </c>
      <c r="I172" s="444">
        <f t="shared" si="10"/>
        <v>1</v>
      </c>
      <c r="J172" s="458"/>
    </row>
    <row r="173" spans="2:10" ht="15.75" x14ac:dyDescent="0.25">
      <c r="B173" t="str">
        <f t="shared" si="4"/>
        <v>CaribShandy Sorrel</v>
      </c>
      <c r="C173" s="435">
        <v>43144</v>
      </c>
      <c r="D173" s="340" t="s">
        <v>628</v>
      </c>
      <c r="E173" s="340" t="s">
        <v>645</v>
      </c>
      <c r="F173" s="457">
        <v>45</v>
      </c>
      <c r="G173" s="436">
        <v>45</v>
      </c>
      <c r="H173" s="437">
        <f t="shared" si="9"/>
        <v>0</v>
      </c>
      <c r="I173" s="444">
        <f t="shared" si="10"/>
        <v>1</v>
      </c>
      <c r="J173" s="458"/>
    </row>
    <row r="174" spans="2:10" ht="15.75" x14ac:dyDescent="0.25">
      <c r="B174" t="str">
        <f t="shared" si="4"/>
        <v>StagGuinness</v>
      </c>
      <c r="C174" s="435">
        <v>43146</v>
      </c>
      <c r="D174" s="340" t="s">
        <v>629</v>
      </c>
      <c r="E174" s="340" t="s">
        <v>373</v>
      </c>
      <c r="F174" s="457">
        <v>25</v>
      </c>
      <c r="G174" s="436">
        <v>28</v>
      </c>
      <c r="H174" s="437">
        <f t="shared" si="9"/>
        <v>3</v>
      </c>
      <c r="I174" s="444">
        <f t="shared" si="10"/>
        <v>0</v>
      </c>
      <c r="J174" s="458"/>
    </row>
    <row r="175" spans="2:10" ht="15.75" x14ac:dyDescent="0.25">
      <c r="B175" t="str">
        <f t="shared" si="4"/>
        <v>Carib (Local)Carib (Export)</v>
      </c>
      <c r="C175" s="435">
        <v>43151</v>
      </c>
      <c r="D175" s="340" t="s">
        <v>794</v>
      </c>
      <c r="E175" s="340" t="s">
        <v>795</v>
      </c>
      <c r="F175" s="457">
        <v>7</v>
      </c>
      <c r="G175" s="436">
        <v>27</v>
      </c>
      <c r="H175" s="437">
        <f t="shared" si="9"/>
        <v>20</v>
      </c>
      <c r="I175" s="444">
        <f t="shared" si="10"/>
        <v>0</v>
      </c>
      <c r="J175" s="458"/>
    </row>
    <row r="176" spans="2:10" ht="15.75" x14ac:dyDescent="0.25">
      <c r="B176" t="str">
        <f t="shared" si="4"/>
        <v>Stag (Export)Stag (Local)</v>
      </c>
      <c r="C176" s="435">
        <v>43154</v>
      </c>
      <c r="D176" s="340" t="s">
        <v>790</v>
      </c>
      <c r="E176" s="340" t="s">
        <v>789</v>
      </c>
      <c r="F176" s="457">
        <v>7</v>
      </c>
      <c r="G176" s="436">
        <v>4</v>
      </c>
      <c r="H176" s="437">
        <f t="shared" si="9"/>
        <v>-3</v>
      </c>
      <c r="I176" s="444">
        <f t="shared" si="10"/>
        <v>1</v>
      </c>
      <c r="J176" s="458"/>
    </row>
    <row r="177" spans="2:10" ht="15.75" x14ac:dyDescent="0.25">
      <c r="B177" t="str">
        <f t="shared" si="4"/>
        <v>J. CoolJ. Cool</v>
      </c>
      <c r="C177" s="435">
        <v>43155</v>
      </c>
      <c r="D177" s="340" t="s">
        <v>799</v>
      </c>
      <c r="E177" s="340" t="s">
        <v>799</v>
      </c>
      <c r="F177" s="457">
        <f>20+20</f>
        <v>40</v>
      </c>
      <c r="G177" s="436">
        <f>24+24</f>
        <v>48</v>
      </c>
      <c r="H177" s="437">
        <f t="shared" ref="H177:H199" si="11">G177-F177</f>
        <v>8</v>
      </c>
      <c r="I177" s="444">
        <f t="shared" ref="I177:I199" si="12">IF(G177&lt;=F177,1,0)</f>
        <v>0</v>
      </c>
      <c r="J177" s="458"/>
    </row>
    <row r="178" spans="2:10" ht="15.75" x14ac:dyDescent="0.25">
      <c r="B178" t="str">
        <f t="shared" si="4"/>
        <v>Carib (Local)Stag (Local)</v>
      </c>
      <c r="C178" s="435">
        <v>43158</v>
      </c>
      <c r="D178" s="340" t="s">
        <v>794</v>
      </c>
      <c r="E178" s="340" t="s">
        <v>789</v>
      </c>
      <c r="F178" s="457">
        <v>10</v>
      </c>
      <c r="G178" s="436">
        <v>12</v>
      </c>
      <c r="H178" s="437">
        <f t="shared" si="11"/>
        <v>2</v>
      </c>
      <c r="I178" s="444">
        <f t="shared" si="12"/>
        <v>0</v>
      </c>
      <c r="J178" s="458"/>
    </row>
    <row r="179" spans="2:10" ht="15.75" x14ac:dyDescent="0.25">
      <c r="B179" t="str">
        <f t="shared" si="4"/>
        <v>StagCarib</v>
      </c>
      <c r="C179" s="435">
        <v>43159</v>
      </c>
      <c r="D179" s="340" t="s">
        <v>629</v>
      </c>
      <c r="E179" s="340" t="s">
        <v>628</v>
      </c>
      <c r="F179" s="457">
        <v>10</v>
      </c>
      <c r="G179" s="436">
        <v>11</v>
      </c>
      <c r="H179" s="437">
        <f t="shared" si="11"/>
        <v>1</v>
      </c>
      <c r="I179" s="444">
        <f t="shared" si="12"/>
        <v>0</v>
      </c>
      <c r="J179" s="458"/>
    </row>
    <row r="180" spans="2:10" ht="15.75" x14ac:dyDescent="0.25">
      <c r="B180" t="str">
        <f t="shared" si="4"/>
        <v>CaribCarib</v>
      </c>
      <c r="C180" s="435">
        <v>43160</v>
      </c>
      <c r="D180" s="340" t="s">
        <v>628</v>
      </c>
      <c r="E180" s="340" t="s">
        <v>628</v>
      </c>
      <c r="F180" s="457">
        <v>14</v>
      </c>
      <c r="G180" s="436">
        <v>25</v>
      </c>
      <c r="H180" s="437">
        <f t="shared" si="11"/>
        <v>11</v>
      </c>
      <c r="I180" s="444">
        <f t="shared" si="12"/>
        <v>0</v>
      </c>
      <c r="J180" s="458"/>
    </row>
    <row r="181" spans="2:10" ht="15.75" x14ac:dyDescent="0.25">
      <c r="B181" t="str">
        <f t="shared" si="4"/>
        <v>J. CoolJ. Cool</v>
      </c>
      <c r="C181" s="435">
        <v>43168</v>
      </c>
      <c r="D181" s="340" t="s">
        <v>799</v>
      </c>
      <c r="E181" s="340" t="s">
        <v>799</v>
      </c>
      <c r="F181" s="457">
        <f>20+20+20</f>
        <v>60</v>
      </c>
      <c r="G181" s="436">
        <f>15+22+32</f>
        <v>69</v>
      </c>
      <c r="H181" s="437">
        <f t="shared" si="11"/>
        <v>9</v>
      </c>
      <c r="I181" s="444">
        <f t="shared" si="12"/>
        <v>0</v>
      </c>
      <c r="J181" s="458"/>
    </row>
    <row r="182" spans="2:10" ht="15.75" x14ac:dyDescent="0.25">
      <c r="B182" t="str">
        <f t="shared" si="4"/>
        <v>Carib (Export)Carib (Local)</v>
      </c>
      <c r="C182" s="435">
        <v>43172</v>
      </c>
      <c r="D182" s="340" t="s">
        <v>795</v>
      </c>
      <c r="E182" s="340" t="s">
        <v>794</v>
      </c>
      <c r="F182" s="457">
        <v>7</v>
      </c>
      <c r="G182" s="436">
        <v>7</v>
      </c>
      <c r="H182" s="437">
        <f t="shared" si="11"/>
        <v>0</v>
      </c>
      <c r="I182" s="444">
        <f t="shared" si="12"/>
        <v>1</v>
      </c>
      <c r="J182" s="458" t="s">
        <v>844</v>
      </c>
    </row>
    <row r="183" spans="2:10" ht="15.75" x14ac:dyDescent="0.25">
      <c r="B183" t="str">
        <f t="shared" si="4"/>
        <v>Carib (Local)Stag</v>
      </c>
      <c r="C183" s="435">
        <v>43174</v>
      </c>
      <c r="D183" s="340" t="s">
        <v>794</v>
      </c>
      <c r="E183" s="340" t="s">
        <v>629</v>
      </c>
      <c r="F183" s="457">
        <v>10</v>
      </c>
      <c r="G183" s="436">
        <v>14</v>
      </c>
      <c r="H183" s="437">
        <f t="shared" si="11"/>
        <v>4</v>
      </c>
      <c r="I183" s="444">
        <f t="shared" si="12"/>
        <v>0</v>
      </c>
      <c r="J183" s="458"/>
    </row>
    <row r="184" spans="2:10" ht="15.75" x14ac:dyDescent="0.25">
      <c r="B184" t="str">
        <f t="shared" si="4"/>
        <v>CaribStag</v>
      </c>
      <c r="C184" s="435">
        <v>43180</v>
      </c>
      <c r="D184" s="340" t="s">
        <v>628</v>
      </c>
      <c r="E184" s="340" t="s">
        <v>629</v>
      </c>
      <c r="F184" s="457">
        <v>10</v>
      </c>
      <c r="G184" s="436">
        <v>7</v>
      </c>
      <c r="H184" s="437">
        <f t="shared" si="11"/>
        <v>-3</v>
      </c>
      <c r="I184" s="444">
        <f t="shared" si="12"/>
        <v>1</v>
      </c>
      <c r="J184" s="458"/>
    </row>
    <row r="185" spans="2:10" ht="15.75" x14ac:dyDescent="0.25">
      <c r="B185" t="str">
        <f t="shared" si="4"/>
        <v>StagCarib</v>
      </c>
      <c r="C185" s="435">
        <v>43180</v>
      </c>
      <c r="D185" s="340" t="s">
        <v>629</v>
      </c>
      <c r="E185" s="340" t="s">
        <v>628</v>
      </c>
      <c r="F185" s="457">
        <v>10</v>
      </c>
      <c r="G185" s="436">
        <v>15</v>
      </c>
      <c r="H185" s="437">
        <f t="shared" si="11"/>
        <v>5</v>
      </c>
      <c r="I185" s="444">
        <f t="shared" si="12"/>
        <v>0</v>
      </c>
      <c r="J185" s="458"/>
    </row>
    <row r="186" spans="2:10" ht="15.75" x14ac:dyDescent="0.25">
      <c r="B186" t="str">
        <f t="shared" si="4"/>
        <v>Star MaltStag</v>
      </c>
      <c r="C186" s="435">
        <v>43186</v>
      </c>
      <c r="D186" s="340" t="s">
        <v>787</v>
      </c>
      <c r="E186" s="340" t="s">
        <v>629</v>
      </c>
      <c r="F186" s="457">
        <v>45</v>
      </c>
      <c r="G186" s="436">
        <v>72</v>
      </c>
      <c r="H186" s="437">
        <f t="shared" si="11"/>
        <v>27</v>
      </c>
      <c r="I186" s="444">
        <f t="shared" si="12"/>
        <v>0</v>
      </c>
      <c r="J186" s="458"/>
    </row>
    <row r="187" spans="2:10" ht="15.75" x14ac:dyDescent="0.25">
      <c r="B187" t="str">
        <f t="shared" si="4"/>
        <v>Carib (Export)Carib (Local)</v>
      </c>
      <c r="C187" s="435">
        <v>43187</v>
      </c>
      <c r="D187" s="340" t="s">
        <v>795</v>
      </c>
      <c r="E187" s="340" t="s">
        <v>794</v>
      </c>
      <c r="F187" s="457">
        <v>7</v>
      </c>
      <c r="G187" s="436">
        <v>27</v>
      </c>
      <c r="H187" s="437">
        <f t="shared" si="11"/>
        <v>20</v>
      </c>
      <c r="I187" s="444">
        <f t="shared" si="12"/>
        <v>0</v>
      </c>
      <c r="J187" s="458"/>
    </row>
    <row r="188" spans="2:10" ht="15.75" x14ac:dyDescent="0.25">
      <c r="B188" t="str">
        <f t="shared" si="4"/>
        <v>CaribStag</v>
      </c>
      <c r="C188" s="435">
        <v>43187</v>
      </c>
      <c r="D188" s="340" t="s">
        <v>628</v>
      </c>
      <c r="E188" s="340" t="s">
        <v>629</v>
      </c>
      <c r="F188" s="457">
        <v>10</v>
      </c>
      <c r="G188" s="436">
        <v>14</v>
      </c>
      <c r="H188" s="437">
        <f t="shared" si="11"/>
        <v>4</v>
      </c>
      <c r="I188" s="444">
        <f t="shared" si="12"/>
        <v>0</v>
      </c>
      <c r="J188" s="458"/>
    </row>
    <row r="189" spans="2:10" ht="15.75" x14ac:dyDescent="0.25">
      <c r="B189" t="str">
        <f t="shared" si="4"/>
        <v>CaribStag</v>
      </c>
      <c r="C189" s="435">
        <v>43188</v>
      </c>
      <c r="D189" s="340" t="s">
        <v>628</v>
      </c>
      <c r="E189" s="340" t="s">
        <v>629</v>
      </c>
      <c r="F189" s="457">
        <v>10</v>
      </c>
      <c r="G189" s="436">
        <v>10</v>
      </c>
      <c r="H189" s="437">
        <f t="shared" si="11"/>
        <v>0</v>
      </c>
      <c r="I189" s="444">
        <f t="shared" si="12"/>
        <v>1</v>
      </c>
      <c r="J189" s="458"/>
    </row>
    <row r="190" spans="2:10" ht="15.75" x14ac:dyDescent="0.25">
      <c r="B190" t="str">
        <f t="shared" si="4"/>
        <v>Stag (Local)Carib (Local)</v>
      </c>
      <c r="C190" s="435">
        <v>43193</v>
      </c>
      <c r="D190" s="340" t="s">
        <v>789</v>
      </c>
      <c r="E190" s="340" t="s">
        <v>794</v>
      </c>
      <c r="F190" s="457">
        <v>10</v>
      </c>
      <c r="G190" s="436">
        <v>3</v>
      </c>
      <c r="H190" s="437">
        <f t="shared" si="11"/>
        <v>-7</v>
      </c>
      <c r="I190" s="444">
        <f t="shared" si="12"/>
        <v>1</v>
      </c>
      <c r="J190" s="458"/>
    </row>
    <row r="191" spans="2:10" ht="15.75" x14ac:dyDescent="0.25">
      <c r="B191" t="str">
        <f t="shared" si="4"/>
        <v>Carib (Local)Shandy Ginger</v>
      </c>
      <c r="C191" s="435">
        <v>43193</v>
      </c>
      <c r="D191" s="340" t="s">
        <v>794</v>
      </c>
      <c r="E191" s="340" t="s">
        <v>792</v>
      </c>
      <c r="F191" s="457">
        <v>20</v>
      </c>
      <c r="G191" s="436">
        <v>20</v>
      </c>
      <c r="H191" s="437">
        <f t="shared" si="11"/>
        <v>0</v>
      </c>
      <c r="I191" s="444">
        <f t="shared" si="12"/>
        <v>1</v>
      </c>
      <c r="J191" s="458"/>
    </row>
    <row r="192" spans="2:10" ht="15.75" x14ac:dyDescent="0.25">
      <c r="B192" t="str">
        <f t="shared" si="4"/>
        <v>MackesonShandy Sorrel</v>
      </c>
      <c r="C192" s="435">
        <v>43194</v>
      </c>
      <c r="D192" s="340" t="s">
        <v>630</v>
      </c>
      <c r="E192" s="340" t="s">
        <v>645</v>
      </c>
      <c r="F192" s="457">
        <v>100</v>
      </c>
      <c r="G192" s="436">
        <v>66</v>
      </c>
      <c r="H192" s="437">
        <f t="shared" si="11"/>
        <v>-34</v>
      </c>
      <c r="I192" s="444">
        <f t="shared" si="12"/>
        <v>1</v>
      </c>
      <c r="J192" s="458"/>
    </row>
    <row r="193" spans="2:10" ht="15.75" x14ac:dyDescent="0.25">
      <c r="B193" t="str">
        <f t="shared" si="4"/>
        <v>GuinnessGinseng Up (Original)</v>
      </c>
      <c r="C193" s="435">
        <v>43196</v>
      </c>
      <c r="D193" s="340" t="s">
        <v>373</v>
      </c>
      <c r="E193" s="340" t="s">
        <v>793</v>
      </c>
      <c r="F193" s="457">
        <v>45</v>
      </c>
      <c r="G193" s="436">
        <v>81</v>
      </c>
      <c r="H193" s="437">
        <f t="shared" si="11"/>
        <v>36</v>
      </c>
      <c r="I193" s="444">
        <f t="shared" si="12"/>
        <v>0</v>
      </c>
      <c r="J193" s="458"/>
    </row>
    <row r="194" spans="2:10" ht="15.75" x14ac:dyDescent="0.25">
      <c r="B194" t="str">
        <f t="shared" si="4"/>
        <v>Carib (Local)Carib (Export)</v>
      </c>
      <c r="C194" s="435">
        <v>43199</v>
      </c>
      <c r="D194" s="340" t="s">
        <v>794</v>
      </c>
      <c r="E194" s="340" t="s">
        <v>795</v>
      </c>
      <c r="F194" s="457">
        <v>7</v>
      </c>
      <c r="G194" s="436">
        <v>7</v>
      </c>
      <c r="H194" s="437">
        <f t="shared" si="11"/>
        <v>0</v>
      </c>
      <c r="I194" s="444">
        <f t="shared" si="12"/>
        <v>1</v>
      </c>
      <c r="J194" s="458"/>
    </row>
    <row r="195" spans="2:10" ht="15.75" x14ac:dyDescent="0.25">
      <c r="B195" t="str">
        <f t="shared" si="4"/>
        <v>Stag (Local)Stag (Export)</v>
      </c>
      <c r="C195" s="435">
        <v>43200</v>
      </c>
      <c r="D195" s="340" t="s">
        <v>789</v>
      </c>
      <c r="E195" s="340" t="s">
        <v>790</v>
      </c>
      <c r="F195" s="457">
        <v>7</v>
      </c>
      <c r="G195" s="436">
        <v>3</v>
      </c>
      <c r="H195" s="437">
        <f t="shared" si="11"/>
        <v>-4</v>
      </c>
      <c r="I195" s="444">
        <f t="shared" si="12"/>
        <v>1</v>
      </c>
      <c r="J195" s="458"/>
    </row>
    <row r="196" spans="2:10" ht="15.75" x14ac:dyDescent="0.25">
      <c r="B196" t="str">
        <f t="shared" si="4"/>
        <v>Stag (Local)Carib (Local)</v>
      </c>
      <c r="C196" s="435">
        <v>43202</v>
      </c>
      <c r="D196" s="340" t="s">
        <v>789</v>
      </c>
      <c r="E196" s="340" t="s">
        <v>794</v>
      </c>
      <c r="F196" s="457">
        <v>7</v>
      </c>
      <c r="G196" s="436">
        <v>10</v>
      </c>
      <c r="H196" s="437">
        <f t="shared" si="11"/>
        <v>3</v>
      </c>
      <c r="I196" s="444">
        <f t="shared" si="12"/>
        <v>0</v>
      </c>
      <c r="J196" s="458"/>
    </row>
    <row r="197" spans="2:10" ht="15.75" x14ac:dyDescent="0.25">
      <c r="B197" t="str">
        <f t="shared" si="4"/>
        <v>CaribStag</v>
      </c>
      <c r="C197" s="435">
        <v>43206</v>
      </c>
      <c r="D197" s="340" t="s">
        <v>628</v>
      </c>
      <c r="E197" s="340" t="s">
        <v>629</v>
      </c>
      <c r="F197" s="457">
        <v>7</v>
      </c>
      <c r="G197" s="436">
        <v>7</v>
      </c>
      <c r="H197" s="437">
        <f t="shared" si="11"/>
        <v>0</v>
      </c>
      <c r="I197" s="444">
        <f t="shared" si="12"/>
        <v>1</v>
      </c>
      <c r="J197" s="458"/>
    </row>
    <row r="198" spans="2:10" ht="15.75" x14ac:dyDescent="0.25">
      <c r="B198" t="str">
        <f t="shared" si="4"/>
        <v>TingJ. Cool</v>
      </c>
      <c r="C198" s="435">
        <v>43209</v>
      </c>
      <c r="D198" s="340" t="s">
        <v>631</v>
      </c>
      <c r="E198" s="340" t="s">
        <v>799</v>
      </c>
      <c r="F198" s="457">
        <v>120</v>
      </c>
      <c r="G198" s="436">
        <v>78</v>
      </c>
      <c r="H198" s="437">
        <f t="shared" si="11"/>
        <v>-42</v>
      </c>
      <c r="I198" s="444">
        <f t="shared" si="12"/>
        <v>1</v>
      </c>
      <c r="J198" s="458"/>
    </row>
    <row r="199" spans="2:10" ht="15.75" x14ac:dyDescent="0.25">
      <c r="B199" t="str">
        <f t="shared" si="4"/>
        <v>CaribCarib</v>
      </c>
      <c r="C199" s="435">
        <v>43214</v>
      </c>
      <c r="D199" s="340" t="s">
        <v>628</v>
      </c>
      <c r="E199" s="340" t="s">
        <v>628</v>
      </c>
      <c r="F199" s="457">
        <v>14</v>
      </c>
      <c r="G199" s="436">
        <v>8</v>
      </c>
      <c r="H199" s="437">
        <f t="shared" si="11"/>
        <v>-6</v>
      </c>
      <c r="I199" s="444">
        <f t="shared" si="12"/>
        <v>1</v>
      </c>
      <c r="J199" s="458"/>
    </row>
    <row r="200" spans="2:10" ht="15.75" x14ac:dyDescent="0.25">
      <c r="B200" t="str">
        <f t="shared" si="4"/>
        <v>StagMackeson</v>
      </c>
      <c r="C200" s="435">
        <v>43215</v>
      </c>
      <c r="D200" s="340" t="s">
        <v>629</v>
      </c>
      <c r="E200" s="340" t="s">
        <v>630</v>
      </c>
      <c r="F200" s="457">
        <v>20</v>
      </c>
      <c r="G200" s="436">
        <v>20</v>
      </c>
      <c r="H200" s="437">
        <f t="shared" ref="H200:H210" si="13">G200-F200</f>
        <v>0</v>
      </c>
      <c r="I200" s="444">
        <f t="shared" ref="I200:I210" si="14">IF(G200&lt;=F200,1,0)</f>
        <v>1</v>
      </c>
      <c r="J200" s="458"/>
    </row>
    <row r="201" spans="2:10" ht="15.75" x14ac:dyDescent="0.25">
      <c r="B201" t="str">
        <f t="shared" si="4"/>
        <v>MackesonCarib</v>
      </c>
      <c r="C201" s="435">
        <v>43216</v>
      </c>
      <c r="D201" s="340" t="s">
        <v>630</v>
      </c>
      <c r="E201" s="340" t="s">
        <v>628</v>
      </c>
      <c r="F201" s="457">
        <v>45</v>
      </c>
      <c r="G201" s="436">
        <v>45</v>
      </c>
      <c r="H201" s="437">
        <f t="shared" si="13"/>
        <v>0</v>
      </c>
      <c r="I201" s="444">
        <f t="shared" si="14"/>
        <v>1</v>
      </c>
      <c r="J201" s="458"/>
    </row>
    <row r="202" spans="2:10" ht="15.75" x14ac:dyDescent="0.25">
      <c r="B202" t="str">
        <f t="shared" si="4"/>
        <v>CaribStag</v>
      </c>
      <c r="C202" s="435">
        <v>43216</v>
      </c>
      <c r="D202" s="340" t="s">
        <v>628</v>
      </c>
      <c r="E202" s="340" t="s">
        <v>629</v>
      </c>
      <c r="F202" s="457">
        <v>10</v>
      </c>
      <c r="G202" s="436">
        <v>7</v>
      </c>
      <c r="H202" s="437">
        <f t="shared" si="13"/>
        <v>-3</v>
      </c>
      <c r="I202" s="444">
        <f t="shared" si="14"/>
        <v>1</v>
      </c>
      <c r="J202" s="458"/>
    </row>
    <row r="203" spans="2:10" ht="15.75" x14ac:dyDescent="0.25">
      <c r="B203" t="str">
        <f t="shared" si="4"/>
        <v>CaribStag</v>
      </c>
      <c r="C203" s="435">
        <v>43223</v>
      </c>
      <c r="D203" s="340" t="s">
        <v>628</v>
      </c>
      <c r="E203" s="340" t="s">
        <v>629</v>
      </c>
      <c r="F203" s="457">
        <v>10</v>
      </c>
      <c r="G203" s="436">
        <v>5</v>
      </c>
      <c r="H203" s="437">
        <f t="shared" si="13"/>
        <v>-5</v>
      </c>
      <c r="I203" s="444">
        <f t="shared" si="14"/>
        <v>1</v>
      </c>
      <c r="J203" s="458"/>
    </row>
    <row r="204" spans="2:10" ht="15.75" x14ac:dyDescent="0.25">
      <c r="B204" t="str">
        <f t="shared" si="4"/>
        <v>StagGinseng Up (Original)</v>
      </c>
      <c r="C204" s="435">
        <v>43224</v>
      </c>
      <c r="D204" s="340" t="s">
        <v>629</v>
      </c>
      <c r="E204" s="340" t="s">
        <v>793</v>
      </c>
      <c r="F204" s="457">
        <v>40</v>
      </c>
      <c r="G204" s="436">
        <v>42</v>
      </c>
      <c r="H204" s="437">
        <f t="shared" si="13"/>
        <v>2</v>
      </c>
      <c r="I204" s="444">
        <f t="shared" si="14"/>
        <v>0</v>
      </c>
      <c r="J204" s="458"/>
    </row>
    <row r="205" spans="2:10" ht="15.75" x14ac:dyDescent="0.25">
      <c r="B205" t="str">
        <f t="shared" si="4"/>
        <v>Stag (Export)Stag (Local)</v>
      </c>
      <c r="C205" s="435">
        <v>43228</v>
      </c>
      <c r="D205" s="340" t="s">
        <v>790</v>
      </c>
      <c r="E205" s="340" t="s">
        <v>789</v>
      </c>
      <c r="F205" s="457">
        <v>7</v>
      </c>
      <c r="G205" s="436">
        <v>3</v>
      </c>
      <c r="H205" s="437">
        <f t="shared" si="13"/>
        <v>-4</v>
      </c>
      <c r="I205" s="444">
        <f t="shared" si="14"/>
        <v>1</v>
      </c>
      <c r="J205" s="458"/>
    </row>
    <row r="206" spans="2:10" ht="15.75" x14ac:dyDescent="0.25">
      <c r="B206" t="str">
        <f t="shared" si="4"/>
        <v>StagCarib</v>
      </c>
      <c r="C206" s="435">
        <v>43228</v>
      </c>
      <c r="D206" s="340" t="s">
        <v>629</v>
      </c>
      <c r="E206" s="340" t="s">
        <v>628</v>
      </c>
      <c r="F206" s="457">
        <v>10</v>
      </c>
      <c r="G206" s="436">
        <v>11</v>
      </c>
      <c r="H206" s="437">
        <f t="shared" si="13"/>
        <v>1</v>
      </c>
      <c r="I206" s="444">
        <f t="shared" si="14"/>
        <v>0</v>
      </c>
      <c r="J206" s="458"/>
    </row>
    <row r="207" spans="2:10" ht="15.75" x14ac:dyDescent="0.25">
      <c r="B207" t="str">
        <f t="shared" si="4"/>
        <v>Carib (Local)Shandy Lime</v>
      </c>
      <c r="C207" s="435">
        <v>43229</v>
      </c>
      <c r="D207" s="340" t="s">
        <v>794</v>
      </c>
      <c r="E207" s="340" t="s">
        <v>791</v>
      </c>
      <c r="F207" s="457">
        <v>20</v>
      </c>
      <c r="G207" s="436">
        <v>20</v>
      </c>
      <c r="H207" s="437">
        <f t="shared" si="13"/>
        <v>0</v>
      </c>
      <c r="I207" s="444">
        <f t="shared" si="14"/>
        <v>1</v>
      </c>
      <c r="J207" s="458"/>
    </row>
    <row r="208" spans="2:10" ht="15.75" x14ac:dyDescent="0.25">
      <c r="B208" t="str">
        <f t="shared" si="4"/>
        <v>Carib (Local)Shandy Sorrel</v>
      </c>
      <c r="C208" s="435">
        <v>43235</v>
      </c>
      <c r="D208" s="340" t="s">
        <v>794</v>
      </c>
      <c r="E208" s="340" t="s">
        <v>645</v>
      </c>
      <c r="F208" s="457">
        <v>45</v>
      </c>
      <c r="G208" s="436">
        <v>31</v>
      </c>
      <c r="H208" s="437">
        <f t="shared" si="13"/>
        <v>-14</v>
      </c>
      <c r="I208" s="444">
        <f t="shared" si="14"/>
        <v>1</v>
      </c>
      <c r="J208" s="458"/>
    </row>
    <row r="209" spans="2:10" ht="15.75" x14ac:dyDescent="0.25">
      <c r="B209" t="str">
        <f t="shared" si="4"/>
        <v>StagStar Malt</v>
      </c>
      <c r="C209" s="435">
        <v>43244</v>
      </c>
      <c r="D209" s="340" t="s">
        <v>629</v>
      </c>
      <c r="E209" s="340" t="s">
        <v>787</v>
      </c>
      <c r="F209" s="457">
        <v>30</v>
      </c>
      <c r="G209" s="436">
        <v>53</v>
      </c>
      <c r="H209" s="437">
        <f t="shared" si="13"/>
        <v>23</v>
      </c>
      <c r="I209" s="444">
        <f t="shared" si="14"/>
        <v>0</v>
      </c>
      <c r="J209" s="458"/>
    </row>
    <row r="210" spans="2:10" ht="15.75" x14ac:dyDescent="0.25">
      <c r="B210" t="str">
        <f t="shared" si="4"/>
        <v>CaribStag</v>
      </c>
      <c r="C210" s="435">
        <v>43248</v>
      </c>
      <c r="D210" s="340" t="s">
        <v>628</v>
      </c>
      <c r="E210" s="340" t="s">
        <v>629</v>
      </c>
      <c r="F210" s="457">
        <v>10</v>
      </c>
      <c r="G210" s="436">
        <v>10</v>
      </c>
      <c r="H210" s="437">
        <f t="shared" si="13"/>
        <v>0</v>
      </c>
      <c r="I210" s="444">
        <f t="shared" si="14"/>
        <v>1</v>
      </c>
      <c r="J210" s="458"/>
    </row>
    <row r="211" spans="2:10" ht="15.75" x14ac:dyDescent="0.25">
      <c r="B211" t="str">
        <f t="shared" si="4"/>
        <v>StagCarib</v>
      </c>
      <c r="C211" s="435">
        <v>43252</v>
      </c>
      <c r="D211" s="340" t="s">
        <v>629</v>
      </c>
      <c r="E211" s="340" t="s">
        <v>628</v>
      </c>
      <c r="F211" s="457">
        <v>10</v>
      </c>
      <c r="G211" s="436">
        <v>11</v>
      </c>
      <c r="H211" s="437">
        <f t="shared" ref="H211:H220" si="15">G211-F211</f>
        <v>1</v>
      </c>
      <c r="I211" s="444">
        <f t="shared" ref="I211:I221" si="16">IF(G211&lt;=F211,1,0)</f>
        <v>0</v>
      </c>
      <c r="J211" s="458"/>
    </row>
    <row r="212" spans="2:10" ht="15.75" x14ac:dyDescent="0.25">
      <c r="B212" t="str">
        <f t="shared" si="4"/>
        <v>CaribStag</v>
      </c>
      <c r="C212" s="435">
        <v>43252</v>
      </c>
      <c r="D212" s="340" t="s">
        <v>628</v>
      </c>
      <c r="E212" s="340" t="s">
        <v>629</v>
      </c>
      <c r="F212" s="454">
        <v>10</v>
      </c>
      <c r="G212" s="436">
        <v>17</v>
      </c>
      <c r="H212" s="437">
        <f t="shared" si="15"/>
        <v>7</v>
      </c>
      <c r="I212" s="444">
        <f t="shared" si="16"/>
        <v>0</v>
      </c>
      <c r="J212" s="458"/>
    </row>
    <row r="213" spans="2:10" ht="15.75" x14ac:dyDescent="0.25">
      <c r="B213" t="str">
        <f t="shared" si="4"/>
        <v>Carib (Export)Carib (Local)</v>
      </c>
      <c r="C213" s="435">
        <v>43256</v>
      </c>
      <c r="D213" s="340" t="s">
        <v>795</v>
      </c>
      <c r="E213" s="340" t="s">
        <v>794</v>
      </c>
      <c r="F213" s="454">
        <v>7</v>
      </c>
      <c r="G213" s="436">
        <v>5</v>
      </c>
      <c r="H213" s="437">
        <f t="shared" si="15"/>
        <v>-2</v>
      </c>
      <c r="I213" s="444">
        <f t="shared" si="16"/>
        <v>1</v>
      </c>
      <c r="J213" s="458"/>
    </row>
    <row r="214" spans="2:10" ht="15.75" x14ac:dyDescent="0.25">
      <c r="B214" t="str">
        <f t="shared" si="4"/>
        <v>J. CoolJ. Cool</v>
      </c>
      <c r="C214" s="435">
        <v>43258</v>
      </c>
      <c r="D214" s="340" t="s">
        <v>799</v>
      </c>
      <c r="E214" s="340" t="s">
        <v>799</v>
      </c>
      <c r="F214" s="454">
        <v>20</v>
      </c>
      <c r="G214" s="436">
        <v>22</v>
      </c>
      <c r="H214" s="437">
        <f t="shared" si="15"/>
        <v>2</v>
      </c>
      <c r="I214" s="444">
        <f t="shared" si="16"/>
        <v>0</v>
      </c>
      <c r="J214" s="458"/>
    </row>
    <row r="215" spans="2:10" ht="15.75" x14ac:dyDescent="0.25">
      <c r="B215" t="str">
        <f t="shared" si="4"/>
        <v>J. CoolJ. Cool</v>
      </c>
      <c r="C215" s="435">
        <v>43258</v>
      </c>
      <c r="D215" s="340" t="s">
        <v>799</v>
      </c>
      <c r="E215" s="340" t="s">
        <v>799</v>
      </c>
      <c r="F215" s="454">
        <v>20</v>
      </c>
      <c r="G215" s="436">
        <v>38</v>
      </c>
      <c r="H215" s="437">
        <f t="shared" si="15"/>
        <v>18</v>
      </c>
      <c r="I215" s="444">
        <f t="shared" si="16"/>
        <v>0</v>
      </c>
      <c r="J215" s="458"/>
    </row>
    <row r="216" spans="2:10" ht="15.75" x14ac:dyDescent="0.25">
      <c r="B216" t="str">
        <f t="shared" si="4"/>
        <v>J. CoolJ. Cool</v>
      </c>
      <c r="C216" s="435">
        <v>43258</v>
      </c>
      <c r="D216" s="340" t="s">
        <v>799</v>
      </c>
      <c r="E216" s="340" t="s">
        <v>799</v>
      </c>
      <c r="F216" s="454">
        <v>20</v>
      </c>
      <c r="G216" s="436">
        <v>29</v>
      </c>
      <c r="H216" s="437">
        <f t="shared" si="15"/>
        <v>9</v>
      </c>
      <c r="I216" s="444">
        <f t="shared" si="16"/>
        <v>0</v>
      </c>
      <c r="J216" s="458"/>
    </row>
    <row r="217" spans="2:10" ht="15.75" x14ac:dyDescent="0.25">
      <c r="B217" t="str">
        <f t="shared" si="4"/>
        <v>Carib (Export)Carib (Local)</v>
      </c>
      <c r="C217" s="435">
        <v>43262</v>
      </c>
      <c r="D217" s="340" t="s">
        <v>795</v>
      </c>
      <c r="E217" s="340" t="s">
        <v>794</v>
      </c>
      <c r="F217" s="454">
        <v>7</v>
      </c>
      <c r="G217" s="436">
        <v>9</v>
      </c>
      <c r="H217" s="437">
        <f t="shared" si="15"/>
        <v>2</v>
      </c>
      <c r="I217" s="444">
        <f t="shared" si="16"/>
        <v>0</v>
      </c>
      <c r="J217" s="458"/>
    </row>
    <row r="218" spans="2:10" ht="15.75" x14ac:dyDescent="0.25">
      <c r="B218" t="str">
        <f t="shared" si="4"/>
        <v>CaribStag</v>
      </c>
      <c r="C218" s="435">
        <v>43267</v>
      </c>
      <c r="D218" s="340" t="s">
        <v>628</v>
      </c>
      <c r="E218" s="340" t="s">
        <v>629</v>
      </c>
      <c r="F218" s="454">
        <f>VLOOKUP(B218,$I$1:$L$135,4,0)</f>
        <v>10</v>
      </c>
      <c r="G218" s="436">
        <v>15</v>
      </c>
      <c r="H218" s="437">
        <f t="shared" si="15"/>
        <v>5</v>
      </c>
      <c r="I218" s="444">
        <f t="shared" si="16"/>
        <v>0</v>
      </c>
      <c r="J218" s="458"/>
    </row>
    <row r="219" spans="2:10" ht="15.75" x14ac:dyDescent="0.25">
      <c r="B219" t="str">
        <f t="shared" si="4"/>
        <v>StagCarib</v>
      </c>
      <c r="C219" s="435">
        <v>43268</v>
      </c>
      <c r="D219" s="340" t="s">
        <v>629</v>
      </c>
      <c r="E219" s="340" t="s">
        <v>628</v>
      </c>
      <c r="F219" s="454">
        <f>VLOOKUP(B219,$I$1:$L$135,4,0)</f>
        <v>10</v>
      </c>
      <c r="G219" s="436">
        <v>12</v>
      </c>
      <c r="H219" s="437">
        <f t="shared" si="15"/>
        <v>2</v>
      </c>
      <c r="I219" s="444">
        <f t="shared" si="16"/>
        <v>0</v>
      </c>
      <c r="J219" s="458"/>
    </row>
    <row r="220" spans="2:10" ht="15.75" x14ac:dyDescent="0.25">
      <c r="B220" t="str">
        <f t="shared" si="4"/>
        <v>CaribGuinness</v>
      </c>
      <c r="C220" s="435">
        <v>43269</v>
      </c>
      <c r="D220" s="340" t="s">
        <v>628</v>
      </c>
      <c r="E220" s="340" t="s">
        <v>373</v>
      </c>
      <c r="F220" s="454">
        <f>VLOOKUP(B220,$I$1:$L$135,4,0)</f>
        <v>25</v>
      </c>
      <c r="G220" s="436">
        <v>93</v>
      </c>
      <c r="H220" s="437">
        <f t="shared" si="15"/>
        <v>68</v>
      </c>
      <c r="I220" s="444">
        <f t="shared" si="16"/>
        <v>0</v>
      </c>
      <c r="J220" s="458"/>
    </row>
    <row r="221" spans="2:10" ht="15.75" x14ac:dyDescent="0.25">
      <c r="B221" t="str">
        <f t="shared" si="4"/>
        <v>GuinnessMackeson</v>
      </c>
      <c r="C221" s="435">
        <v>43270</v>
      </c>
      <c r="D221" s="340" t="s">
        <v>373</v>
      </c>
      <c r="E221" s="340" t="s">
        <v>630</v>
      </c>
      <c r="F221" s="454">
        <f>VLOOKUP(B221,$I$1:$L$135,4,0)</f>
        <v>30</v>
      </c>
      <c r="G221" s="436">
        <v>45</v>
      </c>
      <c r="H221" s="437">
        <f t="shared" ref="H221:H227" si="17">G221-F221</f>
        <v>15</v>
      </c>
      <c r="I221" s="444">
        <f t="shared" si="16"/>
        <v>0</v>
      </c>
      <c r="J221" s="458"/>
    </row>
    <row r="222" spans="2:10" ht="15.75" x14ac:dyDescent="0.25">
      <c r="C222" s="435">
        <v>43276</v>
      </c>
      <c r="D222" s="340" t="s">
        <v>628</v>
      </c>
      <c r="E222" s="340" t="s">
        <v>628</v>
      </c>
      <c r="F222" s="454">
        <v>7</v>
      </c>
      <c r="G222" s="436">
        <v>2</v>
      </c>
      <c r="H222" s="437">
        <f t="shared" si="17"/>
        <v>-5</v>
      </c>
      <c r="I222" s="444">
        <f t="shared" ref="I222:I227" si="18">IF(G222&lt;=F222,1,0)</f>
        <v>1</v>
      </c>
      <c r="J222" s="458"/>
    </row>
    <row r="223" spans="2:10" ht="15.75" x14ac:dyDescent="0.25">
      <c r="C223" s="435">
        <v>43277</v>
      </c>
      <c r="D223" s="340" t="s">
        <v>628</v>
      </c>
      <c r="E223" s="340" t="s">
        <v>629</v>
      </c>
      <c r="F223" s="454">
        <v>10</v>
      </c>
      <c r="G223" s="436">
        <v>20</v>
      </c>
      <c r="H223" s="437">
        <f t="shared" si="17"/>
        <v>10</v>
      </c>
      <c r="I223" s="444">
        <f t="shared" si="18"/>
        <v>0</v>
      </c>
      <c r="J223" s="458"/>
    </row>
    <row r="224" spans="2:10" ht="15.75" x14ac:dyDescent="0.25">
      <c r="C224" s="435">
        <v>43284</v>
      </c>
      <c r="D224" s="340" t="s">
        <v>629</v>
      </c>
      <c r="E224" s="340" t="s">
        <v>793</v>
      </c>
      <c r="F224" s="454">
        <v>40</v>
      </c>
      <c r="G224" s="436">
        <v>40</v>
      </c>
      <c r="H224" s="437">
        <f t="shared" si="17"/>
        <v>0</v>
      </c>
      <c r="I224" s="444">
        <f t="shared" si="18"/>
        <v>1</v>
      </c>
      <c r="J224" s="458"/>
    </row>
    <row r="225" spans="3:10" ht="15.75" x14ac:dyDescent="0.25">
      <c r="C225" s="435">
        <v>43286</v>
      </c>
      <c r="D225" s="340" t="s">
        <v>373</v>
      </c>
      <c r="E225" s="340" t="s">
        <v>628</v>
      </c>
      <c r="F225" s="454">
        <v>45</v>
      </c>
      <c r="G225" s="436">
        <v>56</v>
      </c>
      <c r="H225" s="437">
        <f t="shared" si="17"/>
        <v>11</v>
      </c>
      <c r="I225" s="444">
        <f t="shared" si="18"/>
        <v>0</v>
      </c>
      <c r="J225" s="458"/>
    </row>
    <row r="226" spans="3:10" ht="15.75" x14ac:dyDescent="0.25">
      <c r="C226" s="435">
        <v>43286</v>
      </c>
      <c r="D226" s="340" t="s">
        <v>628</v>
      </c>
      <c r="E226" s="340" t="s">
        <v>629</v>
      </c>
      <c r="F226" s="454">
        <v>10</v>
      </c>
      <c r="G226" s="436">
        <v>13</v>
      </c>
      <c r="H226" s="437">
        <f t="shared" si="17"/>
        <v>3</v>
      </c>
      <c r="I226" s="444">
        <f t="shared" si="18"/>
        <v>0</v>
      </c>
      <c r="J226" s="458"/>
    </row>
    <row r="227" spans="3:10" ht="15.75" x14ac:dyDescent="0.25">
      <c r="C227" s="435">
        <v>43287</v>
      </c>
      <c r="D227" s="340" t="s">
        <v>629</v>
      </c>
      <c r="E227" s="340" t="s">
        <v>631</v>
      </c>
      <c r="F227" s="454">
        <v>60</v>
      </c>
      <c r="G227" s="436">
        <v>65</v>
      </c>
      <c r="H227" s="437">
        <f t="shared" si="17"/>
        <v>5</v>
      </c>
      <c r="I227" s="444">
        <f t="shared" si="18"/>
        <v>0</v>
      </c>
      <c r="J227" s="458"/>
    </row>
    <row r="228" spans="3:10" ht="15.75" x14ac:dyDescent="0.25">
      <c r="C228" s="435">
        <v>43289</v>
      </c>
      <c r="D228" s="340" t="s">
        <v>795</v>
      </c>
      <c r="E228" s="340" t="s">
        <v>794</v>
      </c>
      <c r="F228" s="454">
        <v>7</v>
      </c>
      <c r="G228" s="436">
        <v>4</v>
      </c>
      <c r="H228" s="437">
        <f t="shared" ref="H228:H235" si="19">G228-F228</f>
        <v>-3</v>
      </c>
      <c r="I228" s="444">
        <f t="shared" ref="I228:I235" si="20">IF(G228&lt;=F228,1,0)</f>
        <v>1</v>
      </c>
      <c r="J228" s="458" t="s">
        <v>848</v>
      </c>
    </row>
    <row r="229" spans="3:10" ht="15.75" x14ac:dyDescent="0.25">
      <c r="C229" s="435">
        <v>43292</v>
      </c>
      <c r="D229" s="340" t="s">
        <v>628</v>
      </c>
      <c r="E229" s="340" t="s">
        <v>789</v>
      </c>
      <c r="F229" s="454">
        <v>10</v>
      </c>
      <c r="G229" s="436">
        <v>19</v>
      </c>
      <c r="H229" s="437">
        <f t="shared" si="19"/>
        <v>9</v>
      </c>
      <c r="I229" s="444">
        <f t="shared" si="20"/>
        <v>0</v>
      </c>
      <c r="J229" s="458" t="s">
        <v>848</v>
      </c>
    </row>
    <row r="230" spans="3:10" ht="15.75" x14ac:dyDescent="0.25">
      <c r="C230" s="435">
        <v>43298</v>
      </c>
      <c r="D230" s="340" t="s">
        <v>628</v>
      </c>
      <c r="E230" s="340" t="s">
        <v>373</v>
      </c>
      <c r="F230" s="454">
        <v>25</v>
      </c>
      <c r="G230" s="436">
        <v>43</v>
      </c>
      <c r="H230" s="437">
        <f t="shared" si="19"/>
        <v>18</v>
      </c>
      <c r="I230" s="444">
        <f t="shared" si="20"/>
        <v>0</v>
      </c>
      <c r="J230" s="458" t="s">
        <v>848</v>
      </c>
    </row>
    <row r="231" spans="3:10" ht="15.75" x14ac:dyDescent="0.25">
      <c r="C231" s="435">
        <v>43300</v>
      </c>
      <c r="D231" s="340" t="s">
        <v>629</v>
      </c>
      <c r="E231" s="340" t="s">
        <v>793</v>
      </c>
      <c r="F231" s="454">
        <v>45</v>
      </c>
      <c r="G231" s="436">
        <v>45</v>
      </c>
      <c r="H231" s="437">
        <f t="shared" si="19"/>
        <v>0</v>
      </c>
      <c r="I231" s="444">
        <f t="shared" si="20"/>
        <v>1</v>
      </c>
      <c r="J231" s="458" t="s">
        <v>848</v>
      </c>
    </row>
    <row r="232" spans="3:10" ht="15.75" x14ac:dyDescent="0.25">
      <c r="C232" s="435">
        <v>43301</v>
      </c>
      <c r="D232" s="340" t="s">
        <v>793</v>
      </c>
      <c r="E232" s="340" t="s">
        <v>799</v>
      </c>
      <c r="F232" s="454">
        <v>120</v>
      </c>
      <c r="G232" s="436">
        <v>120</v>
      </c>
      <c r="H232" s="437">
        <f t="shared" si="19"/>
        <v>0</v>
      </c>
      <c r="I232" s="444">
        <f t="shared" si="20"/>
        <v>1</v>
      </c>
      <c r="J232" s="458" t="s">
        <v>848</v>
      </c>
    </row>
    <row r="233" spans="3:10" ht="15.75" x14ac:dyDescent="0.25">
      <c r="C233" s="435">
        <v>43301</v>
      </c>
      <c r="D233" s="340" t="s">
        <v>799</v>
      </c>
      <c r="E233" s="340" t="s">
        <v>799</v>
      </c>
      <c r="F233" s="454">
        <v>20</v>
      </c>
      <c r="G233" s="436">
        <v>12</v>
      </c>
      <c r="H233" s="437">
        <f t="shared" si="19"/>
        <v>-8</v>
      </c>
      <c r="I233" s="444">
        <f t="shared" si="20"/>
        <v>1</v>
      </c>
      <c r="J233" s="458" t="s">
        <v>848</v>
      </c>
    </row>
    <row r="234" spans="3:10" ht="15.75" x14ac:dyDescent="0.25">
      <c r="C234" s="435">
        <v>43301</v>
      </c>
      <c r="D234" s="340" t="s">
        <v>799</v>
      </c>
      <c r="E234" s="340" t="s">
        <v>799</v>
      </c>
      <c r="F234" s="454">
        <v>20</v>
      </c>
      <c r="G234" s="436">
        <v>20</v>
      </c>
      <c r="H234" s="437">
        <f t="shared" si="19"/>
        <v>0</v>
      </c>
      <c r="I234" s="444">
        <f t="shared" si="20"/>
        <v>1</v>
      </c>
      <c r="J234" s="458" t="s">
        <v>848</v>
      </c>
    </row>
    <row r="235" spans="3:10" ht="15.75" x14ac:dyDescent="0.25">
      <c r="C235" s="435">
        <v>43301</v>
      </c>
      <c r="D235" s="340" t="s">
        <v>799</v>
      </c>
      <c r="E235" s="340" t="s">
        <v>799</v>
      </c>
      <c r="F235" s="454">
        <v>20</v>
      </c>
      <c r="G235" s="436">
        <v>20</v>
      </c>
      <c r="H235" s="437">
        <f t="shared" si="19"/>
        <v>0</v>
      </c>
      <c r="I235" s="444">
        <f t="shared" si="20"/>
        <v>1</v>
      </c>
      <c r="J235" s="458" t="s">
        <v>848</v>
      </c>
    </row>
    <row r="236" spans="3:10" ht="15.75" x14ac:dyDescent="0.25">
      <c r="C236" s="435">
        <v>43305</v>
      </c>
      <c r="D236" s="340" t="s">
        <v>795</v>
      </c>
      <c r="E236" s="340" t="s">
        <v>794</v>
      </c>
      <c r="F236" s="454">
        <v>7</v>
      </c>
      <c r="G236" s="436">
        <v>13</v>
      </c>
      <c r="H236" s="437">
        <f t="shared" ref="H236:H251" si="21">G236-F236</f>
        <v>6</v>
      </c>
      <c r="I236" s="444">
        <f t="shared" ref="I236:I251" si="22">IF(G236&lt;=F236,1,0)</f>
        <v>0</v>
      </c>
      <c r="J236" s="458" t="s">
        <v>848</v>
      </c>
    </row>
    <row r="237" spans="3:10" ht="15.75" x14ac:dyDescent="0.25">
      <c r="C237" s="435">
        <v>43306</v>
      </c>
      <c r="D237" s="340" t="s">
        <v>628</v>
      </c>
      <c r="E237" s="340" t="s">
        <v>629</v>
      </c>
      <c r="F237" s="454">
        <v>10</v>
      </c>
      <c r="G237" s="436">
        <v>16</v>
      </c>
      <c r="H237" s="437">
        <f t="shared" si="21"/>
        <v>6</v>
      </c>
      <c r="I237" s="444">
        <f t="shared" si="22"/>
        <v>0</v>
      </c>
      <c r="J237" s="458" t="s">
        <v>848</v>
      </c>
    </row>
    <row r="238" spans="3:10" ht="15.75" x14ac:dyDescent="0.25">
      <c r="C238" s="435">
        <v>43307</v>
      </c>
      <c r="D238" s="340" t="s">
        <v>629</v>
      </c>
      <c r="E238" s="340" t="s">
        <v>373</v>
      </c>
      <c r="F238" s="454">
        <v>25</v>
      </c>
      <c r="G238" s="436">
        <v>25</v>
      </c>
      <c r="H238" s="437">
        <f t="shared" si="21"/>
        <v>0</v>
      </c>
      <c r="I238" s="444">
        <f t="shared" si="22"/>
        <v>1</v>
      </c>
      <c r="J238" s="458"/>
    </row>
    <row r="239" spans="3:10" ht="15.75" x14ac:dyDescent="0.25">
      <c r="C239" s="435">
        <v>43311</v>
      </c>
      <c r="D239" s="340" t="s">
        <v>628</v>
      </c>
      <c r="E239" s="340" t="s">
        <v>629</v>
      </c>
      <c r="F239" s="454">
        <v>10</v>
      </c>
      <c r="G239" s="436">
        <v>14</v>
      </c>
      <c r="H239" s="437">
        <f t="shared" si="21"/>
        <v>4</v>
      </c>
      <c r="I239" s="444">
        <f t="shared" si="22"/>
        <v>0</v>
      </c>
      <c r="J239" s="458"/>
    </row>
    <row r="240" spans="3:10" ht="15.75" x14ac:dyDescent="0.25">
      <c r="C240" s="435">
        <v>43312</v>
      </c>
      <c r="D240" s="340" t="s">
        <v>629</v>
      </c>
      <c r="E240" s="340" t="s">
        <v>628</v>
      </c>
      <c r="F240" s="454">
        <v>10</v>
      </c>
      <c r="G240" s="436">
        <v>10</v>
      </c>
      <c r="H240" s="437">
        <f t="shared" si="21"/>
        <v>0</v>
      </c>
      <c r="I240" s="444">
        <f t="shared" si="22"/>
        <v>1</v>
      </c>
      <c r="J240" s="458"/>
    </row>
    <row r="241" spans="3:10" ht="15.75" x14ac:dyDescent="0.25">
      <c r="C241" s="435">
        <v>43312</v>
      </c>
      <c r="D241" s="340" t="s">
        <v>628</v>
      </c>
      <c r="E241" s="340" t="s">
        <v>629</v>
      </c>
      <c r="F241" s="454">
        <v>10</v>
      </c>
      <c r="G241" s="436">
        <v>10</v>
      </c>
      <c r="H241" s="437">
        <f t="shared" si="21"/>
        <v>0</v>
      </c>
      <c r="I241" s="444">
        <f t="shared" si="22"/>
        <v>1</v>
      </c>
      <c r="J241" s="458"/>
    </row>
    <row r="242" spans="3:10" ht="15.75" x14ac:dyDescent="0.25">
      <c r="C242" s="435">
        <v>43314</v>
      </c>
      <c r="D242" s="340" t="s">
        <v>791</v>
      </c>
      <c r="E242" s="340" t="s">
        <v>631</v>
      </c>
      <c r="F242" s="454">
        <v>45</v>
      </c>
      <c r="G242" s="436">
        <v>45</v>
      </c>
      <c r="H242" s="437">
        <f t="shared" si="21"/>
        <v>0</v>
      </c>
      <c r="I242" s="444">
        <f t="shared" si="22"/>
        <v>1</v>
      </c>
      <c r="J242" s="458"/>
    </row>
    <row r="243" spans="3:10" ht="15.75" x14ac:dyDescent="0.25">
      <c r="C243" s="435">
        <v>43314</v>
      </c>
      <c r="D243" s="340" t="s">
        <v>631</v>
      </c>
      <c r="E243" s="340" t="s">
        <v>374</v>
      </c>
      <c r="F243" s="454">
        <v>100</v>
      </c>
      <c r="G243" s="436">
        <v>108</v>
      </c>
      <c r="H243" s="437">
        <f t="shared" si="21"/>
        <v>8</v>
      </c>
      <c r="I243" s="444">
        <f t="shared" si="22"/>
        <v>0</v>
      </c>
      <c r="J243" s="458"/>
    </row>
    <row r="244" spans="3:10" ht="15.75" x14ac:dyDescent="0.25">
      <c r="C244" s="435">
        <v>43315</v>
      </c>
      <c r="D244" s="340" t="s">
        <v>374</v>
      </c>
      <c r="E244" s="340" t="s">
        <v>799</v>
      </c>
      <c r="F244" s="454">
        <v>150</v>
      </c>
      <c r="G244" s="436">
        <v>150</v>
      </c>
      <c r="H244" s="437">
        <f t="shared" si="21"/>
        <v>0</v>
      </c>
      <c r="I244" s="444">
        <f t="shared" si="22"/>
        <v>1</v>
      </c>
      <c r="J244" s="458"/>
    </row>
    <row r="245" spans="3:10" ht="15.75" x14ac:dyDescent="0.25">
      <c r="C245" s="435">
        <v>43320</v>
      </c>
      <c r="D245" s="340" t="s">
        <v>795</v>
      </c>
      <c r="E245" s="340" t="s">
        <v>794</v>
      </c>
      <c r="F245" s="454">
        <v>20</v>
      </c>
      <c r="G245" s="436">
        <v>17</v>
      </c>
      <c r="H245" s="437">
        <f t="shared" si="21"/>
        <v>-3</v>
      </c>
      <c r="I245" s="444">
        <f t="shared" si="22"/>
        <v>1</v>
      </c>
      <c r="J245" s="458"/>
    </row>
    <row r="246" spans="3:10" ht="15.75" x14ac:dyDescent="0.25">
      <c r="C246" s="435">
        <v>43320</v>
      </c>
      <c r="D246" s="340" t="s">
        <v>628</v>
      </c>
      <c r="E246" s="340" t="s">
        <v>629</v>
      </c>
      <c r="F246" s="454">
        <v>10</v>
      </c>
      <c r="G246" s="436">
        <v>10</v>
      </c>
      <c r="H246" s="437">
        <f t="shared" si="21"/>
        <v>0</v>
      </c>
      <c r="I246" s="444">
        <f t="shared" si="22"/>
        <v>1</v>
      </c>
      <c r="J246" s="458"/>
    </row>
    <row r="247" spans="3:10" ht="15.75" x14ac:dyDescent="0.25">
      <c r="C247" s="435">
        <v>43321</v>
      </c>
      <c r="D247" s="340" t="s">
        <v>629</v>
      </c>
      <c r="E247" s="340" t="s">
        <v>630</v>
      </c>
      <c r="F247" s="454">
        <v>20</v>
      </c>
      <c r="G247" s="436">
        <v>20</v>
      </c>
      <c r="H247" s="437">
        <f t="shared" si="21"/>
        <v>0</v>
      </c>
      <c r="I247" s="444">
        <f t="shared" si="22"/>
        <v>1</v>
      </c>
      <c r="J247" s="458"/>
    </row>
    <row r="248" spans="3:10" ht="15.75" x14ac:dyDescent="0.25">
      <c r="C248" s="435">
        <v>43327</v>
      </c>
      <c r="D248" s="340" t="s">
        <v>630</v>
      </c>
      <c r="E248" s="340" t="s">
        <v>794</v>
      </c>
      <c r="F248" s="454">
        <v>45</v>
      </c>
      <c r="G248" s="436">
        <v>45</v>
      </c>
      <c r="H248" s="437">
        <f t="shared" si="21"/>
        <v>0</v>
      </c>
      <c r="I248" s="444">
        <f t="shared" si="22"/>
        <v>1</v>
      </c>
      <c r="J248" s="458"/>
    </row>
    <row r="249" spans="3:10" ht="15.75" x14ac:dyDescent="0.25">
      <c r="C249" s="435">
        <v>43329</v>
      </c>
      <c r="D249" s="340" t="s">
        <v>628</v>
      </c>
      <c r="E249" s="340" t="s">
        <v>629</v>
      </c>
      <c r="F249" s="454">
        <v>10</v>
      </c>
      <c r="G249" s="436">
        <v>12</v>
      </c>
      <c r="H249" s="437">
        <f t="shared" si="21"/>
        <v>2</v>
      </c>
      <c r="I249" s="444">
        <f t="shared" si="22"/>
        <v>0</v>
      </c>
      <c r="J249" s="458"/>
    </row>
    <row r="250" spans="3:10" ht="15.75" x14ac:dyDescent="0.25">
      <c r="C250" s="435">
        <v>43334</v>
      </c>
      <c r="D250" s="340" t="s">
        <v>629</v>
      </c>
      <c r="E250" s="340" t="s">
        <v>373</v>
      </c>
      <c r="F250" s="454">
        <v>25</v>
      </c>
      <c r="G250" s="436">
        <v>28</v>
      </c>
      <c r="H250" s="437">
        <f t="shared" si="21"/>
        <v>3</v>
      </c>
      <c r="I250" s="444">
        <f t="shared" si="22"/>
        <v>0</v>
      </c>
      <c r="J250" s="458"/>
    </row>
    <row r="251" spans="3:10" ht="15.75" x14ac:dyDescent="0.25">
      <c r="C251" s="435">
        <v>43336</v>
      </c>
      <c r="D251" s="340" t="s">
        <v>791</v>
      </c>
      <c r="E251" s="340" t="s">
        <v>645</v>
      </c>
      <c r="F251" s="454">
        <v>45</v>
      </c>
      <c r="G251" s="436">
        <v>41</v>
      </c>
      <c r="H251" s="437">
        <f t="shared" si="21"/>
        <v>-4</v>
      </c>
      <c r="I251" s="444">
        <f t="shared" si="22"/>
        <v>1</v>
      </c>
      <c r="J251" s="458"/>
    </row>
    <row r="252" spans="3:10" ht="15.75" x14ac:dyDescent="0.25">
      <c r="C252" s="435">
        <v>43340</v>
      </c>
      <c r="D252" s="533"/>
      <c r="E252" s="533"/>
      <c r="F252" s="454"/>
      <c r="G252" s="436"/>
      <c r="H252" s="437">
        <f t="shared" ref="H252:H262" si="23">G252-F252</f>
        <v>0</v>
      </c>
      <c r="I252" s="444">
        <f t="shared" ref="I252:I262" si="24">IF(G252&lt;=F252,1,0)</f>
        <v>1</v>
      </c>
      <c r="J252" s="458"/>
    </row>
    <row r="253" spans="3:10" ht="15.75" x14ac:dyDescent="0.25">
      <c r="C253" s="435">
        <v>43341</v>
      </c>
      <c r="D253" s="340" t="s">
        <v>790</v>
      </c>
      <c r="E253" s="340" t="s">
        <v>789</v>
      </c>
      <c r="F253" s="454">
        <v>7</v>
      </c>
      <c r="G253" s="436">
        <v>3</v>
      </c>
      <c r="H253" s="437">
        <f t="shared" si="23"/>
        <v>-4</v>
      </c>
      <c r="I253" s="444">
        <f t="shared" si="24"/>
        <v>1</v>
      </c>
      <c r="J253" s="458"/>
    </row>
    <row r="254" spans="3:10" ht="15.75" x14ac:dyDescent="0.25">
      <c r="C254" s="435">
        <v>43341</v>
      </c>
      <c r="D254" s="340" t="s">
        <v>789</v>
      </c>
      <c r="E254" s="340" t="s">
        <v>794</v>
      </c>
      <c r="F254" s="454">
        <v>10</v>
      </c>
      <c r="G254" s="436">
        <v>10</v>
      </c>
      <c r="H254" s="437">
        <f>G254-F254</f>
        <v>0</v>
      </c>
      <c r="I254" s="444">
        <f>IF(G254&lt;=F254,1,0)</f>
        <v>1</v>
      </c>
      <c r="J254" s="458"/>
    </row>
    <row r="255" spans="3:10" ht="15.75" x14ac:dyDescent="0.25">
      <c r="C255" s="435">
        <v>43342</v>
      </c>
      <c r="D255" s="533"/>
      <c r="E255" s="533"/>
      <c r="F255" s="454"/>
      <c r="G255" s="436"/>
      <c r="H255" s="437">
        <f t="shared" si="23"/>
        <v>0</v>
      </c>
      <c r="I255" s="444">
        <f t="shared" si="24"/>
        <v>1</v>
      </c>
      <c r="J255" s="458"/>
    </row>
    <row r="256" spans="3:10" ht="15.75" x14ac:dyDescent="0.25">
      <c r="C256" s="435">
        <v>43343</v>
      </c>
      <c r="D256" s="533"/>
      <c r="E256" s="340" t="s">
        <v>373</v>
      </c>
      <c r="F256" s="454"/>
      <c r="G256" s="436"/>
      <c r="H256" s="437">
        <f t="shared" si="23"/>
        <v>0</v>
      </c>
      <c r="I256" s="444">
        <f t="shared" si="24"/>
        <v>1</v>
      </c>
      <c r="J256" s="458"/>
    </row>
    <row r="257" spans="2:10" ht="15.75" x14ac:dyDescent="0.25">
      <c r="C257" s="435">
        <v>43344</v>
      </c>
      <c r="D257" s="340" t="s">
        <v>799</v>
      </c>
      <c r="E257" s="340" t="s">
        <v>799</v>
      </c>
      <c r="F257" s="454">
        <v>20</v>
      </c>
      <c r="G257" s="436">
        <v>24</v>
      </c>
      <c r="H257" s="437">
        <f t="shared" si="23"/>
        <v>4</v>
      </c>
      <c r="I257" s="444">
        <f t="shared" si="24"/>
        <v>0</v>
      </c>
      <c r="J257" s="458"/>
    </row>
    <row r="258" spans="2:10" ht="15.75" x14ac:dyDescent="0.25">
      <c r="C258" s="435">
        <v>43344</v>
      </c>
      <c r="D258" s="340" t="s">
        <v>799</v>
      </c>
      <c r="E258" s="340" t="s">
        <v>799</v>
      </c>
      <c r="F258" s="454">
        <v>20</v>
      </c>
      <c r="G258" s="436">
        <v>25</v>
      </c>
      <c r="H258" s="437">
        <f>G258-F258</f>
        <v>5</v>
      </c>
      <c r="I258" s="444">
        <f>IF(G258&lt;=F258,1,0)</f>
        <v>0</v>
      </c>
      <c r="J258" s="458"/>
    </row>
    <row r="259" spans="2:10" ht="15.75" x14ac:dyDescent="0.25">
      <c r="C259" s="435">
        <v>43346</v>
      </c>
      <c r="D259" s="340" t="s">
        <v>628</v>
      </c>
      <c r="E259" s="340" t="s">
        <v>629</v>
      </c>
      <c r="F259" s="454">
        <v>10</v>
      </c>
      <c r="G259" s="436">
        <v>18</v>
      </c>
      <c r="H259" s="437">
        <f t="shared" si="23"/>
        <v>8</v>
      </c>
      <c r="I259" s="444">
        <f t="shared" si="24"/>
        <v>0</v>
      </c>
      <c r="J259" s="458"/>
    </row>
    <row r="260" spans="2:10" ht="15.75" x14ac:dyDescent="0.25">
      <c r="C260" s="435">
        <v>43348</v>
      </c>
      <c r="D260" s="340" t="s">
        <v>374</v>
      </c>
      <c r="E260" s="340" t="s">
        <v>793</v>
      </c>
      <c r="F260" s="454">
        <v>100</v>
      </c>
      <c r="G260" s="436">
        <v>122</v>
      </c>
      <c r="H260" s="437">
        <f t="shared" si="23"/>
        <v>22</v>
      </c>
      <c r="I260" s="444">
        <f t="shared" si="24"/>
        <v>0</v>
      </c>
      <c r="J260" s="458"/>
    </row>
    <row r="261" spans="2:10" ht="15.75" x14ac:dyDescent="0.25">
      <c r="C261" s="435">
        <v>43349</v>
      </c>
      <c r="D261" s="340" t="s">
        <v>628</v>
      </c>
      <c r="E261" s="340" t="s">
        <v>629</v>
      </c>
      <c r="F261" s="454">
        <v>10</v>
      </c>
      <c r="G261" s="436">
        <v>10</v>
      </c>
      <c r="H261" s="437">
        <f t="shared" si="23"/>
        <v>0</v>
      </c>
      <c r="I261" s="444">
        <f t="shared" si="24"/>
        <v>1</v>
      </c>
      <c r="J261" s="458"/>
    </row>
    <row r="262" spans="2:10" ht="15.75" x14ac:dyDescent="0.25">
      <c r="C262" s="435">
        <v>43350</v>
      </c>
      <c r="D262" s="340" t="s">
        <v>787</v>
      </c>
      <c r="E262" s="340" t="s">
        <v>631</v>
      </c>
      <c r="F262" s="454">
        <v>45</v>
      </c>
      <c r="G262" s="436">
        <v>50</v>
      </c>
      <c r="H262" s="437">
        <f t="shared" si="23"/>
        <v>5</v>
      </c>
      <c r="I262" s="444">
        <f t="shared" si="24"/>
        <v>0</v>
      </c>
      <c r="J262" s="458"/>
    </row>
    <row r="263" spans="2:10" ht="15.75" x14ac:dyDescent="0.25">
      <c r="C263" s="435"/>
      <c r="D263" s="340"/>
      <c r="E263" s="340"/>
      <c r="F263" s="454"/>
      <c r="G263" s="436"/>
      <c r="H263" s="437"/>
      <c r="I263" s="444"/>
      <c r="J263" s="458"/>
    </row>
    <row r="264" spans="2:10" ht="16.5" thickBot="1" x14ac:dyDescent="0.3">
      <c r="C264" s="435"/>
      <c r="D264" s="340"/>
      <c r="E264" s="340"/>
      <c r="F264" s="454"/>
      <c r="G264" s="436"/>
      <c r="H264" s="437"/>
      <c r="I264" s="444"/>
      <c r="J264" s="441"/>
    </row>
    <row r="265" spans="2:10" ht="17.25" thickBot="1" x14ac:dyDescent="0.3">
      <c r="B265" t="str">
        <f t="shared" si="4"/>
        <v/>
      </c>
      <c r="C265" s="1175" t="s">
        <v>801</v>
      </c>
      <c r="D265" s="1176"/>
      <c r="E265" s="1176"/>
      <c r="F265" s="449">
        <f>SUM(F138:F264)</f>
        <v>3450</v>
      </c>
      <c r="G265" s="450">
        <f>SUM(G138:G264)</f>
        <v>3868</v>
      </c>
      <c r="H265" s="455">
        <f>SUM(H138:H264)</f>
        <v>418</v>
      </c>
      <c r="I265" s="456">
        <f>AVERAGE(I138:I264)</f>
        <v>0.5</v>
      </c>
    </row>
    <row r="266" spans="2:10" x14ac:dyDescent="0.2">
      <c r="B266" t="str">
        <f t="shared" si="4"/>
        <v/>
      </c>
    </row>
    <row r="267" spans="2:10" x14ac:dyDescent="0.2">
      <c r="B267" t="str">
        <f t="shared" si="4"/>
        <v/>
      </c>
    </row>
    <row r="268" spans="2:10" x14ac:dyDescent="0.2">
      <c r="B268" t="str">
        <f t="shared" si="4"/>
        <v/>
      </c>
    </row>
    <row r="269" spans="2:10" x14ac:dyDescent="0.2">
      <c r="B269" t="str">
        <f t="shared" si="4"/>
        <v/>
      </c>
    </row>
    <row r="270" spans="2:10" x14ac:dyDescent="0.2">
      <c r="B270" t="str">
        <f t="shared" si="4"/>
        <v/>
      </c>
    </row>
    <row r="271" spans="2:10" x14ac:dyDescent="0.2">
      <c r="B271" t="str">
        <f t="shared" si="4"/>
        <v/>
      </c>
    </row>
    <row r="272" spans="2:10" x14ac:dyDescent="0.2">
      <c r="B272" t="str">
        <f t="shared" si="4"/>
        <v/>
      </c>
    </row>
    <row r="273" spans="2:2" x14ac:dyDescent="0.2">
      <c r="B273" t="str">
        <f t="shared" si="4"/>
        <v/>
      </c>
    </row>
    <row r="274" spans="2:2" x14ac:dyDescent="0.2">
      <c r="B274" t="str">
        <f t="shared" si="4"/>
        <v/>
      </c>
    </row>
    <row r="275" spans="2:2" x14ac:dyDescent="0.2">
      <c r="B275" t="str">
        <f t="shared" si="4"/>
        <v/>
      </c>
    </row>
    <row r="276" spans="2:2" x14ac:dyDescent="0.2">
      <c r="B276" t="str">
        <f t="shared" si="4"/>
        <v/>
      </c>
    </row>
    <row r="277" spans="2:2" x14ac:dyDescent="0.2">
      <c r="B277" t="str">
        <f t="shared" si="4"/>
        <v/>
      </c>
    </row>
    <row r="278" spans="2:2" x14ac:dyDescent="0.2">
      <c r="B278" t="str">
        <f t="shared" si="4"/>
        <v/>
      </c>
    </row>
    <row r="279" spans="2:2" x14ac:dyDescent="0.2">
      <c r="B279" t="str">
        <f t="shared" si="4"/>
        <v/>
      </c>
    </row>
    <row r="280" spans="2:2" x14ac:dyDescent="0.2">
      <c r="B280" t="str">
        <f t="shared" si="4"/>
        <v/>
      </c>
    </row>
    <row r="281" spans="2:2" x14ac:dyDescent="0.2">
      <c r="B281" t="str">
        <f t="shared" si="4"/>
        <v/>
      </c>
    </row>
    <row r="282" spans="2:2" x14ac:dyDescent="0.2">
      <c r="B282" t="str">
        <f t="shared" si="4"/>
        <v/>
      </c>
    </row>
    <row r="283" spans="2:2" x14ac:dyDescent="0.2">
      <c r="B283" t="str">
        <f t="shared" si="4"/>
        <v/>
      </c>
    </row>
    <row r="284" spans="2:2" x14ac:dyDescent="0.2">
      <c r="B284" t="str">
        <f t="shared" si="4"/>
        <v/>
      </c>
    </row>
    <row r="285" spans="2:2" x14ac:dyDescent="0.2">
      <c r="B285" t="str">
        <f t="shared" si="4"/>
        <v/>
      </c>
    </row>
    <row r="286" spans="2:2" x14ac:dyDescent="0.2">
      <c r="B286" t="str">
        <f t="shared" si="4"/>
        <v/>
      </c>
    </row>
    <row r="287" spans="2:2" x14ac:dyDescent="0.2">
      <c r="B287" t="str">
        <f t="shared" si="4"/>
        <v/>
      </c>
    </row>
    <row r="288" spans="2:2" x14ac:dyDescent="0.2">
      <c r="B288" t="str">
        <f t="shared" si="4"/>
        <v/>
      </c>
    </row>
    <row r="289" spans="2:2" x14ac:dyDescent="0.2">
      <c r="B289" t="str">
        <f t="shared" si="4"/>
        <v/>
      </c>
    </row>
    <row r="290" spans="2:2" x14ac:dyDescent="0.2">
      <c r="B290" t="str">
        <f t="shared" si="4"/>
        <v/>
      </c>
    </row>
    <row r="291" spans="2:2" x14ac:dyDescent="0.2">
      <c r="B291" t="str">
        <f t="shared" si="4"/>
        <v/>
      </c>
    </row>
    <row r="292" spans="2:2" x14ac:dyDescent="0.2">
      <c r="B292" t="str">
        <f t="shared" si="4"/>
        <v/>
      </c>
    </row>
    <row r="293" spans="2:2" x14ac:dyDescent="0.2">
      <c r="B293" t="str">
        <f t="shared" si="4"/>
        <v/>
      </c>
    </row>
    <row r="294" spans="2:2" x14ac:dyDescent="0.2">
      <c r="B294" t="str">
        <f t="shared" si="4"/>
        <v/>
      </c>
    </row>
    <row r="295" spans="2:2" x14ac:dyDescent="0.2">
      <c r="B295" t="str">
        <f t="shared" si="4"/>
        <v/>
      </c>
    </row>
    <row r="296" spans="2:2" x14ac:dyDescent="0.2">
      <c r="B296" t="str">
        <f t="shared" si="4"/>
        <v/>
      </c>
    </row>
    <row r="297" spans="2:2" x14ac:dyDescent="0.2">
      <c r="B297" t="str">
        <f t="shared" si="4"/>
        <v/>
      </c>
    </row>
    <row r="298" spans="2:2" x14ac:dyDescent="0.2">
      <c r="B298" t="str">
        <f t="shared" si="4"/>
        <v/>
      </c>
    </row>
    <row r="299" spans="2:2" x14ac:dyDescent="0.2">
      <c r="B299" t="str">
        <f t="shared" si="4"/>
        <v/>
      </c>
    </row>
    <row r="300" spans="2:2" x14ac:dyDescent="0.2">
      <c r="B300" t="str">
        <f t="shared" si="4"/>
        <v/>
      </c>
    </row>
    <row r="301" spans="2:2" x14ac:dyDescent="0.2">
      <c r="B301" t="str">
        <f t="shared" si="4"/>
        <v/>
      </c>
    </row>
    <row r="302" spans="2:2" x14ac:dyDescent="0.2">
      <c r="B302" t="str">
        <f t="shared" si="4"/>
        <v/>
      </c>
    </row>
    <row r="303" spans="2:2" x14ac:dyDescent="0.2">
      <c r="B303" t="str">
        <f t="shared" si="4"/>
        <v/>
      </c>
    </row>
    <row r="304" spans="2:2" x14ac:dyDescent="0.2">
      <c r="B304" t="str">
        <f t="shared" si="4"/>
        <v/>
      </c>
    </row>
    <row r="305" spans="2:2" x14ac:dyDescent="0.2">
      <c r="B305" t="str">
        <f t="shared" si="4"/>
        <v/>
      </c>
    </row>
    <row r="306" spans="2:2" x14ac:dyDescent="0.2">
      <c r="B306" t="str">
        <f t="shared" si="4"/>
        <v/>
      </c>
    </row>
    <row r="307" spans="2:2" x14ac:dyDescent="0.2">
      <c r="B307" t="str">
        <f t="shared" si="4"/>
        <v/>
      </c>
    </row>
    <row r="308" spans="2:2" x14ac:dyDescent="0.2">
      <c r="B308" t="str">
        <f t="shared" si="4"/>
        <v/>
      </c>
    </row>
    <row r="309" spans="2:2" x14ac:dyDescent="0.2">
      <c r="B309" t="str">
        <f t="shared" si="4"/>
        <v/>
      </c>
    </row>
    <row r="310" spans="2:2" x14ac:dyDescent="0.2">
      <c r="B310" t="str">
        <f t="shared" si="4"/>
        <v/>
      </c>
    </row>
    <row r="311" spans="2:2" x14ac:dyDescent="0.2">
      <c r="B311" t="str">
        <f t="shared" si="4"/>
        <v/>
      </c>
    </row>
    <row r="312" spans="2:2" x14ac:dyDescent="0.2">
      <c r="B312" t="str">
        <f t="shared" si="4"/>
        <v/>
      </c>
    </row>
    <row r="313" spans="2:2" x14ac:dyDescent="0.2">
      <c r="B313" t="str">
        <f t="shared" si="4"/>
        <v/>
      </c>
    </row>
    <row r="314" spans="2:2" x14ac:dyDescent="0.2">
      <c r="B314" t="str">
        <f t="shared" si="4"/>
        <v/>
      </c>
    </row>
    <row r="315" spans="2:2" x14ac:dyDescent="0.2">
      <c r="B315" t="str">
        <f t="shared" si="4"/>
        <v/>
      </c>
    </row>
    <row r="316" spans="2:2" x14ac:dyDescent="0.2">
      <c r="B316" t="str">
        <f t="shared" si="4"/>
        <v/>
      </c>
    </row>
    <row r="317" spans="2:2" x14ac:dyDescent="0.2">
      <c r="B317" t="str">
        <f t="shared" si="4"/>
        <v/>
      </c>
    </row>
    <row r="318" spans="2:2" x14ac:dyDescent="0.2">
      <c r="B318" t="str">
        <f t="shared" si="4"/>
        <v/>
      </c>
    </row>
    <row r="319" spans="2:2" x14ac:dyDescent="0.2">
      <c r="B319" t="str">
        <f t="shared" si="4"/>
        <v/>
      </c>
    </row>
    <row r="320" spans="2:2" x14ac:dyDescent="0.2">
      <c r="B320" t="str">
        <f t="shared" ref="B320:B383" si="25">(D320&amp;E320)</f>
        <v/>
      </c>
    </row>
    <row r="321" spans="2:2" x14ac:dyDescent="0.2">
      <c r="B321" t="str">
        <f t="shared" si="25"/>
        <v/>
      </c>
    </row>
    <row r="322" spans="2:2" x14ac:dyDescent="0.2">
      <c r="B322" t="str">
        <f t="shared" si="25"/>
        <v/>
      </c>
    </row>
    <row r="323" spans="2:2" x14ac:dyDescent="0.2">
      <c r="B323" t="str">
        <f t="shared" si="25"/>
        <v/>
      </c>
    </row>
    <row r="324" spans="2:2" x14ac:dyDescent="0.2">
      <c r="B324" t="str">
        <f t="shared" si="25"/>
        <v/>
      </c>
    </row>
    <row r="325" spans="2:2" x14ac:dyDescent="0.2">
      <c r="B325" t="str">
        <f t="shared" si="25"/>
        <v/>
      </c>
    </row>
    <row r="326" spans="2:2" x14ac:dyDescent="0.2">
      <c r="B326" t="str">
        <f t="shared" si="25"/>
        <v/>
      </c>
    </row>
    <row r="327" spans="2:2" x14ac:dyDescent="0.2">
      <c r="B327" t="str">
        <f t="shared" si="25"/>
        <v/>
      </c>
    </row>
    <row r="328" spans="2:2" x14ac:dyDescent="0.2">
      <c r="B328" t="str">
        <f t="shared" si="25"/>
        <v/>
      </c>
    </row>
    <row r="329" spans="2:2" x14ac:dyDescent="0.2">
      <c r="B329" t="str">
        <f t="shared" si="25"/>
        <v/>
      </c>
    </row>
    <row r="330" spans="2:2" x14ac:dyDescent="0.2">
      <c r="B330" t="str">
        <f t="shared" si="25"/>
        <v/>
      </c>
    </row>
    <row r="331" spans="2:2" x14ac:dyDescent="0.2">
      <c r="B331" t="str">
        <f t="shared" si="25"/>
        <v/>
      </c>
    </row>
    <row r="332" spans="2:2" x14ac:dyDescent="0.2">
      <c r="B332" t="str">
        <f t="shared" si="25"/>
        <v/>
      </c>
    </row>
    <row r="333" spans="2:2" x14ac:dyDescent="0.2">
      <c r="B333" t="str">
        <f t="shared" si="25"/>
        <v/>
      </c>
    </row>
    <row r="334" spans="2:2" x14ac:dyDescent="0.2">
      <c r="B334" t="str">
        <f t="shared" si="25"/>
        <v/>
      </c>
    </row>
    <row r="335" spans="2:2" x14ac:dyDescent="0.2">
      <c r="B335" t="str">
        <f t="shared" si="25"/>
        <v/>
      </c>
    </row>
    <row r="336" spans="2:2" x14ac:dyDescent="0.2">
      <c r="B336" t="str">
        <f t="shared" si="25"/>
        <v/>
      </c>
    </row>
    <row r="337" spans="2:2" x14ac:dyDescent="0.2">
      <c r="B337" t="str">
        <f t="shared" si="25"/>
        <v/>
      </c>
    </row>
    <row r="338" spans="2:2" x14ac:dyDescent="0.2">
      <c r="B338" t="str">
        <f t="shared" si="25"/>
        <v/>
      </c>
    </row>
    <row r="339" spans="2:2" x14ac:dyDescent="0.2">
      <c r="B339" t="str">
        <f t="shared" si="25"/>
        <v/>
      </c>
    </row>
    <row r="340" spans="2:2" x14ac:dyDescent="0.2">
      <c r="B340" t="str">
        <f t="shared" si="25"/>
        <v/>
      </c>
    </row>
    <row r="341" spans="2:2" x14ac:dyDescent="0.2">
      <c r="B341" t="str">
        <f t="shared" si="25"/>
        <v/>
      </c>
    </row>
    <row r="342" spans="2:2" x14ac:dyDescent="0.2">
      <c r="B342" t="str">
        <f t="shared" si="25"/>
        <v/>
      </c>
    </row>
    <row r="343" spans="2:2" x14ac:dyDescent="0.2">
      <c r="B343" t="str">
        <f t="shared" si="25"/>
        <v/>
      </c>
    </row>
    <row r="344" spans="2:2" x14ac:dyDescent="0.2">
      <c r="B344" t="str">
        <f t="shared" si="25"/>
        <v/>
      </c>
    </row>
    <row r="345" spans="2:2" x14ac:dyDescent="0.2">
      <c r="B345" t="str">
        <f t="shared" si="25"/>
        <v/>
      </c>
    </row>
    <row r="346" spans="2:2" x14ac:dyDescent="0.2">
      <c r="B346" t="str">
        <f t="shared" si="25"/>
        <v/>
      </c>
    </row>
    <row r="347" spans="2:2" x14ac:dyDescent="0.2">
      <c r="B347" t="str">
        <f t="shared" si="25"/>
        <v/>
      </c>
    </row>
    <row r="348" spans="2:2" x14ac:dyDescent="0.2">
      <c r="B348" t="str">
        <f t="shared" si="25"/>
        <v/>
      </c>
    </row>
    <row r="349" spans="2:2" x14ac:dyDescent="0.2">
      <c r="B349" t="str">
        <f t="shared" si="25"/>
        <v/>
      </c>
    </row>
    <row r="350" spans="2:2" x14ac:dyDescent="0.2">
      <c r="B350" t="str">
        <f t="shared" si="25"/>
        <v/>
      </c>
    </row>
    <row r="351" spans="2:2" x14ac:dyDescent="0.2">
      <c r="B351" t="str">
        <f t="shared" si="25"/>
        <v/>
      </c>
    </row>
    <row r="352" spans="2:2" x14ac:dyDescent="0.2">
      <c r="B352" t="str">
        <f t="shared" si="25"/>
        <v/>
      </c>
    </row>
    <row r="353" spans="2:2" x14ac:dyDescent="0.2">
      <c r="B353" t="str">
        <f t="shared" si="25"/>
        <v/>
      </c>
    </row>
    <row r="354" spans="2:2" x14ac:dyDescent="0.2">
      <c r="B354" t="str">
        <f t="shared" si="25"/>
        <v/>
      </c>
    </row>
    <row r="355" spans="2:2" x14ac:dyDescent="0.2">
      <c r="B355" t="str">
        <f t="shared" si="25"/>
        <v/>
      </c>
    </row>
    <row r="356" spans="2:2" x14ac:dyDescent="0.2">
      <c r="B356" t="str">
        <f t="shared" si="25"/>
        <v/>
      </c>
    </row>
    <row r="357" spans="2:2" x14ac:dyDescent="0.2">
      <c r="B357" t="str">
        <f t="shared" si="25"/>
        <v/>
      </c>
    </row>
    <row r="358" spans="2:2" x14ac:dyDescent="0.2">
      <c r="B358" t="str">
        <f t="shared" si="25"/>
        <v/>
      </c>
    </row>
    <row r="359" spans="2:2" x14ac:dyDescent="0.2">
      <c r="B359" t="str">
        <f t="shared" si="25"/>
        <v/>
      </c>
    </row>
    <row r="360" spans="2:2" x14ac:dyDescent="0.2">
      <c r="B360" t="str">
        <f t="shared" si="25"/>
        <v/>
      </c>
    </row>
    <row r="361" spans="2:2" x14ac:dyDescent="0.2">
      <c r="B361" t="str">
        <f t="shared" si="25"/>
        <v/>
      </c>
    </row>
    <row r="362" spans="2:2" x14ac:dyDescent="0.2">
      <c r="B362" t="str">
        <f t="shared" si="25"/>
        <v/>
      </c>
    </row>
    <row r="363" spans="2:2" x14ac:dyDescent="0.2">
      <c r="B363" t="str">
        <f t="shared" si="25"/>
        <v/>
      </c>
    </row>
    <row r="364" spans="2:2" x14ac:dyDescent="0.2">
      <c r="B364" t="str">
        <f t="shared" si="25"/>
        <v/>
      </c>
    </row>
    <row r="365" spans="2:2" x14ac:dyDescent="0.2">
      <c r="B365" t="str">
        <f t="shared" si="25"/>
        <v/>
      </c>
    </row>
    <row r="366" spans="2:2" x14ac:dyDescent="0.2">
      <c r="B366" t="str">
        <f t="shared" si="25"/>
        <v/>
      </c>
    </row>
    <row r="367" spans="2:2" x14ac:dyDescent="0.2">
      <c r="B367" t="str">
        <f t="shared" si="25"/>
        <v/>
      </c>
    </row>
    <row r="368" spans="2:2" x14ac:dyDescent="0.2">
      <c r="B368" t="str">
        <f t="shared" si="25"/>
        <v/>
      </c>
    </row>
    <row r="369" spans="2:2" x14ac:dyDescent="0.2">
      <c r="B369" t="str">
        <f t="shared" si="25"/>
        <v/>
      </c>
    </row>
    <row r="370" spans="2:2" x14ac:dyDescent="0.2">
      <c r="B370" t="str">
        <f t="shared" si="25"/>
        <v/>
      </c>
    </row>
    <row r="371" spans="2:2" x14ac:dyDescent="0.2">
      <c r="B371" t="str">
        <f t="shared" si="25"/>
        <v/>
      </c>
    </row>
    <row r="372" spans="2:2" x14ac:dyDescent="0.2">
      <c r="B372" t="str">
        <f t="shared" si="25"/>
        <v/>
      </c>
    </row>
    <row r="373" spans="2:2" x14ac:dyDescent="0.2">
      <c r="B373" t="str">
        <f t="shared" si="25"/>
        <v/>
      </c>
    </row>
    <row r="374" spans="2:2" x14ac:dyDescent="0.2">
      <c r="B374" t="str">
        <f t="shared" si="25"/>
        <v/>
      </c>
    </row>
    <row r="375" spans="2:2" x14ac:dyDescent="0.2">
      <c r="B375" t="str">
        <f t="shared" si="25"/>
        <v/>
      </c>
    </row>
    <row r="376" spans="2:2" x14ac:dyDescent="0.2">
      <c r="B376" t="str">
        <f t="shared" si="25"/>
        <v/>
      </c>
    </row>
    <row r="377" spans="2:2" x14ac:dyDescent="0.2">
      <c r="B377" t="str">
        <f t="shared" si="25"/>
        <v/>
      </c>
    </row>
    <row r="378" spans="2:2" x14ac:dyDescent="0.2">
      <c r="B378" t="str">
        <f t="shared" si="25"/>
        <v/>
      </c>
    </row>
    <row r="379" spans="2:2" x14ac:dyDescent="0.2">
      <c r="B379" t="str">
        <f t="shared" si="25"/>
        <v/>
      </c>
    </row>
    <row r="380" spans="2:2" x14ac:dyDescent="0.2">
      <c r="B380" t="str">
        <f t="shared" si="25"/>
        <v/>
      </c>
    </row>
    <row r="381" spans="2:2" x14ac:dyDescent="0.2">
      <c r="B381" t="str">
        <f t="shared" si="25"/>
        <v/>
      </c>
    </row>
    <row r="382" spans="2:2" x14ac:dyDescent="0.2">
      <c r="B382" t="str">
        <f t="shared" si="25"/>
        <v/>
      </c>
    </row>
    <row r="383" spans="2:2" x14ac:dyDescent="0.2">
      <c r="B383" t="str">
        <f t="shared" si="25"/>
        <v/>
      </c>
    </row>
    <row r="384" spans="2:2" x14ac:dyDescent="0.2">
      <c r="B384" t="str">
        <f t="shared" ref="B384:B447" si="26">(D384&amp;E384)</f>
        <v/>
      </c>
    </row>
    <row r="385" spans="2:2" x14ac:dyDescent="0.2">
      <c r="B385" t="str">
        <f t="shared" si="26"/>
        <v/>
      </c>
    </row>
    <row r="386" spans="2:2" x14ac:dyDescent="0.2">
      <c r="B386" t="str">
        <f t="shared" si="26"/>
        <v/>
      </c>
    </row>
    <row r="387" spans="2:2" x14ac:dyDescent="0.2">
      <c r="B387" t="str">
        <f t="shared" si="26"/>
        <v/>
      </c>
    </row>
    <row r="388" spans="2:2" x14ac:dyDescent="0.2">
      <c r="B388" t="str">
        <f t="shared" si="26"/>
        <v/>
      </c>
    </row>
    <row r="389" spans="2:2" x14ac:dyDescent="0.2">
      <c r="B389" t="str">
        <f t="shared" si="26"/>
        <v/>
      </c>
    </row>
    <row r="390" spans="2:2" x14ac:dyDescent="0.2">
      <c r="B390" t="str">
        <f t="shared" si="26"/>
        <v/>
      </c>
    </row>
    <row r="391" spans="2:2" x14ac:dyDescent="0.2">
      <c r="B391" t="str">
        <f t="shared" si="26"/>
        <v/>
      </c>
    </row>
    <row r="392" spans="2:2" x14ac:dyDescent="0.2">
      <c r="B392" t="str">
        <f t="shared" si="26"/>
        <v/>
      </c>
    </row>
    <row r="393" spans="2:2" x14ac:dyDescent="0.2">
      <c r="B393" t="str">
        <f t="shared" si="26"/>
        <v/>
      </c>
    </row>
    <row r="394" spans="2:2" x14ac:dyDescent="0.2">
      <c r="B394" t="str">
        <f t="shared" si="26"/>
        <v/>
      </c>
    </row>
    <row r="395" spans="2:2" x14ac:dyDescent="0.2">
      <c r="B395" t="str">
        <f t="shared" si="26"/>
        <v/>
      </c>
    </row>
    <row r="396" spans="2:2" x14ac:dyDescent="0.2">
      <c r="B396" t="str">
        <f t="shared" si="26"/>
        <v/>
      </c>
    </row>
    <row r="397" spans="2:2" x14ac:dyDescent="0.2">
      <c r="B397" t="str">
        <f t="shared" si="26"/>
        <v/>
      </c>
    </row>
    <row r="398" spans="2:2" x14ac:dyDescent="0.2">
      <c r="B398" t="str">
        <f t="shared" si="26"/>
        <v/>
      </c>
    </row>
    <row r="399" spans="2:2" x14ac:dyDescent="0.2">
      <c r="B399" t="str">
        <f t="shared" si="26"/>
        <v/>
      </c>
    </row>
    <row r="400" spans="2:2" x14ac:dyDescent="0.2">
      <c r="B400" t="str">
        <f t="shared" si="26"/>
        <v/>
      </c>
    </row>
    <row r="401" spans="2:2" x14ac:dyDescent="0.2">
      <c r="B401" t="str">
        <f t="shared" si="26"/>
        <v/>
      </c>
    </row>
    <row r="402" spans="2:2" x14ac:dyDescent="0.2">
      <c r="B402" t="str">
        <f t="shared" si="26"/>
        <v/>
      </c>
    </row>
    <row r="403" spans="2:2" x14ac:dyDescent="0.2">
      <c r="B403" t="str">
        <f t="shared" si="26"/>
        <v/>
      </c>
    </row>
    <row r="404" spans="2:2" x14ac:dyDescent="0.2">
      <c r="B404" t="str">
        <f t="shared" si="26"/>
        <v/>
      </c>
    </row>
    <row r="405" spans="2:2" x14ac:dyDescent="0.2">
      <c r="B405" t="str">
        <f t="shared" si="26"/>
        <v/>
      </c>
    </row>
    <row r="406" spans="2:2" x14ac:dyDescent="0.2">
      <c r="B406" t="str">
        <f t="shared" si="26"/>
        <v/>
      </c>
    </row>
    <row r="407" spans="2:2" x14ac:dyDescent="0.2">
      <c r="B407" t="str">
        <f t="shared" si="26"/>
        <v/>
      </c>
    </row>
    <row r="408" spans="2:2" x14ac:dyDescent="0.2">
      <c r="B408" t="str">
        <f t="shared" si="26"/>
        <v/>
      </c>
    </row>
    <row r="409" spans="2:2" x14ac:dyDescent="0.2">
      <c r="B409" t="str">
        <f t="shared" si="26"/>
        <v/>
      </c>
    </row>
    <row r="410" spans="2:2" x14ac:dyDescent="0.2">
      <c r="B410" t="str">
        <f t="shared" si="26"/>
        <v/>
      </c>
    </row>
    <row r="411" spans="2:2" x14ac:dyDescent="0.2">
      <c r="B411" t="str">
        <f t="shared" si="26"/>
        <v/>
      </c>
    </row>
    <row r="412" spans="2:2" x14ac:dyDescent="0.2">
      <c r="B412" t="str">
        <f t="shared" si="26"/>
        <v/>
      </c>
    </row>
    <row r="413" spans="2:2" x14ac:dyDescent="0.2">
      <c r="B413" t="str">
        <f t="shared" si="26"/>
        <v/>
      </c>
    </row>
    <row r="414" spans="2:2" x14ac:dyDescent="0.2">
      <c r="B414" t="str">
        <f t="shared" si="26"/>
        <v/>
      </c>
    </row>
    <row r="415" spans="2:2" x14ac:dyDescent="0.2">
      <c r="B415" t="str">
        <f t="shared" si="26"/>
        <v/>
      </c>
    </row>
    <row r="416" spans="2:2" x14ac:dyDescent="0.2">
      <c r="B416" t="str">
        <f t="shared" si="26"/>
        <v/>
      </c>
    </row>
    <row r="417" spans="2:2" x14ac:dyDescent="0.2">
      <c r="B417" t="str">
        <f t="shared" si="26"/>
        <v/>
      </c>
    </row>
    <row r="418" spans="2:2" x14ac:dyDescent="0.2">
      <c r="B418" t="str">
        <f t="shared" si="26"/>
        <v/>
      </c>
    </row>
    <row r="419" spans="2:2" x14ac:dyDescent="0.2">
      <c r="B419" t="str">
        <f t="shared" si="26"/>
        <v/>
      </c>
    </row>
    <row r="420" spans="2:2" x14ac:dyDescent="0.2">
      <c r="B420" t="str">
        <f t="shared" si="26"/>
        <v/>
      </c>
    </row>
    <row r="421" spans="2:2" x14ac:dyDescent="0.2">
      <c r="B421" t="str">
        <f t="shared" si="26"/>
        <v/>
      </c>
    </row>
    <row r="422" spans="2:2" x14ac:dyDescent="0.2">
      <c r="B422" t="str">
        <f t="shared" si="26"/>
        <v/>
      </c>
    </row>
    <row r="423" spans="2:2" x14ac:dyDescent="0.2">
      <c r="B423" t="str">
        <f t="shared" si="26"/>
        <v/>
      </c>
    </row>
    <row r="424" spans="2:2" x14ac:dyDescent="0.2">
      <c r="B424" t="str">
        <f t="shared" si="26"/>
        <v/>
      </c>
    </row>
    <row r="425" spans="2:2" x14ac:dyDescent="0.2">
      <c r="B425" t="str">
        <f t="shared" si="26"/>
        <v/>
      </c>
    </row>
    <row r="426" spans="2:2" x14ac:dyDescent="0.2">
      <c r="B426" t="str">
        <f t="shared" si="26"/>
        <v/>
      </c>
    </row>
    <row r="427" spans="2:2" x14ac:dyDescent="0.2">
      <c r="B427" t="str">
        <f t="shared" si="26"/>
        <v/>
      </c>
    </row>
    <row r="428" spans="2:2" x14ac:dyDescent="0.2">
      <c r="B428" t="str">
        <f t="shared" si="26"/>
        <v/>
      </c>
    </row>
    <row r="429" spans="2:2" x14ac:dyDescent="0.2">
      <c r="B429" t="str">
        <f t="shared" si="26"/>
        <v/>
      </c>
    </row>
    <row r="430" spans="2:2" x14ac:dyDescent="0.2">
      <c r="B430" t="str">
        <f t="shared" si="26"/>
        <v/>
      </c>
    </row>
    <row r="431" spans="2:2" x14ac:dyDescent="0.2">
      <c r="B431" t="str">
        <f t="shared" si="26"/>
        <v/>
      </c>
    </row>
    <row r="432" spans="2:2" x14ac:dyDescent="0.2">
      <c r="B432" t="str">
        <f t="shared" si="26"/>
        <v/>
      </c>
    </row>
    <row r="433" spans="2:2" x14ac:dyDescent="0.2">
      <c r="B433" t="str">
        <f t="shared" si="26"/>
        <v/>
      </c>
    </row>
    <row r="434" spans="2:2" x14ac:dyDescent="0.2">
      <c r="B434" t="str">
        <f t="shared" si="26"/>
        <v/>
      </c>
    </row>
    <row r="435" spans="2:2" x14ac:dyDescent="0.2">
      <c r="B435" t="str">
        <f t="shared" si="26"/>
        <v/>
      </c>
    </row>
    <row r="436" spans="2:2" x14ac:dyDescent="0.2">
      <c r="B436" t="str">
        <f t="shared" si="26"/>
        <v/>
      </c>
    </row>
    <row r="437" spans="2:2" x14ac:dyDescent="0.2">
      <c r="B437" t="str">
        <f t="shared" si="26"/>
        <v/>
      </c>
    </row>
    <row r="438" spans="2:2" x14ac:dyDescent="0.2">
      <c r="B438" t="str">
        <f t="shared" si="26"/>
        <v/>
      </c>
    </row>
    <row r="439" spans="2:2" x14ac:dyDescent="0.2">
      <c r="B439" t="str">
        <f t="shared" si="26"/>
        <v/>
      </c>
    </row>
    <row r="440" spans="2:2" x14ac:dyDescent="0.2">
      <c r="B440" t="str">
        <f t="shared" si="26"/>
        <v/>
      </c>
    </row>
    <row r="441" spans="2:2" x14ac:dyDescent="0.2">
      <c r="B441" t="str">
        <f t="shared" si="26"/>
        <v/>
      </c>
    </row>
    <row r="442" spans="2:2" x14ac:dyDescent="0.2">
      <c r="B442" t="str">
        <f t="shared" si="26"/>
        <v/>
      </c>
    </row>
    <row r="443" spans="2:2" x14ac:dyDescent="0.2">
      <c r="B443" t="str">
        <f t="shared" si="26"/>
        <v/>
      </c>
    </row>
    <row r="444" spans="2:2" x14ac:dyDescent="0.2">
      <c r="B444" t="str">
        <f t="shared" si="26"/>
        <v/>
      </c>
    </row>
    <row r="445" spans="2:2" x14ac:dyDescent="0.2">
      <c r="B445" t="str">
        <f t="shared" si="26"/>
        <v/>
      </c>
    </row>
    <row r="446" spans="2:2" x14ac:dyDescent="0.2">
      <c r="B446" t="str">
        <f t="shared" si="26"/>
        <v/>
      </c>
    </row>
    <row r="447" spans="2:2" x14ac:dyDescent="0.2">
      <c r="B447" t="str">
        <f t="shared" si="26"/>
        <v/>
      </c>
    </row>
    <row r="448" spans="2:2" x14ac:dyDescent="0.2">
      <c r="B448" t="str">
        <f t="shared" ref="B448:B511" si="27">(D448&amp;E448)</f>
        <v/>
      </c>
    </row>
    <row r="449" spans="2:2" x14ac:dyDescent="0.2">
      <c r="B449" t="str">
        <f t="shared" si="27"/>
        <v/>
      </c>
    </row>
    <row r="450" spans="2:2" x14ac:dyDescent="0.2">
      <c r="B450" t="str">
        <f t="shared" si="27"/>
        <v/>
      </c>
    </row>
    <row r="451" spans="2:2" x14ac:dyDescent="0.2">
      <c r="B451" t="str">
        <f t="shared" si="27"/>
        <v/>
      </c>
    </row>
    <row r="452" spans="2:2" x14ac:dyDescent="0.2">
      <c r="B452" t="str">
        <f t="shared" si="27"/>
        <v/>
      </c>
    </row>
    <row r="453" spans="2:2" x14ac:dyDescent="0.2">
      <c r="B453" t="str">
        <f t="shared" si="27"/>
        <v/>
      </c>
    </row>
    <row r="454" spans="2:2" x14ac:dyDescent="0.2">
      <c r="B454" t="str">
        <f t="shared" si="27"/>
        <v/>
      </c>
    </row>
    <row r="455" spans="2:2" x14ac:dyDescent="0.2">
      <c r="B455" t="str">
        <f t="shared" si="27"/>
        <v/>
      </c>
    </row>
    <row r="456" spans="2:2" x14ac:dyDescent="0.2">
      <c r="B456" t="str">
        <f t="shared" si="27"/>
        <v/>
      </c>
    </row>
    <row r="457" spans="2:2" x14ac:dyDescent="0.2">
      <c r="B457" t="str">
        <f t="shared" si="27"/>
        <v/>
      </c>
    </row>
    <row r="458" spans="2:2" x14ac:dyDescent="0.2">
      <c r="B458" t="str">
        <f t="shared" si="27"/>
        <v/>
      </c>
    </row>
    <row r="459" spans="2:2" x14ac:dyDescent="0.2">
      <c r="B459" t="str">
        <f t="shared" si="27"/>
        <v/>
      </c>
    </row>
    <row r="460" spans="2:2" x14ac:dyDescent="0.2">
      <c r="B460" t="str">
        <f t="shared" si="27"/>
        <v/>
      </c>
    </row>
    <row r="461" spans="2:2" x14ac:dyDescent="0.2">
      <c r="B461" t="str">
        <f t="shared" si="27"/>
        <v/>
      </c>
    </row>
    <row r="462" spans="2:2" x14ac:dyDescent="0.2">
      <c r="B462" t="str">
        <f t="shared" si="27"/>
        <v/>
      </c>
    </row>
    <row r="463" spans="2:2" x14ac:dyDescent="0.2">
      <c r="B463" t="str">
        <f t="shared" si="27"/>
        <v/>
      </c>
    </row>
    <row r="464" spans="2:2" x14ac:dyDescent="0.2">
      <c r="B464" t="str">
        <f t="shared" si="27"/>
        <v/>
      </c>
    </row>
    <row r="465" spans="2:2" x14ac:dyDescent="0.2">
      <c r="B465" t="str">
        <f t="shared" si="27"/>
        <v/>
      </c>
    </row>
    <row r="466" spans="2:2" x14ac:dyDescent="0.2">
      <c r="B466" t="str">
        <f t="shared" si="27"/>
        <v/>
      </c>
    </row>
    <row r="467" spans="2:2" x14ac:dyDescent="0.2">
      <c r="B467" t="str">
        <f t="shared" si="27"/>
        <v/>
      </c>
    </row>
    <row r="468" spans="2:2" x14ac:dyDescent="0.2">
      <c r="B468" t="str">
        <f t="shared" si="27"/>
        <v/>
      </c>
    </row>
    <row r="469" spans="2:2" x14ac:dyDescent="0.2">
      <c r="B469" t="str">
        <f t="shared" si="27"/>
        <v/>
      </c>
    </row>
    <row r="470" spans="2:2" x14ac:dyDescent="0.2">
      <c r="B470" t="str">
        <f t="shared" si="27"/>
        <v/>
      </c>
    </row>
    <row r="471" spans="2:2" x14ac:dyDescent="0.2">
      <c r="B471" t="str">
        <f t="shared" si="27"/>
        <v/>
      </c>
    </row>
    <row r="472" spans="2:2" x14ac:dyDescent="0.2">
      <c r="B472" t="str">
        <f t="shared" si="27"/>
        <v/>
      </c>
    </row>
    <row r="473" spans="2:2" x14ac:dyDescent="0.2">
      <c r="B473" t="str">
        <f t="shared" si="27"/>
        <v/>
      </c>
    </row>
    <row r="474" spans="2:2" x14ac:dyDescent="0.2">
      <c r="B474" t="str">
        <f t="shared" si="27"/>
        <v/>
      </c>
    </row>
    <row r="475" spans="2:2" x14ac:dyDescent="0.2">
      <c r="B475" t="str">
        <f t="shared" si="27"/>
        <v/>
      </c>
    </row>
    <row r="476" spans="2:2" x14ac:dyDescent="0.2">
      <c r="B476" t="str">
        <f t="shared" si="27"/>
        <v/>
      </c>
    </row>
    <row r="477" spans="2:2" x14ac:dyDescent="0.2">
      <c r="B477" t="str">
        <f t="shared" si="27"/>
        <v/>
      </c>
    </row>
    <row r="478" spans="2:2" x14ac:dyDescent="0.2">
      <c r="B478" t="str">
        <f t="shared" si="27"/>
        <v/>
      </c>
    </row>
    <row r="479" spans="2:2" x14ac:dyDescent="0.2">
      <c r="B479" t="str">
        <f t="shared" si="27"/>
        <v/>
      </c>
    </row>
    <row r="480" spans="2:2" x14ac:dyDescent="0.2">
      <c r="B480" t="str">
        <f t="shared" si="27"/>
        <v/>
      </c>
    </row>
    <row r="481" spans="2:2" x14ac:dyDescent="0.2">
      <c r="B481" t="str">
        <f t="shared" si="27"/>
        <v/>
      </c>
    </row>
    <row r="482" spans="2:2" x14ac:dyDescent="0.2">
      <c r="B482" t="str">
        <f t="shared" si="27"/>
        <v/>
      </c>
    </row>
    <row r="483" spans="2:2" x14ac:dyDescent="0.2">
      <c r="B483" t="str">
        <f t="shared" si="27"/>
        <v/>
      </c>
    </row>
    <row r="484" spans="2:2" x14ac:dyDescent="0.2">
      <c r="B484" t="str">
        <f t="shared" si="27"/>
        <v/>
      </c>
    </row>
    <row r="485" spans="2:2" x14ac:dyDescent="0.2">
      <c r="B485" t="str">
        <f t="shared" si="27"/>
        <v/>
      </c>
    </row>
    <row r="486" spans="2:2" x14ac:dyDescent="0.2">
      <c r="B486" t="str">
        <f t="shared" si="27"/>
        <v/>
      </c>
    </row>
    <row r="487" spans="2:2" x14ac:dyDescent="0.2">
      <c r="B487" t="str">
        <f t="shared" si="27"/>
        <v/>
      </c>
    </row>
    <row r="488" spans="2:2" x14ac:dyDescent="0.2">
      <c r="B488" t="str">
        <f t="shared" si="27"/>
        <v/>
      </c>
    </row>
    <row r="489" spans="2:2" x14ac:dyDescent="0.2">
      <c r="B489" t="str">
        <f t="shared" si="27"/>
        <v/>
      </c>
    </row>
    <row r="490" spans="2:2" x14ac:dyDescent="0.2">
      <c r="B490" t="str">
        <f t="shared" si="27"/>
        <v/>
      </c>
    </row>
    <row r="491" spans="2:2" x14ac:dyDescent="0.2">
      <c r="B491" t="str">
        <f t="shared" si="27"/>
        <v/>
      </c>
    </row>
    <row r="492" spans="2:2" x14ac:dyDescent="0.2">
      <c r="B492" t="str">
        <f t="shared" si="27"/>
        <v/>
      </c>
    </row>
    <row r="493" spans="2:2" x14ac:dyDescent="0.2">
      <c r="B493" t="str">
        <f t="shared" si="27"/>
        <v/>
      </c>
    </row>
    <row r="494" spans="2:2" x14ac:dyDescent="0.2">
      <c r="B494" t="str">
        <f t="shared" si="27"/>
        <v/>
      </c>
    </row>
    <row r="495" spans="2:2" x14ac:dyDescent="0.2">
      <c r="B495" t="str">
        <f t="shared" si="27"/>
        <v/>
      </c>
    </row>
    <row r="496" spans="2:2" x14ac:dyDescent="0.2">
      <c r="B496" t="str">
        <f t="shared" si="27"/>
        <v/>
      </c>
    </row>
    <row r="497" spans="2:2" x14ac:dyDescent="0.2">
      <c r="B497" t="str">
        <f t="shared" si="27"/>
        <v/>
      </c>
    </row>
    <row r="498" spans="2:2" x14ac:dyDescent="0.2">
      <c r="B498" t="str">
        <f t="shared" si="27"/>
        <v/>
      </c>
    </row>
    <row r="499" spans="2:2" x14ac:dyDescent="0.2">
      <c r="B499" t="str">
        <f t="shared" si="27"/>
        <v/>
      </c>
    </row>
    <row r="500" spans="2:2" x14ac:dyDescent="0.2">
      <c r="B500" t="str">
        <f t="shared" si="27"/>
        <v/>
      </c>
    </row>
    <row r="501" spans="2:2" x14ac:dyDescent="0.2">
      <c r="B501" t="str">
        <f t="shared" si="27"/>
        <v/>
      </c>
    </row>
    <row r="502" spans="2:2" x14ac:dyDescent="0.2">
      <c r="B502" t="str">
        <f t="shared" si="27"/>
        <v/>
      </c>
    </row>
    <row r="503" spans="2:2" x14ac:dyDescent="0.2">
      <c r="B503" t="str">
        <f t="shared" si="27"/>
        <v/>
      </c>
    </row>
    <row r="504" spans="2:2" x14ac:dyDescent="0.2">
      <c r="B504" t="str">
        <f t="shared" si="27"/>
        <v/>
      </c>
    </row>
    <row r="505" spans="2:2" x14ac:dyDescent="0.2">
      <c r="B505" t="str">
        <f t="shared" si="27"/>
        <v/>
      </c>
    </row>
    <row r="506" spans="2:2" x14ac:dyDescent="0.2">
      <c r="B506" t="str">
        <f t="shared" si="27"/>
        <v/>
      </c>
    </row>
    <row r="507" spans="2:2" x14ac:dyDescent="0.2">
      <c r="B507" t="str">
        <f t="shared" si="27"/>
        <v/>
      </c>
    </row>
    <row r="508" spans="2:2" x14ac:dyDescent="0.2">
      <c r="B508" t="str">
        <f t="shared" si="27"/>
        <v/>
      </c>
    </row>
    <row r="509" spans="2:2" x14ac:dyDescent="0.2">
      <c r="B509" t="str">
        <f t="shared" si="27"/>
        <v/>
      </c>
    </row>
    <row r="510" spans="2:2" x14ac:dyDescent="0.2">
      <c r="B510" t="str">
        <f t="shared" si="27"/>
        <v/>
      </c>
    </row>
    <row r="511" spans="2:2" x14ac:dyDescent="0.2">
      <c r="B511" t="str">
        <f t="shared" si="27"/>
        <v/>
      </c>
    </row>
    <row r="512" spans="2:2" x14ac:dyDescent="0.2">
      <c r="B512" t="str">
        <f t="shared" ref="B512:B575" si="28">(D512&amp;E512)</f>
        <v/>
      </c>
    </row>
    <row r="513" spans="2:2" x14ac:dyDescent="0.2">
      <c r="B513" t="str">
        <f t="shared" si="28"/>
        <v/>
      </c>
    </row>
    <row r="514" spans="2:2" x14ac:dyDescent="0.2">
      <c r="B514" t="str">
        <f t="shared" si="28"/>
        <v/>
      </c>
    </row>
    <row r="515" spans="2:2" x14ac:dyDescent="0.2">
      <c r="B515" t="str">
        <f t="shared" si="28"/>
        <v/>
      </c>
    </row>
    <row r="516" spans="2:2" x14ac:dyDescent="0.2">
      <c r="B516" t="str">
        <f t="shared" si="28"/>
        <v/>
      </c>
    </row>
    <row r="517" spans="2:2" x14ac:dyDescent="0.2">
      <c r="B517" t="str">
        <f t="shared" si="28"/>
        <v/>
      </c>
    </row>
    <row r="518" spans="2:2" x14ac:dyDescent="0.2">
      <c r="B518" t="str">
        <f t="shared" si="28"/>
        <v/>
      </c>
    </row>
    <row r="519" spans="2:2" x14ac:dyDescent="0.2">
      <c r="B519" t="str">
        <f t="shared" si="28"/>
        <v/>
      </c>
    </row>
    <row r="520" spans="2:2" x14ac:dyDescent="0.2">
      <c r="B520" t="str">
        <f t="shared" si="28"/>
        <v/>
      </c>
    </row>
    <row r="521" spans="2:2" x14ac:dyDescent="0.2">
      <c r="B521" t="str">
        <f t="shared" si="28"/>
        <v/>
      </c>
    </row>
    <row r="522" spans="2:2" x14ac:dyDescent="0.2">
      <c r="B522" t="str">
        <f t="shared" si="28"/>
        <v/>
      </c>
    </row>
    <row r="523" spans="2:2" x14ac:dyDescent="0.2">
      <c r="B523" t="str">
        <f t="shared" si="28"/>
        <v/>
      </c>
    </row>
    <row r="524" spans="2:2" x14ac:dyDescent="0.2">
      <c r="B524" t="str">
        <f t="shared" si="28"/>
        <v/>
      </c>
    </row>
    <row r="525" spans="2:2" x14ac:dyDescent="0.2">
      <c r="B525" t="str">
        <f t="shared" si="28"/>
        <v/>
      </c>
    </row>
    <row r="526" spans="2:2" x14ac:dyDescent="0.2">
      <c r="B526" t="str">
        <f t="shared" si="28"/>
        <v/>
      </c>
    </row>
    <row r="527" spans="2:2" x14ac:dyDescent="0.2">
      <c r="B527" t="str">
        <f t="shared" si="28"/>
        <v/>
      </c>
    </row>
    <row r="528" spans="2:2" x14ac:dyDescent="0.2">
      <c r="B528" t="str">
        <f t="shared" si="28"/>
        <v/>
      </c>
    </row>
    <row r="529" spans="2:2" x14ac:dyDescent="0.2">
      <c r="B529" t="str">
        <f t="shared" si="28"/>
        <v/>
      </c>
    </row>
    <row r="530" spans="2:2" x14ac:dyDescent="0.2">
      <c r="B530" t="str">
        <f t="shared" si="28"/>
        <v/>
      </c>
    </row>
    <row r="531" spans="2:2" x14ac:dyDescent="0.2">
      <c r="B531" t="str">
        <f t="shared" si="28"/>
        <v/>
      </c>
    </row>
    <row r="532" spans="2:2" x14ac:dyDescent="0.2">
      <c r="B532" t="str">
        <f t="shared" si="28"/>
        <v/>
      </c>
    </row>
    <row r="533" spans="2:2" x14ac:dyDescent="0.2">
      <c r="B533" t="str">
        <f t="shared" si="28"/>
        <v/>
      </c>
    </row>
    <row r="534" spans="2:2" x14ac:dyDescent="0.2">
      <c r="B534" t="str">
        <f t="shared" si="28"/>
        <v/>
      </c>
    </row>
    <row r="535" spans="2:2" x14ac:dyDescent="0.2">
      <c r="B535" t="str">
        <f t="shared" si="28"/>
        <v/>
      </c>
    </row>
    <row r="536" spans="2:2" x14ac:dyDescent="0.2">
      <c r="B536" t="str">
        <f t="shared" si="28"/>
        <v/>
      </c>
    </row>
    <row r="537" spans="2:2" x14ac:dyDescent="0.2">
      <c r="B537" t="str">
        <f t="shared" si="28"/>
        <v/>
      </c>
    </row>
    <row r="538" spans="2:2" x14ac:dyDescent="0.2">
      <c r="B538" t="str">
        <f t="shared" si="28"/>
        <v/>
      </c>
    </row>
    <row r="539" spans="2:2" x14ac:dyDescent="0.2">
      <c r="B539" t="str">
        <f t="shared" si="28"/>
        <v/>
      </c>
    </row>
    <row r="540" spans="2:2" x14ac:dyDescent="0.2">
      <c r="B540" t="str">
        <f t="shared" si="28"/>
        <v/>
      </c>
    </row>
    <row r="541" spans="2:2" x14ac:dyDescent="0.2">
      <c r="B541" t="str">
        <f t="shared" si="28"/>
        <v/>
      </c>
    </row>
    <row r="542" spans="2:2" x14ac:dyDescent="0.2">
      <c r="B542" t="str">
        <f t="shared" si="28"/>
        <v/>
      </c>
    </row>
    <row r="543" spans="2:2" x14ac:dyDescent="0.2">
      <c r="B543" t="str">
        <f t="shared" si="28"/>
        <v/>
      </c>
    </row>
    <row r="544" spans="2:2" x14ac:dyDescent="0.2">
      <c r="B544" t="str">
        <f t="shared" si="28"/>
        <v/>
      </c>
    </row>
    <row r="545" spans="2:2" x14ac:dyDescent="0.2">
      <c r="B545" t="str">
        <f t="shared" si="28"/>
        <v/>
      </c>
    </row>
    <row r="546" spans="2:2" x14ac:dyDescent="0.2">
      <c r="B546" t="str">
        <f t="shared" si="28"/>
        <v/>
      </c>
    </row>
    <row r="547" spans="2:2" x14ac:dyDescent="0.2">
      <c r="B547" t="str">
        <f t="shared" si="28"/>
        <v/>
      </c>
    </row>
    <row r="548" spans="2:2" x14ac:dyDescent="0.2">
      <c r="B548" t="str">
        <f t="shared" si="28"/>
        <v/>
      </c>
    </row>
    <row r="549" spans="2:2" x14ac:dyDescent="0.2">
      <c r="B549" t="str">
        <f t="shared" si="28"/>
        <v/>
      </c>
    </row>
    <row r="550" spans="2:2" x14ac:dyDescent="0.2">
      <c r="B550" t="str">
        <f t="shared" si="28"/>
        <v/>
      </c>
    </row>
    <row r="551" spans="2:2" x14ac:dyDescent="0.2">
      <c r="B551" t="str">
        <f t="shared" si="28"/>
        <v/>
      </c>
    </row>
    <row r="552" spans="2:2" x14ac:dyDescent="0.2">
      <c r="B552" t="str">
        <f t="shared" si="28"/>
        <v/>
      </c>
    </row>
    <row r="553" spans="2:2" x14ac:dyDescent="0.2">
      <c r="B553" t="str">
        <f t="shared" si="28"/>
        <v/>
      </c>
    </row>
    <row r="554" spans="2:2" x14ac:dyDescent="0.2">
      <c r="B554" t="str">
        <f t="shared" si="28"/>
        <v/>
      </c>
    </row>
    <row r="555" spans="2:2" x14ac:dyDescent="0.2">
      <c r="B555" t="str">
        <f t="shared" si="28"/>
        <v/>
      </c>
    </row>
    <row r="556" spans="2:2" x14ac:dyDescent="0.2">
      <c r="B556" t="str">
        <f t="shared" si="28"/>
        <v/>
      </c>
    </row>
    <row r="557" spans="2:2" x14ac:dyDescent="0.2">
      <c r="B557" t="str">
        <f t="shared" si="28"/>
        <v/>
      </c>
    </row>
    <row r="558" spans="2:2" x14ac:dyDescent="0.2">
      <c r="B558" t="str">
        <f t="shared" si="28"/>
        <v/>
      </c>
    </row>
    <row r="559" spans="2:2" x14ac:dyDescent="0.2">
      <c r="B559" t="str">
        <f t="shared" si="28"/>
        <v/>
      </c>
    </row>
    <row r="560" spans="2:2" x14ac:dyDescent="0.2">
      <c r="B560" t="str">
        <f t="shared" si="28"/>
        <v/>
      </c>
    </row>
    <row r="561" spans="2:2" x14ac:dyDescent="0.2">
      <c r="B561" t="str">
        <f t="shared" si="28"/>
        <v/>
      </c>
    </row>
    <row r="562" spans="2:2" x14ac:dyDescent="0.2">
      <c r="B562" t="str">
        <f t="shared" si="28"/>
        <v/>
      </c>
    </row>
    <row r="563" spans="2:2" x14ac:dyDescent="0.2">
      <c r="B563" t="str">
        <f t="shared" si="28"/>
        <v/>
      </c>
    </row>
    <row r="564" spans="2:2" x14ac:dyDescent="0.2">
      <c r="B564" t="str">
        <f t="shared" si="28"/>
        <v/>
      </c>
    </row>
    <row r="565" spans="2:2" x14ac:dyDescent="0.2">
      <c r="B565" t="str">
        <f t="shared" si="28"/>
        <v/>
      </c>
    </row>
    <row r="566" spans="2:2" x14ac:dyDescent="0.2">
      <c r="B566" t="str">
        <f t="shared" si="28"/>
        <v/>
      </c>
    </row>
    <row r="567" spans="2:2" x14ac:dyDescent="0.2">
      <c r="B567" t="str">
        <f t="shared" si="28"/>
        <v/>
      </c>
    </row>
    <row r="568" spans="2:2" x14ac:dyDescent="0.2">
      <c r="B568" t="str">
        <f t="shared" si="28"/>
        <v/>
      </c>
    </row>
    <row r="569" spans="2:2" x14ac:dyDescent="0.2">
      <c r="B569" t="str">
        <f t="shared" si="28"/>
        <v/>
      </c>
    </row>
    <row r="570" spans="2:2" x14ac:dyDescent="0.2">
      <c r="B570" t="str">
        <f t="shared" si="28"/>
        <v/>
      </c>
    </row>
    <row r="571" spans="2:2" x14ac:dyDescent="0.2">
      <c r="B571" t="str">
        <f t="shared" si="28"/>
        <v/>
      </c>
    </row>
    <row r="572" spans="2:2" x14ac:dyDescent="0.2">
      <c r="B572" t="str">
        <f t="shared" si="28"/>
        <v/>
      </c>
    </row>
    <row r="573" spans="2:2" x14ac:dyDescent="0.2">
      <c r="B573" t="str">
        <f t="shared" si="28"/>
        <v/>
      </c>
    </row>
    <row r="574" spans="2:2" x14ac:dyDescent="0.2">
      <c r="B574" t="str">
        <f t="shared" si="28"/>
        <v/>
      </c>
    </row>
    <row r="575" spans="2:2" x14ac:dyDescent="0.2">
      <c r="B575" t="str">
        <f t="shared" si="28"/>
        <v/>
      </c>
    </row>
    <row r="576" spans="2:2" x14ac:dyDescent="0.2">
      <c r="B576" t="str">
        <f t="shared" ref="B576:B628" si="29">(D576&amp;E576)</f>
        <v/>
      </c>
    </row>
    <row r="577" spans="2:2" x14ac:dyDescent="0.2">
      <c r="B577" t="str">
        <f t="shared" si="29"/>
        <v/>
      </c>
    </row>
    <row r="578" spans="2:2" x14ac:dyDescent="0.2">
      <c r="B578" t="str">
        <f t="shared" si="29"/>
        <v/>
      </c>
    </row>
    <row r="579" spans="2:2" x14ac:dyDescent="0.2">
      <c r="B579" t="str">
        <f t="shared" si="29"/>
        <v/>
      </c>
    </row>
    <row r="580" spans="2:2" x14ac:dyDescent="0.2">
      <c r="B580" t="str">
        <f t="shared" si="29"/>
        <v/>
      </c>
    </row>
    <row r="581" spans="2:2" x14ac:dyDescent="0.2">
      <c r="B581" t="str">
        <f t="shared" si="29"/>
        <v/>
      </c>
    </row>
    <row r="582" spans="2:2" x14ac:dyDescent="0.2">
      <c r="B582" t="str">
        <f t="shared" si="29"/>
        <v/>
      </c>
    </row>
    <row r="583" spans="2:2" x14ac:dyDescent="0.2">
      <c r="B583" t="str">
        <f t="shared" si="29"/>
        <v/>
      </c>
    </row>
    <row r="584" spans="2:2" x14ac:dyDescent="0.2">
      <c r="B584" t="str">
        <f t="shared" si="29"/>
        <v/>
      </c>
    </row>
    <row r="585" spans="2:2" x14ac:dyDescent="0.2">
      <c r="B585" t="str">
        <f t="shared" si="29"/>
        <v/>
      </c>
    </row>
    <row r="586" spans="2:2" x14ac:dyDescent="0.2">
      <c r="B586" t="str">
        <f t="shared" si="29"/>
        <v/>
      </c>
    </row>
    <row r="587" spans="2:2" x14ac:dyDescent="0.2">
      <c r="B587" t="str">
        <f t="shared" si="29"/>
        <v/>
      </c>
    </row>
    <row r="588" spans="2:2" x14ac:dyDescent="0.2">
      <c r="B588" t="str">
        <f t="shared" si="29"/>
        <v/>
      </c>
    </row>
    <row r="589" spans="2:2" x14ac:dyDescent="0.2">
      <c r="B589" t="str">
        <f t="shared" si="29"/>
        <v/>
      </c>
    </row>
    <row r="590" spans="2:2" x14ac:dyDescent="0.2">
      <c r="B590" t="str">
        <f t="shared" si="29"/>
        <v/>
      </c>
    </row>
    <row r="591" spans="2:2" x14ac:dyDescent="0.2">
      <c r="B591" t="str">
        <f t="shared" si="29"/>
        <v/>
      </c>
    </row>
    <row r="592" spans="2:2" x14ac:dyDescent="0.2">
      <c r="B592" t="str">
        <f t="shared" si="29"/>
        <v/>
      </c>
    </row>
    <row r="593" spans="2:2" x14ac:dyDescent="0.2">
      <c r="B593" t="str">
        <f t="shared" si="29"/>
        <v/>
      </c>
    </row>
    <row r="594" spans="2:2" x14ac:dyDescent="0.2">
      <c r="B594" t="str">
        <f t="shared" si="29"/>
        <v/>
      </c>
    </row>
    <row r="595" spans="2:2" x14ac:dyDescent="0.2">
      <c r="B595" t="str">
        <f t="shared" si="29"/>
        <v/>
      </c>
    </row>
    <row r="596" spans="2:2" x14ac:dyDescent="0.2">
      <c r="B596" t="str">
        <f t="shared" si="29"/>
        <v/>
      </c>
    </row>
    <row r="597" spans="2:2" x14ac:dyDescent="0.2">
      <c r="B597" t="str">
        <f t="shared" si="29"/>
        <v/>
      </c>
    </row>
    <row r="598" spans="2:2" x14ac:dyDescent="0.2">
      <c r="B598" t="str">
        <f t="shared" si="29"/>
        <v/>
      </c>
    </row>
    <row r="599" spans="2:2" x14ac:dyDescent="0.2">
      <c r="B599" t="str">
        <f t="shared" si="29"/>
        <v/>
      </c>
    </row>
    <row r="600" spans="2:2" x14ac:dyDescent="0.2">
      <c r="B600" t="str">
        <f t="shared" si="29"/>
        <v/>
      </c>
    </row>
    <row r="601" spans="2:2" x14ac:dyDescent="0.2">
      <c r="B601" t="str">
        <f t="shared" si="29"/>
        <v/>
      </c>
    </row>
    <row r="602" spans="2:2" x14ac:dyDescent="0.2">
      <c r="B602" t="str">
        <f t="shared" si="29"/>
        <v/>
      </c>
    </row>
    <row r="603" spans="2:2" x14ac:dyDescent="0.2">
      <c r="B603" t="str">
        <f t="shared" si="29"/>
        <v/>
      </c>
    </row>
    <row r="604" spans="2:2" x14ac:dyDescent="0.2">
      <c r="B604" t="str">
        <f t="shared" si="29"/>
        <v/>
      </c>
    </row>
    <row r="605" spans="2:2" x14ac:dyDescent="0.2">
      <c r="B605" t="str">
        <f t="shared" si="29"/>
        <v/>
      </c>
    </row>
    <row r="606" spans="2:2" x14ac:dyDescent="0.2">
      <c r="B606" t="str">
        <f t="shared" si="29"/>
        <v/>
      </c>
    </row>
    <row r="607" spans="2:2" x14ac:dyDescent="0.2">
      <c r="B607" t="str">
        <f t="shared" si="29"/>
        <v/>
      </c>
    </row>
    <row r="608" spans="2:2" x14ac:dyDescent="0.2">
      <c r="B608" t="str">
        <f t="shared" si="29"/>
        <v/>
      </c>
    </row>
    <row r="609" spans="2:2" x14ac:dyDescent="0.2">
      <c r="B609" t="str">
        <f t="shared" si="29"/>
        <v/>
      </c>
    </row>
    <row r="610" spans="2:2" x14ac:dyDescent="0.2">
      <c r="B610" t="str">
        <f t="shared" si="29"/>
        <v/>
      </c>
    </row>
    <row r="611" spans="2:2" x14ac:dyDescent="0.2">
      <c r="B611" t="str">
        <f t="shared" si="29"/>
        <v/>
      </c>
    </row>
    <row r="612" spans="2:2" x14ac:dyDescent="0.2">
      <c r="B612" t="str">
        <f t="shared" si="29"/>
        <v/>
      </c>
    </row>
    <row r="613" spans="2:2" x14ac:dyDescent="0.2">
      <c r="B613" t="str">
        <f t="shared" si="29"/>
        <v/>
      </c>
    </row>
    <row r="614" spans="2:2" x14ac:dyDescent="0.2">
      <c r="B614" t="str">
        <f t="shared" si="29"/>
        <v/>
      </c>
    </row>
    <row r="615" spans="2:2" x14ac:dyDescent="0.2">
      <c r="B615" t="str">
        <f t="shared" si="29"/>
        <v/>
      </c>
    </row>
    <row r="616" spans="2:2" x14ac:dyDescent="0.2">
      <c r="B616" t="str">
        <f t="shared" si="29"/>
        <v/>
      </c>
    </row>
    <row r="617" spans="2:2" x14ac:dyDescent="0.2">
      <c r="B617" t="str">
        <f t="shared" si="29"/>
        <v/>
      </c>
    </row>
    <row r="618" spans="2:2" x14ac:dyDescent="0.2">
      <c r="B618" t="str">
        <f t="shared" si="29"/>
        <v/>
      </c>
    </row>
    <row r="619" spans="2:2" x14ac:dyDescent="0.2">
      <c r="B619" t="str">
        <f t="shared" si="29"/>
        <v/>
      </c>
    </row>
    <row r="620" spans="2:2" x14ac:dyDescent="0.2">
      <c r="B620" t="str">
        <f t="shared" si="29"/>
        <v/>
      </c>
    </row>
    <row r="621" spans="2:2" x14ac:dyDescent="0.2">
      <c r="B621" t="str">
        <f t="shared" si="29"/>
        <v/>
      </c>
    </row>
    <row r="622" spans="2:2" x14ac:dyDescent="0.2">
      <c r="B622" t="str">
        <f t="shared" si="29"/>
        <v/>
      </c>
    </row>
    <row r="623" spans="2:2" x14ac:dyDescent="0.2">
      <c r="B623" t="str">
        <f t="shared" si="29"/>
        <v/>
      </c>
    </row>
    <row r="624" spans="2:2" x14ac:dyDescent="0.2">
      <c r="B624" t="str">
        <f t="shared" si="29"/>
        <v/>
      </c>
    </row>
    <row r="625" spans="2:2" x14ac:dyDescent="0.2">
      <c r="B625" t="str">
        <f t="shared" si="29"/>
        <v/>
      </c>
    </row>
    <row r="626" spans="2:2" x14ac:dyDescent="0.2">
      <c r="B626" t="str">
        <f t="shared" si="29"/>
        <v/>
      </c>
    </row>
    <row r="627" spans="2:2" x14ac:dyDescent="0.2">
      <c r="B627" t="str">
        <f t="shared" si="29"/>
        <v/>
      </c>
    </row>
    <row r="628" spans="2:2" x14ac:dyDescent="0.2">
      <c r="B628" t="str">
        <f t="shared" si="29"/>
        <v/>
      </c>
    </row>
  </sheetData>
  <mergeCells count="4">
    <mergeCell ref="C265:E265"/>
    <mergeCell ref="H152:H153"/>
    <mergeCell ref="I152:I153"/>
    <mergeCell ref="G152:G153"/>
  </mergeCells>
  <conditionalFormatting sqref="G138:G152">
    <cfRule type="cellIs" dxfId="947" priority="4" operator="lessThanOrEqual">
      <formula>$F138</formula>
    </cfRule>
    <cfRule type="cellIs" dxfId="946" priority="5" operator="greaterThan">
      <formula>$F138</formula>
    </cfRule>
  </conditionalFormatting>
  <conditionalFormatting sqref="G154:G264">
    <cfRule type="cellIs" dxfId="945" priority="2" operator="lessThanOrEqual">
      <formula>$F154</formula>
    </cfRule>
    <cfRule type="cellIs" dxfId="944" priority="3" operator="greaterThan">
      <formula>$F154</formula>
    </cfRule>
  </conditionalFormatting>
  <conditionalFormatting sqref="G1:H136 G266:H65536">
    <cfRule type="cellIs" dxfId="943" priority="26" operator="lessThanOrEqual">
      <formula>$F1</formula>
    </cfRule>
    <cfRule type="cellIs" dxfId="942" priority="27" operator="greaterThan">
      <formula>$F1</formula>
    </cfRule>
  </conditionalFormatting>
  <conditionalFormatting sqref="H138:H152">
    <cfRule type="cellIs" dxfId="941" priority="13" stopIfTrue="1" operator="greaterThan">
      <formula>0</formula>
    </cfRule>
  </conditionalFormatting>
  <conditionalFormatting sqref="H154:H265">
    <cfRule type="cellIs" dxfId="940" priority="1" stopIfTrue="1" operator="greaterThan">
      <formula>0</formula>
    </cfRule>
  </conditionalFormatting>
  <dataValidations count="1">
    <dataValidation type="list" allowBlank="1" showInputMessage="1" showErrorMessage="1" sqref="D138:E264" xr:uid="{22E643C7-39D4-4590-B88F-3BDE9AEC1421}">
      <formula1>$E$1:$E$16</formula1>
    </dataValidation>
  </dataValidations>
  <pageMargins left="0.7" right="0.7" top="0.75" bottom="0.75" header="0.3" footer="0.3"/>
  <pageSetup scale="10" orientation="landscape"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8160A-A2EF-49E2-A0AA-15F89F067791}">
  <sheetPr codeName="Sheet33">
    <pageSetUpPr fitToPage="1"/>
  </sheetPr>
  <dimension ref="A2:AD65468"/>
  <sheetViews>
    <sheetView showZeros="0" showWhiteSpace="0" zoomScale="50" zoomScaleNormal="50" zoomScaleSheetLayoutView="70" workbookViewId="0">
      <pane xSplit="3" ySplit="3" topLeftCell="K51" activePane="bottomRight" state="frozen"/>
      <selection pane="topRight" activeCell="D1" sqref="D1"/>
      <selection pane="bottomLeft" activeCell="A4" sqref="A4"/>
      <selection pane="bottomRight" activeCell="Q61" sqref="Q61"/>
    </sheetView>
  </sheetViews>
  <sheetFormatPr defaultColWidth="9.42578125" defaultRowHeight="12.75" outlineLevelCol="1" x14ac:dyDescent="0.2"/>
  <cols>
    <col min="1" max="1" width="3.42578125" customWidth="1"/>
    <col min="2" max="2" width="21.42578125" style="1" customWidth="1"/>
    <col min="3" max="3" width="63.7109375" style="1" customWidth="1"/>
    <col min="4" max="4" width="24.5703125" style="1" customWidth="1"/>
    <col min="5" max="5" width="22.42578125" style="1" customWidth="1"/>
    <col min="6" max="6" width="21.5703125" style="1" customWidth="1" outlineLevel="1"/>
    <col min="7" max="7" width="26.42578125" customWidth="1"/>
    <col min="8" max="8" width="20.42578125" customWidth="1" outlineLevel="1"/>
    <col min="9" max="9" width="22.42578125" style="1" customWidth="1" outlineLevel="1"/>
    <col min="10" max="10" width="22.42578125" customWidth="1"/>
    <col min="11" max="11" width="23.42578125" customWidth="1" outlineLevel="1"/>
    <col min="12" max="12" width="17.42578125" customWidth="1" outlineLevel="1"/>
    <col min="13" max="13" width="17" customWidth="1" outlineLevel="1"/>
    <col min="14" max="14" width="18.5703125" customWidth="1" outlineLevel="1"/>
    <col min="15" max="15" width="12.5703125" style="392" customWidth="1" outlineLevel="1"/>
    <col min="16" max="16" width="15" style="2" customWidth="1" outlineLevel="1"/>
    <col min="17" max="17" width="17" style="1" customWidth="1"/>
    <col min="18" max="18" width="18" bestFit="1" customWidth="1"/>
    <col min="19" max="19" width="18.5703125" bestFit="1" customWidth="1"/>
    <col min="20" max="20" width="19.42578125" style="1" bestFit="1" customWidth="1"/>
    <col min="21" max="21" width="20.5703125" style="1" customWidth="1"/>
    <col min="22" max="22" width="12" customWidth="1"/>
    <col min="23" max="23" width="17" customWidth="1"/>
    <col min="24" max="24" width="15.42578125" customWidth="1"/>
    <col min="25" max="25" width="15.5703125" customWidth="1"/>
    <col min="26" max="26" width="14" customWidth="1"/>
    <col min="27" max="27" width="25.5703125" customWidth="1"/>
    <col min="28" max="28" width="71.42578125" customWidth="1"/>
    <col min="29" max="29" width="68.5703125" customWidth="1"/>
    <col min="30" max="30" width="15.5703125" bestFit="1" customWidth="1"/>
  </cols>
  <sheetData>
    <row r="2" spans="2:30" ht="24" thickBot="1" x14ac:dyDescent="0.4">
      <c r="B2" s="1022" t="s">
        <v>964</v>
      </c>
      <c r="C2" s="1022"/>
      <c r="D2" s="1022"/>
      <c r="E2" s="1022"/>
      <c r="F2" s="1022"/>
      <c r="G2" s="1022"/>
      <c r="H2" s="1022"/>
      <c r="I2" s="1022"/>
      <c r="J2" s="1022"/>
      <c r="K2" s="1022"/>
      <c r="L2" s="1022"/>
      <c r="M2" s="1022"/>
      <c r="N2" s="1022"/>
      <c r="O2" s="1022"/>
      <c r="P2" s="1022"/>
      <c r="Q2" s="1022"/>
      <c r="R2" s="1022"/>
      <c r="S2" s="1022"/>
      <c r="T2" s="1022"/>
      <c r="U2" s="1065"/>
      <c r="V2" s="1065"/>
    </row>
    <row r="3" spans="2:30" ht="135.75" customHeight="1" thickTop="1" thickBot="1" x14ac:dyDescent="0.25">
      <c r="B3" s="564" t="s">
        <v>0</v>
      </c>
      <c r="C3" s="565" t="s">
        <v>2</v>
      </c>
      <c r="D3" s="565" t="s">
        <v>12</v>
      </c>
      <c r="E3" s="565" t="s">
        <v>11</v>
      </c>
      <c r="F3" s="565" t="s">
        <v>15</v>
      </c>
      <c r="G3" s="565" t="s">
        <v>9</v>
      </c>
      <c r="H3" s="38" t="s">
        <v>17</v>
      </c>
      <c r="I3" s="38" t="s">
        <v>5</v>
      </c>
      <c r="J3" s="565" t="s">
        <v>958</v>
      </c>
      <c r="K3" s="38" t="s">
        <v>4</v>
      </c>
      <c r="L3" s="663" t="s">
        <v>843</v>
      </c>
      <c r="M3" s="664" t="s">
        <v>161</v>
      </c>
      <c r="N3" s="664" t="s">
        <v>10</v>
      </c>
      <c r="O3" s="38" t="s">
        <v>622</v>
      </c>
      <c r="P3" s="294" t="s">
        <v>863</v>
      </c>
      <c r="Q3" s="566" t="s">
        <v>957</v>
      </c>
      <c r="R3" s="584" t="s">
        <v>473</v>
      </c>
      <c r="S3" s="547" t="s">
        <v>860</v>
      </c>
      <c r="T3" s="584" t="s">
        <v>862</v>
      </c>
      <c r="U3" s="545" t="s">
        <v>1009</v>
      </c>
      <c r="V3" s="1187" t="s">
        <v>1</v>
      </c>
      <c r="W3" s="1188"/>
      <c r="X3" s="1188"/>
      <c r="Y3" s="1188"/>
      <c r="Z3" s="1188"/>
      <c r="AA3" s="1188"/>
      <c r="AB3" s="1189"/>
      <c r="AD3">
        <v>17000</v>
      </c>
    </row>
    <row r="4" spans="2:30" s="19" customFormat="1" ht="133.5" customHeight="1" thickTop="1" thickBot="1" x14ac:dyDescent="0.25">
      <c r="B4" s="168">
        <f>[1]July_2026!$B8</f>
        <v>46204</v>
      </c>
      <c r="C4" s="26" t="str">
        <f>[1]July_2026!$D8</f>
        <v>CARIB AMBER</v>
      </c>
      <c r="D4" s="27"/>
      <c r="E4" s="28">
        <f>[2]Jul!$E8</f>
        <v>1.0416666666666667</v>
      </c>
      <c r="F4" s="29">
        <f>[1]July_2026!$J8</f>
        <v>378.6</v>
      </c>
      <c r="G4" s="30">
        <f>[1]July_2026!$G8</f>
        <v>5638</v>
      </c>
      <c r="H4" s="29">
        <f>[1]July_2026!K8</f>
        <v>372.108</v>
      </c>
      <c r="I4" s="31">
        <f>[1]July_2026!$N8</f>
        <v>3</v>
      </c>
      <c r="J4" s="32">
        <f>[1]July_2026!$Q8</f>
        <v>241.62857142857143</v>
      </c>
      <c r="K4" s="32">
        <f>[1]July_2026!$F8</f>
        <v>633</v>
      </c>
      <c r="L4" s="993">
        <f>[1]July_2026!$E8</f>
        <v>1400</v>
      </c>
      <c r="M4" s="169">
        <f>[2]Jul!$G8</f>
        <v>0.64652777777777781</v>
      </c>
      <c r="N4" s="32">
        <f>[1]July_2026!$M8</f>
        <v>194</v>
      </c>
      <c r="O4" s="406">
        <f>[2]Jul!$I8</f>
        <v>0</v>
      </c>
      <c r="P4" s="32">
        <f>[1]July_2026!$I8</f>
        <v>0</v>
      </c>
      <c r="Q4" s="608">
        <f>[1]July_2026!$P8</f>
        <v>1.7147385103011143</v>
      </c>
      <c r="R4" s="995">
        <f>($G4+G5)/(($L4/60)*AD$3*(1/24))</f>
        <v>0.42637310924369759</v>
      </c>
      <c r="S4" s="651">
        <f t="shared" ref="S4:S9" si="0">($G4)*24/(($K4)/60)/$AD$3</f>
        <v>0.75445776414831323</v>
      </c>
      <c r="T4" s="995">
        <f>(1560-((N4+N5)-[2]Jul!$AB$9-[2]Jul!$Z$9-[2]Jul!$Z$8-[2]Jul!$L$9-[2]Jul!$J$8-[2]Jul!$I$9))/1560</f>
        <v>0.87435897435897436</v>
      </c>
      <c r="U4" s="945">
        <f>[1]July_2026!$S8</f>
        <v>1.68626274745051E-2</v>
      </c>
      <c r="V4" s="1185" t="s">
        <v>1204</v>
      </c>
      <c r="W4" s="1164"/>
      <c r="X4" s="1164"/>
      <c r="Y4" s="1164"/>
      <c r="Z4" s="1164"/>
      <c r="AA4" s="1164"/>
      <c r="AB4" s="1186"/>
    </row>
    <row r="5" spans="2:30" s="19" customFormat="1" ht="132.75" customHeight="1" thickBot="1" x14ac:dyDescent="0.25">
      <c r="B5" s="168">
        <f>[1]July_2026!$B9</f>
        <v>46204</v>
      </c>
      <c r="C5" s="26" t="str">
        <f>[1]July_2026!$D9</f>
        <v>VITA MALT CLASSIC</v>
      </c>
      <c r="D5" s="27">
        <v>2800</v>
      </c>
      <c r="E5" s="28">
        <f>[2]Jul!$E9</f>
        <v>1.7951388888888888</v>
      </c>
      <c r="F5" s="29">
        <f>[1]July_2026!$J9</f>
        <v>100.7</v>
      </c>
      <c r="G5" s="30">
        <f>[1]July_2026!$G9</f>
        <v>1409</v>
      </c>
      <c r="H5" s="29">
        <f>[1]July_2026!K9</f>
        <v>99.757199999999997</v>
      </c>
      <c r="I5" s="31">
        <f>[1]July_2026!$N9</f>
        <v>31</v>
      </c>
      <c r="J5" s="32">
        <f>[1]July_2026!$Q9</f>
        <v>60.385714285714286</v>
      </c>
      <c r="K5" s="32">
        <f>[1]July_2026!$F9</f>
        <v>217</v>
      </c>
      <c r="L5" s="1016"/>
      <c r="M5" s="169">
        <f>[2]Jul!$G9</f>
        <v>2.0833333333333335</v>
      </c>
      <c r="N5" s="32">
        <f>[1]July_2026!$M9</f>
        <v>487</v>
      </c>
      <c r="O5" s="406">
        <f>[2]Jul!$I9</f>
        <v>110</v>
      </c>
      <c r="P5" s="32">
        <f>[1]July_2026!$I9</f>
        <v>0</v>
      </c>
      <c r="Q5" s="608">
        <f>[1]July_2026!$P9</f>
        <v>0.93624627606753263</v>
      </c>
      <c r="R5" s="1020"/>
      <c r="S5" s="651">
        <f t="shared" si="0"/>
        <v>0.55000271076172413</v>
      </c>
      <c r="T5" s="1020"/>
      <c r="U5" s="945">
        <f>[1]July_2026!$S9</f>
        <v>2.459317585301837E-2</v>
      </c>
      <c r="V5" s="1185" t="s">
        <v>1203</v>
      </c>
      <c r="W5" s="1164"/>
      <c r="X5" s="1164"/>
      <c r="Y5" s="1164"/>
      <c r="Z5" s="1164"/>
      <c r="AA5" s="1164"/>
      <c r="AB5" s="1186"/>
    </row>
    <row r="6" spans="2:30" s="19" customFormat="1" ht="108" customHeight="1" thickTop="1" thickBot="1" x14ac:dyDescent="0.25">
      <c r="B6" s="168">
        <f>[1]July_2026!$B10</f>
        <v>46205</v>
      </c>
      <c r="C6" s="26" t="str">
        <f>[1]July_2026!$D10</f>
        <v>VITA MALT CLASSIC</v>
      </c>
      <c r="D6" s="27">
        <v>2800</v>
      </c>
      <c r="E6" s="28">
        <f>[2]Jul!$E10</f>
        <v>1.0062500000000001</v>
      </c>
      <c r="F6" s="29">
        <f>[1]July_2026!$J10</f>
        <v>170.8</v>
      </c>
      <c r="G6" s="30">
        <f>[1]July_2026!$G10</f>
        <v>2378</v>
      </c>
      <c r="H6" s="29">
        <f>[1]July_2026!K10</f>
        <v>168.36240000000001</v>
      </c>
      <c r="I6" s="31">
        <f>[1]July_2026!$N10</f>
        <v>14</v>
      </c>
      <c r="J6" s="32">
        <f>[1]July_2026!$Q10</f>
        <v>99.706498951781967</v>
      </c>
      <c r="K6" s="32">
        <f>[1]July_2026!$F10</f>
        <v>360</v>
      </c>
      <c r="L6" s="993">
        <f>[1]July_2026!$E10</f>
        <v>1431</v>
      </c>
      <c r="M6" s="169">
        <f>[2]Jul!$G10</f>
        <v>0</v>
      </c>
      <c r="N6" s="32">
        <f>[1]July_2026!$M10</f>
        <v>128</v>
      </c>
      <c r="O6" s="406">
        <f>[2]Jul!$I10</f>
        <v>0</v>
      </c>
      <c r="P6" s="32">
        <f>[1]July_2026!$I10</f>
        <v>0</v>
      </c>
      <c r="Q6" s="608">
        <f>[1]July_2026!$P10</f>
        <v>1.427166276346606</v>
      </c>
      <c r="R6" s="995">
        <f>($G6+G7+G8)/(($L6/60)*AD$3*(1/24))</f>
        <v>0.43886052534221237</v>
      </c>
      <c r="S6" s="651">
        <f t="shared" si="0"/>
        <v>0.55952941176470583</v>
      </c>
      <c r="T6" s="995">
        <f>(1525-((N6+N7+N8)-[2]Jul!$I$11-[2]Jul!$I$12-[2]Jul!$H$12-[2]Jul!$Z$12-[2]Jul!$Z$11-[2]Jul!$Z$10-[2]Jul!$AB$11))/1525</f>
        <v>0.79475409836065569</v>
      </c>
      <c r="U6" s="945">
        <f>[1]July_2026!$S10</f>
        <v>1.9366779406238255E-2</v>
      </c>
      <c r="V6" s="1185" t="s">
        <v>1205</v>
      </c>
      <c r="W6" s="1164"/>
      <c r="X6" s="1164"/>
      <c r="Y6" s="1164"/>
      <c r="Z6" s="1164"/>
      <c r="AA6" s="1164"/>
      <c r="AB6" s="1186"/>
    </row>
    <row r="7" spans="2:30" s="19" customFormat="1" ht="83.25" customHeight="1" thickBot="1" x14ac:dyDescent="0.25">
      <c r="B7" s="168">
        <f>[1]July_2026!$B11</f>
        <v>46205</v>
      </c>
      <c r="C7" s="26" t="str">
        <f>[1]July_2026!$D11</f>
        <v>VITA MALT GINGER</v>
      </c>
      <c r="D7" s="27">
        <v>1400</v>
      </c>
      <c r="E7" s="28">
        <f>[2]Jul!$E11</f>
        <v>1.2777777777777777</v>
      </c>
      <c r="F7" s="29">
        <f>[1]July_2026!$J11</f>
        <v>100</v>
      </c>
      <c r="G7" s="30">
        <f>[1]July_2026!$G11</f>
        <v>1396</v>
      </c>
      <c r="H7" s="29">
        <f>[1]July_2026!K11</f>
        <v>98.836799999999997</v>
      </c>
      <c r="I7" s="31">
        <f>[1]July_2026!$N11</f>
        <v>9</v>
      </c>
      <c r="J7" s="32">
        <f>[1]July_2026!$Q11</f>
        <v>58.532494758909849</v>
      </c>
      <c r="K7" s="32">
        <f>[1]July_2026!$F11</f>
        <v>158</v>
      </c>
      <c r="L7" s="1016"/>
      <c r="M7" s="169">
        <f>[2]Jul!$G11</f>
        <v>1.5</v>
      </c>
      <c r="N7" s="32">
        <f>[1]July_2026!$M11</f>
        <v>78</v>
      </c>
      <c r="O7" s="406">
        <f>[2]Jul!$I11</f>
        <v>10</v>
      </c>
      <c r="P7" s="32">
        <f>[1]July_2026!$I11</f>
        <v>3</v>
      </c>
      <c r="Q7" s="608">
        <f>[1]July_2026!$P11</f>
        <v>1.1632000000000033</v>
      </c>
      <c r="R7" s="996"/>
      <c r="S7" s="651">
        <f t="shared" si="0"/>
        <v>0.74841399851079671</v>
      </c>
      <c r="T7" s="996"/>
      <c r="U7" s="945">
        <f>[1]July_2026!$S11</f>
        <v>0</v>
      </c>
      <c r="V7" s="1185" t="s">
        <v>1207</v>
      </c>
      <c r="W7" s="1164"/>
      <c r="X7" s="1164"/>
      <c r="Y7" s="1164"/>
      <c r="Z7" s="1164"/>
      <c r="AA7" s="1164"/>
      <c r="AB7" s="1186"/>
    </row>
    <row r="8" spans="2:30" s="19" customFormat="1" ht="157.5" customHeight="1" thickBot="1" x14ac:dyDescent="0.25">
      <c r="B8" s="168">
        <f>[1]July_2026!$B12</f>
        <v>46205</v>
      </c>
      <c r="C8" s="26" t="str">
        <f>[1]July_2026!$D12</f>
        <v>CARIB AMBER</v>
      </c>
      <c r="D8" s="27"/>
      <c r="E8" s="28">
        <f>[2]Jul!$E12</f>
        <v>1.6493055555555556</v>
      </c>
      <c r="F8" s="29">
        <f>[1]July_2026!$J12</f>
        <v>246.2</v>
      </c>
      <c r="G8" s="30">
        <f>[1]July_2026!$G12</f>
        <v>3640</v>
      </c>
      <c r="H8" s="29">
        <f>[1]July_2026!K12</f>
        <v>240.24</v>
      </c>
      <c r="I8" s="31">
        <f>[1]July_2026!$N12</f>
        <v>3</v>
      </c>
      <c r="J8" s="32">
        <f>[1]July_2026!$Q12</f>
        <v>152.62054507337524</v>
      </c>
      <c r="K8" s="32">
        <f>[1]July_2026!$F12</f>
        <v>502</v>
      </c>
      <c r="L8" s="999"/>
      <c r="M8" s="169">
        <f>[2]Jul!$G12</f>
        <v>2.0590277777777777</v>
      </c>
      <c r="N8" s="32">
        <f>[1]July_2026!$M12</f>
        <v>448</v>
      </c>
      <c r="O8" s="406">
        <f>[2]Jul!$I12</f>
        <v>140</v>
      </c>
      <c r="P8" s="32">
        <f>[1]July_2026!$I12</f>
        <v>0</v>
      </c>
      <c r="Q8" s="608">
        <f>[1]July_2026!$P12</f>
        <v>2.420796100731105</v>
      </c>
      <c r="R8" s="1020"/>
      <c r="S8" s="651">
        <f t="shared" si="0"/>
        <v>0.61420201546754161</v>
      </c>
      <c r="T8" s="1020"/>
      <c r="U8" s="945">
        <f>[1]July_2026!$S12</f>
        <v>2.9396078431372548E-2</v>
      </c>
      <c r="V8" s="1185" t="s">
        <v>1206</v>
      </c>
      <c r="W8" s="1164"/>
      <c r="X8" s="1164"/>
      <c r="Y8" s="1164"/>
      <c r="Z8" s="1164"/>
      <c r="AA8" s="1164"/>
      <c r="AB8" s="1186"/>
    </row>
    <row r="9" spans="2:30" s="19" customFormat="1" ht="83.25" customHeight="1" thickTop="1" thickBot="1" x14ac:dyDescent="0.25">
      <c r="B9" s="168">
        <f>[1]July_2026!$B13</f>
        <v>46206</v>
      </c>
      <c r="C9" s="26" t="str">
        <f>[1]July_2026!$D13</f>
        <v>CARIB AMBER</v>
      </c>
      <c r="D9" s="27"/>
      <c r="E9" s="28">
        <f>[2]Jul!$E13</f>
        <v>1.0104166666666667</v>
      </c>
      <c r="F9" s="29">
        <f>[1]July_2026!$J13</f>
        <v>231.39999999999998</v>
      </c>
      <c r="G9" s="30">
        <f>[1]July_2026!$G13</f>
        <v>3445</v>
      </c>
      <c r="H9" s="29">
        <f>[1]July_2026!K13</f>
        <v>227.37</v>
      </c>
      <c r="I9" s="31">
        <f>[1]July_2026!$N13</f>
        <v>10</v>
      </c>
      <c r="J9" s="32">
        <f>[1]July_2026!$Q13</f>
        <v>175.16949152542372</v>
      </c>
      <c r="K9" s="32">
        <f>[1]July_2026!$F13</f>
        <v>392</v>
      </c>
      <c r="L9" s="993">
        <f>[1]July_2026!$E13</f>
        <v>1180</v>
      </c>
      <c r="M9" s="169">
        <f>[2]Jul!$G13</f>
        <v>1.3625</v>
      </c>
      <c r="N9" s="32">
        <f>[1]July_2026!$M13</f>
        <v>64</v>
      </c>
      <c r="O9" s="406">
        <f>[2]Jul!$I13</f>
        <v>0</v>
      </c>
      <c r="P9" s="32">
        <f>[1]July_2026!$I13</f>
        <v>0</v>
      </c>
      <c r="Q9" s="608">
        <f>[1]July_2026!$P13</f>
        <v>1.7415730337078537</v>
      </c>
      <c r="R9" s="995">
        <f>($G9+G10)/(($L9/60)*AD$3*(1/24))</f>
        <v>0.53522632103688927</v>
      </c>
      <c r="S9" s="651">
        <f t="shared" si="0"/>
        <v>0.74441776710684282</v>
      </c>
      <c r="T9" s="995">
        <f>(1279-((N9+N10)-[2]Jul!$I$14-[2]Jul!$J$14-[2]Jul!$Z$14-[2]Jul!$Z$13))/1279</f>
        <v>0.85613760750586398</v>
      </c>
      <c r="U9" s="945">
        <f>[1]July_2026!$S13</f>
        <v>2.2765984654731453E-2</v>
      </c>
      <c r="V9" s="1185" t="s">
        <v>1208</v>
      </c>
      <c r="W9" s="1164"/>
      <c r="X9" s="1164"/>
      <c r="Y9" s="1164"/>
      <c r="Z9" s="1164"/>
      <c r="AA9" s="1164"/>
      <c r="AB9" s="1186"/>
    </row>
    <row r="10" spans="2:30" s="19" customFormat="1" ht="143.25" customHeight="1" thickBot="1" x14ac:dyDescent="0.25">
      <c r="B10" s="168">
        <f>[1]July_2026!$B14</f>
        <v>46206</v>
      </c>
      <c r="C10" s="26" t="str">
        <f>[1]July_2026!$D14</f>
        <v>STAG</v>
      </c>
      <c r="D10" s="27">
        <v>7000</v>
      </c>
      <c r="E10" s="28">
        <f>[2]Jul!$E14</f>
        <v>1.4819444444444445</v>
      </c>
      <c r="F10" s="29">
        <f>[1]July_2026!$J14</f>
        <v>267</v>
      </c>
      <c r="G10" s="30">
        <f>[1]July_2026!$G14</f>
        <v>4011</v>
      </c>
      <c r="H10" s="29">
        <f>[1]July_2026!K14</f>
        <v>264.726</v>
      </c>
      <c r="I10" s="31">
        <f>[1]July_2026!$N14</f>
        <v>1</v>
      </c>
      <c r="J10" s="32">
        <f>[1]July_2026!$Q14</f>
        <v>203.94915254237287</v>
      </c>
      <c r="K10" s="32">
        <f>[1]July_2026!$F14</f>
        <v>485</v>
      </c>
      <c r="L10" s="999"/>
      <c r="M10" s="169">
        <f>[2]Jul!$G14</f>
        <v>1.8881944444444445</v>
      </c>
      <c r="N10" s="32">
        <f>[1]July_2026!$M14</f>
        <v>367</v>
      </c>
      <c r="O10" s="406">
        <f>[2]Jul!$I14</f>
        <v>14</v>
      </c>
      <c r="P10" s="32">
        <f>[1]July_2026!$I14</f>
        <v>49</v>
      </c>
      <c r="Q10" s="608">
        <f>[1]July_2026!$P14</f>
        <v>0.85168539325842729</v>
      </c>
      <c r="R10" s="1020"/>
      <c r="S10" s="651">
        <f>($G10)*24/(($K10)/60)/$AD$3</f>
        <v>0.70052637962401454</v>
      </c>
      <c r="T10" s="1020"/>
      <c r="U10" s="945">
        <f>[1]July_2026!$S14</f>
        <v>5.2596875161674161E-2</v>
      </c>
      <c r="V10" s="1185" t="s">
        <v>1209</v>
      </c>
      <c r="W10" s="1164"/>
      <c r="X10" s="1164"/>
      <c r="Y10" s="1164"/>
      <c r="Z10" s="1164"/>
      <c r="AA10" s="1164"/>
      <c r="AB10" s="1186"/>
    </row>
    <row r="11" spans="2:30" s="19" customFormat="1" ht="192.75" customHeight="1" thickTop="1" thickBot="1" x14ac:dyDescent="0.25">
      <c r="B11" s="168">
        <f>[1]July_2026!$B15</f>
        <v>46209</v>
      </c>
      <c r="C11" s="26" t="str">
        <f>[1]July_2026!$D15</f>
        <v>STAG</v>
      </c>
      <c r="D11" s="27"/>
      <c r="E11" s="28">
        <f>[2]Jul!$E15</f>
        <v>1.0833333333333333</v>
      </c>
      <c r="F11" s="29">
        <f>[1]July_2026!$J15</f>
        <v>418.00000000000006</v>
      </c>
      <c r="G11" s="30">
        <f>[1]July_2026!$G15</f>
        <v>6224</v>
      </c>
      <c r="H11" s="29">
        <f>[1]July_2026!K15</f>
        <v>410.78399999999999</v>
      </c>
      <c r="I11" s="31">
        <f>[1]July_2026!$N15</f>
        <v>18</v>
      </c>
      <c r="J11" s="32">
        <f>[1]July_2026!$Q15</f>
        <v>270.60869565217394</v>
      </c>
      <c r="K11" s="32">
        <f>[1]July_2026!$F15</f>
        <v>1278</v>
      </c>
      <c r="L11" s="970">
        <f>[1]July_2026!$E15</f>
        <v>1380</v>
      </c>
      <c r="M11" s="169">
        <f>[2]Jul!$G15</f>
        <v>2.1534722222222222</v>
      </c>
      <c r="N11" s="32">
        <f>[1]July_2026!$M15</f>
        <v>665</v>
      </c>
      <c r="O11" s="406">
        <f>[2]Jul!$I15</f>
        <v>0</v>
      </c>
      <c r="P11" s="32">
        <f>[1]July_2026!$I15</f>
        <v>0</v>
      </c>
      <c r="Q11" s="608">
        <f>[1]July_2026!$P15</f>
        <v>1.7263157894736993</v>
      </c>
      <c r="R11" s="653">
        <f>($G11)/(($L11/60)*AD$3*(1/24))</f>
        <v>0.3820358056265985</v>
      </c>
      <c r="S11" s="651">
        <f>($G11)*24/(($K11)/60)/$AD$3</f>
        <v>0.4125269262634631</v>
      </c>
      <c r="T11" s="653">
        <f>(1636-((N11)-[2]Jul!$Z$15-[2]Jul!$L$15))/1636</f>
        <v>0.61919315403422981</v>
      </c>
      <c r="U11" s="945">
        <f>[1]July_2026!$S15</f>
        <v>3.676134639008475E-2</v>
      </c>
      <c r="V11" s="1185" t="s">
        <v>1211</v>
      </c>
      <c r="W11" s="1164"/>
      <c r="X11" s="1164"/>
      <c r="Y11" s="1164"/>
      <c r="Z11" s="1164"/>
      <c r="AA11" s="1164"/>
      <c r="AB11" s="1186"/>
    </row>
    <row r="12" spans="2:30" s="19" customFormat="1" ht="114" customHeight="1" thickTop="1" thickBot="1" x14ac:dyDescent="0.25">
      <c r="B12" s="168">
        <f>[1]July_2026!$B16</f>
        <v>46210</v>
      </c>
      <c r="C12" s="26" t="str">
        <f>[1]July_2026!$D16</f>
        <v>STAG</v>
      </c>
      <c r="D12" s="27">
        <v>1540</v>
      </c>
      <c r="E12" s="28">
        <f>[2]Jul!$E16</f>
        <v>1.0819444444444444</v>
      </c>
      <c r="F12" s="29">
        <f>[1]July_2026!$J16</f>
        <v>145.69999999999999</v>
      </c>
      <c r="G12" s="30">
        <f>[1]July_2026!$G16</f>
        <v>2168</v>
      </c>
      <c r="H12" s="29">
        <f>[1]July_2026!K16</f>
        <v>143.08799999999999</v>
      </c>
      <c r="I12" s="31">
        <f>[1]July_2026!$N16</f>
        <v>12</v>
      </c>
      <c r="J12" s="32">
        <f>[1]July_2026!$Q16</f>
        <v>90.333333333333329</v>
      </c>
      <c r="K12" s="32">
        <f>[1]July_2026!$F16</f>
        <v>370</v>
      </c>
      <c r="L12" s="993">
        <f>[1]July_2026!$E16</f>
        <v>1440</v>
      </c>
      <c r="M12" s="169">
        <f>[2]Jul!$G16</f>
        <v>0</v>
      </c>
      <c r="N12" s="32">
        <f>[1]July_2026!$M16</f>
        <v>268</v>
      </c>
      <c r="O12" s="406">
        <f>[2]Jul!$I16</f>
        <v>0</v>
      </c>
      <c r="P12" s="32">
        <f>[1]July_2026!$I16</f>
        <v>0</v>
      </c>
      <c r="Q12" s="608">
        <f>[1]July_2026!$P16</f>
        <v>1.7927247769389123</v>
      </c>
      <c r="R12" s="995">
        <f>($G12+G13)/(($L12/60)*AD$3*(1/24))</f>
        <v>0.18705882352941178</v>
      </c>
      <c r="S12" s="651">
        <f t="shared" ref="S12:S15" si="1">($G12)*24/(($K12)/60)/$AD$3</f>
        <v>0.49633068362480126</v>
      </c>
      <c r="T12" s="995">
        <f>(1637-((N12+N13)-[2]Jul!$AB$17-[2]Jul!$AB$16-[2]Jul!$Z$17))/1637</f>
        <v>0.60415394013439216</v>
      </c>
      <c r="U12" s="945">
        <f>[1]July_2026!$S16</f>
        <v>4.7199062706085385E-2</v>
      </c>
      <c r="V12" s="1185" t="s">
        <v>1212</v>
      </c>
      <c r="W12" s="1164"/>
      <c r="X12" s="1164"/>
      <c r="Y12" s="1164"/>
      <c r="Z12" s="1164"/>
      <c r="AA12" s="1164"/>
      <c r="AB12" s="1186"/>
    </row>
    <row r="13" spans="2:30" s="19" customFormat="1" ht="69.75" customHeight="1" thickBot="1" x14ac:dyDescent="0.25">
      <c r="B13" s="168">
        <f>[1]July_2026!$B17</f>
        <v>46210</v>
      </c>
      <c r="C13" s="26" t="str">
        <f>[1]July_2026!$D17</f>
        <v>CARIB AMBER</v>
      </c>
      <c r="D13" s="27"/>
      <c r="E13" s="28">
        <f>[2]Jul!$E17</f>
        <v>1.8833333333333333</v>
      </c>
      <c r="F13" s="29">
        <f>[1]July_2026!$J17</f>
        <v>70.899999999999977</v>
      </c>
      <c r="G13" s="30">
        <f>[1]July_2026!$G17</f>
        <v>1012</v>
      </c>
      <c r="H13" s="29">
        <f>[1]July_2026!K17</f>
        <v>66.792000000000002</v>
      </c>
      <c r="I13" s="31">
        <f>[1]July_2026!$N17</f>
        <v>0</v>
      </c>
      <c r="J13" s="32">
        <f>[1]July_2026!$Q17</f>
        <v>42.166666666666664</v>
      </c>
      <c r="K13" s="32">
        <f>[1]July_2026!$F17</f>
        <v>153</v>
      </c>
      <c r="L13" s="999"/>
      <c r="M13" s="169">
        <f>[2]Jul!$G17</f>
        <v>2.1368055555555556</v>
      </c>
      <c r="N13" s="32">
        <f>[1]July_2026!$M17</f>
        <v>760</v>
      </c>
      <c r="O13" s="406">
        <f>[2]Jul!$I17</f>
        <v>15</v>
      </c>
      <c r="P13" s="32">
        <f>[1]July_2026!$I17</f>
        <v>0</v>
      </c>
      <c r="Q13" s="608">
        <f>[1]July_2026!$P17</f>
        <v>5.7940761636106872</v>
      </c>
      <c r="R13" s="996"/>
      <c r="S13" s="651">
        <f t="shared" si="1"/>
        <v>0.56027681660899664</v>
      </c>
      <c r="T13" s="996"/>
      <c r="U13" s="945">
        <f>[1]July_2026!$S17</f>
        <v>2.5741758241758238E-2</v>
      </c>
      <c r="V13" s="1185" t="s">
        <v>1221</v>
      </c>
      <c r="W13" s="1164"/>
      <c r="X13" s="1164"/>
      <c r="Y13" s="1164"/>
      <c r="Z13" s="1164"/>
      <c r="AA13" s="1164"/>
      <c r="AB13" s="1186"/>
    </row>
    <row r="14" spans="2:30" s="19" customFormat="1" ht="102.75" customHeight="1" thickTop="1" thickBot="1" x14ac:dyDescent="0.25">
      <c r="B14" s="168">
        <f>[1]July_2026!$B18</f>
        <v>46211</v>
      </c>
      <c r="C14" s="26" t="str">
        <f>[1]July_2026!$D18</f>
        <v>CARIB AMBER</v>
      </c>
      <c r="D14" s="27"/>
      <c r="E14" s="28">
        <f>[2]Jul!$E18</f>
        <v>1.0097222222222222</v>
      </c>
      <c r="F14" s="29">
        <f>[1]July_2026!$J18</f>
        <v>233.29999999999995</v>
      </c>
      <c r="G14" s="30">
        <f>[1]July_2026!$G18</f>
        <v>3469</v>
      </c>
      <c r="H14" s="29">
        <f>[1]July_2026!K18</f>
        <v>228.95400000000001</v>
      </c>
      <c r="I14" s="31">
        <f>[1]July_2026!$N18</f>
        <v>7</v>
      </c>
      <c r="J14" s="32">
        <f>[1]July_2026!$Q18</f>
        <v>145.96072931276299</v>
      </c>
      <c r="K14" s="32">
        <f>[1]July_2026!$F18</f>
        <v>729</v>
      </c>
      <c r="L14" s="993">
        <f>[1]July_2026!$E18</f>
        <v>1426</v>
      </c>
      <c r="M14" s="169">
        <f>[2]Jul!$G18</f>
        <v>0</v>
      </c>
      <c r="N14" s="32">
        <f>[1]July_2026!$M18</f>
        <v>395</v>
      </c>
      <c r="O14" s="406">
        <f>[2]Jul!$I18</f>
        <v>0</v>
      </c>
      <c r="P14" s="32">
        <f>[1]July_2026!$I18</f>
        <v>0</v>
      </c>
      <c r="Q14" s="608">
        <f>[1]July_2026!$P18</f>
        <v>1.8628375482211519</v>
      </c>
      <c r="R14" s="995">
        <f>($G14+G15+G16+G17+G18)/(($L14/60)*AD$3*(1/24))</f>
        <v>0.33906113356983753</v>
      </c>
      <c r="S14" s="651">
        <f t="shared" si="1"/>
        <v>0.40307915758896151</v>
      </c>
      <c r="T14" s="995">
        <f>(1601-((N14+N15+N16+N17+N18)-[2]Jul!$H$19-[2]Jul!$I$19-[2]Jul!$J$18-[2]Jul!$I$20-[2]Jul!$I$21-[2]Jul!$Z$18-[2]Jul!$Z$19-[2]Jul!$Z$21))/1601</f>
        <v>0.76826983135540283</v>
      </c>
      <c r="U14" s="945">
        <f>[1]July_2026!$S18</f>
        <v>6.519016697588126E-3</v>
      </c>
      <c r="V14" s="1185" t="s">
        <v>1216</v>
      </c>
      <c r="W14" s="1164"/>
      <c r="X14" s="1164"/>
      <c r="Y14" s="1164"/>
      <c r="Z14" s="1164"/>
      <c r="AA14" s="1164"/>
      <c r="AB14" s="1186"/>
    </row>
    <row r="15" spans="2:30" s="19" customFormat="1" ht="64.5" customHeight="1" thickBot="1" x14ac:dyDescent="0.25">
      <c r="B15" s="168">
        <f>[1]July_2026!$B19</f>
        <v>46211</v>
      </c>
      <c r="C15" s="26" t="str">
        <f>[1]July_2026!$D19</f>
        <v>SHANDY LIME LOCAL</v>
      </c>
      <c r="D15" s="27">
        <v>2100</v>
      </c>
      <c r="E15" s="28">
        <f>[2]Jul!$E19</f>
        <v>1.5729166666666667</v>
      </c>
      <c r="F15" s="989">
        <f>[1]July_2026!$J19</f>
        <v>97.6</v>
      </c>
      <c r="G15" s="30">
        <f>[1]July_2026!$G19</f>
        <v>666</v>
      </c>
      <c r="H15" s="989">
        <f>[1]July_2026!K19</f>
        <v>94.710000000000008</v>
      </c>
      <c r="I15" s="31">
        <f>[1]July_2026!$N19</f>
        <v>0</v>
      </c>
      <c r="J15" s="32">
        <f>[1]July_2026!$Q19</f>
        <v>28.022440392706873</v>
      </c>
      <c r="K15" s="32">
        <f>[1]July_2026!$F19</f>
        <v>164</v>
      </c>
      <c r="L15" s="1016"/>
      <c r="M15" s="169">
        <f>[2]Jul!$G19</f>
        <v>0</v>
      </c>
      <c r="N15" s="32">
        <f>[1]July_2026!$M19</f>
        <v>85</v>
      </c>
      <c r="O15" s="406">
        <f>[2]Jul!$I19</f>
        <v>28</v>
      </c>
      <c r="P15" s="32">
        <f>[1]July_2026!$I19</f>
        <v>0</v>
      </c>
      <c r="Q15" s="1000">
        <f>[1]July_2026!$P19</f>
        <v>2.9610655737704779</v>
      </c>
      <c r="R15" s="996"/>
      <c r="S15" s="651">
        <f t="shared" si="1"/>
        <v>0.34398852223816356</v>
      </c>
      <c r="T15" s="996"/>
      <c r="U15" s="945">
        <f>[1]July_2026!$S19</f>
        <v>9.0618955512572538E-3</v>
      </c>
      <c r="V15" s="1185" t="s">
        <v>1217</v>
      </c>
      <c r="W15" s="1164"/>
      <c r="X15" s="1164"/>
      <c r="Y15" s="1164"/>
      <c r="Z15" s="1164"/>
      <c r="AA15" s="1164"/>
      <c r="AB15" s="1186"/>
    </row>
    <row r="16" spans="2:30" s="19" customFormat="1" ht="46.5" customHeight="1" thickBot="1" x14ac:dyDescent="0.25">
      <c r="B16" s="168">
        <f>[1]July_2026!$B20</f>
        <v>46211</v>
      </c>
      <c r="C16" s="26" t="str">
        <f>[1]July_2026!$D20</f>
        <v>SHANDY LIME EXPORT</v>
      </c>
      <c r="D16" s="27">
        <v>700</v>
      </c>
      <c r="E16" s="28">
        <f>[2]Jul!$E20</f>
        <v>1.7083333333333333</v>
      </c>
      <c r="F16" s="990"/>
      <c r="G16" s="30">
        <f>[1]July_2026!$G20</f>
        <v>769</v>
      </c>
      <c r="H16" s="990"/>
      <c r="I16" s="31">
        <f>[1]July_2026!$N20</f>
        <v>0</v>
      </c>
      <c r="J16" s="32">
        <f>[1]July_2026!$Q20</f>
        <v>32.356241234221599</v>
      </c>
      <c r="K16" s="32">
        <f>[1]July_2026!$F20</f>
        <v>60</v>
      </c>
      <c r="L16" s="1016"/>
      <c r="M16" s="169">
        <f>[2]Jul!$G20</f>
        <v>0</v>
      </c>
      <c r="N16" s="32">
        <f>[1]July_2026!$M20</f>
        <v>48</v>
      </c>
      <c r="O16" s="406">
        <f>[2]Jul!$I20</f>
        <v>47</v>
      </c>
      <c r="P16" s="32">
        <f>[1]July_2026!$I20</f>
        <v>0</v>
      </c>
      <c r="Q16" s="1001"/>
      <c r="R16" s="996"/>
      <c r="S16" s="651"/>
      <c r="T16" s="996"/>
      <c r="U16" s="945">
        <f>[1]July_2026!$S20</f>
        <v>0</v>
      </c>
      <c r="V16" s="1185" t="s">
        <v>1214</v>
      </c>
      <c r="W16" s="1164"/>
      <c r="X16" s="1164"/>
      <c r="Y16" s="1164"/>
      <c r="Z16" s="1164"/>
      <c r="AA16" s="1164"/>
      <c r="AB16" s="1186"/>
    </row>
    <row r="17" spans="2:28" s="19" customFormat="1" ht="75" customHeight="1" x14ac:dyDescent="0.2">
      <c r="B17" s="168">
        <f>[1]July_2026!$B21</f>
        <v>46211</v>
      </c>
      <c r="C17" s="26" t="str">
        <f>[1]July_2026!$D21</f>
        <v>SHANDY GINGER EXPORT</v>
      </c>
      <c r="D17" s="27">
        <v>700</v>
      </c>
      <c r="E17" s="28">
        <f>[2]Jul!$E21</f>
        <v>1.7826388888888889</v>
      </c>
      <c r="F17" s="989">
        <f>[1]July_2026!$J21</f>
        <v>57.599999999999994</v>
      </c>
      <c r="G17" s="30">
        <f>[1]July_2026!$G21</f>
        <v>702</v>
      </c>
      <c r="H17" s="29">
        <f>[1]July_2026!K21</f>
        <v>53.064</v>
      </c>
      <c r="I17" s="31">
        <f>[1]July_2026!$N21</f>
        <v>0</v>
      </c>
      <c r="J17" s="32">
        <f>[1]July_2026!$Q21</f>
        <v>29.537166900420758</v>
      </c>
      <c r="K17" s="991">
        <f>[1]July_2026!$F21</f>
        <v>280</v>
      </c>
      <c r="L17" s="1016"/>
      <c r="M17" s="169">
        <f>[2]Jul!$G21</f>
        <v>0</v>
      </c>
      <c r="N17" s="32">
        <f>[1]July_2026!$M21</f>
        <v>68</v>
      </c>
      <c r="O17" s="406">
        <f>[2]Jul!$I21</f>
        <v>22</v>
      </c>
      <c r="P17" s="32">
        <f>[1]July_2026!$I21</f>
        <v>0</v>
      </c>
      <c r="Q17" s="1000">
        <f>[1]July_2026!$P21</f>
        <v>7.8749999999999902</v>
      </c>
      <c r="R17" s="996"/>
      <c r="S17" s="1006">
        <f>($G17+G18)*24/(($K17)/60)/$AD$3</f>
        <v>0.24322689075630249</v>
      </c>
      <c r="T17" s="996"/>
      <c r="U17" s="945">
        <f>[1]July_2026!$S21</f>
        <v>9.0618955512572538E-3</v>
      </c>
      <c r="V17" s="1185" t="s">
        <v>1215</v>
      </c>
      <c r="W17" s="1164"/>
      <c r="X17" s="1164"/>
      <c r="Y17" s="1164"/>
      <c r="Z17" s="1164"/>
      <c r="AA17" s="1164"/>
      <c r="AB17" s="1186"/>
    </row>
    <row r="18" spans="2:28" s="19" customFormat="1" ht="40.5" customHeight="1" thickBot="1" x14ac:dyDescent="0.25">
      <c r="B18" s="168">
        <f>[1]July_2026!$B22</f>
        <v>46211</v>
      </c>
      <c r="C18" s="26" t="str">
        <f>[1]July_2026!$D22</f>
        <v>SHANDY GINGER LOCAL</v>
      </c>
      <c r="D18" s="27">
        <v>2100</v>
      </c>
      <c r="E18" s="28">
        <f>[2]Jul!$E22</f>
        <v>0</v>
      </c>
      <c r="F18" s="990"/>
      <c r="G18" s="30">
        <f>[1]July_2026!$G22</f>
        <v>102</v>
      </c>
      <c r="H18" s="29">
        <f>[1]July_2026!K22</f>
        <v>0</v>
      </c>
      <c r="I18" s="31">
        <f>[1]July_2026!$N22</f>
        <v>0</v>
      </c>
      <c r="J18" s="32">
        <f>[1]July_2026!$Q22</f>
        <v>4.2917251051893412</v>
      </c>
      <c r="K18" s="992"/>
      <c r="L18" s="999"/>
      <c r="M18" s="169">
        <f>[2]Jul!$G22</f>
        <v>2.1118055555555557</v>
      </c>
      <c r="N18" s="32">
        <f>[1]July_2026!$M22</f>
        <v>157</v>
      </c>
      <c r="O18" s="406">
        <f>[2]Jul!$I22</f>
        <v>0</v>
      </c>
      <c r="P18" s="32">
        <f>[1]July_2026!$I22</f>
        <v>0</v>
      </c>
      <c r="Q18" s="1001"/>
      <c r="R18" s="1020"/>
      <c r="S18" s="1007"/>
      <c r="T18" s="1020"/>
      <c r="U18" s="946">
        <f>[1]July_2026!$S22</f>
        <v>0</v>
      </c>
      <c r="V18" s="1185" t="s">
        <v>1213</v>
      </c>
      <c r="W18" s="1164"/>
      <c r="X18" s="1164"/>
      <c r="Y18" s="1164"/>
      <c r="Z18" s="1164"/>
      <c r="AA18" s="1164"/>
      <c r="AB18" s="1186"/>
    </row>
    <row r="19" spans="2:28" s="19" customFormat="1" ht="120.75" customHeight="1" thickTop="1" thickBot="1" x14ac:dyDescent="0.25">
      <c r="B19" s="168">
        <f>[1]July_2026!$B23</f>
        <v>46212</v>
      </c>
      <c r="C19" s="26" t="str">
        <f>[1]July_2026!$D23</f>
        <v>SHANDY GINGER LOCAL</v>
      </c>
      <c r="D19" s="27"/>
      <c r="E19" s="28">
        <f>[2]Jul!$E23</f>
        <v>1.0069444444444444</v>
      </c>
      <c r="F19" s="369">
        <f>[1]July_2026!$J23</f>
        <v>148</v>
      </c>
      <c r="G19" s="30">
        <f>[1]July_2026!$G23</f>
        <v>2192</v>
      </c>
      <c r="H19" s="29">
        <f>[1]July_2026!K23</f>
        <v>144.672</v>
      </c>
      <c r="I19" s="31">
        <f>[1]July_2026!$N23</f>
        <v>5</v>
      </c>
      <c r="J19" s="32">
        <f>[1]July_2026!$Q23</f>
        <v>91.972027972027973</v>
      </c>
      <c r="K19" s="32">
        <f>[1]July_2026!$F23</f>
        <v>650</v>
      </c>
      <c r="L19" s="993">
        <f>[1]July_2026!$E23</f>
        <v>1430</v>
      </c>
      <c r="M19" s="169">
        <f>[2]Jul!$G23</f>
        <v>0</v>
      </c>
      <c r="N19" s="32">
        <f>[1]July_2026!$M23</f>
        <v>388</v>
      </c>
      <c r="O19" s="406">
        <f>[2]Jul!$I23</f>
        <v>47</v>
      </c>
      <c r="P19" s="32"/>
      <c r="Q19" s="608">
        <f>[1]July_2026!$P23</f>
        <v>2.2486486486486505</v>
      </c>
      <c r="R19" s="995">
        <f>($G19+G20+G21)/(($L19/60)*AD$3*(1/24))</f>
        <v>0.28971781160016458</v>
      </c>
      <c r="S19" s="925">
        <f>($G19)*24/(($K19)/60)/$AD$3</f>
        <v>0.28565429864253394</v>
      </c>
      <c r="T19" s="995">
        <f>(1335-((N19+N20+N21)-[2]Jul!$H$25-[2]Jul!$I$25-[2]Jul!$J$25-[2]Jul!$I$24-[2]Jul!$I$23-[2]Jul!$Z$23-[2]Jul!$Z$24-[2]Jul!$Z$25-[2]Jul!$AA$24-[2]Jul!$AB$23-[2]Jul!$AB$25))/1335</f>
        <v>0.82696629213483142</v>
      </c>
      <c r="U19" s="945">
        <f>[1]July_2026!$S23</f>
        <v>6.2411190053285968E-3</v>
      </c>
      <c r="V19" s="1185" t="s">
        <v>1218</v>
      </c>
      <c r="W19" s="1164"/>
      <c r="X19" s="1164"/>
      <c r="Y19" s="1164"/>
      <c r="Z19" s="1164"/>
      <c r="AA19" s="1164"/>
      <c r="AB19" s="1186"/>
    </row>
    <row r="20" spans="2:28" s="19" customFormat="1" ht="77.25" customHeight="1" thickBot="1" x14ac:dyDescent="0.25">
      <c r="B20" s="168">
        <f>[1]July_2026!$B24</f>
        <v>46212</v>
      </c>
      <c r="C20" s="26" t="str">
        <f>[1]July_2026!$D24</f>
        <v>SHANDY SORREL EXPORT</v>
      </c>
      <c r="D20" s="27">
        <v>800</v>
      </c>
      <c r="E20" s="28">
        <f>[2]Jul!$E24</f>
        <v>1.4736111111111112</v>
      </c>
      <c r="F20" s="989">
        <f>[1]July_2026!$J24</f>
        <v>181</v>
      </c>
      <c r="G20" s="30">
        <f>[1]July_2026!$G24</f>
        <v>808</v>
      </c>
      <c r="H20" s="989">
        <f>[1]July_2026!K24</f>
        <v>178.13400000000001</v>
      </c>
      <c r="I20" s="1004">
        <f>[1]July_2026!$N24</f>
        <v>9</v>
      </c>
      <c r="J20" s="32">
        <f>[1]July_2026!$Q24</f>
        <v>33.902097902097907</v>
      </c>
      <c r="K20" s="32">
        <f>[1]July_2026!$F24</f>
        <v>279</v>
      </c>
      <c r="L20" s="1016"/>
      <c r="M20" s="169">
        <f>[2]Jul!$G24</f>
        <v>1.6875</v>
      </c>
      <c r="N20" s="32">
        <f>[1]July_2026!$M24</f>
        <v>147</v>
      </c>
      <c r="O20" s="406">
        <f>[2]Jul!$I24</f>
        <v>17</v>
      </c>
      <c r="P20" s="32"/>
      <c r="Q20" s="1000">
        <f>[1]July_2026!$P24</f>
        <v>1.5834254143646329</v>
      </c>
      <c r="R20" s="996"/>
      <c r="S20" s="925">
        <f t="shared" ref="S20:S24" si="2">($G20)*24/(($K20)/60)/$AD$3</f>
        <v>0.24531309297912712</v>
      </c>
      <c r="T20" s="996"/>
      <c r="U20" s="945">
        <f>[1]July_2026!$S24</f>
        <v>2.3290448673400802E-2</v>
      </c>
      <c r="V20" s="1185" t="s">
        <v>1219</v>
      </c>
      <c r="W20" s="1164"/>
      <c r="X20" s="1164"/>
      <c r="Y20" s="1164"/>
      <c r="Z20" s="1164"/>
      <c r="AA20" s="1164"/>
      <c r="AB20" s="1186"/>
    </row>
    <row r="21" spans="2:28" s="19" customFormat="1" ht="71.25" customHeight="1" thickBot="1" x14ac:dyDescent="0.25">
      <c r="B21" s="168">
        <f>[1]July_2026!$B25</f>
        <v>46212</v>
      </c>
      <c r="C21" s="26" t="str">
        <f>[1]July_2026!$D25</f>
        <v>SHANDY SORREL LOCAL</v>
      </c>
      <c r="D21" s="27">
        <v>2000</v>
      </c>
      <c r="E21" s="28">
        <f>[2]Jul!$E25</f>
        <v>1.7083333333333333</v>
      </c>
      <c r="F21" s="990"/>
      <c r="G21" s="30">
        <f>[1]July_2026!$G25</f>
        <v>1891</v>
      </c>
      <c r="H21" s="990"/>
      <c r="I21" s="1005"/>
      <c r="J21" s="32">
        <f>[1]July_2026!$Q25</f>
        <v>79.342657342657347</v>
      </c>
      <c r="K21" s="32">
        <f>[1]July_2026!$F25</f>
        <v>214</v>
      </c>
      <c r="L21" s="999"/>
      <c r="M21" s="169">
        <f>[2]Jul!$G25</f>
        <v>1.9270833333333333</v>
      </c>
      <c r="N21" s="32">
        <f>[1]July_2026!$M25</f>
        <v>90</v>
      </c>
      <c r="O21" s="406">
        <f>[2]Jul!$I25</f>
        <v>53</v>
      </c>
      <c r="P21" s="32"/>
      <c r="Q21" s="1001"/>
      <c r="R21" s="996"/>
      <c r="S21" s="925">
        <f t="shared" si="2"/>
        <v>0.74849917537108301</v>
      </c>
      <c r="T21" s="996"/>
      <c r="U21" s="946">
        <f>[1]July_2026!$S25</f>
        <v>0</v>
      </c>
      <c r="V21" s="1185" t="s">
        <v>1220</v>
      </c>
      <c r="W21" s="1164"/>
      <c r="X21" s="1164"/>
      <c r="Y21" s="1164"/>
      <c r="Z21" s="1164"/>
      <c r="AA21" s="1164"/>
      <c r="AB21" s="1186"/>
    </row>
    <row r="22" spans="2:28" s="19" customFormat="1" ht="176.25" customHeight="1" thickTop="1" thickBot="1" x14ac:dyDescent="0.25">
      <c r="B22" s="168">
        <f>[1]July_2026!$B26</f>
        <v>46213</v>
      </c>
      <c r="C22" s="26" t="str">
        <f>[1]July_2026!$D26</f>
        <v>MACKESON</v>
      </c>
      <c r="D22" s="27"/>
      <c r="E22" s="28">
        <f>[2]Jul!$E26</f>
        <v>1.0194444444444444</v>
      </c>
      <c r="F22" s="369">
        <f>[1]July_2026!$J26</f>
        <v>179.2</v>
      </c>
      <c r="G22" s="30">
        <f>[1]July_2026!$G26</f>
        <v>2687</v>
      </c>
      <c r="H22" s="29">
        <f>[1]July_2026!K26</f>
        <v>177.34200000000001</v>
      </c>
      <c r="I22" s="31">
        <f>[1]July_2026!$N26</f>
        <v>8</v>
      </c>
      <c r="J22" s="32">
        <f>[1]July_2026!$Q26</f>
        <v>136.39593908629442</v>
      </c>
      <c r="K22" s="32">
        <f>[1]July_2026!$F26</f>
        <v>537</v>
      </c>
      <c r="L22" s="993">
        <f>[1]July_2026!$E26</f>
        <v>1182</v>
      </c>
      <c r="M22" s="169">
        <f>[2]Jul!$G26</f>
        <v>0</v>
      </c>
      <c r="N22" s="32">
        <f>[1]July_2026!$M26</f>
        <v>441</v>
      </c>
      <c r="O22" s="406">
        <f>[2]Jul!$I26</f>
        <v>50</v>
      </c>
      <c r="P22" s="32"/>
      <c r="Q22" s="608">
        <f>[1]July_2026!$P26</f>
        <v>1.0368303571428437</v>
      </c>
      <c r="R22" s="995">
        <f>($G22+G23)/(($L22/60)*AD$3*(1/24))</f>
        <v>0.37995819647656021</v>
      </c>
      <c r="S22" s="925">
        <f t="shared" si="2"/>
        <v>0.42384488991127184</v>
      </c>
      <c r="T22" s="995">
        <f>(1282-((N22+N23)-[2]Jul!$J$27-[2]Jul!$L$27-[2]Jul!$Z$27-[2]Jul!$Z$26-[2]Jul!$AB$26))/1282</f>
        <v>0.49687987519500781</v>
      </c>
      <c r="U22" s="945">
        <f>[1]July_2026!$S26</f>
        <v>7.6677577741407522E-3</v>
      </c>
      <c r="V22" s="1185" t="s">
        <v>1222</v>
      </c>
      <c r="W22" s="1164"/>
      <c r="X22" s="1164"/>
      <c r="Y22" s="1164"/>
      <c r="Z22" s="1164"/>
      <c r="AA22" s="1164"/>
      <c r="AB22" s="1186"/>
    </row>
    <row r="23" spans="2:28" s="19" customFormat="1" ht="149.25" customHeight="1" thickBot="1" x14ac:dyDescent="0.25">
      <c r="B23" s="168">
        <f>[1]July_2026!$B27</f>
        <v>46213</v>
      </c>
      <c r="C23" s="26" t="str">
        <f>[1]July_2026!$D27</f>
        <v>GUINNESS</v>
      </c>
      <c r="D23" s="27">
        <v>7000</v>
      </c>
      <c r="E23" s="28">
        <f>[2]Jul!$E27</f>
        <v>1.5069444444444444</v>
      </c>
      <c r="F23" s="369">
        <f>[1]July_2026!$J27</f>
        <v>175.39999999999998</v>
      </c>
      <c r="G23" s="30">
        <f>[1]July_2026!$G27</f>
        <v>2615</v>
      </c>
      <c r="H23" s="29">
        <f>[1]July_2026!K27</f>
        <v>172.59</v>
      </c>
      <c r="I23" s="31">
        <f>[1]July_2026!$N27</f>
        <v>3</v>
      </c>
      <c r="J23" s="32">
        <f>[1]July_2026!$Q27</f>
        <v>132.74111675126903</v>
      </c>
      <c r="K23" s="32">
        <f>[1]July_2026!$F27</f>
        <v>471</v>
      </c>
      <c r="L23" s="999"/>
      <c r="M23" s="169">
        <f>[2]Jul!$G27</f>
        <v>1.8902777777777777</v>
      </c>
      <c r="N23" s="32">
        <f>[1]July_2026!$M27</f>
        <v>278</v>
      </c>
      <c r="O23" s="406">
        <f>[2]Jul!$I27</f>
        <v>15</v>
      </c>
      <c r="P23" s="32"/>
      <c r="Q23" s="608">
        <f>[1]July_2026!$P27</f>
        <v>1.602052451539324</v>
      </c>
      <c r="R23" s="996"/>
      <c r="S23" s="925">
        <f t="shared" si="2"/>
        <v>0.47028849756463098</v>
      </c>
      <c r="T23" s="996"/>
      <c r="U23" s="945">
        <f>[1]July_2026!$S27</f>
        <v>7.1663479923518162E-3</v>
      </c>
      <c r="V23" s="1185" t="s">
        <v>1223</v>
      </c>
      <c r="W23" s="1164"/>
      <c r="X23" s="1164"/>
      <c r="Y23" s="1164"/>
      <c r="Z23" s="1164"/>
      <c r="AA23" s="1164"/>
      <c r="AB23" s="1186"/>
    </row>
    <row r="24" spans="2:28" s="19" customFormat="1" ht="224.25" customHeight="1" thickTop="1" thickBot="1" x14ac:dyDescent="0.25">
      <c r="B24" s="168">
        <f>[1]July_2026!$B28</f>
        <v>46216</v>
      </c>
      <c r="C24" s="26" t="str">
        <f>[1]July_2026!$D28</f>
        <v>GUINNESS</v>
      </c>
      <c r="D24" s="27"/>
      <c r="E24" s="28">
        <f>[2]Jul!$E28</f>
        <v>1.0729166666666667</v>
      </c>
      <c r="F24" s="369">
        <f>[1]July_2026!$J28</f>
        <v>282.2</v>
      </c>
      <c r="G24" s="30">
        <f>[1]July_2026!$G28</f>
        <v>4221</v>
      </c>
      <c r="H24" s="29">
        <f>[1]July_2026!K28</f>
        <v>278.58600000000001</v>
      </c>
      <c r="I24" s="31">
        <f>[1]July_2026!$N28</f>
        <v>44</v>
      </c>
      <c r="J24" s="32">
        <f>[1]July_2026!$Q28</f>
        <v>189.70786516853931</v>
      </c>
      <c r="K24" s="32">
        <f>[1]July_2026!$F28</f>
        <v>929</v>
      </c>
      <c r="L24" s="993">
        <f>[1]July_2026!$E28</f>
        <v>1335</v>
      </c>
      <c r="M24" s="169">
        <f>[2]Jul!$G28</f>
        <v>0</v>
      </c>
      <c r="N24" s="32">
        <f>[1]July_2026!$M28</f>
        <v>487</v>
      </c>
      <c r="O24" s="406">
        <f>[2]Jul!$I28</f>
        <v>0</v>
      </c>
      <c r="P24" s="32"/>
      <c r="Q24" s="608">
        <f>[1]July_2026!$P28</f>
        <v>1.2806520198440738</v>
      </c>
      <c r="R24" s="995">
        <f>($G24+G25)/(($L24/60)*AD$3*(1/24))</f>
        <v>0.39148711169861206</v>
      </c>
      <c r="S24" s="925">
        <f t="shared" si="2"/>
        <v>0.38486924586842275</v>
      </c>
      <c r="T24" s="995">
        <f>(1537-((N24+N25)-[2]Jul!$Z$29-[2]Jul!$Z$28-[2]Jul!$AB$28-[2]Jul!$J$29))/1537</f>
        <v>0.64996746909564085</v>
      </c>
      <c r="U24" s="945">
        <f>[1]July_2026!$S28</f>
        <v>5.0196428571428571E-3</v>
      </c>
      <c r="V24" s="1185" t="s">
        <v>1225</v>
      </c>
      <c r="W24" s="1164"/>
      <c r="X24" s="1164"/>
      <c r="Y24" s="1164"/>
      <c r="Z24" s="1164"/>
      <c r="AA24" s="1164"/>
      <c r="AB24" s="1186"/>
    </row>
    <row r="25" spans="2:28" s="19" customFormat="1" ht="69.75" customHeight="1" thickBot="1" x14ac:dyDescent="0.25">
      <c r="B25" s="168">
        <f>[1]July_2026!$B29</f>
        <v>46216</v>
      </c>
      <c r="C25" s="26" t="str">
        <f>[1]July_2026!$D29</f>
        <v>STAG</v>
      </c>
      <c r="D25" s="27">
        <v>5600</v>
      </c>
      <c r="E25" s="28">
        <f>[2]Jul!$E29</f>
        <v>1.8340277777777778</v>
      </c>
      <c r="F25" s="369">
        <f>[1]July_2026!$J29</f>
        <v>130.5</v>
      </c>
      <c r="G25" s="30">
        <f>[1]July_2026!$G29</f>
        <v>1949</v>
      </c>
      <c r="H25" s="29">
        <f>[1]July_2026!K29</f>
        <v>128.63400000000001</v>
      </c>
      <c r="I25" s="31">
        <f>[1]July_2026!$N29</f>
        <v>3</v>
      </c>
      <c r="J25" s="32">
        <f>[1]July_2026!$Q29</f>
        <v>87.595505617977523</v>
      </c>
      <c r="K25" s="32">
        <f>[1]July_2026!$F29</f>
        <v>176</v>
      </c>
      <c r="L25" s="999"/>
      <c r="M25" s="169">
        <f>[2]Jul!$G29</f>
        <v>2.067361111111111</v>
      </c>
      <c r="N25" s="32">
        <f>[1]July_2026!$M29</f>
        <v>186</v>
      </c>
      <c r="O25" s="406">
        <f>[2]Jul!$I29</f>
        <v>55</v>
      </c>
      <c r="P25" s="32"/>
      <c r="Q25" s="608">
        <f>[1]July_2026!$P29</f>
        <v>1.4298850574712534</v>
      </c>
      <c r="R25" s="996"/>
      <c r="S25" s="925">
        <f>($G25)*24/(($K25)/60)/$AD$3</f>
        <v>0.93802139037433163</v>
      </c>
      <c r="T25" s="996"/>
      <c r="U25" s="946">
        <f>[1]July_2026!$S29</f>
        <v>0</v>
      </c>
      <c r="V25" s="1185" t="s">
        <v>1224</v>
      </c>
      <c r="W25" s="1164"/>
      <c r="X25" s="1164"/>
      <c r="Y25" s="1164"/>
      <c r="Z25" s="1164"/>
      <c r="AA25" s="1164"/>
      <c r="AB25" s="1186"/>
    </row>
    <row r="26" spans="2:28" s="19" customFormat="1" ht="190.5" customHeight="1" thickTop="1" thickBot="1" x14ac:dyDescent="0.25">
      <c r="B26" s="168">
        <f>[1]July_2026!$B30</f>
        <v>46217</v>
      </c>
      <c r="C26" s="26" t="str">
        <f>[1]July_2026!$D30</f>
        <v>STAG</v>
      </c>
      <c r="D26" s="27">
        <v>5600</v>
      </c>
      <c r="E26" s="28">
        <f>[2]Jul!$E30</f>
        <v>1.0104166666666667</v>
      </c>
      <c r="F26" s="369">
        <f>[1]July_2026!$J30</f>
        <v>609.9</v>
      </c>
      <c r="G26" s="30">
        <f>[1]July_2026!$G30</f>
        <v>9145</v>
      </c>
      <c r="H26" s="29">
        <f>[1]July_2026!K30</f>
        <v>603.57000000000005</v>
      </c>
      <c r="I26" s="31">
        <f>[1]July_2026!$N30</f>
        <v>13</v>
      </c>
      <c r="J26" s="32">
        <f>[1]July_2026!$Q30</f>
        <v>372.758152173913</v>
      </c>
      <c r="K26" s="32">
        <f>[1]July_2026!$F30</f>
        <v>1302</v>
      </c>
      <c r="L26" s="970">
        <f>[1]July_2026!$E30</f>
        <v>1472</v>
      </c>
      <c r="M26" s="169">
        <f>[2]Jul!$G30</f>
        <v>2.0687500000000001</v>
      </c>
      <c r="N26" s="32">
        <f>[1]July_2026!$M30</f>
        <v>434</v>
      </c>
      <c r="O26" s="406">
        <f>[2]Jul!$I30</f>
        <v>0</v>
      </c>
      <c r="P26" s="32"/>
      <c r="Q26" s="608">
        <f>[1]July_2026!$P30</f>
        <v>1.0378750614854775</v>
      </c>
      <c r="R26" s="653">
        <f>($G26)/(($L26/60)*AD$3*(1/24))</f>
        <v>0.52624680306905369</v>
      </c>
      <c r="S26" s="651">
        <f>($G26)*24/(($K26)/60)/$AD$3</f>
        <v>0.59495798319327731</v>
      </c>
      <c r="T26" s="653">
        <f>(1539-((N26)-[2]Jul!$Z$30-[2]Jul!$AB$30-[2]Jul!$J$30))/1539</f>
        <v>0.84730344379467182</v>
      </c>
      <c r="U26" s="945">
        <f>[1]July_2026!$S30</f>
        <v>1.0523658873377974E-2</v>
      </c>
      <c r="V26" s="1185" t="s">
        <v>1226</v>
      </c>
      <c r="W26" s="1164"/>
      <c r="X26" s="1164"/>
      <c r="Y26" s="1164"/>
      <c r="Z26" s="1164"/>
      <c r="AA26" s="1164"/>
      <c r="AB26" s="1186"/>
    </row>
    <row r="27" spans="2:28" s="19" customFormat="1" ht="159" customHeight="1" thickTop="1" thickBot="1" x14ac:dyDescent="0.25">
      <c r="B27" s="168">
        <f>[1]July_2026!$B31</f>
        <v>46218</v>
      </c>
      <c r="C27" s="26" t="str">
        <f>[1]July_2026!$D31</f>
        <v xml:space="preserve">CARIB FLINT EXPORT </v>
      </c>
      <c r="D27" s="27">
        <v>1600</v>
      </c>
      <c r="E27" s="28">
        <f>[2]Jul!$E31</f>
        <v>1.0694444444444444</v>
      </c>
      <c r="F27" s="369">
        <f>[1]July_2026!$J31</f>
        <v>191.7</v>
      </c>
      <c r="G27" s="30">
        <f>[1]July_2026!$G31</f>
        <v>2896</v>
      </c>
      <c r="H27" s="29">
        <f>[1]July_2026!K31</f>
        <v>191.136</v>
      </c>
      <c r="I27" s="31">
        <f>[1]July_2026!$N31</f>
        <v>19</v>
      </c>
      <c r="J27" s="32">
        <f>[1]July_2026!$Q31</f>
        <v>120.66666666666667</v>
      </c>
      <c r="K27" s="32">
        <f>[1]July_2026!$F31</f>
        <v>566</v>
      </c>
      <c r="L27" s="993">
        <f>[1]July_2026!$E31</f>
        <v>1440</v>
      </c>
      <c r="M27" s="169">
        <f>[2]Jul!$G31</f>
        <v>1.5638888888888889</v>
      </c>
      <c r="N27" s="32">
        <f>[1]July_2026!$M31</f>
        <v>285</v>
      </c>
      <c r="O27" s="406">
        <f>[2]Jul!$I31</f>
        <v>72</v>
      </c>
      <c r="P27" s="32"/>
      <c r="Q27" s="608">
        <f>[1]July_2026!$P31</f>
        <v>0.29420970266040319</v>
      </c>
      <c r="R27" s="995">
        <f>($G27+G28)/(($L27/60)*AD$3*(1/24))</f>
        <v>0.34552941176470586</v>
      </c>
      <c r="S27" s="651">
        <f t="shared" ref="S27:S32" si="3">($G27)*24/(($K27)/60)/$AD$3</f>
        <v>0.43340677613801704</v>
      </c>
      <c r="T27" s="995">
        <f>(1530-((N27+N28)-[2]Jul!$J$31-[2]Jul!$J$32-[2]Jul!$M$32-[2]Jul!$Z$31-[2]Jul!$AB$31))/1530</f>
        <v>0.64640522875816997</v>
      </c>
      <c r="U27" s="946">
        <f>[1]July_2026!$S31</f>
        <v>7.0134730538922154E-3</v>
      </c>
      <c r="V27" s="1185" t="s">
        <v>1227</v>
      </c>
      <c r="W27" s="1164"/>
      <c r="X27" s="1164"/>
      <c r="Y27" s="1164"/>
      <c r="Z27" s="1164"/>
      <c r="AA27" s="1164"/>
      <c r="AB27" s="1186"/>
    </row>
    <row r="28" spans="2:28" s="19" customFormat="1" ht="159" customHeight="1" thickBot="1" x14ac:dyDescent="0.25">
      <c r="B28" s="168">
        <f>[1]July_2026!$B32</f>
        <v>46218</v>
      </c>
      <c r="C28" s="26" t="str">
        <f>[1]July_2026!$D32</f>
        <v>STAG</v>
      </c>
      <c r="D28" s="27"/>
      <c r="E28" s="28">
        <f>[2]Jul!$E32</f>
        <v>1.5333333333333334</v>
      </c>
      <c r="F28" s="369">
        <f>[1]July_2026!$J32</f>
        <v>202</v>
      </c>
      <c r="G28" s="30">
        <f>[1]July_2026!$G32</f>
        <v>2978</v>
      </c>
      <c r="H28" s="29">
        <f>[1]July_2026!K32</f>
        <v>196.548</v>
      </c>
      <c r="I28" s="31">
        <f>[1]July_2026!$N32</f>
        <v>5</v>
      </c>
      <c r="J28" s="32">
        <f>[1]July_2026!$Q32</f>
        <v>124.08333333333333</v>
      </c>
      <c r="K28" s="32">
        <f>[1]July_2026!$F32</f>
        <v>660</v>
      </c>
      <c r="L28" s="1016"/>
      <c r="M28" s="169">
        <f>[2]Jul!$G32</f>
        <v>2.0625</v>
      </c>
      <c r="N28" s="32">
        <f>[1]July_2026!$M32</f>
        <v>322</v>
      </c>
      <c r="O28" s="406">
        <f>[2]Jul!$I32</f>
        <v>66</v>
      </c>
      <c r="P28" s="32"/>
      <c r="Q28" s="608">
        <f>[1]July_2026!$P32</f>
        <v>2.6990099009900979</v>
      </c>
      <c r="R28" s="996"/>
      <c r="S28" s="651">
        <f t="shared" si="3"/>
        <v>0.3822032085561497</v>
      </c>
      <c r="T28" s="996"/>
      <c r="U28" s="945">
        <f>[1]July_2026!$S32</f>
        <v>2.5595670358192293E-2</v>
      </c>
      <c r="V28" s="1185" t="s">
        <v>1228</v>
      </c>
      <c r="W28" s="1164"/>
      <c r="X28" s="1164"/>
      <c r="Y28" s="1164"/>
      <c r="Z28" s="1164"/>
      <c r="AA28" s="1164"/>
      <c r="AB28" s="1186"/>
    </row>
    <row r="29" spans="2:28" s="19" customFormat="1" ht="58.5" customHeight="1" thickTop="1" thickBot="1" x14ac:dyDescent="0.25">
      <c r="B29" s="168">
        <f>[1]July_2026!$B33</f>
        <v>46219</v>
      </c>
      <c r="C29" s="26" t="str">
        <f>[1]July_2026!$D33</f>
        <v>STAG</v>
      </c>
      <c r="D29" s="27">
        <v>2800</v>
      </c>
      <c r="E29" s="28">
        <f>[2]Jul!$E33</f>
        <v>1.0104166666666667</v>
      </c>
      <c r="F29" s="369">
        <f>[1]July_2026!$J33</f>
        <v>90</v>
      </c>
      <c r="G29" s="30">
        <f>[1]July_2026!$G33</f>
        <v>1316</v>
      </c>
      <c r="H29" s="29">
        <f>[1]July_2026!K33</f>
        <v>86.856000000000009</v>
      </c>
      <c r="I29" s="31">
        <f>[1]July_2026!$N33</f>
        <v>0</v>
      </c>
      <c r="J29" s="32">
        <f>[1]July_2026!$Q33</f>
        <v>55.410526315789475</v>
      </c>
      <c r="K29" s="32">
        <f>[1]July_2026!$F33</f>
        <v>176</v>
      </c>
      <c r="L29" s="993">
        <f>[1]July_2026!$E33</f>
        <v>1425</v>
      </c>
      <c r="M29" s="169">
        <f>[2]Jul!$G33</f>
        <v>0</v>
      </c>
      <c r="N29" s="32">
        <f>[1]July_2026!$M33</f>
        <v>58</v>
      </c>
      <c r="O29" s="406">
        <f>[2]Jul!$I33</f>
        <v>0</v>
      </c>
      <c r="P29" s="32"/>
      <c r="Q29" s="608">
        <f>[1]July_2026!$P33</f>
        <v>3.4933333333333234</v>
      </c>
      <c r="R29" s="995">
        <f>($G29+G30+G31+G32)/(($L29/60)*AD$3*(1/24))</f>
        <v>0.38287058823529418</v>
      </c>
      <c r="S29" s="651">
        <f t="shared" si="3"/>
        <v>0.6333689839572193</v>
      </c>
      <c r="T29" s="995">
        <f>(1602-((N29+N30+N31+N32)-[2]Jul!$Z$33-[2]Jul!$Z$34-[2]Jul!$Z$35-[2]Jul!$Z$36-[2]Jul!$AA$36-[2]Jul!$AC$33))/1602</f>
        <v>0.63982521847690388</v>
      </c>
      <c r="U29" s="945">
        <f>[1]July_2026!$S33</f>
        <v>6.686489058039962E-3</v>
      </c>
      <c r="V29" s="1185" t="s">
        <v>1232</v>
      </c>
      <c r="W29" s="1164"/>
      <c r="X29" s="1164"/>
      <c r="Y29" s="1164"/>
      <c r="Z29" s="1164"/>
      <c r="AA29" s="1164"/>
      <c r="AB29" s="1186"/>
    </row>
    <row r="30" spans="2:28" s="19" customFormat="1" ht="137.25" customHeight="1" thickBot="1" x14ac:dyDescent="0.25">
      <c r="B30" s="168">
        <f>[1]July_2026!$B34</f>
        <v>46219</v>
      </c>
      <c r="C30" s="26" t="str">
        <f>[1]July_2026!$D34</f>
        <v xml:space="preserve">CARIB FLINT EXPORT </v>
      </c>
      <c r="D30" s="27"/>
      <c r="E30" s="28">
        <f>[2]Jul!$E34</f>
        <v>1.1666666666666667</v>
      </c>
      <c r="F30" s="369">
        <f>[1]July_2026!$J34</f>
        <v>342.80000000000007</v>
      </c>
      <c r="G30" s="30">
        <f>[1]July_2026!$G34</f>
        <v>1858</v>
      </c>
      <c r="H30" s="29">
        <f>[1]July_2026!K34</f>
        <v>338.25</v>
      </c>
      <c r="I30" s="31">
        <f>[1]July_2026!$N34</f>
        <v>4</v>
      </c>
      <c r="J30" s="32">
        <f>[1]July_2026!$Q34</f>
        <v>78.231578947368419</v>
      </c>
      <c r="K30" s="32">
        <f>[1]July_2026!$F34</f>
        <v>606</v>
      </c>
      <c r="L30" s="1016"/>
      <c r="M30" s="169">
        <f>[2]Jul!$G34</f>
        <v>0.66597222222222219</v>
      </c>
      <c r="N30" s="32">
        <f>[1]July_2026!$M34</f>
        <v>393</v>
      </c>
      <c r="O30" s="406">
        <f>[2]Jul!$I34</f>
        <v>44</v>
      </c>
      <c r="P30" s="32"/>
      <c r="Q30" s="1000">
        <f>[1]July_2026!$P34</f>
        <v>1.3273045507584795</v>
      </c>
      <c r="R30" s="996"/>
      <c r="S30" s="651">
        <f t="shared" si="3"/>
        <v>0.25970879440885264</v>
      </c>
      <c r="T30" s="996"/>
      <c r="U30" s="945">
        <f>[1]July_2026!$S34</f>
        <v>5.7768187422934641E-3</v>
      </c>
      <c r="V30" s="1185" t="s">
        <v>1230</v>
      </c>
      <c r="W30" s="1164"/>
      <c r="X30" s="1164"/>
      <c r="Y30" s="1164"/>
      <c r="Z30" s="1164"/>
      <c r="AA30" s="1164"/>
      <c r="AB30" s="1186"/>
    </row>
    <row r="31" spans="2:28" s="19" customFormat="1" ht="65.25" customHeight="1" thickBot="1" x14ac:dyDescent="0.25">
      <c r="B31" s="168">
        <f>[1]July_2026!$B35</f>
        <v>46219</v>
      </c>
      <c r="C31" s="26" t="str">
        <f>[1]July_2026!$D35</f>
        <v>CARIB FLINT LOCAL</v>
      </c>
      <c r="D31" s="27"/>
      <c r="E31" s="28">
        <f>[2]Jul!$E35</f>
        <v>1.6020833333333333</v>
      </c>
      <c r="F31" s="369">
        <f>[1]July_2026!$J35</f>
        <v>0</v>
      </c>
      <c r="G31" s="30">
        <f>[1]July_2026!$G35</f>
        <v>1176</v>
      </c>
      <c r="H31" s="29">
        <f>[1]July_2026!K35</f>
        <v>0</v>
      </c>
      <c r="I31" s="31">
        <f>[1]July_2026!$N35</f>
        <v>1</v>
      </c>
      <c r="J31" s="32">
        <f>[1]July_2026!$Q35</f>
        <v>49.515789473684208</v>
      </c>
      <c r="K31" s="32">
        <f>[1]July_2026!$F35</f>
        <v>244</v>
      </c>
      <c r="L31" s="1016"/>
      <c r="M31" s="169">
        <f>[2]Jul!$G35</f>
        <v>0</v>
      </c>
      <c r="N31" s="32">
        <f>[1]July_2026!$M35</f>
        <v>107</v>
      </c>
      <c r="O31" s="406">
        <f>[2]Jul!$I35</f>
        <v>47</v>
      </c>
      <c r="P31" s="32"/>
      <c r="Q31" s="1028"/>
      <c r="R31" s="996"/>
      <c r="S31" s="651">
        <f t="shared" si="3"/>
        <v>0.40825458052073293</v>
      </c>
      <c r="T31" s="996"/>
      <c r="U31" s="946">
        <f>[1]July_2026!$S35</f>
        <v>0</v>
      </c>
      <c r="V31" s="1185" t="s">
        <v>1231</v>
      </c>
      <c r="W31" s="1164"/>
      <c r="X31" s="1164"/>
      <c r="Y31" s="1164"/>
      <c r="Z31" s="1164"/>
      <c r="AA31" s="1164"/>
      <c r="AB31" s="1186"/>
    </row>
    <row r="32" spans="2:28" s="19" customFormat="1" ht="89.25" customHeight="1" thickBot="1" x14ac:dyDescent="0.25">
      <c r="B32" s="168">
        <f>[1]July_2026!$B36</f>
        <v>46219</v>
      </c>
      <c r="C32" s="26" t="str">
        <f>[1]July_2026!$D36</f>
        <v>CARIB AMBER</v>
      </c>
      <c r="D32" s="27"/>
      <c r="E32" s="28">
        <f>[2]Jul!$E36</f>
        <v>1.820138888888889</v>
      </c>
      <c r="F32" s="369">
        <f>[1]July_2026!$J36</f>
        <v>0</v>
      </c>
      <c r="G32" s="30">
        <f>[1]July_2026!$G36</f>
        <v>2091</v>
      </c>
      <c r="H32" s="29">
        <f>[1]July_2026!K36</f>
        <v>0</v>
      </c>
      <c r="I32" s="31">
        <f>[1]July_2026!$N36</f>
        <v>1</v>
      </c>
      <c r="J32" s="32">
        <f>[1]July_2026!$Q36</f>
        <v>88.042105263157893</v>
      </c>
      <c r="K32" s="32">
        <f>[1]July_2026!$F36</f>
        <v>257</v>
      </c>
      <c r="L32" s="1016"/>
      <c r="M32" s="169">
        <f>[2]Jul!$G36</f>
        <v>2.1124999999999998</v>
      </c>
      <c r="N32" s="32">
        <f>[1]July_2026!$M36</f>
        <v>92</v>
      </c>
      <c r="O32" s="406">
        <f>[2]Jul!$I36</f>
        <v>10</v>
      </c>
      <c r="P32" s="32"/>
      <c r="Q32" s="1001"/>
      <c r="R32" s="1020"/>
      <c r="S32" s="651">
        <f t="shared" si="3"/>
        <v>0.68918287937743195</v>
      </c>
      <c r="T32" s="1020"/>
      <c r="U32" s="946">
        <f>[1]July_2026!$S36</f>
        <v>0</v>
      </c>
      <c r="V32" s="1185" t="s">
        <v>1229</v>
      </c>
      <c r="W32" s="1164"/>
      <c r="X32" s="1164"/>
      <c r="Y32" s="1164"/>
      <c r="Z32" s="1164"/>
      <c r="AA32" s="1164"/>
      <c r="AB32" s="1186"/>
    </row>
    <row r="33" spans="2:28" s="19" customFormat="1" ht="65.25" customHeight="1" thickTop="1" thickBot="1" x14ac:dyDescent="0.25">
      <c r="B33" s="168">
        <f>[1]July_2026!$B37</f>
        <v>46220</v>
      </c>
      <c r="C33" s="26" t="str">
        <f>[1]July_2026!$D37</f>
        <v xml:space="preserve">CARIB AMBER </v>
      </c>
      <c r="D33" s="27"/>
      <c r="E33" s="28">
        <f>[2]Jul!$E37</f>
        <v>1.0152777777777777</v>
      </c>
      <c r="F33" s="369">
        <f>[1]July_2026!$J37</f>
        <v>72.900000000000006</v>
      </c>
      <c r="G33" s="30">
        <f>[1]July_2026!$G37</f>
        <v>1090</v>
      </c>
      <c r="H33" s="29">
        <f>[1]July_2026!K37</f>
        <v>71.94</v>
      </c>
      <c r="I33" s="31">
        <f>[1]July_2026!$N37</f>
        <v>3</v>
      </c>
      <c r="J33" s="32">
        <f>[1]July_2026!$Q37</f>
        <v>52.827140549273025</v>
      </c>
      <c r="K33" s="32">
        <f>[1]July_2026!$F37</f>
        <v>203</v>
      </c>
      <c r="L33" s="993">
        <f>[1]July_2026!$E37</f>
        <v>1238</v>
      </c>
      <c r="M33" s="169">
        <f>[2]Jul!$G37</f>
        <v>0</v>
      </c>
      <c r="N33" s="32"/>
      <c r="O33" s="406">
        <f>[2]Jul!$I37</f>
        <v>0</v>
      </c>
      <c r="P33" s="32"/>
      <c r="Q33" s="608">
        <f>[1]July_2026!$P37</f>
        <v>1.3168724279835498</v>
      </c>
      <c r="R33" s="995">
        <f>($G33+G34)/(($L33/60)*AD$3*(1/24))</f>
        <v>7.4579492540150144E-2</v>
      </c>
      <c r="S33" s="651">
        <f>($G33)*24/(($K33)/60)/$AD$3</f>
        <v>0.45482468849608809</v>
      </c>
      <c r="T33" s="995">
        <f>(1260-((N33+N34)-[2]Jul!$J$38-[2]Jul!$L$38-[2]Jul!$Z$38-[2]Jul!$Z$37))/1260</f>
        <v>0.80158730158730163</v>
      </c>
      <c r="U33" s="945">
        <f>[1]July_2026!$S37</f>
        <v>1.2463307800333426E-2</v>
      </c>
      <c r="V33" s="1185" t="s">
        <v>1234</v>
      </c>
      <c r="W33" s="1164"/>
      <c r="X33" s="1164"/>
      <c r="Y33" s="1164"/>
      <c r="Z33" s="1164"/>
      <c r="AA33" s="1164"/>
      <c r="AB33" s="1186"/>
    </row>
    <row r="34" spans="2:28" s="19" customFormat="1" ht="114.75" customHeight="1" thickBot="1" x14ac:dyDescent="0.25">
      <c r="B34" s="168">
        <f>[1]July_2026!$B38</f>
        <v>46220</v>
      </c>
      <c r="C34" s="26" t="str">
        <f>[1]July_2026!$D38</f>
        <v>PINK TING</v>
      </c>
      <c r="D34" s="27">
        <v>3200</v>
      </c>
      <c r="E34" s="28">
        <f>[2]Jul!$E38</f>
        <v>0</v>
      </c>
      <c r="F34" s="369">
        <f>[1]July_2026!$J38</f>
        <v>0</v>
      </c>
      <c r="G34" s="30">
        <f>[1]July_2026!$G38</f>
        <v>0</v>
      </c>
      <c r="H34" s="29">
        <f>[1]July_2026!K38</f>
        <v>0</v>
      </c>
      <c r="I34" s="31">
        <f>[1]July_2026!$N38</f>
        <v>0</v>
      </c>
      <c r="J34" s="32"/>
      <c r="K34" s="32">
        <f>[1]July_2026!$F38</f>
        <v>0</v>
      </c>
      <c r="L34" s="1016"/>
      <c r="M34" s="169">
        <f>[2]Jul!$G38</f>
        <v>1.875</v>
      </c>
      <c r="N34" s="32">
        <f>[1]July_2026!$M38</f>
        <v>1092</v>
      </c>
      <c r="O34" s="406">
        <f>[2]Jul!$I38</f>
        <v>45</v>
      </c>
      <c r="P34" s="32"/>
      <c r="Q34" s="608"/>
      <c r="R34" s="996"/>
      <c r="S34" s="651" t="e">
        <f t="shared" ref="S34:S39" si="4">($G34)*24/(($K34)/60)/$AD$3</f>
        <v>#DIV/0!</v>
      </c>
      <c r="T34" s="996"/>
      <c r="U34" s="945">
        <f>[1]July_2026!$S38</f>
        <v>0</v>
      </c>
      <c r="V34" s="1185" t="s">
        <v>1233</v>
      </c>
      <c r="W34" s="1164"/>
      <c r="X34" s="1164"/>
      <c r="Y34" s="1164"/>
      <c r="Z34" s="1164"/>
      <c r="AA34" s="1164"/>
      <c r="AB34" s="1186"/>
    </row>
    <row r="35" spans="2:28" s="19" customFormat="1" ht="128.25" customHeight="1" thickTop="1" thickBot="1" x14ac:dyDescent="0.25">
      <c r="B35" s="168">
        <f>[1]July_2026!$B39</f>
        <v>46223</v>
      </c>
      <c r="C35" s="26" t="str">
        <f>[1]July_2026!$D39</f>
        <v>STAR MALT</v>
      </c>
      <c r="D35" s="27">
        <v>7000</v>
      </c>
      <c r="E35" s="28">
        <f>[2]Jul!$E39</f>
        <v>1.1444444444444444</v>
      </c>
      <c r="F35" s="369">
        <f>[1]July_2026!$J39</f>
        <v>410.10000000000008</v>
      </c>
      <c r="G35" s="30">
        <f>[1]July_2026!$G39</f>
        <v>6165</v>
      </c>
      <c r="H35" s="29">
        <f>[1]July_2026!K39</f>
        <v>406.89000000000004</v>
      </c>
      <c r="I35" s="31">
        <f>[1]July_2026!$N39</f>
        <v>23</v>
      </c>
      <c r="J35" s="32">
        <f>[1]July_2026!$Q39</f>
        <v>268.04347826086956</v>
      </c>
      <c r="K35" s="32">
        <f>[1]July_2026!$F39</f>
        <v>1022</v>
      </c>
      <c r="L35" s="993">
        <f>[1]July_2026!$E39</f>
        <v>1380</v>
      </c>
      <c r="M35" s="169">
        <f>[2]Jul!$G39</f>
        <v>0.9194444444444444</v>
      </c>
      <c r="N35" s="32">
        <f>[1]July_2026!$M39</f>
        <v>530</v>
      </c>
      <c r="O35" s="406">
        <f>[2]Jul!$I39</f>
        <v>0</v>
      </c>
      <c r="P35" s="32"/>
      <c r="Q35" s="982">
        <f>[1]July_2026!$P39</f>
        <v>0.78273591806877241</v>
      </c>
      <c r="R35" s="995">
        <f>($G35+G36)/(($L35/60)*AD$3*(1/24))</f>
        <v>0.38086956521739129</v>
      </c>
      <c r="S35" s="651">
        <f>($G35)*24/(($K35)/60)/$AD$3</f>
        <v>0.51097041556348566</v>
      </c>
      <c r="T35" s="995">
        <f>(1432-((N35+N36)-[2]Jul!$H$39-[2]Jul!$J$39-[2]Jul!$Z$39-[2]Jul!$Z$40-[2]Jul!$AB$39))/1432</f>
        <v>0.62639664804469275</v>
      </c>
      <c r="U35" s="945">
        <f>[1]July_2026!$S39</f>
        <v>1.2759360076529145E-2</v>
      </c>
      <c r="V35" s="1185" t="s">
        <v>1235</v>
      </c>
      <c r="W35" s="1164"/>
      <c r="X35" s="1164"/>
      <c r="Y35" s="1164"/>
      <c r="Z35" s="1164"/>
      <c r="AA35" s="1164"/>
      <c r="AB35" s="1186"/>
    </row>
    <row r="36" spans="2:28" s="854" customFormat="1" ht="59.25" customHeight="1" thickBot="1" x14ac:dyDescent="0.25">
      <c r="B36" s="844">
        <f>[1]July_2026!$B40</f>
        <v>46223</v>
      </c>
      <c r="C36" s="855" t="str">
        <f>[1]July_2026!$D40</f>
        <v>PINK TING</v>
      </c>
      <c r="D36" s="845"/>
      <c r="E36" s="846">
        <f>[2]Jul!$E40</f>
        <v>0</v>
      </c>
      <c r="F36" s="980">
        <f>[1]July_2026!$J40</f>
        <v>2.7720000000000002</v>
      </c>
      <c r="G36" s="848">
        <f>[1]July_2026!$G40</f>
        <v>40</v>
      </c>
      <c r="H36" s="847">
        <f>[1]July_2026!K40</f>
        <v>2.64</v>
      </c>
      <c r="I36" s="849">
        <f>[1]July_2026!$N40</f>
        <v>0</v>
      </c>
      <c r="J36" s="850"/>
      <c r="K36" s="850">
        <f>[1]July_2026!$F40</f>
        <v>0</v>
      </c>
      <c r="L36" s="1016"/>
      <c r="M36" s="851">
        <f>[2]Jul!$G40</f>
        <v>2</v>
      </c>
      <c r="N36" s="850">
        <f>[1]July_2026!$M40</f>
        <v>145</v>
      </c>
      <c r="O36" s="852">
        <f>[2]Jul!$I40</f>
        <v>75</v>
      </c>
      <c r="P36" s="850"/>
      <c r="Q36" s="981"/>
      <c r="R36" s="996"/>
      <c r="S36" s="651"/>
      <c r="T36" s="996"/>
      <c r="U36" s="945">
        <f>[1]July_2026!$S40</f>
        <v>0</v>
      </c>
      <c r="V36" s="1185" t="s">
        <v>1236</v>
      </c>
      <c r="W36" s="1164"/>
      <c r="X36" s="1164"/>
      <c r="Y36" s="1164"/>
      <c r="Z36" s="1164"/>
      <c r="AA36" s="1164"/>
      <c r="AB36" s="1186"/>
    </row>
    <row r="37" spans="2:28" s="19" customFormat="1" ht="64.5" customHeight="1" thickTop="1" thickBot="1" x14ac:dyDescent="0.25">
      <c r="B37" s="168">
        <f>[1]July_2026!$B41</f>
        <v>46224</v>
      </c>
      <c r="C37" s="26" t="str">
        <f>[1]July_2026!$D41</f>
        <v>PINK TING</v>
      </c>
      <c r="D37" s="27"/>
      <c r="E37" s="28">
        <f>[2]Jul!$E41</f>
        <v>1</v>
      </c>
      <c r="F37" s="369">
        <f>[1]July_2026!$J41</f>
        <v>0</v>
      </c>
      <c r="G37" s="30">
        <f>[1]July_2026!$G41</f>
        <v>0</v>
      </c>
      <c r="H37" s="29">
        <f>[1]July_2026!K41</f>
        <v>0</v>
      </c>
      <c r="I37" s="31">
        <f>[1]July_2026!$N41</f>
        <v>0</v>
      </c>
      <c r="J37" s="32"/>
      <c r="K37" s="32">
        <f>[1]July_2026!$F41</f>
        <v>0</v>
      </c>
      <c r="L37" s="993">
        <f>[1]July_2026!$E41</f>
        <v>1440</v>
      </c>
      <c r="M37" s="169">
        <f>[2]Jul!$G41</f>
        <v>0</v>
      </c>
      <c r="N37" s="32">
        <f>[1]July_2026!$M41</f>
        <v>141</v>
      </c>
      <c r="O37" s="406">
        <f>[2]Jul!$I41</f>
        <v>0</v>
      </c>
      <c r="P37" s="32"/>
      <c r="Q37" s="608"/>
      <c r="R37" s="995">
        <f>($G37+G38+G39)/(($L37/60)*AD$3*(1/24))</f>
        <v>0.44341176470588234</v>
      </c>
      <c r="S37" s="651"/>
      <c r="T37" s="995">
        <f>(1512-((N37+N38+N39)-[2]Jul!$AB$43-[2]Jul!$Z$42-[2]Jul!$Z$41-[2]Jul!$AB$41-[2]Jul!$J$41))/1512</f>
        <v>0.75727513227513232</v>
      </c>
      <c r="U37" s="945">
        <f>[1]July_2026!$S41</f>
        <v>0</v>
      </c>
      <c r="V37" s="1185" t="s">
        <v>1238</v>
      </c>
      <c r="W37" s="1164"/>
      <c r="X37" s="1164"/>
      <c r="Y37" s="1164"/>
      <c r="Z37" s="1164"/>
      <c r="AA37" s="1164"/>
      <c r="AB37" s="1186"/>
    </row>
    <row r="38" spans="2:28" s="19" customFormat="1" ht="45" customHeight="1" thickBot="1" x14ac:dyDescent="0.25">
      <c r="B38" s="168">
        <f>[1]July_2026!$B42</f>
        <v>46224</v>
      </c>
      <c r="C38" s="26" t="str">
        <f>[1]July_2026!$D42</f>
        <v>CARIB AMBER</v>
      </c>
      <c r="D38" s="27">
        <v>6500</v>
      </c>
      <c r="E38" s="28">
        <f>[2]Jul!$E42</f>
        <v>1.1354166666666667</v>
      </c>
      <c r="F38" s="369">
        <f>[1]July_2026!$J42</f>
        <v>411.20000000000005</v>
      </c>
      <c r="G38" s="30">
        <f>[1]July_2026!$G42</f>
        <v>6077</v>
      </c>
      <c r="H38" s="29">
        <f>[1]July_2026!K42</f>
        <v>401.08199999999999</v>
      </c>
      <c r="I38" s="31">
        <f>[1]July_2026!$N42</f>
        <v>6</v>
      </c>
      <c r="J38" s="32">
        <f>[1]July_2026!$Q42</f>
        <v>253.20833333333334</v>
      </c>
      <c r="K38" s="32">
        <f>[1]July_2026!$F42</f>
        <v>754</v>
      </c>
      <c r="L38" s="1016"/>
      <c r="M38" s="169">
        <f>[2]Jul!$G42</f>
        <v>0.71944444444444444</v>
      </c>
      <c r="N38" s="32">
        <f>[1]July_2026!$M42</f>
        <v>152</v>
      </c>
      <c r="O38" s="406">
        <f>[2]Jul!$I42</f>
        <v>60</v>
      </c>
      <c r="P38" s="32"/>
      <c r="Q38" s="608">
        <f>[1]July_2026!$P42</f>
        <v>2.4606031128404795</v>
      </c>
      <c r="R38" s="996"/>
      <c r="S38" s="651">
        <f t="shared" ref="S38" si="5">($G38)*24/(($K38)/60)/$AD$3</f>
        <v>0.68270244968013727</v>
      </c>
      <c r="T38" s="996"/>
      <c r="U38" s="945">
        <f>[1]July_2026!$S42</f>
        <v>4.6386138613861384E-3</v>
      </c>
      <c r="V38" s="1185" t="s">
        <v>1237</v>
      </c>
      <c r="W38" s="1164"/>
      <c r="X38" s="1164"/>
      <c r="Y38" s="1164"/>
      <c r="Z38" s="1164"/>
      <c r="AA38" s="1164"/>
      <c r="AB38" s="1186"/>
    </row>
    <row r="39" spans="2:28" s="19" customFormat="1" ht="108.75" customHeight="1" thickBot="1" x14ac:dyDescent="0.25">
      <c r="B39" s="168">
        <f>[1]July_2026!$B43</f>
        <v>46224</v>
      </c>
      <c r="C39" s="26" t="str">
        <f>[1]July_2026!$D43</f>
        <v>PINK TING</v>
      </c>
      <c r="D39" s="27"/>
      <c r="E39" s="28">
        <f>[2]Jul!$E43</f>
        <v>1.8125</v>
      </c>
      <c r="F39" s="369">
        <f>[1]July_2026!$J43</f>
        <v>99</v>
      </c>
      <c r="G39" s="30">
        <f>[1]July_2026!$G43</f>
        <v>1461</v>
      </c>
      <c r="H39" s="29">
        <f>[1]July_2026!K43</f>
        <v>96.426000000000002</v>
      </c>
      <c r="I39" s="31">
        <f>[1]July_2026!$N43</f>
        <v>11</v>
      </c>
      <c r="J39" s="32">
        <f>[1]July_2026!$Q43</f>
        <v>60.875</v>
      </c>
      <c r="K39" s="32">
        <f>[1]July_2026!$F43</f>
        <v>238</v>
      </c>
      <c r="L39" s="999"/>
      <c r="M39" s="169">
        <f>[2]Jul!$G43</f>
        <v>2.0499999999999998</v>
      </c>
      <c r="N39" s="32">
        <f>[1]July_2026!$M43</f>
        <v>258</v>
      </c>
      <c r="O39" s="406">
        <f>[2]Jul!$I43</f>
        <v>60</v>
      </c>
      <c r="P39" s="32"/>
      <c r="Q39" s="608">
        <f>[1]July_2026!$P43</f>
        <v>2.5999999999999983</v>
      </c>
      <c r="R39" s="1020"/>
      <c r="S39" s="651">
        <f t="shared" si="4"/>
        <v>0.51998022738507166</v>
      </c>
      <c r="T39" s="1020"/>
      <c r="U39" s="945">
        <f>[1]July_2026!$S43</f>
        <v>5.8452900810979412E-3</v>
      </c>
      <c r="V39" s="1185" t="s">
        <v>1239</v>
      </c>
      <c r="W39" s="1164"/>
      <c r="X39" s="1164"/>
      <c r="Y39" s="1164"/>
      <c r="Z39" s="1164"/>
      <c r="AA39" s="1164"/>
      <c r="AB39" s="1186"/>
    </row>
    <row r="40" spans="2:28" s="19" customFormat="1" ht="95.25" customHeight="1" thickTop="1" thickBot="1" x14ac:dyDescent="0.25">
      <c r="B40" s="168">
        <f>[1]July_2026!$B44</f>
        <v>46225</v>
      </c>
      <c r="C40" s="26" t="str">
        <f>[1]July_2026!$D44</f>
        <v>PINK TING</v>
      </c>
      <c r="D40" s="27"/>
      <c r="E40" s="28">
        <f>[2]Jul!$E44</f>
        <v>1.0090277777777779</v>
      </c>
      <c r="F40" s="369">
        <f>[1]July_2026!$J44</f>
        <v>215.02800000000002</v>
      </c>
      <c r="G40" s="30">
        <f>[1]July_2026!$G44</f>
        <v>3069</v>
      </c>
      <c r="H40" s="29">
        <f>[1]July_2026!K44</f>
        <v>202.554</v>
      </c>
      <c r="I40" s="31">
        <f>[1]July_2026!$N44</f>
        <v>0</v>
      </c>
      <c r="J40" s="32">
        <f>[1]July_2026!$Q44</f>
        <v>129.03994393833216</v>
      </c>
      <c r="K40" s="32">
        <f>[1]July_2026!$F44</f>
        <v>539</v>
      </c>
      <c r="L40" s="993">
        <f>[1]July_2026!$E44</f>
        <v>1427</v>
      </c>
      <c r="M40" s="169">
        <f>[2]Jul!$G44</f>
        <v>1.5194444444444444</v>
      </c>
      <c r="N40" s="32">
        <f>[1]July_2026!$M44</f>
        <v>215</v>
      </c>
      <c r="O40" s="406">
        <f>[2]Jul!$I44</f>
        <v>0</v>
      </c>
      <c r="P40" s="32"/>
      <c r="Q40" s="608">
        <f>[1]July_2026!$P44</f>
        <v>5.8011049723756987</v>
      </c>
      <c r="R40" s="995">
        <f>($G40+G41)/(($L40/60)*AD$3*(1/24))</f>
        <v>0.18217403850117483</v>
      </c>
      <c r="S40" s="651">
        <f>($G40)*24/(($K40)/60)/$AD$3</f>
        <v>0.48230492196878755</v>
      </c>
      <c r="T40" s="995">
        <f>(1440-((N40+N41)-[2]Jul!$J$45-[2]Jul!$M$44-[2]Jul!$Z$44-[2]Jul!$AB$44))/1440</f>
        <v>0.94861111111111107</v>
      </c>
      <c r="U40" s="945">
        <f>[1]July_2026!$S44</f>
        <v>4.3928738865447719E-3</v>
      </c>
      <c r="V40" s="1185" t="s">
        <v>1241</v>
      </c>
      <c r="W40" s="1164"/>
      <c r="X40" s="1164"/>
      <c r="Y40" s="1164"/>
      <c r="Z40" s="1164"/>
      <c r="AA40" s="1164"/>
      <c r="AB40" s="1186"/>
    </row>
    <row r="41" spans="2:28" s="19" customFormat="1" ht="75.75" customHeight="1" thickBot="1" x14ac:dyDescent="0.25">
      <c r="B41" s="168">
        <f>[1]July_2026!$B45</f>
        <v>46225</v>
      </c>
      <c r="C41" s="26" t="str">
        <f>[1]July_2026!$D45</f>
        <v>PORNSTAR MARTINI (TRIAL)</v>
      </c>
      <c r="D41" s="27">
        <v>2300</v>
      </c>
      <c r="E41" s="28">
        <f>[2]Jul!$E45</f>
        <v>0</v>
      </c>
      <c r="F41" s="369">
        <f>[1]July_2026!$J45</f>
        <v>0</v>
      </c>
      <c r="G41" s="30">
        <f>[1]July_2026!$G45</f>
        <v>0</v>
      </c>
      <c r="H41" s="29">
        <f>[1]July_2026!K45</f>
        <v>0</v>
      </c>
      <c r="I41" s="31">
        <f>[1]July_2026!$N45</f>
        <v>12</v>
      </c>
      <c r="J41" s="32"/>
      <c r="K41" s="32"/>
      <c r="L41" s="999"/>
      <c r="M41" s="169">
        <f>[2]Jul!$G45</f>
        <v>2</v>
      </c>
      <c r="N41" s="32">
        <f>[1]July_2026!$M45</f>
        <v>760</v>
      </c>
      <c r="O41" s="406">
        <f>[2]Jul!$I45</f>
        <v>0</v>
      </c>
      <c r="P41" s="32"/>
      <c r="Q41" s="608"/>
      <c r="R41" s="1020"/>
      <c r="S41" s="651"/>
      <c r="T41" s="1020"/>
      <c r="U41" s="945">
        <f>[1]July_2026!$S45</f>
        <v>0</v>
      </c>
      <c r="V41" s="1185" t="s">
        <v>1240</v>
      </c>
      <c r="W41" s="1164"/>
      <c r="X41" s="1164"/>
      <c r="Y41" s="1164"/>
      <c r="Z41" s="1164"/>
      <c r="AA41" s="1164"/>
      <c r="AB41" s="1186"/>
    </row>
    <row r="42" spans="2:28" s="19" customFormat="1" ht="75.75" customHeight="1" thickTop="1" thickBot="1" x14ac:dyDescent="0.25">
      <c r="B42" s="168">
        <f>[1]July_2026!$B46</f>
        <v>46226</v>
      </c>
      <c r="C42" s="26" t="str">
        <f>[1]July_2026!$D46</f>
        <v>PORNSTAR MARTINI (TRIAL)</v>
      </c>
      <c r="D42" s="27"/>
      <c r="E42" s="28">
        <f>[2]Jul!$E46</f>
        <v>1.2361111111111112</v>
      </c>
      <c r="F42" s="369">
        <f>[1]July_2026!$J46</f>
        <v>178.7</v>
      </c>
      <c r="G42" s="30">
        <f>[1]July_2026!$G46</f>
        <v>2605</v>
      </c>
      <c r="H42" s="29">
        <f>[1]July_2026!K46</f>
        <v>171.93</v>
      </c>
      <c r="I42" s="31">
        <f>[1]July_2026!$N46</f>
        <v>3</v>
      </c>
      <c r="J42" s="32">
        <f>[1]July_2026!$Q46</f>
        <v>109.53048353188507</v>
      </c>
      <c r="K42" s="32">
        <f>[1]July_2026!$F46</f>
        <v>194</v>
      </c>
      <c r="L42" s="993">
        <f>[1]July_2026!$E46</f>
        <v>1440</v>
      </c>
      <c r="M42" s="169">
        <f>[2]Jul!$G46</f>
        <v>0.85277777777777775</v>
      </c>
      <c r="N42" s="32">
        <f>[1]July_2026!$M46</f>
        <v>748</v>
      </c>
      <c r="O42" s="406">
        <f>[2]Jul!$I46</f>
        <v>0</v>
      </c>
      <c r="P42" s="32"/>
      <c r="Q42" s="608">
        <f>[1]July_2026!$P46</f>
        <v>3.7884722999440306</v>
      </c>
      <c r="R42" s="995">
        <f>($G42+G43)/(($L42/60)*AD$3*(1/24))</f>
        <v>0.2306470588235294</v>
      </c>
      <c r="S42" s="651">
        <f t="shared" ref="S42:S44" si="6">($G42)*24/(($K42)/60)/$AD$3</f>
        <v>1.1374166161309884</v>
      </c>
      <c r="T42" s="995">
        <f>(1590-((N42+N43)-[2]Jul!$J$46-[2]Jul!$AA$46-[2]Jul!$AB$46-[2]Jul!$AB$47))/1590</f>
        <v>0.72012578616352196</v>
      </c>
      <c r="U42" s="945">
        <f>[1]July_2026!$S46</f>
        <v>1.0708571428571428E-2</v>
      </c>
      <c r="V42" s="1185" t="s">
        <v>1242</v>
      </c>
      <c r="W42" s="1164"/>
      <c r="X42" s="1164"/>
      <c r="Y42" s="1164"/>
      <c r="Z42" s="1164"/>
      <c r="AA42" s="1164"/>
      <c r="AB42" s="1186"/>
    </row>
    <row r="43" spans="2:28" s="19" customFormat="1" ht="75.75" customHeight="1" thickBot="1" x14ac:dyDescent="0.25">
      <c r="B43" s="168">
        <f>[1]July_2026!$B47</f>
        <v>46226</v>
      </c>
      <c r="C43" s="26" t="str">
        <f>[1]July_2026!$D47</f>
        <v>DARK BERRY ROYALE (TRAIL)</v>
      </c>
      <c r="D43" s="27">
        <v>2300</v>
      </c>
      <c r="E43" s="28">
        <f>[2]Jul!$E47</f>
        <v>1.7916666666666667</v>
      </c>
      <c r="F43" s="369">
        <f>[1]July_2026!$J47</f>
        <v>90.8</v>
      </c>
      <c r="G43" s="30">
        <f>[1]July_2026!$G47</f>
        <v>1316</v>
      </c>
      <c r="H43" s="29">
        <f>[1]July_2026!K47</f>
        <v>86.856000000000009</v>
      </c>
      <c r="I43" s="31">
        <f>[1]July_2026!$N47</f>
        <v>0</v>
      </c>
      <c r="J43" s="32">
        <f>[1]July_2026!$Q47</f>
        <v>54.833333333333336</v>
      </c>
      <c r="K43" s="32">
        <f>[1]July_2026!$F47</f>
        <v>297</v>
      </c>
      <c r="L43" s="999"/>
      <c r="M43" s="169">
        <f>[2]Jul!$G47</f>
        <v>2.1041666666666665</v>
      </c>
      <c r="N43" s="32">
        <f>[1]July_2026!$M47</f>
        <v>220</v>
      </c>
      <c r="O43" s="406">
        <f>[2]Jul!$I47</f>
        <v>86</v>
      </c>
      <c r="P43" s="32"/>
      <c r="Q43" s="608">
        <f>[1]July_2026!$P47</f>
        <v>4.3436123348017492</v>
      </c>
      <c r="R43" s="1020"/>
      <c r="S43" s="651">
        <f t="shared" si="6"/>
        <v>0.37532976827094472</v>
      </c>
      <c r="T43" s="1020"/>
      <c r="U43" s="945">
        <f>[1]July_2026!$S47</f>
        <v>0</v>
      </c>
      <c r="V43" s="1185" t="s">
        <v>1243</v>
      </c>
      <c r="W43" s="1164"/>
      <c r="X43" s="1164"/>
      <c r="Y43" s="1164"/>
      <c r="Z43" s="1164"/>
      <c r="AA43" s="1164"/>
      <c r="AB43" s="1186"/>
    </row>
    <row r="44" spans="2:28" s="19" customFormat="1" ht="59.25" customHeight="1" thickTop="1" thickBot="1" x14ac:dyDescent="0.25">
      <c r="B44" s="168">
        <f>[1]July_2026!$B48</f>
        <v>46227</v>
      </c>
      <c r="C44" s="26" t="str">
        <f>[1]July_2026!$D48</f>
        <v>DARK BERRY ROYALE (TRAIL)</v>
      </c>
      <c r="D44" s="27"/>
      <c r="E44" s="28">
        <f>[2]Jul!$E48</f>
        <v>1.5368055555555555</v>
      </c>
      <c r="F44" s="369">
        <f>[1]July_2026!$J48</f>
        <v>95</v>
      </c>
      <c r="G44" s="30">
        <f>[1]July_2026!$G48</f>
        <v>1392</v>
      </c>
      <c r="H44" s="29">
        <f>[1]July_2026!K48</f>
        <v>91.872</v>
      </c>
      <c r="I44" s="31">
        <f>[1]July_2026!$N48</f>
        <v>45</v>
      </c>
      <c r="J44" s="32">
        <f>[1]July_2026!$Q48</f>
        <v>58</v>
      </c>
      <c r="K44" s="32">
        <f>[1]July_2026!$F48</f>
        <v>305</v>
      </c>
      <c r="L44" s="993">
        <f>[1]July_2026!$E48</f>
        <v>1260</v>
      </c>
      <c r="M44" s="169">
        <f>[2]Jul!$G48</f>
        <v>1.804861111111111</v>
      </c>
      <c r="N44" s="32">
        <f>[1]July_2026!$M48</f>
        <v>872</v>
      </c>
      <c r="O44" s="406">
        <f>[2]Jul!$I48</f>
        <v>0</v>
      </c>
      <c r="P44" s="32"/>
      <c r="Q44" s="608">
        <f>[1]July_2026!$P48</f>
        <v>3.2926315789473684</v>
      </c>
      <c r="R44" s="995">
        <f>($G44+G45)/(($L44/60)*AD$3*(1/24))</f>
        <v>9.3579831932773111E-2</v>
      </c>
      <c r="S44" s="651">
        <f t="shared" si="6"/>
        <v>0.38659209257473481</v>
      </c>
      <c r="T44" s="995">
        <f>(1260-((N44+N45)-[2]Jul!$Z$48-[2]Jul!$AB$47-[2]Jul!$J$48-[2]Jul!$I$49))/1260</f>
        <v>0.830952380952381</v>
      </c>
      <c r="U44" s="945">
        <f>[1]July_2026!$S48</f>
        <v>1.009698275862069E-2</v>
      </c>
      <c r="V44" s="1185" t="s">
        <v>1246</v>
      </c>
      <c r="W44" s="1164"/>
      <c r="X44" s="1164"/>
      <c r="Y44" s="1164"/>
      <c r="Z44" s="1164"/>
      <c r="AA44" s="1164"/>
      <c r="AB44" s="1186"/>
    </row>
    <row r="45" spans="2:28" s="19" customFormat="1" ht="78" customHeight="1" thickBot="1" x14ac:dyDescent="0.25">
      <c r="B45" s="168">
        <f>[1]July_2026!$B49</f>
        <v>46227</v>
      </c>
      <c r="C45" s="26" t="str">
        <f>[1]July_2026!$D49</f>
        <v>CARIB AMBER</v>
      </c>
      <c r="D45" s="27">
        <v>5600</v>
      </c>
      <c r="E45" s="28">
        <f>[2]Jul!$E49</f>
        <v>0</v>
      </c>
      <c r="F45" s="369">
        <f>[1]July_2026!$J49</f>
        <v>0</v>
      </c>
      <c r="G45" s="30">
        <f>[1]July_2026!$G49</f>
        <v>0</v>
      </c>
      <c r="H45" s="29">
        <f>[1]July_2026!K49</f>
        <v>0</v>
      </c>
      <c r="I45" s="31">
        <f>[1]July_2026!$N49</f>
        <v>0</v>
      </c>
      <c r="J45" s="32">
        <f>[1]July_2026!$Q49</f>
        <v>0</v>
      </c>
      <c r="K45" s="32">
        <f>[1]July_2026!$F49</f>
        <v>0</v>
      </c>
      <c r="L45" s="999"/>
      <c r="M45" s="169">
        <f>[2]Jul!$G49</f>
        <v>1.875</v>
      </c>
      <c r="N45" s="32">
        <f>[1]July_2026!$M49</f>
        <v>170</v>
      </c>
      <c r="O45" s="406">
        <f>[2]Jul!$I49</f>
        <v>57</v>
      </c>
      <c r="P45" s="32"/>
      <c r="Q45" s="608"/>
      <c r="R45" s="1020"/>
      <c r="S45" s="651"/>
      <c r="T45" s="1020"/>
      <c r="U45" s="945">
        <f>[1]July_2026!$S49</f>
        <v>0</v>
      </c>
      <c r="V45" s="1185" t="s">
        <v>1244</v>
      </c>
      <c r="W45" s="1164"/>
      <c r="X45" s="1164"/>
      <c r="Y45" s="1164"/>
      <c r="Z45" s="1164"/>
      <c r="AA45" s="1164"/>
      <c r="AB45" s="1186"/>
    </row>
    <row r="46" spans="2:28" s="19" customFormat="1" ht="147" customHeight="1" thickTop="1" thickBot="1" x14ac:dyDescent="0.25">
      <c r="B46" s="168">
        <f>[1]July_2026!$B50</f>
        <v>46230</v>
      </c>
      <c r="C46" s="26" t="str">
        <f>[1]July_2026!$D50</f>
        <v>CARIB AMBER</v>
      </c>
      <c r="D46" s="27"/>
      <c r="E46" s="28">
        <f>[2]Jul!$E50</f>
        <v>1.2256944444444444</v>
      </c>
      <c r="F46" s="369">
        <f>[1]July_2026!$J50</f>
        <v>374.6</v>
      </c>
      <c r="G46" s="30">
        <f>[1]July_2026!$G50</f>
        <v>5545</v>
      </c>
      <c r="H46" s="29">
        <f>[1]July_2026!K50</f>
        <v>374.33000000000004</v>
      </c>
      <c r="I46" s="31">
        <f>[1]July_2026!$N50</f>
        <v>46</v>
      </c>
      <c r="J46" s="32">
        <f>[1]July_2026!$Q50</f>
        <v>241.08695652173913</v>
      </c>
      <c r="K46" s="32">
        <f>[1]July_2026!$F50</f>
        <v>1050</v>
      </c>
      <c r="L46" s="970">
        <f>[1]July_2026!$E50</f>
        <v>1380</v>
      </c>
      <c r="M46" s="169">
        <f>[2]Jul!$G50</f>
        <v>2.0534722222222221</v>
      </c>
      <c r="N46" s="32">
        <f>[1]July_2026!$M50</f>
        <v>701</v>
      </c>
      <c r="O46" s="406">
        <f>[2]Jul!$I50</f>
        <v>0</v>
      </c>
      <c r="P46" s="32"/>
      <c r="Q46" s="608">
        <f>[1]July_2026!$P50</f>
        <v>7.2076882007469784E-2</v>
      </c>
      <c r="R46" s="653">
        <f>($G46)/(($L46/60)*AD$3*(1/24))</f>
        <v>0.34035805626598464</v>
      </c>
      <c r="S46" s="651">
        <f>($G46)*24/(($K46)/60)/$AD$3</f>
        <v>0.44732773109243695</v>
      </c>
      <c r="T46" s="653">
        <f>(1489-((N46)-[2]Jul!$Z$50-[2]Jul!$AA$50))/1489</f>
        <v>0.69375419744795164</v>
      </c>
      <c r="U46" s="945">
        <f>[1]July_2026!$S50</f>
        <v>2.0915178571428571E-2</v>
      </c>
      <c r="V46" s="1185" t="s">
        <v>1245</v>
      </c>
      <c r="W46" s="1164"/>
      <c r="X46" s="1164"/>
      <c r="Y46" s="1164"/>
      <c r="Z46" s="1164"/>
      <c r="AA46" s="1164"/>
      <c r="AB46" s="1186"/>
    </row>
    <row r="47" spans="2:28" s="19" customFormat="1" ht="96" customHeight="1" thickTop="1" thickBot="1" x14ac:dyDescent="0.25">
      <c r="B47" s="168">
        <f>[1]July_2026!$B51</f>
        <v>46231</v>
      </c>
      <c r="C47" s="26" t="str">
        <f>[1]July_2026!$D51</f>
        <v>CARIB AMBER</v>
      </c>
      <c r="D47" s="27">
        <v>6855</v>
      </c>
      <c r="E47" s="28">
        <f>[2]Jul!$E51</f>
        <v>1.0062500000000001</v>
      </c>
      <c r="F47" s="989">
        <f>[1]July_2026!$J51</f>
        <v>649.79999999999995</v>
      </c>
      <c r="G47" s="30">
        <f>[1]July_2026!$G51</f>
        <v>5914</v>
      </c>
      <c r="H47" s="989">
        <f>[1]July_2026!K51</f>
        <v>642.048</v>
      </c>
      <c r="I47" s="1004">
        <f>[1]July_2026!$N51</f>
        <v>27</v>
      </c>
      <c r="J47" s="32">
        <f>[1]July_2026!$Q51</f>
        <v>247.96645702306077</v>
      </c>
      <c r="K47" s="32">
        <f>[1]July_2026!$F51</f>
        <v>732</v>
      </c>
      <c r="L47" s="993">
        <f>[1]July_2026!$E51</f>
        <v>1431</v>
      </c>
      <c r="M47" s="169">
        <f>[2]Jul!$G51</f>
        <v>0</v>
      </c>
      <c r="N47" s="32">
        <f>[1]July_2026!$M51</f>
        <v>137</v>
      </c>
      <c r="O47" s="406">
        <f>[2]Jul!$I51</f>
        <v>0</v>
      </c>
      <c r="P47" s="32"/>
      <c r="Q47" s="1000">
        <f>[1]July_2026!$P51</f>
        <v>1.1929824561403437</v>
      </c>
      <c r="R47" s="995">
        <f>($G47+G48)/(($L47/60)*AD$3*(1/24))</f>
        <v>0.57583425823159451</v>
      </c>
      <c r="S47" s="651">
        <f t="shared" ref="S47:S54" si="7">($G47)*24/(($K47)/60)/$AD$3</f>
        <v>0.68435872709739642</v>
      </c>
      <c r="T47" s="995">
        <f>(1550-((N47+N48)-[2]Jul!$Z$52-[2]Jul!$AB$52-[2]Jul!$Z$51-[2]Jul!$J$51))/1550</f>
        <v>0.83483870967741935</v>
      </c>
      <c r="U47" s="945">
        <f>[1]July_2026!$S51</f>
        <v>1.0684273676348815E-2</v>
      </c>
      <c r="V47" s="1185" t="s">
        <v>1248</v>
      </c>
      <c r="W47" s="1164"/>
      <c r="X47" s="1164"/>
      <c r="Y47" s="1164"/>
      <c r="Z47" s="1164"/>
      <c r="AA47" s="1164"/>
      <c r="AB47" s="1186"/>
    </row>
    <row r="48" spans="2:28" s="19" customFormat="1" ht="111" customHeight="1" thickBot="1" x14ac:dyDescent="0.25">
      <c r="B48" s="168">
        <f>[1]July_2026!$B52</f>
        <v>46231</v>
      </c>
      <c r="C48" s="26" t="str">
        <f>[1]July_2026!$D52</f>
        <v>CARIB FLINT (EXPORT)</v>
      </c>
      <c r="D48" s="27"/>
      <c r="E48" s="28">
        <f>[2]Jul!$E52</f>
        <v>1.5326388888888889</v>
      </c>
      <c r="F48" s="990"/>
      <c r="G48" s="30">
        <f>[1]July_2026!$G52</f>
        <v>3814</v>
      </c>
      <c r="H48" s="990"/>
      <c r="I48" s="1005"/>
      <c r="J48" s="32">
        <f>[1]July_2026!$Q52</f>
        <v>159.91614255765199</v>
      </c>
      <c r="K48" s="32">
        <f>[1]July_2026!$F52</f>
        <v>652</v>
      </c>
      <c r="L48" s="999"/>
      <c r="M48" s="169">
        <f>[2]Jul!$G52</f>
        <v>2.0763888888888888</v>
      </c>
      <c r="N48" s="32">
        <f>[1]July_2026!$M52</f>
        <v>165</v>
      </c>
      <c r="O48" s="406">
        <f>[2]Jul!$I52</f>
        <v>22</v>
      </c>
      <c r="P48" s="32"/>
      <c r="Q48" s="1001"/>
      <c r="R48" s="1020"/>
      <c r="S48" s="651">
        <f t="shared" si="7"/>
        <v>0.49550342836521111</v>
      </c>
      <c r="T48" s="1020"/>
      <c r="U48" s="945">
        <f>[1]July_2026!$S52</f>
        <v>1.0411111111111111E-2</v>
      </c>
      <c r="V48" s="1185" t="s">
        <v>1247</v>
      </c>
      <c r="W48" s="1164"/>
      <c r="X48" s="1164"/>
      <c r="Y48" s="1164"/>
      <c r="Z48" s="1164"/>
      <c r="AA48" s="1164"/>
      <c r="AB48" s="1186"/>
    </row>
    <row r="49" spans="1:30" s="19" customFormat="1" ht="82.5" customHeight="1" thickTop="1" thickBot="1" x14ac:dyDescent="0.25">
      <c r="B49" s="168">
        <f>[1]July_2026!$B53</f>
        <v>46232</v>
      </c>
      <c r="C49" s="26" t="str">
        <f>[1]July_2026!$D53</f>
        <v>CARIB FLINT (EXPORT)</v>
      </c>
      <c r="D49" s="27"/>
      <c r="E49" s="28">
        <f>[2]Jul!$E53</f>
        <v>1.0069444444444444</v>
      </c>
      <c r="F49" s="989">
        <f>[1]July_2026!$J53</f>
        <v>100.7</v>
      </c>
      <c r="G49" s="30">
        <f>[1]July_2026!$G53</f>
        <v>787</v>
      </c>
      <c r="H49" s="989">
        <f>[1]July_2026!K53</f>
        <v>99.198000000000008</v>
      </c>
      <c r="I49" s="1004">
        <f>[1]July_2026!$N53</f>
        <v>10</v>
      </c>
      <c r="J49" s="32">
        <f>[1]July_2026!$Q53</f>
        <v>32.9979035639413</v>
      </c>
      <c r="K49" s="32">
        <f>[1]July_2026!$F53</f>
        <v>110</v>
      </c>
      <c r="L49" s="993">
        <f>[1]July_2026!$E53</f>
        <v>1430</v>
      </c>
      <c r="M49" s="169">
        <f>[2]Jul!$G53</f>
        <v>0</v>
      </c>
      <c r="N49" s="32">
        <f>[1]July_2026!$M53</f>
        <v>32</v>
      </c>
      <c r="O49" s="406">
        <f>[2]Jul!$I53</f>
        <v>0</v>
      </c>
      <c r="P49" s="32"/>
      <c r="Q49" s="1000">
        <f>[1]July_2026!$P53</f>
        <v>1.4915590863952288</v>
      </c>
      <c r="R49" s="995">
        <f>($G49+G50+G51)/(($L49/60)*AD$3*(1/24))</f>
        <v>0.33035294117647063</v>
      </c>
      <c r="S49" s="651">
        <f t="shared" si="7"/>
        <v>0.60603208556149746</v>
      </c>
      <c r="T49" s="995">
        <f>(1516-((N49+N50+N51)-[2]Jul!$Z$55-[2]Jul!$AB$55-[2]Jul!$Z$54-[2]Jul!$Z$53-[2]Jul!$J$55))/1516</f>
        <v>0.80804749340369397</v>
      </c>
      <c r="U49" s="1183">
        <f>[1]July_2026!$S53</f>
        <v>6.2341982701264132E-3</v>
      </c>
      <c r="V49" s="1185" t="s">
        <v>1249</v>
      </c>
      <c r="W49" s="1164"/>
      <c r="X49" s="1164"/>
      <c r="Y49" s="1164"/>
      <c r="Z49" s="1164"/>
      <c r="AA49" s="1164"/>
      <c r="AB49" s="1186"/>
    </row>
    <row r="50" spans="1:30" s="19" customFormat="1" ht="63" customHeight="1" thickBot="1" x14ac:dyDescent="0.25">
      <c r="B50" s="168">
        <f>[1]July_2026!$B54</f>
        <v>46232</v>
      </c>
      <c r="C50" s="26" t="str">
        <f>[1]July_2026!$D54</f>
        <v>CARIB FLINT (LOCAL)</v>
      </c>
      <c r="D50" s="27"/>
      <c r="E50" s="28">
        <f>[2]Jul!$E54</f>
        <v>1.0833333333333333</v>
      </c>
      <c r="F50" s="990"/>
      <c r="G50" s="30">
        <f>[1]July_2026!$G54</f>
        <v>716</v>
      </c>
      <c r="H50" s="990"/>
      <c r="I50" s="1005"/>
      <c r="J50" s="32">
        <f>[1]July_2026!$Q54</f>
        <v>30.041958041958043</v>
      </c>
      <c r="K50" s="32">
        <f>[1]July_2026!$F54</f>
        <v>135</v>
      </c>
      <c r="L50" s="1016"/>
      <c r="M50" s="169">
        <f>[2]Jul!$G54</f>
        <v>0.1875</v>
      </c>
      <c r="N50" s="32">
        <f>[1]July_2026!$M54</f>
        <v>115</v>
      </c>
      <c r="O50" s="406">
        <f>[2]Jul!$I54</f>
        <v>80</v>
      </c>
      <c r="P50" s="32"/>
      <c r="Q50" s="1001"/>
      <c r="R50" s="996"/>
      <c r="S50" s="651">
        <f t="shared" si="7"/>
        <v>0.44925490196078427</v>
      </c>
      <c r="T50" s="996"/>
      <c r="U50" s="1184"/>
      <c r="V50" s="1185" t="s">
        <v>1250</v>
      </c>
      <c r="W50" s="1164"/>
      <c r="X50" s="1164"/>
      <c r="Y50" s="1164"/>
      <c r="Z50" s="1164"/>
      <c r="AA50" s="1164"/>
      <c r="AB50" s="1186"/>
    </row>
    <row r="51" spans="1:30" s="19" customFormat="1" ht="127.5" customHeight="1" thickBot="1" x14ac:dyDescent="0.25">
      <c r="B51" s="168">
        <f>[1]July_2026!$B55</f>
        <v>46232</v>
      </c>
      <c r="C51" s="26" t="str">
        <f>[1]July_2026!$D55</f>
        <v>VITA MALT CLASSIC</v>
      </c>
      <c r="D51" s="27">
        <v>5600</v>
      </c>
      <c r="E51" s="28">
        <f>[2]Jul!$E55</f>
        <v>1.5874999999999999</v>
      </c>
      <c r="F51" s="369">
        <f>[1]July_2026!$J55</f>
        <v>289.5</v>
      </c>
      <c r="G51" s="30">
        <f>[1]July_2026!$G55</f>
        <v>4074</v>
      </c>
      <c r="H51" s="29">
        <f>[1]July_2026!K55</f>
        <v>288.43920000000003</v>
      </c>
      <c r="I51" s="31">
        <f>[1]July_2026!$N55</f>
        <v>5</v>
      </c>
      <c r="J51" s="32">
        <f>[1]July_2026!$Q55</f>
        <v>170.93706293706293</v>
      </c>
      <c r="K51" s="32">
        <f>[1]July_2026!$F55</f>
        <v>411</v>
      </c>
      <c r="L51" s="999"/>
      <c r="M51" s="169">
        <f>[2]Jul!$G55</f>
        <v>2.0527777777777776</v>
      </c>
      <c r="N51" s="32">
        <f>[1]July_2026!$M55</f>
        <v>639</v>
      </c>
      <c r="O51" s="406">
        <f>[2]Jul!$I55</f>
        <v>70</v>
      </c>
      <c r="P51" s="32"/>
      <c r="Q51" s="608">
        <f>[1]July_2026!$P55</f>
        <v>0.36642487046631156</v>
      </c>
      <c r="R51" s="1020"/>
      <c r="S51" s="651">
        <f t="shared" si="7"/>
        <v>0.83963933018462866</v>
      </c>
      <c r="T51" s="1020"/>
      <c r="U51" s="945">
        <f>[1]July_2026!$S55</f>
        <v>1.1974440894568689E-2</v>
      </c>
      <c r="V51" s="1185" t="s">
        <v>1251</v>
      </c>
      <c r="W51" s="1164"/>
      <c r="X51" s="1164"/>
      <c r="Y51" s="1164"/>
      <c r="Z51" s="1164"/>
      <c r="AA51" s="1164"/>
      <c r="AB51" s="1186"/>
    </row>
    <row r="52" spans="1:30" s="19" customFormat="1" ht="81" customHeight="1" thickTop="1" thickBot="1" x14ac:dyDescent="0.25">
      <c r="B52" s="168">
        <f>[1]July_2026!$B56</f>
        <v>46233</v>
      </c>
      <c r="C52" s="26" t="str">
        <f>[1]July_2026!$D56</f>
        <v>VITA MALT CLASSIC</v>
      </c>
      <c r="D52" s="27"/>
      <c r="E52" s="28">
        <f>[2]Jul!$E56</f>
        <v>1.0041666666666667</v>
      </c>
      <c r="F52" s="369">
        <f>[1]July_2026!$J56</f>
        <v>85.5</v>
      </c>
      <c r="G52" s="30">
        <f>[1]July_2026!$G56</f>
        <v>1196</v>
      </c>
      <c r="H52" s="29">
        <f>[1]July_2026!K56</f>
        <v>84.6768</v>
      </c>
      <c r="I52" s="31">
        <f>[1]July_2026!$N56</f>
        <v>2</v>
      </c>
      <c r="J52" s="32">
        <f>[1]July_2026!$Q56</f>
        <v>50.0418410041841</v>
      </c>
      <c r="K52" s="32">
        <f>[1]July_2026!$F56</f>
        <v>151</v>
      </c>
      <c r="L52" s="993">
        <f>[1]July_2026!$E56</f>
        <v>1434</v>
      </c>
      <c r="M52" s="169">
        <f>[2]Jul!$G56</f>
        <v>0.18888888888888888</v>
      </c>
      <c r="N52" s="32">
        <f>[1]July_2026!$M56</f>
        <v>36</v>
      </c>
      <c r="O52" s="406">
        <f>[2]Jul!$I56</f>
        <v>0</v>
      </c>
      <c r="P52" s="32"/>
      <c r="Q52" s="608">
        <f>[1]July_2026!$P56</f>
        <v>0.96280701754385944</v>
      </c>
      <c r="R52" s="995">
        <f>($G52+G53+G54)/(($L52/60)*AD$3*(1/24))</f>
        <v>0.53800639921240467</v>
      </c>
      <c r="S52" s="651">
        <f t="shared" si="7"/>
        <v>0.67091546552395787</v>
      </c>
      <c r="T52" s="995">
        <f>(1512-((N52+N53+N54)-[2]Jul!$J$57-[2]Jul!$J$58-[2]Jul!$Z$56-[2]Jul!$Z$57-[2]Jul!$Z$58-[2]Jul!$AB$56-[2]Jul!$AB$57))/1512</f>
        <v>0.80753968253968256</v>
      </c>
      <c r="U52" s="945">
        <f>[1]July_2026!$S56</f>
        <v>4.3785046728971955E-3</v>
      </c>
      <c r="V52" s="1185" t="s">
        <v>1252</v>
      </c>
      <c r="W52" s="1164"/>
      <c r="X52" s="1164"/>
      <c r="Y52" s="1164"/>
      <c r="Z52" s="1164"/>
      <c r="AA52" s="1164"/>
      <c r="AB52" s="1186"/>
    </row>
    <row r="53" spans="1:30" s="19" customFormat="1" ht="136.5" customHeight="1" thickBot="1" x14ac:dyDescent="0.25">
      <c r="B53" s="168">
        <f>[1]July_2026!$B57</f>
        <v>46233</v>
      </c>
      <c r="C53" s="26" t="str">
        <f>[1]July_2026!$D57</f>
        <v>STAG</v>
      </c>
      <c r="D53" s="27">
        <v>5600</v>
      </c>
      <c r="E53" s="28">
        <f>[2]Jul!$E57</f>
        <v>1.2430555555555556</v>
      </c>
      <c r="F53" s="369">
        <f>[1]July_2026!$J57</f>
        <v>488.7</v>
      </c>
      <c r="G53" s="30">
        <f>[1]July_2026!$G57</f>
        <v>7317</v>
      </c>
      <c r="H53" s="29">
        <f>[1]July_2026!K57</f>
        <v>482.92200000000003</v>
      </c>
      <c r="I53" s="31">
        <f>[1]July_2026!$N57</f>
        <v>10</v>
      </c>
      <c r="J53" s="32">
        <f>[1]July_2026!$Q57</f>
        <v>306.15062761506277</v>
      </c>
      <c r="K53" s="32">
        <f>[1]July_2026!$F57</f>
        <v>795</v>
      </c>
      <c r="L53" s="1016"/>
      <c r="M53" s="169">
        <f>[2]Jul!$G57</f>
        <v>1.945138888888889</v>
      </c>
      <c r="N53" s="32">
        <f>[1]July_2026!$M57</f>
        <v>367</v>
      </c>
      <c r="O53" s="406">
        <f>[2]Jul!$I57</f>
        <v>105</v>
      </c>
      <c r="P53" s="32"/>
      <c r="Q53" s="608">
        <f>[1]July_2026!$P57</f>
        <v>1.1823204419889428</v>
      </c>
      <c r="R53" s="996"/>
      <c r="S53" s="651">
        <f t="shared" si="7"/>
        <v>0.77961376248612657</v>
      </c>
      <c r="T53" s="996"/>
      <c r="U53" s="945">
        <f>[1]July_2026!$S57</f>
        <v>5.8709273182957385E-3</v>
      </c>
      <c r="V53" s="1185" t="s">
        <v>1253</v>
      </c>
      <c r="W53" s="1164"/>
      <c r="X53" s="1164"/>
      <c r="Y53" s="1164"/>
      <c r="Z53" s="1164"/>
      <c r="AA53" s="1164"/>
      <c r="AB53" s="1186"/>
    </row>
    <row r="54" spans="1:30" s="19" customFormat="1" ht="63" customHeight="1" thickBot="1" x14ac:dyDescent="0.25">
      <c r="B54" s="168">
        <f>[1]July_2026!$B58</f>
        <v>46233</v>
      </c>
      <c r="C54" s="26" t="str">
        <f>[1]July_2026!$D58</f>
        <v xml:space="preserve">CARIB AMBER </v>
      </c>
      <c r="D54" s="27"/>
      <c r="E54" s="28">
        <f>[2]Jul!$E58</f>
        <v>1.9395833333333334</v>
      </c>
      <c r="F54" s="369">
        <f>[1]July_2026!$J58</f>
        <v>39.499999999999993</v>
      </c>
      <c r="G54" s="30">
        <f>[1]July_2026!$G58</f>
        <v>595</v>
      </c>
      <c r="H54" s="29">
        <f>[1]July_2026!K58</f>
        <v>39.270000000000003</v>
      </c>
      <c r="I54" s="31">
        <f>[1]July_2026!$N58</f>
        <v>0</v>
      </c>
      <c r="J54" s="32">
        <f>[1]July_2026!$Q58</f>
        <v>24.89539748953975</v>
      </c>
      <c r="K54" s="32">
        <f>[1]July_2026!$F58</f>
        <v>81</v>
      </c>
      <c r="L54" s="999"/>
      <c r="M54" s="169">
        <f>[2]Jul!$G58</f>
        <v>2.0499999999999998</v>
      </c>
      <c r="N54" s="32">
        <f>[1]July_2026!$M58</f>
        <v>97</v>
      </c>
      <c r="O54" s="406">
        <f>[2]Jul!$I58</f>
        <v>7</v>
      </c>
      <c r="P54" s="32"/>
      <c r="Q54" s="608">
        <f>[1]July_2026!$P58</f>
        <v>0.58227848101263247</v>
      </c>
      <c r="R54" s="1020"/>
      <c r="S54" s="651">
        <f t="shared" si="7"/>
        <v>0.62222222222222223</v>
      </c>
      <c r="T54" s="1020"/>
      <c r="U54" s="946">
        <f>[1]July_2026!$S58</f>
        <v>0</v>
      </c>
      <c r="V54" s="1185" t="s">
        <v>1254</v>
      </c>
      <c r="W54" s="1164"/>
      <c r="X54" s="1164"/>
      <c r="Y54" s="1164"/>
      <c r="Z54" s="1164"/>
      <c r="AA54" s="1164"/>
      <c r="AB54" s="1186"/>
    </row>
    <row r="55" spans="1:30" s="19" customFormat="1" ht="183" customHeight="1" thickTop="1" thickBot="1" x14ac:dyDescent="0.25">
      <c r="B55" s="168">
        <f>[1]July_2026!$B59</f>
        <v>46234</v>
      </c>
      <c r="C55" s="26" t="str">
        <f>[1]July_2026!$D59</f>
        <v>CARIB AMBER</v>
      </c>
      <c r="D55" s="27">
        <v>7000</v>
      </c>
      <c r="E55" s="28">
        <f>[2]Jul!$E59</f>
        <v>1.0069444444444444</v>
      </c>
      <c r="F55" s="369">
        <f>[1]July_2026!$J59</f>
        <v>507.6</v>
      </c>
      <c r="G55" s="30">
        <f>[1]July_2026!$G59</f>
        <v>7553</v>
      </c>
      <c r="H55" s="29">
        <f>[1]July_2026!K59</f>
        <v>498.49800000000005</v>
      </c>
      <c r="I55" s="31">
        <f>[1]July_2026!$N59</f>
        <v>14</v>
      </c>
      <c r="J55" s="32">
        <f>[1]July_2026!$Q59</f>
        <v>362.54400000000004</v>
      </c>
      <c r="K55" s="32">
        <f>[1]July_2026!$F59</f>
        <v>945</v>
      </c>
      <c r="L55" s="970">
        <f>[1]July_2026!$E59</f>
        <v>1250</v>
      </c>
      <c r="M55" s="169">
        <f>[2]Jul!$G59</f>
        <v>1.7979166666666666</v>
      </c>
      <c r="N55" s="32">
        <f>[1]July_2026!$M59</f>
        <v>265</v>
      </c>
      <c r="O55" s="406">
        <f>[2]Jul!$I59</f>
        <v>0</v>
      </c>
      <c r="P55" s="32"/>
      <c r="Q55" s="608">
        <f>[1]July_2026!$P59</f>
        <v>1.7931442080378204</v>
      </c>
      <c r="R55" s="653">
        <f>($G55)/(($L55/60)*AD$3*(1/24))</f>
        <v>0.51182682352941189</v>
      </c>
      <c r="S55" s="651">
        <f>($G55)*24/(($K55)/60)/$AD$3</f>
        <v>0.67701960784313731</v>
      </c>
      <c r="T55" s="653">
        <f>(1149-((N55)-[2]Jul!$Z$59-[2]Jul!$AA$59-[2]Jul!$J$59-[2]Jul!$AB$59))/1149</f>
        <v>0.8798955613577023</v>
      </c>
      <c r="U55" s="945">
        <f>[1]July_2026!$S59</f>
        <v>8.2120946538124448E-3</v>
      </c>
      <c r="V55" s="1185" t="s">
        <v>1255</v>
      </c>
      <c r="W55" s="1164"/>
      <c r="X55" s="1164"/>
      <c r="Y55" s="1164"/>
      <c r="Z55" s="1164"/>
      <c r="AA55" s="1164"/>
      <c r="AB55" s="1186"/>
    </row>
    <row r="56" spans="1:30" s="19" customFormat="1" ht="21" thickBot="1" x14ac:dyDescent="0.25">
      <c r="B56" s="168"/>
      <c r="C56" s="26"/>
      <c r="D56" s="27"/>
      <c r="E56" s="28"/>
      <c r="F56" s="29"/>
      <c r="G56" s="30"/>
      <c r="H56" s="29"/>
      <c r="I56" s="31"/>
      <c r="J56" s="32">
        <f>[7]July_2025!$Q60</f>
        <v>0</v>
      </c>
      <c r="K56" s="32"/>
      <c r="L56" s="464"/>
      <c r="M56" s="169"/>
      <c r="N56" s="32">
        <f>[1]July_2026!$M62</f>
        <v>0</v>
      </c>
      <c r="O56" s="406"/>
      <c r="P56" s="32"/>
      <c r="Q56" s="608"/>
      <c r="R56" s="527"/>
      <c r="S56" s="651"/>
      <c r="T56" s="548"/>
      <c r="U56" s="945"/>
      <c r="V56" s="1013"/>
      <c r="W56" s="1014"/>
      <c r="X56" s="1014"/>
      <c r="Y56" s="1014"/>
      <c r="Z56" s="1014"/>
      <c r="AA56" s="1014"/>
      <c r="AB56" s="1015"/>
    </row>
    <row r="57" spans="1:30" s="19" customFormat="1" ht="21" hidden="1" thickBot="1" x14ac:dyDescent="0.25">
      <c r="B57" s="168"/>
      <c r="C57" s="26"/>
      <c r="D57" s="27"/>
      <c r="E57" s="28"/>
      <c r="F57" s="29"/>
      <c r="G57" s="30"/>
      <c r="H57" s="29"/>
      <c r="I57" s="31"/>
      <c r="J57" s="32">
        <f>[7]July_2025!$Q61</f>
        <v>0</v>
      </c>
      <c r="K57" s="32"/>
      <c r="L57" s="464"/>
      <c r="M57" s="169"/>
      <c r="N57" s="32">
        <f>[1]July_2026!$M63</f>
        <v>0</v>
      </c>
      <c r="O57" s="406"/>
      <c r="P57" s="32"/>
      <c r="Q57" s="608"/>
      <c r="R57" s="527"/>
      <c r="S57" s="651"/>
      <c r="T57" s="548"/>
      <c r="U57" s="945"/>
      <c r="V57" s="1013"/>
      <c r="W57" s="1014"/>
      <c r="X57" s="1014"/>
      <c r="Y57" s="1014"/>
      <c r="Z57" s="1014"/>
      <c r="AA57" s="1014"/>
      <c r="AB57" s="1015"/>
    </row>
    <row r="58" spans="1:30" s="19" customFormat="1" ht="21" hidden="1" thickBot="1" x14ac:dyDescent="0.25">
      <c r="B58" s="168"/>
      <c r="C58" s="26"/>
      <c r="D58" s="27"/>
      <c r="E58" s="28"/>
      <c r="F58" s="29"/>
      <c r="G58" s="30"/>
      <c r="H58" s="29"/>
      <c r="I58" s="31"/>
      <c r="J58" s="32">
        <f>[7]July_2025!$Q62</f>
        <v>0</v>
      </c>
      <c r="K58" s="32"/>
      <c r="L58" s="464"/>
      <c r="M58" s="169"/>
      <c r="N58" s="32">
        <f>[1]July_2026!$M64</f>
        <v>0</v>
      </c>
      <c r="O58" s="406"/>
      <c r="P58" s="32"/>
      <c r="Q58" s="608"/>
      <c r="R58" s="527"/>
      <c r="S58" s="651"/>
      <c r="T58" s="548"/>
      <c r="U58" s="945"/>
      <c r="V58" s="1013"/>
      <c r="W58" s="1014"/>
      <c r="X58" s="1014"/>
      <c r="Y58" s="1014"/>
      <c r="Z58" s="1014"/>
      <c r="AA58" s="1014"/>
      <c r="AB58" s="1015"/>
    </row>
    <row r="59" spans="1:30" s="19" customFormat="1" ht="70.5" hidden="1" customHeight="1" thickBot="1" x14ac:dyDescent="0.25">
      <c r="B59" s="168"/>
      <c r="C59" s="26"/>
      <c r="D59" s="27"/>
      <c r="E59" s="28"/>
      <c r="F59" s="29"/>
      <c r="G59" s="30"/>
      <c r="H59" s="29"/>
      <c r="I59" s="31"/>
      <c r="J59" s="32">
        <f>[7]July_2025!$Q63</f>
        <v>0</v>
      </c>
      <c r="K59" s="32"/>
      <c r="L59" s="464"/>
      <c r="M59" s="169"/>
      <c r="N59" s="32">
        <f>[1]July_2026!$M65</f>
        <v>0</v>
      </c>
      <c r="O59" s="406"/>
      <c r="P59" s="32"/>
      <c r="Q59" s="608"/>
      <c r="R59" s="569"/>
      <c r="S59" s="651"/>
      <c r="T59" s="548"/>
      <c r="U59" s="945"/>
      <c r="V59" s="1013"/>
      <c r="W59" s="1014"/>
      <c r="X59" s="1014"/>
      <c r="Y59" s="1014"/>
      <c r="Z59" s="1014"/>
      <c r="AA59" s="1014"/>
      <c r="AB59" s="1015"/>
    </row>
    <row r="60" spans="1:30" s="19" customFormat="1" ht="21" hidden="1" thickBot="1" x14ac:dyDescent="0.25">
      <c r="B60" s="168"/>
      <c r="C60" s="26"/>
      <c r="D60" s="27"/>
      <c r="E60" s="28"/>
      <c r="F60" s="29"/>
      <c r="G60" s="30"/>
      <c r="H60" s="638"/>
      <c r="I60" s="27"/>
      <c r="J60" s="32">
        <f>[7]July_2025!$Q64</f>
        <v>0</v>
      </c>
      <c r="K60" s="29"/>
      <c r="L60" s="30"/>
      <c r="M60" s="169"/>
      <c r="N60" s="32"/>
      <c r="O60" s="406"/>
      <c r="P60" s="32"/>
      <c r="Q60" s="608"/>
      <c r="R60" s="653"/>
      <c r="S60" s="651"/>
      <c r="T60" s="548"/>
      <c r="U60" s="945"/>
      <c r="V60" s="1126"/>
      <c r="W60" s="1127"/>
      <c r="X60" s="1127"/>
      <c r="Y60" s="1127"/>
      <c r="Z60" s="1127"/>
      <c r="AA60" s="1127"/>
      <c r="AB60" s="1128"/>
    </row>
    <row r="61" spans="1:30" s="19" customFormat="1" ht="54" customHeight="1" thickBot="1" x14ac:dyDescent="0.25">
      <c r="B61" s="240" t="s">
        <v>3</v>
      </c>
      <c r="C61" s="241"/>
      <c r="D61" s="242">
        <f>SUM(D4:D60)</f>
        <v>98495</v>
      </c>
      <c r="E61" s="243">
        <f>AVERAGE(E4:E57)</f>
        <v>1.2026308760683759</v>
      </c>
      <c r="F61" s="244">
        <f>SUM(F4:F60)</f>
        <v>9161.9</v>
      </c>
      <c r="G61" s="242">
        <f>SUM(G4:G60)</f>
        <v>135578</v>
      </c>
      <c r="H61" s="242">
        <f>SUM(H4:H60)</f>
        <v>9006.6824000000015</v>
      </c>
      <c r="I61" s="242">
        <f>SUM(I4:I60)</f>
        <v>440</v>
      </c>
      <c r="J61" s="245">
        <f>G61/(L61/60)</f>
        <v>257.01178477773215</v>
      </c>
      <c r="K61" s="242">
        <f>SUM(K4:K59)</f>
        <v>21462</v>
      </c>
      <c r="L61" s="466">
        <f>SUM(L4:L59)</f>
        <v>31651</v>
      </c>
      <c r="M61" s="246">
        <f>AVERAGE(M7:M60)</f>
        <v>1.2108134920634921</v>
      </c>
      <c r="N61" s="242">
        <f>SUM(N4:N59)</f>
        <v>15777</v>
      </c>
      <c r="O61" s="245">
        <f>SUM(O4:O60)</f>
        <v>1529</v>
      </c>
      <c r="P61" s="245">
        <f>SUM(P4:P60)</f>
        <v>52</v>
      </c>
      <c r="Q61" s="292">
        <f>(F61-H61)/F61</f>
        <v>1.6941638743055275E-2</v>
      </c>
      <c r="R61" s="653">
        <f>($G61)/(($L61/60)*AD$3*(1/24))</f>
        <v>0.36284016674503361</v>
      </c>
      <c r="S61" s="556">
        <f>(G61)*24/((K61)/60)/$AD$3</f>
        <v>0.53509710733608518</v>
      </c>
      <c r="T61" s="549">
        <f>(33773-((N61)-[2]Jul!$H$61-[2]Jul!$I$61-[2]Jul!$J$61-[2]Jul!$K$61-[2]Jul!$L$61-[2]Jul!$M$61-[2]Jul!$N$61-[2]Jul!$Z$61-[2]Jul!$AA$61-[2]Jul!$AB$61-[2]Jul!$AC$61))/33773</f>
        <v>0.78097888846119679</v>
      </c>
      <c r="U61" s="959">
        <f>SUM(U4:U60)</f>
        <v>0.54449365156940421</v>
      </c>
      <c r="V61" s="1011"/>
      <c r="W61" s="1011"/>
      <c r="X61" s="1011"/>
      <c r="Y61" s="1011"/>
      <c r="Z61" s="1011"/>
      <c r="AA61" s="1011"/>
      <c r="AB61" s="1012"/>
    </row>
    <row r="62" spans="1:30" s="656" customFormat="1" ht="65.099999999999994" customHeight="1" thickTop="1" x14ac:dyDescent="0.2">
      <c r="B62" s="657" t="s">
        <v>861</v>
      </c>
      <c r="C62" s="658"/>
      <c r="D62" s="641"/>
      <c r="E62" s="659"/>
      <c r="F62" s="660"/>
      <c r="G62" s="641"/>
      <c r="H62" s="660"/>
      <c r="I62" s="661"/>
      <c r="J62" s="661">
        <v>350</v>
      </c>
      <c r="K62" s="641"/>
      <c r="L62" s="641"/>
      <c r="M62" s="642"/>
      <c r="N62" s="641"/>
      <c r="O62" s="643"/>
      <c r="P62" s="644"/>
      <c r="Q62" s="645">
        <v>1.7999999999999999E-2</v>
      </c>
      <c r="R62" s="646">
        <v>0.56000000000000005</v>
      </c>
      <c r="S62" s="646">
        <v>0.66</v>
      </c>
      <c r="T62" s="647">
        <v>0.8</v>
      </c>
      <c r="U62" s="1"/>
      <c r="V62" s="662"/>
      <c r="W62" s="662"/>
      <c r="X62" s="662"/>
      <c r="Y62" s="662"/>
      <c r="Z62" s="662"/>
      <c r="AA62" s="662"/>
      <c r="AB62" s="662"/>
    </row>
    <row r="63" spans="1:30" s="271" customFormat="1" ht="40.5" customHeight="1" x14ac:dyDescent="0.3">
      <c r="A63" s="274"/>
      <c r="B63" s="260"/>
      <c r="C63" s="260"/>
      <c r="D63" s="261"/>
      <c r="E63" s="262"/>
      <c r="F63" s="263"/>
      <c r="G63" s="470"/>
      <c r="H63" s="467"/>
      <c r="I63" s="1"/>
      <c r="J63"/>
      <c r="K63"/>
      <c r="L63"/>
      <c r="M63" s="265"/>
      <c r="N63" s="261"/>
      <c r="O63" s="266"/>
      <c r="P63" s="264"/>
      <c r="Q63" s="267"/>
      <c r="R63" s="268"/>
      <c r="S63" s="268"/>
      <c r="T63" s="269"/>
      <c r="U63" s="1"/>
      <c r="V63" s="270"/>
      <c r="W63" s="270"/>
      <c r="X63" s="270"/>
      <c r="Y63" s="270"/>
      <c r="Z63" s="270"/>
      <c r="AA63" s="270"/>
      <c r="AB63" s="270"/>
    </row>
    <row r="64" spans="1:30" s="484" customFormat="1" ht="49.5" customHeight="1" x14ac:dyDescent="0.3">
      <c r="B64" s="467"/>
      <c r="C64" s="485"/>
      <c r="D64" s="486"/>
      <c r="E64" s="487"/>
      <c r="F64" s="488"/>
      <c r="G64" s="470"/>
      <c r="H64" s="467"/>
      <c r="I64" s="1"/>
      <c r="J64"/>
      <c r="K64" t="s">
        <v>959</v>
      </c>
      <c r="L64"/>
      <c r="M64" s="271"/>
      <c r="N64" s="271"/>
      <c r="O64" s="468"/>
      <c r="P64" s="467"/>
      <c r="Q64" s="467"/>
      <c r="R64" s="271"/>
      <c r="S64" s="271"/>
      <c r="T64" s="271"/>
      <c r="U64" s="493"/>
      <c r="V64" s="467"/>
      <c r="W64" s="467"/>
      <c r="X64" s="467"/>
      <c r="Y64" s="467"/>
      <c r="Z64" s="467"/>
      <c r="AA64" s="467"/>
      <c r="AB64" s="467"/>
      <c r="AC64" s="467"/>
      <c r="AD64" s="467"/>
    </row>
    <row r="65" spans="2:30" s="484" customFormat="1" ht="60.75" hidden="1" thickBot="1" x14ac:dyDescent="0.35">
      <c r="B65" s="467"/>
      <c r="C65" s="587" t="s">
        <v>375</v>
      </c>
      <c r="D65" s="588" t="s">
        <v>376</v>
      </c>
      <c r="E65" s="588" t="s">
        <v>377</v>
      </c>
      <c r="F65" s="589" t="s">
        <v>378</v>
      </c>
      <c r="G65" s="470"/>
      <c r="H65" s="467"/>
      <c r="I65" s="1"/>
      <c r="J65"/>
      <c r="K65"/>
      <c r="L65"/>
      <c r="M65" s="271"/>
      <c r="N65" s="271"/>
      <c r="O65" s="468"/>
      <c r="P65" s="467"/>
      <c r="Q65" s="467"/>
      <c r="R65" s="271"/>
      <c r="S65" s="271"/>
      <c r="T65" s="271"/>
      <c r="U65" s="901"/>
      <c r="V65" s="467"/>
      <c r="W65" s="467"/>
      <c r="X65" s="467"/>
      <c r="Y65" s="467"/>
      <c r="Z65" s="467"/>
      <c r="AA65" s="467"/>
      <c r="AB65" s="467"/>
      <c r="AC65" s="467"/>
      <c r="AD65" s="467"/>
    </row>
    <row r="66" spans="2:30" s="467" customFormat="1" ht="30" hidden="1" x14ac:dyDescent="0.4">
      <c r="C66" s="516" t="s">
        <v>370</v>
      </c>
      <c r="D66" s="603"/>
      <c r="E66" s="536">
        <f>'[9]July_2021  '!F84</f>
        <v>6.695500291108708E-2</v>
      </c>
      <c r="F66" s="592">
        <f>[9]YearToDate!F5</f>
        <v>6.724588443682647E-2</v>
      </c>
      <c r="G66" s="470"/>
      <c r="I66" s="1"/>
      <c r="J66"/>
      <c r="K66"/>
      <c r="L66"/>
      <c r="M66" s="271"/>
      <c r="N66" s="271"/>
      <c r="O66" s="563"/>
      <c r="R66" s="271"/>
      <c r="S66" s="271"/>
      <c r="T66" s="271"/>
      <c r="U66" s="902"/>
    </row>
    <row r="67" spans="2:30" s="467" customFormat="1" ht="33" hidden="1" customHeight="1" x14ac:dyDescent="0.4">
      <c r="C67" s="517" t="s">
        <v>371</v>
      </c>
      <c r="D67" s="603"/>
      <c r="E67" s="536">
        <f>'[9]July_2021  '!F85</f>
        <v>9.9106490977992553E-2</v>
      </c>
      <c r="F67" s="593">
        <f>[9]YearToDate!F6</f>
        <v>9.540267139313606E-2</v>
      </c>
      <c r="G67" s="470"/>
      <c r="I67" s="1"/>
      <c r="J67"/>
      <c r="K67"/>
      <c r="L67"/>
      <c r="M67" s="271"/>
      <c r="N67" s="271"/>
      <c r="O67" s="468"/>
      <c r="R67" s="271"/>
      <c r="S67" s="271"/>
      <c r="T67" s="271"/>
      <c r="U67" s="1"/>
    </row>
    <row r="68" spans="2:30" s="467" customFormat="1" ht="33" hidden="1" customHeight="1" x14ac:dyDescent="0.4">
      <c r="C68" s="518" t="s">
        <v>372</v>
      </c>
      <c r="D68" s="603"/>
      <c r="E68" s="536">
        <f>'[9]July_2021  '!F86</f>
        <v>7.3613229001229408E-2</v>
      </c>
      <c r="F68" s="593">
        <f>[9]YearToDate!F7</f>
        <v>8.0820807854400628E-2</v>
      </c>
      <c r="G68" s="470"/>
      <c r="I68" s="1"/>
      <c r="J68"/>
      <c r="K68"/>
      <c r="L68"/>
      <c r="M68" s="271"/>
      <c r="N68" s="271"/>
      <c r="O68" s="468"/>
      <c r="R68" s="271"/>
      <c r="S68" s="271"/>
      <c r="T68" s="271"/>
      <c r="U68" s="1"/>
    </row>
    <row r="69" spans="2:30" s="467" customFormat="1" ht="33" hidden="1" customHeight="1" x14ac:dyDescent="0.4">
      <c r="C69" s="517" t="s">
        <v>373</v>
      </c>
      <c r="D69" s="520"/>
      <c r="E69" s="536" t="e">
        <f>'[9]July_2021  '!F87</f>
        <v>#DIV/0!</v>
      </c>
      <c r="F69" s="593">
        <f>[9]YearToDate!F8</f>
        <v>9.0568067923628467E-2</v>
      </c>
      <c r="G69" s="470"/>
      <c r="I69" s="1"/>
      <c r="J69"/>
      <c r="K69"/>
      <c r="L69"/>
      <c r="M69" s="271"/>
      <c r="N69" s="271"/>
      <c r="O69" s="468"/>
      <c r="R69" s="271"/>
      <c r="S69" s="271"/>
      <c r="T69" s="271"/>
      <c r="U69" s="1"/>
    </row>
    <row r="70" spans="2:30" s="467" customFormat="1" ht="33" hidden="1" customHeight="1" x14ac:dyDescent="0.4">
      <c r="C70" s="518" t="s">
        <v>374</v>
      </c>
      <c r="D70" s="519"/>
      <c r="E70" s="536">
        <f>'[9]July_2021  '!F88</f>
        <v>6.4065234128928394E-2</v>
      </c>
      <c r="F70" s="593">
        <f>[9]YearToDate!F9</f>
        <v>7.175547192051597E-2</v>
      </c>
      <c r="G70" s="470"/>
      <c r="I70" s="1"/>
      <c r="J70"/>
      <c r="K70"/>
      <c r="L70"/>
      <c r="M70" s="271"/>
      <c r="N70" s="271"/>
      <c r="O70" s="468"/>
      <c r="R70" s="271"/>
      <c r="S70" s="271"/>
      <c r="T70" s="271"/>
      <c r="U70" s="1"/>
    </row>
    <row r="71" spans="2:30" s="467" customFormat="1" ht="33" hidden="1" customHeight="1" x14ac:dyDescent="0.4">
      <c r="C71" s="521" t="s">
        <v>850</v>
      </c>
      <c r="D71" s="585"/>
      <c r="E71" s="536" t="e">
        <f>'[9]July_2021  '!F89</f>
        <v>#DIV/0!</v>
      </c>
      <c r="F71" s="593">
        <f>[9]YearToDate!F10</f>
        <v>6.8696235163029626E-2</v>
      </c>
      <c r="G71" s="470"/>
      <c r="I71" s="1"/>
      <c r="J71"/>
      <c r="K71"/>
      <c r="L71"/>
      <c r="M71" s="271"/>
      <c r="N71" s="271"/>
      <c r="O71" s="468"/>
      <c r="R71" s="271"/>
      <c r="S71" s="271"/>
      <c r="T71" s="271"/>
      <c r="U71" s="234"/>
    </row>
    <row r="72" spans="2:30" s="467" customFormat="1" ht="33" hidden="1" customHeight="1" x14ac:dyDescent="0.4">
      <c r="C72" s="518" t="s">
        <v>853</v>
      </c>
      <c r="D72" s="603"/>
      <c r="E72" s="536">
        <f>'[9]July_2021  '!F90</f>
        <v>8.8610184567489439E-2</v>
      </c>
      <c r="F72" s="593">
        <f>[9]YearToDate!F11</f>
        <v>6.0692212286755087E-2</v>
      </c>
      <c r="G72" s="470"/>
      <c r="I72" s="1"/>
      <c r="J72"/>
      <c r="K72"/>
      <c r="L72"/>
      <c r="M72" s="271"/>
      <c r="N72" s="271"/>
      <c r="O72" s="468"/>
      <c r="R72" s="271"/>
      <c r="S72" s="271"/>
      <c r="T72" s="271"/>
      <c r="U72" s="10"/>
    </row>
    <row r="73" spans="2:30" s="467" customFormat="1" ht="33" hidden="1" customHeight="1" x14ac:dyDescent="0.4">
      <c r="C73" s="590" t="s">
        <v>854</v>
      </c>
      <c r="D73" s="603"/>
      <c r="E73" s="536">
        <f>'[9]July_2021  '!F91</f>
        <v>6.2862788687168089E-2</v>
      </c>
      <c r="F73" s="594">
        <f>[9]YearToDate!F12</f>
        <v>7.0714585778953856E-2</v>
      </c>
      <c r="G73" s="470"/>
      <c r="I73" s="1"/>
      <c r="J73"/>
      <c r="K73"/>
      <c r="L73"/>
      <c r="M73" s="271"/>
      <c r="N73" s="271"/>
      <c r="O73" s="468"/>
      <c r="R73" s="271"/>
      <c r="S73" s="271"/>
      <c r="T73" s="271"/>
      <c r="U73" s="1"/>
    </row>
    <row r="74" spans="2:30" s="467" customFormat="1" ht="33" hidden="1" customHeight="1" thickBot="1" x14ac:dyDescent="0.45">
      <c r="C74" s="590" t="s">
        <v>855</v>
      </c>
      <c r="D74" s="591"/>
      <c r="E74" s="536">
        <f>'[9]July_2021  '!F92</f>
        <v>4.4377067254685779E-2</v>
      </c>
      <c r="F74" s="594">
        <f>[9]YearToDate!F13</f>
        <v>3.592005121274628E-2</v>
      </c>
      <c r="G74" s="470"/>
      <c r="I74" s="1"/>
      <c r="J74"/>
      <c r="K74"/>
      <c r="L74"/>
      <c r="M74" s="271"/>
      <c r="N74" s="271"/>
      <c r="O74" s="271"/>
      <c r="P74" s="468"/>
      <c r="R74" s="271"/>
      <c r="S74" s="271"/>
      <c r="U74" s="1"/>
      <c r="V74" s="271"/>
    </row>
    <row r="75" spans="2:30" s="467" customFormat="1" ht="31.5" hidden="1" thickTop="1" thickBot="1" x14ac:dyDescent="0.45">
      <c r="C75" s="522" t="s">
        <v>379</v>
      </c>
      <c r="D75" s="523"/>
      <c r="E75" s="557">
        <f>'[9]July_2021  '!F93</f>
        <v>7.2519047331727995E-2</v>
      </c>
      <c r="F75" s="595">
        <f>[9]YearToDate!F14</f>
        <v>7.5814787531687813E-2</v>
      </c>
      <c r="G75" s="470"/>
      <c r="I75" s="1"/>
      <c r="J75"/>
      <c r="K75"/>
      <c r="L75"/>
      <c r="M75" s="271"/>
      <c r="N75" s="271"/>
      <c r="O75" s="271"/>
      <c r="P75" s="468"/>
      <c r="R75" s="271"/>
      <c r="S75" s="271"/>
      <c r="U75" s="1"/>
      <c r="V75" s="271"/>
    </row>
    <row r="76" spans="2:30" s="1" customFormat="1" ht="23.25" hidden="1" x14ac:dyDescent="0.3">
      <c r="G76" s="470"/>
      <c r="H76" s="467"/>
      <c r="J76"/>
      <c r="K76"/>
      <c r="L76"/>
      <c r="M76"/>
      <c r="N76"/>
      <c r="O76" s="392"/>
      <c r="P76" s="2"/>
      <c r="R76"/>
      <c r="S76"/>
      <c r="V76"/>
    </row>
    <row r="77" spans="2:30" s="1" customFormat="1" ht="23.25" x14ac:dyDescent="0.3">
      <c r="G77" s="470"/>
      <c r="H77" s="467"/>
      <c r="J77"/>
      <c r="K77"/>
      <c r="L77"/>
      <c r="M77"/>
      <c r="N77"/>
      <c r="O77" s="392"/>
      <c r="P77" s="2"/>
      <c r="R77"/>
      <c r="S77"/>
      <c r="V77"/>
    </row>
    <row r="78" spans="2:30" s="478" customFormat="1" ht="24.75" customHeight="1" x14ac:dyDescent="0.35">
      <c r="B78" s="489"/>
      <c r="C78" s="469" t="s">
        <v>849</v>
      </c>
      <c r="D78" s="818">
        <v>126675</v>
      </c>
      <c r="E78" s="1010" t="s">
        <v>667</v>
      </c>
      <c r="F78" s="1010"/>
      <c r="G78" s="470">
        <f>D78-G61</f>
        <v>-8903</v>
      </c>
      <c r="H78" s="469" t="s">
        <v>327</v>
      </c>
      <c r="I78" s="471">
        <f>G61/D78</f>
        <v>1.0702822182751135</v>
      </c>
      <c r="J78"/>
      <c r="K78"/>
      <c r="L78" s="473"/>
      <c r="M78" s="473"/>
      <c r="N78" s="473"/>
      <c r="O78" s="473"/>
      <c r="P78" s="490"/>
      <c r="Q78" s="491"/>
      <c r="R78" s="492"/>
      <c r="S78" s="493"/>
      <c r="T78" s="493"/>
      <c r="U78" s="1"/>
      <c r="V78" s="494" t="s">
        <v>48</v>
      </c>
    </row>
    <row r="79" spans="2:30" s="478" customFormat="1" ht="23.25" x14ac:dyDescent="0.35">
      <c r="B79" s="489"/>
      <c r="C79" s="469" t="s">
        <v>37</v>
      </c>
      <c r="D79" s="470">
        <f>June_26!D58+D78</f>
        <v>743414</v>
      </c>
      <c r="E79" s="1010" t="s">
        <v>36</v>
      </c>
      <c r="F79" s="1010"/>
      <c r="G79" s="470">
        <f>June_26!G58+G61</f>
        <v>776958</v>
      </c>
      <c r="H79" s="469" t="s">
        <v>326</v>
      </c>
      <c r="I79" s="474">
        <v>0</v>
      </c>
      <c r="J79"/>
      <c r="K79"/>
      <c r="L79" s="473"/>
      <c r="M79" s="473"/>
      <c r="N79" s="473"/>
      <c r="O79" s="473"/>
      <c r="P79" s="490"/>
      <c r="Q79" s="491"/>
      <c r="R79" s="492"/>
      <c r="S79" s="493"/>
      <c r="T79" s="493"/>
      <c r="U79" s="1"/>
      <c r="V79" s="494"/>
    </row>
    <row r="80" spans="2:30" ht="24" thickBot="1" x14ac:dyDescent="0.4">
      <c r="C80" s="475"/>
      <c r="D80" s="470"/>
      <c r="E80" s="1010"/>
      <c r="F80" s="1010"/>
      <c r="G80" s="470"/>
      <c r="H80" s="476"/>
      <c r="I80" s="476"/>
      <c r="J80" s="477"/>
      <c r="K80" s="478"/>
      <c r="P80"/>
      <c r="U80" s="463"/>
      <c r="V80" s="17"/>
    </row>
    <row r="81" spans="2:27" ht="103.5" thickTop="1" thickBot="1" x14ac:dyDescent="0.25">
      <c r="B81" s="7"/>
      <c r="C81" s="495" t="s">
        <v>19</v>
      </c>
      <c r="D81" s="496" t="s">
        <v>14</v>
      </c>
      <c r="E81" s="496" t="s">
        <v>23</v>
      </c>
      <c r="F81" s="496" t="s">
        <v>24</v>
      </c>
      <c r="G81" s="497" t="s">
        <v>15</v>
      </c>
      <c r="H81" s="496" t="s">
        <v>17</v>
      </c>
      <c r="I81" s="496" t="s">
        <v>16</v>
      </c>
      <c r="J81" s="498" t="s">
        <v>600</v>
      </c>
      <c r="K81" s="499" t="s">
        <v>599</v>
      </c>
      <c r="L81" s="473"/>
      <c r="M81" s="535"/>
      <c r="P81" s="459"/>
      <c r="Q81" s="537" t="s">
        <v>325</v>
      </c>
      <c r="R81" s="538" t="s">
        <v>467</v>
      </c>
      <c r="S81" s="539" t="s">
        <v>324</v>
      </c>
      <c r="T81" s="524" t="s">
        <v>576</v>
      </c>
    </row>
    <row r="82" spans="2:27" ht="36" customHeight="1" thickBot="1" x14ac:dyDescent="0.45">
      <c r="B82" s="8"/>
      <c r="C82" s="500">
        <v>1</v>
      </c>
      <c r="D82" s="501" t="s">
        <v>20</v>
      </c>
      <c r="E82" s="502"/>
      <c r="F82" s="502"/>
      <c r="G82" s="502"/>
      <c r="H82" s="502"/>
      <c r="I82" s="552" t="e">
        <f>(G82-H82)/G82</f>
        <v>#DIV/0!</v>
      </c>
      <c r="J82" s="543" t="e">
        <f t="shared" ref="J82:J88" si="8">(E82)*24/(F82/60)/17000</f>
        <v>#DIV/0!</v>
      </c>
      <c r="K82" s="544" t="e">
        <f>AVERAGE(January_26!K111,February_26!J68,March_26!J66,April_26!J67,May_26!J68,June_26!J61,J82)</f>
        <v>#DIV/0!</v>
      </c>
      <c r="L82" s="473"/>
      <c r="P82"/>
      <c r="Q82" s="540">
        <f>S100</f>
        <v>1.8948618092145382E-2</v>
      </c>
      <c r="R82" s="558">
        <f>(((January_26!R103*January_26!G103))+(February_26!R60*(February_26!G60))+(March_26!R58*(March_26!G58))+(April_26!R57*(April_26!$G$57))+(May_26!R59*(May_26!G59))+(June_26!R52*(June_26!G52))+(July_26!R61*(July_26!G61)))/G79</f>
        <v>0.37259304533810822</v>
      </c>
      <c r="S82" s="558">
        <f>S99</f>
        <v>0.49794138564860763</v>
      </c>
      <c r="T82" s="542">
        <f>AVERAGE(January_26!T103,February_26!T60,March_26!T58,April_26!T57,May_26!T59,June_26!T52,T61)</f>
        <v>0.70496885398847176</v>
      </c>
    </row>
    <row r="83" spans="2:27" s="1" customFormat="1" ht="27.75" x14ac:dyDescent="0.4">
      <c r="B83" s="8"/>
      <c r="C83" s="505">
        <v>2</v>
      </c>
      <c r="D83" s="506" t="s">
        <v>21</v>
      </c>
      <c r="E83" s="502"/>
      <c r="F83" s="502"/>
      <c r="G83" s="502"/>
      <c r="H83" s="502"/>
      <c r="I83" s="552" t="e">
        <f t="shared" ref="I83:I88" si="9">(G83-H83)/G83</f>
        <v>#DIV/0!</v>
      </c>
      <c r="J83" s="543" t="e">
        <f t="shared" si="8"/>
        <v>#DIV/0!</v>
      </c>
      <c r="K83" s="544" t="e">
        <f>AVERAGE(January_26!K112,February_26!J69,March_26!J67,April_26!J68,May_26!J69,June_26!J62,J83)</f>
        <v>#DIV/0!</v>
      </c>
      <c r="L83" s="473"/>
      <c r="M83"/>
      <c r="N83" s="461"/>
      <c r="O83" s="392"/>
      <c r="P83" s="2"/>
      <c r="R83"/>
      <c r="S83"/>
      <c r="V83"/>
      <c r="AA83"/>
    </row>
    <row r="84" spans="2:27" s="1" customFormat="1" ht="27.75" x14ac:dyDescent="0.4">
      <c r="B84" s="8"/>
      <c r="C84" s="500">
        <v>3</v>
      </c>
      <c r="D84" s="506" t="s">
        <v>846</v>
      </c>
      <c r="E84" s="502"/>
      <c r="F84" s="502"/>
      <c r="G84" s="534"/>
      <c r="H84" s="534"/>
      <c r="I84" s="552" t="e">
        <f t="shared" si="9"/>
        <v>#DIV/0!</v>
      </c>
      <c r="J84" s="543" t="e">
        <f t="shared" si="8"/>
        <v>#DIV/0!</v>
      </c>
      <c r="K84" s="544" t="e">
        <f>AVERAGE(January_26!K113,February_26!J70,March_26!J68,April_26!J69,May_26!J70,June_26!J63,J84)</f>
        <v>#DIV/0!</v>
      </c>
      <c r="L84" s="473"/>
      <c r="M84"/>
      <c r="N84"/>
      <c r="O84" s="392"/>
      <c r="P84" s="2"/>
      <c r="R84"/>
      <c r="S84"/>
      <c r="V84"/>
      <c r="AA84"/>
    </row>
    <row r="85" spans="2:27" s="1" customFormat="1" ht="27.75" x14ac:dyDescent="0.4">
      <c r="B85" s="8"/>
      <c r="C85" s="505">
        <v>4</v>
      </c>
      <c r="D85" s="506" t="s">
        <v>18</v>
      </c>
      <c r="E85" s="510"/>
      <c r="F85" s="510"/>
      <c r="G85" s="510"/>
      <c r="H85" s="510"/>
      <c r="I85" s="552" t="e">
        <f>(G85-H85)/G85</f>
        <v>#DIV/0!</v>
      </c>
      <c r="J85" s="543" t="e">
        <f t="shared" si="8"/>
        <v>#DIV/0!</v>
      </c>
      <c r="K85" s="544" t="e">
        <f>AVERAGE(January_26!K114,February_26!J71,March_26!J69,April_26!J70,May_26!J71,June_26!J64,J85)</f>
        <v>#DIV/0!</v>
      </c>
      <c r="L85" s="473"/>
      <c r="M85"/>
      <c r="N85"/>
      <c r="O85" s="392"/>
      <c r="P85" s="2"/>
      <c r="Q85" s="159"/>
      <c r="R85" s="160"/>
      <c r="S85" s="161"/>
      <c r="T85" s="234"/>
      <c r="V85"/>
    </row>
    <row r="86" spans="2:27" s="1" customFormat="1" ht="27.75" x14ac:dyDescent="0.4">
      <c r="B86" s="8"/>
      <c r="C86" s="500">
        <v>5</v>
      </c>
      <c r="D86" s="509" t="s">
        <v>26</v>
      </c>
      <c r="E86" s="510"/>
      <c r="F86" s="510"/>
      <c r="G86" s="510"/>
      <c r="H86" s="510"/>
      <c r="I86" s="552" t="e">
        <f t="shared" si="9"/>
        <v>#DIV/0!</v>
      </c>
      <c r="J86" s="543" t="e">
        <f t="shared" si="8"/>
        <v>#DIV/0!</v>
      </c>
      <c r="K86" s="544" t="e">
        <f>AVERAGE(January_26!K115,February_26!J72,March_26!J70,April_26!J71,May_26!J72,June_26!J65,J86)</f>
        <v>#DIV/0!</v>
      </c>
      <c r="L86" s="473"/>
      <c r="M86"/>
      <c r="O86" s="392"/>
      <c r="P86" s="2"/>
      <c r="Q86" s="159"/>
      <c r="R86"/>
      <c r="S86" s="6"/>
      <c r="T86" s="10"/>
      <c r="V86"/>
    </row>
    <row r="87" spans="2:27" s="1" customFormat="1" ht="27.75" x14ac:dyDescent="0.4">
      <c r="B87" s="8"/>
      <c r="C87" s="505">
        <v>6</v>
      </c>
      <c r="D87" s="506" t="s">
        <v>25</v>
      </c>
      <c r="E87" s="510"/>
      <c r="F87" s="510"/>
      <c r="G87" s="510"/>
      <c r="H87" s="510"/>
      <c r="I87" s="552" t="e">
        <f t="shared" si="9"/>
        <v>#DIV/0!</v>
      </c>
      <c r="J87" s="543" t="e">
        <f t="shared" si="8"/>
        <v>#DIV/0!</v>
      </c>
      <c r="K87" s="544" t="e">
        <f>AVERAGE(January_26!K116,February_26!J73,March_26!J71,April_26!J72,May_26!J73,June_26!J66,J87)</f>
        <v>#DIV/0!</v>
      </c>
      <c r="L87" s="473"/>
      <c r="M87"/>
      <c r="N87"/>
      <c r="O87" s="392"/>
      <c r="P87" s="2"/>
      <c r="Q87" s="159"/>
      <c r="R87" s="465"/>
      <c r="S87" s="139"/>
      <c r="V87"/>
    </row>
    <row r="88" spans="2:27" s="1" customFormat="1" ht="28.5" thickBot="1" x14ac:dyDescent="0.45">
      <c r="B88" s="8"/>
      <c r="C88" s="526">
        <v>7</v>
      </c>
      <c r="D88" s="509" t="s">
        <v>847</v>
      </c>
      <c r="E88" s="510"/>
      <c r="F88" s="510"/>
      <c r="G88" s="510"/>
      <c r="H88" s="510"/>
      <c r="I88" s="552" t="e">
        <f t="shared" si="9"/>
        <v>#DIV/0!</v>
      </c>
      <c r="J88" s="543" t="e">
        <f t="shared" si="8"/>
        <v>#DIV/0!</v>
      </c>
      <c r="K88" s="544" t="e">
        <f>AVERAGE(January_26!K117,February_26!J74,March_26!J72,April_26!J73,May_26!J74,June_26!J67,J88)</f>
        <v>#DIV/0!</v>
      </c>
      <c r="L88" s="473"/>
      <c r="M88"/>
      <c r="N88"/>
      <c r="O88" s="392"/>
      <c r="P88" s="2"/>
      <c r="Q88" s="159"/>
      <c r="R88" s="465"/>
      <c r="S88" s="139"/>
      <c r="V88"/>
    </row>
    <row r="89" spans="2:27" s="1" customFormat="1" ht="28.5" thickBot="1" x14ac:dyDescent="0.45">
      <c r="C89" s="511"/>
      <c r="D89" s="512" t="s">
        <v>22</v>
      </c>
      <c r="E89" s="513">
        <f>SUM(E82:E88)</f>
        <v>0</v>
      </c>
      <c r="F89" s="513">
        <f>SUM(F82:F88)</f>
        <v>0</v>
      </c>
      <c r="G89" s="513">
        <f>SUM(G82:G88)</f>
        <v>0</v>
      </c>
      <c r="H89" s="513">
        <f>SUM(H82:H88)</f>
        <v>0</v>
      </c>
      <c r="I89" s="551" t="e">
        <f>((G89)-(H89))/(G89)</f>
        <v>#DIV/0!</v>
      </c>
      <c r="J89" s="514" t="e">
        <f>E89*24/((F89)/60)/17000</f>
        <v>#DIV/0!</v>
      </c>
      <c r="K89" s="515">
        <f>S82</f>
        <v>0.49794138564860763</v>
      </c>
      <c r="L89" s="473"/>
      <c r="M89"/>
      <c r="N89"/>
      <c r="O89" s="392"/>
      <c r="P89" s="139" t="s">
        <v>845</v>
      </c>
      <c r="Q89" s="159"/>
      <c r="R89"/>
      <c r="S89" s="465"/>
      <c r="V89"/>
    </row>
    <row r="90" spans="2:27" s="1" customFormat="1" ht="24" thickTop="1" x14ac:dyDescent="0.35">
      <c r="C90" s="479"/>
      <c r="D90" s="469"/>
      <c r="E90" s="480"/>
      <c r="F90" s="481"/>
      <c r="G90" s="482"/>
      <c r="H90" s="482"/>
      <c r="I90" s="483"/>
      <c r="J90" s="483"/>
      <c r="K90" s="483"/>
      <c r="L90" s="473"/>
      <c r="M90"/>
      <c r="N90"/>
      <c r="O90" s="392"/>
      <c r="P90" s="139"/>
      <c r="Q90" s="159"/>
      <c r="R90"/>
      <c r="S90"/>
      <c r="V90"/>
      <c r="W90" s="316"/>
      <c r="X90" s="317"/>
      <c r="Y90" s="317"/>
      <c r="Z90" s="317"/>
    </row>
    <row r="91" spans="2:27" s="1" customFormat="1" ht="18" x14ac:dyDescent="0.25">
      <c r="C91" s="311"/>
      <c r="D91" s="153"/>
      <c r="E91" s="312"/>
      <c r="F91" s="313"/>
      <c r="G91" s="314"/>
      <c r="H91" s="314"/>
      <c r="I91" s="315"/>
      <c r="J91" s="315"/>
      <c r="K91" s="315"/>
      <c r="L91" s="315"/>
      <c r="M91"/>
      <c r="N91"/>
      <c r="O91" s="392"/>
      <c r="P91" s="139"/>
      <c r="Q91" s="159"/>
      <c r="R91"/>
      <c r="S91"/>
      <c r="V91"/>
      <c r="W91" s="316"/>
      <c r="X91" s="317"/>
      <c r="Y91" s="317"/>
      <c r="Z91" s="317"/>
    </row>
    <row r="92" spans="2:27" s="1" customFormat="1" ht="27" hidden="1" customHeight="1" thickBot="1" x14ac:dyDescent="0.4">
      <c r="C92" s="311"/>
      <c r="D92" s="1125" t="s">
        <v>618</v>
      </c>
      <c r="E92" s="1125"/>
      <c r="F92" s="1125"/>
      <c r="G92" s="1125"/>
      <c r="H92" s="1125"/>
      <c r="I92" s="1125"/>
      <c r="J92" s="1125"/>
      <c r="K92" s="1125"/>
      <c r="L92" s="1125"/>
      <c r="M92" s="1125"/>
      <c r="N92" s="1125"/>
      <c r="O92" s="1125"/>
      <c r="P92" s="1125"/>
      <c r="Q92" s="1125"/>
      <c r="R92"/>
      <c r="S92"/>
      <c r="V92"/>
      <c r="W92" s="316"/>
      <c r="X92" s="317"/>
      <c r="Y92" s="317"/>
      <c r="Z92" s="317"/>
    </row>
    <row r="93" spans="2:27" s="1" customFormat="1" ht="24" hidden="1" customHeight="1" thickBot="1" x14ac:dyDescent="0.4">
      <c r="C93" s="322"/>
      <c r="D93" s="332" t="s">
        <v>605</v>
      </c>
      <c r="E93" s="333" t="s">
        <v>606</v>
      </c>
      <c r="F93" s="334" t="s">
        <v>607</v>
      </c>
      <c r="G93" s="333" t="s">
        <v>608</v>
      </c>
      <c r="H93" s="334" t="s">
        <v>609</v>
      </c>
      <c r="I93" s="333" t="s">
        <v>610</v>
      </c>
      <c r="J93" s="334" t="s">
        <v>611</v>
      </c>
      <c r="K93" s="333" t="s">
        <v>612</v>
      </c>
      <c r="L93" s="333"/>
      <c r="M93" s="333" t="s">
        <v>613</v>
      </c>
      <c r="N93" s="333" t="s">
        <v>614</v>
      </c>
      <c r="O93" s="334" t="s">
        <v>615</v>
      </c>
      <c r="P93" s="335" t="s">
        <v>616</v>
      </c>
      <c r="Q93" s="329" t="s">
        <v>617</v>
      </c>
      <c r="R93"/>
      <c r="S93"/>
      <c r="V93"/>
    </row>
    <row r="94" spans="2:27" s="1" customFormat="1" ht="23.25" hidden="1" customHeight="1" x14ac:dyDescent="0.35">
      <c r="C94" s="330">
        <v>2016</v>
      </c>
      <c r="D94" s="324">
        <f>[6]Jan!$I$57</f>
        <v>7</v>
      </c>
      <c r="E94" s="325">
        <f>[6]Feb!$I$57</f>
        <v>9</v>
      </c>
      <c r="F94" s="326">
        <f>[6]Mar!$I$57</f>
        <v>8</v>
      </c>
      <c r="G94" s="325">
        <f>[6]Apr!$I$57</f>
        <v>12</v>
      </c>
      <c r="H94" s="326">
        <f>[6]May!$I$57</f>
        <v>11</v>
      </c>
      <c r="I94" s="325">
        <f>[6]Jun!$I$57</f>
        <v>10</v>
      </c>
      <c r="J94" s="326">
        <f>[6]Jul!$I$57</f>
        <v>12</v>
      </c>
      <c r="K94" s="325">
        <f>[6]Aug!$I$57</f>
        <v>9</v>
      </c>
      <c r="L94" s="325"/>
      <c r="M94" s="325">
        <f>[6]Sep!$I$57</f>
        <v>13</v>
      </c>
      <c r="N94" s="325">
        <f>[6]Oct!$I$57</f>
        <v>5</v>
      </c>
      <c r="O94" s="326">
        <f>[6]Nov!$I$57</f>
        <v>9</v>
      </c>
      <c r="P94" s="327">
        <f>[6]Dec!$I$57</f>
        <v>14</v>
      </c>
      <c r="Q94" s="328">
        <f>SUM(D94:P94)</f>
        <v>119</v>
      </c>
      <c r="R94"/>
      <c r="S94"/>
      <c r="V94"/>
    </row>
    <row r="95" spans="2:27" s="1" customFormat="1" ht="24" hidden="1" customHeight="1" thickBot="1" x14ac:dyDescent="0.4">
      <c r="C95" s="331">
        <v>2017</v>
      </c>
      <c r="D95" s="321">
        <f>[4]Jan!$I$57</f>
        <v>13</v>
      </c>
      <c r="E95" s="318">
        <f>[4]Feb!$I$57</f>
        <v>8</v>
      </c>
      <c r="F95" s="318">
        <f>[4]Mar!$I$57</f>
        <v>12</v>
      </c>
      <c r="G95" s="318">
        <f>[4]Apr!$I$57</f>
        <v>5</v>
      </c>
      <c r="H95" s="318">
        <f>[4]May!$I$57</f>
        <v>11</v>
      </c>
      <c r="I95" s="318">
        <f>[4]Jun!$I$57</f>
        <v>13</v>
      </c>
      <c r="J95" s="318">
        <f>[4]Jul!$I$57</f>
        <v>9</v>
      </c>
      <c r="K95" s="318">
        <f>[4]Aug!$I$57</f>
        <v>15</v>
      </c>
      <c r="L95" s="318"/>
      <c r="M95" s="318">
        <f>[4]Sep!$I$57</f>
        <v>8</v>
      </c>
      <c r="N95" s="318">
        <f>[4]Oct!$I$57</f>
        <v>12</v>
      </c>
      <c r="O95" s="318">
        <f>[4]Nov!$I$57</f>
        <v>18</v>
      </c>
      <c r="P95" s="398">
        <f>[4]Dec!$I$57</f>
        <v>14</v>
      </c>
      <c r="Q95" s="323">
        <f>SUM(D95:P95)</f>
        <v>138</v>
      </c>
      <c r="R95"/>
      <c r="S95"/>
      <c r="V95" s="9"/>
    </row>
    <row r="96" spans="2:27" s="1" customFormat="1" ht="20.25" hidden="1" customHeight="1" x14ac:dyDescent="0.3">
      <c r="C96" s="371" t="s">
        <v>619</v>
      </c>
      <c r="D96" s="372">
        <f>+(D95-D94)/D94</f>
        <v>0.8571428571428571</v>
      </c>
      <c r="E96" s="372">
        <f t="shared" ref="E96:P96" si="10">+(E95-E94)/E94</f>
        <v>-0.1111111111111111</v>
      </c>
      <c r="F96" s="372">
        <f t="shared" si="10"/>
        <v>0.5</v>
      </c>
      <c r="G96" s="372">
        <f t="shared" si="10"/>
        <v>-0.58333333333333337</v>
      </c>
      <c r="H96" s="372">
        <f t="shared" si="10"/>
        <v>0</v>
      </c>
      <c r="I96" s="372">
        <f t="shared" si="10"/>
        <v>0.3</v>
      </c>
      <c r="J96" s="372">
        <f t="shared" si="10"/>
        <v>-0.25</v>
      </c>
      <c r="K96" s="372">
        <f t="shared" si="10"/>
        <v>0.66666666666666663</v>
      </c>
      <c r="L96" s="372"/>
      <c r="M96" s="372">
        <f t="shared" si="10"/>
        <v>-0.38461538461538464</v>
      </c>
      <c r="N96" s="372">
        <f t="shared" si="10"/>
        <v>1.4</v>
      </c>
      <c r="O96" s="372">
        <f t="shared" si="10"/>
        <v>1</v>
      </c>
      <c r="P96" s="372">
        <f t="shared" si="10"/>
        <v>0</v>
      </c>
      <c r="Q96" s="373">
        <f>+(Q95-Q94)/Q94</f>
        <v>0.15966386554621848</v>
      </c>
      <c r="V96" s="9"/>
    </row>
    <row r="97" spans="2:22" s="1" customFormat="1" ht="12.75" hidden="1" customHeight="1" thickBot="1" x14ac:dyDescent="0.25">
      <c r="J97"/>
      <c r="K97"/>
      <c r="L97"/>
      <c r="M97"/>
      <c r="N97"/>
      <c r="O97" s="392"/>
      <c r="P97" s="2"/>
      <c r="V97" s="9"/>
    </row>
    <row r="98" spans="2:22" s="1" customFormat="1" ht="27.75" hidden="1" customHeight="1" thickBot="1" x14ac:dyDescent="0.3">
      <c r="C98" s="528"/>
      <c r="D98" s="528"/>
      <c r="E98" s="528"/>
      <c r="F98" s="528"/>
      <c r="G98" s="528"/>
      <c r="H98" s="528"/>
      <c r="I98" s="528"/>
      <c r="J98" s="529"/>
      <c r="K98" s="529"/>
      <c r="L98" s="529"/>
      <c r="M98" s="529"/>
      <c r="N98" s="529"/>
      <c r="O98" s="529"/>
      <c r="P98" s="530"/>
      <c r="Q98" s="528"/>
      <c r="R98"/>
      <c r="S98" s="128">
        <f>($P$99)*24/($Q$99/60)/17000</f>
        <v>0.49794138564860763</v>
      </c>
      <c r="V98" s="9"/>
    </row>
    <row r="99" spans="2:22" s="1" customFormat="1" ht="21" hidden="1" customHeight="1" thickTop="1" thickBot="1" x14ac:dyDescent="0.3">
      <c r="C99" s="528"/>
      <c r="D99" s="528"/>
      <c r="E99" s="528"/>
      <c r="F99" s="528"/>
      <c r="G99" s="528"/>
      <c r="H99" s="528"/>
      <c r="I99" s="528"/>
      <c r="J99" s="529"/>
      <c r="K99" s="529"/>
      <c r="L99" s="529"/>
      <c r="M99" s="529"/>
      <c r="N99" s="529"/>
      <c r="O99" s="529"/>
      <c r="P99" s="530">
        <f>G79</f>
        <v>776958</v>
      </c>
      <c r="Q99" s="531">
        <f>June_26!K52+May_26!K59+April_26!K57+March_26!K58+February_26!K60+January_26!K103+K61</f>
        <v>132170</v>
      </c>
      <c r="R99"/>
      <c r="S99" s="128">
        <f>($P$99)*24/($Q$99/60)/17000</f>
        <v>0.49794138564860763</v>
      </c>
      <c r="V99" s="9"/>
    </row>
    <row r="100" spans="2:22" s="1" customFormat="1" ht="21" hidden="1" customHeight="1" thickTop="1" thickBot="1" x14ac:dyDescent="0.35">
      <c r="C100" s="528"/>
      <c r="D100" s="528"/>
      <c r="E100" s="528"/>
      <c r="F100" s="528"/>
      <c r="G100" s="528"/>
      <c r="H100" s="528"/>
      <c r="I100" s="528"/>
      <c r="J100" s="529"/>
      <c r="K100" s="529"/>
      <c r="L100" s="529"/>
      <c r="M100" s="529"/>
      <c r="N100" s="529"/>
      <c r="O100" s="529"/>
      <c r="P100" s="530">
        <f>June_26!F52+May_26!F59+April_26!F57+March_26!F58+February_26!F60+January_26!F103+F61</f>
        <v>52637.075440000008</v>
      </c>
      <c r="Q100" s="532">
        <f>June_26!H52+May_26!H59+April_26!H57+March_26!H58+February_26!H60+January_26!H103+H61</f>
        <v>51639.675600000002</v>
      </c>
      <c r="R100"/>
      <c r="S100" s="87">
        <f>(P100-Q100)/P100</f>
        <v>1.8948618092145382E-2</v>
      </c>
      <c r="T100" s="463"/>
      <c r="V100" s="9"/>
    </row>
    <row r="101" spans="2:22" s="1" customFormat="1" ht="13.5" hidden="1" customHeight="1" thickTop="1" x14ac:dyDescent="0.25">
      <c r="C101" s="528"/>
      <c r="D101" s="528"/>
      <c r="E101" s="528"/>
      <c r="F101" s="528"/>
      <c r="G101" s="528"/>
      <c r="H101" s="528"/>
      <c r="I101" s="528"/>
      <c r="J101" s="529"/>
      <c r="K101" s="529"/>
      <c r="L101" s="529"/>
      <c r="M101" s="529"/>
      <c r="N101" s="529"/>
      <c r="O101" s="529"/>
      <c r="P101" s="530"/>
      <c r="Q101" s="528"/>
      <c r="R101"/>
      <c r="S101"/>
      <c r="V101" s="9"/>
    </row>
    <row r="102" spans="2:22" s="1" customFormat="1" ht="20.25" hidden="1" customHeight="1" x14ac:dyDescent="0.2">
      <c r="C102" s="1174" t="s">
        <v>620</v>
      </c>
      <c r="D102" s="1174"/>
      <c r="E102" s="1174"/>
      <c r="F102" s="1174"/>
      <c r="G102" s="1174"/>
      <c r="H102" s="1174"/>
      <c r="I102" s="1174"/>
      <c r="J102" s="1174"/>
      <c r="K102" s="1174"/>
      <c r="L102" s="1174"/>
      <c r="M102" s="1174"/>
      <c r="N102" s="1174"/>
      <c r="O102" s="1174"/>
      <c r="P102" s="1174"/>
      <c r="Q102" s="1174"/>
      <c r="R102"/>
      <c r="S102"/>
      <c r="V102" s="9"/>
    </row>
    <row r="103" spans="2:22" s="1" customFormat="1" ht="21.75" hidden="1" customHeight="1" thickBot="1" x14ac:dyDescent="0.25">
      <c r="C103" s="1174"/>
      <c r="D103" s="1174"/>
      <c r="E103" s="1174"/>
      <c r="F103" s="1174"/>
      <c r="G103" s="1174"/>
      <c r="H103" s="1174"/>
      <c r="I103" s="1174"/>
      <c r="J103" s="1174"/>
      <c r="K103" s="1174"/>
      <c r="L103" s="1174"/>
      <c r="M103" s="1174"/>
      <c r="N103" s="1174"/>
      <c r="O103" s="1174"/>
      <c r="P103" s="1174"/>
      <c r="Q103" s="1174"/>
      <c r="R103"/>
      <c r="S103"/>
      <c r="V103" s="9"/>
    </row>
    <row r="104" spans="2:22" s="1" customFormat="1" ht="21" hidden="1" customHeight="1" thickBot="1" x14ac:dyDescent="0.35">
      <c r="C104" s="351"/>
      <c r="D104" s="352" t="s">
        <v>605</v>
      </c>
      <c r="E104" s="353" t="s">
        <v>606</v>
      </c>
      <c r="F104" s="353" t="s">
        <v>607</v>
      </c>
      <c r="G104" s="353" t="s">
        <v>608</v>
      </c>
      <c r="H104" s="353" t="s">
        <v>609</v>
      </c>
      <c r="I104" s="353" t="s">
        <v>610</v>
      </c>
      <c r="J104" s="353" t="s">
        <v>611</v>
      </c>
      <c r="K104" s="353" t="s">
        <v>612</v>
      </c>
      <c r="L104" s="353"/>
      <c r="M104" s="353" t="s">
        <v>613</v>
      </c>
      <c r="N104" s="353" t="s">
        <v>614</v>
      </c>
      <c r="O104" s="394" t="s">
        <v>615</v>
      </c>
      <c r="P104" s="354" t="s">
        <v>616</v>
      </c>
      <c r="Q104" s="355" t="s">
        <v>379</v>
      </c>
      <c r="R104"/>
      <c r="S104"/>
      <c r="V104" s="9"/>
    </row>
    <row r="105" spans="2:22" s="1" customFormat="1" ht="21" hidden="1" customHeight="1" thickBot="1" x14ac:dyDescent="0.35">
      <c r="C105" s="356">
        <v>2016</v>
      </c>
      <c r="D105" s="357">
        <v>257</v>
      </c>
      <c r="E105" s="358">
        <v>234</v>
      </c>
      <c r="F105" s="358">
        <v>300</v>
      </c>
      <c r="G105" s="358">
        <v>547</v>
      </c>
      <c r="H105" s="358">
        <v>196</v>
      </c>
      <c r="I105" s="358">
        <v>373</v>
      </c>
      <c r="J105" s="359">
        <f>[6]Jul!$I$54</f>
        <v>480</v>
      </c>
      <c r="K105" s="359">
        <f>[6]Aug!$I$54</f>
        <v>300</v>
      </c>
      <c r="L105" s="359"/>
      <c r="M105" s="359">
        <f>[6]Sep!$I$54</f>
        <v>370</v>
      </c>
      <c r="N105" s="359">
        <f>[6]Oct!$I$54</f>
        <v>74</v>
      </c>
      <c r="O105" s="359">
        <f>[6]Nov!$I54</f>
        <v>263</v>
      </c>
      <c r="P105" s="360">
        <f>[6]Dec!$I$54</f>
        <v>434</v>
      </c>
      <c r="Q105" s="361">
        <f>SUM(D105:K105)</f>
        <v>2687</v>
      </c>
      <c r="R105"/>
      <c r="S105"/>
      <c r="V105" s="9"/>
    </row>
    <row r="106" spans="2:22" s="1" customFormat="1" ht="21" hidden="1" customHeight="1" thickBot="1" x14ac:dyDescent="0.35">
      <c r="C106" s="362">
        <v>2017</v>
      </c>
      <c r="D106" s="363">
        <f>436</f>
        <v>436</v>
      </c>
      <c r="E106" s="364">
        <v>148</v>
      </c>
      <c r="F106" s="364">
        <f>316</f>
        <v>316</v>
      </c>
      <c r="G106" s="364">
        <v>314</v>
      </c>
      <c r="H106" s="364">
        <v>259</v>
      </c>
      <c r="I106" s="365">
        <f>[4]Jun!$I$54</f>
        <v>558</v>
      </c>
      <c r="J106" s="365">
        <f>[4]Jul!$I$54</f>
        <v>220</v>
      </c>
      <c r="K106" s="365">
        <f>[4]Aug!$I$54</f>
        <v>441</v>
      </c>
      <c r="L106" s="365"/>
      <c r="M106" s="365">
        <f>[4]Sep!$I$54</f>
        <v>191</v>
      </c>
      <c r="N106" s="365">
        <f>[4]Oct!$I$54</f>
        <v>592</v>
      </c>
      <c r="O106" s="365">
        <f>[4]Nov!$I$54</f>
        <v>543</v>
      </c>
      <c r="P106" s="366">
        <f>[4]Dec!$I$54</f>
        <v>647</v>
      </c>
      <c r="Q106" s="367">
        <f>SUM(D106:P106)</f>
        <v>4665</v>
      </c>
      <c r="R106"/>
      <c r="S106"/>
      <c r="V106" s="9"/>
    </row>
    <row r="107" spans="2:22" s="1" customFormat="1" ht="20.25" hidden="1" customHeight="1" x14ac:dyDescent="0.3">
      <c r="C107" s="371" t="s">
        <v>619</v>
      </c>
      <c r="D107" s="372">
        <f t="shared" ref="D107:P107" si="11">+(D106-D105)/D105</f>
        <v>0.69649805447470814</v>
      </c>
      <c r="E107" s="372">
        <f t="shared" si="11"/>
        <v>-0.36752136752136755</v>
      </c>
      <c r="F107" s="372">
        <f t="shared" si="11"/>
        <v>5.3333333333333337E-2</v>
      </c>
      <c r="G107" s="372">
        <f t="shared" si="11"/>
        <v>-0.42595978062157219</v>
      </c>
      <c r="H107" s="372">
        <f t="shared" si="11"/>
        <v>0.32142857142857145</v>
      </c>
      <c r="I107" s="372">
        <f t="shared" si="11"/>
        <v>0.49597855227882037</v>
      </c>
      <c r="J107" s="372">
        <f t="shared" si="11"/>
        <v>-0.54166666666666663</v>
      </c>
      <c r="K107" s="372">
        <f t="shared" si="11"/>
        <v>0.47</v>
      </c>
      <c r="L107" s="372"/>
      <c r="M107" s="372">
        <f t="shared" si="11"/>
        <v>-0.48378378378378378</v>
      </c>
      <c r="N107" s="372">
        <f t="shared" si="11"/>
        <v>7</v>
      </c>
      <c r="O107" s="372">
        <f t="shared" si="11"/>
        <v>1.064638783269962</v>
      </c>
      <c r="P107" s="372">
        <f t="shared" si="11"/>
        <v>0.49078341013824883</v>
      </c>
      <c r="Q107" s="373">
        <f>+(Q106-Q105)/Q105</f>
        <v>0.73613695571269078</v>
      </c>
      <c r="R107"/>
      <c r="S107"/>
      <c r="V107" s="9"/>
    </row>
    <row r="108" spans="2:22" s="1" customFormat="1" hidden="1" x14ac:dyDescent="0.2">
      <c r="J108"/>
      <c r="K108"/>
      <c r="L108"/>
      <c r="M108"/>
      <c r="N108"/>
      <c r="O108" s="392"/>
      <c r="P108" s="2"/>
      <c r="R108"/>
      <c r="S108"/>
      <c r="V108"/>
    </row>
    <row r="109" spans="2:22" s="1" customFormat="1" hidden="1" x14ac:dyDescent="0.2">
      <c r="J109"/>
      <c r="K109"/>
      <c r="L109"/>
      <c r="M109"/>
      <c r="N109"/>
      <c r="O109" s="392"/>
      <c r="P109" s="2"/>
      <c r="R109"/>
      <c r="S109"/>
      <c r="V109"/>
    </row>
    <row r="110" spans="2:22" s="1" customFormat="1" ht="24" hidden="1" thickBot="1" x14ac:dyDescent="0.4">
      <c r="C110" s="1133" t="s">
        <v>796</v>
      </c>
      <c r="D110" s="1133"/>
      <c r="E110" s="1133"/>
      <c r="J110"/>
      <c r="K110"/>
      <c r="L110"/>
      <c r="M110"/>
      <c r="N110"/>
      <c r="O110" s="392"/>
      <c r="P110" s="2"/>
      <c r="R110"/>
      <c r="S110"/>
      <c r="V110"/>
    </row>
    <row r="111" spans="2:22" s="1" customFormat="1" ht="18.75" hidden="1" thickBot="1" x14ac:dyDescent="0.3">
      <c r="C111" s="417" t="s">
        <v>778</v>
      </c>
      <c r="D111" s="418" t="s">
        <v>779</v>
      </c>
      <c r="E111" s="419" t="s">
        <v>780</v>
      </c>
      <c r="F111" s="419" t="s">
        <v>797</v>
      </c>
      <c r="J111"/>
      <c r="K111"/>
      <c r="L111"/>
      <c r="M111"/>
      <c r="N111"/>
      <c r="O111" s="392"/>
      <c r="P111" s="2"/>
      <c r="R111"/>
      <c r="S111"/>
      <c r="V111"/>
    </row>
    <row r="112" spans="2:22" s="1" customFormat="1" ht="18" hidden="1" x14ac:dyDescent="0.25">
      <c r="B112" s="316" t="s">
        <v>3</v>
      </c>
      <c r="C112" s="428">
        <f>[4]Dec!$C$58</f>
        <v>14</v>
      </c>
      <c r="D112" s="424">
        <f>[4]Dec!$D$58</f>
        <v>32</v>
      </c>
      <c r="E112" s="420">
        <f>[4]Dec!$E$58</f>
        <v>19</v>
      </c>
      <c r="F112" s="420">
        <f>[4]Dec!$I$55</f>
        <v>10.783333333333333</v>
      </c>
      <c r="J112"/>
      <c r="K112"/>
      <c r="L112"/>
      <c r="M112"/>
      <c r="N112"/>
      <c r="O112" s="392"/>
      <c r="P112" s="2"/>
      <c r="R112"/>
      <c r="S112"/>
      <c r="V112"/>
    </row>
    <row r="113" spans="2:22" s="1" customFormat="1" ht="18.75" hidden="1" thickBot="1" x14ac:dyDescent="0.3">
      <c r="B113" s="316" t="s">
        <v>617</v>
      </c>
      <c r="C113" s="429">
        <f>[4]Dec!$C$65</f>
        <v>138</v>
      </c>
      <c r="D113" s="425">
        <f>[4]Dec!$D$65</f>
        <v>345</v>
      </c>
      <c r="E113" s="421">
        <f>[4]Dec!$E$65</f>
        <v>230</v>
      </c>
      <c r="F113" s="432">
        <f>[4]Dec!$F$65</f>
        <v>77.75</v>
      </c>
      <c r="J113"/>
      <c r="K113"/>
      <c r="L113"/>
      <c r="M113"/>
      <c r="N113"/>
      <c r="O113" s="392"/>
      <c r="P113" s="2"/>
      <c r="R113"/>
      <c r="S113"/>
      <c r="V113"/>
    </row>
    <row r="114" spans="2:22" s="1" customFormat="1" ht="18.75" hidden="1" x14ac:dyDescent="0.3">
      <c r="B114" s="316" t="s">
        <v>3</v>
      </c>
      <c r="C114" s="430" t="s">
        <v>658</v>
      </c>
      <c r="D114" s="426">
        <f>[4]Dec!$D$60</f>
        <v>1.6842105263157894</v>
      </c>
      <c r="E114" s="422">
        <f>[4]Dec!$E$60</f>
        <v>18.161403508771929</v>
      </c>
      <c r="J114"/>
      <c r="K114"/>
      <c r="L114"/>
      <c r="M114"/>
      <c r="N114"/>
      <c r="O114" s="392"/>
      <c r="P114" s="2"/>
      <c r="R114"/>
      <c r="S114"/>
      <c r="V114"/>
    </row>
    <row r="115" spans="2:22" s="1" customFormat="1" ht="19.5" hidden="1" thickBot="1" x14ac:dyDescent="0.35">
      <c r="B115" s="316" t="s">
        <v>617</v>
      </c>
      <c r="C115" s="431" t="s">
        <v>658</v>
      </c>
      <c r="D115" s="427">
        <f>[4]Dec!$D$67</f>
        <v>1.5</v>
      </c>
      <c r="E115" s="423">
        <f>[4]Dec!$E$67</f>
        <v>116.625</v>
      </c>
      <c r="J115"/>
      <c r="K115"/>
      <c r="L115"/>
      <c r="M115"/>
      <c r="N115"/>
      <c r="O115" s="392"/>
      <c r="P115" s="2"/>
      <c r="R115"/>
      <c r="S115"/>
      <c r="V115"/>
    </row>
    <row r="116" spans="2:22" s="1" customFormat="1" hidden="1" x14ac:dyDescent="0.2">
      <c r="J116"/>
      <c r="K116"/>
      <c r="L116"/>
      <c r="M116"/>
      <c r="N116"/>
      <c r="O116" s="392"/>
      <c r="P116" s="2"/>
      <c r="R116"/>
      <c r="S116"/>
      <c r="V116"/>
    </row>
    <row r="117" spans="2:22" s="1" customFormat="1" hidden="1" x14ac:dyDescent="0.2">
      <c r="J117"/>
      <c r="K117"/>
      <c r="L117"/>
      <c r="M117"/>
      <c r="N117"/>
      <c r="O117" s="392"/>
      <c r="P117" s="2"/>
      <c r="R117"/>
      <c r="S117"/>
      <c r="V117"/>
    </row>
    <row r="118" spans="2:22" s="1" customFormat="1" ht="24" hidden="1" thickBot="1" x14ac:dyDescent="0.4">
      <c r="C118" s="1133" t="s">
        <v>798</v>
      </c>
      <c r="D118" s="1133"/>
      <c r="E118" s="1133"/>
      <c r="J118"/>
      <c r="K118"/>
      <c r="L118"/>
      <c r="M118"/>
      <c r="N118"/>
      <c r="O118" s="392"/>
      <c r="P118" s="2"/>
      <c r="R118"/>
      <c r="S118"/>
      <c r="V118"/>
    </row>
    <row r="119" spans="2:22" s="1" customFormat="1" ht="18.75" hidden="1" thickBot="1" x14ac:dyDescent="0.3">
      <c r="C119" s="417" t="s">
        <v>778</v>
      </c>
      <c r="D119" s="418" t="s">
        <v>779</v>
      </c>
      <c r="E119" s="419" t="s">
        <v>780</v>
      </c>
      <c r="F119" s="419" t="s">
        <v>797</v>
      </c>
      <c r="J119"/>
      <c r="K119"/>
      <c r="L119"/>
      <c r="M119"/>
      <c r="N119"/>
      <c r="O119" s="392"/>
      <c r="P119" s="2"/>
      <c r="R119"/>
      <c r="S119"/>
      <c r="V119"/>
    </row>
    <row r="120" spans="2:22" s="1" customFormat="1" ht="18" hidden="1" x14ac:dyDescent="0.25">
      <c r="B120" s="316" t="s">
        <v>3</v>
      </c>
      <c r="C120" s="428">
        <f>[6]Dec!$C$58</f>
        <v>14</v>
      </c>
      <c r="D120" s="424">
        <f>[6]Dec!$D$58</f>
        <v>33</v>
      </c>
      <c r="E120" s="420">
        <f>[6]Dec!$E$58</f>
        <v>20</v>
      </c>
      <c r="F120" s="420">
        <f>[6]Dec!$I$55</f>
        <v>7.2333333333333334</v>
      </c>
      <c r="J120"/>
      <c r="K120"/>
      <c r="L120"/>
      <c r="M120"/>
      <c r="N120"/>
      <c r="O120" s="392"/>
      <c r="P120" s="2"/>
      <c r="R120"/>
      <c r="S120"/>
      <c r="V120"/>
    </row>
    <row r="121" spans="2:22" s="1" customFormat="1" ht="18.75" hidden="1" thickBot="1" x14ac:dyDescent="0.3">
      <c r="B121" s="316" t="s">
        <v>617</v>
      </c>
      <c r="C121" s="429">
        <f>[6]Dec!$C$64</f>
        <v>119</v>
      </c>
      <c r="D121" s="425">
        <f>[6]Dec!$D$64</f>
        <v>337</v>
      </c>
      <c r="E121" s="421">
        <f>[6]Dec!$E$64</f>
        <v>236</v>
      </c>
      <c r="F121" s="432">
        <f>[6]Dec!$F$64</f>
        <v>63.8</v>
      </c>
      <c r="J121"/>
      <c r="K121"/>
      <c r="L121"/>
      <c r="M121"/>
      <c r="N121"/>
      <c r="O121" s="392"/>
      <c r="P121" s="2"/>
      <c r="R121"/>
      <c r="S121"/>
      <c r="V121"/>
    </row>
    <row r="122" spans="2:22" s="1" customFormat="1" ht="18.75" hidden="1" x14ac:dyDescent="0.3">
      <c r="B122" s="316" t="s">
        <v>3</v>
      </c>
      <c r="C122" s="430" t="s">
        <v>658</v>
      </c>
      <c r="D122" s="426">
        <f>[6]Dec!$D$60</f>
        <v>1.65</v>
      </c>
      <c r="E122" s="422">
        <f>[6]Dec!$E$60</f>
        <v>11.934999999999999</v>
      </c>
      <c r="J122"/>
      <c r="K122"/>
      <c r="L122"/>
      <c r="M122"/>
      <c r="N122"/>
      <c r="O122" s="392"/>
      <c r="P122" s="2"/>
      <c r="R122"/>
      <c r="S122"/>
      <c r="V122"/>
    </row>
    <row r="123" spans="2:22" s="1" customFormat="1" ht="19.5" hidden="1" thickBot="1" x14ac:dyDescent="0.35">
      <c r="B123" s="316" t="s">
        <v>617</v>
      </c>
      <c r="C123" s="431" t="s">
        <v>658</v>
      </c>
      <c r="D123" s="427">
        <f>[6]Dec!$D$66</f>
        <v>1.4279661016949152</v>
      </c>
      <c r="E123" s="423">
        <f>[6]Dec!$E$66</f>
        <v>91.104237288135593</v>
      </c>
      <c r="J123"/>
      <c r="K123"/>
      <c r="L123"/>
      <c r="M123"/>
      <c r="N123"/>
      <c r="O123" s="392"/>
      <c r="P123" s="2"/>
      <c r="R123"/>
      <c r="S123"/>
      <c r="V123"/>
    </row>
    <row r="124" spans="2:22" s="1" customFormat="1" hidden="1" x14ac:dyDescent="0.2">
      <c r="J124"/>
      <c r="K124"/>
      <c r="L124"/>
      <c r="M124"/>
      <c r="N124"/>
      <c r="O124" s="392"/>
      <c r="P124" s="2"/>
      <c r="R124"/>
      <c r="S124"/>
      <c r="V124"/>
    </row>
    <row r="125" spans="2:22" s="1" customFormat="1" hidden="1" x14ac:dyDescent="0.2">
      <c r="J125"/>
      <c r="K125"/>
      <c r="L125"/>
      <c r="M125"/>
      <c r="N125"/>
      <c r="O125" s="392"/>
      <c r="P125" s="2"/>
      <c r="R125"/>
      <c r="S125"/>
      <c r="V125"/>
    </row>
    <row r="126" spans="2:22" s="1" customFormat="1" hidden="1" x14ac:dyDescent="0.2">
      <c r="J126"/>
      <c r="K126"/>
      <c r="L126"/>
      <c r="M126"/>
      <c r="N126"/>
      <c r="O126" s="392"/>
      <c r="P126" s="2"/>
      <c r="R126"/>
      <c r="S126"/>
      <c r="V126"/>
    </row>
    <row r="127" spans="2:22" s="1" customFormat="1" hidden="1" x14ac:dyDescent="0.2">
      <c r="J127"/>
      <c r="K127"/>
      <c r="L127"/>
      <c r="M127"/>
      <c r="N127"/>
      <c r="O127" s="392"/>
      <c r="P127" s="2"/>
      <c r="R127"/>
      <c r="S127"/>
      <c r="V127"/>
    </row>
    <row r="128" spans="2:22" s="1" customFormat="1" hidden="1" x14ac:dyDescent="0.2">
      <c r="J128"/>
      <c r="K128"/>
      <c r="L128"/>
      <c r="M128"/>
      <c r="N128"/>
      <c r="O128" s="392"/>
      <c r="P128" s="2"/>
      <c r="R128"/>
      <c r="S128"/>
      <c r="V128"/>
    </row>
    <row r="129" spans="10:22" s="1" customFormat="1" hidden="1" x14ac:dyDescent="0.2">
      <c r="J129"/>
      <c r="K129"/>
      <c r="L129"/>
      <c r="M129"/>
      <c r="N129"/>
      <c r="O129" s="392"/>
      <c r="P129" s="2"/>
      <c r="R129"/>
      <c r="S129"/>
      <c r="V129"/>
    </row>
    <row r="130" spans="10:22" s="1" customFormat="1" hidden="1" x14ac:dyDescent="0.2">
      <c r="J130"/>
      <c r="K130"/>
      <c r="L130"/>
      <c r="M130"/>
      <c r="N130"/>
      <c r="O130" s="392"/>
      <c r="P130" s="2"/>
      <c r="R130"/>
      <c r="S130"/>
      <c r="V130"/>
    </row>
    <row r="131" spans="10:22" s="1" customFormat="1" hidden="1" x14ac:dyDescent="0.2">
      <c r="J131"/>
      <c r="K131"/>
      <c r="L131"/>
      <c r="M131"/>
      <c r="N131"/>
      <c r="O131" s="392"/>
      <c r="P131" s="2"/>
      <c r="R131"/>
      <c r="S131"/>
      <c r="V131"/>
    </row>
    <row r="132" spans="10:22" s="1" customFormat="1" hidden="1" x14ac:dyDescent="0.2">
      <c r="J132"/>
      <c r="K132"/>
      <c r="L132"/>
      <c r="M132"/>
      <c r="N132"/>
      <c r="O132" s="392"/>
      <c r="P132" s="2"/>
      <c r="R132"/>
      <c r="S132"/>
      <c r="V132"/>
    </row>
    <row r="133" spans="10:22" s="1" customFormat="1" hidden="1" x14ac:dyDescent="0.2">
      <c r="J133"/>
      <c r="K133"/>
      <c r="L133"/>
      <c r="M133"/>
      <c r="N133"/>
      <c r="O133" s="392"/>
      <c r="P133" s="2"/>
      <c r="R133"/>
      <c r="S133"/>
      <c r="V133"/>
    </row>
    <row r="134" spans="10:22" s="1" customFormat="1" hidden="1" x14ac:dyDescent="0.2">
      <c r="J134"/>
      <c r="K134"/>
      <c r="L134"/>
      <c r="M134"/>
      <c r="N134"/>
      <c r="O134" s="392"/>
      <c r="P134" s="2"/>
      <c r="R134"/>
      <c r="S134"/>
      <c r="V134"/>
    </row>
    <row r="135" spans="10:22" s="1" customFormat="1" hidden="1" x14ac:dyDescent="0.2">
      <c r="J135"/>
      <c r="K135"/>
      <c r="L135"/>
      <c r="M135"/>
      <c r="N135"/>
      <c r="O135" s="392"/>
      <c r="P135" s="2"/>
      <c r="R135"/>
      <c r="S135"/>
      <c r="V135"/>
    </row>
    <row r="136" spans="10:22" s="1" customFormat="1" hidden="1" x14ac:dyDescent="0.2">
      <c r="J136"/>
      <c r="K136"/>
      <c r="L136"/>
      <c r="M136"/>
      <c r="N136"/>
      <c r="O136" s="392"/>
      <c r="P136" s="2"/>
      <c r="R136"/>
      <c r="S136"/>
      <c r="V136"/>
    </row>
    <row r="137" spans="10:22" s="1" customFormat="1" hidden="1" x14ac:dyDescent="0.2">
      <c r="J137"/>
      <c r="K137"/>
      <c r="L137"/>
      <c r="M137"/>
      <c r="N137"/>
      <c r="O137" s="392"/>
      <c r="P137" s="2"/>
      <c r="R137"/>
      <c r="S137"/>
      <c r="V137"/>
    </row>
    <row r="138" spans="10:22" s="1" customFormat="1" hidden="1" x14ac:dyDescent="0.2">
      <c r="J138"/>
      <c r="K138"/>
      <c r="L138"/>
      <c r="M138"/>
      <c r="N138"/>
      <c r="O138" s="392"/>
      <c r="P138" s="2"/>
      <c r="R138"/>
      <c r="S138"/>
      <c r="V138"/>
    </row>
    <row r="139" spans="10:22" s="1" customFormat="1" hidden="1" x14ac:dyDescent="0.2">
      <c r="J139"/>
      <c r="K139"/>
      <c r="L139"/>
      <c r="M139"/>
      <c r="N139"/>
      <c r="O139" s="392"/>
      <c r="P139" s="2"/>
      <c r="R139"/>
      <c r="S139"/>
      <c r="V139"/>
    </row>
    <row r="140" spans="10:22" s="1" customFormat="1" hidden="1" x14ac:dyDescent="0.2">
      <c r="J140"/>
      <c r="K140"/>
      <c r="L140"/>
      <c r="M140"/>
      <c r="N140"/>
      <c r="O140" s="392"/>
      <c r="P140" s="2"/>
      <c r="R140"/>
      <c r="S140"/>
      <c r="V140"/>
    </row>
    <row r="141" spans="10:22" s="1" customFormat="1" hidden="1" x14ac:dyDescent="0.2">
      <c r="J141"/>
      <c r="K141"/>
      <c r="L141"/>
      <c r="M141"/>
      <c r="N141"/>
      <c r="O141" s="392"/>
      <c r="P141" s="2"/>
      <c r="R141"/>
      <c r="S141"/>
      <c r="V141"/>
    </row>
    <row r="142" spans="10:22" s="1" customFormat="1" hidden="1" x14ac:dyDescent="0.2">
      <c r="J142"/>
      <c r="K142"/>
      <c r="L142"/>
      <c r="M142"/>
      <c r="N142"/>
      <c r="O142" s="392"/>
      <c r="P142" s="2"/>
      <c r="R142"/>
      <c r="S142"/>
      <c r="V142"/>
    </row>
    <row r="143" spans="10:22" s="1" customFormat="1" hidden="1" x14ac:dyDescent="0.2">
      <c r="J143"/>
      <c r="K143"/>
      <c r="L143"/>
      <c r="M143"/>
      <c r="N143"/>
      <c r="O143" s="392"/>
      <c r="P143" s="2"/>
      <c r="R143"/>
      <c r="S143"/>
      <c r="V143"/>
    </row>
    <row r="144" spans="10:22" s="1" customFormat="1" x14ac:dyDescent="0.2">
      <c r="J144"/>
      <c r="K144"/>
      <c r="L144"/>
      <c r="M144"/>
      <c r="N144"/>
      <c r="O144" s="392"/>
      <c r="P144" s="2"/>
      <c r="R144"/>
      <c r="S144"/>
      <c r="V144"/>
    </row>
    <row r="145" spans="10:22" s="1" customFormat="1" x14ac:dyDescent="0.2">
      <c r="J145"/>
      <c r="K145"/>
      <c r="L145"/>
      <c r="M145"/>
      <c r="N145"/>
      <c r="O145" s="392"/>
      <c r="P145" s="2"/>
      <c r="R145"/>
      <c r="S145"/>
      <c r="V145"/>
    </row>
    <row r="146" spans="10:22" s="1" customFormat="1" x14ac:dyDescent="0.2">
      <c r="J146"/>
      <c r="K146"/>
      <c r="L146"/>
      <c r="M146"/>
      <c r="N146"/>
      <c r="O146" s="392"/>
      <c r="P146" s="2"/>
      <c r="R146"/>
      <c r="S146"/>
      <c r="V146"/>
    </row>
    <row r="147" spans="10:22" s="1" customFormat="1" x14ac:dyDescent="0.2">
      <c r="J147"/>
      <c r="K147"/>
      <c r="L147"/>
      <c r="M147"/>
      <c r="N147"/>
      <c r="O147" s="392"/>
      <c r="P147" s="2"/>
      <c r="R147"/>
      <c r="S147"/>
      <c r="V147"/>
    </row>
    <row r="148" spans="10:22" s="1" customFormat="1" x14ac:dyDescent="0.2">
      <c r="J148"/>
      <c r="K148"/>
      <c r="L148"/>
      <c r="M148"/>
      <c r="N148"/>
      <c r="O148" s="392"/>
      <c r="P148" s="2"/>
      <c r="R148"/>
      <c r="S148"/>
      <c r="V148"/>
    </row>
    <row r="149" spans="10:22" s="1" customFormat="1" x14ac:dyDescent="0.2">
      <c r="J149"/>
      <c r="K149"/>
      <c r="L149"/>
      <c r="M149"/>
      <c r="N149"/>
      <c r="O149" s="392"/>
      <c r="P149" s="2"/>
      <c r="R149"/>
      <c r="S149"/>
      <c r="V149"/>
    </row>
    <row r="150" spans="10:22" s="1" customFormat="1" x14ac:dyDescent="0.2">
      <c r="J150"/>
      <c r="K150"/>
      <c r="L150"/>
      <c r="M150"/>
      <c r="N150"/>
      <c r="O150" s="392"/>
      <c r="P150" s="2"/>
      <c r="R150"/>
      <c r="S150"/>
      <c r="V150"/>
    </row>
    <row r="151" spans="10:22" s="1" customFormat="1" x14ac:dyDescent="0.2">
      <c r="J151"/>
      <c r="K151"/>
      <c r="L151"/>
      <c r="M151"/>
      <c r="N151"/>
      <c r="O151" s="392"/>
      <c r="P151" s="2"/>
      <c r="R151"/>
      <c r="S151"/>
      <c r="V151"/>
    </row>
    <row r="152" spans="10:22" s="1" customFormat="1" x14ac:dyDescent="0.2">
      <c r="J152"/>
      <c r="K152"/>
      <c r="L152"/>
      <c r="M152"/>
      <c r="N152"/>
      <c r="O152" s="392"/>
      <c r="P152" s="2"/>
      <c r="R152"/>
      <c r="S152"/>
      <c r="V152"/>
    </row>
    <row r="153" spans="10:22" s="1" customFormat="1" x14ac:dyDescent="0.2">
      <c r="J153"/>
      <c r="K153"/>
      <c r="L153"/>
      <c r="M153"/>
      <c r="N153"/>
      <c r="O153" s="392"/>
      <c r="P153" s="2"/>
      <c r="R153"/>
      <c r="S153"/>
      <c r="V153"/>
    </row>
    <row r="154" spans="10:22" s="1" customFormat="1" x14ac:dyDescent="0.2">
      <c r="J154"/>
      <c r="K154"/>
      <c r="L154"/>
      <c r="M154"/>
      <c r="N154"/>
      <c r="O154" s="392"/>
      <c r="P154" s="2"/>
      <c r="R154"/>
      <c r="S154"/>
      <c r="V154"/>
    </row>
    <row r="155" spans="10:22" s="1" customFormat="1" x14ac:dyDescent="0.2">
      <c r="J155"/>
      <c r="K155"/>
      <c r="L155"/>
      <c r="M155"/>
      <c r="N155"/>
      <c r="O155" s="392"/>
      <c r="P155" s="2"/>
      <c r="R155"/>
      <c r="S155"/>
      <c r="V155"/>
    </row>
    <row r="156" spans="10:22" s="1" customFormat="1" x14ac:dyDescent="0.2">
      <c r="J156"/>
      <c r="K156"/>
      <c r="L156"/>
      <c r="M156"/>
      <c r="N156"/>
      <c r="O156" s="392"/>
      <c r="P156" s="2"/>
      <c r="R156"/>
      <c r="S156"/>
      <c r="V156"/>
    </row>
    <row r="157" spans="10:22" s="1" customFormat="1" x14ac:dyDescent="0.2">
      <c r="J157"/>
      <c r="K157"/>
      <c r="L157"/>
      <c r="M157"/>
      <c r="N157"/>
      <c r="O157" s="392"/>
      <c r="P157" s="2"/>
      <c r="R157"/>
      <c r="S157"/>
      <c r="V157"/>
    </row>
    <row r="158" spans="10:22" s="1" customFormat="1" x14ac:dyDescent="0.2">
      <c r="J158"/>
      <c r="K158"/>
      <c r="L158"/>
      <c r="M158"/>
      <c r="N158"/>
      <c r="O158" s="392"/>
      <c r="P158" s="2"/>
      <c r="R158"/>
      <c r="S158"/>
      <c r="V158"/>
    </row>
    <row r="159" spans="10:22" s="1" customFormat="1" x14ac:dyDescent="0.2">
      <c r="J159"/>
      <c r="K159"/>
      <c r="L159"/>
      <c r="M159"/>
      <c r="N159"/>
      <c r="O159" s="392"/>
      <c r="P159" s="2"/>
      <c r="R159"/>
      <c r="S159"/>
      <c r="V159"/>
    </row>
    <row r="160" spans="10:22" s="1" customFormat="1" x14ac:dyDescent="0.2">
      <c r="J160"/>
      <c r="K160"/>
      <c r="L160"/>
      <c r="M160"/>
      <c r="N160"/>
      <c r="O160" s="392"/>
      <c r="P160" s="2"/>
      <c r="R160"/>
      <c r="S160"/>
      <c r="V160"/>
    </row>
    <row r="161" spans="10:22" s="1" customFormat="1" x14ac:dyDescent="0.2">
      <c r="J161"/>
      <c r="K161"/>
      <c r="L161"/>
      <c r="M161"/>
      <c r="N161"/>
      <c r="O161" s="392"/>
      <c r="P161" s="2"/>
      <c r="R161"/>
      <c r="S161"/>
      <c r="V161"/>
    </row>
    <row r="162" spans="10:22" s="1" customFormat="1" x14ac:dyDescent="0.2">
      <c r="J162"/>
      <c r="K162"/>
      <c r="L162"/>
      <c r="M162"/>
      <c r="N162"/>
      <c r="O162" s="392"/>
      <c r="P162" s="2"/>
      <c r="R162"/>
      <c r="S162"/>
      <c r="V162"/>
    </row>
    <row r="163" spans="10:22" s="1" customFormat="1" x14ac:dyDescent="0.2">
      <c r="J163"/>
      <c r="K163"/>
      <c r="L163"/>
      <c r="M163"/>
      <c r="N163"/>
      <c r="O163" s="392"/>
      <c r="P163" s="2"/>
      <c r="R163"/>
      <c r="S163"/>
      <c r="V163"/>
    </row>
    <row r="164" spans="10:22" s="1" customFormat="1" x14ac:dyDescent="0.2">
      <c r="J164"/>
      <c r="K164"/>
      <c r="L164"/>
      <c r="M164"/>
      <c r="N164"/>
      <c r="O164" s="392"/>
      <c r="P164" s="2"/>
      <c r="R164"/>
      <c r="S164"/>
      <c r="V164"/>
    </row>
    <row r="165" spans="10:22" s="1" customFormat="1" x14ac:dyDescent="0.2">
      <c r="J165"/>
      <c r="K165"/>
      <c r="L165"/>
      <c r="M165"/>
      <c r="N165"/>
      <c r="O165" s="392"/>
      <c r="P165" s="2"/>
      <c r="R165"/>
      <c r="S165"/>
      <c r="V165"/>
    </row>
    <row r="166" spans="10:22" s="1" customFormat="1" x14ac:dyDescent="0.2">
      <c r="J166"/>
      <c r="K166"/>
      <c r="L166"/>
      <c r="M166"/>
      <c r="N166"/>
      <c r="O166" s="392"/>
      <c r="P166" s="2"/>
      <c r="R166"/>
      <c r="S166"/>
      <c r="V166"/>
    </row>
    <row r="167" spans="10:22" s="1" customFormat="1" x14ac:dyDescent="0.2">
      <c r="J167"/>
      <c r="K167"/>
      <c r="L167"/>
      <c r="M167"/>
      <c r="N167"/>
      <c r="O167" s="392"/>
      <c r="P167" s="2"/>
      <c r="R167"/>
      <c r="S167"/>
      <c r="V167"/>
    </row>
    <row r="168" spans="10:22" s="1" customFormat="1" x14ac:dyDescent="0.2">
      <c r="J168"/>
      <c r="K168"/>
      <c r="L168"/>
      <c r="M168"/>
      <c r="N168"/>
      <c r="O168" s="392"/>
      <c r="P168" s="2"/>
      <c r="R168"/>
      <c r="S168"/>
      <c r="V168"/>
    </row>
    <row r="169" spans="10:22" s="1" customFormat="1" x14ac:dyDescent="0.2">
      <c r="J169"/>
      <c r="K169"/>
      <c r="L169"/>
      <c r="M169"/>
      <c r="N169"/>
      <c r="O169" s="392"/>
      <c r="P169" s="2"/>
      <c r="R169"/>
      <c r="S169"/>
      <c r="V169"/>
    </row>
    <row r="170" spans="10:22" s="1" customFormat="1" x14ac:dyDescent="0.2">
      <c r="J170"/>
      <c r="K170"/>
      <c r="L170"/>
      <c r="M170"/>
      <c r="N170"/>
      <c r="O170" s="392"/>
      <c r="P170" s="2"/>
      <c r="R170"/>
      <c r="S170"/>
      <c r="V170"/>
    </row>
    <row r="171" spans="10:22" s="1" customFormat="1" x14ac:dyDescent="0.2">
      <c r="J171"/>
      <c r="K171"/>
      <c r="L171"/>
      <c r="M171"/>
      <c r="N171"/>
      <c r="O171" s="392"/>
      <c r="P171" s="2"/>
      <c r="R171"/>
      <c r="S171"/>
      <c r="V171"/>
    </row>
    <row r="172" spans="10:22" s="1" customFormat="1" x14ac:dyDescent="0.2">
      <c r="J172"/>
      <c r="K172"/>
      <c r="L172"/>
      <c r="M172"/>
      <c r="N172"/>
      <c r="O172" s="392"/>
      <c r="P172" s="2"/>
      <c r="R172"/>
      <c r="S172"/>
      <c r="V172"/>
    </row>
    <row r="173" spans="10:22" s="1" customFormat="1" x14ac:dyDescent="0.2">
      <c r="J173"/>
      <c r="K173"/>
      <c r="L173"/>
      <c r="M173"/>
      <c r="N173"/>
      <c r="O173" s="392"/>
      <c r="P173" s="2"/>
      <c r="R173"/>
      <c r="S173"/>
      <c r="V173"/>
    </row>
    <row r="174" spans="10:22" s="1" customFormat="1" x14ac:dyDescent="0.2">
      <c r="J174"/>
      <c r="K174"/>
      <c r="L174"/>
      <c r="M174"/>
      <c r="N174"/>
      <c r="O174" s="392"/>
      <c r="P174" s="2"/>
      <c r="R174"/>
      <c r="S174"/>
      <c r="V174"/>
    </row>
    <row r="175" spans="10:22" s="1" customFormat="1" x14ac:dyDescent="0.2">
      <c r="J175"/>
      <c r="K175"/>
      <c r="L175"/>
      <c r="M175"/>
      <c r="N175"/>
      <c r="O175" s="392"/>
      <c r="P175" s="2"/>
      <c r="R175"/>
      <c r="S175"/>
      <c r="V175"/>
    </row>
    <row r="176" spans="10:22" s="1" customFormat="1" x14ac:dyDescent="0.2">
      <c r="J176"/>
      <c r="K176"/>
      <c r="L176"/>
      <c r="M176"/>
      <c r="N176"/>
      <c r="O176" s="392"/>
      <c r="P176" s="2"/>
      <c r="R176"/>
      <c r="S176"/>
      <c r="V176"/>
    </row>
    <row r="177" spans="10:22" s="1" customFormat="1" x14ac:dyDescent="0.2">
      <c r="J177"/>
      <c r="K177"/>
      <c r="L177"/>
      <c r="M177"/>
      <c r="N177"/>
      <c r="O177" s="392"/>
      <c r="P177" s="2"/>
      <c r="R177"/>
      <c r="S177"/>
      <c r="V177"/>
    </row>
    <row r="178" spans="10:22" s="1" customFormat="1" x14ac:dyDescent="0.2">
      <c r="J178"/>
      <c r="K178"/>
      <c r="L178"/>
      <c r="M178"/>
      <c r="N178"/>
      <c r="O178" s="392"/>
      <c r="P178" s="2"/>
      <c r="R178"/>
      <c r="S178"/>
      <c r="V178"/>
    </row>
    <row r="179" spans="10:22" s="1" customFormat="1" x14ac:dyDescent="0.2">
      <c r="J179"/>
      <c r="K179"/>
      <c r="L179"/>
      <c r="M179"/>
      <c r="N179"/>
      <c r="O179" s="392"/>
      <c r="P179" s="2"/>
      <c r="R179"/>
      <c r="S179"/>
      <c r="V179"/>
    </row>
    <row r="180" spans="10:22" s="1" customFormat="1" x14ac:dyDescent="0.2">
      <c r="J180"/>
      <c r="K180"/>
      <c r="L180"/>
      <c r="M180"/>
      <c r="N180"/>
      <c r="O180" s="392"/>
      <c r="P180" s="2"/>
      <c r="R180"/>
      <c r="S180"/>
      <c r="V180"/>
    </row>
    <row r="181" spans="10:22" s="1" customFormat="1" x14ac:dyDescent="0.2">
      <c r="J181"/>
      <c r="K181"/>
      <c r="L181"/>
      <c r="M181"/>
      <c r="N181"/>
      <c r="O181" s="392"/>
      <c r="P181" s="2"/>
      <c r="R181"/>
      <c r="S181"/>
      <c r="V181"/>
    </row>
    <row r="182" spans="10:22" s="1" customFormat="1" x14ac:dyDescent="0.2">
      <c r="J182"/>
      <c r="K182"/>
      <c r="L182"/>
      <c r="M182"/>
      <c r="N182"/>
      <c r="O182" s="392"/>
      <c r="P182" s="2"/>
      <c r="R182"/>
      <c r="S182"/>
      <c r="V182"/>
    </row>
    <row r="183" spans="10:22" s="1" customFormat="1" x14ac:dyDescent="0.2">
      <c r="J183"/>
      <c r="K183"/>
      <c r="L183"/>
      <c r="M183"/>
      <c r="N183"/>
      <c r="O183" s="392"/>
      <c r="P183" s="2"/>
      <c r="R183"/>
      <c r="S183"/>
      <c r="V183"/>
    </row>
    <row r="184" spans="10:22" s="1" customFormat="1" x14ac:dyDescent="0.2">
      <c r="J184"/>
      <c r="K184"/>
      <c r="L184"/>
      <c r="M184"/>
      <c r="N184"/>
      <c r="O184" s="392"/>
      <c r="P184" s="2"/>
      <c r="R184"/>
      <c r="S184"/>
      <c r="V184"/>
    </row>
    <row r="185" spans="10:22" s="1" customFormat="1" x14ac:dyDescent="0.2">
      <c r="J185"/>
      <c r="K185"/>
      <c r="L185"/>
      <c r="M185"/>
      <c r="N185"/>
      <c r="O185" s="392"/>
      <c r="P185" s="2"/>
      <c r="R185"/>
      <c r="S185"/>
      <c r="V185"/>
    </row>
    <row r="186" spans="10:22" s="1" customFormat="1" x14ac:dyDescent="0.2">
      <c r="J186"/>
      <c r="K186"/>
      <c r="L186"/>
      <c r="M186"/>
      <c r="N186"/>
      <c r="O186" s="392"/>
      <c r="P186" s="2"/>
      <c r="R186"/>
      <c r="S186"/>
      <c r="V186"/>
    </row>
    <row r="187" spans="10:22" s="1" customFormat="1" x14ac:dyDescent="0.2">
      <c r="J187"/>
      <c r="K187"/>
      <c r="L187"/>
      <c r="M187"/>
      <c r="N187"/>
      <c r="O187" s="392"/>
      <c r="P187" s="2"/>
      <c r="R187"/>
      <c r="S187"/>
      <c r="V187"/>
    </row>
    <row r="188" spans="10:22" s="1" customFormat="1" x14ac:dyDescent="0.2">
      <c r="J188"/>
      <c r="K188"/>
      <c r="L188"/>
      <c r="M188"/>
      <c r="N188"/>
      <c r="O188" s="392"/>
      <c r="P188" s="2"/>
      <c r="R188"/>
      <c r="S188"/>
      <c r="V188"/>
    </row>
    <row r="189" spans="10:22" s="1" customFormat="1" x14ac:dyDescent="0.2">
      <c r="J189"/>
      <c r="K189"/>
      <c r="L189"/>
      <c r="M189"/>
      <c r="N189"/>
      <c r="O189" s="392"/>
      <c r="P189" s="2"/>
      <c r="R189"/>
      <c r="S189"/>
      <c r="V189"/>
    </row>
    <row r="190" spans="10:22" s="1" customFormat="1" x14ac:dyDescent="0.2">
      <c r="J190"/>
      <c r="K190"/>
      <c r="L190"/>
      <c r="M190"/>
      <c r="N190"/>
      <c r="O190" s="392"/>
      <c r="P190" s="2"/>
      <c r="R190"/>
      <c r="S190"/>
      <c r="V190"/>
    </row>
    <row r="191" spans="10:22" s="1" customFormat="1" x14ac:dyDescent="0.2">
      <c r="J191"/>
      <c r="K191"/>
      <c r="L191"/>
      <c r="M191"/>
      <c r="N191"/>
      <c r="O191" s="392"/>
      <c r="P191" s="2"/>
      <c r="R191"/>
      <c r="S191"/>
      <c r="V191"/>
    </row>
    <row r="192" spans="10:22" s="1" customFormat="1" x14ac:dyDescent="0.2">
      <c r="J192"/>
      <c r="K192"/>
      <c r="L192"/>
      <c r="M192"/>
      <c r="N192"/>
      <c r="O192" s="392"/>
      <c r="P192" s="2"/>
      <c r="R192"/>
      <c r="S192"/>
      <c r="V192"/>
    </row>
    <row r="193" spans="10:22" s="1" customFormat="1" x14ac:dyDescent="0.2">
      <c r="J193"/>
      <c r="K193"/>
      <c r="L193"/>
      <c r="M193"/>
      <c r="N193"/>
      <c r="O193" s="392"/>
      <c r="P193" s="2"/>
      <c r="R193"/>
      <c r="S193"/>
      <c r="V193"/>
    </row>
    <row r="194" spans="10:22" s="1" customFormat="1" x14ac:dyDescent="0.2">
      <c r="J194"/>
      <c r="K194"/>
      <c r="L194"/>
      <c r="M194"/>
      <c r="N194"/>
      <c r="O194" s="392"/>
      <c r="P194" s="2"/>
      <c r="R194"/>
      <c r="S194"/>
      <c r="V194"/>
    </row>
    <row r="195" spans="10:22" s="1" customFormat="1" x14ac:dyDescent="0.2">
      <c r="J195"/>
      <c r="K195"/>
      <c r="L195"/>
      <c r="M195"/>
      <c r="N195"/>
      <c r="O195" s="392"/>
      <c r="P195" s="2"/>
      <c r="R195"/>
      <c r="S195"/>
      <c r="V195"/>
    </row>
    <row r="196" spans="10:22" s="1" customFormat="1" x14ac:dyDescent="0.2">
      <c r="J196"/>
      <c r="K196"/>
      <c r="L196"/>
      <c r="M196"/>
      <c r="N196"/>
      <c r="O196" s="392"/>
      <c r="P196" s="2"/>
      <c r="R196"/>
      <c r="S196"/>
      <c r="V196"/>
    </row>
    <row r="197" spans="10:22" s="1" customFormat="1" x14ac:dyDescent="0.2">
      <c r="J197"/>
      <c r="K197"/>
      <c r="L197"/>
      <c r="M197"/>
      <c r="N197"/>
      <c r="O197" s="392"/>
      <c r="P197" s="2"/>
      <c r="R197"/>
      <c r="S197"/>
      <c r="V197"/>
    </row>
    <row r="198" spans="10:22" s="1" customFormat="1" x14ac:dyDescent="0.2">
      <c r="J198"/>
      <c r="K198"/>
      <c r="L198"/>
      <c r="M198"/>
      <c r="N198"/>
      <c r="O198" s="392"/>
      <c r="P198" s="2"/>
      <c r="R198"/>
      <c r="S198"/>
      <c r="V198"/>
    </row>
    <row r="199" spans="10:22" s="1" customFormat="1" x14ac:dyDescent="0.2">
      <c r="J199"/>
      <c r="K199"/>
      <c r="L199"/>
      <c r="M199"/>
      <c r="N199"/>
      <c r="O199" s="392"/>
      <c r="P199" s="2"/>
      <c r="R199"/>
      <c r="S199"/>
      <c r="V199"/>
    </row>
    <row r="200" spans="10:22" s="1" customFormat="1" x14ac:dyDescent="0.2">
      <c r="J200"/>
      <c r="K200"/>
      <c r="L200"/>
      <c r="M200"/>
      <c r="N200"/>
      <c r="O200" s="392"/>
      <c r="P200" s="2"/>
      <c r="R200"/>
      <c r="S200"/>
      <c r="V200"/>
    </row>
    <row r="201" spans="10:22" s="1" customFormat="1" x14ac:dyDescent="0.2">
      <c r="J201"/>
      <c r="K201"/>
      <c r="L201"/>
      <c r="M201"/>
      <c r="N201"/>
      <c r="O201" s="392"/>
      <c r="P201" s="2"/>
      <c r="R201"/>
      <c r="S201"/>
      <c r="V201"/>
    </row>
    <row r="202" spans="10:22" s="1" customFormat="1" x14ac:dyDescent="0.2">
      <c r="J202"/>
      <c r="K202"/>
      <c r="L202"/>
      <c r="M202"/>
      <c r="N202"/>
      <c r="O202" s="392"/>
      <c r="P202" s="2"/>
      <c r="R202"/>
      <c r="S202"/>
      <c r="V202"/>
    </row>
    <row r="203" spans="10:22" s="1" customFormat="1" x14ac:dyDescent="0.2">
      <c r="J203"/>
      <c r="K203"/>
      <c r="L203"/>
      <c r="M203"/>
      <c r="N203"/>
      <c r="O203" s="392"/>
      <c r="P203" s="2"/>
      <c r="R203"/>
      <c r="S203"/>
      <c r="V203"/>
    </row>
    <row r="204" spans="10:22" s="1" customFormat="1" x14ac:dyDescent="0.2">
      <c r="J204"/>
      <c r="K204"/>
      <c r="L204"/>
      <c r="M204"/>
      <c r="N204"/>
      <c r="O204" s="392"/>
      <c r="P204" s="2"/>
      <c r="R204"/>
      <c r="S204"/>
      <c r="V204"/>
    </row>
    <row r="205" spans="10:22" s="1" customFormat="1" x14ac:dyDescent="0.2">
      <c r="J205"/>
      <c r="K205"/>
      <c r="L205"/>
      <c r="M205"/>
      <c r="N205"/>
      <c r="O205" s="392"/>
      <c r="P205" s="2"/>
      <c r="R205"/>
      <c r="S205"/>
      <c r="V205"/>
    </row>
    <row r="206" spans="10:22" s="1" customFormat="1" x14ac:dyDescent="0.2">
      <c r="J206"/>
      <c r="K206"/>
      <c r="L206"/>
      <c r="M206"/>
      <c r="N206"/>
      <c r="O206" s="392"/>
      <c r="P206" s="2"/>
      <c r="R206"/>
      <c r="S206"/>
      <c r="V206"/>
    </row>
    <row r="207" spans="10:22" s="1" customFormat="1" x14ac:dyDescent="0.2">
      <c r="J207"/>
      <c r="K207"/>
      <c r="L207"/>
      <c r="M207"/>
      <c r="N207"/>
      <c r="O207" s="392"/>
      <c r="P207" s="2"/>
      <c r="R207"/>
      <c r="S207"/>
      <c r="V207"/>
    </row>
    <row r="208" spans="10:22" s="1" customFormat="1" x14ac:dyDescent="0.2">
      <c r="J208"/>
      <c r="K208"/>
      <c r="L208"/>
      <c r="M208"/>
      <c r="N208"/>
      <c r="O208" s="392"/>
      <c r="P208" s="2"/>
      <c r="R208"/>
      <c r="S208"/>
      <c r="V208"/>
    </row>
    <row r="209" spans="10:22" s="1" customFormat="1" x14ac:dyDescent="0.2">
      <c r="J209"/>
      <c r="K209"/>
      <c r="L209"/>
      <c r="M209"/>
      <c r="N209"/>
      <c r="O209" s="392"/>
      <c r="P209" s="2"/>
      <c r="R209"/>
      <c r="S209"/>
      <c r="V209"/>
    </row>
    <row r="210" spans="10:22" s="1" customFormat="1" x14ac:dyDescent="0.2">
      <c r="J210"/>
      <c r="K210"/>
      <c r="L210"/>
      <c r="M210"/>
      <c r="N210"/>
      <c r="O210" s="392"/>
      <c r="P210" s="2"/>
      <c r="R210"/>
      <c r="S210"/>
      <c r="V210"/>
    </row>
    <row r="211" spans="10:22" s="1" customFormat="1" x14ac:dyDescent="0.2">
      <c r="J211"/>
      <c r="K211"/>
      <c r="L211"/>
      <c r="M211"/>
      <c r="N211"/>
      <c r="O211" s="392"/>
      <c r="P211" s="2"/>
      <c r="R211"/>
      <c r="S211"/>
      <c r="V211"/>
    </row>
    <row r="212" spans="10:22" s="1" customFormat="1" x14ac:dyDescent="0.2">
      <c r="J212"/>
      <c r="K212"/>
      <c r="L212"/>
      <c r="M212"/>
      <c r="N212"/>
      <c r="O212" s="392"/>
      <c r="P212" s="2"/>
      <c r="R212"/>
      <c r="S212"/>
      <c r="V212"/>
    </row>
    <row r="213" spans="10:22" s="1" customFormat="1" x14ac:dyDescent="0.2">
      <c r="J213"/>
      <c r="K213"/>
      <c r="L213"/>
      <c r="M213"/>
      <c r="N213"/>
      <c r="O213" s="392"/>
      <c r="P213" s="2"/>
      <c r="R213"/>
      <c r="S213"/>
      <c r="V213"/>
    </row>
    <row r="214" spans="10:22" s="1" customFormat="1" x14ac:dyDescent="0.2">
      <c r="J214"/>
      <c r="K214"/>
      <c r="L214"/>
      <c r="M214"/>
      <c r="N214"/>
      <c r="O214" s="392"/>
      <c r="P214" s="2"/>
      <c r="R214"/>
      <c r="S214"/>
      <c r="V214"/>
    </row>
    <row r="215" spans="10:22" s="1" customFormat="1" x14ac:dyDescent="0.2">
      <c r="J215"/>
      <c r="K215"/>
      <c r="L215"/>
      <c r="M215"/>
      <c r="N215"/>
      <c r="O215" s="392"/>
      <c r="P215" s="2"/>
      <c r="R215"/>
      <c r="S215"/>
      <c r="V215"/>
    </row>
    <row r="216" spans="10:22" s="1" customFormat="1" x14ac:dyDescent="0.2">
      <c r="J216"/>
      <c r="K216"/>
      <c r="L216"/>
      <c r="M216"/>
      <c r="N216"/>
      <c r="O216" s="392"/>
      <c r="P216" s="2"/>
      <c r="R216"/>
      <c r="S216"/>
      <c r="V216"/>
    </row>
    <row r="217" spans="10:22" s="1" customFormat="1" x14ac:dyDescent="0.2">
      <c r="J217"/>
      <c r="K217"/>
      <c r="L217"/>
      <c r="M217"/>
      <c r="N217"/>
      <c r="O217" s="392"/>
      <c r="P217" s="2"/>
      <c r="R217"/>
      <c r="S217"/>
      <c r="V217"/>
    </row>
    <row r="218" spans="10:22" s="1" customFormat="1" x14ac:dyDescent="0.2">
      <c r="J218"/>
      <c r="K218"/>
      <c r="L218"/>
      <c r="M218"/>
      <c r="N218"/>
      <c r="O218" s="392"/>
      <c r="P218" s="2"/>
      <c r="R218"/>
      <c r="S218"/>
      <c r="V218"/>
    </row>
    <row r="219" spans="10:22" s="1" customFormat="1" x14ac:dyDescent="0.2">
      <c r="J219"/>
      <c r="K219"/>
      <c r="L219"/>
      <c r="M219"/>
      <c r="N219"/>
      <c r="O219" s="392"/>
      <c r="P219" s="2"/>
      <c r="R219"/>
      <c r="S219"/>
      <c r="V219"/>
    </row>
    <row r="220" spans="10:22" s="1" customFormat="1" x14ac:dyDescent="0.2">
      <c r="J220"/>
      <c r="K220"/>
      <c r="L220"/>
      <c r="M220"/>
      <c r="N220"/>
      <c r="O220" s="392"/>
      <c r="P220" s="2"/>
      <c r="R220"/>
      <c r="S220"/>
      <c r="V220"/>
    </row>
    <row r="221" spans="10:22" s="1" customFormat="1" x14ac:dyDescent="0.2">
      <c r="J221"/>
      <c r="K221"/>
      <c r="L221"/>
      <c r="M221"/>
      <c r="N221"/>
      <c r="O221" s="392"/>
      <c r="P221" s="2"/>
      <c r="R221"/>
      <c r="S221"/>
      <c r="V221"/>
    </row>
    <row r="222" spans="10:22" s="1" customFormat="1" x14ac:dyDescent="0.2">
      <c r="J222"/>
      <c r="K222"/>
      <c r="L222"/>
      <c r="M222"/>
      <c r="N222"/>
      <c r="O222" s="392"/>
      <c r="P222" s="2"/>
      <c r="R222"/>
      <c r="S222"/>
      <c r="V222"/>
    </row>
    <row r="223" spans="10:22" s="1" customFormat="1" x14ac:dyDescent="0.2">
      <c r="J223"/>
      <c r="K223"/>
      <c r="L223"/>
      <c r="M223"/>
      <c r="N223"/>
      <c r="O223" s="392"/>
      <c r="P223" s="2"/>
      <c r="R223"/>
      <c r="S223"/>
      <c r="V223"/>
    </row>
    <row r="224" spans="10:22" s="1" customFormat="1" x14ac:dyDescent="0.2">
      <c r="J224"/>
      <c r="K224"/>
      <c r="L224"/>
      <c r="M224"/>
      <c r="N224"/>
      <c r="O224" s="392"/>
      <c r="P224" s="2"/>
      <c r="R224"/>
      <c r="S224"/>
      <c r="V224"/>
    </row>
    <row r="225" spans="10:22" s="1" customFormat="1" x14ac:dyDescent="0.2">
      <c r="J225"/>
      <c r="K225"/>
      <c r="L225"/>
      <c r="M225"/>
      <c r="N225"/>
      <c r="O225" s="392"/>
      <c r="P225" s="2"/>
      <c r="R225"/>
      <c r="S225"/>
      <c r="V225"/>
    </row>
    <row r="226" spans="10:22" s="1" customFormat="1" x14ac:dyDescent="0.2">
      <c r="J226"/>
      <c r="K226"/>
      <c r="L226"/>
      <c r="M226"/>
      <c r="N226"/>
      <c r="O226" s="392"/>
      <c r="P226" s="2"/>
      <c r="R226"/>
      <c r="S226"/>
      <c r="V226"/>
    </row>
    <row r="227" spans="10:22" s="1" customFormat="1" x14ac:dyDescent="0.2">
      <c r="J227"/>
      <c r="K227"/>
      <c r="L227"/>
      <c r="M227"/>
      <c r="N227"/>
      <c r="O227" s="392"/>
      <c r="P227" s="2"/>
      <c r="R227"/>
      <c r="S227"/>
      <c r="V227"/>
    </row>
    <row r="228" spans="10:22" s="1" customFormat="1" x14ac:dyDescent="0.2">
      <c r="J228"/>
      <c r="K228"/>
      <c r="L228"/>
      <c r="M228"/>
      <c r="N228"/>
      <c r="O228" s="392"/>
      <c r="P228" s="2"/>
      <c r="R228"/>
      <c r="S228"/>
      <c r="V228"/>
    </row>
    <row r="229" spans="10:22" s="1" customFormat="1" x14ac:dyDescent="0.2">
      <c r="J229"/>
      <c r="K229"/>
      <c r="L229"/>
      <c r="M229"/>
      <c r="N229"/>
      <c r="O229" s="392"/>
      <c r="P229" s="2"/>
      <c r="R229"/>
      <c r="S229"/>
      <c r="V229"/>
    </row>
    <row r="230" spans="10:22" s="1" customFormat="1" x14ac:dyDescent="0.2">
      <c r="J230"/>
      <c r="K230"/>
      <c r="L230"/>
      <c r="M230"/>
      <c r="N230"/>
      <c r="O230" s="392"/>
      <c r="P230" s="2"/>
      <c r="R230"/>
      <c r="S230"/>
      <c r="V230"/>
    </row>
    <row r="231" spans="10:22" s="1" customFormat="1" x14ac:dyDescent="0.2">
      <c r="J231"/>
      <c r="K231"/>
      <c r="L231"/>
      <c r="M231"/>
      <c r="N231"/>
      <c r="O231" s="392"/>
      <c r="P231" s="2"/>
      <c r="R231"/>
      <c r="S231"/>
      <c r="V231"/>
    </row>
    <row r="232" spans="10:22" s="1" customFormat="1" x14ac:dyDescent="0.2">
      <c r="J232"/>
      <c r="K232"/>
      <c r="L232"/>
      <c r="M232"/>
      <c r="N232"/>
      <c r="O232" s="392"/>
      <c r="P232" s="2"/>
      <c r="R232"/>
      <c r="S232"/>
      <c r="V232"/>
    </row>
    <row r="233" spans="10:22" s="1" customFormat="1" x14ac:dyDescent="0.2">
      <c r="J233"/>
      <c r="K233"/>
      <c r="L233"/>
      <c r="M233"/>
      <c r="N233"/>
      <c r="O233" s="392"/>
      <c r="P233" s="2"/>
      <c r="R233"/>
      <c r="S233"/>
      <c r="V233"/>
    </row>
    <row r="234" spans="10:22" s="1" customFormat="1" x14ac:dyDescent="0.2">
      <c r="J234"/>
      <c r="K234"/>
      <c r="L234"/>
      <c r="M234"/>
      <c r="N234"/>
      <c r="O234" s="392"/>
      <c r="P234" s="2"/>
      <c r="R234"/>
      <c r="S234"/>
      <c r="V234"/>
    </row>
    <row r="235" spans="10:22" s="1" customFormat="1" x14ac:dyDescent="0.2">
      <c r="J235"/>
      <c r="K235"/>
      <c r="L235"/>
      <c r="M235"/>
      <c r="N235"/>
      <c r="O235" s="392"/>
      <c r="P235" s="2"/>
      <c r="R235"/>
      <c r="S235"/>
      <c r="V235"/>
    </row>
    <row r="236" spans="10:22" s="1" customFormat="1" x14ac:dyDescent="0.2">
      <c r="J236"/>
      <c r="K236"/>
      <c r="L236"/>
      <c r="M236"/>
      <c r="N236"/>
      <c r="O236" s="392"/>
      <c r="P236" s="2"/>
      <c r="R236"/>
      <c r="S236"/>
      <c r="V236"/>
    </row>
    <row r="237" spans="10:22" s="1" customFormat="1" x14ac:dyDescent="0.2">
      <c r="J237"/>
      <c r="K237"/>
      <c r="L237"/>
      <c r="M237"/>
      <c r="N237"/>
      <c r="O237" s="392"/>
      <c r="P237" s="2"/>
      <c r="R237"/>
      <c r="S237"/>
      <c r="V237"/>
    </row>
    <row r="238" spans="10:22" s="1" customFormat="1" x14ac:dyDescent="0.2">
      <c r="J238"/>
      <c r="K238"/>
      <c r="L238"/>
      <c r="M238"/>
      <c r="N238"/>
      <c r="O238" s="392"/>
      <c r="P238" s="2"/>
      <c r="R238"/>
      <c r="S238"/>
      <c r="V238"/>
    </row>
    <row r="239" spans="10:22" s="1" customFormat="1" x14ac:dyDescent="0.2">
      <c r="J239"/>
      <c r="K239"/>
      <c r="L239"/>
      <c r="M239"/>
      <c r="N239"/>
      <c r="O239" s="392"/>
      <c r="P239" s="2"/>
      <c r="R239"/>
      <c r="S239"/>
      <c r="V239"/>
    </row>
    <row r="240" spans="10:22" s="1" customFormat="1" x14ac:dyDescent="0.2">
      <c r="J240"/>
      <c r="K240"/>
      <c r="L240"/>
      <c r="M240"/>
      <c r="N240"/>
      <c r="O240" s="392"/>
      <c r="P240" s="2"/>
      <c r="R240"/>
      <c r="S240"/>
      <c r="V240"/>
    </row>
    <row r="241" spans="10:22" s="1" customFormat="1" x14ac:dyDescent="0.2">
      <c r="J241"/>
      <c r="K241"/>
      <c r="L241"/>
      <c r="M241"/>
      <c r="N241"/>
      <c r="O241" s="392"/>
      <c r="P241" s="2"/>
      <c r="R241"/>
      <c r="S241"/>
      <c r="V241"/>
    </row>
    <row r="242" spans="10:22" s="1" customFormat="1" x14ac:dyDescent="0.2">
      <c r="J242"/>
      <c r="K242"/>
      <c r="L242"/>
      <c r="M242"/>
      <c r="N242"/>
      <c r="O242" s="392"/>
      <c r="P242" s="2"/>
      <c r="R242"/>
      <c r="S242"/>
      <c r="V242"/>
    </row>
    <row r="243" spans="10:22" s="1" customFormat="1" x14ac:dyDescent="0.2">
      <c r="J243"/>
      <c r="K243"/>
      <c r="L243"/>
      <c r="M243"/>
      <c r="N243"/>
      <c r="O243" s="392"/>
      <c r="P243" s="2"/>
      <c r="R243"/>
      <c r="S243"/>
      <c r="V243"/>
    </row>
    <row r="244" spans="10:22" s="1" customFormat="1" x14ac:dyDescent="0.2">
      <c r="J244"/>
      <c r="K244"/>
      <c r="L244"/>
      <c r="M244"/>
      <c r="N244"/>
      <c r="O244" s="392"/>
      <c r="P244" s="2"/>
      <c r="R244"/>
      <c r="S244"/>
      <c r="V244"/>
    </row>
    <row r="245" spans="10:22" s="1" customFormat="1" x14ac:dyDescent="0.2">
      <c r="J245"/>
      <c r="K245"/>
      <c r="L245"/>
      <c r="M245"/>
      <c r="N245"/>
      <c r="O245" s="392"/>
      <c r="P245" s="2"/>
      <c r="R245"/>
      <c r="S245"/>
      <c r="V245"/>
    </row>
    <row r="246" spans="10:22" s="1" customFormat="1" x14ac:dyDescent="0.2">
      <c r="J246"/>
      <c r="K246"/>
      <c r="L246"/>
      <c r="M246"/>
      <c r="N246"/>
      <c r="O246" s="392"/>
      <c r="P246" s="2"/>
      <c r="R246"/>
      <c r="S246"/>
      <c r="V246"/>
    </row>
    <row r="247" spans="10:22" s="1" customFormat="1" x14ac:dyDescent="0.2">
      <c r="J247"/>
      <c r="K247"/>
      <c r="L247"/>
      <c r="M247"/>
      <c r="N247"/>
      <c r="O247" s="392"/>
      <c r="P247" s="2"/>
      <c r="R247"/>
      <c r="S247"/>
      <c r="V247"/>
    </row>
    <row r="248" spans="10:22" s="1" customFormat="1" x14ac:dyDescent="0.2">
      <c r="J248"/>
      <c r="K248"/>
      <c r="L248"/>
      <c r="M248"/>
      <c r="N248"/>
      <c r="O248" s="392"/>
      <c r="P248" s="2"/>
      <c r="R248"/>
      <c r="S248"/>
      <c r="V248"/>
    </row>
    <row r="249" spans="10:22" s="1" customFormat="1" x14ac:dyDescent="0.2">
      <c r="J249"/>
      <c r="K249"/>
      <c r="L249"/>
      <c r="M249"/>
      <c r="N249"/>
      <c r="O249" s="392"/>
      <c r="P249" s="2"/>
      <c r="R249"/>
      <c r="S249"/>
      <c r="V249"/>
    </row>
    <row r="250" spans="10:22" s="1" customFormat="1" x14ac:dyDescent="0.2">
      <c r="J250"/>
      <c r="K250"/>
      <c r="L250"/>
      <c r="M250"/>
      <c r="N250"/>
      <c r="O250" s="392"/>
      <c r="P250" s="2"/>
      <c r="R250"/>
      <c r="S250"/>
      <c r="V250"/>
    </row>
    <row r="251" spans="10:22" s="1" customFormat="1" x14ac:dyDescent="0.2">
      <c r="J251"/>
      <c r="K251"/>
      <c r="L251"/>
      <c r="M251"/>
      <c r="N251"/>
      <c r="O251" s="392"/>
      <c r="P251" s="2"/>
      <c r="R251"/>
      <c r="S251"/>
      <c r="V251"/>
    </row>
    <row r="252" spans="10:22" s="1" customFormat="1" x14ac:dyDescent="0.2">
      <c r="J252"/>
      <c r="K252"/>
      <c r="L252"/>
      <c r="M252"/>
      <c r="N252"/>
      <c r="O252" s="392"/>
      <c r="P252" s="2"/>
      <c r="R252"/>
      <c r="S252"/>
      <c r="V252"/>
    </row>
    <row r="253" spans="10:22" s="1" customFormat="1" x14ac:dyDescent="0.2">
      <c r="J253"/>
      <c r="K253"/>
      <c r="L253"/>
      <c r="M253"/>
      <c r="N253"/>
      <c r="O253" s="392"/>
      <c r="P253" s="2"/>
      <c r="R253"/>
      <c r="S253"/>
      <c r="V253"/>
    </row>
    <row r="254" spans="10:22" s="1" customFormat="1" x14ac:dyDescent="0.2">
      <c r="J254"/>
      <c r="K254"/>
      <c r="L254"/>
      <c r="M254"/>
      <c r="N254"/>
      <c r="O254" s="392"/>
      <c r="P254" s="2"/>
      <c r="R254"/>
      <c r="S254"/>
      <c r="V254"/>
    </row>
    <row r="255" spans="10:22" s="1" customFormat="1" x14ac:dyDescent="0.2">
      <c r="J255"/>
      <c r="K255"/>
      <c r="L255"/>
      <c r="M255"/>
      <c r="N255"/>
      <c r="O255" s="392"/>
      <c r="P255" s="2"/>
      <c r="R255"/>
      <c r="S255"/>
      <c r="V255"/>
    </row>
    <row r="256" spans="10:22" s="1" customFormat="1" x14ac:dyDescent="0.2">
      <c r="J256"/>
      <c r="K256"/>
      <c r="L256"/>
      <c r="M256"/>
      <c r="N256"/>
      <c r="O256" s="392"/>
      <c r="P256" s="2"/>
      <c r="R256"/>
      <c r="S256"/>
      <c r="V256"/>
    </row>
    <row r="257" spans="10:22" s="1" customFormat="1" x14ac:dyDescent="0.2">
      <c r="J257"/>
      <c r="K257"/>
      <c r="L257"/>
      <c r="M257"/>
      <c r="N257"/>
      <c r="O257" s="392"/>
      <c r="P257" s="2"/>
      <c r="R257"/>
      <c r="S257"/>
      <c r="V257"/>
    </row>
    <row r="258" spans="10:22" s="1" customFormat="1" x14ac:dyDescent="0.2">
      <c r="J258"/>
      <c r="K258"/>
      <c r="L258"/>
      <c r="M258"/>
      <c r="N258"/>
      <c r="O258" s="392"/>
      <c r="P258" s="2"/>
      <c r="R258"/>
      <c r="S258"/>
      <c r="V258"/>
    </row>
    <row r="259" spans="10:22" s="1" customFormat="1" x14ac:dyDescent="0.2">
      <c r="J259"/>
      <c r="K259"/>
      <c r="L259"/>
      <c r="M259"/>
      <c r="N259"/>
      <c r="O259" s="392"/>
      <c r="P259" s="2"/>
      <c r="R259"/>
      <c r="S259"/>
      <c r="V259"/>
    </row>
    <row r="260" spans="10:22" s="1" customFormat="1" x14ac:dyDescent="0.2">
      <c r="J260"/>
      <c r="K260"/>
      <c r="L260"/>
      <c r="M260"/>
      <c r="N260"/>
      <c r="O260" s="392"/>
      <c r="P260" s="2"/>
      <c r="R260"/>
      <c r="S260"/>
      <c r="V260"/>
    </row>
    <row r="261" spans="10:22" s="1" customFormat="1" x14ac:dyDescent="0.2">
      <c r="J261"/>
      <c r="K261"/>
      <c r="L261"/>
      <c r="M261"/>
      <c r="N261"/>
      <c r="O261" s="392"/>
      <c r="P261" s="2"/>
      <c r="R261"/>
      <c r="S261"/>
      <c r="V261"/>
    </row>
    <row r="262" spans="10:22" s="1" customFormat="1" x14ac:dyDescent="0.2">
      <c r="J262"/>
      <c r="K262"/>
      <c r="L262"/>
      <c r="M262"/>
      <c r="N262"/>
      <c r="O262" s="392"/>
      <c r="P262" s="2"/>
      <c r="R262"/>
      <c r="S262"/>
      <c r="V262"/>
    </row>
    <row r="263" spans="10:22" s="1" customFormat="1" x14ac:dyDescent="0.2">
      <c r="J263"/>
      <c r="K263"/>
      <c r="L263"/>
      <c r="M263"/>
      <c r="N263"/>
      <c r="O263" s="392"/>
      <c r="P263" s="2"/>
      <c r="R263"/>
      <c r="S263"/>
      <c r="V263"/>
    </row>
    <row r="264" spans="10:22" s="1" customFormat="1" x14ac:dyDescent="0.2">
      <c r="J264"/>
      <c r="K264"/>
      <c r="L264"/>
      <c r="M264"/>
      <c r="N264"/>
      <c r="O264" s="392"/>
      <c r="P264" s="2"/>
      <c r="R264"/>
      <c r="S264"/>
      <c r="V264"/>
    </row>
    <row r="265" spans="10:22" s="1" customFormat="1" x14ac:dyDescent="0.2">
      <c r="J265"/>
      <c r="K265"/>
      <c r="L265"/>
      <c r="M265"/>
      <c r="N265"/>
      <c r="O265" s="392"/>
      <c r="P265" s="2"/>
      <c r="R265"/>
      <c r="S265"/>
      <c r="V265"/>
    </row>
    <row r="266" spans="10:22" s="1" customFormat="1" x14ac:dyDescent="0.2">
      <c r="J266"/>
      <c r="K266"/>
      <c r="L266"/>
      <c r="M266"/>
      <c r="N266"/>
      <c r="O266" s="392"/>
      <c r="P266" s="2"/>
      <c r="R266"/>
      <c r="S266"/>
      <c r="V266"/>
    </row>
    <row r="267" spans="10:22" s="1" customFormat="1" x14ac:dyDescent="0.2">
      <c r="J267"/>
      <c r="K267"/>
      <c r="L267"/>
      <c r="M267"/>
      <c r="N267"/>
      <c r="O267" s="392"/>
      <c r="P267" s="2"/>
      <c r="R267"/>
      <c r="S267"/>
      <c r="V267"/>
    </row>
    <row r="268" spans="10:22" s="1" customFormat="1" x14ac:dyDescent="0.2">
      <c r="J268"/>
      <c r="K268"/>
      <c r="L268"/>
      <c r="M268"/>
      <c r="N268"/>
      <c r="O268" s="392"/>
      <c r="P268" s="2"/>
      <c r="R268"/>
      <c r="S268"/>
      <c r="V268"/>
    </row>
    <row r="269" spans="10:22" s="1" customFormat="1" x14ac:dyDescent="0.2">
      <c r="J269"/>
      <c r="K269"/>
      <c r="L269"/>
      <c r="M269"/>
      <c r="N269"/>
      <c r="O269" s="392"/>
      <c r="P269" s="2"/>
      <c r="R269"/>
      <c r="S269"/>
      <c r="V269"/>
    </row>
    <row r="270" spans="10:22" s="1" customFormat="1" x14ac:dyDescent="0.2">
      <c r="J270"/>
      <c r="K270"/>
      <c r="L270"/>
      <c r="M270"/>
      <c r="N270"/>
      <c r="O270" s="392"/>
      <c r="P270" s="2"/>
      <c r="R270"/>
      <c r="S270"/>
      <c r="V270"/>
    </row>
    <row r="271" spans="10:22" s="1" customFormat="1" x14ac:dyDescent="0.2">
      <c r="J271"/>
      <c r="K271"/>
      <c r="L271"/>
      <c r="M271"/>
      <c r="N271"/>
      <c r="O271" s="392"/>
      <c r="P271" s="2"/>
      <c r="R271"/>
      <c r="S271"/>
      <c r="V271"/>
    </row>
    <row r="272" spans="10:22" s="1" customFormat="1" x14ac:dyDescent="0.2">
      <c r="J272"/>
      <c r="K272"/>
      <c r="L272"/>
      <c r="M272"/>
      <c r="N272"/>
      <c r="O272" s="392"/>
      <c r="P272" s="2"/>
      <c r="R272"/>
      <c r="S272"/>
      <c r="V272"/>
    </row>
    <row r="273" spans="10:22" s="1" customFormat="1" x14ac:dyDescent="0.2">
      <c r="J273"/>
      <c r="K273"/>
      <c r="L273"/>
      <c r="M273"/>
      <c r="N273"/>
      <c r="O273" s="392"/>
      <c r="P273" s="2"/>
      <c r="R273"/>
      <c r="S273"/>
      <c r="V273"/>
    </row>
    <row r="274" spans="10:22" s="1" customFormat="1" x14ac:dyDescent="0.2">
      <c r="J274"/>
      <c r="K274"/>
      <c r="L274"/>
      <c r="M274"/>
      <c r="N274"/>
      <c r="O274" s="392"/>
      <c r="P274" s="2"/>
      <c r="R274"/>
      <c r="S274"/>
      <c r="V274"/>
    </row>
    <row r="275" spans="10:22" s="1" customFormat="1" x14ac:dyDescent="0.2">
      <c r="J275"/>
      <c r="K275"/>
      <c r="L275"/>
      <c r="M275"/>
      <c r="N275"/>
      <c r="O275" s="392"/>
      <c r="P275" s="2"/>
      <c r="R275"/>
      <c r="S275"/>
      <c r="V275"/>
    </row>
    <row r="276" spans="10:22" s="1" customFormat="1" x14ac:dyDescent="0.2">
      <c r="J276"/>
      <c r="K276"/>
      <c r="L276"/>
      <c r="M276"/>
      <c r="N276"/>
      <c r="O276" s="392"/>
      <c r="P276" s="2"/>
      <c r="R276"/>
      <c r="S276"/>
      <c r="V276"/>
    </row>
    <row r="277" spans="10:22" s="1" customFormat="1" x14ac:dyDescent="0.2">
      <c r="J277"/>
      <c r="K277"/>
      <c r="L277"/>
      <c r="M277"/>
      <c r="N277"/>
      <c r="O277" s="392"/>
      <c r="P277" s="2"/>
      <c r="R277"/>
      <c r="S277"/>
      <c r="V277"/>
    </row>
    <row r="278" spans="10:22" s="1" customFormat="1" x14ac:dyDescent="0.2">
      <c r="J278"/>
      <c r="K278"/>
      <c r="L278"/>
      <c r="M278"/>
      <c r="N278"/>
      <c r="O278" s="392"/>
      <c r="P278" s="2"/>
      <c r="R278"/>
      <c r="S278"/>
      <c r="V278"/>
    </row>
    <row r="279" spans="10:22" s="1" customFormat="1" x14ac:dyDescent="0.2">
      <c r="J279"/>
      <c r="K279"/>
      <c r="L279"/>
      <c r="M279"/>
      <c r="N279"/>
      <c r="O279" s="392"/>
      <c r="P279" s="2"/>
      <c r="R279"/>
      <c r="S279"/>
      <c r="V279"/>
    </row>
    <row r="280" spans="10:22" s="1" customFormat="1" x14ac:dyDescent="0.2">
      <c r="J280"/>
      <c r="K280"/>
      <c r="L280"/>
      <c r="M280"/>
      <c r="N280"/>
      <c r="O280" s="392"/>
      <c r="P280" s="2"/>
      <c r="R280"/>
      <c r="S280"/>
      <c r="V280"/>
    </row>
    <row r="281" spans="10:22" s="1" customFormat="1" x14ac:dyDescent="0.2">
      <c r="J281"/>
      <c r="K281"/>
      <c r="L281"/>
      <c r="M281"/>
      <c r="N281"/>
      <c r="O281" s="392"/>
      <c r="P281" s="2"/>
      <c r="R281"/>
      <c r="S281"/>
      <c r="V281"/>
    </row>
    <row r="282" spans="10:22" s="1" customFormat="1" x14ac:dyDescent="0.2">
      <c r="J282"/>
      <c r="K282"/>
      <c r="L282"/>
      <c r="M282"/>
      <c r="N282"/>
      <c r="O282" s="392"/>
      <c r="P282" s="2"/>
      <c r="R282"/>
      <c r="S282"/>
      <c r="V282"/>
    </row>
    <row r="283" spans="10:22" s="1" customFormat="1" x14ac:dyDescent="0.2">
      <c r="J283"/>
      <c r="K283"/>
      <c r="L283"/>
      <c r="M283"/>
      <c r="N283"/>
      <c r="O283" s="392"/>
      <c r="P283" s="2"/>
      <c r="R283"/>
      <c r="S283"/>
      <c r="V283"/>
    </row>
    <row r="284" spans="10:22" s="1" customFormat="1" x14ac:dyDescent="0.2">
      <c r="J284"/>
      <c r="K284"/>
      <c r="L284"/>
      <c r="M284"/>
      <c r="N284"/>
      <c r="O284" s="392"/>
      <c r="P284" s="2"/>
      <c r="R284"/>
      <c r="S284"/>
      <c r="V284"/>
    </row>
    <row r="285" spans="10:22" s="1" customFormat="1" x14ac:dyDescent="0.2">
      <c r="J285"/>
      <c r="K285"/>
      <c r="L285"/>
      <c r="M285"/>
      <c r="N285"/>
      <c r="O285" s="392"/>
      <c r="P285" s="2"/>
      <c r="R285"/>
      <c r="S285"/>
      <c r="V285"/>
    </row>
    <row r="286" spans="10:22" s="1" customFormat="1" x14ac:dyDescent="0.2">
      <c r="J286"/>
      <c r="K286"/>
      <c r="L286"/>
      <c r="M286"/>
      <c r="N286"/>
      <c r="O286" s="392"/>
      <c r="P286" s="2"/>
      <c r="R286"/>
      <c r="S286"/>
      <c r="V286"/>
    </row>
    <row r="287" spans="10:22" s="1" customFormat="1" x14ac:dyDescent="0.2">
      <c r="J287"/>
      <c r="K287"/>
      <c r="L287"/>
      <c r="M287"/>
      <c r="N287"/>
      <c r="O287" s="392"/>
      <c r="P287" s="2"/>
      <c r="R287"/>
      <c r="S287"/>
      <c r="V287"/>
    </row>
    <row r="288" spans="10:22" s="1" customFormat="1" x14ac:dyDescent="0.2">
      <c r="J288"/>
      <c r="K288"/>
      <c r="L288"/>
      <c r="M288"/>
      <c r="N288"/>
      <c r="O288" s="392"/>
      <c r="P288" s="2"/>
      <c r="R288"/>
      <c r="S288"/>
      <c r="V288"/>
    </row>
    <row r="289" spans="10:22" s="1" customFormat="1" x14ac:dyDescent="0.2">
      <c r="J289"/>
      <c r="K289"/>
      <c r="L289"/>
      <c r="M289"/>
      <c r="N289"/>
      <c r="O289" s="392"/>
      <c r="P289" s="2"/>
      <c r="R289"/>
      <c r="S289"/>
      <c r="V289"/>
    </row>
    <row r="290" spans="10:22" s="1" customFormat="1" x14ac:dyDescent="0.2">
      <c r="J290"/>
      <c r="K290"/>
      <c r="L290"/>
      <c r="M290"/>
      <c r="N290"/>
      <c r="O290" s="392"/>
      <c r="P290" s="2"/>
      <c r="R290"/>
      <c r="S290"/>
      <c r="V290"/>
    </row>
    <row r="291" spans="10:22" s="1" customFormat="1" x14ac:dyDescent="0.2">
      <c r="J291"/>
      <c r="K291"/>
      <c r="L291"/>
      <c r="M291"/>
      <c r="N291"/>
      <c r="O291" s="392"/>
      <c r="P291" s="2"/>
      <c r="R291"/>
      <c r="S291"/>
      <c r="V291"/>
    </row>
    <row r="292" spans="10:22" s="1" customFormat="1" x14ac:dyDescent="0.2">
      <c r="J292"/>
      <c r="K292"/>
      <c r="L292"/>
      <c r="M292"/>
      <c r="N292"/>
      <c r="O292" s="392"/>
      <c r="P292" s="2"/>
      <c r="R292"/>
      <c r="S292"/>
      <c r="V292"/>
    </row>
    <row r="293" spans="10:22" s="1" customFormat="1" x14ac:dyDescent="0.2">
      <c r="J293"/>
      <c r="K293"/>
      <c r="L293"/>
      <c r="M293"/>
      <c r="N293"/>
      <c r="O293" s="392"/>
      <c r="P293" s="2"/>
      <c r="R293"/>
      <c r="S293"/>
      <c r="V293"/>
    </row>
    <row r="294" spans="10:22" s="1" customFormat="1" x14ac:dyDescent="0.2">
      <c r="J294"/>
      <c r="K294"/>
      <c r="L294"/>
      <c r="M294"/>
      <c r="N294"/>
      <c r="O294" s="392"/>
      <c r="P294" s="2"/>
      <c r="R294"/>
      <c r="S294"/>
      <c r="V294"/>
    </row>
    <row r="295" spans="10:22" s="1" customFormat="1" x14ac:dyDescent="0.2">
      <c r="J295"/>
      <c r="K295"/>
      <c r="L295"/>
      <c r="M295"/>
      <c r="N295"/>
      <c r="O295" s="392"/>
      <c r="P295" s="2"/>
      <c r="R295"/>
      <c r="S295"/>
      <c r="V295"/>
    </row>
    <row r="296" spans="10:22" s="1" customFormat="1" x14ac:dyDescent="0.2">
      <c r="J296"/>
      <c r="K296"/>
      <c r="L296"/>
      <c r="M296"/>
      <c r="N296"/>
      <c r="O296" s="392"/>
      <c r="P296" s="2"/>
      <c r="R296"/>
      <c r="S296"/>
      <c r="V296"/>
    </row>
    <row r="297" spans="10:22" s="1" customFormat="1" x14ac:dyDescent="0.2">
      <c r="J297"/>
      <c r="K297"/>
      <c r="L297"/>
      <c r="M297"/>
      <c r="N297"/>
      <c r="O297" s="392"/>
      <c r="P297" s="2"/>
      <c r="R297"/>
      <c r="S297"/>
      <c r="V297"/>
    </row>
    <row r="298" spans="10:22" s="1" customFormat="1" x14ac:dyDescent="0.2">
      <c r="J298"/>
      <c r="K298"/>
      <c r="L298"/>
      <c r="M298"/>
      <c r="N298"/>
      <c r="O298" s="392"/>
      <c r="P298" s="2"/>
      <c r="R298"/>
      <c r="S298"/>
      <c r="V298"/>
    </row>
    <row r="299" spans="10:22" s="1" customFormat="1" x14ac:dyDescent="0.2">
      <c r="J299"/>
      <c r="K299"/>
      <c r="L299"/>
      <c r="M299"/>
      <c r="N299"/>
      <c r="O299" s="392"/>
      <c r="P299" s="2"/>
      <c r="R299"/>
      <c r="S299"/>
      <c r="V299"/>
    </row>
    <row r="300" spans="10:22" s="1" customFormat="1" x14ac:dyDescent="0.2">
      <c r="J300"/>
      <c r="K300"/>
      <c r="L300"/>
      <c r="M300"/>
      <c r="N300"/>
      <c r="O300" s="392"/>
      <c r="P300" s="2"/>
      <c r="R300"/>
      <c r="S300"/>
      <c r="V300"/>
    </row>
    <row r="301" spans="10:22" s="1" customFormat="1" x14ac:dyDescent="0.2">
      <c r="J301"/>
      <c r="K301"/>
      <c r="L301"/>
      <c r="M301"/>
      <c r="N301"/>
      <c r="O301" s="392"/>
      <c r="P301" s="2"/>
      <c r="R301"/>
      <c r="S301"/>
      <c r="V301"/>
    </row>
    <row r="302" spans="10:22" s="1" customFormat="1" x14ac:dyDescent="0.2">
      <c r="J302"/>
      <c r="K302"/>
      <c r="L302"/>
      <c r="M302"/>
      <c r="N302"/>
      <c r="O302" s="392"/>
      <c r="P302" s="2"/>
      <c r="R302"/>
      <c r="S302"/>
      <c r="V302"/>
    </row>
    <row r="303" spans="10:22" s="1" customFormat="1" x14ac:dyDescent="0.2">
      <c r="J303"/>
      <c r="K303"/>
      <c r="L303"/>
      <c r="M303"/>
      <c r="N303"/>
      <c r="O303" s="392"/>
      <c r="P303" s="2"/>
      <c r="R303"/>
      <c r="S303"/>
      <c r="V303"/>
    </row>
    <row r="304" spans="10:22" s="1" customFormat="1" x14ac:dyDescent="0.2">
      <c r="J304"/>
      <c r="K304"/>
      <c r="L304"/>
      <c r="M304"/>
      <c r="N304"/>
      <c r="O304" s="392"/>
      <c r="P304" s="2"/>
      <c r="R304"/>
      <c r="S304"/>
      <c r="V304"/>
    </row>
    <row r="305" spans="10:22" s="1" customFormat="1" x14ac:dyDescent="0.2">
      <c r="J305"/>
      <c r="K305"/>
      <c r="L305"/>
      <c r="M305"/>
      <c r="N305"/>
      <c r="O305" s="392"/>
      <c r="P305" s="2"/>
      <c r="R305"/>
      <c r="S305"/>
      <c r="V305"/>
    </row>
    <row r="306" spans="10:22" s="1" customFormat="1" x14ac:dyDescent="0.2">
      <c r="J306"/>
      <c r="K306"/>
      <c r="L306"/>
      <c r="M306"/>
      <c r="N306"/>
      <c r="O306" s="392"/>
      <c r="P306" s="2"/>
      <c r="R306"/>
      <c r="S306"/>
      <c r="V306"/>
    </row>
    <row r="307" spans="10:22" s="1" customFormat="1" x14ac:dyDescent="0.2">
      <c r="J307"/>
      <c r="K307"/>
      <c r="L307"/>
      <c r="M307"/>
      <c r="N307"/>
      <c r="O307" s="392"/>
      <c r="P307" s="2"/>
      <c r="R307"/>
      <c r="S307"/>
      <c r="V307"/>
    </row>
    <row r="308" spans="10:22" s="1" customFormat="1" x14ac:dyDescent="0.2">
      <c r="J308"/>
      <c r="K308"/>
      <c r="L308"/>
      <c r="M308"/>
      <c r="N308"/>
      <c r="O308" s="392"/>
      <c r="P308" s="2"/>
      <c r="R308"/>
      <c r="S308"/>
      <c r="V308"/>
    </row>
    <row r="309" spans="10:22" s="1" customFormat="1" x14ac:dyDescent="0.2">
      <c r="J309"/>
      <c r="K309"/>
      <c r="L309"/>
      <c r="M309"/>
      <c r="N309"/>
      <c r="O309" s="392"/>
      <c r="P309" s="2"/>
      <c r="R309"/>
      <c r="S309"/>
      <c r="V309"/>
    </row>
    <row r="310" spans="10:22" s="1" customFormat="1" x14ac:dyDescent="0.2">
      <c r="J310"/>
      <c r="K310"/>
      <c r="L310"/>
      <c r="M310"/>
      <c r="N310"/>
      <c r="O310" s="392"/>
      <c r="P310" s="2"/>
      <c r="R310"/>
      <c r="S310"/>
      <c r="V310"/>
    </row>
    <row r="311" spans="10:22" s="1" customFormat="1" x14ac:dyDescent="0.2">
      <c r="J311"/>
      <c r="K311"/>
      <c r="L311"/>
      <c r="M311"/>
      <c r="N311"/>
      <c r="O311" s="392"/>
      <c r="P311" s="2"/>
      <c r="R311"/>
      <c r="S311"/>
      <c r="V311"/>
    </row>
    <row r="312" spans="10:22" s="1" customFormat="1" x14ac:dyDescent="0.2">
      <c r="J312"/>
      <c r="K312"/>
      <c r="L312"/>
      <c r="M312"/>
      <c r="N312"/>
      <c r="O312" s="392"/>
      <c r="P312" s="2"/>
      <c r="R312"/>
      <c r="S312"/>
      <c r="V312"/>
    </row>
    <row r="313" spans="10:22" s="1" customFormat="1" x14ac:dyDescent="0.2">
      <c r="J313"/>
      <c r="K313"/>
      <c r="L313"/>
      <c r="M313"/>
      <c r="N313"/>
      <c r="O313" s="392"/>
      <c r="P313" s="2"/>
      <c r="R313"/>
      <c r="S313"/>
      <c r="V313"/>
    </row>
    <row r="314" spans="10:22" s="1" customFormat="1" x14ac:dyDescent="0.2">
      <c r="J314"/>
      <c r="K314"/>
      <c r="L314"/>
      <c r="M314"/>
      <c r="N314"/>
      <c r="O314" s="392"/>
      <c r="P314" s="2"/>
      <c r="R314"/>
      <c r="S314"/>
      <c r="V314"/>
    </row>
    <row r="315" spans="10:22" s="1" customFormat="1" x14ac:dyDescent="0.2">
      <c r="J315"/>
      <c r="K315"/>
      <c r="L315"/>
      <c r="M315"/>
      <c r="N315"/>
      <c r="O315" s="392"/>
      <c r="P315" s="2"/>
      <c r="R315"/>
      <c r="S315"/>
      <c r="V315"/>
    </row>
    <row r="316" spans="10:22" s="1" customFormat="1" x14ac:dyDescent="0.2">
      <c r="J316"/>
      <c r="K316"/>
      <c r="L316"/>
      <c r="M316"/>
      <c r="N316"/>
      <c r="O316" s="392"/>
      <c r="P316" s="2"/>
      <c r="R316"/>
      <c r="S316"/>
      <c r="V316"/>
    </row>
    <row r="317" spans="10:22" s="1" customFormat="1" x14ac:dyDescent="0.2">
      <c r="J317"/>
      <c r="K317"/>
      <c r="L317"/>
      <c r="M317"/>
      <c r="N317"/>
      <c r="O317" s="392"/>
      <c r="P317" s="2"/>
      <c r="R317"/>
      <c r="S317"/>
      <c r="V317"/>
    </row>
    <row r="318" spans="10:22" s="1" customFormat="1" x14ac:dyDescent="0.2">
      <c r="J318"/>
      <c r="K318"/>
      <c r="L318"/>
      <c r="M318"/>
      <c r="N318"/>
      <c r="O318" s="392"/>
      <c r="P318" s="2"/>
      <c r="R318"/>
      <c r="S318"/>
      <c r="V318"/>
    </row>
    <row r="319" spans="10:22" s="1" customFormat="1" x14ac:dyDescent="0.2">
      <c r="J319"/>
      <c r="K319"/>
      <c r="L319"/>
      <c r="M319"/>
      <c r="N319"/>
      <c r="O319" s="392"/>
      <c r="P319" s="2"/>
      <c r="R319"/>
      <c r="S319"/>
      <c r="V319"/>
    </row>
    <row r="320" spans="10:22" s="1" customFormat="1" x14ac:dyDescent="0.2">
      <c r="J320"/>
      <c r="K320"/>
      <c r="L320"/>
      <c r="M320"/>
      <c r="N320"/>
      <c r="O320" s="392"/>
      <c r="P320" s="2"/>
      <c r="R320"/>
      <c r="S320"/>
      <c r="V320"/>
    </row>
    <row r="321" spans="10:22" s="1" customFormat="1" x14ac:dyDescent="0.2">
      <c r="J321"/>
      <c r="K321"/>
      <c r="L321"/>
      <c r="M321"/>
      <c r="N321"/>
      <c r="O321" s="392"/>
      <c r="P321" s="2"/>
      <c r="R321"/>
      <c r="S321"/>
      <c r="V321"/>
    </row>
    <row r="322" spans="10:22" s="1" customFormat="1" x14ac:dyDescent="0.2">
      <c r="J322"/>
      <c r="K322"/>
      <c r="L322"/>
      <c r="M322"/>
      <c r="N322"/>
      <c r="O322" s="392"/>
      <c r="P322" s="2"/>
      <c r="R322"/>
      <c r="S322"/>
      <c r="V322"/>
    </row>
    <row r="323" spans="10:22" s="1" customFormat="1" x14ac:dyDescent="0.2">
      <c r="J323"/>
      <c r="K323"/>
      <c r="L323"/>
      <c r="M323"/>
      <c r="N323"/>
      <c r="O323" s="392"/>
      <c r="P323" s="2"/>
      <c r="R323"/>
      <c r="S323"/>
      <c r="V323"/>
    </row>
    <row r="324" spans="10:22" s="1" customFormat="1" x14ac:dyDescent="0.2">
      <c r="J324"/>
      <c r="K324"/>
      <c r="L324"/>
      <c r="M324"/>
      <c r="N324"/>
      <c r="O324" s="392"/>
      <c r="P324" s="2"/>
      <c r="R324"/>
      <c r="S324"/>
      <c r="V324"/>
    </row>
    <row r="325" spans="10:22" s="1" customFormat="1" x14ac:dyDescent="0.2">
      <c r="J325"/>
      <c r="K325"/>
      <c r="L325"/>
      <c r="M325"/>
      <c r="N325"/>
      <c r="O325" s="392"/>
      <c r="P325" s="2"/>
      <c r="R325"/>
      <c r="S325"/>
      <c r="V325"/>
    </row>
    <row r="326" spans="10:22" s="1" customFormat="1" x14ac:dyDescent="0.2">
      <c r="J326"/>
      <c r="K326"/>
      <c r="L326"/>
      <c r="M326"/>
      <c r="N326"/>
      <c r="O326" s="392"/>
      <c r="P326" s="2"/>
      <c r="R326"/>
      <c r="S326"/>
      <c r="V326"/>
    </row>
    <row r="327" spans="10:22" s="1" customFormat="1" x14ac:dyDescent="0.2">
      <c r="J327"/>
      <c r="K327"/>
      <c r="L327"/>
      <c r="M327"/>
      <c r="N327"/>
      <c r="O327" s="392"/>
      <c r="P327" s="2"/>
      <c r="R327"/>
      <c r="S327"/>
      <c r="V327"/>
    </row>
    <row r="328" spans="10:22" s="1" customFormat="1" x14ac:dyDescent="0.2">
      <c r="J328"/>
      <c r="K328"/>
      <c r="L328"/>
      <c r="M328"/>
      <c r="N328"/>
      <c r="O328" s="392"/>
      <c r="P328" s="2"/>
      <c r="R328"/>
      <c r="S328"/>
      <c r="V328"/>
    </row>
    <row r="329" spans="10:22" s="1" customFormat="1" x14ac:dyDescent="0.2">
      <c r="J329"/>
      <c r="K329"/>
      <c r="L329"/>
      <c r="M329"/>
      <c r="N329"/>
      <c r="O329" s="392"/>
      <c r="P329" s="2"/>
      <c r="R329"/>
      <c r="S329"/>
      <c r="V329"/>
    </row>
    <row r="330" spans="10:22" s="1" customFormat="1" x14ac:dyDescent="0.2">
      <c r="J330"/>
      <c r="K330"/>
      <c r="L330"/>
      <c r="M330"/>
      <c r="N330"/>
      <c r="O330" s="392"/>
      <c r="P330" s="2"/>
      <c r="R330"/>
      <c r="S330"/>
      <c r="V330"/>
    </row>
    <row r="331" spans="10:22" s="1" customFormat="1" x14ac:dyDescent="0.2">
      <c r="J331"/>
      <c r="K331"/>
      <c r="L331"/>
      <c r="M331"/>
      <c r="N331"/>
      <c r="O331" s="392"/>
      <c r="P331" s="2"/>
      <c r="R331"/>
      <c r="S331"/>
      <c r="V331"/>
    </row>
    <row r="332" spans="10:22" s="1" customFormat="1" x14ac:dyDescent="0.2">
      <c r="J332"/>
      <c r="K332"/>
      <c r="L332"/>
      <c r="M332"/>
      <c r="N332"/>
      <c r="O332" s="392"/>
      <c r="P332" s="2"/>
      <c r="R332"/>
      <c r="S332"/>
      <c r="V332"/>
    </row>
    <row r="333" spans="10:22" s="1" customFormat="1" x14ac:dyDescent="0.2">
      <c r="J333"/>
      <c r="K333"/>
      <c r="L333"/>
      <c r="M333"/>
      <c r="N333"/>
      <c r="O333" s="392"/>
      <c r="P333" s="2"/>
      <c r="R333"/>
      <c r="S333"/>
      <c r="V333"/>
    </row>
    <row r="334" spans="10:22" s="1" customFormat="1" x14ac:dyDescent="0.2">
      <c r="J334"/>
      <c r="K334"/>
      <c r="L334"/>
      <c r="M334"/>
      <c r="N334"/>
      <c r="O334" s="392"/>
      <c r="P334" s="2"/>
      <c r="R334"/>
      <c r="S334"/>
      <c r="V334"/>
    </row>
    <row r="335" spans="10:22" s="1" customFormat="1" x14ac:dyDescent="0.2">
      <c r="J335"/>
      <c r="K335"/>
      <c r="L335"/>
      <c r="M335"/>
      <c r="N335"/>
      <c r="O335" s="392"/>
      <c r="P335" s="2"/>
      <c r="R335"/>
      <c r="S335"/>
      <c r="V335"/>
    </row>
    <row r="336" spans="10:22" s="1" customFormat="1" x14ac:dyDescent="0.2">
      <c r="J336"/>
      <c r="K336"/>
      <c r="L336"/>
      <c r="M336"/>
      <c r="N336"/>
      <c r="O336" s="392"/>
      <c r="P336" s="2"/>
      <c r="R336"/>
      <c r="S336"/>
      <c r="V336"/>
    </row>
    <row r="337" spans="10:22" s="1" customFormat="1" x14ac:dyDescent="0.2">
      <c r="J337"/>
      <c r="K337"/>
      <c r="L337"/>
      <c r="M337"/>
      <c r="N337"/>
      <c r="O337" s="392"/>
      <c r="P337" s="2"/>
      <c r="R337"/>
      <c r="S337"/>
      <c r="V337"/>
    </row>
    <row r="338" spans="10:22" s="1" customFormat="1" x14ac:dyDescent="0.2">
      <c r="J338"/>
      <c r="K338"/>
      <c r="L338"/>
      <c r="M338"/>
      <c r="N338"/>
      <c r="O338" s="392"/>
      <c r="P338" s="2"/>
      <c r="R338"/>
      <c r="S338"/>
      <c r="V338"/>
    </row>
    <row r="339" spans="10:22" s="1" customFormat="1" x14ac:dyDescent="0.2">
      <c r="J339"/>
      <c r="K339"/>
      <c r="L339"/>
      <c r="M339"/>
      <c r="N339"/>
      <c r="O339" s="392"/>
      <c r="P339" s="2"/>
      <c r="R339"/>
      <c r="S339"/>
      <c r="V339"/>
    </row>
    <row r="340" spans="10:22" s="1" customFormat="1" x14ac:dyDescent="0.2">
      <c r="J340"/>
      <c r="K340"/>
      <c r="L340"/>
      <c r="M340"/>
      <c r="N340"/>
      <c r="O340" s="392"/>
      <c r="P340" s="2"/>
      <c r="R340"/>
      <c r="S340"/>
      <c r="V340"/>
    </row>
    <row r="341" spans="10:22" s="1" customFormat="1" x14ac:dyDescent="0.2">
      <c r="J341"/>
      <c r="K341"/>
      <c r="L341"/>
      <c r="M341"/>
      <c r="N341"/>
      <c r="O341" s="392"/>
      <c r="P341" s="2"/>
      <c r="R341"/>
      <c r="S341"/>
      <c r="V341"/>
    </row>
    <row r="342" spans="10:22" s="1" customFormat="1" x14ac:dyDescent="0.2">
      <c r="J342"/>
      <c r="K342"/>
      <c r="L342"/>
      <c r="M342"/>
      <c r="N342"/>
      <c r="O342" s="392"/>
      <c r="P342" s="2"/>
      <c r="R342"/>
      <c r="S342"/>
      <c r="V342"/>
    </row>
    <row r="343" spans="10:22" s="1" customFormat="1" x14ac:dyDescent="0.2">
      <c r="J343"/>
      <c r="K343"/>
      <c r="L343"/>
      <c r="M343"/>
      <c r="N343"/>
      <c r="O343" s="392"/>
      <c r="P343" s="2"/>
      <c r="R343"/>
      <c r="S343"/>
      <c r="V343"/>
    </row>
    <row r="344" spans="10:22" s="1" customFormat="1" x14ac:dyDescent="0.2">
      <c r="J344"/>
      <c r="K344"/>
      <c r="L344"/>
      <c r="M344"/>
      <c r="N344"/>
      <c r="O344" s="392"/>
      <c r="P344" s="2"/>
      <c r="R344"/>
      <c r="S344"/>
      <c r="V344"/>
    </row>
    <row r="345" spans="10:22" s="1" customFormat="1" x14ac:dyDescent="0.2">
      <c r="J345"/>
      <c r="K345"/>
      <c r="L345"/>
      <c r="M345"/>
      <c r="N345"/>
      <c r="O345" s="392"/>
      <c r="P345" s="2"/>
      <c r="R345"/>
      <c r="S345"/>
      <c r="V345"/>
    </row>
    <row r="346" spans="10:22" s="1" customFormat="1" x14ac:dyDescent="0.2">
      <c r="J346"/>
      <c r="K346"/>
      <c r="L346"/>
      <c r="M346"/>
      <c r="N346"/>
      <c r="O346" s="392"/>
      <c r="P346" s="2"/>
      <c r="R346"/>
      <c r="S346"/>
      <c r="V346"/>
    </row>
    <row r="347" spans="10:22" s="1" customFormat="1" x14ac:dyDescent="0.2">
      <c r="J347"/>
      <c r="K347"/>
      <c r="L347"/>
      <c r="M347"/>
      <c r="N347"/>
      <c r="O347" s="392"/>
      <c r="P347" s="2"/>
      <c r="R347"/>
      <c r="S347"/>
      <c r="V347"/>
    </row>
    <row r="348" spans="10:22" s="1" customFormat="1" x14ac:dyDescent="0.2">
      <c r="J348"/>
      <c r="K348"/>
      <c r="L348"/>
      <c r="M348"/>
      <c r="N348"/>
      <c r="O348" s="392"/>
      <c r="P348" s="2"/>
      <c r="R348"/>
      <c r="S348"/>
      <c r="V348"/>
    </row>
    <row r="349" spans="10:22" s="1" customFormat="1" x14ac:dyDescent="0.2">
      <c r="J349"/>
      <c r="K349"/>
      <c r="L349"/>
      <c r="M349"/>
      <c r="N349"/>
      <c r="O349" s="392"/>
      <c r="P349" s="2"/>
      <c r="R349"/>
      <c r="S349"/>
      <c r="V349"/>
    </row>
    <row r="350" spans="10:22" s="1" customFormat="1" x14ac:dyDescent="0.2">
      <c r="J350"/>
      <c r="K350"/>
      <c r="L350"/>
      <c r="M350"/>
      <c r="N350"/>
      <c r="O350" s="392"/>
      <c r="P350" s="2"/>
      <c r="R350"/>
      <c r="S350"/>
      <c r="V350"/>
    </row>
    <row r="351" spans="10:22" s="1" customFormat="1" x14ac:dyDescent="0.2">
      <c r="J351"/>
      <c r="K351"/>
      <c r="L351"/>
      <c r="M351"/>
      <c r="N351"/>
      <c r="O351" s="392"/>
      <c r="P351" s="2"/>
      <c r="R351"/>
      <c r="S351"/>
      <c r="V351"/>
    </row>
    <row r="352" spans="10:22" s="1" customFormat="1" x14ac:dyDescent="0.2">
      <c r="J352"/>
      <c r="K352"/>
      <c r="L352"/>
      <c r="M352"/>
      <c r="N352"/>
      <c r="O352" s="392"/>
      <c r="P352" s="2"/>
      <c r="R352"/>
      <c r="S352"/>
      <c r="V352"/>
    </row>
    <row r="353" spans="10:22" s="1" customFormat="1" x14ac:dyDescent="0.2">
      <c r="J353"/>
      <c r="K353"/>
      <c r="L353"/>
      <c r="M353"/>
      <c r="N353"/>
      <c r="O353" s="392"/>
      <c r="P353" s="2"/>
      <c r="R353"/>
      <c r="S353"/>
      <c r="V353"/>
    </row>
    <row r="354" spans="10:22" s="1" customFormat="1" x14ac:dyDescent="0.2">
      <c r="J354"/>
      <c r="K354"/>
      <c r="L354"/>
      <c r="M354"/>
      <c r="N354"/>
      <c r="O354" s="392"/>
      <c r="P354" s="2"/>
      <c r="R354"/>
      <c r="S354"/>
      <c r="V354"/>
    </row>
    <row r="355" spans="10:22" s="1" customFormat="1" x14ac:dyDescent="0.2">
      <c r="J355"/>
      <c r="K355"/>
      <c r="L355"/>
      <c r="M355"/>
      <c r="N355"/>
      <c r="O355" s="392"/>
      <c r="P355" s="2"/>
      <c r="R355"/>
      <c r="S355"/>
      <c r="V355"/>
    </row>
    <row r="356" spans="10:22" s="1" customFormat="1" x14ac:dyDescent="0.2">
      <c r="J356"/>
      <c r="K356"/>
      <c r="L356"/>
      <c r="M356"/>
      <c r="N356"/>
      <c r="O356" s="392"/>
      <c r="P356" s="2"/>
      <c r="R356"/>
      <c r="S356"/>
      <c r="V356"/>
    </row>
    <row r="357" spans="10:22" s="1" customFormat="1" x14ac:dyDescent="0.2">
      <c r="J357"/>
      <c r="K357"/>
      <c r="L357"/>
      <c r="M357"/>
      <c r="N357"/>
      <c r="O357" s="392"/>
      <c r="P357" s="2"/>
      <c r="R357"/>
      <c r="S357"/>
      <c r="V357"/>
    </row>
    <row r="358" spans="10:22" s="1" customFormat="1" x14ac:dyDescent="0.2">
      <c r="J358"/>
      <c r="K358"/>
      <c r="L358"/>
      <c r="M358"/>
      <c r="N358"/>
      <c r="O358" s="392"/>
      <c r="P358" s="2"/>
      <c r="R358"/>
      <c r="S358"/>
      <c r="V358"/>
    </row>
    <row r="359" spans="10:22" s="1" customFormat="1" x14ac:dyDescent="0.2">
      <c r="J359"/>
      <c r="K359"/>
      <c r="L359"/>
      <c r="M359"/>
      <c r="N359"/>
      <c r="O359" s="392"/>
      <c r="P359" s="2"/>
      <c r="R359"/>
      <c r="S359"/>
      <c r="V359"/>
    </row>
    <row r="360" spans="10:22" s="1" customFormat="1" x14ac:dyDescent="0.2">
      <c r="J360"/>
      <c r="K360"/>
      <c r="L360"/>
      <c r="M360"/>
      <c r="N360"/>
      <c r="O360" s="392"/>
      <c r="P360" s="2"/>
      <c r="R360"/>
      <c r="S360"/>
      <c r="V360"/>
    </row>
    <row r="361" spans="10:22" s="1" customFormat="1" x14ac:dyDescent="0.2">
      <c r="J361"/>
      <c r="K361"/>
      <c r="L361"/>
      <c r="M361"/>
      <c r="N361"/>
      <c r="O361" s="392"/>
      <c r="P361" s="2"/>
      <c r="R361"/>
      <c r="S361"/>
      <c r="V361"/>
    </row>
    <row r="362" spans="10:22" s="1" customFormat="1" x14ac:dyDescent="0.2">
      <c r="J362"/>
      <c r="K362"/>
      <c r="L362"/>
      <c r="M362"/>
      <c r="N362"/>
      <c r="O362" s="392"/>
      <c r="P362" s="2"/>
      <c r="R362"/>
      <c r="S362"/>
      <c r="V362"/>
    </row>
    <row r="363" spans="10:22" s="1" customFormat="1" x14ac:dyDescent="0.2">
      <c r="J363"/>
      <c r="K363"/>
      <c r="L363"/>
      <c r="M363"/>
      <c r="N363"/>
      <c r="O363" s="392"/>
      <c r="P363" s="2"/>
      <c r="R363"/>
      <c r="S363"/>
      <c r="V363"/>
    </row>
    <row r="364" spans="10:22" s="1" customFormat="1" x14ac:dyDescent="0.2">
      <c r="J364"/>
      <c r="K364"/>
      <c r="L364"/>
      <c r="M364"/>
      <c r="N364"/>
      <c r="O364" s="392"/>
      <c r="P364" s="2"/>
      <c r="R364"/>
      <c r="S364"/>
      <c r="V364"/>
    </row>
    <row r="365" spans="10:22" s="1" customFormat="1" x14ac:dyDescent="0.2">
      <c r="J365"/>
      <c r="K365"/>
      <c r="L365"/>
      <c r="M365"/>
      <c r="N365"/>
      <c r="O365" s="392"/>
      <c r="P365" s="2"/>
      <c r="R365"/>
      <c r="S365"/>
      <c r="V365"/>
    </row>
    <row r="366" spans="10:22" s="1" customFormat="1" x14ac:dyDescent="0.2">
      <c r="J366"/>
      <c r="K366"/>
      <c r="L366"/>
      <c r="M366"/>
      <c r="N366"/>
      <c r="O366" s="392"/>
      <c r="P366" s="2"/>
      <c r="R366"/>
      <c r="S366"/>
      <c r="V366"/>
    </row>
    <row r="367" spans="10:22" s="1" customFormat="1" x14ac:dyDescent="0.2">
      <c r="J367"/>
      <c r="K367"/>
      <c r="L367"/>
      <c r="M367"/>
      <c r="N367"/>
      <c r="O367" s="392"/>
      <c r="P367" s="2"/>
      <c r="R367"/>
      <c r="S367"/>
      <c r="V367"/>
    </row>
    <row r="368" spans="10:22" s="1" customFormat="1" x14ac:dyDescent="0.2">
      <c r="J368"/>
      <c r="K368"/>
      <c r="L368"/>
      <c r="M368"/>
      <c r="N368"/>
      <c r="O368" s="392"/>
      <c r="P368" s="2"/>
      <c r="R368"/>
      <c r="S368"/>
      <c r="V368"/>
    </row>
    <row r="369" spans="10:22" s="1" customFormat="1" x14ac:dyDescent="0.2">
      <c r="J369"/>
      <c r="K369"/>
      <c r="L369"/>
      <c r="M369"/>
      <c r="N369"/>
      <c r="O369" s="392"/>
      <c r="P369" s="2"/>
      <c r="R369"/>
      <c r="S369"/>
      <c r="V369"/>
    </row>
    <row r="370" spans="10:22" s="1" customFormat="1" x14ac:dyDescent="0.2">
      <c r="J370"/>
      <c r="K370"/>
      <c r="L370"/>
      <c r="M370"/>
      <c r="N370"/>
      <c r="O370" s="392"/>
      <c r="P370" s="2"/>
      <c r="R370"/>
      <c r="S370"/>
      <c r="V370"/>
    </row>
    <row r="371" spans="10:22" s="1" customFormat="1" x14ac:dyDescent="0.2">
      <c r="J371"/>
      <c r="K371"/>
      <c r="L371"/>
      <c r="M371"/>
      <c r="N371"/>
      <c r="O371" s="392"/>
      <c r="P371" s="2"/>
      <c r="R371"/>
      <c r="S371"/>
      <c r="V371"/>
    </row>
    <row r="372" spans="10:22" s="1" customFormat="1" x14ac:dyDescent="0.2">
      <c r="J372"/>
      <c r="K372"/>
      <c r="L372"/>
      <c r="M372"/>
      <c r="N372"/>
      <c r="O372" s="392"/>
      <c r="P372" s="2"/>
      <c r="R372"/>
      <c r="S372"/>
      <c r="V372"/>
    </row>
    <row r="373" spans="10:22" s="1" customFormat="1" x14ac:dyDescent="0.2">
      <c r="J373"/>
      <c r="K373"/>
      <c r="L373"/>
      <c r="M373"/>
      <c r="N373"/>
      <c r="O373" s="392"/>
      <c r="P373" s="2"/>
      <c r="R373"/>
      <c r="S373"/>
      <c r="V373"/>
    </row>
    <row r="374" spans="10:22" s="1" customFormat="1" x14ac:dyDescent="0.2">
      <c r="J374"/>
      <c r="K374"/>
      <c r="L374"/>
      <c r="M374"/>
      <c r="N374"/>
      <c r="O374" s="392"/>
      <c r="P374" s="2"/>
      <c r="R374"/>
      <c r="S374"/>
      <c r="V374"/>
    </row>
    <row r="375" spans="10:22" s="1" customFormat="1" x14ac:dyDescent="0.2">
      <c r="J375"/>
      <c r="K375"/>
      <c r="L375"/>
      <c r="M375"/>
      <c r="N375"/>
      <c r="O375" s="392"/>
      <c r="P375" s="2"/>
      <c r="R375"/>
      <c r="S375"/>
      <c r="V375"/>
    </row>
    <row r="376" spans="10:22" s="1" customFormat="1" x14ac:dyDescent="0.2">
      <c r="J376"/>
      <c r="K376"/>
      <c r="L376"/>
      <c r="M376"/>
      <c r="N376"/>
      <c r="O376" s="392"/>
      <c r="P376" s="2"/>
      <c r="R376"/>
      <c r="S376"/>
      <c r="V376"/>
    </row>
    <row r="377" spans="10:22" s="1" customFormat="1" x14ac:dyDescent="0.2">
      <c r="J377"/>
      <c r="K377"/>
      <c r="L377"/>
      <c r="M377"/>
      <c r="N377"/>
      <c r="O377" s="392"/>
      <c r="P377" s="2"/>
      <c r="R377"/>
      <c r="S377"/>
      <c r="V377"/>
    </row>
    <row r="378" spans="10:22" s="1" customFormat="1" x14ac:dyDescent="0.2">
      <c r="J378"/>
      <c r="K378"/>
      <c r="L378"/>
      <c r="M378"/>
      <c r="N378"/>
      <c r="O378" s="392"/>
      <c r="P378" s="2"/>
      <c r="R378"/>
      <c r="S378"/>
      <c r="V378"/>
    </row>
    <row r="379" spans="10:22" s="1" customFormat="1" x14ac:dyDescent="0.2">
      <c r="J379"/>
      <c r="K379"/>
      <c r="L379"/>
      <c r="M379"/>
      <c r="N379"/>
      <c r="O379" s="392"/>
      <c r="P379" s="2"/>
      <c r="R379"/>
      <c r="S379"/>
      <c r="V379"/>
    </row>
    <row r="380" spans="10:22" s="1" customFormat="1" x14ac:dyDescent="0.2">
      <c r="J380"/>
      <c r="K380"/>
      <c r="L380"/>
      <c r="M380"/>
      <c r="N380"/>
      <c r="O380" s="392"/>
      <c r="P380" s="2"/>
      <c r="R380"/>
      <c r="S380"/>
      <c r="V380"/>
    </row>
    <row r="381" spans="10:22" s="1" customFormat="1" x14ac:dyDescent="0.2">
      <c r="J381"/>
      <c r="K381"/>
      <c r="L381"/>
      <c r="M381"/>
      <c r="N381"/>
      <c r="O381" s="392"/>
      <c r="P381" s="2"/>
      <c r="R381"/>
      <c r="S381"/>
      <c r="V381"/>
    </row>
    <row r="382" spans="10:22" s="1" customFormat="1" x14ac:dyDescent="0.2">
      <c r="J382"/>
      <c r="K382"/>
      <c r="L382"/>
      <c r="M382"/>
      <c r="N382"/>
      <c r="O382" s="392"/>
      <c r="P382" s="2"/>
      <c r="R382"/>
      <c r="S382"/>
      <c r="V382"/>
    </row>
    <row r="383" spans="10:22" s="1" customFormat="1" x14ac:dyDescent="0.2">
      <c r="J383"/>
      <c r="K383"/>
      <c r="L383"/>
      <c r="M383"/>
      <c r="N383"/>
      <c r="O383" s="392"/>
      <c r="P383" s="2"/>
      <c r="R383"/>
      <c r="S383"/>
      <c r="V383"/>
    </row>
    <row r="384" spans="10:22" s="1" customFormat="1" x14ac:dyDescent="0.2">
      <c r="J384"/>
      <c r="K384"/>
      <c r="L384"/>
      <c r="M384"/>
      <c r="N384"/>
      <c r="O384" s="392"/>
      <c r="P384" s="2"/>
      <c r="R384"/>
      <c r="S384"/>
      <c r="V384"/>
    </row>
    <row r="385" spans="10:22" s="1" customFormat="1" x14ac:dyDescent="0.2">
      <c r="J385"/>
      <c r="K385"/>
      <c r="L385"/>
      <c r="M385"/>
      <c r="N385"/>
      <c r="O385" s="392"/>
      <c r="P385" s="2"/>
      <c r="R385"/>
      <c r="S385"/>
      <c r="V385"/>
    </row>
    <row r="386" spans="10:22" s="1" customFormat="1" x14ac:dyDescent="0.2">
      <c r="J386"/>
      <c r="K386"/>
      <c r="L386"/>
      <c r="M386"/>
      <c r="N386"/>
      <c r="O386" s="392"/>
      <c r="P386" s="2"/>
      <c r="R386"/>
      <c r="S386"/>
      <c r="V386"/>
    </row>
    <row r="387" spans="10:22" s="1" customFormat="1" x14ac:dyDescent="0.2">
      <c r="J387"/>
      <c r="K387"/>
      <c r="L387"/>
      <c r="M387"/>
      <c r="N387"/>
      <c r="O387" s="392"/>
      <c r="P387" s="2"/>
      <c r="R387"/>
      <c r="S387"/>
      <c r="V387"/>
    </row>
    <row r="388" spans="10:22" s="1" customFormat="1" x14ac:dyDescent="0.2">
      <c r="J388"/>
      <c r="K388"/>
      <c r="L388"/>
      <c r="M388"/>
      <c r="N388"/>
      <c r="O388" s="392"/>
      <c r="P388" s="2"/>
      <c r="R388"/>
      <c r="S388"/>
      <c r="V388"/>
    </row>
    <row r="389" spans="10:22" s="1" customFormat="1" x14ac:dyDescent="0.2">
      <c r="J389"/>
      <c r="K389"/>
      <c r="L389"/>
      <c r="M389"/>
      <c r="N389"/>
      <c r="O389" s="392"/>
      <c r="P389" s="2"/>
      <c r="R389"/>
      <c r="S389"/>
      <c r="V389"/>
    </row>
    <row r="390" spans="10:22" s="1" customFormat="1" x14ac:dyDescent="0.2">
      <c r="J390"/>
      <c r="K390"/>
      <c r="L390"/>
      <c r="M390"/>
      <c r="N390"/>
      <c r="O390" s="392"/>
      <c r="P390" s="2"/>
      <c r="R390"/>
      <c r="S390"/>
      <c r="V390"/>
    </row>
    <row r="391" spans="10:22" s="1" customFormat="1" x14ac:dyDescent="0.2">
      <c r="J391"/>
      <c r="K391"/>
      <c r="L391"/>
      <c r="M391"/>
      <c r="N391"/>
      <c r="O391" s="392"/>
      <c r="P391" s="2"/>
      <c r="R391"/>
      <c r="S391"/>
      <c r="V391"/>
    </row>
    <row r="392" spans="10:22" s="1" customFormat="1" x14ac:dyDescent="0.2">
      <c r="J392"/>
      <c r="K392"/>
      <c r="L392"/>
      <c r="M392"/>
      <c r="N392"/>
      <c r="O392" s="392"/>
      <c r="P392" s="2"/>
      <c r="R392"/>
      <c r="S392"/>
      <c r="V392"/>
    </row>
    <row r="393" spans="10:22" s="1" customFormat="1" x14ac:dyDescent="0.2">
      <c r="J393"/>
      <c r="K393"/>
      <c r="L393"/>
      <c r="M393"/>
      <c r="N393"/>
      <c r="O393" s="392"/>
      <c r="P393" s="2"/>
      <c r="R393"/>
      <c r="S393"/>
      <c r="V393"/>
    </row>
    <row r="394" spans="10:22" s="1" customFormat="1" x14ac:dyDescent="0.2">
      <c r="J394"/>
      <c r="K394"/>
      <c r="L394"/>
      <c r="M394"/>
      <c r="N394"/>
      <c r="O394" s="392"/>
      <c r="P394" s="2"/>
      <c r="R394"/>
      <c r="S394"/>
      <c r="V394"/>
    </row>
    <row r="395" spans="10:22" s="1" customFormat="1" x14ac:dyDescent="0.2">
      <c r="J395"/>
      <c r="K395"/>
      <c r="L395"/>
      <c r="M395"/>
      <c r="N395"/>
      <c r="O395" s="392"/>
      <c r="P395" s="2"/>
      <c r="R395"/>
      <c r="S395"/>
      <c r="V395"/>
    </row>
    <row r="396" spans="10:22" s="1" customFormat="1" x14ac:dyDescent="0.2">
      <c r="J396"/>
      <c r="K396"/>
      <c r="L396"/>
      <c r="M396"/>
      <c r="N396"/>
      <c r="O396" s="392"/>
      <c r="P396" s="2"/>
      <c r="R396"/>
      <c r="S396"/>
      <c r="V396"/>
    </row>
    <row r="397" spans="10:22" s="1" customFormat="1" x14ac:dyDescent="0.2">
      <c r="J397"/>
      <c r="K397"/>
      <c r="L397"/>
      <c r="M397"/>
      <c r="N397"/>
      <c r="O397" s="392"/>
      <c r="P397" s="2"/>
      <c r="R397"/>
      <c r="S397"/>
      <c r="V397"/>
    </row>
    <row r="398" spans="10:22" s="1" customFormat="1" x14ac:dyDescent="0.2">
      <c r="J398"/>
      <c r="K398"/>
      <c r="L398"/>
      <c r="M398"/>
      <c r="N398"/>
      <c r="O398" s="392"/>
      <c r="P398" s="2"/>
      <c r="R398"/>
      <c r="S398"/>
      <c r="V398"/>
    </row>
    <row r="399" spans="10:22" s="1" customFormat="1" x14ac:dyDescent="0.2">
      <c r="J399"/>
      <c r="K399"/>
      <c r="L399"/>
      <c r="M399"/>
      <c r="N399"/>
      <c r="O399" s="392"/>
      <c r="P399" s="2"/>
      <c r="R399"/>
      <c r="S399"/>
      <c r="V399"/>
    </row>
    <row r="400" spans="10:22" s="1" customFormat="1" x14ac:dyDescent="0.2">
      <c r="J400"/>
      <c r="K400"/>
      <c r="L400"/>
      <c r="M400"/>
      <c r="N400"/>
      <c r="O400" s="392"/>
      <c r="P400" s="2"/>
      <c r="R400"/>
      <c r="S400"/>
      <c r="V400"/>
    </row>
    <row r="401" spans="10:22" s="1" customFormat="1" x14ac:dyDescent="0.2">
      <c r="J401"/>
      <c r="K401"/>
      <c r="L401"/>
      <c r="M401"/>
      <c r="N401"/>
      <c r="O401" s="392"/>
      <c r="P401" s="2"/>
      <c r="R401"/>
      <c r="S401"/>
      <c r="V401"/>
    </row>
    <row r="402" spans="10:22" s="1" customFormat="1" x14ac:dyDescent="0.2">
      <c r="J402"/>
      <c r="K402"/>
      <c r="L402"/>
      <c r="M402"/>
      <c r="N402"/>
      <c r="O402" s="392"/>
      <c r="P402" s="2"/>
      <c r="R402"/>
      <c r="S402"/>
      <c r="V402"/>
    </row>
    <row r="403" spans="10:22" s="1" customFormat="1" x14ac:dyDescent="0.2">
      <c r="J403"/>
      <c r="K403"/>
      <c r="L403"/>
      <c r="M403"/>
      <c r="N403"/>
      <c r="O403" s="392"/>
      <c r="P403" s="2"/>
      <c r="R403"/>
      <c r="S403"/>
      <c r="V403"/>
    </row>
    <row r="404" spans="10:22" s="1" customFormat="1" x14ac:dyDescent="0.2">
      <c r="J404"/>
      <c r="K404"/>
      <c r="L404"/>
      <c r="M404"/>
      <c r="N404"/>
      <c r="O404" s="392"/>
      <c r="P404" s="2"/>
      <c r="R404"/>
      <c r="S404"/>
      <c r="V404"/>
    </row>
    <row r="405" spans="10:22" s="1" customFormat="1" x14ac:dyDescent="0.2">
      <c r="J405"/>
      <c r="K405"/>
      <c r="L405"/>
      <c r="M405"/>
      <c r="N405"/>
      <c r="O405" s="392"/>
      <c r="P405" s="2"/>
      <c r="R405"/>
      <c r="S405"/>
      <c r="V405"/>
    </row>
    <row r="406" spans="10:22" s="1" customFormat="1" x14ac:dyDescent="0.2">
      <c r="J406"/>
      <c r="K406"/>
      <c r="L406"/>
      <c r="M406"/>
      <c r="N406"/>
      <c r="O406" s="392"/>
      <c r="P406" s="2"/>
      <c r="R406"/>
      <c r="S406"/>
      <c r="V406"/>
    </row>
    <row r="407" spans="10:22" s="1" customFormat="1" x14ac:dyDescent="0.2">
      <c r="J407"/>
      <c r="K407"/>
      <c r="L407"/>
      <c r="M407"/>
      <c r="N407"/>
      <c r="O407" s="392"/>
      <c r="P407" s="2"/>
      <c r="R407"/>
      <c r="S407"/>
      <c r="V407"/>
    </row>
    <row r="408" spans="10:22" s="1" customFormat="1" x14ac:dyDescent="0.2">
      <c r="J408"/>
      <c r="K408"/>
      <c r="L408"/>
      <c r="M408"/>
      <c r="N408"/>
      <c r="O408" s="392"/>
      <c r="P408" s="2"/>
      <c r="R408"/>
      <c r="S408"/>
      <c r="V408"/>
    </row>
    <row r="409" spans="10:22" s="1" customFormat="1" x14ac:dyDescent="0.2">
      <c r="J409"/>
      <c r="K409"/>
      <c r="L409"/>
      <c r="M409"/>
      <c r="N409"/>
      <c r="O409" s="392"/>
      <c r="P409" s="2"/>
      <c r="R409"/>
      <c r="S409"/>
      <c r="V409"/>
    </row>
    <row r="410" spans="10:22" s="1" customFormat="1" x14ac:dyDescent="0.2">
      <c r="J410"/>
      <c r="K410"/>
      <c r="L410"/>
      <c r="M410"/>
      <c r="N410"/>
      <c r="O410" s="392"/>
      <c r="P410" s="2"/>
      <c r="R410"/>
      <c r="S410"/>
      <c r="V410"/>
    </row>
    <row r="411" spans="10:22" s="1" customFormat="1" x14ac:dyDescent="0.2">
      <c r="J411"/>
      <c r="K411"/>
      <c r="L411"/>
      <c r="M411"/>
      <c r="N411"/>
      <c r="O411" s="392"/>
      <c r="P411" s="2"/>
      <c r="R411"/>
      <c r="S411"/>
      <c r="V411"/>
    </row>
    <row r="412" spans="10:22" s="1" customFormat="1" x14ac:dyDescent="0.2">
      <c r="J412"/>
      <c r="K412"/>
      <c r="L412"/>
      <c r="M412"/>
      <c r="N412"/>
      <c r="O412" s="392"/>
      <c r="P412" s="2"/>
      <c r="R412"/>
      <c r="S412"/>
      <c r="V412"/>
    </row>
    <row r="413" spans="10:22" s="1" customFormat="1" x14ac:dyDescent="0.2">
      <c r="J413"/>
      <c r="K413"/>
      <c r="L413"/>
      <c r="M413"/>
      <c r="N413"/>
      <c r="O413" s="392"/>
      <c r="P413" s="2"/>
      <c r="R413"/>
      <c r="S413"/>
      <c r="V413"/>
    </row>
    <row r="414" spans="10:22" s="1" customFormat="1" x14ac:dyDescent="0.2">
      <c r="J414"/>
      <c r="K414"/>
      <c r="L414"/>
      <c r="M414"/>
      <c r="N414"/>
      <c r="O414" s="392"/>
      <c r="P414" s="2"/>
      <c r="R414"/>
      <c r="S414"/>
      <c r="V414"/>
    </row>
    <row r="415" spans="10:22" s="1" customFormat="1" x14ac:dyDescent="0.2">
      <c r="J415"/>
      <c r="K415"/>
      <c r="L415"/>
      <c r="M415"/>
      <c r="N415"/>
      <c r="O415" s="392"/>
      <c r="P415" s="2"/>
      <c r="R415"/>
      <c r="S415"/>
      <c r="V415"/>
    </row>
    <row r="416" spans="10:22" s="1" customFormat="1" x14ac:dyDescent="0.2">
      <c r="J416"/>
      <c r="K416"/>
      <c r="L416"/>
      <c r="M416"/>
      <c r="N416"/>
      <c r="O416" s="392"/>
      <c r="P416" s="2"/>
      <c r="R416"/>
      <c r="S416"/>
      <c r="V416"/>
    </row>
    <row r="417" spans="10:22" s="1" customFormat="1" x14ac:dyDescent="0.2">
      <c r="J417"/>
      <c r="K417"/>
      <c r="L417"/>
      <c r="M417"/>
      <c r="N417"/>
      <c r="O417" s="392"/>
      <c r="P417" s="2"/>
      <c r="R417"/>
      <c r="S417"/>
      <c r="V417"/>
    </row>
    <row r="418" spans="10:22" s="1" customFormat="1" x14ac:dyDescent="0.2">
      <c r="J418"/>
      <c r="K418"/>
      <c r="L418"/>
      <c r="M418"/>
      <c r="N418"/>
      <c r="O418" s="392"/>
      <c r="P418" s="2"/>
      <c r="R418"/>
      <c r="S418"/>
      <c r="V418"/>
    </row>
    <row r="419" spans="10:22" s="1" customFormat="1" x14ac:dyDescent="0.2">
      <c r="J419"/>
      <c r="K419"/>
      <c r="L419"/>
      <c r="M419"/>
      <c r="N419"/>
      <c r="O419" s="392"/>
      <c r="P419" s="2"/>
      <c r="R419"/>
      <c r="S419"/>
      <c r="V419"/>
    </row>
    <row r="420" spans="10:22" s="1" customFormat="1" x14ac:dyDescent="0.2">
      <c r="J420"/>
      <c r="K420"/>
      <c r="L420"/>
      <c r="M420"/>
      <c r="N420"/>
      <c r="O420" s="392"/>
      <c r="P420" s="2"/>
      <c r="R420"/>
      <c r="S420"/>
      <c r="V420"/>
    </row>
    <row r="421" spans="10:22" s="1" customFormat="1" x14ac:dyDescent="0.2">
      <c r="J421"/>
      <c r="K421"/>
      <c r="L421"/>
      <c r="M421"/>
      <c r="N421"/>
      <c r="O421" s="392"/>
      <c r="P421" s="2"/>
      <c r="R421"/>
      <c r="S421"/>
      <c r="V421"/>
    </row>
    <row r="422" spans="10:22" s="1" customFormat="1" x14ac:dyDescent="0.2">
      <c r="J422"/>
      <c r="K422"/>
      <c r="L422"/>
      <c r="M422"/>
      <c r="N422"/>
      <c r="O422" s="392"/>
      <c r="P422" s="2"/>
      <c r="R422"/>
      <c r="S422"/>
      <c r="V422"/>
    </row>
    <row r="423" spans="10:22" s="1" customFormat="1" x14ac:dyDescent="0.2">
      <c r="J423"/>
      <c r="K423"/>
      <c r="L423"/>
      <c r="M423"/>
      <c r="N423"/>
      <c r="O423" s="392"/>
      <c r="P423" s="2"/>
      <c r="R423"/>
      <c r="S423"/>
      <c r="V423"/>
    </row>
    <row r="424" spans="10:22" s="1" customFormat="1" x14ac:dyDescent="0.2">
      <c r="J424"/>
      <c r="K424"/>
      <c r="L424"/>
      <c r="M424"/>
      <c r="N424"/>
      <c r="O424" s="392"/>
      <c r="P424" s="2"/>
      <c r="R424"/>
      <c r="S424"/>
      <c r="V424"/>
    </row>
    <row r="425" spans="10:22" s="1" customFormat="1" x14ac:dyDescent="0.2">
      <c r="J425"/>
      <c r="K425"/>
      <c r="L425"/>
      <c r="M425"/>
      <c r="N425"/>
      <c r="O425" s="392"/>
      <c r="P425" s="2"/>
      <c r="R425"/>
      <c r="S425"/>
      <c r="V425"/>
    </row>
    <row r="426" spans="10:22" s="1" customFormat="1" x14ac:dyDescent="0.2">
      <c r="J426"/>
      <c r="K426"/>
      <c r="L426"/>
      <c r="M426"/>
      <c r="N426"/>
      <c r="O426" s="392"/>
      <c r="P426" s="2"/>
      <c r="R426"/>
      <c r="S426"/>
      <c r="V426"/>
    </row>
    <row r="427" spans="10:22" s="1" customFormat="1" x14ac:dyDescent="0.2">
      <c r="J427"/>
      <c r="K427"/>
      <c r="L427"/>
      <c r="M427"/>
      <c r="N427"/>
      <c r="O427" s="392"/>
      <c r="P427" s="2"/>
      <c r="R427"/>
      <c r="S427"/>
      <c r="V427"/>
    </row>
    <row r="428" spans="10:22" s="1" customFormat="1" x14ac:dyDescent="0.2">
      <c r="J428"/>
      <c r="K428"/>
      <c r="L428"/>
      <c r="M428"/>
      <c r="N428"/>
      <c r="O428" s="392"/>
      <c r="P428" s="2"/>
      <c r="R428"/>
      <c r="S428"/>
      <c r="V428"/>
    </row>
    <row r="429" spans="10:22" s="1" customFormat="1" x14ac:dyDescent="0.2">
      <c r="J429"/>
      <c r="K429"/>
      <c r="L429"/>
      <c r="M429"/>
      <c r="N429"/>
      <c r="O429" s="392"/>
      <c r="P429" s="2"/>
      <c r="R429"/>
      <c r="S429"/>
      <c r="V429"/>
    </row>
    <row r="430" spans="10:22" s="1" customFormat="1" x14ac:dyDescent="0.2">
      <c r="J430"/>
      <c r="K430"/>
      <c r="L430"/>
      <c r="M430"/>
      <c r="N430"/>
      <c r="O430" s="392"/>
      <c r="P430" s="2"/>
      <c r="R430"/>
      <c r="S430"/>
      <c r="V430"/>
    </row>
    <row r="431" spans="10:22" s="1" customFormat="1" x14ac:dyDescent="0.2">
      <c r="J431"/>
      <c r="K431"/>
      <c r="L431"/>
      <c r="M431"/>
      <c r="N431"/>
      <c r="O431" s="392"/>
      <c r="P431" s="2"/>
      <c r="R431"/>
      <c r="S431"/>
      <c r="V431"/>
    </row>
    <row r="432" spans="10:22" s="1" customFormat="1" x14ac:dyDescent="0.2">
      <c r="J432"/>
      <c r="K432"/>
      <c r="L432"/>
      <c r="M432"/>
      <c r="N432"/>
      <c r="O432" s="392"/>
      <c r="P432" s="2"/>
      <c r="R432"/>
      <c r="S432"/>
      <c r="V432"/>
    </row>
    <row r="433" spans="10:22" s="1" customFormat="1" x14ac:dyDescent="0.2">
      <c r="J433"/>
      <c r="K433"/>
      <c r="L433"/>
      <c r="M433"/>
      <c r="N433"/>
      <c r="O433" s="392"/>
      <c r="P433" s="2"/>
      <c r="R433"/>
      <c r="S433"/>
      <c r="V433"/>
    </row>
    <row r="434" spans="10:22" s="1" customFormat="1" x14ac:dyDescent="0.2">
      <c r="J434"/>
      <c r="K434"/>
      <c r="L434"/>
      <c r="M434"/>
      <c r="N434"/>
      <c r="O434" s="392"/>
      <c r="P434" s="2"/>
      <c r="R434"/>
      <c r="S434"/>
      <c r="V434"/>
    </row>
    <row r="435" spans="10:22" s="1" customFormat="1" x14ac:dyDescent="0.2">
      <c r="J435"/>
      <c r="K435"/>
      <c r="L435"/>
      <c r="M435"/>
      <c r="N435"/>
      <c r="O435" s="392"/>
      <c r="P435" s="2"/>
      <c r="R435"/>
      <c r="S435"/>
      <c r="V435"/>
    </row>
    <row r="436" spans="10:22" s="1" customFormat="1" x14ac:dyDescent="0.2">
      <c r="J436"/>
      <c r="K436"/>
      <c r="L436"/>
      <c r="M436"/>
      <c r="N436"/>
      <c r="O436" s="392"/>
      <c r="P436" s="2"/>
      <c r="R436"/>
      <c r="S436"/>
      <c r="V436"/>
    </row>
    <row r="437" spans="10:22" s="1" customFormat="1" x14ac:dyDescent="0.2">
      <c r="J437"/>
      <c r="K437"/>
      <c r="L437"/>
      <c r="M437"/>
      <c r="N437"/>
      <c r="O437" s="392"/>
      <c r="P437" s="2"/>
      <c r="R437"/>
      <c r="S437"/>
      <c r="V437"/>
    </row>
    <row r="438" spans="10:22" s="1" customFormat="1" x14ac:dyDescent="0.2">
      <c r="J438"/>
      <c r="K438"/>
      <c r="L438"/>
      <c r="M438"/>
      <c r="N438"/>
      <c r="O438" s="392"/>
      <c r="P438" s="2"/>
      <c r="R438"/>
      <c r="S438"/>
      <c r="V438"/>
    </row>
    <row r="439" spans="10:22" s="1" customFormat="1" x14ac:dyDescent="0.2">
      <c r="J439"/>
      <c r="K439"/>
      <c r="L439"/>
      <c r="M439"/>
      <c r="N439"/>
      <c r="O439" s="392"/>
      <c r="P439" s="2"/>
      <c r="R439"/>
      <c r="S439"/>
      <c r="V439"/>
    </row>
    <row r="440" spans="10:22" s="1" customFormat="1" x14ac:dyDescent="0.2">
      <c r="J440"/>
      <c r="K440"/>
      <c r="L440"/>
      <c r="M440"/>
      <c r="N440"/>
      <c r="O440" s="392"/>
      <c r="P440" s="2"/>
      <c r="R440"/>
      <c r="S440"/>
      <c r="V440"/>
    </row>
    <row r="441" spans="10:22" s="1" customFormat="1" x14ac:dyDescent="0.2">
      <c r="J441"/>
      <c r="K441"/>
      <c r="L441"/>
      <c r="M441"/>
      <c r="N441"/>
      <c r="O441" s="392"/>
      <c r="P441" s="2"/>
      <c r="R441"/>
      <c r="S441"/>
      <c r="V441"/>
    </row>
    <row r="442" spans="10:22" s="1" customFormat="1" x14ac:dyDescent="0.2">
      <c r="J442"/>
      <c r="K442"/>
      <c r="L442"/>
      <c r="M442"/>
      <c r="N442"/>
      <c r="O442" s="392"/>
      <c r="P442" s="2"/>
      <c r="R442"/>
      <c r="S442"/>
      <c r="V442"/>
    </row>
    <row r="443" spans="10:22" s="1" customFormat="1" x14ac:dyDescent="0.2">
      <c r="J443"/>
      <c r="K443"/>
      <c r="L443"/>
      <c r="M443"/>
      <c r="N443"/>
      <c r="O443" s="392"/>
      <c r="P443" s="2"/>
      <c r="R443"/>
      <c r="S443"/>
      <c r="V443"/>
    </row>
    <row r="444" spans="10:22" s="1" customFormat="1" x14ac:dyDescent="0.2">
      <c r="J444"/>
      <c r="K444"/>
      <c r="L444"/>
      <c r="M444"/>
      <c r="N444"/>
      <c r="O444" s="392"/>
      <c r="P444" s="2"/>
      <c r="R444"/>
      <c r="S444"/>
      <c r="V444"/>
    </row>
    <row r="445" spans="10:22" s="1" customFormat="1" x14ac:dyDescent="0.2">
      <c r="J445"/>
      <c r="K445"/>
      <c r="L445"/>
      <c r="M445"/>
      <c r="N445"/>
      <c r="O445" s="392"/>
      <c r="P445" s="2"/>
      <c r="R445"/>
      <c r="S445"/>
      <c r="V445"/>
    </row>
    <row r="446" spans="10:22" s="1" customFormat="1" x14ac:dyDescent="0.2">
      <c r="J446"/>
      <c r="K446"/>
      <c r="L446"/>
      <c r="M446"/>
      <c r="N446"/>
      <c r="O446" s="392"/>
      <c r="P446" s="2"/>
      <c r="R446"/>
      <c r="S446"/>
      <c r="V446"/>
    </row>
    <row r="447" spans="10:22" s="1" customFormat="1" x14ac:dyDescent="0.2">
      <c r="J447"/>
      <c r="K447"/>
      <c r="L447"/>
      <c r="M447"/>
      <c r="N447"/>
      <c r="O447" s="392"/>
      <c r="P447" s="2"/>
      <c r="R447"/>
      <c r="S447"/>
      <c r="V447"/>
    </row>
    <row r="448" spans="10:22" s="1" customFormat="1" x14ac:dyDescent="0.2">
      <c r="J448"/>
      <c r="K448"/>
      <c r="L448"/>
      <c r="M448"/>
      <c r="N448"/>
      <c r="O448" s="392"/>
      <c r="P448" s="2"/>
      <c r="R448"/>
      <c r="S448"/>
      <c r="V448"/>
    </row>
    <row r="449" spans="10:22" s="1" customFormat="1" x14ac:dyDescent="0.2">
      <c r="J449"/>
      <c r="K449"/>
      <c r="L449"/>
      <c r="M449"/>
      <c r="N449"/>
      <c r="O449" s="392"/>
      <c r="P449" s="2"/>
      <c r="R449"/>
      <c r="S449"/>
      <c r="V449"/>
    </row>
    <row r="450" spans="10:22" s="1" customFormat="1" x14ac:dyDescent="0.2">
      <c r="J450"/>
      <c r="K450"/>
      <c r="L450"/>
      <c r="M450"/>
      <c r="N450"/>
      <c r="O450" s="392"/>
      <c r="P450" s="2"/>
      <c r="R450"/>
      <c r="S450"/>
      <c r="V450"/>
    </row>
    <row r="451" spans="10:22" s="1" customFormat="1" x14ac:dyDescent="0.2">
      <c r="J451"/>
      <c r="K451"/>
      <c r="L451"/>
      <c r="M451"/>
      <c r="N451"/>
      <c r="O451" s="392"/>
      <c r="P451" s="2"/>
      <c r="R451"/>
      <c r="S451"/>
      <c r="V451"/>
    </row>
    <row r="452" spans="10:22" s="1" customFormat="1" x14ac:dyDescent="0.2">
      <c r="J452"/>
      <c r="K452"/>
      <c r="L452"/>
      <c r="M452"/>
      <c r="N452"/>
      <c r="O452" s="392"/>
      <c r="P452" s="2"/>
      <c r="R452"/>
      <c r="S452"/>
      <c r="V452"/>
    </row>
    <row r="453" spans="10:22" s="1" customFormat="1" x14ac:dyDescent="0.2">
      <c r="J453"/>
      <c r="K453"/>
      <c r="L453"/>
      <c r="M453"/>
      <c r="N453"/>
      <c r="O453" s="392"/>
      <c r="P453" s="2"/>
      <c r="R453"/>
      <c r="S453"/>
      <c r="V453"/>
    </row>
    <row r="454" spans="10:22" s="1" customFormat="1" x14ac:dyDescent="0.2">
      <c r="J454"/>
      <c r="K454"/>
      <c r="L454"/>
      <c r="M454"/>
      <c r="N454"/>
      <c r="O454" s="392"/>
      <c r="P454" s="2"/>
      <c r="R454"/>
      <c r="S454"/>
      <c r="V454"/>
    </row>
    <row r="455" spans="10:22" s="1" customFormat="1" x14ac:dyDescent="0.2">
      <c r="J455"/>
      <c r="K455"/>
      <c r="L455"/>
      <c r="M455"/>
      <c r="N455"/>
      <c r="O455" s="392"/>
      <c r="P455" s="2"/>
      <c r="R455"/>
      <c r="S455"/>
      <c r="V455"/>
    </row>
    <row r="456" spans="10:22" s="1" customFormat="1" x14ac:dyDescent="0.2">
      <c r="J456"/>
      <c r="K456"/>
      <c r="L456"/>
      <c r="M456"/>
      <c r="N456"/>
      <c r="O456" s="392"/>
      <c r="P456" s="2"/>
      <c r="R456"/>
      <c r="S456"/>
      <c r="V456"/>
    </row>
    <row r="457" spans="10:22" s="1" customFormat="1" x14ac:dyDescent="0.2">
      <c r="J457"/>
      <c r="K457"/>
      <c r="L457"/>
      <c r="M457"/>
      <c r="N457"/>
      <c r="O457" s="392"/>
      <c r="P457" s="2"/>
      <c r="R457"/>
      <c r="S457"/>
      <c r="V457"/>
    </row>
    <row r="458" spans="10:22" s="1" customFormat="1" x14ac:dyDescent="0.2">
      <c r="J458"/>
      <c r="K458"/>
      <c r="L458"/>
      <c r="M458"/>
      <c r="N458"/>
      <c r="O458" s="392"/>
      <c r="P458" s="2"/>
      <c r="R458"/>
      <c r="S458"/>
      <c r="V458"/>
    </row>
    <row r="459" spans="10:22" s="1" customFormat="1" x14ac:dyDescent="0.2">
      <c r="J459"/>
      <c r="K459"/>
      <c r="L459"/>
      <c r="M459"/>
      <c r="N459"/>
      <c r="O459" s="392"/>
      <c r="P459" s="2"/>
      <c r="R459"/>
      <c r="S459"/>
      <c r="V459"/>
    </row>
    <row r="460" spans="10:22" s="1" customFormat="1" x14ac:dyDescent="0.2">
      <c r="J460"/>
      <c r="K460"/>
      <c r="L460"/>
      <c r="M460"/>
      <c r="N460"/>
      <c r="O460" s="392"/>
      <c r="P460" s="2"/>
      <c r="R460"/>
      <c r="S460"/>
      <c r="V460"/>
    </row>
    <row r="461" spans="10:22" s="1" customFormat="1" x14ac:dyDescent="0.2">
      <c r="J461"/>
      <c r="K461"/>
      <c r="L461"/>
      <c r="M461"/>
      <c r="N461"/>
      <c r="O461" s="392"/>
      <c r="P461" s="2"/>
      <c r="R461"/>
      <c r="S461"/>
      <c r="V461"/>
    </row>
    <row r="462" spans="10:22" s="1" customFormat="1" x14ac:dyDescent="0.2">
      <c r="J462"/>
      <c r="K462"/>
      <c r="L462"/>
      <c r="M462"/>
      <c r="N462"/>
      <c r="O462" s="392"/>
      <c r="P462" s="2"/>
      <c r="R462"/>
      <c r="S462"/>
      <c r="V462"/>
    </row>
    <row r="463" spans="10:22" s="1" customFormat="1" x14ac:dyDescent="0.2">
      <c r="J463"/>
      <c r="K463"/>
      <c r="L463"/>
      <c r="M463"/>
      <c r="N463"/>
      <c r="O463" s="392"/>
      <c r="P463" s="2"/>
      <c r="R463"/>
      <c r="S463"/>
      <c r="V463"/>
    </row>
    <row r="464" spans="10:22" s="1" customFormat="1" x14ac:dyDescent="0.2">
      <c r="J464"/>
      <c r="K464"/>
      <c r="L464"/>
      <c r="M464"/>
      <c r="N464"/>
      <c r="O464" s="392"/>
      <c r="P464" s="2"/>
      <c r="R464"/>
      <c r="S464"/>
      <c r="V464"/>
    </row>
    <row r="465" spans="10:22" s="1" customFormat="1" x14ac:dyDescent="0.2">
      <c r="J465"/>
      <c r="K465"/>
      <c r="L465"/>
      <c r="M465"/>
      <c r="N465"/>
      <c r="O465" s="392"/>
      <c r="P465" s="2"/>
      <c r="R465"/>
      <c r="S465"/>
      <c r="V465"/>
    </row>
    <row r="466" spans="10:22" s="1" customFormat="1" x14ac:dyDescent="0.2">
      <c r="J466"/>
      <c r="K466"/>
      <c r="L466"/>
      <c r="M466"/>
      <c r="N466"/>
      <c r="O466" s="392"/>
      <c r="P466" s="2"/>
      <c r="R466"/>
      <c r="S466"/>
      <c r="V466"/>
    </row>
    <row r="467" spans="10:22" s="1" customFormat="1" x14ac:dyDescent="0.2">
      <c r="J467"/>
      <c r="K467"/>
      <c r="L467"/>
      <c r="M467"/>
      <c r="N467"/>
      <c r="O467" s="392"/>
      <c r="P467" s="2"/>
      <c r="R467"/>
      <c r="S467"/>
      <c r="V467"/>
    </row>
    <row r="468" spans="10:22" s="1" customFormat="1" x14ac:dyDescent="0.2">
      <c r="J468"/>
      <c r="K468"/>
      <c r="L468"/>
      <c r="M468"/>
      <c r="N468"/>
      <c r="O468" s="392"/>
      <c r="P468" s="2"/>
      <c r="R468"/>
      <c r="S468"/>
      <c r="V468"/>
    </row>
    <row r="469" spans="10:22" s="1" customFormat="1" x14ac:dyDescent="0.2">
      <c r="J469"/>
      <c r="K469"/>
      <c r="L469"/>
      <c r="M469"/>
      <c r="N469"/>
      <c r="O469" s="392"/>
      <c r="P469" s="2"/>
      <c r="R469"/>
      <c r="S469"/>
      <c r="V469"/>
    </row>
    <row r="470" spans="10:22" s="1" customFormat="1" x14ac:dyDescent="0.2">
      <c r="J470"/>
      <c r="K470"/>
      <c r="L470"/>
      <c r="M470"/>
      <c r="N470"/>
      <c r="O470" s="392"/>
      <c r="P470" s="2"/>
      <c r="R470"/>
      <c r="S470"/>
      <c r="V470"/>
    </row>
    <row r="471" spans="10:22" s="1" customFormat="1" x14ac:dyDescent="0.2">
      <c r="J471"/>
      <c r="K471"/>
      <c r="L471"/>
      <c r="M471"/>
      <c r="N471"/>
      <c r="O471" s="392"/>
      <c r="P471" s="2"/>
      <c r="R471"/>
      <c r="S471"/>
      <c r="V471"/>
    </row>
    <row r="472" spans="10:22" s="1" customFormat="1" x14ac:dyDescent="0.2">
      <c r="J472"/>
      <c r="K472"/>
      <c r="L472"/>
      <c r="M472"/>
      <c r="N472"/>
      <c r="O472" s="392"/>
      <c r="P472" s="2"/>
      <c r="R472"/>
      <c r="S472"/>
      <c r="V472"/>
    </row>
    <row r="473" spans="10:22" s="1" customFormat="1" x14ac:dyDescent="0.2">
      <c r="J473"/>
      <c r="K473"/>
      <c r="L473"/>
      <c r="M473"/>
      <c r="N473"/>
      <c r="O473" s="392"/>
      <c r="P473" s="2"/>
      <c r="R473"/>
      <c r="S473"/>
      <c r="V473"/>
    </row>
    <row r="474" spans="10:22" s="1" customFormat="1" x14ac:dyDescent="0.2">
      <c r="J474"/>
      <c r="K474"/>
      <c r="L474"/>
      <c r="M474"/>
      <c r="N474"/>
      <c r="O474" s="392"/>
      <c r="P474" s="2"/>
      <c r="R474"/>
      <c r="S474"/>
      <c r="V474"/>
    </row>
    <row r="475" spans="10:22" s="1" customFormat="1" x14ac:dyDescent="0.2">
      <c r="J475"/>
      <c r="K475"/>
      <c r="L475"/>
      <c r="M475"/>
      <c r="N475"/>
      <c r="O475" s="392"/>
      <c r="P475" s="2"/>
      <c r="R475"/>
      <c r="S475"/>
      <c r="V475"/>
    </row>
    <row r="476" spans="10:22" s="1" customFormat="1" x14ac:dyDescent="0.2">
      <c r="J476"/>
      <c r="K476"/>
      <c r="L476"/>
      <c r="M476"/>
      <c r="N476"/>
      <c r="O476" s="392"/>
      <c r="P476" s="2"/>
      <c r="R476"/>
      <c r="S476"/>
      <c r="V476"/>
    </row>
    <row r="477" spans="10:22" s="1" customFormat="1" x14ac:dyDescent="0.2">
      <c r="J477"/>
      <c r="K477"/>
      <c r="L477"/>
      <c r="M477"/>
      <c r="N477"/>
      <c r="O477" s="392"/>
      <c r="P477" s="2"/>
      <c r="R477"/>
      <c r="S477"/>
      <c r="V477"/>
    </row>
    <row r="478" spans="10:22" s="1" customFormat="1" x14ac:dyDescent="0.2">
      <c r="J478"/>
      <c r="K478"/>
      <c r="L478"/>
      <c r="M478"/>
      <c r="N478"/>
      <c r="O478" s="392"/>
      <c r="P478" s="2"/>
      <c r="R478"/>
      <c r="S478"/>
      <c r="V478"/>
    </row>
    <row r="479" spans="10:22" s="1" customFormat="1" x14ac:dyDescent="0.2">
      <c r="J479"/>
      <c r="K479"/>
      <c r="L479"/>
      <c r="M479"/>
      <c r="N479"/>
      <c r="O479" s="392"/>
      <c r="P479" s="2"/>
      <c r="R479"/>
      <c r="S479"/>
      <c r="V479"/>
    </row>
    <row r="480" spans="10:22" s="1" customFormat="1" x14ac:dyDescent="0.2">
      <c r="J480"/>
      <c r="K480"/>
      <c r="L480"/>
      <c r="M480"/>
      <c r="N480"/>
      <c r="O480" s="392"/>
      <c r="P480" s="2"/>
      <c r="R480"/>
      <c r="S480"/>
      <c r="V480"/>
    </row>
    <row r="481" spans="10:22" s="1" customFormat="1" x14ac:dyDescent="0.2">
      <c r="J481"/>
      <c r="K481"/>
      <c r="L481"/>
      <c r="M481"/>
      <c r="N481"/>
      <c r="O481" s="392"/>
      <c r="P481" s="2"/>
      <c r="R481"/>
      <c r="S481"/>
      <c r="V481"/>
    </row>
    <row r="482" spans="10:22" s="1" customFormat="1" x14ac:dyDescent="0.2">
      <c r="J482"/>
      <c r="K482"/>
      <c r="L482"/>
      <c r="M482"/>
      <c r="N482"/>
      <c r="O482" s="392"/>
      <c r="P482" s="2"/>
      <c r="R482"/>
      <c r="S482"/>
      <c r="V482"/>
    </row>
    <row r="483" spans="10:22" s="1" customFormat="1" x14ac:dyDescent="0.2">
      <c r="J483"/>
      <c r="K483"/>
      <c r="L483"/>
      <c r="M483"/>
      <c r="N483"/>
      <c r="O483" s="392"/>
      <c r="P483" s="2"/>
      <c r="R483"/>
      <c r="S483"/>
      <c r="V483"/>
    </row>
    <row r="484" spans="10:22" s="1" customFormat="1" x14ac:dyDescent="0.2">
      <c r="J484"/>
      <c r="K484"/>
      <c r="L484"/>
      <c r="M484"/>
      <c r="N484"/>
      <c r="O484" s="392"/>
      <c r="P484" s="2"/>
      <c r="R484"/>
      <c r="S484"/>
      <c r="V484"/>
    </row>
    <row r="485" spans="10:22" s="1" customFormat="1" x14ac:dyDescent="0.2">
      <c r="J485"/>
      <c r="K485"/>
      <c r="L485"/>
      <c r="M485"/>
      <c r="N485"/>
      <c r="O485" s="392"/>
      <c r="P485" s="2"/>
      <c r="R485"/>
      <c r="S485"/>
      <c r="V485"/>
    </row>
    <row r="486" spans="10:22" s="1" customFormat="1" x14ac:dyDescent="0.2">
      <c r="J486"/>
      <c r="K486"/>
      <c r="L486"/>
      <c r="M486"/>
      <c r="N486"/>
      <c r="O486" s="392"/>
      <c r="P486" s="2"/>
      <c r="R486"/>
      <c r="S486"/>
      <c r="V486"/>
    </row>
    <row r="487" spans="10:22" s="1" customFormat="1" x14ac:dyDescent="0.2">
      <c r="J487"/>
      <c r="K487"/>
      <c r="L487"/>
      <c r="M487"/>
      <c r="N487"/>
      <c r="O487" s="392"/>
      <c r="P487" s="2"/>
      <c r="R487"/>
      <c r="S487"/>
      <c r="V487"/>
    </row>
    <row r="488" spans="10:22" s="1" customFormat="1" x14ac:dyDescent="0.2">
      <c r="J488"/>
      <c r="K488"/>
      <c r="L488"/>
      <c r="M488"/>
      <c r="N488"/>
      <c r="O488" s="392"/>
      <c r="P488" s="2"/>
      <c r="R488"/>
      <c r="S488"/>
      <c r="V488"/>
    </row>
    <row r="489" spans="10:22" s="1" customFormat="1" x14ac:dyDescent="0.2">
      <c r="J489"/>
      <c r="K489"/>
      <c r="L489"/>
      <c r="M489"/>
      <c r="N489"/>
      <c r="O489" s="392"/>
      <c r="P489" s="2"/>
      <c r="R489"/>
      <c r="S489"/>
      <c r="V489"/>
    </row>
    <row r="490" spans="10:22" s="1" customFormat="1" x14ac:dyDescent="0.2">
      <c r="J490"/>
      <c r="K490"/>
      <c r="L490"/>
      <c r="M490"/>
      <c r="N490"/>
      <c r="O490" s="392"/>
      <c r="P490" s="2"/>
      <c r="R490"/>
      <c r="S490"/>
      <c r="V490"/>
    </row>
    <row r="491" spans="10:22" s="1" customFormat="1" x14ac:dyDescent="0.2">
      <c r="J491"/>
      <c r="K491"/>
      <c r="L491"/>
      <c r="M491"/>
      <c r="N491"/>
      <c r="O491" s="392"/>
      <c r="P491" s="2"/>
      <c r="R491"/>
      <c r="S491"/>
      <c r="V491"/>
    </row>
    <row r="492" spans="10:22" s="1" customFormat="1" x14ac:dyDescent="0.2">
      <c r="J492"/>
      <c r="K492"/>
      <c r="L492"/>
      <c r="M492"/>
      <c r="N492"/>
      <c r="O492" s="392"/>
      <c r="P492" s="2"/>
      <c r="R492"/>
      <c r="S492"/>
      <c r="V492"/>
    </row>
    <row r="493" spans="10:22" s="1" customFormat="1" x14ac:dyDescent="0.2">
      <c r="J493"/>
      <c r="K493"/>
      <c r="L493"/>
      <c r="M493"/>
      <c r="N493"/>
      <c r="O493" s="392"/>
      <c r="P493" s="2"/>
      <c r="R493"/>
      <c r="S493"/>
      <c r="V493"/>
    </row>
    <row r="494" spans="10:22" s="1" customFormat="1" x14ac:dyDescent="0.2">
      <c r="J494"/>
      <c r="K494"/>
      <c r="L494"/>
      <c r="M494"/>
      <c r="N494"/>
      <c r="O494" s="392"/>
      <c r="P494" s="2"/>
      <c r="R494"/>
      <c r="S494"/>
      <c r="V494"/>
    </row>
    <row r="495" spans="10:22" s="1" customFormat="1" x14ac:dyDescent="0.2">
      <c r="J495"/>
      <c r="K495"/>
      <c r="L495"/>
      <c r="M495"/>
      <c r="N495"/>
      <c r="O495" s="392"/>
      <c r="P495" s="2"/>
      <c r="R495"/>
      <c r="S495"/>
      <c r="V495"/>
    </row>
    <row r="496" spans="10:22" s="1" customFormat="1" x14ac:dyDescent="0.2">
      <c r="J496"/>
      <c r="K496"/>
      <c r="L496"/>
      <c r="M496"/>
      <c r="N496"/>
      <c r="O496" s="392"/>
      <c r="P496" s="2"/>
      <c r="R496"/>
      <c r="S496"/>
      <c r="V496"/>
    </row>
    <row r="497" spans="10:22" s="1" customFormat="1" x14ac:dyDescent="0.2">
      <c r="J497"/>
      <c r="K497"/>
      <c r="L497"/>
      <c r="M497"/>
      <c r="N497"/>
      <c r="O497" s="392"/>
      <c r="P497" s="2"/>
      <c r="R497"/>
      <c r="S497"/>
      <c r="V497"/>
    </row>
    <row r="498" spans="10:22" s="1" customFormat="1" x14ac:dyDescent="0.2">
      <c r="J498"/>
      <c r="K498"/>
      <c r="L498"/>
      <c r="M498"/>
      <c r="N498"/>
      <c r="O498" s="392"/>
      <c r="P498" s="2"/>
      <c r="R498"/>
      <c r="S498"/>
      <c r="V498"/>
    </row>
    <row r="499" spans="10:22" s="1" customFormat="1" x14ac:dyDescent="0.2">
      <c r="J499"/>
      <c r="K499"/>
      <c r="L499"/>
      <c r="M499"/>
      <c r="N499"/>
      <c r="O499" s="392"/>
      <c r="P499" s="2"/>
      <c r="R499"/>
      <c r="S499"/>
      <c r="V499"/>
    </row>
    <row r="500" spans="10:22" s="1" customFormat="1" x14ac:dyDescent="0.2">
      <c r="J500"/>
      <c r="K500"/>
      <c r="L500"/>
      <c r="M500"/>
      <c r="N500"/>
      <c r="O500" s="392"/>
      <c r="P500" s="2"/>
      <c r="R500"/>
      <c r="S500"/>
      <c r="V500"/>
    </row>
    <row r="501" spans="10:22" s="1" customFormat="1" x14ac:dyDescent="0.2">
      <c r="J501"/>
      <c r="K501"/>
      <c r="L501"/>
      <c r="M501"/>
      <c r="N501"/>
      <c r="O501" s="392"/>
      <c r="P501" s="2"/>
      <c r="R501"/>
      <c r="S501"/>
      <c r="V501"/>
    </row>
    <row r="502" spans="10:22" s="1" customFormat="1" x14ac:dyDescent="0.2">
      <c r="J502"/>
      <c r="K502"/>
      <c r="L502"/>
      <c r="M502"/>
      <c r="N502"/>
      <c r="O502" s="392"/>
      <c r="P502" s="2"/>
      <c r="R502"/>
      <c r="S502"/>
      <c r="V502"/>
    </row>
    <row r="503" spans="10:22" s="1" customFormat="1" x14ac:dyDescent="0.2">
      <c r="J503"/>
      <c r="K503"/>
      <c r="L503"/>
      <c r="M503"/>
      <c r="N503"/>
      <c r="O503" s="392"/>
      <c r="P503" s="2"/>
      <c r="R503"/>
      <c r="S503"/>
      <c r="V503"/>
    </row>
    <row r="504" spans="10:22" s="1" customFormat="1" x14ac:dyDescent="0.2">
      <c r="J504"/>
      <c r="K504"/>
      <c r="L504"/>
      <c r="M504"/>
      <c r="N504"/>
      <c r="O504" s="392"/>
      <c r="P504" s="2"/>
      <c r="R504"/>
      <c r="S504"/>
      <c r="V504"/>
    </row>
    <row r="505" spans="10:22" s="1" customFormat="1" x14ac:dyDescent="0.2">
      <c r="J505"/>
      <c r="K505"/>
      <c r="L505"/>
      <c r="M505"/>
      <c r="N505"/>
      <c r="O505" s="392"/>
      <c r="P505" s="2"/>
      <c r="R505"/>
      <c r="S505"/>
      <c r="V505"/>
    </row>
    <row r="506" spans="10:22" s="1" customFormat="1" x14ac:dyDescent="0.2">
      <c r="J506"/>
      <c r="K506"/>
      <c r="L506"/>
      <c r="M506"/>
      <c r="N506"/>
      <c r="O506" s="392"/>
      <c r="P506" s="2"/>
      <c r="R506"/>
      <c r="S506"/>
      <c r="V506"/>
    </row>
    <row r="507" spans="10:22" s="1" customFormat="1" x14ac:dyDescent="0.2">
      <c r="J507"/>
      <c r="K507"/>
      <c r="L507"/>
      <c r="M507"/>
      <c r="N507"/>
      <c r="O507" s="392"/>
      <c r="P507" s="2"/>
      <c r="R507"/>
      <c r="S507"/>
      <c r="V507"/>
    </row>
    <row r="508" spans="10:22" s="1" customFormat="1" x14ac:dyDescent="0.2">
      <c r="J508"/>
      <c r="K508"/>
      <c r="L508"/>
      <c r="M508"/>
      <c r="N508"/>
      <c r="O508" s="392"/>
      <c r="P508" s="2"/>
      <c r="R508"/>
      <c r="S508"/>
      <c r="V508"/>
    </row>
    <row r="509" spans="10:22" s="1" customFormat="1" x14ac:dyDescent="0.2">
      <c r="J509"/>
      <c r="K509"/>
      <c r="L509"/>
      <c r="M509"/>
      <c r="N509"/>
      <c r="O509" s="392"/>
      <c r="P509" s="2"/>
      <c r="R509"/>
      <c r="S509"/>
      <c r="V509"/>
    </row>
    <row r="510" spans="10:22" s="1" customFormat="1" x14ac:dyDescent="0.2">
      <c r="J510"/>
      <c r="K510"/>
      <c r="L510"/>
      <c r="M510"/>
      <c r="N510"/>
      <c r="O510" s="392"/>
      <c r="P510" s="2"/>
      <c r="R510"/>
      <c r="S510"/>
      <c r="V510"/>
    </row>
    <row r="511" spans="10:22" s="1" customFormat="1" x14ac:dyDescent="0.2">
      <c r="J511"/>
      <c r="K511"/>
      <c r="L511"/>
      <c r="M511"/>
      <c r="N511"/>
      <c r="O511" s="392"/>
      <c r="P511" s="2"/>
      <c r="R511"/>
      <c r="S511"/>
      <c r="V511"/>
    </row>
    <row r="512" spans="10:22" s="1" customFormat="1" x14ac:dyDescent="0.2">
      <c r="J512"/>
      <c r="K512"/>
      <c r="L512"/>
      <c r="M512"/>
      <c r="N512"/>
      <c r="O512" s="392"/>
      <c r="P512" s="2"/>
      <c r="R512"/>
      <c r="S512"/>
      <c r="V512"/>
    </row>
    <row r="513" spans="10:22" s="1" customFormat="1" x14ac:dyDescent="0.2">
      <c r="J513"/>
      <c r="K513"/>
      <c r="L513"/>
      <c r="M513"/>
      <c r="N513"/>
      <c r="O513" s="392"/>
      <c r="P513" s="2"/>
      <c r="R513"/>
      <c r="S513"/>
      <c r="V513"/>
    </row>
    <row r="514" spans="10:22" s="1" customFormat="1" x14ac:dyDescent="0.2">
      <c r="J514"/>
      <c r="K514"/>
      <c r="L514"/>
      <c r="M514"/>
      <c r="N514"/>
      <c r="O514" s="392"/>
      <c r="P514" s="2"/>
      <c r="R514"/>
      <c r="S514"/>
      <c r="V514"/>
    </row>
    <row r="515" spans="10:22" s="1" customFormat="1" x14ac:dyDescent="0.2">
      <c r="J515"/>
      <c r="K515"/>
      <c r="L515"/>
      <c r="M515"/>
      <c r="N515"/>
      <c r="O515" s="392"/>
      <c r="P515" s="2"/>
      <c r="R515"/>
      <c r="S515"/>
      <c r="V515"/>
    </row>
    <row r="516" spans="10:22" s="1" customFormat="1" x14ac:dyDescent="0.2">
      <c r="J516"/>
      <c r="K516"/>
      <c r="L516"/>
      <c r="M516"/>
      <c r="N516"/>
      <c r="O516" s="392"/>
      <c r="P516" s="2"/>
      <c r="R516"/>
      <c r="S516"/>
      <c r="V516"/>
    </row>
    <row r="517" spans="10:22" s="1" customFormat="1" x14ac:dyDescent="0.2">
      <c r="J517"/>
      <c r="K517"/>
      <c r="L517"/>
      <c r="M517"/>
      <c r="N517"/>
      <c r="O517" s="392"/>
      <c r="P517" s="2"/>
      <c r="R517"/>
      <c r="S517"/>
      <c r="V517"/>
    </row>
    <row r="518" spans="10:22" s="1" customFormat="1" x14ac:dyDescent="0.2">
      <c r="J518"/>
      <c r="K518"/>
      <c r="L518"/>
      <c r="M518"/>
      <c r="N518"/>
      <c r="O518" s="392"/>
      <c r="P518" s="2"/>
      <c r="R518"/>
      <c r="S518"/>
      <c r="V518"/>
    </row>
    <row r="519" spans="10:22" s="1" customFormat="1" x14ac:dyDescent="0.2">
      <c r="J519"/>
      <c r="K519"/>
      <c r="L519"/>
      <c r="M519"/>
      <c r="N519"/>
      <c r="O519" s="392"/>
      <c r="P519" s="2"/>
      <c r="R519"/>
      <c r="S519"/>
      <c r="V519"/>
    </row>
    <row r="520" spans="10:22" s="1" customFormat="1" x14ac:dyDescent="0.2">
      <c r="J520"/>
      <c r="K520"/>
      <c r="L520"/>
      <c r="M520"/>
      <c r="N520"/>
      <c r="O520" s="392"/>
      <c r="P520" s="2"/>
      <c r="R520"/>
      <c r="S520"/>
      <c r="V520"/>
    </row>
    <row r="521" spans="10:22" s="1" customFormat="1" x14ac:dyDescent="0.2">
      <c r="J521"/>
      <c r="K521"/>
      <c r="L521"/>
      <c r="M521"/>
      <c r="N521"/>
      <c r="O521" s="392"/>
      <c r="P521" s="2"/>
      <c r="R521"/>
      <c r="S521"/>
      <c r="V521"/>
    </row>
    <row r="522" spans="10:22" s="1" customFormat="1" x14ac:dyDescent="0.2">
      <c r="J522"/>
      <c r="K522"/>
      <c r="L522"/>
      <c r="M522"/>
      <c r="N522"/>
      <c r="O522" s="392"/>
      <c r="P522" s="2"/>
      <c r="R522"/>
      <c r="S522"/>
      <c r="V522"/>
    </row>
    <row r="523" spans="10:22" s="1" customFormat="1" x14ac:dyDescent="0.2">
      <c r="J523"/>
      <c r="K523"/>
      <c r="L523"/>
      <c r="M523"/>
      <c r="N523"/>
      <c r="O523" s="392"/>
      <c r="P523" s="2"/>
      <c r="R523"/>
      <c r="S523"/>
      <c r="V523"/>
    </row>
    <row r="524" spans="10:22" s="1" customFormat="1" x14ac:dyDescent="0.2">
      <c r="J524"/>
      <c r="K524"/>
      <c r="L524"/>
      <c r="M524"/>
      <c r="N524"/>
      <c r="O524" s="392"/>
      <c r="P524" s="2"/>
      <c r="R524"/>
      <c r="S524"/>
      <c r="V524"/>
    </row>
    <row r="525" spans="10:22" s="1" customFormat="1" x14ac:dyDescent="0.2">
      <c r="J525"/>
      <c r="K525"/>
      <c r="L525"/>
      <c r="M525"/>
      <c r="N525"/>
      <c r="O525" s="392"/>
      <c r="P525" s="2"/>
      <c r="R525"/>
      <c r="S525"/>
      <c r="V525"/>
    </row>
    <row r="526" spans="10:22" s="1" customFormat="1" x14ac:dyDescent="0.2">
      <c r="J526"/>
      <c r="K526"/>
      <c r="L526"/>
      <c r="M526"/>
      <c r="N526"/>
      <c r="O526" s="392"/>
      <c r="P526" s="2"/>
      <c r="R526"/>
      <c r="S526"/>
      <c r="V526"/>
    </row>
    <row r="527" spans="10:22" s="1" customFormat="1" x14ac:dyDescent="0.2">
      <c r="J527"/>
      <c r="K527"/>
      <c r="L527"/>
      <c r="M527"/>
      <c r="N527"/>
      <c r="O527" s="392"/>
      <c r="P527" s="2"/>
      <c r="R527"/>
      <c r="S527"/>
      <c r="V527"/>
    </row>
    <row r="528" spans="10:22" s="1" customFormat="1" x14ac:dyDescent="0.2">
      <c r="J528"/>
      <c r="K528"/>
      <c r="L528"/>
      <c r="M528"/>
      <c r="N528"/>
      <c r="O528" s="392"/>
      <c r="P528" s="2"/>
      <c r="R528"/>
      <c r="S528"/>
      <c r="V528"/>
    </row>
    <row r="529" spans="10:22" s="1" customFormat="1" x14ac:dyDescent="0.2">
      <c r="J529"/>
      <c r="K529"/>
      <c r="L529"/>
      <c r="M529"/>
      <c r="N529"/>
      <c r="O529" s="392"/>
      <c r="P529" s="2"/>
      <c r="R529"/>
      <c r="S529"/>
      <c r="V529"/>
    </row>
    <row r="530" spans="10:22" s="1" customFormat="1" x14ac:dyDescent="0.2">
      <c r="J530"/>
      <c r="K530"/>
      <c r="L530"/>
      <c r="M530"/>
      <c r="N530"/>
      <c r="O530" s="392"/>
      <c r="P530" s="2"/>
      <c r="R530"/>
      <c r="S530"/>
      <c r="V530"/>
    </row>
    <row r="531" spans="10:22" s="1" customFormat="1" x14ac:dyDescent="0.2">
      <c r="J531"/>
      <c r="K531"/>
      <c r="L531"/>
      <c r="M531"/>
      <c r="N531"/>
      <c r="O531" s="392"/>
      <c r="P531" s="2"/>
      <c r="R531"/>
      <c r="S531"/>
      <c r="V531"/>
    </row>
    <row r="532" spans="10:22" s="1" customFormat="1" x14ac:dyDescent="0.2">
      <c r="J532"/>
      <c r="K532"/>
      <c r="L532"/>
      <c r="M532"/>
      <c r="N532"/>
      <c r="O532" s="392"/>
      <c r="P532" s="2"/>
      <c r="R532"/>
      <c r="S532"/>
      <c r="V532"/>
    </row>
    <row r="533" spans="10:22" s="1" customFormat="1" x14ac:dyDescent="0.2">
      <c r="J533"/>
      <c r="K533"/>
      <c r="L533"/>
      <c r="M533"/>
      <c r="N533"/>
      <c r="O533" s="392"/>
      <c r="P533" s="2"/>
      <c r="R533"/>
      <c r="S533"/>
      <c r="V533"/>
    </row>
    <row r="534" spans="10:22" s="1" customFormat="1" x14ac:dyDescent="0.2">
      <c r="J534"/>
      <c r="K534"/>
      <c r="L534"/>
      <c r="M534"/>
      <c r="N534"/>
      <c r="O534" s="392"/>
      <c r="P534" s="2"/>
      <c r="R534"/>
      <c r="S534"/>
      <c r="V534"/>
    </row>
    <row r="535" spans="10:22" s="1" customFormat="1" x14ac:dyDescent="0.2">
      <c r="J535"/>
      <c r="K535"/>
      <c r="L535"/>
      <c r="M535"/>
      <c r="N535"/>
      <c r="O535" s="392"/>
      <c r="P535" s="2"/>
      <c r="R535"/>
      <c r="S535"/>
      <c r="V535"/>
    </row>
    <row r="536" spans="10:22" s="1" customFormat="1" x14ac:dyDescent="0.2">
      <c r="J536"/>
      <c r="K536"/>
      <c r="L536"/>
      <c r="M536"/>
      <c r="N536"/>
      <c r="O536" s="392"/>
      <c r="P536" s="2"/>
      <c r="R536"/>
      <c r="S536"/>
      <c r="V536"/>
    </row>
    <row r="537" spans="10:22" s="1" customFormat="1" x14ac:dyDescent="0.2">
      <c r="J537"/>
      <c r="K537"/>
      <c r="L537"/>
      <c r="M537"/>
      <c r="N537"/>
      <c r="O537" s="392"/>
      <c r="P537" s="2"/>
      <c r="R537"/>
      <c r="S537"/>
      <c r="V537"/>
    </row>
    <row r="538" spans="10:22" s="1" customFormat="1" x14ac:dyDescent="0.2">
      <c r="J538"/>
      <c r="K538"/>
      <c r="L538"/>
      <c r="M538"/>
      <c r="N538"/>
      <c r="O538" s="392"/>
      <c r="P538" s="2"/>
      <c r="R538"/>
      <c r="S538"/>
      <c r="V538"/>
    </row>
    <row r="539" spans="10:22" s="1" customFormat="1" x14ac:dyDescent="0.2">
      <c r="J539"/>
      <c r="K539"/>
      <c r="L539"/>
      <c r="M539"/>
      <c r="N539"/>
      <c r="O539" s="392"/>
      <c r="P539" s="2"/>
      <c r="R539"/>
      <c r="S539"/>
      <c r="V539"/>
    </row>
    <row r="540" spans="10:22" s="1" customFormat="1" x14ac:dyDescent="0.2">
      <c r="J540"/>
      <c r="K540"/>
      <c r="L540"/>
      <c r="M540"/>
      <c r="N540"/>
      <c r="O540" s="392"/>
      <c r="P540" s="2"/>
      <c r="R540"/>
      <c r="S540"/>
      <c r="V540"/>
    </row>
    <row r="541" spans="10:22" s="1" customFormat="1" x14ac:dyDescent="0.2">
      <c r="J541"/>
      <c r="K541"/>
      <c r="L541"/>
      <c r="M541"/>
      <c r="N541"/>
      <c r="O541" s="392"/>
      <c r="P541" s="2"/>
      <c r="R541"/>
      <c r="S541"/>
      <c r="V541"/>
    </row>
    <row r="542" spans="10:22" s="1" customFormat="1" x14ac:dyDescent="0.2">
      <c r="J542"/>
      <c r="K542"/>
      <c r="L542"/>
      <c r="M542"/>
      <c r="N542"/>
      <c r="O542" s="392"/>
      <c r="P542" s="2"/>
      <c r="R542"/>
      <c r="S542"/>
      <c r="V542"/>
    </row>
    <row r="543" spans="10:22" s="1" customFormat="1" x14ac:dyDescent="0.2">
      <c r="J543"/>
      <c r="K543"/>
      <c r="L543"/>
      <c r="M543"/>
      <c r="N543"/>
      <c r="O543" s="392"/>
      <c r="P543" s="2"/>
      <c r="R543"/>
      <c r="S543"/>
      <c r="V543"/>
    </row>
    <row r="544" spans="10:22" s="1" customFormat="1" x14ac:dyDescent="0.2">
      <c r="J544"/>
      <c r="K544"/>
      <c r="L544"/>
      <c r="M544"/>
      <c r="N544"/>
      <c r="O544" s="392"/>
      <c r="P544" s="2"/>
      <c r="R544"/>
      <c r="S544"/>
      <c r="V544"/>
    </row>
    <row r="545" spans="10:22" s="1" customFormat="1" x14ac:dyDescent="0.2">
      <c r="J545"/>
      <c r="K545"/>
      <c r="L545"/>
      <c r="M545"/>
      <c r="N545"/>
      <c r="O545" s="392"/>
      <c r="P545" s="2"/>
      <c r="R545"/>
      <c r="S545"/>
      <c r="V545"/>
    </row>
    <row r="546" spans="10:22" s="1" customFormat="1" x14ac:dyDescent="0.2">
      <c r="J546"/>
      <c r="K546"/>
      <c r="L546"/>
      <c r="M546"/>
      <c r="N546"/>
      <c r="O546" s="392"/>
      <c r="P546" s="2"/>
      <c r="R546"/>
      <c r="S546"/>
      <c r="V546"/>
    </row>
    <row r="547" spans="10:22" s="1" customFormat="1" x14ac:dyDescent="0.2">
      <c r="J547"/>
      <c r="K547"/>
      <c r="L547"/>
      <c r="M547"/>
      <c r="N547"/>
      <c r="O547" s="392"/>
      <c r="P547" s="2"/>
      <c r="R547"/>
      <c r="S547"/>
      <c r="V547"/>
    </row>
    <row r="548" spans="10:22" s="1" customFormat="1" x14ac:dyDescent="0.2">
      <c r="J548"/>
      <c r="K548"/>
      <c r="L548"/>
      <c r="M548"/>
      <c r="N548"/>
      <c r="O548" s="392"/>
      <c r="P548" s="2"/>
      <c r="R548"/>
      <c r="S548"/>
      <c r="V548"/>
    </row>
    <row r="549" spans="10:22" s="1" customFormat="1" x14ac:dyDescent="0.2">
      <c r="J549"/>
      <c r="K549"/>
      <c r="L549"/>
      <c r="M549"/>
      <c r="N549"/>
      <c r="O549" s="392"/>
      <c r="P549" s="2"/>
      <c r="R549"/>
      <c r="S549"/>
      <c r="V549"/>
    </row>
    <row r="550" spans="10:22" s="1" customFormat="1" x14ac:dyDescent="0.2">
      <c r="J550"/>
      <c r="K550"/>
      <c r="L550"/>
      <c r="M550"/>
      <c r="N550"/>
      <c r="O550" s="392"/>
      <c r="P550" s="2"/>
      <c r="R550"/>
      <c r="S550"/>
      <c r="V550"/>
    </row>
    <row r="551" spans="10:22" s="1" customFormat="1" x14ac:dyDescent="0.2">
      <c r="J551"/>
      <c r="K551"/>
      <c r="L551"/>
      <c r="M551"/>
      <c r="N551"/>
      <c r="O551" s="392"/>
      <c r="P551" s="2"/>
      <c r="R551"/>
      <c r="S551"/>
      <c r="V551"/>
    </row>
    <row r="552" spans="10:22" s="1" customFormat="1" x14ac:dyDescent="0.2">
      <c r="J552"/>
      <c r="K552"/>
      <c r="L552"/>
      <c r="M552"/>
      <c r="N552"/>
      <c r="O552" s="392"/>
      <c r="P552" s="2"/>
      <c r="R552"/>
      <c r="S552"/>
      <c r="V552"/>
    </row>
    <row r="553" spans="10:22" s="1" customFormat="1" x14ac:dyDescent="0.2">
      <c r="J553"/>
      <c r="K553"/>
      <c r="L553"/>
      <c r="M553"/>
      <c r="N553"/>
      <c r="O553" s="392"/>
      <c r="P553" s="2"/>
      <c r="R553"/>
      <c r="S553"/>
      <c r="V553"/>
    </row>
    <row r="554" spans="10:22" s="1" customFormat="1" x14ac:dyDescent="0.2">
      <c r="J554"/>
      <c r="K554"/>
      <c r="L554"/>
      <c r="M554"/>
      <c r="N554"/>
      <c r="O554" s="392"/>
      <c r="P554" s="2"/>
      <c r="R554"/>
      <c r="S554"/>
      <c r="V554"/>
    </row>
    <row r="555" spans="10:22" s="1" customFormat="1" x14ac:dyDescent="0.2">
      <c r="J555"/>
      <c r="K555"/>
      <c r="L555"/>
      <c r="M555"/>
      <c r="N555"/>
      <c r="O555" s="392"/>
      <c r="P555" s="2"/>
      <c r="R555"/>
      <c r="S555"/>
      <c r="V555"/>
    </row>
    <row r="556" spans="10:22" s="1" customFormat="1" x14ac:dyDescent="0.2">
      <c r="J556"/>
      <c r="K556"/>
      <c r="L556"/>
      <c r="M556"/>
      <c r="N556"/>
      <c r="O556" s="392"/>
      <c r="P556" s="2"/>
      <c r="R556"/>
      <c r="S556"/>
      <c r="V556"/>
    </row>
    <row r="557" spans="10:22" s="1" customFormat="1" x14ac:dyDescent="0.2">
      <c r="J557"/>
      <c r="K557"/>
      <c r="L557"/>
      <c r="M557"/>
      <c r="N557"/>
      <c r="O557" s="392"/>
      <c r="P557" s="2"/>
      <c r="R557"/>
      <c r="S557"/>
      <c r="V557"/>
    </row>
    <row r="558" spans="10:22" s="1" customFormat="1" x14ac:dyDescent="0.2">
      <c r="J558"/>
      <c r="K558"/>
      <c r="L558"/>
      <c r="M558"/>
      <c r="N558"/>
      <c r="O558" s="392"/>
      <c r="P558" s="2"/>
      <c r="R558"/>
      <c r="S558"/>
      <c r="V558"/>
    </row>
    <row r="559" spans="10:22" s="1" customFormat="1" x14ac:dyDescent="0.2">
      <c r="J559"/>
      <c r="K559"/>
      <c r="L559"/>
      <c r="M559"/>
      <c r="N559"/>
      <c r="O559" s="392"/>
      <c r="P559" s="2"/>
      <c r="R559"/>
      <c r="S559"/>
      <c r="V559"/>
    </row>
    <row r="560" spans="10:22" s="1" customFormat="1" x14ac:dyDescent="0.2">
      <c r="J560"/>
      <c r="K560"/>
      <c r="L560"/>
      <c r="M560"/>
      <c r="N560"/>
      <c r="O560" s="392"/>
      <c r="P560" s="2"/>
      <c r="R560"/>
      <c r="S560"/>
      <c r="V560"/>
    </row>
    <row r="561" spans="10:22" s="1" customFormat="1" x14ac:dyDescent="0.2">
      <c r="J561"/>
      <c r="K561"/>
      <c r="L561"/>
      <c r="M561"/>
      <c r="N561"/>
      <c r="O561" s="392"/>
      <c r="P561" s="2"/>
      <c r="R561"/>
      <c r="S561"/>
      <c r="V561"/>
    </row>
    <row r="562" spans="10:22" s="1" customFormat="1" x14ac:dyDescent="0.2">
      <c r="J562"/>
      <c r="K562"/>
      <c r="L562"/>
      <c r="M562"/>
      <c r="N562"/>
      <c r="O562" s="392"/>
      <c r="P562" s="2"/>
      <c r="R562"/>
      <c r="S562"/>
      <c r="V562"/>
    </row>
    <row r="563" spans="10:22" s="1" customFormat="1" x14ac:dyDescent="0.2">
      <c r="J563"/>
      <c r="K563"/>
      <c r="L563"/>
      <c r="M563"/>
      <c r="N563"/>
      <c r="O563" s="392"/>
      <c r="P563" s="2"/>
      <c r="R563"/>
      <c r="S563"/>
      <c r="V563"/>
    </row>
    <row r="564" spans="10:22" s="1" customFormat="1" x14ac:dyDescent="0.2">
      <c r="J564"/>
      <c r="K564"/>
      <c r="L564"/>
      <c r="M564"/>
      <c r="N564"/>
      <c r="O564" s="392"/>
      <c r="P564" s="2"/>
      <c r="R564"/>
      <c r="S564"/>
      <c r="V564"/>
    </row>
    <row r="565" spans="10:22" s="1" customFormat="1" x14ac:dyDescent="0.2">
      <c r="J565"/>
      <c r="K565"/>
      <c r="L565"/>
      <c r="M565"/>
      <c r="N565"/>
      <c r="O565" s="392"/>
      <c r="P565" s="2"/>
      <c r="R565"/>
      <c r="S565"/>
      <c r="V565"/>
    </row>
    <row r="566" spans="10:22" s="1" customFormat="1" x14ac:dyDescent="0.2">
      <c r="J566"/>
      <c r="K566"/>
      <c r="L566"/>
      <c r="M566"/>
      <c r="N566"/>
      <c r="O566" s="392"/>
      <c r="P566" s="2"/>
      <c r="R566"/>
      <c r="S566"/>
      <c r="V566"/>
    </row>
    <row r="567" spans="10:22" s="1" customFormat="1" x14ac:dyDescent="0.2">
      <c r="J567"/>
      <c r="K567"/>
      <c r="L567"/>
      <c r="M567"/>
      <c r="N567"/>
      <c r="O567" s="392"/>
      <c r="P567" s="2"/>
      <c r="R567"/>
      <c r="S567"/>
      <c r="V567"/>
    </row>
    <row r="568" spans="10:22" s="1" customFormat="1" x14ac:dyDescent="0.2">
      <c r="J568"/>
      <c r="K568"/>
      <c r="L568"/>
      <c r="M568"/>
      <c r="N568"/>
      <c r="O568" s="392"/>
      <c r="P568" s="2"/>
      <c r="R568"/>
      <c r="S568"/>
      <c r="V568"/>
    </row>
    <row r="569" spans="10:22" s="1" customFormat="1" x14ac:dyDescent="0.2">
      <c r="J569"/>
      <c r="K569"/>
      <c r="L569"/>
      <c r="M569"/>
      <c r="N569"/>
      <c r="O569" s="392"/>
      <c r="P569" s="2"/>
      <c r="R569"/>
      <c r="S569"/>
      <c r="V569"/>
    </row>
    <row r="570" spans="10:22" s="1" customFormat="1" x14ac:dyDescent="0.2">
      <c r="J570"/>
      <c r="K570"/>
      <c r="L570"/>
      <c r="M570"/>
      <c r="N570"/>
      <c r="O570" s="392"/>
      <c r="P570" s="2"/>
      <c r="R570"/>
      <c r="S570"/>
      <c r="V570"/>
    </row>
    <row r="571" spans="10:22" s="1" customFormat="1" x14ac:dyDescent="0.2">
      <c r="J571"/>
      <c r="K571"/>
      <c r="L571"/>
      <c r="M571"/>
      <c r="N571"/>
      <c r="O571" s="392"/>
      <c r="P571" s="2"/>
      <c r="R571"/>
      <c r="S571"/>
      <c r="V571"/>
    </row>
    <row r="572" spans="10:22" s="1" customFormat="1" x14ac:dyDescent="0.2">
      <c r="J572"/>
      <c r="K572"/>
      <c r="L572"/>
      <c r="M572"/>
      <c r="N572"/>
      <c r="O572" s="392"/>
      <c r="P572" s="2"/>
      <c r="R572"/>
      <c r="S572"/>
      <c r="V572"/>
    </row>
    <row r="573" spans="10:22" s="1" customFormat="1" x14ac:dyDescent="0.2">
      <c r="J573"/>
      <c r="K573"/>
      <c r="L573"/>
      <c r="M573"/>
      <c r="N573"/>
      <c r="O573" s="392"/>
      <c r="P573" s="2"/>
      <c r="R573"/>
      <c r="S573"/>
      <c r="V573"/>
    </row>
    <row r="574" spans="10:22" s="1" customFormat="1" x14ac:dyDescent="0.2">
      <c r="J574"/>
      <c r="K574"/>
      <c r="L574"/>
      <c r="M574"/>
      <c r="N574"/>
      <c r="O574" s="392"/>
      <c r="P574" s="2"/>
      <c r="R574"/>
      <c r="S574"/>
      <c r="V574"/>
    </row>
    <row r="575" spans="10:22" s="1" customFormat="1" x14ac:dyDescent="0.2">
      <c r="J575"/>
      <c r="K575"/>
      <c r="L575"/>
      <c r="M575"/>
      <c r="N575"/>
      <c r="O575" s="392"/>
      <c r="P575" s="2"/>
      <c r="R575"/>
      <c r="S575"/>
      <c r="V575"/>
    </row>
    <row r="576" spans="10:22" s="1" customFormat="1" x14ac:dyDescent="0.2">
      <c r="J576"/>
      <c r="K576"/>
      <c r="L576"/>
      <c r="M576"/>
      <c r="N576"/>
      <c r="O576" s="392"/>
      <c r="P576" s="2"/>
      <c r="R576"/>
      <c r="S576"/>
      <c r="V576"/>
    </row>
    <row r="577" spans="10:22" s="1" customFormat="1" x14ac:dyDescent="0.2">
      <c r="J577"/>
      <c r="K577"/>
      <c r="L577"/>
      <c r="M577"/>
      <c r="N577"/>
      <c r="O577" s="392"/>
      <c r="P577" s="2"/>
      <c r="R577"/>
      <c r="S577"/>
      <c r="V577"/>
    </row>
    <row r="578" spans="10:22" s="1" customFormat="1" x14ac:dyDescent="0.2">
      <c r="J578"/>
      <c r="K578"/>
      <c r="L578"/>
      <c r="M578"/>
      <c r="N578"/>
      <c r="O578" s="392"/>
      <c r="P578" s="2"/>
      <c r="R578"/>
      <c r="S578"/>
      <c r="V578"/>
    </row>
    <row r="579" spans="10:22" s="1" customFormat="1" x14ac:dyDescent="0.2">
      <c r="J579"/>
      <c r="K579"/>
      <c r="L579"/>
      <c r="M579"/>
      <c r="N579"/>
      <c r="O579" s="392"/>
      <c r="P579" s="2"/>
      <c r="R579"/>
      <c r="S579"/>
      <c r="V579"/>
    </row>
    <row r="580" spans="10:22" s="1" customFormat="1" x14ac:dyDescent="0.2">
      <c r="J580"/>
      <c r="K580"/>
      <c r="L580"/>
      <c r="M580"/>
      <c r="N580"/>
      <c r="O580" s="392"/>
      <c r="P580" s="2"/>
      <c r="R580"/>
      <c r="S580"/>
      <c r="V580"/>
    </row>
    <row r="581" spans="10:22" s="1" customFormat="1" x14ac:dyDescent="0.2">
      <c r="J581"/>
      <c r="K581"/>
      <c r="L581"/>
      <c r="M581"/>
      <c r="N581"/>
      <c r="O581" s="392"/>
      <c r="P581" s="2"/>
      <c r="R581"/>
      <c r="S581"/>
      <c r="V581"/>
    </row>
    <row r="582" spans="10:22" s="1" customFormat="1" x14ac:dyDescent="0.2">
      <c r="J582"/>
      <c r="K582"/>
      <c r="L582"/>
      <c r="M582"/>
      <c r="N582"/>
      <c r="O582" s="392"/>
      <c r="P582" s="2"/>
      <c r="R582"/>
      <c r="S582"/>
      <c r="V582"/>
    </row>
    <row r="583" spans="10:22" s="1" customFormat="1" x14ac:dyDescent="0.2">
      <c r="J583"/>
      <c r="K583"/>
      <c r="L583"/>
      <c r="M583"/>
      <c r="N583"/>
      <c r="O583" s="392"/>
      <c r="P583" s="2"/>
      <c r="R583"/>
      <c r="S583"/>
      <c r="V583"/>
    </row>
    <row r="584" spans="10:22" s="1" customFormat="1" x14ac:dyDescent="0.2">
      <c r="J584"/>
      <c r="K584"/>
      <c r="L584"/>
      <c r="M584"/>
      <c r="N584"/>
      <c r="O584" s="392"/>
      <c r="P584" s="2"/>
      <c r="R584"/>
      <c r="S584"/>
      <c r="V584"/>
    </row>
    <row r="585" spans="10:22" s="1" customFormat="1" x14ac:dyDescent="0.2">
      <c r="J585"/>
      <c r="K585"/>
      <c r="L585"/>
      <c r="M585"/>
      <c r="N585"/>
      <c r="O585" s="392"/>
      <c r="P585" s="2"/>
      <c r="R585"/>
      <c r="S585"/>
      <c r="V585"/>
    </row>
    <row r="586" spans="10:22" s="1" customFormat="1" x14ac:dyDescent="0.2">
      <c r="J586"/>
      <c r="K586"/>
      <c r="L586"/>
      <c r="M586"/>
      <c r="N586"/>
      <c r="O586" s="392"/>
      <c r="P586" s="2"/>
      <c r="R586"/>
      <c r="S586"/>
      <c r="V586"/>
    </row>
    <row r="587" spans="10:22" s="1" customFormat="1" x14ac:dyDescent="0.2">
      <c r="J587"/>
      <c r="K587"/>
      <c r="L587"/>
      <c r="M587"/>
      <c r="N587"/>
      <c r="O587" s="392"/>
      <c r="P587" s="2"/>
      <c r="R587"/>
      <c r="S587"/>
      <c r="V587"/>
    </row>
    <row r="588" spans="10:22" s="1" customFormat="1" x14ac:dyDescent="0.2">
      <c r="J588"/>
      <c r="K588"/>
      <c r="L588"/>
      <c r="M588"/>
      <c r="N588"/>
      <c r="O588" s="392"/>
      <c r="P588" s="2"/>
      <c r="R588"/>
      <c r="S588"/>
      <c r="V588"/>
    </row>
    <row r="589" spans="10:22" s="1" customFormat="1" x14ac:dyDescent="0.2">
      <c r="J589"/>
      <c r="K589"/>
      <c r="L589"/>
      <c r="M589"/>
      <c r="N589"/>
      <c r="O589" s="392"/>
      <c r="P589" s="2"/>
      <c r="R589"/>
      <c r="S589"/>
      <c r="V589"/>
    </row>
    <row r="590" spans="10:22" s="1" customFormat="1" x14ac:dyDescent="0.2">
      <c r="J590"/>
      <c r="K590"/>
      <c r="L590"/>
      <c r="M590"/>
      <c r="N590"/>
      <c r="O590" s="392"/>
      <c r="P590" s="2"/>
      <c r="R590"/>
      <c r="S590"/>
      <c r="V590"/>
    </row>
    <row r="591" spans="10:22" s="1" customFormat="1" x14ac:dyDescent="0.2">
      <c r="J591"/>
      <c r="K591"/>
      <c r="L591"/>
      <c r="M591"/>
      <c r="N591"/>
      <c r="O591" s="392"/>
      <c r="P591" s="2"/>
      <c r="R591"/>
      <c r="S591"/>
      <c r="V591"/>
    </row>
    <row r="592" spans="10:22" s="1" customFormat="1" x14ac:dyDescent="0.2">
      <c r="J592"/>
      <c r="K592"/>
      <c r="L592"/>
      <c r="M592"/>
      <c r="N592"/>
      <c r="O592" s="392"/>
      <c r="P592" s="2"/>
      <c r="R592"/>
      <c r="S592"/>
      <c r="V592"/>
    </row>
    <row r="593" spans="10:22" s="1" customFormat="1" x14ac:dyDescent="0.2">
      <c r="J593"/>
      <c r="K593"/>
      <c r="L593"/>
      <c r="M593"/>
      <c r="N593"/>
      <c r="O593" s="392"/>
      <c r="P593" s="2"/>
      <c r="R593"/>
      <c r="S593"/>
      <c r="V593"/>
    </row>
    <row r="594" spans="10:22" s="1" customFormat="1" x14ac:dyDescent="0.2">
      <c r="J594"/>
      <c r="K594"/>
      <c r="L594"/>
      <c r="M594"/>
      <c r="N594"/>
      <c r="O594" s="392"/>
      <c r="P594" s="2"/>
      <c r="R594"/>
      <c r="S594"/>
      <c r="V594"/>
    </row>
    <row r="595" spans="10:22" s="1" customFormat="1" x14ac:dyDescent="0.2">
      <c r="J595"/>
      <c r="K595"/>
      <c r="L595"/>
      <c r="M595"/>
      <c r="N595"/>
      <c r="O595" s="392"/>
      <c r="P595" s="2"/>
      <c r="R595"/>
      <c r="S595"/>
      <c r="V595"/>
    </row>
    <row r="596" spans="10:22" s="1" customFormat="1" x14ac:dyDescent="0.2">
      <c r="J596"/>
      <c r="K596"/>
      <c r="L596"/>
      <c r="M596"/>
      <c r="N596"/>
      <c r="O596" s="392"/>
      <c r="P596" s="2"/>
      <c r="R596"/>
      <c r="S596"/>
      <c r="V596"/>
    </row>
    <row r="597" spans="10:22" s="1" customFormat="1" x14ac:dyDescent="0.2">
      <c r="J597"/>
      <c r="K597"/>
      <c r="L597"/>
      <c r="M597"/>
      <c r="N597"/>
      <c r="O597" s="392"/>
      <c r="P597" s="2"/>
      <c r="R597"/>
      <c r="S597"/>
      <c r="V597"/>
    </row>
    <row r="598" spans="10:22" s="1" customFormat="1" x14ac:dyDescent="0.2">
      <c r="J598"/>
      <c r="K598"/>
      <c r="L598"/>
      <c r="M598"/>
      <c r="N598"/>
      <c r="O598" s="392"/>
      <c r="P598" s="2"/>
      <c r="R598"/>
      <c r="S598"/>
      <c r="V598"/>
    </row>
    <row r="599" spans="10:22" s="1" customFormat="1" x14ac:dyDescent="0.2">
      <c r="J599"/>
      <c r="K599"/>
      <c r="L599"/>
      <c r="M599"/>
      <c r="N599"/>
      <c r="O599" s="392"/>
      <c r="P599" s="2"/>
      <c r="R599"/>
      <c r="S599"/>
      <c r="V599"/>
    </row>
    <row r="600" spans="10:22" s="1" customFormat="1" x14ac:dyDescent="0.2">
      <c r="J600"/>
      <c r="K600"/>
      <c r="L600"/>
      <c r="M600"/>
      <c r="N600"/>
      <c r="O600" s="392"/>
      <c r="P600" s="2"/>
      <c r="R600"/>
      <c r="S600"/>
      <c r="V600"/>
    </row>
    <row r="601" spans="10:22" s="1" customFormat="1" x14ac:dyDescent="0.2">
      <c r="J601"/>
      <c r="K601"/>
      <c r="L601"/>
      <c r="M601"/>
      <c r="N601"/>
      <c r="O601" s="392"/>
      <c r="P601" s="2"/>
      <c r="R601"/>
      <c r="S601"/>
      <c r="V601"/>
    </row>
    <row r="602" spans="10:22" s="1" customFormat="1" x14ac:dyDescent="0.2">
      <c r="J602"/>
      <c r="K602"/>
      <c r="L602"/>
      <c r="M602"/>
      <c r="N602"/>
      <c r="O602" s="392"/>
      <c r="P602" s="2"/>
      <c r="R602"/>
      <c r="S602"/>
      <c r="V602"/>
    </row>
    <row r="603" spans="10:22" s="1" customFormat="1" x14ac:dyDescent="0.2">
      <c r="J603"/>
      <c r="K603"/>
      <c r="L603"/>
      <c r="M603"/>
      <c r="N603"/>
      <c r="O603" s="392"/>
      <c r="P603" s="2"/>
      <c r="R603"/>
      <c r="S603"/>
      <c r="V603"/>
    </row>
    <row r="604" spans="10:22" s="1" customFormat="1" x14ac:dyDescent="0.2">
      <c r="J604"/>
      <c r="K604"/>
      <c r="L604"/>
      <c r="M604"/>
      <c r="N604"/>
      <c r="O604" s="392"/>
      <c r="P604" s="2"/>
      <c r="R604"/>
      <c r="S604"/>
      <c r="V604"/>
    </row>
    <row r="605" spans="10:22" s="1" customFormat="1" x14ac:dyDescent="0.2">
      <c r="J605"/>
      <c r="K605"/>
      <c r="L605"/>
      <c r="M605"/>
      <c r="N605"/>
      <c r="O605" s="392"/>
      <c r="P605" s="2"/>
      <c r="R605"/>
      <c r="S605"/>
      <c r="V605"/>
    </row>
    <row r="606" spans="10:22" s="1" customFormat="1" x14ac:dyDescent="0.2">
      <c r="J606"/>
      <c r="K606"/>
      <c r="L606"/>
      <c r="M606"/>
      <c r="N606"/>
      <c r="O606" s="392"/>
      <c r="P606" s="2"/>
      <c r="R606"/>
      <c r="S606"/>
      <c r="V606"/>
    </row>
    <row r="607" spans="10:22" s="1" customFormat="1" x14ac:dyDescent="0.2">
      <c r="J607"/>
      <c r="K607"/>
      <c r="L607"/>
      <c r="M607"/>
      <c r="N607"/>
      <c r="O607" s="392"/>
      <c r="P607" s="2"/>
      <c r="R607"/>
      <c r="S607"/>
      <c r="V607"/>
    </row>
    <row r="608" spans="10:22" s="1" customFormat="1" x14ac:dyDescent="0.2">
      <c r="J608"/>
      <c r="K608"/>
      <c r="L608"/>
      <c r="M608"/>
      <c r="N608"/>
      <c r="O608" s="392"/>
      <c r="P608" s="2"/>
      <c r="R608"/>
      <c r="S608"/>
      <c r="V608"/>
    </row>
    <row r="609" spans="10:22" s="1" customFormat="1" x14ac:dyDescent="0.2">
      <c r="J609"/>
      <c r="K609"/>
      <c r="L609"/>
      <c r="M609"/>
      <c r="N609"/>
      <c r="O609" s="392"/>
      <c r="P609" s="2"/>
      <c r="R609"/>
      <c r="S609"/>
      <c r="V609"/>
    </row>
    <row r="610" spans="10:22" s="1" customFormat="1" x14ac:dyDescent="0.2">
      <c r="J610"/>
      <c r="K610"/>
      <c r="L610"/>
      <c r="M610"/>
      <c r="N610"/>
      <c r="O610" s="392"/>
      <c r="P610" s="2"/>
      <c r="R610"/>
      <c r="S610"/>
      <c r="V610"/>
    </row>
    <row r="611" spans="10:22" s="1" customFormat="1" x14ac:dyDescent="0.2">
      <c r="J611"/>
      <c r="K611"/>
      <c r="L611"/>
      <c r="M611"/>
      <c r="N611"/>
      <c r="O611" s="392"/>
      <c r="P611" s="2"/>
      <c r="R611"/>
      <c r="S611"/>
      <c r="V611"/>
    </row>
    <row r="612" spans="10:22" s="1" customFormat="1" x14ac:dyDescent="0.2">
      <c r="J612"/>
      <c r="K612"/>
      <c r="L612"/>
      <c r="M612"/>
      <c r="N612"/>
      <c r="O612" s="392"/>
      <c r="P612" s="2"/>
      <c r="R612"/>
      <c r="S612"/>
      <c r="V612"/>
    </row>
    <row r="613" spans="10:22" s="1" customFormat="1" x14ac:dyDescent="0.2">
      <c r="J613"/>
      <c r="K613"/>
      <c r="L613"/>
      <c r="M613"/>
      <c r="N613"/>
      <c r="O613" s="392"/>
      <c r="P613" s="2"/>
      <c r="R613"/>
      <c r="S613"/>
      <c r="V613"/>
    </row>
    <row r="614" spans="10:22" s="1" customFormat="1" x14ac:dyDescent="0.2">
      <c r="J614"/>
      <c r="K614"/>
      <c r="L614"/>
      <c r="M614"/>
      <c r="N614"/>
      <c r="O614" s="392"/>
      <c r="P614" s="2"/>
      <c r="R614"/>
      <c r="S614"/>
      <c r="V614"/>
    </row>
    <row r="615" spans="10:22" s="1" customFormat="1" x14ac:dyDescent="0.2">
      <c r="J615"/>
      <c r="K615"/>
      <c r="L615"/>
      <c r="M615"/>
      <c r="N615"/>
      <c r="O615" s="392"/>
      <c r="P615" s="2"/>
      <c r="R615"/>
      <c r="S615"/>
      <c r="V615"/>
    </row>
    <row r="616" spans="10:22" s="1" customFormat="1" x14ac:dyDescent="0.2">
      <c r="J616"/>
      <c r="K616"/>
      <c r="L616"/>
      <c r="M616"/>
      <c r="N616"/>
      <c r="O616" s="392"/>
      <c r="P616" s="2"/>
      <c r="R616"/>
      <c r="S616"/>
      <c r="V616"/>
    </row>
    <row r="617" spans="10:22" s="1" customFormat="1" x14ac:dyDescent="0.2">
      <c r="J617"/>
      <c r="K617"/>
      <c r="L617"/>
      <c r="M617"/>
      <c r="N617"/>
      <c r="O617" s="392"/>
      <c r="P617" s="2"/>
      <c r="R617"/>
      <c r="S617"/>
      <c r="V617"/>
    </row>
    <row r="618" spans="10:22" s="1" customFormat="1" x14ac:dyDescent="0.2">
      <c r="J618"/>
      <c r="K618"/>
      <c r="L618"/>
      <c r="M618"/>
      <c r="N618"/>
      <c r="O618" s="392"/>
      <c r="P618" s="2"/>
      <c r="R618"/>
      <c r="S618"/>
      <c r="V618"/>
    </row>
    <row r="619" spans="10:22" s="1" customFormat="1" x14ac:dyDescent="0.2">
      <c r="J619"/>
      <c r="K619"/>
      <c r="L619"/>
      <c r="M619"/>
      <c r="N619"/>
      <c r="O619" s="392"/>
      <c r="P619" s="2"/>
      <c r="R619"/>
      <c r="S619"/>
      <c r="V619"/>
    </row>
    <row r="620" spans="10:22" s="1" customFormat="1" x14ac:dyDescent="0.2">
      <c r="J620"/>
      <c r="K620"/>
      <c r="L620"/>
      <c r="M620"/>
      <c r="N620"/>
      <c r="O620" s="392"/>
      <c r="P620" s="2"/>
      <c r="R620"/>
      <c r="S620"/>
      <c r="V620"/>
    </row>
    <row r="621" spans="10:22" s="1" customFormat="1" x14ac:dyDescent="0.2">
      <c r="J621"/>
      <c r="K621"/>
      <c r="L621"/>
      <c r="M621"/>
      <c r="N621"/>
      <c r="O621" s="392"/>
      <c r="P621" s="2"/>
      <c r="R621"/>
      <c r="S621"/>
      <c r="V621"/>
    </row>
    <row r="622" spans="10:22" s="1" customFormat="1" x14ac:dyDescent="0.2">
      <c r="J622"/>
      <c r="K622"/>
      <c r="L622"/>
      <c r="M622"/>
      <c r="N622"/>
      <c r="O622" s="392"/>
      <c r="P622" s="2"/>
      <c r="R622"/>
      <c r="S622"/>
      <c r="V622"/>
    </row>
    <row r="623" spans="10:22" s="1" customFormat="1" x14ac:dyDescent="0.2">
      <c r="J623"/>
      <c r="K623"/>
      <c r="L623"/>
      <c r="M623"/>
      <c r="N623"/>
      <c r="O623" s="392"/>
      <c r="P623" s="2"/>
      <c r="R623"/>
      <c r="S623"/>
      <c r="V623"/>
    </row>
    <row r="624" spans="10:22" s="1" customFormat="1" x14ac:dyDescent="0.2">
      <c r="J624"/>
      <c r="K624"/>
      <c r="L624"/>
      <c r="M624"/>
      <c r="N624"/>
      <c r="O624" s="392"/>
      <c r="P624" s="2"/>
      <c r="R624"/>
      <c r="S624"/>
      <c r="V624"/>
    </row>
    <row r="625" spans="10:22" s="1" customFormat="1" x14ac:dyDescent="0.2">
      <c r="J625"/>
      <c r="K625"/>
      <c r="L625"/>
      <c r="M625"/>
      <c r="N625"/>
      <c r="O625" s="392"/>
      <c r="P625" s="2"/>
      <c r="R625"/>
      <c r="S625"/>
      <c r="V625"/>
    </row>
    <row r="626" spans="10:22" s="1" customFormat="1" x14ac:dyDescent="0.2">
      <c r="J626"/>
      <c r="K626"/>
      <c r="L626"/>
      <c r="M626"/>
      <c r="N626"/>
      <c r="O626" s="392"/>
      <c r="P626" s="2"/>
      <c r="R626"/>
      <c r="S626"/>
      <c r="V626"/>
    </row>
    <row r="627" spans="10:22" s="1" customFormat="1" x14ac:dyDescent="0.2">
      <c r="J627"/>
      <c r="K627"/>
      <c r="L627"/>
      <c r="M627"/>
      <c r="N627"/>
      <c r="O627" s="392"/>
      <c r="P627" s="2"/>
      <c r="R627"/>
      <c r="S627"/>
      <c r="V627"/>
    </row>
    <row r="628" spans="10:22" s="1" customFormat="1" x14ac:dyDescent="0.2">
      <c r="J628"/>
      <c r="K628"/>
      <c r="L628"/>
      <c r="M628"/>
      <c r="N628"/>
      <c r="O628" s="392"/>
      <c r="P628" s="2"/>
      <c r="R628"/>
      <c r="S628"/>
      <c r="V628"/>
    </row>
    <row r="629" spans="10:22" s="1" customFormat="1" x14ac:dyDescent="0.2">
      <c r="J629"/>
      <c r="K629"/>
      <c r="L629"/>
      <c r="M629"/>
      <c r="N629"/>
      <c r="O629" s="392"/>
      <c r="P629" s="2"/>
      <c r="R629"/>
      <c r="S629"/>
      <c r="V629"/>
    </row>
    <row r="630" spans="10:22" s="1" customFormat="1" x14ac:dyDescent="0.2">
      <c r="J630"/>
      <c r="K630"/>
      <c r="L630"/>
      <c r="M630"/>
      <c r="N630"/>
      <c r="O630" s="392"/>
      <c r="P630" s="2"/>
      <c r="R630"/>
      <c r="S630"/>
      <c r="V630"/>
    </row>
    <row r="631" spans="10:22" s="1" customFormat="1" x14ac:dyDescent="0.2">
      <c r="J631"/>
      <c r="K631"/>
      <c r="L631"/>
      <c r="M631"/>
      <c r="N631"/>
      <c r="O631" s="392"/>
      <c r="P631" s="2"/>
      <c r="R631"/>
      <c r="S631"/>
      <c r="V631"/>
    </row>
    <row r="632" spans="10:22" s="1" customFormat="1" x14ac:dyDescent="0.2">
      <c r="J632"/>
      <c r="K632"/>
      <c r="L632"/>
      <c r="M632"/>
      <c r="N632"/>
      <c r="O632" s="392"/>
      <c r="P632" s="2"/>
      <c r="R632"/>
      <c r="S632"/>
      <c r="V632"/>
    </row>
    <row r="633" spans="10:22" s="1" customFormat="1" x14ac:dyDescent="0.2">
      <c r="J633"/>
      <c r="K633"/>
      <c r="L633"/>
      <c r="M633"/>
      <c r="N633"/>
      <c r="O633" s="392"/>
      <c r="P633" s="2"/>
      <c r="R633"/>
      <c r="S633"/>
      <c r="V633"/>
    </row>
    <row r="634" spans="10:22" s="1" customFormat="1" x14ac:dyDescent="0.2">
      <c r="J634"/>
      <c r="K634"/>
      <c r="L634"/>
      <c r="M634"/>
      <c r="N634"/>
      <c r="O634" s="392"/>
      <c r="P634" s="2"/>
      <c r="R634"/>
      <c r="S634"/>
      <c r="V634"/>
    </row>
    <row r="635" spans="10:22" s="1" customFormat="1" x14ac:dyDescent="0.2">
      <c r="J635"/>
      <c r="K635"/>
      <c r="L635"/>
      <c r="M635"/>
      <c r="N635"/>
      <c r="O635" s="392"/>
      <c r="P635" s="2"/>
      <c r="R635"/>
      <c r="S635"/>
      <c r="V635"/>
    </row>
    <row r="636" spans="10:22" s="1" customFormat="1" x14ac:dyDescent="0.2">
      <c r="J636"/>
      <c r="K636"/>
      <c r="L636"/>
      <c r="M636"/>
      <c r="N636"/>
      <c r="O636" s="392"/>
      <c r="P636" s="2"/>
      <c r="R636"/>
      <c r="S636"/>
      <c r="V636"/>
    </row>
    <row r="637" spans="10:22" s="1" customFormat="1" x14ac:dyDescent="0.2">
      <c r="J637"/>
      <c r="K637"/>
      <c r="L637"/>
      <c r="M637"/>
      <c r="N637"/>
      <c r="O637" s="392"/>
      <c r="P637" s="2"/>
      <c r="R637"/>
      <c r="S637"/>
      <c r="V637"/>
    </row>
    <row r="638" spans="10:22" s="1" customFormat="1" x14ac:dyDescent="0.2">
      <c r="J638"/>
      <c r="K638"/>
      <c r="L638"/>
      <c r="M638"/>
      <c r="N638"/>
      <c r="O638" s="392"/>
      <c r="P638" s="2"/>
      <c r="R638"/>
      <c r="S638"/>
      <c r="V638"/>
    </row>
    <row r="639" spans="10:22" s="1" customFormat="1" x14ac:dyDescent="0.2">
      <c r="J639"/>
      <c r="K639"/>
      <c r="L639"/>
      <c r="M639"/>
      <c r="N639"/>
      <c r="O639" s="392"/>
      <c r="P639" s="2"/>
      <c r="R639"/>
      <c r="S639"/>
      <c r="V639"/>
    </row>
    <row r="640" spans="10:22" s="1" customFormat="1" x14ac:dyDescent="0.2">
      <c r="J640"/>
      <c r="K640"/>
      <c r="L640"/>
      <c r="M640"/>
      <c r="N640"/>
      <c r="O640" s="392"/>
      <c r="P640" s="2"/>
      <c r="R640"/>
      <c r="S640"/>
      <c r="V640"/>
    </row>
    <row r="641" spans="10:22" s="1" customFormat="1" x14ac:dyDescent="0.2">
      <c r="J641"/>
      <c r="K641"/>
      <c r="L641"/>
      <c r="M641"/>
      <c r="N641"/>
      <c r="O641" s="392"/>
      <c r="P641" s="2"/>
      <c r="R641"/>
      <c r="S641"/>
      <c r="V641"/>
    </row>
    <row r="642" spans="10:22" s="1" customFormat="1" x14ac:dyDescent="0.2">
      <c r="J642"/>
      <c r="K642"/>
      <c r="L642"/>
      <c r="M642"/>
      <c r="N642"/>
      <c r="O642" s="392"/>
      <c r="P642" s="2"/>
      <c r="R642"/>
      <c r="S642"/>
      <c r="V642"/>
    </row>
    <row r="643" spans="10:22" s="1" customFormat="1" x14ac:dyDescent="0.2">
      <c r="J643"/>
      <c r="K643"/>
      <c r="L643"/>
      <c r="M643"/>
      <c r="N643"/>
      <c r="O643" s="392"/>
      <c r="P643" s="2"/>
      <c r="R643"/>
      <c r="S643"/>
      <c r="V643"/>
    </row>
    <row r="644" spans="10:22" s="1" customFormat="1" x14ac:dyDescent="0.2">
      <c r="J644"/>
      <c r="K644"/>
      <c r="L644"/>
      <c r="M644"/>
      <c r="N644"/>
      <c r="O644" s="392"/>
      <c r="P644" s="2"/>
      <c r="R644"/>
      <c r="S644"/>
      <c r="V644"/>
    </row>
    <row r="645" spans="10:22" s="1" customFormat="1" x14ac:dyDescent="0.2">
      <c r="J645"/>
      <c r="K645"/>
      <c r="L645"/>
      <c r="M645"/>
      <c r="N645"/>
      <c r="O645" s="392"/>
      <c r="P645" s="2"/>
      <c r="R645"/>
      <c r="S645"/>
      <c r="V645"/>
    </row>
    <row r="646" spans="10:22" s="1" customFormat="1" x14ac:dyDescent="0.2">
      <c r="J646"/>
      <c r="K646"/>
      <c r="L646"/>
      <c r="M646"/>
      <c r="N646"/>
      <c r="O646" s="392"/>
      <c r="P646" s="2"/>
      <c r="R646"/>
      <c r="S646"/>
      <c r="V646"/>
    </row>
    <row r="647" spans="10:22" s="1" customFormat="1" x14ac:dyDescent="0.2">
      <c r="J647"/>
      <c r="K647"/>
      <c r="L647"/>
      <c r="M647"/>
      <c r="N647"/>
      <c r="O647" s="392"/>
      <c r="P647" s="2"/>
      <c r="R647"/>
      <c r="S647"/>
      <c r="V647"/>
    </row>
    <row r="648" spans="10:22" s="1" customFormat="1" x14ac:dyDescent="0.2">
      <c r="J648"/>
      <c r="K648"/>
      <c r="L648"/>
      <c r="M648"/>
      <c r="N648"/>
      <c r="O648" s="392"/>
      <c r="P648" s="2"/>
      <c r="R648"/>
      <c r="S648"/>
      <c r="V648"/>
    </row>
    <row r="649" spans="10:22" s="1" customFormat="1" x14ac:dyDescent="0.2">
      <c r="J649"/>
      <c r="K649"/>
      <c r="L649"/>
      <c r="M649"/>
      <c r="N649"/>
      <c r="O649" s="392"/>
      <c r="P649" s="2"/>
      <c r="R649"/>
      <c r="S649"/>
      <c r="V649"/>
    </row>
    <row r="650" spans="10:22" s="1" customFormat="1" x14ac:dyDescent="0.2">
      <c r="J650"/>
      <c r="K650"/>
      <c r="L650"/>
      <c r="M650"/>
      <c r="N650"/>
      <c r="O650" s="392"/>
      <c r="P650" s="2"/>
      <c r="R650"/>
      <c r="S650"/>
      <c r="V650"/>
    </row>
    <row r="651" spans="10:22" s="1" customFormat="1" x14ac:dyDescent="0.2">
      <c r="J651"/>
      <c r="K651"/>
      <c r="L651"/>
      <c r="M651"/>
      <c r="N651"/>
      <c r="O651" s="392"/>
      <c r="P651" s="2"/>
      <c r="R651"/>
      <c r="S651"/>
      <c r="V651"/>
    </row>
    <row r="652" spans="10:22" s="1" customFormat="1" x14ac:dyDescent="0.2">
      <c r="J652"/>
      <c r="K652"/>
      <c r="L652"/>
      <c r="M652"/>
      <c r="N652"/>
      <c r="O652" s="392"/>
      <c r="P652" s="2"/>
      <c r="R652"/>
      <c r="S652"/>
      <c r="V652"/>
    </row>
    <row r="653" spans="10:22" s="1" customFormat="1" x14ac:dyDescent="0.2">
      <c r="J653"/>
      <c r="K653"/>
      <c r="L653"/>
      <c r="M653"/>
      <c r="N653"/>
      <c r="O653" s="392"/>
      <c r="P653" s="2"/>
      <c r="R653"/>
      <c r="S653"/>
      <c r="V653"/>
    </row>
    <row r="654" spans="10:22" s="1" customFormat="1" x14ac:dyDescent="0.2">
      <c r="J654"/>
      <c r="K654"/>
      <c r="L654"/>
      <c r="M654"/>
      <c r="N654"/>
      <c r="O654" s="392"/>
      <c r="P654" s="2"/>
      <c r="R654"/>
      <c r="S654"/>
      <c r="V654"/>
    </row>
    <row r="655" spans="10:22" s="1" customFormat="1" x14ac:dyDescent="0.2">
      <c r="J655"/>
      <c r="K655"/>
      <c r="L655"/>
      <c r="M655"/>
      <c r="N655"/>
      <c r="O655" s="392"/>
      <c r="P655" s="2"/>
      <c r="R655"/>
      <c r="S655"/>
      <c r="V655"/>
    </row>
    <row r="656" spans="10:22" s="1" customFormat="1" x14ac:dyDescent="0.2">
      <c r="J656"/>
      <c r="K656"/>
      <c r="L656"/>
      <c r="M656"/>
      <c r="N656"/>
      <c r="O656" s="392"/>
      <c r="P656" s="2"/>
      <c r="R656"/>
      <c r="S656"/>
      <c r="V656"/>
    </row>
    <row r="657" spans="10:22" s="1" customFormat="1" x14ac:dyDescent="0.2">
      <c r="J657"/>
      <c r="K657"/>
      <c r="L657"/>
      <c r="M657"/>
      <c r="N657"/>
      <c r="O657" s="392"/>
      <c r="P657" s="2"/>
      <c r="R657"/>
      <c r="S657"/>
      <c r="V657"/>
    </row>
    <row r="658" spans="10:22" s="1" customFormat="1" x14ac:dyDescent="0.2">
      <c r="J658"/>
      <c r="K658"/>
      <c r="L658"/>
      <c r="M658"/>
      <c r="N658"/>
      <c r="O658" s="392"/>
      <c r="P658" s="2"/>
      <c r="R658"/>
      <c r="S658"/>
      <c r="V658"/>
    </row>
    <row r="659" spans="10:22" s="1" customFormat="1" x14ac:dyDescent="0.2">
      <c r="J659"/>
      <c r="K659"/>
      <c r="L659"/>
      <c r="M659"/>
      <c r="N659"/>
      <c r="O659" s="392"/>
      <c r="P659" s="2"/>
      <c r="R659"/>
      <c r="S659"/>
      <c r="V659"/>
    </row>
    <row r="660" spans="10:22" s="1" customFormat="1" x14ac:dyDescent="0.2">
      <c r="J660"/>
      <c r="K660"/>
      <c r="L660"/>
      <c r="M660"/>
      <c r="N660"/>
      <c r="O660" s="392"/>
      <c r="P660" s="2"/>
      <c r="R660"/>
      <c r="S660"/>
      <c r="V660"/>
    </row>
    <row r="661" spans="10:22" s="1" customFormat="1" x14ac:dyDescent="0.2">
      <c r="J661"/>
      <c r="K661"/>
      <c r="L661"/>
      <c r="M661"/>
      <c r="N661"/>
      <c r="O661" s="392"/>
      <c r="P661" s="2"/>
      <c r="R661"/>
      <c r="S661"/>
      <c r="V661"/>
    </row>
    <row r="662" spans="10:22" s="1" customFormat="1" x14ac:dyDescent="0.2">
      <c r="J662"/>
      <c r="K662"/>
      <c r="L662"/>
      <c r="M662"/>
      <c r="N662"/>
      <c r="O662" s="392"/>
      <c r="P662" s="2"/>
      <c r="R662"/>
      <c r="S662"/>
      <c r="V662"/>
    </row>
    <row r="663" spans="10:22" s="1" customFormat="1" x14ac:dyDescent="0.2">
      <c r="J663"/>
      <c r="K663"/>
      <c r="L663"/>
      <c r="M663"/>
      <c r="N663"/>
      <c r="O663" s="392"/>
      <c r="P663" s="2"/>
      <c r="R663"/>
      <c r="S663"/>
      <c r="V663"/>
    </row>
    <row r="664" spans="10:22" s="1" customFormat="1" x14ac:dyDescent="0.2">
      <c r="J664"/>
      <c r="K664"/>
      <c r="L664"/>
      <c r="M664"/>
      <c r="N664"/>
      <c r="O664" s="392"/>
      <c r="P664" s="2"/>
      <c r="R664"/>
      <c r="S664"/>
      <c r="V664"/>
    </row>
    <row r="665" spans="10:22" s="1" customFormat="1" x14ac:dyDescent="0.2">
      <c r="J665"/>
      <c r="K665"/>
      <c r="L665"/>
      <c r="M665"/>
      <c r="N665"/>
      <c r="O665" s="392"/>
      <c r="P665" s="2"/>
      <c r="R665"/>
      <c r="S665"/>
      <c r="V665"/>
    </row>
    <row r="666" spans="10:22" s="1" customFormat="1" x14ac:dyDescent="0.2">
      <c r="J666"/>
      <c r="K666"/>
      <c r="L666"/>
      <c r="M666"/>
      <c r="N666"/>
      <c r="O666" s="392"/>
      <c r="P666" s="2"/>
      <c r="R666"/>
      <c r="S666"/>
      <c r="V666"/>
    </row>
    <row r="667" spans="10:22" s="1" customFormat="1" x14ac:dyDescent="0.2">
      <c r="J667"/>
      <c r="K667"/>
      <c r="L667"/>
      <c r="M667"/>
      <c r="N667"/>
      <c r="O667" s="392"/>
      <c r="P667" s="2"/>
      <c r="R667"/>
      <c r="S667"/>
      <c r="V667"/>
    </row>
    <row r="668" spans="10:22" s="1" customFormat="1" x14ac:dyDescent="0.2">
      <c r="J668"/>
      <c r="K668"/>
      <c r="L668"/>
      <c r="M668"/>
      <c r="N668"/>
      <c r="O668" s="392"/>
      <c r="P668" s="2"/>
      <c r="R668"/>
      <c r="S668"/>
      <c r="V668"/>
    </row>
    <row r="669" spans="10:22" s="1" customFormat="1" x14ac:dyDescent="0.2">
      <c r="J669"/>
      <c r="K669"/>
      <c r="L669"/>
      <c r="M669"/>
      <c r="N669"/>
      <c r="O669" s="392"/>
      <c r="P669" s="2"/>
      <c r="R669"/>
      <c r="S669"/>
      <c r="V669"/>
    </row>
    <row r="670" spans="10:22" s="1" customFormat="1" x14ac:dyDescent="0.2">
      <c r="J670"/>
      <c r="K670"/>
      <c r="L670"/>
      <c r="M670"/>
      <c r="N670"/>
      <c r="O670" s="392"/>
      <c r="P670" s="2"/>
      <c r="R670"/>
      <c r="S670"/>
      <c r="V670"/>
    </row>
    <row r="671" spans="10:22" s="1" customFormat="1" x14ac:dyDescent="0.2">
      <c r="J671"/>
      <c r="K671"/>
      <c r="L671"/>
      <c r="M671"/>
      <c r="N671"/>
      <c r="O671" s="392"/>
      <c r="P671" s="2"/>
      <c r="R671"/>
      <c r="S671"/>
      <c r="V671"/>
    </row>
    <row r="672" spans="10:22" s="1" customFormat="1" x14ac:dyDescent="0.2">
      <c r="J672"/>
      <c r="K672"/>
      <c r="L672"/>
      <c r="M672"/>
      <c r="N672"/>
      <c r="O672" s="392"/>
      <c r="P672" s="2"/>
      <c r="R672"/>
      <c r="S672"/>
      <c r="V672"/>
    </row>
    <row r="673" spans="10:22" s="1" customFormat="1" x14ac:dyDescent="0.2">
      <c r="J673"/>
      <c r="K673"/>
      <c r="L673"/>
      <c r="M673"/>
      <c r="N673"/>
      <c r="O673" s="392"/>
      <c r="P673" s="2"/>
      <c r="R673"/>
      <c r="S673"/>
      <c r="V673"/>
    </row>
    <row r="674" spans="10:22" s="1" customFormat="1" x14ac:dyDescent="0.2">
      <c r="J674"/>
      <c r="K674"/>
      <c r="L674"/>
      <c r="M674"/>
      <c r="N674"/>
      <c r="O674" s="392"/>
      <c r="P674" s="2"/>
      <c r="R674"/>
      <c r="S674"/>
      <c r="V674"/>
    </row>
    <row r="675" spans="10:22" s="1" customFormat="1" x14ac:dyDescent="0.2">
      <c r="J675"/>
      <c r="K675"/>
      <c r="L675"/>
      <c r="M675"/>
      <c r="N675"/>
      <c r="O675" s="392"/>
      <c r="P675" s="2"/>
      <c r="R675"/>
      <c r="S675"/>
      <c r="V675"/>
    </row>
    <row r="676" spans="10:22" s="1" customFormat="1" x14ac:dyDescent="0.2">
      <c r="J676"/>
      <c r="K676"/>
      <c r="L676"/>
      <c r="M676"/>
      <c r="N676"/>
      <c r="O676" s="392"/>
      <c r="P676" s="2"/>
      <c r="R676"/>
      <c r="S676"/>
      <c r="V676"/>
    </row>
    <row r="677" spans="10:22" s="1" customFormat="1" x14ac:dyDescent="0.2">
      <c r="J677"/>
      <c r="K677"/>
      <c r="L677"/>
      <c r="M677"/>
      <c r="N677"/>
      <c r="O677" s="392"/>
      <c r="P677" s="2"/>
      <c r="R677"/>
      <c r="S677"/>
      <c r="V677"/>
    </row>
    <row r="678" spans="10:22" s="1" customFormat="1" x14ac:dyDescent="0.2">
      <c r="J678"/>
      <c r="K678"/>
      <c r="L678"/>
      <c r="M678"/>
      <c r="N678"/>
      <c r="O678" s="392"/>
      <c r="P678" s="2"/>
      <c r="R678"/>
      <c r="S678"/>
      <c r="V678"/>
    </row>
    <row r="679" spans="10:22" s="1" customFormat="1" x14ac:dyDescent="0.2">
      <c r="J679"/>
      <c r="K679"/>
      <c r="L679"/>
      <c r="M679"/>
      <c r="N679"/>
      <c r="O679" s="392"/>
      <c r="P679" s="2"/>
      <c r="R679"/>
      <c r="S679"/>
      <c r="V679"/>
    </row>
    <row r="680" spans="10:22" s="1" customFormat="1" x14ac:dyDescent="0.2">
      <c r="J680"/>
      <c r="K680"/>
      <c r="L680"/>
      <c r="M680"/>
      <c r="N680"/>
      <c r="O680" s="392"/>
      <c r="P680" s="2"/>
      <c r="R680"/>
      <c r="S680"/>
      <c r="V680"/>
    </row>
    <row r="681" spans="10:22" s="1" customFormat="1" x14ac:dyDescent="0.2">
      <c r="J681"/>
      <c r="K681"/>
      <c r="L681"/>
      <c r="M681"/>
      <c r="N681"/>
      <c r="O681" s="392"/>
      <c r="P681" s="2"/>
      <c r="R681"/>
      <c r="S681"/>
      <c r="V681"/>
    </row>
    <row r="682" spans="10:22" s="1" customFormat="1" x14ac:dyDescent="0.2">
      <c r="J682"/>
      <c r="K682"/>
      <c r="L682"/>
      <c r="M682"/>
      <c r="N682"/>
      <c r="O682" s="392"/>
      <c r="P682" s="2"/>
      <c r="R682"/>
      <c r="S682"/>
      <c r="V682"/>
    </row>
    <row r="683" spans="10:22" s="1" customFormat="1" x14ac:dyDescent="0.2">
      <c r="J683"/>
      <c r="K683"/>
      <c r="L683"/>
      <c r="M683"/>
      <c r="N683"/>
      <c r="O683" s="392"/>
      <c r="P683" s="2"/>
      <c r="R683"/>
      <c r="S683"/>
      <c r="V683"/>
    </row>
    <row r="684" spans="10:22" s="1" customFormat="1" x14ac:dyDescent="0.2">
      <c r="J684"/>
      <c r="K684"/>
      <c r="L684"/>
      <c r="M684"/>
      <c r="N684"/>
      <c r="O684" s="392"/>
      <c r="P684" s="2"/>
      <c r="R684"/>
      <c r="S684"/>
      <c r="V684"/>
    </row>
    <row r="685" spans="10:22" s="1" customFormat="1" x14ac:dyDescent="0.2">
      <c r="J685"/>
      <c r="K685"/>
      <c r="L685"/>
      <c r="M685"/>
      <c r="N685"/>
      <c r="O685" s="392"/>
      <c r="P685" s="2"/>
      <c r="R685"/>
      <c r="S685"/>
      <c r="V685"/>
    </row>
    <row r="686" spans="10:22" s="1" customFormat="1" x14ac:dyDescent="0.2">
      <c r="J686"/>
      <c r="K686"/>
      <c r="L686"/>
      <c r="M686"/>
      <c r="N686"/>
      <c r="O686" s="392"/>
      <c r="P686" s="2"/>
      <c r="R686"/>
      <c r="S686"/>
      <c r="V686"/>
    </row>
    <row r="687" spans="10:22" s="1" customFormat="1" x14ac:dyDescent="0.2">
      <c r="J687"/>
      <c r="K687"/>
      <c r="L687"/>
      <c r="M687"/>
      <c r="N687"/>
      <c r="O687" s="392"/>
      <c r="P687" s="2"/>
      <c r="R687"/>
      <c r="S687"/>
      <c r="V687"/>
    </row>
    <row r="688" spans="10:22" s="1" customFormat="1" x14ac:dyDescent="0.2">
      <c r="J688"/>
      <c r="K688"/>
      <c r="L688"/>
      <c r="M688"/>
      <c r="N688"/>
      <c r="O688" s="392"/>
      <c r="P688" s="2"/>
      <c r="R688"/>
      <c r="S688"/>
      <c r="V688"/>
    </row>
    <row r="689" spans="10:22" s="1" customFormat="1" x14ac:dyDescent="0.2">
      <c r="J689"/>
      <c r="K689"/>
      <c r="L689"/>
      <c r="M689"/>
      <c r="N689"/>
      <c r="O689" s="392"/>
      <c r="P689" s="2"/>
      <c r="R689"/>
      <c r="S689"/>
      <c r="V689"/>
    </row>
    <row r="690" spans="10:22" s="1" customFormat="1" x14ac:dyDescent="0.2">
      <c r="J690"/>
      <c r="K690"/>
      <c r="L690"/>
      <c r="M690"/>
      <c r="N690"/>
      <c r="O690" s="392"/>
      <c r="P690" s="2"/>
      <c r="R690"/>
      <c r="S690"/>
      <c r="V690"/>
    </row>
    <row r="691" spans="10:22" s="1" customFormat="1" x14ac:dyDescent="0.2">
      <c r="J691"/>
      <c r="K691"/>
      <c r="L691"/>
      <c r="M691"/>
      <c r="N691"/>
      <c r="O691" s="392"/>
      <c r="P691" s="2"/>
      <c r="R691"/>
      <c r="S691"/>
      <c r="V691"/>
    </row>
    <row r="692" spans="10:22" s="1" customFormat="1" x14ac:dyDescent="0.2">
      <c r="J692"/>
      <c r="K692"/>
      <c r="L692"/>
      <c r="M692"/>
      <c r="N692"/>
      <c r="O692" s="392"/>
      <c r="P692" s="2"/>
      <c r="R692"/>
      <c r="S692"/>
      <c r="V692"/>
    </row>
    <row r="693" spans="10:22" s="1" customFormat="1" x14ac:dyDescent="0.2">
      <c r="J693"/>
      <c r="K693"/>
      <c r="L693"/>
      <c r="M693"/>
      <c r="N693"/>
      <c r="O693" s="392"/>
      <c r="P693" s="2"/>
      <c r="R693"/>
      <c r="S693"/>
      <c r="V693"/>
    </row>
    <row r="694" spans="10:22" s="1" customFormat="1" x14ac:dyDescent="0.2">
      <c r="J694"/>
      <c r="K694"/>
      <c r="L694"/>
      <c r="M694"/>
      <c r="N694"/>
      <c r="O694" s="392"/>
      <c r="P694" s="2"/>
      <c r="R694"/>
      <c r="S694"/>
      <c r="V694"/>
    </row>
    <row r="695" spans="10:22" s="1" customFormat="1" x14ac:dyDescent="0.2">
      <c r="J695"/>
      <c r="K695"/>
      <c r="L695"/>
      <c r="M695"/>
      <c r="N695"/>
      <c r="O695" s="392"/>
      <c r="P695" s="2"/>
      <c r="R695"/>
      <c r="S695"/>
      <c r="V695"/>
    </row>
    <row r="696" spans="10:22" s="1" customFormat="1" x14ac:dyDescent="0.2">
      <c r="J696"/>
      <c r="K696"/>
      <c r="L696"/>
      <c r="M696"/>
      <c r="N696"/>
      <c r="O696" s="392"/>
      <c r="P696" s="2"/>
      <c r="R696"/>
      <c r="S696"/>
      <c r="V696"/>
    </row>
    <row r="697" spans="10:22" s="1" customFormat="1" x14ac:dyDescent="0.2">
      <c r="J697"/>
      <c r="K697"/>
      <c r="L697"/>
      <c r="M697"/>
      <c r="N697"/>
      <c r="O697" s="392"/>
      <c r="P697" s="2"/>
      <c r="R697"/>
      <c r="S697"/>
      <c r="V697"/>
    </row>
    <row r="698" spans="10:22" s="1" customFormat="1" x14ac:dyDescent="0.2">
      <c r="J698"/>
      <c r="K698"/>
      <c r="L698"/>
      <c r="M698"/>
      <c r="N698"/>
      <c r="O698" s="392"/>
      <c r="P698" s="2"/>
      <c r="R698"/>
      <c r="S698"/>
      <c r="V698"/>
    </row>
    <row r="699" spans="10:22" s="1" customFormat="1" x14ac:dyDescent="0.2">
      <c r="J699"/>
      <c r="K699"/>
      <c r="L699"/>
      <c r="M699"/>
      <c r="N699"/>
      <c r="O699" s="392"/>
      <c r="P699" s="2"/>
      <c r="R699"/>
      <c r="S699"/>
      <c r="V699"/>
    </row>
    <row r="700" spans="10:22" s="1" customFormat="1" x14ac:dyDescent="0.2">
      <c r="J700"/>
      <c r="K700"/>
      <c r="L700"/>
      <c r="M700"/>
      <c r="N700"/>
      <c r="O700" s="392"/>
      <c r="P700" s="2"/>
      <c r="R700"/>
      <c r="S700"/>
      <c r="V700"/>
    </row>
    <row r="701" spans="10:22" s="1" customFormat="1" x14ac:dyDescent="0.2">
      <c r="J701"/>
      <c r="K701"/>
      <c r="L701"/>
      <c r="M701"/>
      <c r="N701"/>
      <c r="O701" s="392"/>
      <c r="P701" s="2"/>
      <c r="R701"/>
      <c r="S701"/>
      <c r="V701"/>
    </row>
    <row r="702" spans="10:22" s="1" customFormat="1" x14ac:dyDescent="0.2">
      <c r="J702"/>
      <c r="K702"/>
      <c r="L702"/>
      <c r="M702"/>
      <c r="N702"/>
      <c r="O702" s="392"/>
      <c r="P702" s="2"/>
      <c r="R702"/>
      <c r="S702"/>
      <c r="V702"/>
    </row>
    <row r="703" spans="10:22" s="1" customFormat="1" x14ac:dyDescent="0.2">
      <c r="J703"/>
      <c r="K703"/>
      <c r="L703"/>
      <c r="M703"/>
      <c r="N703"/>
      <c r="O703" s="392"/>
      <c r="P703" s="2"/>
      <c r="R703"/>
      <c r="S703"/>
      <c r="V703"/>
    </row>
    <row r="704" spans="10:22" s="1" customFormat="1" x14ac:dyDescent="0.2">
      <c r="J704"/>
      <c r="K704"/>
      <c r="L704"/>
      <c r="M704"/>
      <c r="N704"/>
      <c r="O704" s="392"/>
      <c r="P704" s="2"/>
      <c r="R704"/>
      <c r="S704"/>
      <c r="V704"/>
    </row>
    <row r="705" spans="10:22" s="1" customFormat="1" x14ac:dyDescent="0.2">
      <c r="J705"/>
      <c r="K705"/>
      <c r="L705"/>
      <c r="M705"/>
      <c r="N705"/>
      <c r="O705" s="392"/>
      <c r="P705" s="2"/>
      <c r="R705"/>
      <c r="S705"/>
      <c r="V705"/>
    </row>
    <row r="706" spans="10:22" s="1" customFormat="1" x14ac:dyDescent="0.2">
      <c r="J706"/>
      <c r="K706"/>
      <c r="L706"/>
      <c r="M706"/>
      <c r="N706"/>
      <c r="O706" s="392"/>
      <c r="P706" s="2"/>
      <c r="R706"/>
      <c r="S706"/>
      <c r="V706"/>
    </row>
    <row r="707" spans="10:22" s="1" customFormat="1" x14ac:dyDescent="0.2">
      <c r="J707"/>
      <c r="K707"/>
      <c r="L707"/>
      <c r="M707"/>
      <c r="N707"/>
      <c r="O707" s="392"/>
      <c r="P707" s="2"/>
      <c r="R707"/>
      <c r="S707"/>
      <c r="V707"/>
    </row>
    <row r="708" spans="10:22" s="1" customFormat="1" x14ac:dyDescent="0.2">
      <c r="J708"/>
      <c r="K708"/>
      <c r="L708"/>
      <c r="M708"/>
      <c r="N708"/>
      <c r="O708" s="392"/>
      <c r="P708" s="2"/>
      <c r="R708"/>
      <c r="S708"/>
      <c r="V708"/>
    </row>
    <row r="709" spans="10:22" s="1" customFormat="1" x14ac:dyDescent="0.2">
      <c r="J709"/>
      <c r="K709"/>
      <c r="L709"/>
      <c r="M709"/>
      <c r="N709"/>
      <c r="O709" s="392"/>
      <c r="P709" s="2"/>
      <c r="R709"/>
      <c r="S709"/>
      <c r="V709"/>
    </row>
    <row r="710" spans="10:22" s="1" customFormat="1" x14ac:dyDescent="0.2">
      <c r="J710"/>
      <c r="K710"/>
      <c r="L710"/>
      <c r="M710"/>
      <c r="N710"/>
      <c r="O710" s="392"/>
      <c r="P710" s="2"/>
      <c r="R710"/>
      <c r="S710"/>
      <c r="V710"/>
    </row>
    <row r="711" spans="10:22" s="1" customFormat="1" x14ac:dyDescent="0.2">
      <c r="J711"/>
      <c r="K711"/>
      <c r="L711"/>
      <c r="M711"/>
      <c r="N711"/>
      <c r="O711" s="392"/>
      <c r="P711" s="2"/>
      <c r="R711"/>
      <c r="S711"/>
      <c r="V711"/>
    </row>
    <row r="712" spans="10:22" s="1" customFormat="1" x14ac:dyDescent="0.2">
      <c r="J712"/>
      <c r="K712"/>
      <c r="L712"/>
      <c r="M712"/>
      <c r="N712"/>
      <c r="O712" s="392"/>
      <c r="P712" s="2"/>
      <c r="R712"/>
      <c r="S712"/>
      <c r="V712"/>
    </row>
    <row r="713" spans="10:22" s="1" customFormat="1" x14ac:dyDescent="0.2">
      <c r="J713"/>
      <c r="K713"/>
      <c r="L713"/>
      <c r="M713"/>
      <c r="N713"/>
      <c r="O713" s="392"/>
      <c r="P713" s="2"/>
      <c r="R713"/>
      <c r="S713"/>
      <c r="V713"/>
    </row>
    <row r="714" spans="10:22" s="1" customFormat="1" x14ac:dyDescent="0.2">
      <c r="J714"/>
      <c r="K714"/>
      <c r="L714"/>
      <c r="M714"/>
      <c r="N714"/>
      <c r="O714" s="392"/>
      <c r="P714" s="2"/>
      <c r="R714"/>
      <c r="S714"/>
      <c r="V714"/>
    </row>
    <row r="715" spans="10:22" s="1" customFormat="1" x14ac:dyDescent="0.2">
      <c r="J715"/>
      <c r="K715"/>
      <c r="L715"/>
      <c r="M715"/>
      <c r="N715"/>
      <c r="O715" s="392"/>
      <c r="P715" s="2"/>
      <c r="R715"/>
      <c r="S715"/>
      <c r="V715"/>
    </row>
    <row r="716" spans="10:22" s="1" customFormat="1" x14ac:dyDescent="0.2">
      <c r="J716"/>
      <c r="K716"/>
      <c r="L716"/>
      <c r="M716"/>
      <c r="N716"/>
      <c r="O716" s="392"/>
      <c r="P716" s="2"/>
      <c r="R716"/>
      <c r="S716"/>
      <c r="V716"/>
    </row>
    <row r="717" spans="10:22" s="1" customFormat="1" x14ac:dyDescent="0.2">
      <c r="J717"/>
      <c r="K717"/>
      <c r="L717"/>
      <c r="M717"/>
      <c r="N717"/>
      <c r="O717" s="392"/>
      <c r="P717" s="2"/>
      <c r="R717"/>
      <c r="S717"/>
      <c r="V717"/>
    </row>
    <row r="718" spans="10:22" s="1" customFormat="1" x14ac:dyDescent="0.2">
      <c r="J718"/>
      <c r="K718"/>
      <c r="L718"/>
      <c r="M718"/>
      <c r="N718"/>
      <c r="O718" s="392"/>
      <c r="P718" s="2"/>
      <c r="R718"/>
      <c r="S718"/>
      <c r="V718"/>
    </row>
    <row r="719" spans="10:22" s="1" customFormat="1" x14ac:dyDescent="0.2">
      <c r="J719"/>
      <c r="K719"/>
      <c r="L719"/>
      <c r="M719"/>
      <c r="N719"/>
      <c r="O719" s="392"/>
      <c r="P719" s="2"/>
      <c r="R719"/>
      <c r="S719"/>
      <c r="V719"/>
    </row>
    <row r="720" spans="10:22" s="1" customFormat="1" x14ac:dyDescent="0.2">
      <c r="J720"/>
      <c r="K720"/>
      <c r="L720"/>
      <c r="M720"/>
      <c r="N720"/>
      <c r="O720" s="392"/>
      <c r="P720" s="2"/>
      <c r="R720"/>
      <c r="S720"/>
      <c r="V720"/>
    </row>
    <row r="721" spans="10:22" s="1" customFormat="1" x14ac:dyDescent="0.2">
      <c r="J721"/>
      <c r="K721"/>
      <c r="L721"/>
      <c r="M721"/>
      <c r="N721"/>
      <c r="O721" s="392"/>
      <c r="P721" s="2"/>
      <c r="R721"/>
      <c r="S721"/>
      <c r="V721"/>
    </row>
    <row r="722" spans="10:22" s="1" customFormat="1" x14ac:dyDescent="0.2">
      <c r="J722"/>
      <c r="K722"/>
      <c r="L722"/>
      <c r="M722"/>
      <c r="N722"/>
      <c r="O722" s="392"/>
      <c r="P722" s="2"/>
      <c r="R722"/>
      <c r="S722"/>
      <c r="V722"/>
    </row>
    <row r="723" spans="10:22" s="1" customFormat="1" x14ac:dyDescent="0.2">
      <c r="J723"/>
      <c r="K723"/>
      <c r="L723"/>
      <c r="M723"/>
      <c r="N723"/>
      <c r="O723" s="392"/>
      <c r="P723" s="2"/>
      <c r="R723"/>
      <c r="S723"/>
      <c r="V723"/>
    </row>
    <row r="724" spans="10:22" s="1" customFormat="1" x14ac:dyDescent="0.2">
      <c r="J724"/>
      <c r="K724"/>
      <c r="L724"/>
      <c r="M724"/>
      <c r="N724"/>
      <c r="O724" s="392"/>
      <c r="P724" s="2"/>
      <c r="R724"/>
      <c r="S724"/>
      <c r="V724"/>
    </row>
    <row r="725" spans="10:22" s="1" customFormat="1" x14ac:dyDescent="0.2">
      <c r="J725"/>
      <c r="K725"/>
      <c r="L725"/>
      <c r="M725"/>
      <c r="N725"/>
      <c r="O725" s="392"/>
      <c r="P725" s="2"/>
      <c r="R725"/>
      <c r="S725"/>
      <c r="V725"/>
    </row>
    <row r="726" spans="10:22" s="1" customFormat="1" x14ac:dyDescent="0.2">
      <c r="J726"/>
      <c r="K726"/>
      <c r="L726"/>
      <c r="M726"/>
      <c r="N726"/>
      <c r="O726" s="392"/>
      <c r="P726" s="2"/>
      <c r="R726"/>
      <c r="S726"/>
      <c r="V726"/>
    </row>
    <row r="727" spans="10:22" s="1" customFormat="1" x14ac:dyDescent="0.2">
      <c r="J727"/>
      <c r="K727"/>
      <c r="L727"/>
      <c r="M727"/>
      <c r="N727"/>
      <c r="O727" s="392"/>
      <c r="P727" s="2"/>
      <c r="R727"/>
      <c r="S727"/>
      <c r="V727"/>
    </row>
    <row r="728" spans="10:22" s="1" customFormat="1" x14ac:dyDescent="0.2">
      <c r="J728"/>
      <c r="K728"/>
      <c r="L728"/>
      <c r="M728"/>
      <c r="N728"/>
      <c r="O728" s="392"/>
      <c r="P728" s="2"/>
      <c r="R728"/>
      <c r="S728"/>
      <c r="V728"/>
    </row>
    <row r="729" spans="10:22" s="1" customFormat="1" x14ac:dyDescent="0.2">
      <c r="J729"/>
      <c r="K729"/>
      <c r="L729"/>
      <c r="M729"/>
      <c r="N729"/>
      <c r="O729" s="392"/>
      <c r="P729" s="2"/>
      <c r="R729"/>
      <c r="S729"/>
      <c r="V729"/>
    </row>
    <row r="730" spans="10:22" s="1" customFormat="1" x14ac:dyDescent="0.2">
      <c r="J730"/>
      <c r="K730"/>
      <c r="L730"/>
      <c r="M730"/>
      <c r="N730"/>
      <c r="O730" s="392"/>
      <c r="P730" s="2"/>
      <c r="R730"/>
      <c r="S730"/>
      <c r="V730"/>
    </row>
    <row r="731" spans="10:22" s="1" customFormat="1" x14ac:dyDescent="0.2">
      <c r="J731"/>
      <c r="K731"/>
      <c r="L731"/>
      <c r="M731"/>
      <c r="N731"/>
      <c r="O731" s="392"/>
      <c r="P731" s="2"/>
      <c r="R731"/>
      <c r="S731"/>
      <c r="V731"/>
    </row>
    <row r="732" spans="10:22" s="1" customFormat="1" x14ac:dyDescent="0.2">
      <c r="J732"/>
      <c r="K732"/>
      <c r="L732"/>
      <c r="M732"/>
      <c r="N732"/>
      <c r="O732" s="392"/>
      <c r="P732" s="2"/>
      <c r="R732"/>
      <c r="S732"/>
      <c r="V732"/>
    </row>
    <row r="733" spans="10:22" s="1" customFormat="1" x14ac:dyDescent="0.2">
      <c r="J733"/>
      <c r="K733"/>
      <c r="L733"/>
      <c r="M733"/>
      <c r="N733"/>
      <c r="O733" s="392"/>
      <c r="P733" s="2"/>
      <c r="R733"/>
      <c r="S733"/>
      <c r="V733"/>
    </row>
    <row r="734" spans="10:22" s="1" customFormat="1" x14ac:dyDescent="0.2">
      <c r="J734"/>
      <c r="K734"/>
      <c r="L734"/>
      <c r="M734"/>
      <c r="N734"/>
      <c r="O734" s="392"/>
      <c r="P734" s="2"/>
      <c r="R734"/>
      <c r="S734"/>
      <c r="V734"/>
    </row>
    <row r="735" spans="10:22" s="1" customFormat="1" x14ac:dyDescent="0.2">
      <c r="J735"/>
      <c r="K735"/>
      <c r="L735"/>
      <c r="M735"/>
      <c r="N735"/>
      <c r="O735" s="392"/>
      <c r="P735" s="2"/>
      <c r="R735"/>
      <c r="S735"/>
      <c r="V735"/>
    </row>
    <row r="736" spans="10:22" s="1" customFormat="1" x14ac:dyDescent="0.2">
      <c r="J736"/>
      <c r="K736"/>
      <c r="L736"/>
      <c r="M736"/>
      <c r="N736"/>
      <c r="O736" s="392"/>
      <c r="P736" s="2"/>
      <c r="R736"/>
      <c r="S736"/>
      <c r="V736"/>
    </row>
    <row r="737" spans="10:22" s="1" customFormat="1" x14ac:dyDescent="0.2">
      <c r="J737"/>
      <c r="K737"/>
      <c r="L737"/>
      <c r="M737"/>
      <c r="N737"/>
      <c r="O737" s="392"/>
      <c r="P737" s="2"/>
      <c r="R737"/>
      <c r="S737"/>
      <c r="V737"/>
    </row>
    <row r="738" spans="10:22" s="1" customFormat="1" x14ac:dyDescent="0.2">
      <c r="J738"/>
      <c r="K738"/>
      <c r="L738"/>
      <c r="M738"/>
      <c r="N738"/>
      <c r="O738" s="392"/>
      <c r="P738" s="2"/>
      <c r="R738"/>
      <c r="S738"/>
      <c r="V738"/>
    </row>
    <row r="739" spans="10:22" s="1" customFormat="1" x14ac:dyDescent="0.2">
      <c r="J739"/>
      <c r="K739"/>
      <c r="L739"/>
      <c r="M739"/>
      <c r="N739"/>
      <c r="O739" s="392"/>
      <c r="P739" s="2"/>
      <c r="R739"/>
      <c r="S739"/>
      <c r="V739"/>
    </row>
    <row r="65468" spans="13:13" x14ac:dyDescent="0.2">
      <c r="M65468">
        <v>4</v>
      </c>
    </row>
  </sheetData>
  <mergeCells count="145">
    <mergeCell ref="R37:R39"/>
    <mergeCell ref="Q30:Q32"/>
    <mergeCell ref="L35:L36"/>
    <mergeCell ref="F15:F16"/>
    <mergeCell ref="H15:H16"/>
    <mergeCell ref="Q17:Q18"/>
    <mergeCell ref="Q15:Q16"/>
    <mergeCell ref="Q20:Q21"/>
    <mergeCell ref="L24:L25"/>
    <mergeCell ref="T24:T25"/>
    <mergeCell ref="R24:R25"/>
    <mergeCell ref="L27:L28"/>
    <mergeCell ref="R27:R28"/>
    <mergeCell ref="L14:L18"/>
    <mergeCell ref="L19:L21"/>
    <mergeCell ref="R14:R18"/>
    <mergeCell ref="T14:T18"/>
    <mergeCell ref="R19:R21"/>
    <mergeCell ref="T19:T21"/>
    <mergeCell ref="S17:S18"/>
    <mergeCell ref="T27:T28"/>
    <mergeCell ref="V27:AB27"/>
    <mergeCell ref="V24:AB24"/>
    <mergeCell ref="V17:AB17"/>
    <mergeCell ref="L33:L34"/>
    <mergeCell ref="T29:T32"/>
    <mergeCell ref="F20:F21"/>
    <mergeCell ref="H20:H21"/>
    <mergeCell ref="I20:I21"/>
    <mergeCell ref="K17:K18"/>
    <mergeCell ref="F17:F18"/>
    <mergeCell ref="V31:AB31"/>
    <mergeCell ref="V19:AB19"/>
    <mergeCell ref="V20:AB20"/>
    <mergeCell ref="V22:AB22"/>
    <mergeCell ref="V28:AB28"/>
    <mergeCell ref="V34:AB34"/>
    <mergeCell ref="V25:AB25"/>
    <mergeCell ref="V23:AB23"/>
    <mergeCell ref="V26:AB26"/>
    <mergeCell ref="V29:AB29"/>
    <mergeCell ref="R29:R32"/>
    <mergeCell ref="R33:R34"/>
    <mergeCell ref="T33:T34"/>
    <mergeCell ref="L29:L32"/>
    <mergeCell ref="B2:V2"/>
    <mergeCell ref="V3:AB3"/>
    <mergeCell ref="V4:AB4"/>
    <mergeCell ref="V5:AB5"/>
    <mergeCell ref="V6:AB6"/>
    <mergeCell ref="V7:AB7"/>
    <mergeCell ref="V8:AB8"/>
    <mergeCell ref="R4:R5"/>
    <mergeCell ref="T4:T5"/>
    <mergeCell ref="T6:T8"/>
    <mergeCell ref="R6:R8"/>
    <mergeCell ref="L4:L5"/>
    <mergeCell ref="L6:L8"/>
    <mergeCell ref="V44:AB44"/>
    <mergeCell ref="V43:AB43"/>
    <mergeCell ref="V42:AB42"/>
    <mergeCell ref="V41:AB41"/>
    <mergeCell ref="V37:AB37"/>
    <mergeCell ref="V33:AB33"/>
    <mergeCell ref="V30:AB30"/>
    <mergeCell ref="V35:AB35"/>
    <mergeCell ref="V36:AB36"/>
    <mergeCell ref="V32:AB32"/>
    <mergeCell ref="V40:AB40"/>
    <mergeCell ref="V39:AB39"/>
    <mergeCell ref="V50:AB50"/>
    <mergeCell ref="V55:AB55"/>
    <mergeCell ref="V52:AB52"/>
    <mergeCell ref="V51:AB51"/>
    <mergeCell ref="V53:AB53"/>
    <mergeCell ref="V49:AB49"/>
    <mergeCell ref="V54:AB54"/>
    <mergeCell ref="V45:AB45"/>
    <mergeCell ref="V46:AB46"/>
    <mergeCell ref="V47:AB47"/>
    <mergeCell ref="V16:AB16"/>
    <mergeCell ref="C118:E118"/>
    <mergeCell ref="E80:F80"/>
    <mergeCell ref="R35:R36"/>
    <mergeCell ref="T35:T36"/>
    <mergeCell ref="V56:AB56"/>
    <mergeCell ref="V57:AB57"/>
    <mergeCell ref="V60:AB60"/>
    <mergeCell ref="E78:F78"/>
    <mergeCell ref="C110:E110"/>
    <mergeCell ref="C102:Q103"/>
    <mergeCell ref="D92:Q92"/>
    <mergeCell ref="E79:F79"/>
    <mergeCell ref="V61:AB61"/>
    <mergeCell ref="V59:AB59"/>
    <mergeCell ref="V58:AB58"/>
    <mergeCell ref="V38:AB38"/>
    <mergeCell ref="L40:L41"/>
    <mergeCell ref="R40:R41"/>
    <mergeCell ref="T40:T41"/>
    <mergeCell ref="L37:L39"/>
    <mergeCell ref="T37:T39"/>
    <mergeCell ref="V48:AB48"/>
    <mergeCell ref="Q47:Q48"/>
    <mergeCell ref="L42:L43"/>
    <mergeCell ref="T42:T43"/>
    <mergeCell ref="R42:R43"/>
    <mergeCell ref="L44:L45"/>
    <mergeCell ref="T44:T45"/>
    <mergeCell ref="R44:R45"/>
    <mergeCell ref="V9:AB9"/>
    <mergeCell ref="V11:AB11"/>
    <mergeCell ref="R9:R10"/>
    <mergeCell ref="T9:T10"/>
    <mergeCell ref="L9:L10"/>
    <mergeCell ref="T22:T23"/>
    <mergeCell ref="R22:R23"/>
    <mergeCell ref="L22:L23"/>
    <mergeCell ref="V10:AB10"/>
    <mergeCell ref="V14:AB14"/>
    <mergeCell ref="V12:AB12"/>
    <mergeCell ref="V18:AB18"/>
    <mergeCell ref="V13:AB13"/>
    <mergeCell ref="V21:AB21"/>
    <mergeCell ref="L12:L13"/>
    <mergeCell ref="R12:R13"/>
    <mergeCell ref="T12:T13"/>
    <mergeCell ref="V15:AB15"/>
    <mergeCell ref="L52:L54"/>
    <mergeCell ref="T52:T54"/>
    <mergeCell ref="R52:R54"/>
    <mergeCell ref="F47:F48"/>
    <mergeCell ref="L49:L51"/>
    <mergeCell ref="U49:U50"/>
    <mergeCell ref="R49:R51"/>
    <mergeCell ref="T49:T51"/>
    <mergeCell ref="Q49:Q50"/>
    <mergeCell ref="H49:H50"/>
    <mergeCell ref="I49:I50"/>
    <mergeCell ref="F49:F50"/>
    <mergeCell ref="T47:T48"/>
    <mergeCell ref="R47:R48"/>
    <mergeCell ref="H47:H48"/>
    <mergeCell ref="I47:I48"/>
    <mergeCell ref="L47:L48"/>
  </mergeCells>
  <conditionalFormatting sqref="B2">
    <cfRule type="cellIs" dxfId="939" priority="1665" stopIfTrue="1" operator="lessThan">
      <formula>438</formula>
    </cfRule>
  </conditionalFormatting>
  <conditionalFormatting sqref="D66:D74">
    <cfRule type="cellIs" dxfId="938" priority="1548" stopIfTrue="1" operator="greaterThan">
      <formula>0.06</formula>
    </cfRule>
  </conditionalFormatting>
  <conditionalFormatting sqref="E66:F75">
    <cfRule type="cellIs" dxfId="937" priority="1551" operator="greaterThan">
      <formula>0.04</formula>
    </cfRule>
  </conditionalFormatting>
  <conditionalFormatting sqref="I82:I88">
    <cfRule type="cellIs" dxfId="936" priority="2499" stopIfTrue="1" operator="greaterThan">
      <formula>1.5%</formula>
    </cfRule>
    <cfRule type="cellIs" dxfId="935" priority="2500" stopIfTrue="1" operator="lessThan">
      <formula>0%</formula>
    </cfRule>
  </conditionalFormatting>
  <conditionalFormatting sqref="I89">
    <cfRule type="cellIs" dxfId="934" priority="2490" stopIfTrue="1" operator="greaterThan">
      <formula>1.1</formula>
    </cfRule>
    <cfRule type="cellIs" dxfId="933" priority="2489" stopIfTrue="1" operator="greaterThan">
      <formula>0.011</formula>
    </cfRule>
  </conditionalFormatting>
  <conditionalFormatting sqref="J3">
    <cfRule type="cellIs" dxfId="932" priority="627" stopIfTrue="1" operator="lessThan">
      <formula>438</formula>
    </cfRule>
    <cfRule type="cellIs" dxfId="931" priority="625" stopIfTrue="1" operator="lessThan">
      <formula>456.25</formula>
    </cfRule>
  </conditionalFormatting>
  <conditionalFormatting sqref="J4:J61">
    <cfRule type="cellIs" dxfId="930" priority="51" stopIfTrue="1" operator="lessThan">
      <formula>350</formula>
    </cfRule>
  </conditionalFormatting>
  <conditionalFormatting sqref="J62:J79">
    <cfRule type="cellIs" dxfId="929" priority="138" stopIfTrue="1" operator="lessThan">
      <formula>462</formula>
    </cfRule>
  </conditionalFormatting>
  <conditionalFormatting sqref="J63:J79 J97:J101 J104:J105 J108:J65537">
    <cfRule type="cellIs" dxfId="928" priority="2619" stopIfTrue="1" operator="lessThan">
      <formula>438</formula>
    </cfRule>
  </conditionalFormatting>
  <conditionalFormatting sqref="J82:J91">
    <cfRule type="cellIs" dxfId="927" priority="2478" stopIfTrue="1" operator="lessThan">
      <formula>73%</formula>
    </cfRule>
  </conditionalFormatting>
  <conditionalFormatting sqref="K82:K90">
    <cfRule type="cellIs" dxfId="926" priority="2570" stopIfTrue="1" operator="lessThan">
      <formula>73%</formula>
    </cfRule>
  </conditionalFormatting>
  <conditionalFormatting sqref="K4:L4 K5:K17 L6 L9 L11:L12 L14 K19:K55 K56:L60">
    <cfRule type="cellIs" dxfId="925" priority="50" stopIfTrue="1" operator="lessThan">
      <formula>540</formula>
    </cfRule>
  </conditionalFormatting>
  <conditionalFormatting sqref="K91:L91">
    <cfRule type="cellIs" dxfId="924" priority="2571" stopIfTrue="1" operator="lessThan">
      <formula>73%</formula>
    </cfRule>
  </conditionalFormatting>
  <conditionalFormatting sqref="L19">
    <cfRule type="cellIs" dxfId="923" priority="24" stopIfTrue="1" operator="lessThan">
      <formula>540</formula>
    </cfRule>
  </conditionalFormatting>
  <conditionalFormatting sqref="L22 L24">
    <cfRule type="cellIs" dxfId="922" priority="17" stopIfTrue="1" operator="lessThan">
      <formula>540</formula>
    </cfRule>
  </conditionalFormatting>
  <conditionalFormatting sqref="L26:L27 L29">
    <cfRule type="cellIs" dxfId="921" priority="10" stopIfTrue="1" operator="lessThan">
      <formula>540</formula>
    </cfRule>
  </conditionalFormatting>
  <conditionalFormatting sqref="L33 L35 L37 L40 L42 L44 L46:L47 L49 L52">
    <cfRule type="cellIs" dxfId="920" priority="9" stopIfTrue="1" operator="lessThan">
      <formula>540</formula>
    </cfRule>
  </conditionalFormatting>
  <conditionalFormatting sqref="L55">
    <cfRule type="cellIs" dxfId="919" priority="3" stopIfTrue="1" operator="lessThan">
      <formula>540</formula>
    </cfRule>
  </conditionalFormatting>
  <conditionalFormatting sqref="P64:P73">
    <cfRule type="cellIs" dxfId="918" priority="2610" stopIfTrue="1" operator="greaterThan">
      <formula>1.1</formula>
    </cfRule>
  </conditionalFormatting>
  <conditionalFormatting sqref="Q4:Q15 Q17">
    <cfRule type="cellIs" dxfId="917" priority="49" stopIfTrue="1" operator="greaterThan">
      <formula>1.8</formula>
    </cfRule>
  </conditionalFormatting>
  <conditionalFormatting sqref="Q19:Q20">
    <cfRule type="cellIs" dxfId="916" priority="21" stopIfTrue="1" operator="greaterThan">
      <formula>1.8</formula>
    </cfRule>
  </conditionalFormatting>
  <conditionalFormatting sqref="Q22:Q30 Q33:Q47">
    <cfRule type="cellIs" dxfId="915" priority="20" stopIfTrue="1" operator="greaterThan">
      <formula>1.8</formula>
    </cfRule>
  </conditionalFormatting>
  <conditionalFormatting sqref="Q49 Q51:Q55">
    <cfRule type="cellIs" dxfId="914" priority="4" stopIfTrue="1" operator="greaterThan">
      <formula>1.8</formula>
    </cfRule>
  </conditionalFormatting>
  <conditionalFormatting sqref="Q56:Q61">
    <cfRule type="cellIs" dxfId="913" priority="2576" stopIfTrue="1" operator="greaterThan">
      <formula>1.8</formula>
    </cfRule>
  </conditionalFormatting>
  <conditionalFormatting sqref="Q61">
    <cfRule type="cellIs" dxfId="912" priority="2496" stopIfTrue="1" operator="greaterThan">
      <formula>0.018</formula>
    </cfRule>
  </conditionalFormatting>
  <conditionalFormatting sqref="Q62:Q78">
    <cfRule type="cellIs" dxfId="911" priority="631" stopIfTrue="1" operator="greaterThan">
      <formula>1.1</formula>
    </cfRule>
  </conditionalFormatting>
  <conditionalFormatting sqref="Q78:Q79 I90:I91">
    <cfRule type="cellIs" dxfId="910" priority="2615" stopIfTrue="1" operator="greaterThan">
      <formula>1.5%</formula>
    </cfRule>
    <cfRule type="cellIs" dxfId="909" priority="2616" stopIfTrue="1" operator="lessThan">
      <formula>0%</formula>
    </cfRule>
  </conditionalFormatting>
  <conditionalFormatting sqref="Q82">
    <cfRule type="cellIs" dxfId="908" priority="2491" stopIfTrue="1" operator="greaterThan">
      <formula>0.011</formula>
    </cfRule>
    <cfRule type="cellIs" dxfId="907" priority="2492" stopIfTrue="1" operator="greaterThan">
      <formula>1.1</formula>
    </cfRule>
  </conditionalFormatting>
  <conditionalFormatting sqref="R4 R6">
    <cfRule type="cellIs" dxfId="906" priority="47" stopIfTrue="1" operator="lessThan">
      <formula>0.56</formula>
    </cfRule>
  </conditionalFormatting>
  <conditionalFormatting sqref="R9 R11:R12 R14">
    <cfRule type="cellIs" dxfId="905" priority="26" stopIfTrue="1" operator="lessThan">
      <formula>0.56</formula>
    </cfRule>
  </conditionalFormatting>
  <conditionalFormatting sqref="R19">
    <cfRule type="cellIs" dxfId="904" priority="22" stopIfTrue="1" operator="lessThan">
      <formula>0.56</formula>
    </cfRule>
  </conditionalFormatting>
  <conditionalFormatting sqref="R22 R24">
    <cfRule type="cellIs" dxfId="903" priority="18" stopIfTrue="1" operator="lessThan">
      <formula>0.56</formula>
    </cfRule>
  </conditionalFormatting>
  <conditionalFormatting sqref="R26:R27 R29">
    <cfRule type="cellIs" dxfId="902" priority="12" stopIfTrue="1" operator="lessThan">
      <formula>0.56</formula>
    </cfRule>
  </conditionalFormatting>
  <conditionalFormatting sqref="R33 R35 R37 R40 R42 R44">
    <cfRule type="cellIs" dxfId="901" priority="8" stopIfTrue="1" operator="lessThan">
      <formula>0.56</formula>
    </cfRule>
  </conditionalFormatting>
  <conditionalFormatting sqref="R46:R47 R49 R52">
    <cfRule type="cellIs" dxfId="900" priority="6" stopIfTrue="1" operator="lessThan">
      <formula>0.56</formula>
    </cfRule>
  </conditionalFormatting>
  <conditionalFormatting sqref="R55">
    <cfRule type="cellIs" dxfId="899" priority="2" stopIfTrue="1" operator="lessThan">
      <formula>0.56</formula>
    </cfRule>
  </conditionalFormatting>
  <conditionalFormatting sqref="R56:R60">
    <cfRule type="cellIs" dxfId="898" priority="57" stopIfTrue="1" operator="lessThan">
      <formula>0.67</formula>
    </cfRule>
  </conditionalFormatting>
  <conditionalFormatting sqref="R61">
    <cfRule type="cellIs" dxfId="897" priority="54" stopIfTrue="1" operator="lessThan">
      <formula>0.56</formula>
    </cfRule>
  </conditionalFormatting>
  <conditionalFormatting sqref="R62:R77">
    <cfRule type="cellIs" dxfId="896" priority="629" stopIfTrue="1" operator="lessThan">
      <formula>0.6</formula>
    </cfRule>
  </conditionalFormatting>
  <conditionalFormatting sqref="R64:R73 S61:S77">
    <cfRule type="cellIs" dxfId="895" priority="2613" stopIfTrue="1" operator="lessThan">
      <formula>0.74</formula>
    </cfRule>
  </conditionalFormatting>
  <conditionalFormatting sqref="R82:S82">
    <cfRule type="cellIs" dxfId="894" priority="2493" stopIfTrue="1" operator="lessThan">
      <formula>0.74</formula>
    </cfRule>
  </conditionalFormatting>
  <conditionalFormatting sqref="S3">
    <cfRule type="cellIs" dxfId="893" priority="628" stopIfTrue="1" operator="lessThan">
      <formula>0.65</formula>
    </cfRule>
  </conditionalFormatting>
  <conditionalFormatting sqref="S4:S17 S19:S60">
    <cfRule type="cellIs" dxfId="892" priority="48" stopIfTrue="1" operator="lessThan">
      <formula>0.66</formula>
    </cfRule>
  </conditionalFormatting>
  <conditionalFormatting sqref="S98:S99">
    <cfRule type="cellIs" dxfId="891" priority="2540" stopIfTrue="1" operator="lessThan">
      <formula>0.74</formula>
    </cfRule>
  </conditionalFormatting>
  <conditionalFormatting sqref="S100">
    <cfRule type="cellIs" dxfId="890" priority="2539" stopIfTrue="1" operator="greaterThan">
      <formula>1.1</formula>
    </cfRule>
  </conditionalFormatting>
  <conditionalFormatting sqref="S78:T79">
    <cfRule type="cellIs" dxfId="889" priority="2618" stopIfTrue="1" operator="lessThan">
      <formula>75%</formula>
    </cfRule>
  </conditionalFormatting>
  <conditionalFormatting sqref="T4 T6">
    <cfRule type="cellIs" dxfId="888" priority="46" stopIfTrue="1" operator="lessThan">
      <formula>0.8</formula>
    </cfRule>
  </conditionalFormatting>
  <conditionalFormatting sqref="T9 T11:T12 T14">
    <cfRule type="cellIs" dxfId="887" priority="25" stopIfTrue="1" operator="lessThan">
      <formula>0.8</formula>
    </cfRule>
  </conditionalFormatting>
  <conditionalFormatting sqref="T19">
    <cfRule type="cellIs" dxfId="886" priority="23" stopIfTrue="1" operator="lessThan">
      <formula>0.8</formula>
    </cfRule>
  </conditionalFormatting>
  <conditionalFormatting sqref="T22 T24">
    <cfRule type="cellIs" dxfId="885" priority="19" stopIfTrue="1" operator="lessThan">
      <formula>0.8</formula>
    </cfRule>
  </conditionalFormatting>
  <conditionalFormatting sqref="T26:T27 T29">
    <cfRule type="cellIs" dxfId="884" priority="11" stopIfTrue="1" operator="lessThan">
      <formula>0.8</formula>
    </cfRule>
  </conditionalFormatting>
  <conditionalFormatting sqref="T33 T35 T37 T40 T42 T44">
    <cfRule type="cellIs" dxfId="883" priority="7" stopIfTrue="1" operator="lessThan">
      <formula>0.8</formula>
    </cfRule>
  </conditionalFormatting>
  <conditionalFormatting sqref="T46:T47 T49 T52">
    <cfRule type="cellIs" dxfId="882" priority="5" stopIfTrue="1" operator="lessThan">
      <formula>0.8</formula>
    </cfRule>
  </conditionalFormatting>
  <conditionalFormatting sqref="T55">
    <cfRule type="cellIs" dxfId="881" priority="1" stopIfTrue="1" operator="lessThan">
      <formula>0.8</formula>
    </cfRule>
  </conditionalFormatting>
  <conditionalFormatting sqref="T56:T77">
    <cfRule type="cellIs" dxfId="880" priority="58" stopIfTrue="1" operator="lessThan">
      <formula>0.8</formula>
    </cfRule>
  </conditionalFormatting>
  <conditionalFormatting sqref="T81">
    <cfRule type="cellIs" dxfId="879" priority="2572" stopIfTrue="1" operator="lessThan">
      <formula>0.65</formula>
    </cfRule>
  </conditionalFormatting>
  <conditionalFormatting sqref="T82">
    <cfRule type="cellIs" dxfId="878" priority="2497" stopIfTrue="1" operator="lessThan">
      <formula>0.95</formula>
    </cfRule>
  </conditionalFormatting>
  <conditionalFormatting sqref="U4:U49 U51:U60">
    <cfRule type="cellIs" dxfId="877" priority="13" stopIfTrue="1" operator="greaterThan">
      <formula>1.8</formula>
    </cfRule>
  </conditionalFormatting>
  <conditionalFormatting sqref="U64">
    <cfRule type="cellIs" dxfId="876" priority="16" stopIfTrue="1" operator="lessThan">
      <formula>75%</formula>
    </cfRule>
  </conditionalFormatting>
  <conditionalFormatting sqref="U65">
    <cfRule type="cellIs" dxfId="875" priority="15" stopIfTrue="1" operator="lessThan">
      <formula>0.65</formula>
    </cfRule>
  </conditionalFormatting>
  <conditionalFormatting sqref="U66">
    <cfRule type="cellIs" dxfId="874" priority="14" stopIfTrue="1" operator="lessThan">
      <formula>0.95</formula>
    </cfRule>
  </conditionalFormatting>
  <printOptions horizontalCentered="1"/>
  <pageMargins left="0.10312499999999999" right="0.5" top="0.25" bottom="0.27" header="0.25" footer="0.27"/>
  <pageSetup scale="23" fitToHeight="0" orientation="landscape" r:id="rId1"/>
  <headerFooter alignWithMargins="0"/>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05586-06E9-48B0-B2BC-53EA937E8028}">
  <sheetPr codeName="Sheet34">
    <pageSetUpPr fitToPage="1"/>
  </sheetPr>
  <dimension ref="A1:AD65462"/>
  <sheetViews>
    <sheetView showZeros="0" showWhiteSpace="0" zoomScaleNormal="100" zoomScaleSheetLayoutView="70" workbookViewId="0">
      <pane xSplit="3" ySplit="3" topLeftCell="J39" activePane="bottomRight" state="frozen"/>
      <selection pane="topRight" activeCell="D1" sqref="D1"/>
      <selection pane="bottomLeft" activeCell="A4" sqref="A4"/>
      <selection pane="bottomRight" activeCell="R40" sqref="R40:T40"/>
    </sheetView>
  </sheetViews>
  <sheetFormatPr defaultColWidth="9.42578125" defaultRowHeight="12.75" outlineLevelCol="1" x14ac:dyDescent="0.2"/>
  <cols>
    <col min="1" max="1" width="3.42578125" customWidth="1"/>
    <col min="2" max="2" width="21.42578125" style="1" customWidth="1"/>
    <col min="3" max="3" width="58.5703125" style="1" customWidth="1"/>
    <col min="4" max="4" width="16.7109375" style="1" customWidth="1"/>
    <col min="5" max="5" width="17.5703125" style="1" customWidth="1"/>
    <col min="6" max="6" width="21.5703125" style="1" hidden="1" customWidth="1" outlineLevel="1"/>
    <col min="7" max="7" width="16.7109375" customWidth="1" collapsed="1"/>
    <col min="8" max="8" width="20.42578125" hidden="1" customWidth="1" outlineLevel="1"/>
    <col min="9" max="9" width="22.42578125" style="1" hidden="1" customWidth="1" outlineLevel="1"/>
    <col min="10" max="10" width="20.42578125" bestFit="1" customWidth="1" collapsed="1"/>
    <col min="11" max="11" width="23.42578125" hidden="1" customWidth="1" outlineLevel="1"/>
    <col min="12" max="12" width="17.42578125" hidden="1" customWidth="1" outlineLevel="1"/>
    <col min="13" max="13" width="17" hidden="1" customWidth="1" outlineLevel="1"/>
    <col min="14" max="14" width="13.42578125" hidden="1" customWidth="1" outlineLevel="1"/>
    <col min="15" max="15" width="12.5703125" style="392" hidden="1" customWidth="1" outlineLevel="1"/>
    <col min="16" max="16" width="15" style="2" hidden="1" customWidth="1" outlineLevel="1"/>
    <col min="17" max="17" width="14.42578125" style="1" customWidth="1" collapsed="1"/>
    <col min="18" max="18" width="21.85546875" customWidth="1"/>
    <col min="19" max="19" width="16.42578125" customWidth="1"/>
    <col min="20" max="20" width="16.5703125" style="1" customWidth="1"/>
    <col min="21" max="21" width="20.5703125" style="1" hidden="1" customWidth="1"/>
    <col min="22" max="22" width="12" customWidth="1"/>
    <col min="23" max="23" width="17" customWidth="1"/>
    <col min="24" max="24" width="15.42578125" customWidth="1"/>
    <col min="25" max="25" width="15.5703125" customWidth="1"/>
    <col min="26" max="26" width="14" customWidth="1"/>
    <col min="27" max="27" width="25.5703125" customWidth="1"/>
    <col min="28" max="28" width="71.42578125" customWidth="1"/>
    <col min="29" max="29" width="68.5703125" customWidth="1"/>
    <col min="30" max="30" width="15.5703125" bestFit="1" customWidth="1"/>
  </cols>
  <sheetData>
    <row r="1" spans="2:30" x14ac:dyDescent="0.2">
      <c r="L1" t="s">
        <v>48</v>
      </c>
    </row>
    <row r="2" spans="2:30" ht="24" thickBot="1" x14ac:dyDescent="0.4">
      <c r="B2" s="1022" t="s">
        <v>964</v>
      </c>
      <c r="C2" s="1022"/>
      <c r="D2" s="1022"/>
      <c r="E2" s="1022"/>
      <c r="F2" s="1022"/>
      <c r="G2" s="1022"/>
      <c r="H2" s="1022"/>
      <c r="I2" s="1022"/>
      <c r="J2" s="1022"/>
      <c r="K2" s="1022"/>
      <c r="L2" s="1022"/>
      <c r="M2" s="1022"/>
      <c r="N2" s="1022"/>
      <c r="O2" s="1022"/>
      <c r="P2" s="1022"/>
      <c r="Q2" s="1022"/>
      <c r="R2" s="1022"/>
      <c r="S2" s="1022"/>
      <c r="T2" s="1022"/>
      <c r="U2" s="1022"/>
      <c r="V2" s="1022"/>
    </row>
    <row r="3" spans="2:30" ht="135.75" customHeight="1" thickTop="1" thickBot="1" x14ac:dyDescent="0.25">
      <c r="B3" s="564" t="s">
        <v>0</v>
      </c>
      <c r="C3" s="565" t="s">
        <v>2</v>
      </c>
      <c r="D3" s="565" t="s">
        <v>12</v>
      </c>
      <c r="E3" s="565" t="s">
        <v>11</v>
      </c>
      <c r="F3" s="38" t="s">
        <v>15</v>
      </c>
      <c r="G3" s="565" t="s">
        <v>9</v>
      </c>
      <c r="H3" s="38" t="s">
        <v>17</v>
      </c>
      <c r="I3" s="38" t="s">
        <v>5</v>
      </c>
      <c r="J3" s="565" t="s">
        <v>958</v>
      </c>
      <c r="K3" s="38" t="s">
        <v>4</v>
      </c>
      <c r="L3" s="663" t="s">
        <v>843</v>
      </c>
      <c r="M3" s="664" t="s">
        <v>161</v>
      </c>
      <c r="N3" s="664" t="s">
        <v>10</v>
      </c>
      <c r="O3" s="38" t="s">
        <v>622</v>
      </c>
      <c r="P3" s="294" t="s">
        <v>863</v>
      </c>
      <c r="Q3" s="566" t="s">
        <v>957</v>
      </c>
      <c r="R3" s="584" t="s">
        <v>473</v>
      </c>
      <c r="S3" s="547" t="s">
        <v>860</v>
      </c>
      <c r="T3" s="584" t="s">
        <v>862</v>
      </c>
      <c r="U3" s="545" t="s">
        <v>1009</v>
      </c>
      <c r="V3" s="1023" t="s">
        <v>1</v>
      </c>
      <c r="W3" s="1024"/>
      <c r="X3" s="1024"/>
      <c r="Y3" s="1024"/>
      <c r="Z3" s="1024"/>
      <c r="AA3" s="1024"/>
      <c r="AB3" s="1025"/>
      <c r="AC3">
        <v>18000</v>
      </c>
      <c r="AD3">
        <v>17000</v>
      </c>
    </row>
    <row r="4" spans="2:30" s="19" customFormat="1" ht="200.25" customHeight="1" thickTop="1" thickBot="1" x14ac:dyDescent="0.25">
      <c r="B4" s="168">
        <f>[1]August_2026!$B8</f>
        <v>46237</v>
      </c>
      <c r="C4" s="26" t="str">
        <f>[1]August_2026!$D8</f>
        <v>GUINNESS</v>
      </c>
      <c r="D4" s="27">
        <v>5600</v>
      </c>
      <c r="E4" s="28">
        <f>[2]Aug!$E8</f>
        <v>1.1215277777777777</v>
      </c>
      <c r="F4" s="29">
        <f>[1]August_2026!$J8</f>
        <v>387</v>
      </c>
      <c r="G4" s="30">
        <f>[1]August_2026!$G8</f>
        <v>5831</v>
      </c>
      <c r="H4" s="29">
        <f>[1]August_2026!$K8</f>
        <v>384.846</v>
      </c>
      <c r="I4" s="31">
        <f xml:space="preserve"> [1]August_2026!$N8</f>
        <v>36</v>
      </c>
      <c r="J4" s="32">
        <f>[1]August_2026!$Q8</f>
        <v>259.15555555555557</v>
      </c>
      <c r="K4" s="32">
        <f>[1]August_2026!$F8</f>
        <v>1188</v>
      </c>
      <c r="L4" s="938">
        <f>[1]August_2026!$E8</f>
        <v>1350</v>
      </c>
      <c r="M4" s="169">
        <f>[2]Aug!$G8</f>
        <v>2.0833333333333335</v>
      </c>
      <c r="N4" s="32">
        <f>[2]Aug!$AD8</f>
        <v>615</v>
      </c>
      <c r="O4" s="406">
        <f>[2]Aug!$I8</f>
        <v>0</v>
      </c>
      <c r="P4" s="32">
        <f>[1]August_2026!$I8</f>
        <v>64</v>
      </c>
      <c r="Q4" s="608">
        <f>[1]August_2026!$P8</f>
        <v>0.55658914728682085</v>
      </c>
      <c r="R4" s="862">
        <f>($G4)/(($L4/60)*AD$3*(1/24))</f>
        <v>0.36586666666666667</v>
      </c>
      <c r="S4" s="651">
        <f>($G4)*24/(($K4)/60)/$AD$3</f>
        <v>0.41575757575757577</v>
      </c>
      <c r="T4" s="866">
        <f>(1530-((N4)-[2]Aug!$Z$8-[2]Aug!$AB$8))/1530</f>
        <v>0.62875816993464051</v>
      </c>
      <c r="U4" s="945">
        <f>[1]August_2026!$S8</f>
        <v>9.3512974051896194E-3</v>
      </c>
      <c r="V4" s="1185" t="s">
        <v>1256</v>
      </c>
      <c r="W4" s="1164"/>
      <c r="X4" s="1164"/>
      <c r="Y4" s="1164"/>
      <c r="Z4" s="1164"/>
      <c r="AA4" s="1164"/>
      <c r="AB4" s="1186"/>
    </row>
    <row r="5" spans="2:30" s="19" customFormat="1" ht="175.5" customHeight="1" thickBot="1" x14ac:dyDescent="0.25">
      <c r="B5" s="168">
        <f>[1]August_2026!$B9</f>
        <v>46238</v>
      </c>
      <c r="C5" s="26" t="str">
        <f>[1]August_2026!$D9</f>
        <v>CARIB AMBER</v>
      </c>
      <c r="D5" s="27">
        <v>9800</v>
      </c>
      <c r="E5" s="28">
        <f>[2]Aug!$E9</f>
        <v>1.0625</v>
      </c>
      <c r="F5" s="29">
        <f>[1]August_2026!$J9</f>
        <v>710.3</v>
      </c>
      <c r="G5" s="30">
        <f>[1]August_2026!$G9</f>
        <v>10243</v>
      </c>
      <c r="H5" s="29">
        <f>[1]August_2026!$K9</f>
        <v>683.25800000000004</v>
      </c>
      <c r="I5" s="31">
        <f xml:space="preserve"> [1]August_2026!$N9</f>
        <v>21</v>
      </c>
      <c r="J5" s="32">
        <f>[1]August_2026!$Q9</f>
        <v>426.79166666666669</v>
      </c>
      <c r="K5" s="32">
        <f>[1]August_2026!$F9</f>
        <v>1228</v>
      </c>
      <c r="L5" s="464">
        <f>[1]August_2026!$E9</f>
        <v>1440</v>
      </c>
      <c r="M5" s="169">
        <f>[2]Aug!$G9</f>
        <v>2.0548611111111112</v>
      </c>
      <c r="N5" s="32">
        <f>[2]Aug!$AD9</f>
        <v>357</v>
      </c>
      <c r="O5" s="406">
        <f>[2]Aug!$I9</f>
        <v>25</v>
      </c>
      <c r="P5" s="32">
        <f>[1]August_2026!$I9</f>
        <v>0</v>
      </c>
      <c r="Q5" s="608">
        <f>[1]August_2026!$P9</f>
        <v>3.8071237505279347</v>
      </c>
      <c r="R5" s="862">
        <f>($G5)/(($L5/60)*AD$3*(1/24))</f>
        <v>0.60252941176470587</v>
      </c>
      <c r="S5" s="651">
        <f>($G5)*24/(($K5)/60)/$AD$3</f>
        <v>0.70654914734623497</v>
      </c>
      <c r="T5" s="866">
        <f>(1519-((N5)-[2]Aug!$J$9-[2]Aug!$Z$9-[2]Aug!$AB$9))/1519</f>
        <v>0.84529295589203424</v>
      </c>
      <c r="U5" s="945">
        <f>[1]August_2026!$S9</f>
        <v>1.7861501139567179E-2</v>
      </c>
      <c r="V5" s="1185" t="s">
        <v>1257</v>
      </c>
      <c r="W5" s="1164"/>
      <c r="X5" s="1164"/>
      <c r="Y5" s="1164"/>
      <c r="Z5" s="1164"/>
      <c r="AA5" s="1164"/>
      <c r="AB5" s="1186"/>
    </row>
    <row r="6" spans="2:30" s="19" customFormat="1" ht="79.900000000000006" customHeight="1" thickBot="1" x14ac:dyDescent="0.25">
      <c r="B6" s="168">
        <f>[1]August_2026!$B10</f>
        <v>46239</v>
      </c>
      <c r="C6" s="26" t="str">
        <f>[1]August_2026!$D10</f>
        <v>CARIB AMBER</v>
      </c>
      <c r="D6" s="27">
        <v>4200</v>
      </c>
      <c r="E6" s="28">
        <f>[2]Aug!$E10</f>
        <v>1.0069444444444444</v>
      </c>
      <c r="F6" s="29">
        <f>[1]August_2026!$J10</f>
        <v>183.5</v>
      </c>
      <c r="G6" s="30">
        <f>[1]August_2026!$G10</f>
        <v>2644</v>
      </c>
      <c r="H6" s="29">
        <f>[1]August_2026!$K10</f>
        <v>174.50400000000002</v>
      </c>
      <c r="I6" s="31">
        <f xml:space="preserve"> [1]August_2026!$N10</f>
        <v>2</v>
      </c>
      <c r="J6" s="991">
        <f>[1]August_2026!$Q10</f>
        <v>305.5</v>
      </c>
      <c r="K6" s="32">
        <f>[1]August_2026!$F10</f>
        <v>314</v>
      </c>
      <c r="L6" s="1167">
        <f>[1]August_2026!$E10</f>
        <v>1440</v>
      </c>
      <c r="M6" s="169">
        <f>[2]Aug!$G10</f>
        <v>0.29166666666666669</v>
      </c>
      <c r="N6" s="32">
        <f>[2]Aug!$AD10</f>
        <v>73</v>
      </c>
      <c r="O6" s="406">
        <f>[2]Aug!$I10</f>
        <v>0</v>
      </c>
      <c r="P6" s="32">
        <f>[1]August_2026!$I10</f>
        <v>0</v>
      </c>
      <c r="Q6" s="608">
        <f>[1]August_2026!$P10</f>
        <v>4.9024523160762845</v>
      </c>
      <c r="R6" s="995">
        <f>($G6+G7+G8)/(($L6/60)*AD$3*(1/24))</f>
        <v>0.43129411764705883</v>
      </c>
      <c r="S6" s="651">
        <f t="shared" ref="S6:S8" si="0">($G6)*24/(($K6)/60)/$AD$3</f>
        <v>0.71325590108654924</v>
      </c>
      <c r="T6" s="995">
        <f>(1516-((N6+N7+N8)-[2]Aug!$J$10-[2]Aug!$I$11-[2]Aug!$I$12-[2]Aug!$AC$11-[2]Aug!$AB$11-[2]Aug!$Z$11))/1516</f>
        <v>0.87071240105540892</v>
      </c>
      <c r="U6" s="945"/>
      <c r="V6" s="1185" t="s">
        <v>1259</v>
      </c>
      <c r="W6" s="1164"/>
      <c r="X6" s="1164"/>
      <c r="Y6" s="1164"/>
      <c r="Z6" s="1164"/>
      <c r="AA6" s="1164"/>
      <c r="AB6" s="1186"/>
    </row>
    <row r="7" spans="2:30" s="19" customFormat="1" ht="135" customHeight="1" thickBot="1" x14ac:dyDescent="0.25">
      <c r="B7" s="168">
        <f>[1]August_2026!$B11</f>
        <v>46239</v>
      </c>
      <c r="C7" s="26" t="str">
        <f>[1]August_2026!$D11</f>
        <v>STAG</v>
      </c>
      <c r="D7" s="27">
        <v>4200</v>
      </c>
      <c r="E7" s="28">
        <f>[2]Aug!$E11</f>
        <v>0.2673611111111111</v>
      </c>
      <c r="F7" s="29">
        <f>[1]August_2026!$J11</f>
        <v>295.3</v>
      </c>
      <c r="G7" s="30">
        <f>[1]August_2026!$G11</f>
        <v>4281</v>
      </c>
      <c r="H7" s="29">
        <f>[1]August_2026!$K11</f>
        <v>288.24599999999998</v>
      </c>
      <c r="I7" s="31">
        <f xml:space="preserve"> [1]August_2026!$N11</f>
        <v>60</v>
      </c>
      <c r="J7" s="1042"/>
      <c r="K7" s="32">
        <f>[1]August_2026!$F11</f>
        <v>614</v>
      </c>
      <c r="L7" s="1167"/>
      <c r="M7" s="169">
        <f>[2]Aug!$G11</f>
        <v>2.0069444444444446</v>
      </c>
      <c r="N7" s="32">
        <f>[2]Aug!$AD11</f>
        <v>453</v>
      </c>
      <c r="O7" s="406">
        <f>[2]Aug!$I11</f>
        <v>14</v>
      </c>
      <c r="P7" s="32">
        <f>[1]August_2026!$I11</f>
        <v>0</v>
      </c>
      <c r="Q7" s="608">
        <f>[1]August_2026!$P11</f>
        <v>2.3887571960718015</v>
      </c>
      <c r="R7" s="996"/>
      <c r="S7" s="651">
        <f t="shared" si="0"/>
        <v>0.59059589959762404</v>
      </c>
      <c r="T7" s="996"/>
      <c r="U7" s="945"/>
      <c r="V7" s="1185" t="s">
        <v>1260</v>
      </c>
      <c r="W7" s="1164"/>
      <c r="X7" s="1164"/>
      <c r="Y7" s="1164"/>
      <c r="Z7" s="1164"/>
      <c r="AA7" s="1164"/>
      <c r="AB7" s="1186"/>
    </row>
    <row r="8" spans="2:30" s="19" customFormat="1" ht="80.45" customHeight="1" thickBot="1" x14ac:dyDescent="0.25">
      <c r="B8" s="168">
        <f>[1]August_2026!$B12</f>
        <v>46239</v>
      </c>
      <c r="C8" s="26" t="str">
        <f>[1]August_2026!$D12</f>
        <v xml:space="preserve">CARIB AMBER </v>
      </c>
      <c r="D8" s="27"/>
      <c r="E8" s="28">
        <f>[2]Aug!$E12</f>
        <v>1.9375</v>
      </c>
      <c r="F8" s="29">
        <f>[1]August_2026!$J12</f>
        <v>46.599999999999994</v>
      </c>
      <c r="G8" s="30">
        <f>[1]August_2026!$G12</f>
        <v>407</v>
      </c>
      <c r="H8" s="29">
        <f>[1]August_2026!$K12</f>
        <v>45.862000000000002</v>
      </c>
      <c r="I8" s="31">
        <f xml:space="preserve"> [1]August_2026!$N12</f>
        <v>1</v>
      </c>
      <c r="J8" s="992"/>
      <c r="K8" s="32">
        <f>[1]August_2026!$F12</f>
        <v>90</v>
      </c>
      <c r="L8" s="1167"/>
      <c r="M8" s="169">
        <f>[2]Aug!$G12</f>
        <v>2.0527777777777776</v>
      </c>
      <c r="N8" s="32">
        <f>[2]Aug!$AD12</f>
        <v>52</v>
      </c>
      <c r="O8" s="406">
        <f>[2]Aug!$I12</f>
        <v>21</v>
      </c>
      <c r="P8" s="32">
        <f>[1]August_2026!$I12</f>
        <v>0</v>
      </c>
      <c r="Q8" s="608">
        <f>[1]August_2026!$P12</f>
        <v>1.5836909871244476</v>
      </c>
      <c r="R8" s="1020"/>
      <c r="S8" s="651">
        <f t="shared" si="0"/>
        <v>0.38305882352941178</v>
      </c>
      <c r="T8" s="1020"/>
      <c r="U8" s="945"/>
      <c r="V8" s="1185" t="s">
        <v>1258</v>
      </c>
      <c r="W8" s="1164"/>
      <c r="X8" s="1164"/>
      <c r="Y8" s="1164"/>
      <c r="Z8" s="1164"/>
      <c r="AA8" s="1164"/>
      <c r="AB8" s="1186"/>
    </row>
    <row r="9" spans="2:30" s="19" customFormat="1" ht="141" customHeight="1" thickBot="1" x14ac:dyDescent="0.25">
      <c r="B9" s="168">
        <f>[1]August_2026!$B13</f>
        <v>46240</v>
      </c>
      <c r="C9" s="26" t="str">
        <f>[1]August_2026!$D13</f>
        <v xml:space="preserve">CARIB AMBER </v>
      </c>
      <c r="D9" s="27">
        <v>7600</v>
      </c>
      <c r="E9" s="28">
        <f>[2]Aug!$E13</f>
        <v>1.0069444444444444</v>
      </c>
      <c r="F9" s="29">
        <f>[1]August_2026!$J13</f>
        <v>488</v>
      </c>
      <c r="G9" s="30">
        <f>[1]August_2026!$G13</f>
        <v>6934</v>
      </c>
      <c r="H9" s="29">
        <f>[1]August_2026!$K13</f>
        <v>473.22399999999999</v>
      </c>
      <c r="I9" s="31">
        <f xml:space="preserve"> [1]August_2026!$N13</f>
        <v>66</v>
      </c>
      <c r="J9" s="32">
        <f>[1]August_2026!$Q13</f>
        <v>288.91666666666669</v>
      </c>
      <c r="K9" s="32">
        <f>[1]August_2026!$F13</f>
        <v>1262</v>
      </c>
      <c r="L9" s="464">
        <f>[1]August_2026!$E13</f>
        <v>1440</v>
      </c>
      <c r="M9" s="169">
        <f>[2]Aug!$G13</f>
        <v>2.0027777777777778</v>
      </c>
      <c r="N9" s="32">
        <f>[2]Aug!$AD13</f>
        <v>614</v>
      </c>
      <c r="O9" s="406">
        <f>[2]Aug!$I13</f>
        <v>80</v>
      </c>
      <c r="P9" s="32">
        <f>[1]August_2026!$I13</f>
        <v>0</v>
      </c>
      <c r="Q9" s="608">
        <f>[1]August_2026!$P13</f>
        <v>3.0278688524590187</v>
      </c>
      <c r="R9" s="862">
        <f>($G9)/(($L9/60)*AD$3*(1/24))</f>
        <v>0.40788235294117647</v>
      </c>
      <c r="S9" s="651">
        <f>($G9)*24/(($K9)/60)/$AD$3</f>
        <v>0.46541251048755478</v>
      </c>
      <c r="T9" s="866">
        <f>(1444-((N9)-[2]Aug!$I$13-[2]Aug!$Z$13))/1444</f>
        <v>0.64889196675900274</v>
      </c>
      <c r="U9" s="945"/>
      <c r="V9" s="1185" t="s">
        <v>1261</v>
      </c>
      <c r="W9" s="1164"/>
      <c r="X9" s="1164"/>
      <c r="Y9" s="1164"/>
      <c r="Z9" s="1164"/>
      <c r="AA9" s="1164"/>
      <c r="AB9" s="1186"/>
    </row>
    <row r="10" spans="2:30" s="19" customFormat="1" ht="127.9" customHeight="1" thickBot="1" x14ac:dyDescent="0.25">
      <c r="B10" s="168">
        <f>[1]August_2026!$B14</f>
        <v>46241</v>
      </c>
      <c r="C10" s="26" t="str">
        <f>[1]August_2026!$D14</f>
        <v xml:space="preserve">STAR MALT </v>
      </c>
      <c r="D10" s="27">
        <v>5600</v>
      </c>
      <c r="E10" s="28">
        <f>[2]Aug!$E14</f>
        <v>1.0555555555555556</v>
      </c>
      <c r="F10" s="29">
        <f>[1]August_2026!$J14</f>
        <v>398</v>
      </c>
      <c r="G10" s="30">
        <f>[1]August_2026!$G14</f>
        <v>5846</v>
      </c>
      <c r="H10" s="29">
        <f>[1]August_2026!$K14</f>
        <v>385.83600000000001</v>
      </c>
      <c r="I10" s="31">
        <f xml:space="preserve"> [1]August_2026!$N14</f>
        <v>13</v>
      </c>
      <c r="J10" s="991">
        <f>[1]August_2026!$Q14</f>
        <v>302.04761904761904</v>
      </c>
      <c r="K10" s="32">
        <f>[1]August_2026!$F14</f>
        <v>828</v>
      </c>
      <c r="L10" s="1148">
        <f>[1]August_2026!$E14</f>
        <v>1260</v>
      </c>
      <c r="M10" s="169">
        <f>[2]Aug!$G14</f>
        <v>1.7222222222222223</v>
      </c>
      <c r="N10" s="32">
        <f>[2]Aug!$AD14</f>
        <v>311</v>
      </c>
      <c r="O10" s="406">
        <f>[2]Aug!$I14</f>
        <v>0</v>
      </c>
      <c r="P10" s="32">
        <f>[1]August_2026!$I14</f>
        <v>0</v>
      </c>
      <c r="Q10" s="608">
        <f>[1]August_2026!$P14</f>
        <v>3.0562814070351725</v>
      </c>
      <c r="R10" s="995">
        <f>($G10+G11)/(($L10/60)*AD$3*(1/24))</f>
        <v>0.42642016806722688</v>
      </c>
      <c r="S10" s="651">
        <f t="shared" ref="S10:S11" si="1">($G10)*24/(($K10)/60)/$AD$3</f>
        <v>0.59805626598465467</v>
      </c>
      <c r="T10" s="995">
        <f>(1235-((N10+N11)-[2]Aug!$AB$14-[2]Aug!$I$15-[2]Aug!$H$14))/1235</f>
        <v>0.78056680161943315</v>
      </c>
      <c r="U10" s="945"/>
      <c r="V10" s="1185" t="s">
        <v>1263</v>
      </c>
      <c r="W10" s="1164"/>
      <c r="X10" s="1164"/>
      <c r="Y10" s="1164"/>
      <c r="Z10" s="1164"/>
      <c r="AA10" s="1164"/>
      <c r="AB10" s="1186"/>
    </row>
    <row r="11" spans="2:30" s="19" customFormat="1" ht="62.45" customHeight="1" thickBot="1" x14ac:dyDescent="0.25">
      <c r="B11" s="168">
        <f>[1]August_2026!$B15</f>
        <v>46241</v>
      </c>
      <c r="C11" s="26" t="str">
        <f>[1]August_2026!$D15</f>
        <v>CARIB FLINT LOCAL</v>
      </c>
      <c r="D11" s="27">
        <v>1400</v>
      </c>
      <c r="E11" s="28">
        <f>[2]Aug!$E15</f>
        <v>1.7604166666666667</v>
      </c>
      <c r="F11" s="29">
        <f>[1]August_2026!$J15</f>
        <v>33.700000000000003</v>
      </c>
      <c r="G11" s="30">
        <f>[1]August_2026!$G15</f>
        <v>497</v>
      </c>
      <c r="H11" s="29">
        <f>[1]August_2026!$K15</f>
        <v>32.802</v>
      </c>
      <c r="I11" s="31">
        <f xml:space="preserve"> [1]August_2026!$N15</f>
        <v>3</v>
      </c>
      <c r="J11" s="992"/>
      <c r="K11" s="32">
        <f>[1]August_2026!$F15</f>
        <v>64</v>
      </c>
      <c r="L11" s="999"/>
      <c r="M11" s="169">
        <f>[2]Aug!$G15</f>
        <v>1.8576388888888888</v>
      </c>
      <c r="N11" s="32">
        <f>[2]Aug!$AD15</f>
        <v>147</v>
      </c>
      <c r="O11" s="406">
        <f>[2]Aug!$I15</f>
        <v>135</v>
      </c>
      <c r="P11" s="32">
        <f>[1]August_2026!$I15</f>
        <v>0</v>
      </c>
      <c r="Q11" s="608">
        <f>[1]August_2026!$P15</f>
        <v>2.6646884272997129</v>
      </c>
      <c r="R11" s="1020"/>
      <c r="S11" s="651">
        <f t="shared" si="1"/>
        <v>0.65779411764705886</v>
      </c>
      <c r="T11" s="1020"/>
      <c r="U11" s="945"/>
      <c r="V11" s="1185" t="s">
        <v>1262</v>
      </c>
      <c r="W11" s="1164"/>
      <c r="X11" s="1164"/>
      <c r="Y11" s="1164"/>
      <c r="Z11" s="1164"/>
      <c r="AA11" s="1164"/>
      <c r="AB11" s="1186"/>
    </row>
    <row r="12" spans="2:30" s="19" customFormat="1" ht="211.9" customHeight="1" thickBot="1" x14ac:dyDescent="0.25">
      <c r="B12" s="168">
        <f>[1]August_2026!$B16</f>
        <v>46246</v>
      </c>
      <c r="C12" s="26" t="str">
        <f>[1]August_2026!$D16</f>
        <v>CARIB FLINT EXPORT</v>
      </c>
      <c r="D12" s="27">
        <v>4400</v>
      </c>
      <c r="E12" s="28">
        <f>[2]Aug!$E16</f>
        <v>0.40277777777777779</v>
      </c>
      <c r="F12" s="29">
        <f>[1]August_2026!$J16</f>
        <v>302.90000000000003</v>
      </c>
      <c r="G12" s="30">
        <f>[1]August_2026!$G16</f>
        <v>4542</v>
      </c>
      <c r="H12" s="29">
        <f>[1]August_2026!$K16</f>
        <v>299.77199999999999</v>
      </c>
      <c r="I12" s="31">
        <f xml:space="preserve"> [1]August_2026!$N16</f>
        <v>15</v>
      </c>
      <c r="J12" s="32">
        <f>[1]August_2026!$Q16</f>
        <v>264.58252427184465</v>
      </c>
      <c r="K12" s="32">
        <f>[1]August_2026!$F16</f>
        <v>628</v>
      </c>
      <c r="L12" s="464">
        <f>[1]August_2026!$E16</f>
        <v>1030</v>
      </c>
      <c r="M12" s="169">
        <f>[2]Aug!$G16</f>
        <v>1.0798611111111112</v>
      </c>
      <c r="N12" s="32">
        <f>[2]Aug!$AD16</f>
        <v>471</v>
      </c>
      <c r="O12" s="406">
        <f>[2]Aug!$I16</f>
        <v>0</v>
      </c>
      <c r="P12" s="32">
        <f>[1]August_2026!$I16</f>
        <v>8</v>
      </c>
      <c r="Q12" s="608">
        <f>[1]August_2026!$P16</f>
        <v>1.0326840541432956</v>
      </c>
      <c r="R12" s="862">
        <f>($G12)/(($L12/60)*AD$3*(1/24))</f>
        <v>0.37352826956025126</v>
      </c>
      <c r="S12" s="651">
        <f>($G12)*24/(($K12)/60)/$AD$3</f>
        <v>0.6126339452978643</v>
      </c>
      <c r="T12" s="866">
        <f>(1135-((N12)-[2]Aug!$AB$16-[2]Aug!$Z$16))/1135</f>
        <v>0.79823788546255503</v>
      </c>
      <c r="U12" s="945"/>
      <c r="V12" s="1185" t="s">
        <v>1264</v>
      </c>
      <c r="W12" s="1164"/>
      <c r="X12" s="1164"/>
      <c r="Y12" s="1164"/>
      <c r="Z12" s="1164"/>
      <c r="AA12" s="1164"/>
      <c r="AB12" s="1186"/>
    </row>
    <row r="13" spans="2:30" s="19" customFormat="1" ht="48.6" customHeight="1" thickBot="1" x14ac:dyDescent="0.25">
      <c r="B13" s="168">
        <f>[1]August_2026!$B17</f>
        <v>46247</v>
      </c>
      <c r="C13" s="26" t="str">
        <f>[1]August_2026!$D17</f>
        <v>CARIB FLINT LOCAL</v>
      </c>
      <c r="D13" s="27">
        <v>940</v>
      </c>
      <c r="E13" s="28">
        <f>[2]Aug!$E17</f>
        <v>1.0118055555555556</v>
      </c>
      <c r="F13" s="29">
        <f>[1]August_2026!$J17</f>
        <v>330.9</v>
      </c>
      <c r="G13" s="30">
        <f>[1]August_2026!$G17</f>
        <v>899</v>
      </c>
      <c r="H13" s="29">
        <f>[1]August_2026!$K17</f>
        <v>329.142</v>
      </c>
      <c r="I13" s="31">
        <f xml:space="preserve"> [1]August_2026!$N17</f>
        <v>0</v>
      </c>
      <c r="J13" s="991">
        <f>[1]August_2026!$Q17</f>
        <v>342.83916083916085</v>
      </c>
      <c r="K13" s="32">
        <f>[1]August_2026!$F17</f>
        <v>88</v>
      </c>
      <c r="L13" s="1148">
        <f>[1]August_2026!$E17</f>
        <v>1430</v>
      </c>
      <c r="M13" s="169">
        <f>[2]Aug!$G17</f>
        <v>1.2222222222222223</v>
      </c>
      <c r="N13" s="32">
        <f>[2]Aug!$AD17</f>
        <v>53</v>
      </c>
      <c r="O13" s="406">
        <f>[2]Aug!$I17</f>
        <v>7</v>
      </c>
      <c r="P13" s="32">
        <f>[1]August_2026!$I17</f>
        <v>0</v>
      </c>
      <c r="Q13" s="608">
        <f>[1]August_2026!$P17</f>
        <v>0.53127833182229722</v>
      </c>
      <c r="R13" s="995">
        <f>($G13+G14+G15)/(($L13/60)*AD$3*(1/24))</f>
        <v>0.48400822706705066</v>
      </c>
      <c r="S13" s="651">
        <f t="shared" ref="S13:S25" si="2">($G13)*24/(($K13)/60)/$AD$3</f>
        <v>0.86534759358288771</v>
      </c>
      <c r="T13" s="995">
        <f>(1540-((N13+N14+N15)-[2]Aug!$AB$18-[2]Aug!$AB$17-[2]Aug!$Z$17-[2]Aug!$Z$19-[2]Aug!$AB$19-[2]Aug!$I$17-[2]Aug!$I$18-[2]Aug!$I$19))/1540</f>
        <v>0.85584415584415585</v>
      </c>
      <c r="U13" s="945"/>
      <c r="V13" s="1185" t="s">
        <v>1267</v>
      </c>
      <c r="W13" s="1164"/>
      <c r="X13" s="1164"/>
      <c r="Y13" s="1164"/>
      <c r="Z13" s="1164"/>
      <c r="AA13" s="1164"/>
      <c r="AB13" s="1186"/>
    </row>
    <row r="14" spans="2:30" s="19" customFormat="1" ht="59.45" customHeight="1" thickBot="1" x14ac:dyDescent="0.25">
      <c r="B14" s="168">
        <f>[1]August_2026!$B18</f>
        <v>46247</v>
      </c>
      <c r="C14" s="26" t="str">
        <f>[1]August_2026!$D18</f>
        <v>CARIB AMBER</v>
      </c>
      <c r="D14" s="27">
        <f>9800-D13</f>
        <v>8860</v>
      </c>
      <c r="E14" s="28">
        <f>[2]Aug!$E18</f>
        <v>1.1736111111111112</v>
      </c>
      <c r="F14" s="29">
        <f>[1]August_2026!$J18</f>
        <v>0</v>
      </c>
      <c r="G14" s="30">
        <f>[1]August_2026!$G18</f>
        <v>4088</v>
      </c>
      <c r="H14" s="29">
        <f>[1]August_2026!$K18</f>
        <v>0</v>
      </c>
      <c r="I14" s="31">
        <f xml:space="preserve"> [1]August_2026!$N18</f>
        <v>2</v>
      </c>
      <c r="J14" s="1042"/>
      <c r="K14" s="32">
        <f>[1]August_2026!$F18</f>
        <v>702</v>
      </c>
      <c r="L14" s="1016"/>
      <c r="M14" s="169">
        <f>[2]Aug!$G18</f>
        <v>1.6777777777777778</v>
      </c>
      <c r="N14" s="32">
        <f>[2]Aug!$AD18</f>
        <v>195</v>
      </c>
      <c r="O14" s="406">
        <f>[2]Aug!$I18</f>
        <v>80</v>
      </c>
      <c r="P14" s="32">
        <f>[1]August_2026!$I18</f>
        <v>0</v>
      </c>
      <c r="Q14" s="608">
        <f>[1]August_2026!$P18</f>
        <v>0</v>
      </c>
      <c r="R14" s="996"/>
      <c r="S14" s="651">
        <f t="shared" si="2"/>
        <v>0.49327300150829562</v>
      </c>
      <c r="T14" s="996"/>
      <c r="U14" s="945"/>
      <c r="V14" s="1185" t="s">
        <v>1265</v>
      </c>
      <c r="W14" s="1164"/>
      <c r="X14" s="1164"/>
      <c r="Y14" s="1164"/>
      <c r="Z14" s="1164"/>
      <c r="AA14" s="1164"/>
      <c r="AB14" s="1186"/>
    </row>
    <row r="15" spans="2:30" s="19" customFormat="1" ht="72.599999999999994" customHeight="1" thickBot="1" x14ac:dyDescent="0.25">
      <c r="B15" s="168">
        <f>[1]August_2026!$B19</f>
        <v>46247</v>
      </c>
      <c r="C15" s="26" t="str">
        <f>[1]August_2026!$D19</f>
        <v>STAG</v>
      </c>
      <c r="D15" s="27"/>
      <c r="E15" s="28">
        <f>[2]Aug!$E19</f>
        <v>1.6583333333333334</v>
      </c>
      <c r="F15" s="29">
        <f>[1]August_2026!$J19</f>
        <v>216.20000000000002</v>
      </c>
      <c r="G15" s="30">
        <f>[1]August_2026!$G19</f>
        <v>3184</v>
      </c>
      <c r="H15" s="29">
        <f>[1]August_2026!$K19</f>
        <v>210.14400000000001</v>
      </c>
      <c r="I15" s="31">
        <f xml:space="preserve"> [1]August_2026!$N19</f>
        <v>6</v>
      </c>
      <c r="J15" s="992"/>
      <c r="K15" s="32">
        <f>[1]August_2026!$F19</f>
        <v>439</v>
      </c>
      <c r="L15" s="999"/>
      <c r="M15" s="169">
        <f>[2]Aug!$G19</f>
        <v>2.0694444444444446</v>
      </c>
      <c r="N15" s="32">
        <f>[2]Aug!$AD19</f>
        <v>186</v>
      </c>
      <c r="O15" s="406">
        <f>[2]Aug!$I19</f>
        <v>48</v>
      </c>
      <c r="P15" s="32">
        <f>[1]August_2026!$I19</f>
        <v>0</v>
      </c>
      <c r="Q15" s="608">
        <f>[1]August_2026!$P19</f>
        <v>2.8011100832562494</v>
      </c>
      <c r="R15" s="1020"/>
      <c r="S15" s="651">
        <f t="shared" si="2"/>
        <v>0.61435883692884907</v>
      </c>
      <c r="T15" s="1020"/>
      <c r="U15" s="945"/>
      <c r="V15" s="1185" t="s">
        <v>1266</v>
      </c>
      <c r="W15" s="1164"/>
      <c r="X15" s="1164"/>
      <c r="Y15" s="1164"/>
      <c r="Z15" s="1164"/>
      <c r="AA15" s="1164"/>
      <c r="AB15" s="1186"/>
    </row>
    <row r="16" spans="2:30" s="19" customFormat="1" ht="137.44999999999999" customHeight="1" thickBot="1" x14ac:dyDescent="0.25">
      <c r="B16" s="168">
        <f>[1]August_2026!$B20</f>
        <v>46248</v>
      </c>
      <c r="C16" s="26" t="str">
        <f>[1]August_2026!$D20</f>
        <v>STAG</v>
      </c>
      <c r="D16" s="27"/>
      <c r="E16" s="28">
        <f>[2]Aug!$E20</f>
        <v>1.0118055555555556</v>
      </c>
      <c r="F16" s="29">
        <f>[1]August_2026!$J20</f>
        <v>421.9</v>
      </c>
      <c r="G16" s="30">
        <f>[1]August_2026!$G20</f>
        <v>6323</v>
      </c>
      <c r="H16" s="29">
        <f>[1]August_2026!$K20</f>
        <v>417.31800000000004</v>
      </c>
      <c r="I16" s="31">
        <f xml:space="preserve"> [1]August_2026!$N20</f>
        <v>13</v>
      </c>
      <c r="J16" s="991">
        <f>[1]August_2026!$Q20</f>
        <v>332</v>
      </c>
      <c r="K16" s="32">
        <f>[1]August_2026!$F20</f>
        <v>887</v>
      </c>
      <c r="L16" s="1148">
        <f>[1]August_2026!$E20</f>
        <v>1260</v>
      </c>
      <c r="M16" s="169">
        <f>[2]Aug!$G20</f>
        <v>1.8104166666666666</v>
      </c>
      <c r="N16" s="32">
        <f>[2]Aug!$AD20</f>
        <v>310</v>
      </c>
      <c r="O16" s="406">
        <f>[2]Aug!$I20</f>
        <v>17</v>
      </c>
      <c r="P16" s="32">
        <f>[1]August_2026!$I20</f>
        <v>13</v>
      </c>
      <c r="Q16" s="608">
        <f>[1]August_2026!$P20</f>
        <v>1.0860393458165294</v>
      </c>
      <c r="R16" s="995">
        <f>($G16+G17)/(($L16/60)*AD$3*(1/24))</f>
        <v>0.46870588235294119</v>
      </c>
      <c r="S16" s="651">
        <f t="shared" si="2"/>
        <v>0.60382784004244316</v>
      </c>
      <c r="T16" s="995">
        <f>(1260-((N16+N17)-[2]Aug!$H$20-[2]Aug!$I$20-[2]Aug!$I$21-[2]Aug!$Z$20))/1260</f>
        <v>0.82936507936507942</v>
      </c>
      <c r="U16" s="945"/>
      <c r="V16" s="1185" t="s">
        <v>1269</v>
      </c>
      <c r="W16" s="1164"/>
      <c r="X16" s="1164"/>
      <c r="Y16" s="1164"/>
      <c r="Z16" s="1164"/>
      <c r="AA16" s="1164"/>
      <c r="AB16" s="1186"/>
    </row>
    <row r="17" spans="2:28" s="19" customFormat="1" ht="48.6" customHeight="1" thickBot="1" x14ac:dyDescent="0.25">
      <c r="B17" s="168">
        <f>[1]August_2026!$B21</f>
        <v>46248</v>
      </c>
      <c r="C17" s="26" t="str">
        <f>[1]August_2026!$D21</f>
        <v>CARIB AMBER</v>
      </c>
      <c r="D17" s="27"/>
      <c r="E17" s="28">
        <f>[2]Aug!$E21</f>
        <v>1.75</v>
      </c>
      <c r="F17" s="29">
        <f>[1]August_2026!$J21</f>
        <v>45.099999999999994</v>
      </c>
      <c r="G17" s="30">
        <f>[1]August_2026!$G21</f>
        <v>649</v>
      </c>
      <c r="H17" s="29">
        <f>[1]August_2026!$K21</f>
        <v>42.834000000000003</v>
      </c>
      <c r="I17" s="31">
        <f xml:space="preserve"> [1]August_2026!$N21</f>
        <v>2</v>
      </c>
      <c r="J17" s="992"/>
      <c r="K17" s="32">
        <f>[1]August_2026!$F21</f>
        <v>98</v>
      </c>
      <c r="L17" s="999"/>
      <c r="M17" s="169">
        <f>[2]Aug!$G21</f>
        <v>1.875</v>
      </c>
      <c r="N17" s="32">
        <f>[2]Aug!$AD21</f>
        <v>25</v>
      </c>
      <c r="O17" s="406">
        <f>[2]Aug!$I21</f>
        <v>20</v>
      </c>
      <c r="P17" s="32">
        <f>[1]August_2026!$I21</f>
        <v>280</v>
      </c>
      <c r="Q17" s="608">
        <f>[1]August_2026!$P21</f>
        <v>5.0243902439024195</v>
      </c>
      <c r="R17" s="1020"/>
      <c r="S17" s="651">
        <f t="shared" si="2"/>
        <v>0.56096038415366145</v>
      </c>
      <c r="T17" s="1020"/>
      <c r="U17" s="945"/>
      <c r="V17" s="1185" t="s">
        <v>1268</v>
      </c>
      <c r="W17" s="1164"/>
      <c r="X17" s="1164"/>
      <c r="Y17" s="1164"/>
      <c r="Z17" s="1164"/>
      <c r="AA17" s="1164"/>
      <c r="AB17" s="1186"/>
    </row>
    <row r="18" spans="2:28" s="19" customFormat="1" ht="144.6" customHeight="1" thickBot="1" x14ac:dyDescent="0.25">
      <c r="B18" s="168">
        <f>[1]August_2026!$B22</f>
        <v>46251</v>
      </c>
      <c r="C18" s="26" t="str">
        <f>[1]August_2026!$D22</f>
        <v>CARIB EXPORT</v>
      </c>
      <c r="D18" s="27">
        <v>3900</v>
      </c>
      <c r="E18" s="28">
        <f>[2]Aug!$E22</f>
        <v>1.1041666666666667</v>
      </c>
      <c r="F18" s="989">
        <f>[1]August_2026!$J22</f>
        <v>370.5</v>
      </c>
      <c r="G18" s="30">
        <f>[1]August_2026!$G22</f>
        <v>5292</v>
      </c>
      <c r="H18" s="989">
        <f>[1]August_2026!$K22</f>
        <v>369.46800000000002</v>
      </c>
      <c r="I18" s="31">
        <f xml:space="preserve"> [1]August_2026!$N22</f>
        <v>17</v>
      </c>
      <c r="J18" s="991">
        <f>[1]August_2026!$Q22</f>
        <v>243.39130434782609</v>
      </c>
      <c r="K18" s="32">
        <f>[1]August_2026!$F22</f>
        <v>1093</v>
      </c>
      <c r="L18" s="1148">
        <f>[1]August_2026!$E22</f>
        <v>1380</v>
      </c>
      <c r="M18" s="169">
        <f>[2]Aug!$G22</f>
        <v>0</v>
      </c>
      <c r="N18" s="32">
        <f>[2]Aug!$AD22</f>
        <v>487</v>
      </c>
      <c r="O18" s="406">
        <f>[2]Aug!$I22</f>
        <v>75</v>
      </c>
      <c r="P18" s="32">
        <f>[1]August_2026!$I22</f>
        <v>0</v>
      </c>
      <c r="Q18" s="1000">
        <f>[1]August_2026!$P22</f>
        <v>0.2785425101214527</v>
      </c>
      <c r="R18" s="995">
        <f>($G18+G19)/(($L18/60)*AD$3*(1/24))</f>
        <v>0.34361125319693098</v>
      </c>
      <c r="S18" s="651">
        <f t="shared" si="2"/>
        <v>0.41012216780582317</v>
      </c>
      <c r="T18" s="995">
        <f>(1463-((N18+N19)-[2]Aug!$AB$22-[2]Aug!$I$23-[2]Aug!$I$22-[2]Aug!$H$22-[2]Aug!$J$22))/1463</f>
        <v>0.75461380724538618</v>
      </c>
      <c r="U18" s="946"/>
      <c r="V18" s="1185" t="s">
        <v>1271</v>
      </c>
      <c r="W18" s="1164"/>
      <c r="X18" s="1164"/>
      <c r="Y18" s="1164"/>
      <c r="Z18" s="1164"/>
      <c r="AA18" s="1164"/>
      <c r="AB18" s="1186"/>
    </row>
    <row r="19" spans="2:28" s="19" customFormat="1" ht="46.15" customHeight="1" thickBot="1" x14ac:dyDescent="0.25">
      <c r="B19" s="168">
        <f>[1]August_2026!$B23</f>
        <v>46251</v>
      </c>
      <c r="C19" s="26" t="str">
        <f>[1]August_2026!$D23</f>
        <v>CARIB FLINT LOCAL</v>
      </c>
      <c r="D19" s="27">
        <v>1400</v>
      </c>
      <c r="E19" s="28">
        <f>[2]Aug!$E23</f>
        <v>1.9444444444444444</v>
      </c>
      <c r="F19" s="990"/>
      <c r="G19" s="30">
        <f>[1]August_2026!$G23</f>
        <v>306</v>
      </c>
      <c r="H19" s="990"/>
      <c r="I19" s="31">
        <f xml:space="preserve"> [1]August_2026!$N23</f>
        <v>0</v>
      </c>
      <c r="J19" s="992"/>
      <c r="K19" s="32">
        <f>[1]August_2026!$F23</f>
        <v>80</v>
      </c>
      <c r="L19" s="999"/>
      <c r="M19" s="169">
        <f>[2]Aug!$G23</f>
        <v>2.0291666666666668</v>
      </c>
      <c r="N19" s="32">
        <f>[2]Aug!$AD23</f>
        <v>96</v>
      </c>
      <c r="O19" s="406">
        <f>[2]Aug!$I23</f>
        <v>14</v>
      </c>
      <c r="P19" s="32">
        <f>[1]August_2026!$I23</f>
        <v>0</v>
      </c>
      <c r="Q19" s="1001"/>
      <c r="R19" s="1020"/>
      <c r="S19" s="651">
        <f t="shared" si="2"/>
        <v>0.32400000000000001</v>
      </c>
      <c r="T19" s="1020"/>
      <c r="U19" s="945"/>
      <c r="V19" s="1165" t="s">
        <v>1270</v>
      </c>
      <c r="W19" s="1164"/>
      <c r="X19" s="1164"/>
      <c r="Y19" s="1164"/>
      <c r="Z19" s="1164"/>
      <c r="AA19" s="1164"/>
      <c r="AB19" s="1186"/>
    </row>
    <row r="20" spans="2:28" s="19" customFormat="1" ht="99.6" customHeight="1" thickBot="1" x14ac:dyDescent="0.25">
      <c r="B20" s="168">
        <f>[1]August_2026!$B24</f>
        <v>46252</v>
      </c>
      <c r="C20" s="26" t="str">
        <f>[1]August_2026!$D24</f>
        <v>CARIB FLINT LOCAL</v>
      </c>
      <c r="D20" s="27"/>
      <c r="E20" s="28">
        <f>[2]Aug!$E24</f>
        <v>1.0520833333333333</v>
      </c>
      <c r="F20" s="989">
        <f>[1]August_2026!$J24</f>
        <v>644.5</v>
      </c>
      <c r="G20" s="30">
        <f>[1]August_2026!$G24</f>
        <v>825</v>
      </c>
      <c r="H20" s="989">
        <f>[1]August_2026!$K24</f>
        <v>628.18799999999999</v>
      </c>
      <c r="I20" s="31">
        <f xml:space="preserve"> [1]August_2026!$N24</f>
        <v>11</v>
      </c>
      <c r="J20" s="991">
        <f>[1]August_2026!$Q24</f>
        <v>396.58333333333331</v>
      </c>
      <c r="K20" s="32">
        <f>[1]August_2026!$F24</f>
        <v>195</v>
      </c>
      <c r="L20" s="1148">
        <f>[1]August_2026!$E24</f>
        <v>1440</v>
      </c>
      <c r="M20" s="169">
        <f>[2]Aug!$G24</f>
        <v>0.24861111111111112</v>
      </c>
      <c r="N20" s="32">
        <f>[2]Aug!$AD24</f>
        <v>171</v>
      </c>
      <c r="O20" s="406">
        <f>[2]Aug!$I24</f>
        <v>24</v>
      </c>
      <c r="P20" s="32">
        <f>[1]August_2026!$I24</f>
        <v>0</v>
      </c>
      <c r="Q20" s="1000">
        <f>[1]August_2026!$P24</f>
        <v>2.5309542280837878</v>
      </c>
      <c r="R20" s="995">
        <f>($G20+G21)/(($L20/60)*AD$3*(1/24))</f>
        <v>0.5598823529411765</v>
      </c>
      <c r="S20" s="651">
        <f t="shared" si="2"/>
        <v>0.3583710407239819</v>
      </c>
      <c r="T20" s="995">
        <f>(1519-((N20+N21)-[2]Aug!$H$25-[2]Aug!$I$24-[2]Aug!$I$25-[2]Aug!$J$25-[2]Aug!$AB$25-[2]Aug!$Z$25))/1519</f>
        <v>0.8196181698485846</v>
      </c>
      <c r="U20" s="945"/>
      <c r="V20" s="1165" t="s">
        <v>1272</v>
      </c>
      <c r="W20" s="1164"/>
      <c r="X20" s="1164"/>
      <c r="Y20" s="1164"/>
      <c r="Z20" s="1164"/>
      <c r="AA20" s="1164"/>
      <c r="AB20" s="1186"/>
    </row>
    <row r="21" spans="2:28" s="19" customFormat="1" ht="115.9" customHeight="1" thickBot="1" x14ac:dyDescent="0.25">
      <c r="B21" s="168">
        <f>[1]August_2026!$B25</f>
        <v>46252</v>
      </c>
      <c r="C21" s="26" t="str">
        <f>[1]August_2026!$D25</f>
        <v>CARIB AMBER</v>
      </c>
      <c r="D21" s="27">
        <v>9800</v>
      </c>
      <c r="E21" s="28">
        <f>[2]Aug!$E25</f>
        <v>1.1965277777777779</v>
      </c>
      <c r="F21" s="990"/>
      <c r="G21" s="30">
        <f>[1]August_2026!$G25</f>
        <v>8693</v>
      </c>
      <c r="H21" s="990"/>
      <c r="I21" s="31">
        <f xml:space="preserve"> [1]August_2026!$N25</f>
        <v>3</v>
      </c>
      <c r="J21" s="992"/>
      <c r="K21" s="32">
        <f>[1]August_2026!$F25</f>
        <v>1130</v>
      </c>
      <c r="L21" s="999"/>
      <c r="M21" s="169">
        <f>[2]Aug!$G25</f>
        <v>2.0548611111111112</v>
      </c>
      <c r="N21" s="32">
        <f>[2]Aug!$AD25</f>
        <v>170</v>
      </c>
      <c r="O21" s="406">
        <f>[2]Aug!$I25</f>
        <v>16</v>
      </c>
      <c r="P21" s="32">
        <f>[1]August_2026!$I25</f>
        <v>0</v>
      </c>
      <c r="Q21" s="1001"/>
      <c r="R21" s="1020"/>
      <c r="S21" s="651">
        <f t="shared" si="2"/>
        <v>0.65163560645497143</v>
      </c>
      <c r="T21" s="1020"/>
      <c r="U21" s="946"/>
      <c r="V21" s="1165" t="s">
        <v>1273</v>
      </c>
      <c r="W21" s="1164"/>
      <c r="X21" s="1164"/>
      <c r="Y21" s="1164"/>
      <c r="Z21" s="1164"/>
      <c r="AA21" s="1164"/>
      <c r="AB21" s="1186"/>
    </row>
    <row r="22" spans="2:28" s="19" customFormat="1" ht="99.6" customHeight="1" thickBot="1" x14ac:dyDescent="0.25">
      <c r="B22" s="168">
        <f>[1]August_2026!$B26</f>
        <v>46253</v>
      </c>
      <c r="C22" s="26" t="str">
        <f>[1]August_2026!$D26</f>
        <v>CARIB AMBER</v>
      </c>
      <c r="D22" s="27">
        <v>7000</v>
      </c>
      <c r="E22" s="28">
        <f>[2]Aug!$E26</f>
        <v>1.0527777777777778</v>
      </c>
      <c r="F22" s="369">
        <f>[1]August_2026!$J26</f>
        <v>446.8</v>
      </c>
      <c r="G22" s="30">
        <f>[1]August_2026!$G26</f>
        <v>6634</v>
      </c>
      <c r="H22" s="369">
        <f>[1]August_2026!$K26</f>
        <v>437.84399999999999</v>
      </c>
      <c r="I22" s="31">
        <f xml:space="preserve"> [1]August_2026!$N26</f>
        <v>6</v>
      </c>
      <c r="J22" s="991">
        <f>[1]August_2026!$Q26</f>
        <v>360.45833333333331</v>
      </c>
      <c r="K22" s="32">
        <f>[1]August_2026!$F26</f>
        <v>744</v>
      </c>
      <c r="L22" s="1148">
        <f>[1]August_2026!$E26</f>
        <v>1440</v>
      </c>
      <c r="M22" s="169">
        <f>[2]Aug!$G26</f>
        <v>0</v>
      </c>
      <c r="N22" s="32">
        <f>[2]Aug!$AD26</f>
        <v>178</v>
      </c>
      <c r="O22" s="406">
        <f>[2]Aug!$I26</f>
        <v>4</v>
      </c>
      <c r="P22" s="32">
        <f>[1]August_2026!$I26</f>
        <v>0</v>
      </c>
      <c r="Q22" s="840">
        <f>[1]August_2026!$P26</f>
        <v>2.0044762757385892</v>
      </c>
      <c r="R22" s="995">
        <f>($G22+G23)/(($L22/60)*AD$3*(1/24))</f>
        <v>0.50888235294117645</v>
      </c>
      <c r="S22" s="651">
        <f t="shared" si="2"/>
        <v>0.75529411764705878</v>
      </c>
      <c r="T22" s="995">
        <f>(1516-((N22+N23)-[2]Aug!$AB$26-[2]Aug!$Z$26-[2]Aug!$Z$27-[2]Aug!$H$26-[2]Aug!$I$26-[2]Aug!$I$27))/1516</f>
        <v>0.83839050131926118</v>
      </c>
      <c r="U22" s="945"/>
      <c r="V22" s="1165" t="s">
        <v>1277</v>
      </c>
      <c r="W22" s="1164"/>
      <c r="X22" s="1164"/>
      <c r="Y22" s="1164"/>
      <c r="Z22" s="1164"/>
      <c r="AA22" s="1164"/>
      <c r="AB22" s="1186"/>
    </row>
    <row r="23" spans="2:28" s="19" customFormat="1" ht="76.5" customHeight="1" thickBot="1" x14ac:dyDescent="0.25">
      <c r="B23" s="168">
        <f>[1]August_2026!$B27</f>
        <v>46253</v>
      </c>
      <c r="C23" s="26" t="str">
        <f>[1]August_2026!$D27</f>
        <v>TING ORIGINAL</v>
      </c>
      <c r="D23" s="27">
        <v>3600</v>
      </c>
      <c r="E23" s="28">
        <f>[2]Aug!$E27</f>
        <v>1.8020833333333333</v>
      </c>
      <c r="F23" s="369">
        <f>[1]August_2026!$J27</f>
        <v>237.60000000000002</v>
      </c>
      <c r="G23" s="30">
        <f>[1]August_2026!$G27</f>
        <v>2017</v>
      </c>
      <c r="H23" s="369">
        <f>[1]August_2026!$K27</f>
        <v>232.65</v>
      </c>
      <c r="I23" s="31">
        <f xml:space="preserve"> [1]August_2026!$N27</f>
        <v>32</v>
      </c>
      <c r="J23" s="992"/>
      <c r="K23" s="32">
        <f>[1]August_2026!$F27</f>
        <v>255</v>
      </c>
      <c r="L23" s="999"/>
      <c r="M23" s="169">
        <f>[2]Aug!$G27</f>
        <v>2.0527777777777776</v>
      </c>
      <c r="N23" s="32">
        <f>[2]Aug!$AD27</f>
        <v>288</v>
      </c>
      <c r="O23" s="406">
        <f>[2]Aug!$I27</f>
        <v>52</v>
      </c>
      <c r="P23" s="32">
        <f>[1]August_2026!$I27</f>
        <v>0</v>
      </c>
      <c r="Q23" s="1000">
        <f>[1]August_2026!$P27</f>
        <v>2.0833333333333401</v>
      </c>
      <c r="R23" s="1020"/>
      <c r="S23" s="651">
        <f t="shared" si="2"/>
        <v>0.67000692041522492</v>
      </c>
      <c r="T23" s="1020"/>
      <c r="U23" s="945"/>
      <c r="V23" s="1165" t="s">
        <v>1274</v>
      </c>
      <c r="W23" s="1164"/>
      <c r="X23" s="1164"/>
      <c r="Y23" s="1164"/>
      <c r="Z23" s="1164"/>
      <c r="AA23" s="1164"/>
      <c r="AB23" s="1186"/>
    </row>
    <row r="24" spans="2:28" s="19" customFormat="1" ht="33" customHeight="1" thickBot="1" x14ac:dyDescent="0.25">
      <c r="B24" s="168">
        <f>[1]August_2026!$B28</f>
        <v>46254</v>
      </c>
      <c r="C24" s="26" t="str">
        <f>[1]August_2026!$D28</f>
        <v>TING ORIGINAL</v>
      </c>
      <c r="D24" s="27"/>
      <c r="E24" s="28">
        <f>[2]Aug!$E28</f>
        <v>1.0034722222222223</v>
      </c>
      <c r="F24" s="369"/>
      <c r="G24" s="30">
        <f>[1]August_2026!$G28</f>
        <v>1508</v>
      </c>
      <c r="H24" s="369"/>
      <c r="I24" s="31">
        <f xml:space="preserve"> [1]August_2026!$N28</f>
        <v>3</v>
      </c>
      <c r="J24" s="991">
        <f>[1]August_2026!$Q28</f>
        <v>421.45161290322579</v>
      </c>
      <c r="K24" s="32">
        <f>[1]August_2026!$F28</f>
        <v>210</v>
      </c>
      <c r="L24" s="1148">
        <f>[1]August_2026!$E28</f>
        <v>1240</v>
      </c>
      <c r="M24" s="169">
        <f>[2]Aug!$G28</f>
        <v>1.2243055555555555</v>
      </c>
      <c r="N24" s="32">
        <f>[2]Aug!$AD28</f>
        <v>48</v>
      </c>
      <c r="O24" s="406">
        <f>[2]Aug!$I28</f>
        <v>5</v>
      </c>
      <c r="P24" s="32">
        <f>[1]August_2026!$I28</f>
        <v>0</v>
      </c>
      <c r="Q24" s="1001"/>
      <c r="R24" s="995">
        <f>($G24+G25)/(($L24/60)*AD$3*(1/24))</f>
        <v>0.59499051233396583</v>
      </c>
      <c r="S24" s="651">
        <f t="shared" si="2"/>
        <v>0.60826890756302521</v>
      </c>
      <c r="T24" s="995">
        <f>(1339-((N24+N25)-[2]Aug!$AB$29-[2]Aug!$Z$29-[2]Aug!$I$29-[2]Aug!$I$28-[2]Aug!$H$28))/1339</f>
        <v>0.90067214339058999</v>
      </c>
      <c r="U24" s="945"/>
      <c r="V24" s="1165" t="s">
        <v>1275</v>
      </c>
      <c r="W24" s="1164"/>
      <c r="X24" s="1164"/>
      <c r="Y24" s="1164"/>
      <c r="Z24" s="1164"/>
      <c r="AA24" s="1164"/>
      <c r="AB24" s="1186"/>
    </row>
    <row r="25" spans="2:28" s="19" customFormat="1" ht="103.9" customHeight="1" thickBot="1" x14ac:dyDescent="0.25">
      <c r="B25" s="168">
        <f>[1]August_2026!$B29</f>
        <v>46254</v>
      </c>
      <c r="C25" s="26" t="str">
        <f>[1]August_2026!$D29</f>
        <v>STAG</v>
      </c>
      <c r="D25" s="27">
        <v>7000</v>
      </c>
      <c r="E25" s="28">
        <f>[2]Aug!$E29</f>
        <v>1.2645833333333334</v>
      </c>
      <c r="F25" s="369">
        <f>[1]August_2026!$J29</f>
        <v>479.8</v>
      </c>
      <c r="G25" s="30">
        <f>[1]August_2026!$G29</f>
        <v>7202</v>
      </c>
      <c r="H25" s="369">
        <f>[1]August_2026!$K29</f>
        <v>475.33200000000005</v>
      </c>
      <c r="I25" s="31">
        <f xml:space="preserve"> [1]August_2026!$N29</f>
        <v>4</v>
      </c>
      <c r="J25" s="992"/>
      <c r="K25" s="32">
        <f>[1]August_2026!$F29</f>
        <v>820</v>
      </c>
      <c r="L25" s="999"/>
      <c r="M25" s="169">
        <f>[2]Aug!$G29</f>
        <v>1.929861111111111</v>
      </c>
      <c r="N25" s="32">
        <f>[2]Aug!$AD29</f>
        <v>295</v>
      </c>
      <c r="O25" s="406">
        <f>[2]Aug!$I29</f>
        <v>164</v>
      </c>
      <c r="P25" s="32">
        <f>[1]August_2026!$I29</f>
        <v>0</v>
      </c>
      <c r="Q25" s="840">
        <f>[1]August_2026!$P29</f>
        <v>0.93122134222591924</v>
      </c>
      <c r="R25" s="1020"/>
      <c r="S25" s="651">
        <f t="shared" si="2"/>
        <v>0.74396556671449066</v>
      </c>
      <c r="T25" s="1020"/>
      <c r="U25" s="946"/>
      <c r="V25" s="1165" t="s">
        <v>1276</v>
      </c>
      <c r="W25" s="1164"/>
      <c r="X25" s="1164"/>
      <c r="Y25" s="1164"/>
      <c r="Z25" s="1164"/>
      <c r="AA25" s="1164"/>
      <c r="AB25" s="1186"/>
    </row>
    <row r="26" spans="2:28" s="19" customFormat="1" ht="31.15" customHeight="1" thickBot="1" x14ac:dyDescent="0.25">
      <c r="B26" s="168">
        <f>[1]August_2026!$B30</f>
        <v>46255</v>
      </c>
      <c r="C26" s="26" t="str">
        <f>[1]August_2026!$D30</f>
        <v>NO BOTTLING</v>
      </c>
      <c r="D26" s="27"/>
      <c r="E26" s="28">
        <f>[2]Aug!$E30</f>
        <v>0</v>
      </c>
      <c r="F26" s="369">
        <f>[1]August_2026!$J30</f>
        <v>0</v>
      </c>
      <c r="G26" s="30">
        <f>[1]August_2026!$G30</f>
        <v>0</v>
      </c>
      <c r="H26" s="369">
        <f>[1]August_2026!$K30</f>
        <v>0</v>
      </c>
      <c r="I26" s="31">
        <f xml:space="preserve"> [1]August_2026!$N30</f>
        <v>0</v>
      </c>
      <c r="J26" s="32"/>
      <c r="K26" s="32"/>
      <c r="L26" s="464">
        <f>[1]August_2026!$E30</f>
        <v>0</v>
      </c>
      <c r="M26" s="169">
        <f>[2]Aug!$G30</f>
        <v>0</v>
      </c>
      <c r="N26" s="32">
        <f>[2]Aug!$AD30</f>
        <v>0</v>
      </c>
      <c r="O26" s="406">
        <f>[2]Aug!$I30</f>
        <v>0</v>
      </c>
      <c r="P26" s="32">
        <f>[1]August_2026!$I30</f>
        <v>0</v>
      </c>
      <c r="Q26" s="840"/>
      <c r="R26" s="891"/>
      <c r="S26" s="651"/>
      <c r="T26" s="986"/>
      <c r="U26" s="945"/>
      <c r="V26" s="1165" t="s">
        <v>1278</v>
      </c>
      <c r="W26" s="1164"/>
      <c r="X26" s="1164"/>
      <c r="Y26" s="1164"/>
      <c r="Z26" s="1164"/>
      <c r="AA26" s="1164"/>
      <c r="AB26" s="1186"/>
    </row>
    <row r="27" spans="2:28" s="19" customFormat="1" ht="208.5" customHeight="1" thickBot="1" x14ac:dyDescent="0.25">
      <c r="B27" s="168">
        <f>[1]August_2026!$B31</f>
        <v>46258</v>
      </c>
      <c r="C27" s="26" t="str">
        <f>[1]August_2026!$D31</f>
        <v xml:space="preserve">CARIB AMBER </v>
      </c>
      <c r="D27" s="27">
        <v>5600</v>
      </c>
      <c r="E27" s="28">
        <f>[2]Aug!$E31</f>
        <v>1.1423611111111112</v>
      </c>
      <c r="F27" s="369">
        <f>[1]August_2026!$J31</f>
        <v>367.1</v>
      </c>
      <c r="G27" s="30">
        <f>[1]August_2026!$G31</f>
        <v>5470</v>
      </c>
      <c r="H27" s="369">
        <f>[1]August_2026!$K31</f>
        <v>361.02000000000004</v>
      </c>
      <c r="I27" s="31">
        <f xml:space="preserve"> [1]August_2026!$N31</f>
        <v>49</v>
      </c>
      <c r="J27" s="32">
        <f>[1]August_2026!$Q31</f>
        <v>237.82608695652175</v>
      </c>
      <c r="K27" s="32">
        <f>[1]August_2026!$F31</f>
        <v>869</v>
      </c>
      <c r="L27" s="1148">
        <f>[1]August_2026!$E31</f>
        <v>1380</v>
      </c>
      <c r="M27" s="169">
        <f>[2]Aug!$G31</f>
        <v>0.88749999999999996</v>
      </c>
      <c r="N27" s="32">
        <f>[2]Aug!$AD31</f>
        <v>482</v>
      </c>
      <c r="O27" s="406">
        <f>[2]Aug!$I31</f>
        <v>0</v>
      </c>
      <c r="P27" s="32">
        <f>[1]August_2026!$I31</f>
        <v>0</v>
      </c>
      <c r="Q27" s="840">
        <f>[1]August_2026!$P31</f>
        <v>1.6562244619994508</v>
      </c>
      <c r="R27" s="995">
        <f>($G27+G28)/(($L27/60)*AD$3*(1/24))</f>
        <v>0.35257289002557546</v>
      </c>
      <c r="S27" s="651">
        <f>($G27)*24/(($K27)/60)/$AD$3</f>
        <v>0.53318892574290933</v>
      </c>
      <c r="T27" s="995">
        <f>(1537-((N27+N28)-[2]Aug!$Z$31-[2]Aug!$J$31-[2]Aug!$H$31))/1537</f>
        <v>0.64541314248536108</v>
      </c>
      <c r="U27" s="946"/>
      <c r="V27" s="1165" t="s">
        <v>1279</v>
      </c>
      <c r="W27" s="1164"/>
      <c r="X27" s="1164"/>
      <c r="Y27" s="1164"/>
      <c r="Z27" s="1164"/>
      <c r="AA27" s="1164"/>
      <c r="AB27" s="1186"/>
    </row>
    <row r="28" spans="2:28" s="19" customFormat="1" ht="91.5" customHeight="1" thickBot="1" x14ac:dyDescent="0.25">
      <c r="B28" s="168">
        <f>[1]August_2026!$B32</f>
        <v>46258</v>
      </c>
      <c r="C28" s="26" t="str">
        <f>[1]August_2026!$D32</f>
        <v xml:space="preserve">STAR MALT </v>
      </c>
      <c r="D28" s="27">
        <v>2800</v>
      </c>
      <c r="E28" s="28">
        <f>[2]Aug!$E32</f>
        <v>1.9236111111111112</v>
      </c>
      <c r="F28" s="369">
        <f>[1]August_2026!$J32</f>
        <v>19.09999999999998</v>
      </c>
      <c r="G28" s="30">
        <f>[1]August_2026!$G32</f>
        <v>274</v>
      </c>
      <c r="H28" s="369">
        <f>[1]August_2026!$K32</f>
        <v>18.084</v>
      </c>
      <c r="I28" s="31">
        <f xml:space="preserve"> [1]August_2026!$N32</f>
        <v>0</v>
      </c>
      <c r="J28" s="32">
        <f>[1]August_2026!$Q32</f>
        <v>11.913043478260869</v>
      </c>
      <c r="K28" s="32">
        <f>[1]August_2026!$F32</f>
        <v>110</v>
      </c>
      <c r="L28" s="999"/>
      <c r="M28" s="169">
        <f>[2]Aug!$G32</f>
        <v>2.067361111111111</v>
      </c>
      <c r="N28" s="32">
        <f>[2]Aug!$AD32</f>
        <v>191</v>
      </c>
      <c r="O28" s="406">
        <f>[2]Aug!$I32</f>
        <v>122</v>
      </c>
      <c r="P28" s="32">
        <f>[1]August_2026!$I32</f>
        <v>0</v>
      </c>
      <c r="Q28" s="840">
        <f>[1]August_2026!$P32</f>
        <v>5.3193717277485941</v>
      </c>
      <c r="R28" s="1020"/>
      <c r="S28" s="651">
        <f>($G28)*24/(($K28)/60)/$AD$3</f>
        <v>0.21099465240641713</v>
      </c>
      <c r="T28" s="1020"/>
      <c r="U28" s="945"/>
      <c r="V28" s="1165" t="s">
        <v>1280</v>
      </c>
      <c r="W28" s="1164"/>
      <c r="X28" s="1164"/>
      <c r="Y28" s="1164"/>
      <c r="Z28" s="1164"/>
      <c r="AA28" s="1164"/>
      <c r="AB28" s="1186"/>
    </row>
    <row r="29" spans="2:28" s="19" customFormat="1" ht="159" customHeight="1" thickBot="1" x14ac:dyDescent="0.25">
      <c r="B29" s="168">
        <f>[1]August_2026!$B33</f>
        <v>46259</v>
      </c>
      <c r="C29" s="26" t="str">
        <f>[1]August_2026!$D33</f>
        <v xml:space="preserve">STAR MALT </v>
      </c>
      <c r="D29" s="27">
        <v>4200</v>
      </c>
      <c r="E29" s="28">
        <f>[2]Aug!$E33</f>
        <v>1.0173611111111112</v>
      </c>
      <c r="F29" s="369">
        <f>[1]August_2026!$J33</f>
        <v>457.40000000000003</v>
      </c>
      <c r="G29" s="30">
        <f>[1]August_2026!$G33</f>
        <v>6773</v>
      </c>
      <c r="H29" s="369">
        <f>[1]August_2026!$K33</f>
        <v>447.01800000000003</v>
      </c>
      <c r="I29" s="31">
        <f xml:space="preserve"> [1]August_2026!$N33</f>
        <v>6</v>
      </c>
      <c r="J29" s="32">
        <f>[1]August_2026!$Q33</f>
        <v>282.20833333333331</v>
      </c>
      <c r="K29" s="32">
        <f>[1]August_2026!$F33</f>
        <v>1075</v>
      </c>
      <c r="L29" s="1148">
        <f>[1]August_2026!$E33</f>
        <v>1440</v>
      </c>
      <c r="M29" s="169">
        <f>[2]Aug!$G33</f>
        <v>1.8569444444444445</v>
      </c>
      <c r="N29" s="32">
        <f>[2]Aug!$AD33</f>
        <v>336</v>
      </c>
      <c r="O29" s="406">
        <f>[2]Aug!$I33</f>
        <v>0</v>
      </c>
      <c r="P29" s="32">
        <f>[1]August_2026!$I33</f>
        <v>0</v>
      </c>
      <c r="Q29" s="840">
        <f>[1]August_2026!$P33</f>
        <v>2.2697857455181469</v>
      </c>
      <c r="R29" s="995">
        <f>($G29+G30)/(($L29/60)*AD$3*(1/24))</f>
        <v>0.42582352941176471</v>
      </c>
      <c r="S29" s="651">
        <f t="shared" ref="S29" si="3">($G29)*24/(($K29)/60)/$AD$3</f>
        <v>0.53368645690834471</v>
      </c>
      <c r="T29" s="995">
        <f>(1533-((N29+N30)-[2]Aug!$J$33-[2]Aug!$J$34-[2]Aug!$Z$33-[2]Aug!$AB$33))/1533</f>
        <v>0.79712981082844092</v>
      </c>
      <c r="U29" s="945"/>
      <c r="V29" s="1165" t="s">
        <v>1281</v>
      </c>
      <c r="W29" s="1164"/>
      <c r="X29" s="1164"/>
      <c r="Y29" s="1164"/>
      <c r="Z29" s="1164"/>
      <c r="AA29" s="1164"/>
      <c r="AB29" s="1186"/>
    </row>
    <row r="30" spans="2:28" s="19" customFormat="1" ht="49.5" customHeight="1" thickBot="1" x14ac:dyDescent="0.25">
      <c r="B30" s="168">
        <f>[1]August_2026!$B34</f>
        <v>46259</v>
      </c>
      <c r="C30" s="26" t="str">
        <f>[1]August_2026!$D34</f>
        <v>GUINNESS</v>
      </c>
      <c r="D30" s="27">
        <v>5600</v>
      </c>
      <c r="E30" s="28">
        <f>[2]Aug!$E34</f>
        <v>1.9583333333333333</v>
      </c>
      <c r="F30" s="369">
        <f>[1]August_2026!$J34</f>
        <v>30.900000000000006</v>
      </c>
      <c r="G30" s="30">
        <f>[1]August_2026!$G34</f>
        <v>466</v>
      </c>
      <c r="H30" s="369">
        <f>[1]August_2026!$K34</f>
        <v>30.756</v>
      </c>
      <c r="I30" s="31">
        <f xml:space="preserve"> [1]August_2026!$N34</f>
        <v>0</v>
      </c>
      <c r="J30" s="32">
        <f>[1]August_2026!$Q34</f>
        <v>19.416666666666668</v>
      </c>
      <c r="K30" s="32">
        <f>[1]August_2026!$F34</f>
        <v>48</v>
      </c>
      <c r="L30" s="999"/>
      <c r="M30" s="169">
        <f>[2]Aug!$G34</f>
        <v>2.0645833333333332</v>
      </c>
      <c r="N30" s="32">
        <f>[2]Aug!$AD34</f>
        <v>243</v>
      </c>
      <c r="O30" s="406">
        <f>[2]Aug!$I34</f>
        <v>21</v>
      </c>
      <c r="P30" s="32">
        <f>[1]August_2026!$I34</f>
        <v>0</v>
      </c>
      <c r="Q30" s="840">
        <f>[1]August_2026!$P34</f>
        <v>0.46601941747574571</v>
      </c>
      <c r="R30" s="1020"/>
      <c r="S30" s="651">
        <f>($G30)*24/(($K30)/60)/$AD$3</f>
        <v>0.82235294117647062</v>
      </c>
      <c r="T30" s="1020"/>
      <c r="U30" s="945"/>
      <c r="V30" s="1165" t="s">
        <v>1283</v>
      </c>
      <c r="W30" s="1164"/>
      <c r="X30" s="1164"/>
      <c r="Y30" s="1164"/>
      <c r="Z30" s="1164"/>
      <c r="AA30" s="1164"/>
      <c r="AB30" s="1186"/>
    </row>
    <row r="31" spans="2:28" s="19" customFormat="1" ht="192" customHeight="1" thickBot="1" x14ac:dyDescent="0.25">
      <c r="B31" s="168">
        <f>[1]August_2026!$B35</f>
        <v>46260</v>
      </c>
      <c r="C31" s="26" t="str">
        <f>[1]August_2026!$D35</f>
        <v>GUINNESS</v>
      </c>
      <c r="D31" s="27"/>
      <c r="E31" s="28">
        <f>[2]Aug!$E35</f>
        <v>1.0069444444444444</v>
      </c>
      <c r="F31" s="369">
        <f>[1]August_2026!$J35</f>
        <v>340.5</v>
      </c>
      <c r="G31" s="30">
        <f>[1]August_2026!$G35</f>
        <v>5146</v>
      </c>
      <c r="H31" s="369">
        <f>[1]August_2026!$K35</f>
        <v>339.63600000000002</v>
      </c>
      <c r="I31" s="31">
        <f xml:space="preserve"> [1]August_2026!$N35</f>
        <v>52</v>
      </c>
      <c r="J31" s="32">
        <f>[1]August_2026!$Q35</f>
        <v>214.41666666666666</v>
      </c>
      <c r="K31" s="32">
        <f>[1]August_2026!$F35</f>
        <v>951</v>
      </c>
      <c r="L31" s="1148">
        <f>[1]August_2026!$E35</f>
        <v>1440</v>
      </c>
      <c r="M31" s="169">
        <f>[2]Aug!$G35</f>
        <v>1.8625</v>
      </c>
      <c r="N31" s="32">
        <f>[2]Aug!$AD35</f>
        <v>452</v>
      </c>
      <c r="O31" s="406">
        <f>[2]Aug!$I35</f>
        <v>0</v>
      </c>
      <c r="P31" s="32">
        <f>[1]August_2026!$I35</f>
        <v>0</v>
      </c>
      <c r="Q31" s="840">
        <f>[1]August_2026!$P35</f>
        <v>0.2537444933920634</v>
      </c>
      <c r="R31" s="995">
        <f>($G31+G32)/(($L31/60)*AD$3*(1/24))</f>
        <v>0.36994117647058822</v>
      </c>
      <c r="S31" s="651">
        <f t="shared" ref="S31:S39" si="4">($G31)*24/(($K31)/60)/$AD$3</f>
        <v>0.45835591018741884</v>
      </c>
      <c r="T31" s="995">
        <f>(1523-((N31+N32)-[2]Aug!$I$36-[2]Aug!$J$35-[2]Aug!$Z$36-[2]Aug!$AB$36-[2]Aug!$Z$35-[2]Aug!$AB$35))/1523</f>
        <v>0.82206172028890345</v>
      </c>
      <c r="U31" s="946"/>
      <c r="V31" s="1165" t="s">
        <v>1284</v>
      </c>
      <c r="W31" s="1164"/>
      <c r="X31" s="1164"/>
      <c r="Y31" s="1164"/>
      <c r="Z31" s="1164"/>
      <c r="AA31" s="1164"/>
      <c r="AB31" s="1186"/>
    </row>
    <row r="32" spans="2:28" s="19" customFormat="1" ht="54" customHeight="1" thickBot="1" x14ac:dyDescent="0.25">
      <c r="B32" s="168">
        <f>[1]August_2026!$B36</f>
        <v>46260</v>
      </c>
      <c r="C32" s="26" t="str">
        <f>[1]August_2026!$D36</f>
        <v>CARIB AMBER</v>
      </c>
      <c r="D32" s="27">
        <v>5600</v>
      </c>
      <c r="E32" s="28">
        <f>[2]Aug!$E36</f>
        <v>1.8680555555555556</v>
      </c>
      <c r="F32" s="369">
        <f>[1]August_2026!$J36</f>
        <v>78.2</v>
      </c>
      <c r="G32" s="30">
        <f>[1]August_2026!$G36</f>
        <v>1143</v>
      </c>
      <c r="H32" s="369">
        <f>[1]August_2026!$K36</f>
        <v>75.438000000000002</v>
      </c>
      <c r="I32" s="31">
        <f xml:space="preserve"> [1]August_2026!$N36</f>
        <v>2</v>
      </c>
      <c r="J32" s="32">
        <f>[1]August_2026!$Q36</f>
        <v>47.625</v>
      </c>
      <c r="K32" s="32">
        <f>[1]August_2026!$F36</f>
        <v>148</v>
      </c>
      <c r="L32" s="999"/>
      <c r="M32" s="169">
        <f>[2]Aug!$G36</f>
        <v>2.057638888888889</v>
      </c>
      <c r="N32" s="32">
        <f>[2]Aug!$AD36</f>
        <v>112</v>
      </c>
      <c r="O32" s="406">
        <f>[2]Aug!$I36</f>
        <v>62</v>
      </c>
      <c r="P32" s="32">
        <f>[1]August_2026!$I36</f>
        <v>0</v>
      </c>
      <c r="Q32" s="840">
        <f>[1]August_2026!$P36</f>
        <v>3.5319693094629159</v>
      </c>
      <c r="R32" s="1020"/>
      <c r="S32" s="651">
        <f t="shared" si="4"/>
        <v>0.65418124006359291</v>
      </c>
      <c r="T32" s="1020"/>
      <c r="U32" s="946"/>
      <c r="V32" s="1165" t="s">
        <v>1282</v>
      </c>
      <c r="W32" s="1164"/>
      <c r="X32" s="1164"/>
      <c r="Y32" s="1164"/>
      <c r="Z32" s="1164"/>
      <c r="AA32" s="1164"/>
      <c r="AB32" s="1186"/>
    </row>
    <row r="33" spans="2:28" s="19" customFormat="1" ht="133.5" customHeight="1" thickBot="1" x14ac:dyDescent="0.25">
      <c r="B33" s="168">
        <f>[1]August_2026!$B37</f>
        <v>46261</v>
      </c>
      <c r="C33" s="26" t="str">
        <f>[1]August_2026!$D37</f>
        <v>CARIB AMBER</v>
      </c>
      <c r="D33" s="27"/>
      <c r="E33" s="28">
        <f>[2]Aug!$E37</f>
        <v>1.0069444444444444</v>
      </c>
      <c r="F33" s="369">
        <f>[1]August_2026!$J37</f>
        <v>288.8</v>
      </c>
      <c r="G33" s="30">
        <f>[1]August_2026!$G37</f>
        <v>4346</v>
      </c>
      <c r="H33" s="369">
        <f>[1]August_2026!$K37</f>
        <v>286.83600000000001</v>
      </c>
      <c r="I33" s="31">
        <f xml:space="preserve"> [1]August_2026!$N37</f>
        <v>10</v>
      </c>
      <c r="J33" s="32">
        <f>[1]August_2026!$Q37</f>
        <v>181.08333333333334</v>
      </c>
      <c r="K33" s="32">
        <f>[1]August_2026!$F37</f>
        <v>651</v>
      </c>
      <c r="L33" s="1148">
        <f>[1]August_2026!$E37</f>
        <v>1440</v>
      </c>
      <c r="M33" s="169">
        <f>[2]Aug!$G37</f>
        <v>0.61458333333333337</v>
      </c>
      <c r="N33" s="32">
        <f>[2]Aug!$AD37</f>
        <v>220</v>
      </c>
      <c r="O33" s="406">
        <f>[2]Aug!$I37</f>
        <v>12</v>
      </c>
      <c r="P33" s="32">
        <f>[1]August_2026!$I37</f>
        <v>22</v>
      </c>
      <c r="Q33" s="840">
        <f>[1]August_2026!$P37</f>
        <v>0.68005540166204936</v>
      </c>
      <c r="R33" s="995">
        <f>($G33+G34+G35)/(($L33/60)*AD$3*(1/24))</f>
        <v>0.36958823529411766</v>
      </c>
      <c r="S33" s="651">
        <f t="shared" si="4"/>
        <v>0.56548658172946598</v>
      </c>
      <c r="T33" s="995">
        <f>(1425-((N33+N34+N35)-[2]Aug!$Z$37-[2]Aug!$Z$38-[2]Aug!$Z$39-[2]Aug!$AB$37-[2]Aug!$M$38-[2]Aug!$K$37-[2]Aug!$J$37-[2]Aug!$J$39))/1425</f>
        <v>0.80982456140350878</v>
      </c>
      <c r="U33" s="945"/>
      <c r="V33" s="1165" t="s">
        <v>1287</v>
      </c>
      <c r="W33" s="1164"/>
      <c r="X33" s="1164"/>
      <c r="Y33" s="1164"/>
      <c r="Z33" s="1164"/>
      <c r="AA33" s="1164"/>
      <c r="AB33" s="1186"/>
    </row>
    <row r="34" spans="2:28" s="19" customFormat="1" ht="72" customHeight="1" thickBot="1" x14ac:dyDescent="0.25">
      <c r="B34" s="168">
        <f>[1]August_2026!$B38</f>
        <v>46261</v>
      </c>
      <c r="C34" s="26" t="str">
        <f>[1]August_2026!$D38</f>
        <v xml:space="preserve">J. COOL SODA WATER </v>
      </c>
      <c r="D34" s="27">
        <v>700</v>
      </c>
      <c r="E34" s="28">
        <f>[2]Aug!$E38</f>
        <v>1.6909722222222223</v>
      </c>
      <c r="F34" s="369">
        <f>[1]August_2026!$J38</f>
        <v>46.463999999999999</v>
      </c>
      <c r="G34" s="30">
        <f>[1]August_2026!$G38</f>
        <v>704</v>
      </c>
      <c r="H34" s="369">
        <f>[1]August_2026!$K38</f>
        <v>46.463999999999999</v>
      </c>
      <c r="I34" s="31">
        <f xml:space="preserve"> [1]August_2026!$N38</f>
        <v>0</v>
      </c>
      <c r="J34" s="32">
        <f>[1]August_2026!$Q38</f>
        <v>29.333333333333332</v>
      </c>
      <c r="K34" s="32">
        <f>[1]August_2026!$F38</f>
        <v>100</v>
      </c>
      <c r="L34" s="1016"/>
      <c r="M34" s="169">
        <f>[2]Aug!$G38</f>
        <v>0</v>
      </c>
      <c r="N34" s="32">
        <f>[2]Aug!$AD38</f>
        <v>228</v>
      </c>
      <c r="O34" s="406">
        <f>[2]Aug!$I38</f>
        <v>95</v>
      </c>
      <c r="P34" s="32">
        <f>[1]August_2026!$I38</f>
        <v>0</v>
      </c>
      <c r="Q34" s="840">
        <f>[1]August_2026!$P38</f>
        <v>0</v>
      </c>
      <c r="R34" s="996"/>
      <c r="S34" s="651">
        <f>($G34)*24/(($K34)/60)/$AD$3</f>
        <v>0.59632941176470589</v>
      </c>
      <c r="T34" s="996"/>
      <c r="U34" s="945"/>
      <c r="V34" s="1165" t="s">
        <v>1285</v>
      </c>
      <c r="W34" s="1164"/>
      <c r="X34" s="1164"/>
      <c r="Y34" s="1164"/>
      <c r="Z34" s="1164"/>
      <c r="AA34" s="1164"/>
      <c r="AB34" s="1186"/>
    </row>
    <row r="35" spans="2:28" s="19" customFormat="1" ht="64.5" customHeight="1" thickBot="1" x14ac:dyDescent="0.25">
      <c r="B35" s="168">
        <f>[1]August_2026!$B39</f>
        <v>46261</v>
      </c>
      <c r="C35" s="26" t="str">
        <f>[1]August_2026!$D39</f>
        <v>J.COOL. KOLA CHMAP</v>
      </c>
      <c r="D35" s="27">
        <v>1400</v>
      </c>
      <c r="E35" s="28">
        <f>[2]Aug!$E39</f>
        <v>1.78125</v>
      </c>
      <c r="F35" s="369">
        <f>[1]August_2026!$J39</f>
        <v>83.160000000000011</v>
      </c>
      <c r="G35" s="30">
        <f>[1]August_2026!$G39</f>
        <v>1233</v>
      </c>
      <c r="H35" s="369">
        <f>[1]August_2026!$K39</f>
        <v>81.378</v>
      </c>
      <c r="I35" s="31">
        <f xml:space="preserve"> [1]August_2026!$N39</f>
        <v>3</v>
      </c>
      <c r="J35" s="32">
        <f>[1]August_2026!$Q39</f>
        <v>51.375</v>
      </c>
      <c r="K35" s="32">
        <f>[1]August_2026!$F39</f>
        <v>208</v>
      </c>
      <c r="L35" s="999"/>
      <c r="M35" s="169">
        <f>[2]Aug!$G39</f>
        <v>1.9895833333333333</v>
      </c>
      <c r="N35" s="32">
        <f>[2]Aug!$AD39</f>
        <v>68</v>
      </c>
      <c r="O35" s="406">
        <f>[2]Aug!$I39</f>
        <v>10</v>
      </c>
      <c r="P35" s="32">
        <f>[1]August_2026!$I39</f>
        <v>0</v>
      </c>
      <c r="Q35" s="840">
        <f>[1]August_2026!$P39</f>
        <v>2.1428571428571552</v>
      </c>
      <c r="R35" s="1020"/>
      <c r="S35" s="651">
        <f t="shared" si="4"/>
        <v>0.50212669683257916</v>
      </c>
      <c r="T35" s="1020"/>
      <c r="U35" s="945"/>
      <c r="V35" s="1165" t="s">
        <v>1286</v>
      </c>
      <c r="W35" s="1164"/>
      <c r="X35" s="1164"/>
      <c r="Y35" s="1164"/>
      <c r="Z35" s="1164"/>
      <c r="AA35" s="1164"/>
      <c r="AB35" s="1186"/>
    </row>
    <row r="36" spans="2:28" s="19" customFormat="1" ht="99" customHeight="1" thickBot="1" x14ac:dyDescent="0.25">
      <c r="B36" s="168">
        <f>[1]August_2026!$B40</f>
        <v>46262</v>
      </c>
      <c r="C36" s="26" t="str">
        <f>[1]August_2026!$D40</f>
        <v xml:space="preserve">J.COOL. CREAM SODA </v>
      </c>
      <c r="D36" s="27">
        <v>1400</v>
      </c>
      <c r="E36" s="28">
        <f>[2]Aug!$E40</f>
        <v>1</v>
      </c>
      <c r="F36" s="369">
        <f>[1]August_2026!$J40</f>
        <v>83.160000000000011</v>
      </c>
      <c r="G36" s="30">
        <f>[1]August_2026!$G40</f>
        <v>1166</v>
      </c>
      <c r="H36" s="369">
        <f>[1]August_2026!$K40</f>
        <v>76.956000000000003</v>
      </c>
      <c r="I36" s="31">
        <f xml:space="preserve"> [1]August_2026!$N40</f>
        <v>32</v>
      </c>
      <c r="J36" s="32">
        <f>[1]August_2026!$Q40</f>
        <v>55.523809523809526</v>
      </c>
      <c r="K36" s="32">
        <f>[1]August_2026!$F40</f>
        <v>237</v>
      </c>
      <c r="L36" s="1148">
        <f>[1]August_2026!$E40</f>
        <v>1260</v>
      </c>
      <c r="M36" s="169">
        <f>[2]Aug!$G40</f>
        <v>1.2638888888888888</v>
      </c>
      <c r="N36" s="32">
        <f>[2]Aug!$AD40</f>
        <v>192</v>
      </c>
      <c r="O36" s="406">
        <f>[2]Aug!$I40</f>
        <v>43</v>
      </c>
      <c r="P36" s="32">
        <f>[1]August_2026!$I40</f>
        <v>0</v>
      </c>
      <c r="Q36" s="840">
        <f>[1]August_2026!$P40</f>
        <v>7.4603174603174685</v>
      </c>
      <c r="R36" s="995">
        <f>($G36+G37+G38+G39)/(($L36/60)*AD$3*(1/24))</f>
        <v>0.24336134453781513</v>
      </c>
      <c r="S36" s="651">
        <f t="shared" si="4"/>
        <v>0.4167386448250186</v>
      </c>
      <c r="T36" s="995">
        <f>(1221-((N36+N37+N38+N39)-[2]Aug!$K$40-[2]Aug!$M$40-[2]Aug!$Z$40-[2]Aug!$Z$41-[2]Aug!$AA$42))/1221</f>
        <v>0.48321048321048321</v>
      </c>
      <c r="U36" s="945"/>
      <c r="V36" s="1165" t="s">
        <v>1288</v>
      </c>
      <c r="W36" s="1164"/>
      <c r="X36" s="1164"/>
      <c r="Y36" s="1164"/>
      <c r="Z36" s="1164"/>
      <c r="AA36" s="1164"/>
      <c r="AB36" s="1186"/>
    </row>
    <row r="37" spans="2:28" s="19" customFormat="1" ht="56.25" customHeight="1" thickBot="1" x14ac:dyDescent="0.25">
      <c r="B37" s="168">
        <f>[1]August_2026!$B41</f>
        <v>46262</v>
      </c>
      <c r="C37" s="26" t="str">
        <f>[1]August_2026!$D41</f>
        <v>J COOL  BANANA</v>
      </c>
      <c r="D37" s="27">
        <v>700</v>
      </c>
      <c r="E37" s="28">
        <f>[2]Aug!$E41</f>
        <v>1.2395833333333333</v>
      </c>
      <c r="F37" s="369">
        <f>[1]August_2026!$J41</f>
        <v>41.580000000000005</v>
      </c>
      <c r="G37" s="30">
        <f>[1]August_2026!$G41</f>
        <v>612</v>
      </c>
      <c r="H37" s="369">
        <f>[1]August_2026!$K41</f>
        <v>40.392000000000003</v>
      </c>
      <c r="I37" s="31">
        <f xml:space="preserve"> [1]August_2026!$N41</f>
        <v>11</v>
      </c>
      <c r="J37" s="32">
        <f>[1]August_2026!$Q41</f>
        <v>29.142857142857142</v>
      </c>
      <c r="K37" s="32">
        <f>[1]August_2026!$F41</f>
        <v>95</v>
      </c>
      <c r="L37" s="1016"/>
      <c r="M37" s="169">
        <f>[2]Aug!$G41</f>
        <v>0.39791666666666664</v>
      </c>
      <c r="N37" s="32">
        <f>[2]Aug!$AD41</f>
        <v>42</v>
      </c>
      <c r="O37" s="406">
        <f>[2]Aug!$I41</f>
        <v>25</v>
      </c>
      <c r="P37" s="32">
        <f>[1]August_2026!$I41</f>
        <v>0</v>
      </c>
      <c r="Q37" s="840">
        <f>[1]August_2026!$P41</f>
        <v>2.8571428571428625</v>
      </c>
      <c r="R37" s="996"/>
      <c r="S37" s="651">
        <f t="shared" si="4"/>
        <v>0.54568421052631577</v>
      </c>
      <c r="T37" s="996"/>
      <c r="U37" s="945"/>
      <c r="V37" s="1165" t="s">
        <v>1289</v>
      </c>
      <c r="W37" s="1164"/>
      <c r="X37" s="1164"/>
      <c r="Y37" s="1164"/>
      <c r="Z37" s="1164"/>
      <c r="AA37" s="1164"/>
      <c r="AB37" s="1186"/>
    </row>
    <row r="38" spans="2:28" s="19" customFormat="1" ht="73.5" customHeight="1" thickBot="1" x14ac:dyDescent="0.25">
      <c r="B38" s="168">
        <f>[1]August_2026!$B42</f>
        <v>46262</v>
      </c>
      <c r="C38" s="26" t="str">
        <f>[1]August_2026!$D42</f>
        <v>J.COO GRAPE</v>
      </c>
      <c r="D38" s="27">
        <v>700</v>
      </c>
      <c r="E38" s="28">
        <f>[2]Aug!$E42</f>
        <v>1.3666666666666667</v>
      </c>
      <c r="F38" s="369">
        <f>[1]August_2026!$J42</f>
        <v>44.22</v>
      </c>
      <c r="G38" s="30">
        <f>[1]August_2026!$G42</f>
        <v>665</v>
      </c>
      <c r="H38" s="369">
        <f>[1]August_2026!$K42</f>
        <v>43.89</v>
      </c>
      <c r="I38" s="31">
        <f xml:space="preserve"> [1]August_2026!$N42</f>
        <v>11</v>
      </c>
      <c r="J38" s="32">
        <f>[1]August_2026!$Q42</f>
        <v>31.666666666666668</v>
      </c>
      <c r="K38" s="32">
        <f>[1]August_2026!$F42</f>
        <v>84</v>
      </c>
      <c r="L38" s="1016"/>
      <c r="M38" s="169">
        <f>[2]Aug!$G42</f>
        <v>0.49583333333333335</v>
      </c>
      <c r="N38" s="32">
        <f>[2]Aug!$AD42</f>
        <v>62</v>
      </c>
      <c r="O38" s="406">
        <f>[2]Aug!$I42</f>
        <v>35</v>
      </c>
      <c r="P38" s="32">
        <f>[1]August_2026!$I42</f>
        <v>0</v>
      </c>
      <c r="Q38" s="840">
        <f>[1]August_2026!$P42</f>
        <v>0.74626865671641407</v>
      </c>
      <c r="R38" s="996"/>
      <c r="S38" s="651">
        <f t="shared" si="4"/>
        <v>0.6705882352941176</v>
      </c>
      <c r="T38" s="996"/>
      <c r="U38" s="945"/>
      <c r="V38" s="1165" t="s">
        <v>1290</v>
      </c>
      <c r="W38" s="1164"/>
      <c r="X38" s="1164"/>
      <c r="Y38" s="1164"/>
      <c r="Z38" s="1164"/>
      <c r="AA38" s="1164"/>
      <c r="AB38" s="1186"/>
    </row>
    <row r="39" spans="2:28" s="19" customFormat="1" ht="87.75" customHeight="1" thickBot="1" x14ac:dyDescent="0.25">
      <c r="B39" s="168">
        <f>[1]August_2026!$B43</f>
        <v>46262</v>
      </c>
      <c r="C39" s="26" t="str">
        <f>[1]August_2026!$D43</f>
        <v>VITA MALT</v>
      </c>
      <c r="D39" s="27">
        <v>5600</v>
      </c>
      <c r="E39" s="28">
        <f>[2]Aug!$E43</f>
        <v>1.6777777777777778</v>
      </c>
      <c r="F39" s="369">
        <f>[1]August_2026!$J43</f>
        <v>83.5</v>
      </c>
      <c r="G39" s="30">
        <f>[1]August_2026!$G43</f>
        <v>1177</v>
      </c>
      <c r="H39" s="369">
        <f>[1]August_2026!$K43</f>
        <v>83.331600000000009</v>
      </c>
      <c r="I39" s="31">
        <f xml:space="preserve"> [1]August_2026!$N43</f>
        <v>5</v>
      </c>
      <c r="J39" s="32">
        <f>[1]August_2026!$Q43</f>
        <v>56.047619047619051</v>
      </c>
      <c r="K39" s="32">
        <f>[1]August_2026!$F43</f>
        <v>200</v>
      </c>
      <c r="L39" s="999"/>
      <c r="M39" s="169">
        <f>[2]Aug!$G43</f>
        <v>1.8479166666666667</v>
      </c>
      <c r="N39" s="32">
        <f>[2]Aug!$AD43</f>
        <v>421</v>
      </c>
      <c r="O39" s="406">
        <f>[2]Aug!$I43</f>
        <v>105</v>
      </c>
      <c r="P39" s="32">
        <f>[1]August_2026!$I43</f>
        <v>0</v>
      </c>
      <c r="Q39" s="840">
        <f>[1]August_2026!$P43</f>
        <v>0.20167664670657634</v>
      </c>
      <c r="R39" s="996"/>
      <c r="S39" s="651">
        <f t="shared" si="4"/>
        <v>0.49849411764705881</v>
      </c>
      <c r="T39" s="996"/>
      <c r="U39" s="945"/>
      <c r="V39" s="1165" t="s">
        <v>1291</v>
      </c>
      <c r="W39" s="1164"/>
      <c r="X39" s="1164"/>
      <c r="Y39" s="1164"/>
      <c r="Z39" s="1164"/>
      <c r="AA39" s="1164"/>
      <c r="AB39" s="1186"/>
    </row>
    <row r="40" spans="2:28" s="19" customFormat="1" ht="130.5" customHeight="1" thickBot="1" x14ac:dyDescent="0.25">
      <c r="B40" s="168">
        <f>[1]August_2026!$B44</f>
        <v>46265</v>
      </c>
      <c r="C40" s="26" t="str">
        <f>[1]August_2026!$D44</f>
        <v xml:space="preserve">VITA MALT </v>
      </c>
      <c r="D40" s="27"/>
      <c r="E40" s="28">
        <f>[2]Aug!$E44</f>
        <v>1.4340277777777777</v>
      </c>
      <c r="F40" s="369">
        <f>[1]August_2026!$J44</f>
        <v>303.10000000000002</v>
      </c>
      <c r="G40" s="30">
        <f>[1]August_2026!$G44</f>
        <v>4222</v>
      </c>
      <c r="H40" s="369">
        <f>[1]August_2026!$K44</f>
        <v>298.91759999999999</v>
      </c>
      <c r="I40" s="31">
        <f xml:space="preserve"> [1]August_2026!$N44</f>
        <v>17</v>
      </c>
      <c r="J40" s="32">
        <f>[1]August_2026!$Q44</f>
        <v>183.56521739130434</v>
      </c>
      <c r="K40" s="32">
        <f>[1]August_2026!$F44</f>
        <v>599</v>
      </c>
      <c r="L40" s="654">
        <f>[1]August_2026!$E44</f>
        <v>1380</v>
      </c>
      <c r="M40" s="169">
        <f>[2]Aug!$G44</f>
        <v>1.9861111111111112</v>
      </c>
      <c r="N40" s="32">
        <f>[2]Aug!$AD44</f>
        <v>721</v>
      </c>
      <c r="O40" s="406">
        <f>[2]Aug!$I44</f>
        <v>0</v>
      </c>
      <c r="P40" s="32">
        <f>[1]August_2026!$I44</f>
        <v>0</v>
      </c>
      <c r="Q40" s="840">
        <f>[1]August_2026!$P44</f>
        <v>1.3798746288353776</v>
      </c>
      <c r="R40" s="862">
        <f>($G40)/(($L40/60)*AD$3*(1/24))</f>
        <v>0.25915089514066497</v>
      </c>
      <c r="S40" s="651">
        <f>($G40)*24/(($K40)/60)/$AD$3</f>
        <v>0.59704212903859388</v>
      </c>
      <c r="T40" s="866">
        <f>(1420-((N40)-[2]Aug!$AB$44-[2]Aug!$Z$44))/1420</f>
        <v>0.56971830985915495</v>
      </c>
      <c r="U40" s="945"/>
      <c r="V40" s="1165" t="s">
        <v>1292</v>
      </c>
      <c r="W40" s="1164"/>
      <c r="X40" s="1164"/>
      <c r="Y40" s="1164"/>
      <c r="Z40" s="1164"/>
      <c r="AA40" s="1164"/>
      <c r="AB40" s="1186"/>
    </row>
    <row r="41" spans="2:28" s="19" customFormat="1" ht="21" thickBot="1" x14ac:dyDescent="0.25">
      <c r="B41" s="168"/>
      <c r="C41" s="26"/>
      <c r="D41" s="27"/>
      <c r="E41" s="28">
        <f>[2]Aug!$E45</f>
        <v>0</v>
      </c>
      <c r="F41" s="369">
        <f>[1]August_2026!$J45</f>
        <v>0</v>
      </c>
      <c r="G41" s="30">
        <f>[1]August_2026!$G45</f>
        <v>0</v>
      </c>
      <c r="H41" s="369">
        <f>[1]August_2026!$K45</f>
        <v>0</v>
      </c>
      <c r="I41" s="31">
        <f xml:space="preserve"> [1]August_2026!$N45</f>
        <v>0</v>
      </c>
      <c r="J41" s="32"/>
      <c r="K41" s="32"/>
      <c r="L41" s="464"/>
      <c r="M41" s="169"/>
      <c r="N41" s="32"/>
      <c r="O41" s="406"/>
      <c r="P41" s="32"/>
      <c r="Q41" s="33"/>
      <c r="R41" s="798"/>
      <c r="S41" s="546"/>
      <c r="T41" s="987"/>
      <c r="U41" s="945"/>
      <c r="V41" s="1126"/>
      <c r="W41" s="1127"/>
      <c r="X41" s="1127"/>
      <c r="Y41" s="1127"/>
      <c r="Z41" s="1127"/>
      <c r="AA41" s="1127"/>
      <c r="AB41" s="1128"/>
    </row>
    <row r="42" spans="2:28" s="19" customFormat="1" ht="20.25" hidden="1" x14ac:dyDescent="0.2">
      <c r="B42" s="168"/>
      <c r="C42" s="26"/>
      <c r="D42" s="27"/>
      <c r="E42" s="28">
        <f>[2]Aug!$E46</f>
        <v>0</v>
      </c>
      <c r="F42" s="369">
        <f>[1]August_2026!$J46</f>
        <v>0</v>
      </c>
      <c r="G42" s="30">
        <f>[1]August_2026!$G46</f>
        <v>0</v>
      </c>
      <c r="H42" s="369">
        <f>[1]August_2026!$K46</f>
        <v>0</v>
      </c>
      <c r="I42" s="31">
        <f xml:space="preserve"> [1]August_2026!$N46</f>
        <v>0</v>
      </c>
      <c r="J42" s="32"/>
      <c r="K42" s="32"/>
      <c r="L42" s="464"/>
      <c r="M42" s="169"/>
      <c r="N42" s="32"/>
      <c r="O42" s="406"/>
      <c r="P42" s="32"/>
      <c r="Q42" s="33"/>
      <c r="R42" s="527"/>
      <c r="S42" s="546"/>
      <c r="T42" s="548"/>
      <c r="U42" s="945"/>
      <c r="V42" s="1126"/>
      <c r="W42" s="1127"/>
      <c r="X42" s="1127"/>
      <c r="Y42" s="1127"/>
      <c r="Z42" s="1127"/>
      <c r="AA42" s="1127"/>
      <c r="AB42" s="1128"/>
    </row>
    <row r="43" spans="2:28" s="19" customFormat="1" ht="20.25" hidden="1" x14ac:dyDescent="0.2">
      <c r="B43" s="168"/>
      <c r="C43" s="26"/>
      <c r="D43" s="27"/>
      <c r="E43" s="28">
        <f>[2]Aug!$E47</f>
        <v>0</v>
      </c>
      <c r="F43" s="369">
        <f>[1]August_2026!$J47</f>
        <v>0</v>
      </c>
      <c r="G43" s="30">
        <f>[1]August_2026!$G47</f>
        <v>0</v>
      </c>
      <c r="H43" s="369">
        <f>[1]August_2026!$K47</f>
        <v>0</v>
      </c>
      <c r="I43" s="31">
        <f xml:space="preserve"> [1]August_2026!$N47</f>
        <v>0</v>
      </c>
      <c r="J43" s="32"/>
      <c r="K43" s="32"/>
      <c r="L43" s="464"/>
      <c r="M43" s="169"/>
      <c r="N43" s="32"/>
      <c r="O43" s="406"/>
      <c r="P43" s="32"/>
      <c r="Q43" s="33"/>
      <c r="R43" s="527"/>
      <c r="S43" s="546"/>
      <c r="T43" s="548"/>
      <c r="U43" s="945"/>
      <c r="V43" s="1126"/>
      <c r="W43" s="1127"/>
      <c r="X43" s="1127"/>
      <c r="Y43" s="1127"/>
      <c r="Z43" s="1127"/>
      <c r="AA43" s="1127"/>
      <c r="AB43" s="1128"/>
    </row>
    <row r="44" spans="2:28" s="19" customFormat="1" ht="20.25" hidden="1" x14ac:dyDescent="0.2">
      <c r="B44" s="168"/>
      <c r="C44" s="26"/>
      <c r="D44" s="27"/>
      <c r="E44" s="28">
        <f>[2]Aug!$E48</f>
        <v>0</v>
      </c>
      <c r="F44" s="369">
        <f>[1]August_2026!$J48</f>
        <v>0</v>
      </c>
      <c r="G44" s="30">
        <f>[1]August_2026!$G48</f>
        <v>0</v>
      </c>
      <c r="H44" s="369">
        <f>[1]August_2026!$K48</f>
        <v>0</v>
      </c>
      <c r="I44" s="31">
        <f xml:space="preserve"> [1]August_2026!$N48</f>
        <v>0</v>
      </c>
      <c r="J44" s="32"/>
      <c r="K44" s="32"/>
      <c r="L44" s="464"/>
      <c r="M44" s="169"/>
      <c r="N44" s="32"/>
      <c r="O44" s="406"/>
      <c r="P44" s="32"/>
      <c r="Q44" s="33"/>
      <c r="R44" s="527"/>
      <c r="S44" s="546"/>
      <c r="T44" s="548"/>
      <c r="U44" s="945"/>
      <c r="V44" s="1126"/>
      <c r="W44" s="1127"/>
      <c r="X44" s="1127"/>
      <c r="Y44" s="1127"/>
      <c r="Z44" s="1127"/>
      <c r="AA44" s="1127"/>
      <c r="AB44" s="1128"/>
    </row>
    <row r="45" spans="2:28" s="19" customFormat="1" ht="20.25" hidden="1" x14ac:dyDescent="0.2">
      <c r="B45" s="168"/>
      <c r="C45" s="26"/>
      <c r="D45" s="27"/>
      <c r="E45" s="28">
        <f>[2]Aug!$E49</f>
        <v>0</v>
      </c>
      <c r="F45" s="369">
        <f>[1]August_2026!$J49</f>
        <v>0</v>
      </c>
      <c r="G45" s="30">
        <f>[1]August_2026!$G49</f>
        <v>0</v>
      </c>
      <c r="H45" s="369">
        <f>[1]August_2026!$K49</f>
        <v>0</v>
      </c>
      <c r="I45" s="31">
        <f xml:space="preserve"> [1]August_2026!$N49</f>
        <v>0</v>
      </c>
      <c r="J45" s="32"/>
      <c r="K45" s="32"/>
      <c r="L45" s="464"/>
      <c r="M45" s="169"/>
      <c r="N45" s="32"/>
      <c r="O45" s="406"/>
      <c r="P45" s="32"/>
      <c r="Q45" s="33"/>
      <c r="R45" s="527"/>
      <c r="S45" s="546"/>
      <c r="T45" s="548"/>
      <c r="U45" s="945"/>
      <c r="V45" s="1126"/>
      <c r="W45" s="1127"/>
      <c r="X45" s="1127"/>
      <c r="Y45" s="1127"/>
      <c r="Z45" s="1127"/>
      <c r="AA45" s="1127"/>
      <c r="AB45" s="1128"/>
    </row>
    <row r="46" spans="2:28" s="19" customFormat="1" ht="20.25" hidden="1" x14ac:dyDescent="0.2">
      <c r="B46" s="168"/>
      <c r="C46" s="26"/>
      <c r="D46" s="27"/>
      <c r="E46" s="28">
        <f>[2]Aug!$E50</f>
        <v>0</v>
      </c>
      <c r="F46" s="369">
        <f>[1]August_2026!$J50</f>
        <v>0</v>
      </c>
      <c r="G46" s="30">
        <f>[1]August_2026!$G50</f>
        <v>0</v>
      </c>
      <c r="H46" s="369">
        <f>[1]August_2026!$K50</f>
        <v>0</v>
      </c>
      <c r="I46" s="31">
        <f xml:space="preserve"> [1]August_2026!$N50</f>
        <v>0</v>
      </c>
      <c r="J46" s="32"/>
      <c r="K46" s="32"/>
      <c r="L46" s="464"/>
      <c r="M46" s="169"/>
      <c r="N46" s="32"/>
      <c r="O46" s="406"/>
      <c r="P46" s="32"/>
      <c r="Q46" s="33"/>
      <c r="R46" s="527"/>
      <c r="S46" s="546"/>
      <c r="T46" s="548"/>
      <c r="U46" s="945"/>
      <c r="V46" s="1126"/>
      <c r="W46" s="1127"/>
      <c r="X46" s="1127"/>
      <c r="Y46" s="1127"/>
      <c r="Z46" s="1127"/>
      <c r="AA46" s="1127"/>
      <c r="AB46" s="1128"/>
    </row>
    <row r="47" spans="2:28" s="19" customFormat="1" ht="20.25" hidden="1" x14ac:dyDescent="0.2">
      <c r="B47" s="168"/>
      <c r="C47" s="26"/>
      <c r="D47" s="27"/>
      <c r="E47" s="28">
        <f>[2]Aug!$E51</f>
        <v>0</v>
      </c>
      <c r="F47" s="369">
        <f>[1]August_2026!$J51</f>
        <v>0</v>
      </c>
      <c r="G47" s="30">
        <f>[1]August_2026!$G51</f>
        <v>0</v>
      </c>
      <c r="H47" s="369">
        <f>[1]August_2026!$K51</f>
        <v>0</v>
      </c>
      <c r="I47" s="31">
        <f xml:space="preserve"> [1]August_2026!$N51</f>
        <v>0</v>
      </c>
      <c r="J47" s="32"/>
      <c r="K47" s="32"/>
      <c r="L47" s="464"/>
      <c r="M47" s="169"/>
      <c r="N47" s="32"/>
      <c r="O47" s="406"/>
      <c r="P47" s="32"/>
      <c r="Q47" s="33"/>
      <c r="R47" s="527"/>
      <c r="S47" s="546"/>
      <c r="T47" s="548"/>
      <c r="U47" s="945"/>
      <c r="V47" s="1126"/>
      <c r="W47" s="1127"/>
      <c r="X47" s="1127"/>
      <c r="Y47" s="1127"/>
      <c r="Z47" s="1127"/>
      <c r="AA47" s="1127"/>
      <c r="AB47" s="1128"/>
    </row>
    <row r="48" spans="2:28" s="19" customFormat="1" ht="20.25" hidden="1" x14ac:dyDescent="0.2">
      <c r="B48" s="168"/>
      <c r="C48" s="26"/>
      <c r="D48" s="27"/>
      <c r="E48" s="28">
        <f>[2]Aug!$E52</f>
        <v>0</v>
      </c>
      <c r="F48" s="369">
        <f>[1]August_2026!$J52</f>
        <v>0</v>
      </c>
      <c r="G48" s="30">
        <f>[1]August_2026!$G52</f>
        <v>0</v>
      </c>
      <c r="H48" s="369">
        <f>[1]August_2026!$K52</f>
        <v>0</v>
      </c>
      <c r="I48" s="31">
        <f xml:space="preserve"> [1]August_2026!$N52</f>
        <v>0</v>
      </c>
      <c r="J48" s="32"/>
      <c r="K48" s="32"/>
      <c r="L48" s="464"/>
      <c r="M48" s="169"/>
      <c r="N48" s="32"/>
      <c r="O48" s="406"/>
      <c r="P48" s="32"/>
      <c r="Q48" s="33"/>
      <c r="R48" s="527"/>
      <c r="S48" s="546"/>
      <c r="T48" s="548"/>
      <c r="U48" s="945"/>
      <c r="V48" s="1126"/>
      <c r="W48" s="1127"/>
      <c r="X48" s="1127"/>
      <c r="Y48" s="1127"/>
      <c r="Z48" s="1127"/>
      <c r="AA48" s="1127"/>
      <c r="AB48" s="1128"/>
    </row>
    <row r="49" spans="1:30" s="19" customFormat="1" ht="20.25" hidden="1" x14ac:dyDescent="0.2">
      <c r="B49" s="168"/>
      <c r="C49" s="26"/>
      <c r="D49" s="27"/>
      <c r="E49" s="28">
        <f>[2]Aug!$E53</f>
        <v>0</v>
      </c>
      <c r="F49" s="369">
        <f>[1]August_2026!$J53</f>
        <v>0</v>
      </c>
      <c r="G49" s="30">
        <f>[1]August_2026!$G53</f>
        <v>0</v>
      </c>
      <c r="H49" s="369">
        <f>[1]August_2026!$K53</f>
        <v>0</v>
      </c>
      <c r="I49" s="31">
        <f xml:space="preserve"> [1]August_2026!$N53</f>
        <v>0</v>
      </c>
      <c r="J49" s="32"/>
      <c r="K49" s="32"/>
      <c r="L49" s="464"/>
      <c r="M49" s="169"/>
      <c r="N49" s="32"/>
      <c r="O49" s="406"/>
      <c r="P49" s="32"/>
      <c r="Q49" s="33"/>
      <c r="R49" s="527"/>
      <c r="S49" s="546"/>
      <c r="T49" s="548"/>
      <c r="U49" s="1183"/>
      <c r="V49" s="1126"/>
      <c r="W49" s="1127"/>
      <c r="X49" s="1127"/>
      <c r="Y49" s="1127"/>
      <c r="Z49" s="1127"/>
      <c r="AA49" s="1127"/>
      <c r="AB49" s="1128"/>
    </row>
    <row r="50" spans="1:30" s="19" customFormat="1" ht="20.25" hidden="1" x14ac:dyDescent="0.2">
      <c r="B50" s="168"/>
      <c r="C50" s="26"/>
      <c r="D50" s="27"/>
      <c r="E50" s="28"/>
      <c r="F50" s="369"/>
      <c r="G50" s="30"/>
      <c r="H50" s="369"/>
      <c r="I50" s="31"/>
      <c r="J50" s="32"/>
      <c r="K50" s="32"/>
      <c r="L50" s="464"/>
      <c r="M50" s="169"/>
      <c r="N50" s="32"/>
      <c r="O50" s="406"/>
      <c r="P50" s="32"/>
      <c r="Q50" s="33"/>
      <c r="R50" s="527"/>
      <c r="S50" s="546"/>
      <c r="T50" s="548"/>
      <c r="U50" s="1184"/>
      <c r="V50" s="1126"/>
      <c r="W50" s="1127"/>
      <c r="X50" s="1127"/>
      <c r="Y50" s="1127"/>
      <c r="Z50" s="1127"/>
      <c r="AA50" s="1127"/>
      <c r="AB50" s="1128"/>
    </row>
    <row r="51" spans="1:30" s="19" customFormat="1" ht="20.25" hidden="1" x14ac:dyDescent="0.2">
      <c r="B51" s="168"/>
      <c r="C51" s="26"/>
      <c r="D51" s="27"/>
      <c r="E51" s="28"/>
      <c r="F51" s="369"/>
      <c r="G51" s="30"/>
      <c r="H51" s="369"/>
      <c r="I51" s="31"/>
      <c r="J51" s="32"/>
      <c r="K51" s="32"/>
      <c r="L51" s="464"/>
      <c r="M51" s="169"/>
      <c r="N51" s="32"/>
      <c r="O51" s="406"/>
      <c r="P51" s="32"/>
      <c r="Q51" s="33"/>
      <c r="R51" s="527"/>
      <c r="S51" s="546"/>
      <c r="T51" s="548"/>
      <c r="U51" s="945"/>
      <c r="V51" s="1126"/>
      <c r="W51" s="1127"/>
      <c r="X51" s="1127"/>
      <c r="Y51" s="1127"/>
      <c r="Z51" s="1127"/>
      <c r="AA51" s="1127"/>
      <c r="AB51" s="1128"/>
    </row>
    <row r="52" spans="1:30" s="19" customFormat="1" ht="20.25" hidden="1" x14ac:dyDescent="0.2">
      <c r="B52" s="168"/>
      <c r="C52" s="26"/>
      <c r="D52" s="27"/>
      <c r="E52" s="28"/>
      <c r="F52" s="369"/>
      <c r="G52" s="30"/>
      <c r="H52" s="369"/>
      <c r="I52" s="31"/>
      <c r="J52" s="32"/>
      <c r="K52" s="32"/>
      <c r="L52" s="464"/>
      <c r="M52" s="169"/>
      <c r="N52" s="32"/>
      <c r="O52" s="406"/>
      <c r="P52" s="32"/>
      <c r="Q52" s="33"/>
      <c r="R52" s="527"/>
      <c r="S52" s="546"/>
      <c r="T52" s="548"/>
      <c r="U52" s="945"/>
      <c r="V52" s="1126"/>
      <c r="W52" s="1127"/>
      <c r="X52" s="1127"/>
      <c r="Y52" s="1127"/>
      <c r="Z52" s="1127"/>
      <c r="AA52" s="1127"/>
      <c r="AB52" s="1128"/>
    </row>
    <row r="53" spans="1:30" s="19" customFormat="1" ht="20.25" hidden="1" x14ac:dyDescent="0.2">
      <c r="B53" s="168"/>
      <c r="C53" s="26"/>
      <c r="D53" s="27"/>
      <c r="E53" s="28"/>
      <c r="F53" s="369"/>
      <c r="G53" s="30"/>
      <c r="H53" s="369"/>
      <c r="I53" s="31"/>
      <c r="J53" s="32"/>
      <c r="K53" s="32"/>
      <c r="L53" s="464"/>
      <c r="M53" s="169"/>
      <c r="N53" s="32"/>
      <c r="O53" s="406"/>
      <c r="P53" s="32"/>
      <c r="Q53" s="33"/>
      <c r="R53" s="527"/>
      <c r="S53" s="546"/>
      <c r="T53" s="548"/>
      <c r="U53" s="945"/>
      <c r="V53" s="1126"/>
      <c r="W53" s="1127"/>
      <c r="X53" s="1127"/>
      <c r="Y53" s="1127"/>
      <c r="Z53" s="1127"/>
      <c r="AA53" s="1127"/>
      <c r="AB53" s="1128"/>
    </row>
    <row r="54" spans="1:30" s="19" customFormat="1" ht="16.5" hidden="1" customHeight="1" x14ac:dyDescent="0.2">
      <c r="B54" s="168"/>
      <c r="C54" s="26"/>
      <c r="D54" s="27"/>
      <c r="E54" s="28"/>
      <c r="F54" s="369"/>
      <c r="G54" s="30"/>
      <c r="H54" s="369"/>
      <c r="I54" s="31"/>
      <c r="J54" s="32"/>
      <c r="K54" s="32"/>
      <c r="L54" s="464"/>
      <c r="M54" s="169"/>
      <c r="N54" s="32"/>
      <c r="O54" s="406"/>
      <c r="P54" s="32"/>
      <c r="Q54" s="33"/>
      <c r="R54" s="527"/>
      <c r="S54" s="546"/>
      <c r="T54" s="548"/>
      <c r="U54" s="946"/>
      <c r="V54" s="1126"/>
      <c r="W54" s="1127"/>
      <c r="X54" s="1127"/>
      <c r="Y54" s="1127"/>
      <c r="Z54" s="1127"/>
      <c r="AA54" s="1127"/>
      <c r="AB54" s="1128"/>
    </row>
    <row r="55" spans="1:30" s="19" customFormat="1" ht="21" hidden="1" thickBot="1" x14ac:dyDescent="0.25">
      <c r="B55" s="168"/>
      <c r="C55" s="26"/>
      <c r="D55" s="27"/>
      <c r="E55" s="28">
        <f>[2]Aug!$E59</f>
        <v>0</v>
      </c>
      <c r="F55" s="369">
        <f>[1]August_2026!$J59</f>
        <v>0</v>
      </c>
      <c r="G55" s="30">
        <f>[1]August_2026!$G59</f>
        <v>0</v>
      </c>
      <c r="H55" s="369"/>
      <c r="I55" s="31"/>
      <c r="J55" s="32"/>
      <c r="K55" s="32"/>
      <c r="L55" s="464"/>
      <c r="M55" s="169"/>
      <c r="N55" s="32"/>
      <c r="O55" s="406"/>
      <c r="P55" s="32"/>
      <c r="Q55" s="33"/>
      <c r="R55" s="527"/>
      <c r="S55" s="546"/>
      <c r="T55" s="548"/>
      <c r="U55" s="983"/>
      <c r="V55" s="1126"/>
      <c r="W55" s="1127"/>
      <c r="X55" s="1127"/>
      <c r="Y55" s="1127"/>
      <c r="Z55" s="1127"/>
      <c r="AA55" s="1127"/>
      <c r="AB55" s="1128"/>
    </row>
    <row r="56" spans="1:30" s="19" customFormat="1" ht="70.5" customHeight="1" thickBot="1" x14ac:dyDescent="0.25">
      <c r="B56" s="240" t="s">
        <v>3</v>
      </c>
      <c r="C56" s="241"/>
      <c r="D56" s="242">
        <f>SUM(D4:D54)</f>
        <v>119600</v>
      </c>
      <c r="E56" s="243">
        <f>AVERAGE(E4:E54)</f>
        <v>1.0165458937198066</v>
      </c>
      <c r="F56" s="244">
        <f>SUM(F4:F55)</f>
        <v>8305.7839999999997</v>
      </c>
      <c r="G56" s="242">
        <f>SUM(G4:G55)</f>
        <v>122242</v>
      </c>
      <c r="H56" s="244">
        <f>SUM(H4:H55)</f>
        <v>8141.3872000000019</v>
      </c>
      <c r="I56" s="245">
        <f>SUM(I4:I54)</f>
        <v>514</v>
      </c>
      <c r="J56" s="245">
        <f>G56/(L56/60)</f>
        <v>299.49040424663127</v>
      </c>
      <c r="K56" s="242">
        <f>SUM(K4:K54)</f>
        <v>18332</v>
      </c>
      <c r="L56" s="466">
        <f>SUM(L4:L54)</f>
        <v>24490</v>
      </c>
      <c r="M56" s="246">
        <f>AVERAGE(M4:M55)</f>
        <v>1.4253753753753753</v>
      </c>
      <c r="N56" s="242">
        <f>SUM(N4:N54)</f>
        <v>9365</v>
      </c>
      <c r="O56" s="245">
        <f>SUM(O4:O55)</f>
        <v>1331</v>
      </c>
      <c r="P56" s="245">
        <f>SUM(P4:P55)</f>
        <v>387</v>
      </c>
      <c r="Q56" s="292">
        <f>(F56-H56)/F56</f>
        <v>1.9793050240651301E-2</v>
      </c>
      <c r="R56" s="653">
        <f>($G56)/(($L56/60)*AD$3*(1/24))</f>
        <v>0.4228099824658324</v>
      </c>
      <c r="S56" s="556">
        <f>(G56)*24/((K56)/60)/$AD$3</f>
        <v>0.56483834118417164</v>
      </c>
      <c r="T56" s="549">
        <f>(25675-((N56)-[2]Aug!$H$68-[2]Aug!$I$68-[2]Aug!$J$68-[2]Aug!$K$68-[2]Aug!$L$68-[2]Aug!$M$68-[2]Aug!$N$68-[2]Aug!$Z$68-[2]Aug!$AA$68-[2]Aug!$AB$68-[2]Aug!$AC$68))/25675</f>
        <v>0.78878286270691333</v>
      </c>
      <c r="U56" s="985">
        <f>SUM(U4:U55)</f>
        <v>2.7212798544756799E-2</v>
      </c>
      <c r="V56" s="1129"/>
      <c r="W56" s="1011"/>
      <c r="X56" s="1011"/>
      <c r="Y56" s="1011"/>
      <c r="Z56" s="1011"/>
      <c r="AA56" s="1011"/>
      <c r="AB56" s="1012"/>
    </row>
    <row r="57" spans="1:30" s="656" customFormat="1" ht="65.099999999999994" customHeight="1" thickTop="1" x14ac:dyDescent="0.2">
      <c r="B57" s="657" t="s">
        <v>861</v>
      </c>
      <c r="C57" s="658"/>
      <c r="D57" s="641"/>
      <c r="E57" s="659"/>
      <c r="F57" s="660"/>
      <c r="G57" s="641"/>
      <c r="H57" s="660"/>
      <c r="I57" s="661"/>
      <c r="J57" s="661">
        <v>350</v>
      </c>
      <c r="K57" s="641"/>
      <c r="L57" s="641"/>
      <c r="M57" s="642"/>
      <c r="N57" s="641"/>
      <c r="O57" s="643"/>
      <c r="P57" s="644"/>
      <c r="Q57" s="645">
        <v>1.7999999999999999E-2</v>
      </c>
      <c r="R57" s="666">
        <v>0.56000000000000005</v>
      </c>
      <c r="S57" s="666">
        <v>0.66</v>
      </c>
      <c r="T57" s="647">
        <v>0.8</v>
      </c>
      <c r="U57" s="984"/>
      <c r="V57" s="662"/>
      <c r="W57" s="662"/>
      <c r="X57" s="662"/>
      <c r="Y57" s="662"/>
      <c r="Z57" s="662"/>
      <c r="AA57" s="662"/>
      <c r="AB57" s="662"/>
    </row>
    <row r="58" spans="1:30" s="271" customFormat="1" ht="20.25" x14ac:dyDescent="0.3">
      <c r="A58" s="274"/>
      <c r="B58" s="260"/>
      <c r="C58" s="260"/>
      <c r="D58" s="261"/>
      <c r="E58" s="262"/>
      <c r="F58" s="263"/>
      <c r="G58" s="261"/>
      <c r="H58" s="263"/>
      <c r="I58" s="264"/>
      <c r="J58" s="264"/>
      <c r="K58" s="261"/>
      <c r="L58" s="261"/>
      <c r="M58" s="265"/>
      <c r="N58" s="261"/>
      <c r="O58" s="266"/>
      <c r="P58" s="264"/>
      <c r="Q58" s="267"/>
      <c r="R58" s="268"/>
      <c r="S58" s="268"/>
      <c r="T58" s="269"/>
      <c r="U58" s="945"/>
      <c r="V58" s="270"/>
      <c r="W58" s="270"/>
      <c r="X58" s="270" t="s">
        <v>845</v>
      </c>
      <c r="Y58" s="270"/>
      <c r="Z58" s="270"/>
      <c r="AA58" s="270"/>
      <c r="AB58" s="270"/>
    </row>
    <row r="59" spans="1:30" s="484" customFormat="1" ht="49.5" hidden="1" customHeight="1" x14ac:dyDescent="0.3">
      <c r="B59" s="467"/>
      <c r="C59" s="485"/>
      <c r="D59" s="486"/>
      <c r="E59" s="487"/>
      <c r="F59" s="488"/>
      <c r="G59" s="467"/>
      <c r="H59" s="467"/>
      <c r="I59" s="271"/>
      <c r="J59" s="271"/>
      <c r="K59" s="271"/>
      <c r="L59" s="271"/>
      <c r="M59" s="271"/>
      <c r="N59" s="271"/>
      <c r="O59" s="468"/>
      <c r="P59" s="467"/>
      <c r="Q59" s="467"/>
      <c r="R59" s="271"/>
      <c r="S59" s="271"/>
      <c r="T59" s="271"/>
      <c r="U59" s="945"/>
      <c r="V59" s="270"/>
      <c r="W59" s="270"/>
      <c r="X59" s="270"/>
      <c r="Y59" s="270"/>
      <c r="Z59" s="270"/>
      <c r="AA59" s="270"/>
      <c r="AB59" s="270"/>
      <c r="AC59" s="271"/>
      <c r="AD59" s="467"/>
    </row>
    <row r="60" spans="1:30" s="467" customFormat="1" ht="90.75" hidden="1" thickBot="1" x14ac:dyDescent="0.35">
      <c r="C60" s="587" t="s">
        <v>375</v>
      </c>
      <c r="D60" s="588" t="s">
        <v>376</v>
      </c>
      <c r="E60" s="588" t="s">
        <v>377</v>
      </c>
      <c r="F60" s="589" t="s">
        <v>378</v>
      </c>
      <c r="I60" s="271"/>
      <c r="J60" s="271"/>
      <c r="K60" s="271"/>
      <c r="L60" s="271"/>
      <c r="M60" s="271"/>
      <c r="N60" s="271"/>
      <c r="O60" s="563"/>
      <c r="R60" s="271"/>
      <c r="S60" s="271"/>
      <c r="T60" s="271"/>
      <c r="U60" s="945"/>
    </row>
    <row r="61" spans="1:30" s="467" customFormat="1" ht="33" hidden="1" customHeight="1" x14ac:dyDescent="0.4">
      <c r="C61" s="516" t="s">
        <v>370</v>
      </c>
      <c r="D61" s="603"/>
      <c r="E61" s="536"/>
      <c r="F61" s="592"/>
      <c r="I61" s="271"/>
      <c r="J61" s="567"/>
      <c r="K61" s="271"/>
      <c r="L61" s="271"/>
      <c r="M61" s="271"/>
      <c r="N61" s="271"/>
      <c r="O61" s="468"/>
      <c r="R61" s="271"/>
      <c r="S61" s="271"/>
      <c r="T61" s="271"/>
      <c r="U61" s="959">
        <f>SUM(U4:U60)</f>
        <v>5.4425597089513597E-2</v>
      </c>
    </row>
    <row r="62" spans="1:30" s="467" customFormat="1" ht="33" hidden="1" customHeight="1" x14ac:dyDescent="0.4">
      <c r="C62" s="517" t="s">
        <v>371</v>
      </c>
      <c r="D62" s="603"/>
      <c r="E62" s="536"/>
      <c r="F62" s="593"/>
      <c r="I62" s="271"/>
      <c r="J62" s="567"/>
      <c r="K62" s="271"/>
      <c r="L62" s="271"/>
      <c r="M62" s="271"/>
      <c r="N62" s="271"/>
      <c r="O62" s="468"/>
      <c r="R62" s="271"/>
      <c r="S62" s="271"/>
      <c r="T62" s="271"/>
      <c r="U62" s="1"/>
    </row>
    <row r="63" spans="1:30" s="467" customFormat="1" ht="33" hidden="1" customHeight="1" x14ac:dyDescent="0.4">
      <c r="C63" s="518" t="s">
        <v>372</v>
      </c>
      <c r="D63" s="603"/>
      <c r="E63" s="536"/>
      <c r="F63" s="593"/>
      <c r="I63" s="271"/>
      <c r="J63" s="567"/>
      <c r="K63" s="271"/>
      <c r="L63" s="271"/>
      <c r="M63" s="271"/>
      <c r="N63" s="271"/>
      <c r="O63" s="468"/>
      <c r="R63" s="271"/>
      <c r="S63" s="271"/>
      <c r="T63" s="271"/>
      <c r="U63" s="1"/>
    </row>
    <row r="64" spans="1:30" s="467" customFormat="1" ht="33" hidden="1" customHeight="1" x14ac:dyDescent="0.4">
      <c r="C64" s="517" t="s">
        <v>373</v>
      </c>
      <c r="D64" s="520"/>
      <c r="E64" s="536"/>
      <c r="F64" s="593"/>
      <c r="I64" s="271"/>
      <c r="J64" s="567"/>
      <c r="K64" s="271"/>
      <c r="L64" s="271"/>
      <c r="M64" s="271"/>
      <c r="N64" s="271"/>
      <c r="O64" s="468"/>
      <c r="R64" s="271"/>
      <c r="S64" s="271"/>
      <c r="T64" s="271"/>
      <c r="U64" s="493"/>
    </row>
    <row r="65" spans="2:27" s="467" customFormat="1" ht="33" hidden="1" customHeight="1" x14ac:dyDescent="0.4">
      <c r="C65" s="518" t="s">
        <v>374</v>
      </c>
      <c r="D65" s="519"/>
      <c r="E65" s="536"/>
      <c r="F65" s="593"/>
      <c r="I65" s="271"/>
      <c r="J65" s="567"/>
      <c r="K65" s="271"/>
      <c r="L65" s="271"/>
      <c r="M65" s="271"/>
      <c r="N65" s="271"/>
      <c r="O65" s="468"/>
      <c r="R65" s="271"/>
      <c r="S65" s="271"/>
      <c r="T65" s="271"/>
      <c r="U65" s="901"/>
    </row>
    <row r="66" spans="2:27" s="467" customFormat="1" ht="33" hidden="1" customHeight="1" x14ac:dyDescent="0.4">
      <c r="C66" s="521" t="s">
        <v>850</v>
      </c>
      <c r="D66" s="585"/>
      <c r="E66" s="536"/>
      <c r="F66" s="593"/>
      <c r="I66" s="271"/>
      <c r="J66" s="271"/>
      <c r="K66" s="271"/>
      <c r="L66" s="271"/>
      <c r="M66" s="271"/>
      <c r="N66" s="271"/>
      <c r="O66" s="468"/>
      <c r="R66" s="271"/>
      <c r="S66" s="271"/>
      <c r="T66" s="271"/>
      <c r="U66" s="902"/>
    </row>
    <row r="67" spans="2:27" s="467" customFormat="1" ht="33" hidden="1" customHeight="1" x14ac:dyDescent="0.4">
      <c r="C67" s="518" t="s">
        <v>853</v>
      </c>
      <c r="D67" s="603"/>
      <c r="E67" s="536"/>
      <c r="F67" s="593"/>
      <c r="I67" s="271"/>
      <c r="J67" s="271"/>
      <c r="K67" s="271"/>
      <c r="L67" s="271"/>
      <c r="M67" s="271"/>
      <c r="N67" s="271"/>
      <c r="O67" s="468"/>
      <c r="R67" s="271"/>
      <c r="S67" s="271"/>
      <c r="T67" s="271"/>
      <c r="U67" s="1"/>
    </row>
    <row r="68" spans="2:27" s="467" customFormat="1" ht="33" hidden="1" customHeight="1" x14ac:dyDescent="0.4">
      <c r="C68" s="590" t="s">
        <v>854</v>
      </c>
      <c r="D68" s="603"/>
      <c r="E68" s="536"/>
      <c r="F68" s="594"/>
      <c r="J68" s="271"/>
      <c r="K68" s="271"/>
      <c r="L68" s="271"/>
      <c r="M68" s="271"/>
      <c r="N68" s="271"/>
      <c r="O68" s="271"/>
      <c r="P68" s="468"/>
      <c r="R68" s="271"/>
      <c r="S68" s="271"/>
      <c r="U68" s="1"/>
      <c r="V68" s="271"/>
    </row>
    <row r="69" spans="2:27" s="467" customFormat="1" ht="30" hidden="1" x14ac:dyDescent="0.4">
      <c r="C69" s="590" t="s">
        <v>855</v>
      </c>
      <c r="D69" s="591"/>
      <c r="E69" s="536"/>
      <c r="F69" s="594"/>
      <c r="J69" s="271"/>
      <c r="K69" s="271"/>
      <c r="L69" s="271"/>
      <c r="M69" s="271"/>
      <c r="N69" s="271"/>
      <c r="O69" s="271"/>
      <c r="P69" s="468"/>
      <c r="R69" s="271"/>
      <c r="S69" s="271"/>
      <c r="U69" s="1"/>
      <c r="V69" s="271"/>
    </row>
    <row r="70" spans="2:27" s="1" customFormat="1" ht="31.5" hidden="1" thickTop="1" thickBot="1" x14ac:dyDescent="0.45">
      <c r="C70" s="522" t="s">
        <v>379</v>
      </c>
      <c r="D70" s="523"/>
      <c r="E70" s="557"/>
      <c r="F70" s="595"/>
      <c r="G70" s="467"/>
      <c r="H70" s="467"/>
      <c r="J70"/>
      <c r="K70"/>
      <c r="L70"/>
      <c r="M70"/>
      <c r="N70"/>
      <c r="O70" s="392"/>
      <c r="P70" s="2"/>
      <c r="R70"/>
      <c r="S70"/>
      <c r="V70"/>
    </row>
    <row r="71" spans="2:27" s="1" customFormat="1" ht="23.25" x14ac:dyDescent="0.3">
      <c r="G71" s="470"/>
      <c r="H71" s="467"/>
      <c r="J71"/>
      <c r="K71"/>
      <c r="L71"/>
      <c r="M71"/>
      <c r="N71"/>
      <c r="O71" s="392"/>
      <c r="P71" s="2"/>
      <c r="R71"/>
      <c r="S71" s="392" t="s">
        <v>845</v>
      </c>
      <c r="U71" s="234"/>
      <c r="V71"/>
    </row>
    <row r="72" spans="2:27" s="478" customFormat="1" ht="24.75" customHeight="1" x14ac:dyDescent="0.35">
      <c r="B72" s="489"/>
      <c r="C72" s="469" t="s">
        <v>849</v>
      </c>
      <c r="D72" s="818">
        <v>121150</v>
      </c>
      <c r="E72" s="1010" t="s">
        <v>664</v>
      </c>
      <c r="F72" s="1010"/>
      <c r="G72" s="470">
        <f>D72-G56</f>
        <v>-1092</v>
      </c>
      <c r="H72" s="469" t="s">
        <v>327</v>
      </c>
      <c r="I72" s="471">
        <f>G56/D72</f>
        <v>1.0090136194799835</v>
      </c>
      <c r="J72" s="472">
        <v>0</v>
      </c>
      <c r="K72" s="473"/>
      <c r="L72" s="473"/>
      <c r="M72" s="473"/>
      <c r="N72" s="473"/>
      <c r="O72" s="473"/>
      <c r="P72" s="490"/>
      <c r="Q72" s="491"/>
      <c r="R72" s="492"/>
      <c r="S72" s="493"/>
      <c r="T72" s="493"/>
      <c r="U72" s="10"/>
      <c r="V72" s="494" t="s">
        <v>48</v>
      </c>
    </row>
    <row r="73" spans="2:27" s="478" customFormat="1" ht="23.25" x14ac:dyDescent="0.35">
      <c r="B73" s="489"/>
      <c r="C73" s="469" t="s">
        <v>37</v>
      </c>
      <c r="D73" s="470">
        <f>July_26!D79+D72</f>
        <v>864564</v>
      </c>
      <c r="E73" s="1010" t="s">
        <v>36</v>
      </c>
      <c r="F73" s="1010"/>
      <c r="G73" s="470">
        <f>July_26!G79+G56</f>
        <v>899200</v>
      </c>
      <c r="H73" s="469" t="s">
        <v>326</v>
      </c>
      <c r="I73" s="474">
        <v>0</v>
      </c>
      <c r="J73" s="472"/>
      <c r="K73" s="473">
        <v>0</v>
      </c>
      <c r="L73" s="473"/>
      <c r="M73" s="473"/>
      <c r="N73" s="473"/>
      <c r="O73" s="473"/>
      <c r="P73" s="490"/>
      <c r="Q73" s="491"/>
      <c r="R73" s="492"/>
      <c r="S73" s="493"/>
      <c r="T73" s="493"/>
      <c r="U73" s="1"/>
      <c r="V73" s="494"/>
    </row>
    <row r="74" spans="2:27" ht="24" thickBot="1" x14ac:dyDescent="0.4">
      <c r="C74" s="475"/>
      <c r="D74" s="470"/>
      <c r="E74" s="1010"/>
      <c r="F74" s="1010"/>
      <c r="G74" s="470"/>
      <c r="H74" s="476"/>
      <c r="I74" s="476"/>
      <c r="J74" s="477"/>
      <c r="K74" s="478"/>
      <c r="P74"/>
      <c r="V74" s="17"/>
    </row>
    <row r="75" spans="2:27" ht="129" thickTop="1" thickBot="1" x14ac:dyDescent="0.25">
      <c r="B75" s="7"/>
      <c r="C75" s="495" t="s">
        <v>19</v>
      </c>
      <c r="D75" s="496" t="s">
        <v>14</v>
      </c>
      <c r="E75" s="496" t="s">
        <v>23</v>
      </c>
      <c r="F75" s="496" t="s">
        <v>24</v>
      </c>
      <c r="G75" s="497" t="s">
        <v>15</v>
      </c>
      <c r="H75" s="496" t="s">
        <v>17</v>
      </c>
      <c r="I75" s="496" t="s">
        <v>16</v>
      </c>
      <c r="J75" s="498" t="s">
        <v>600</v>
      </c>
      <c r="K75" s="499" t="s">
        <v>599</v>
      </c>
      <c r="L75" s="473"/>
      <c r="M75" s="535"/>
      <c r="P75" s="459"/>
      <c r="Q75" s="537" t="s">
        <v>325</v>
      </c>
      <c r="R75" s="538" t="s">
        <v>467</v>
      </c>
      <c r="S75" s="539" t="s">
        <v>324</v>
      </c>
      <c r="T75" s="524" t="s">
        <v>576</v>
      </c>
    </row>
    <row r="76" spans="2:27" ht="36" customHeight="1" thickBot="1" x14ac:dyDescent="0.45">
      <c r="B76" s="8"/>
      <c r="C76" s="500">
        <v>1</v>
      </c>
      <c r="D76" s="501" t="s">
        <v>20</v>
      </c>
      <c r="E76" s="502"/>
      <c r="F76" s="502"/>
      <c r="G76" s="502"/>
      <c r="H76" s="502"/>
      <c r="I76" s="552" t="e">
        <f t="shared" ref="I76:I82" si="5">(G76-H76)/G76</f>
        <v>#DIV/0!</v>
      </c>
      <c r="J76" s="543" t="e">
        <f t="shared" ref="J76:J82" si="6">(E76)*24/(F76/60)/17000</f>
        <v>#DIV/0!</v>
      </c>
      <c r="K76" s="544" t="e">
        <f>AVERAGE(January_26!K111,February_26!J68,March_26!J66,April_26!J67,May_26!J68,June_26!J61,July_26!J82,J76)</f>
        <v>#DIV/0!</v>
      </c>
      <c r="L76" s="473"/>
      <c r="P76"/>
      <c r="Q76" s="540">
        <f>S94</f>
        <v>1.9063704110303892E-2</v>
      </c>
      <c r="R76" s="558">
        <f>(((January_26!R103*January_26!G103))+(February_26!R60*(February_26!G60))+(March_26!R58*(March_26!G58))+(April_26!R57*(April_26!$G$57))+(May_26!R59*(May_26!G59))+(June_26!R52*(June_26!G52))+(July_26!R61*(July_26!G61))+(August_26!R56*(August_26!G56)))/G73</f>
        <v>0.37941980115257357</v>
      </c>
      <c r="S76" s="558">
        <f>S93</f>
        <v>0.50608981549590504</v>
      </c>
      <c r="T76" s="542">
        <f>AVERAGE(January_26!T103,February_26!T60,March_26!T58,April_26!T57,May_26!T59,June_26!T52,July_26!T61,T56)</f>
        <v>0.71544560507827692</v>
      </c>
    </row>
    <row r="77" spans="2:27" s="1" customFormat="1" ht="27.75" x14ac:dyDescent="0.4">
      <c r="B77" s="8"/>
      <c r="C77" s="505">
        <v>2</v>
      </c>
      <c r="D77" s="506" t="s">
        <v>21</v>
      </c>
      <c r="E77" s="502"/>
      <c r="F77" s="502"/>
      <c r="G77" s="502"/>
      <c r="H77" s="502"/>
      <c r="I77" s="552" t="e">
        <f t="shared" si="5"/>
        <v>#DIV/0!</v>
      </c>
      <c r="J77" s="543" t="e">
        <f t="shared" si="6"/>
        <v>#DIV/0!</v>
      </c>
      <c r="K77" s="544" t="e">
        <f>AVERAGE(January_26!K112,February_26!J69,March_26!J67,April_26!J68,May_26!J69,June_26!J62,July_26!J83,J77)</f>
        <v>#DIV/0!</v>
      </c>
      <c r="L77" s="473"/>
      <c r="M77"/>
      <c r="N77" s="461"/>
      <c r="O77" s="392"/>
      <c r="P77" s="2"/>
      <c r="R77"/>
      <c r="S77"/>
      <c r="V77"/>
      <c r="AA77"/>
    </row>
    <row r="78" spans="2:27" s="1" customFormat="1" ht="27.75" x14ac:dyDescent="0.4">
      <c r="B78" s="8"/>
      <c r="C78" s="500">
        <v>3</v>
      </c>
      <c r="D78" s="506" t="str">
        <f>C29</f>
        <v xml:space="preserve">STAR MALT </v>
      </c>
      <c r="E78" s="502"/>
      <c r="F78" s="502"/>
      <c r="G78" s="502"/>
      <c r="H78" s="502"/>
      <c r="I78" s="552" t="e">
        <f t="shared" si="5"/>
        <v>#DIV/0!</v>
      </c>
      <c r="J78" s="543" t="e">
        <f t="shared" si="6"/>
        <v>#DIV/0!</v>
      </c>
      <c r="K78" s="544" t="e">
        <f>AVERAGE(January_26!K113,February_26!J70,March_26!J68,April_26!J69,May_26!J70,June_26!J63,July_26!J84,J78)</f>
        <v>#DIV/0!</v>
      </c>
      <c r="L78" s="473"/>
      <c r="M78"/>
      <c r="N78"/>
      <c r="O78" s="392"/>
      <c r="P78" s="2"/>
      <c r="R78"/>
      <c r="S78"/>
      <c r="V78"/>
      <c r="AA78"/>
    </row>
    <row r="79" spans="2:27" s="1" customFormat="1" ht="27.75" x14ac:dyDescent="0.4">
      <c r="B79" s="8"/>
      <c r="C79" s="505">
        <v>4</v>
      </c>
      <c r="D79" s="506" t="s">
        <v>18</v>
      </c>
      <c r="E79" s="510"/>
      <c r="F79" s="510"/>
      <c r="G79" s="510"/>
      <c r="H79" s="510"/>
      <c r="I79" s="552" t="e">
        <f t="shared" si="5"/>
        <v>#DIV/0!</v>
      </c>
      <c r="J79" s="543" t="e">
        <f t="shared" si="6"/>
        <v>#DIV/0!</v>
      </c>
      <c r="K79" s="544" t="e">
        <f>AVERAGE(January_26!K114,February_26!J71,March_26!J69,April_26!J70,May_26!J71,June_26!J64,July_26!J85,J79)</f>
        <v>#DIV/0!</v>
      </c>
      <c r="L79" s="473"/>
      <c r="M79"/>
      <c r="N79"/>
      <c r="O79" s="392"/>
      <c r="P79" s="2"/>
      <c r="Q79" s="159"/>
      <c r="R79" s="160"/>
      <c r="S79" s="161"/>
      <c r="T79" s="234"/>
      <c r="V79"/>
    </row>
    <row r="80" spans="2:27" s="1" customFormat="1" ht="27.75" x14ac:dyDescent="0.4">
      <c r="B80" s="8"/>
      <c r="C80" s="500">
        <v>5</v>
      </c>
      <c r="D80" s="509" t="s">
        <v>26</v>
      </c>
      <c r="E80" s="510"/>
      <c r="F80" s="510"/>
      <c r="G80" s="510"/>
      <c r="H80" s="510"/>
      <c r="I80" s="552" t="e">
        <f t="shared" si="5"/>
        <v>#DIV/0!</v>
      </c>
      <c r="J80" s="543" t="e">
        <f t="shared" si="6"/>
        <v>#DIV/0!</v>
      </c>
      <c r="K80" s="544" t="e">
        <f>AVERAGE(January_26!K115,February_26!J72,March_26!J70,April_26!J71,May_26!J72,June_26!J65,July_26!J86,J80)</f>
        <v>#DIV/0!</v>
      </c>
      <c r="L80" s="473"/>
      <c r="M80"/>
      <c r="O80" s="392"/>
      <c r="P80" s="2"/>
      <c r="Q80" s="159"/>
      <c r="R80"/>
      <c r="S80" s="6"/>
      <c r="T80" s="10"/>
      <c r="U80" s="463"/>
      <c r="V80"/>
    </row>
    <row r="81" spans="2:26" s="1" customFormat="1" ht="27.75" x14ac:dyDescent="0.4">
      <c r="B81" s="8"/>
      <c r="C81" s="505">
        <v>6</v>
      </c>
      <c r="D81" s="506" t="s">
        <v>25</v>
      </c>
      <c r="E81" s="510"/>
      <c r="F81" s="510"/>
      <c r="G81" s="510"/>
      <c r="H81" s="510"/>
      <c r="I81" s="552" t="e">
        <f t="shared" si="5"/>
        <v>#DIV/0!</v>
      </c>
      <c r="J81" s="543" t="e">
        <f t="shared" si="6"/>
        <v>#DIV/0!</v>
      </c>
      <c r="K81" s="544" t="e">
        <f>AVERAGE(January_26!K116,February_26!J73,March_26!J71,April_26!J72,May_26!J73,June_26!J66,July_26!J87,J81)</f>
        <v>#DIV/0!</v>
      </c>
      <c r="L81" s="473"/>
      <c r="M81"/>
      <c r="N81"/>
      <c r="O81" s="392"/>
      <c r="P81" s="2"/>
      <c r="Q81" s="159"/>
      <c r="R81" s="465"/>
      <c r="S81" s="139"/>
      <c r="V81"/>
    </row>
    <row r="82" spans="2:26" s="1" customFormat="1" ht="28.5" thickBot="1" x14ac:dyDescent="0.45">
      <c r="B82" s="8"/>
      <c r="C82" s="526">
        <v>7</v>
      </c>
      <c r="D82" s="509" t="s">
        <v>847</v>
      </c>
      <c r="E82" s="510"/>
      <c r="F82" s="510"/>
      <c r="G82" s="510"/>
      <c r="H82" s="510"/>
      <c r="I82" s="552" t="e">
        <f t="shared" si="5"/>
        <v>#DIV/0!</v>
      </c>
      <c r="J82" s="543" t="e">
        <f t="shared" si="6"/>
        <v>#DIV/0!</v>
      </c>
      <c r="K82" s="544" t="e">
        <f>AVERAGE(January_26!K117,February_26!J74,March_26!J72,April_26!J73,May_26!J74,June_26!J67,July_26!J88,J82)</f>
        <v>#DIV/0!</v>
      </c>
      <c r="L82" s="473"/>
      <c r="M82"/>
      <c r="N82"/>
      <c r="O82" s="392"/>
      <c r="P82" s="2"/>
      <c r="Q82" s="159"/>
      <c r="R82" s="465"/>
      <c r="S82" s="139"/>
      <c r="V82"/>
    </row>
    <row r="83" spans="2:26" s="1" customFormat="1" ht="28.5" thickBot="1" x14ac:dyDescent="0.45">
      <c r="C83" s="511"/>
      <c r="D83" s="512" t="s">
        <v>22</v>
      </c>
      <c r="E83" s="626"/>
      <c r="F83" s="626"/>
      <c r="G83" s="626"/>
      <c r="H83" s="626"/>
      <c r="I83" s="551" t="e">
        <f>((G83)-(H83))/(G83)</f>
        <v>#DIV/0!</v>
      </c>
      <c r="J83" s="514" t="e">
        <f>E83*24/((F83)/60)/17000</f>
        <v>#DIV/0!</v>
      </c>
      <c r="K83" s="515">
        <f>S76</f>
        <v>0.50608981549590504</v>
      </c>
      <c r="L83" s="473"/>
      <c r="M83"/>
      <c r="N83"/>
      <c r="O83" s="392"/>
      <c r="P83" s="139" t="s">
        <v>845</v>
      </c>
      <c r="Q83" s="159"/>
      <c r="R83"/>
      <c r="S83" s="465"/>
      <c r="V83"/>
    </row>
    <row r="84" spans="2:26" s="1" customFormat="1" ht="24" thickTop="1" x14ac:dyDescent="0.35">
      <c r="C84" s="479"/>
      <c r="D84" s="469"/>
      <c r="E84" s="480"/>
      <c r="F84" s="481"/>
      <c r="G84" s="482"/>
      <c r="H84" s="482"/>
      <c r="I84" s="483"/>
      <c r="J84" s="483"/>
      <c r="K84" s="483"/>
      <c r="L84" s="473"/>
      <c r="M84"/>
      <c r="N84"/>
      <c r="O84" s="392"/>
      <c r="P84" s="139"/>
      <c r="Q84" s="159"/>
      <c r="R84"/>
      <c r="S84"/>
      <c r="V84"/>
      <c r="W84" s="316"/>
      <c r="X84" s="317"/>
      <c r="Y84" s="317"/>
      <c r="Z84" s="317"/>
    </row>
    <row r="85" spans="2:26" s="1" customFormat="1" ht="18" x14ac:dyDescent="0.25">
      <c r="C85" s="311"/>
      <c r="D85" s="153"/>
      <c r="E85" s="312"/>
      <c r="F85" s="313"/>
      <c r="G85" s="314"/>
      <c r="H85" s="314"/>
      <c r="I85" s="315"/>
      <c r="J85" s="315"/>
      <c r="K85" s="315"/>
      <c r="L85" s="315"/>
      <c r="M85"/>
      <c r="N85"/>
      <c r="O85" s="392"/>
      <c r="P85" s="139"/>
      <c r="Q85" s="159"/>
      <c r="R85"/>
      <c r="S85"/>
      <c r="V85"/>
      <c r="W85" s="316"/>
      <c r="X85" s="317"/>
      <c r="Y85" s="317"/>
      <c r="Z85" s="317"/>
    </row>
    <row r="86" spans="2:26" s="1" customFormat="1" ht="27" customHeight="1" thickBot="1" x14ac:dyDescent="0.4">
      <c r="C86" s="311"/>
      <c r="D86" s="1125" t="s">
        <v>618</v>
      </c>
      <c r="E86" s="1125"/>
      <c r="F86" s="1125"/>
      <c r="G86" s="1125"/>
      <c r="H86" s="1125"/>
      <c r="I86" s="1125"/>
      <c r="J86" s="1125"/>
      <c r="K86" s="1125"/>
      <c r="L86" s="1125"/>
      <c r="M86" s="1125"/>
      <c r="N86" s="1125"/>
      <c r="O86" s="1125"/>
      <c r="P86" s="1125"/>
      <c r="Q86" s="1125"/>
      <c r="R86"/>
      <c r="S86"/>
      <c r="V86"/>
      <c r="W86" s="316"/>
      <c r="X86" s="317"/>
      <c r="Y86" s="317"/>
      <c r="Z86" s="317"/>
    </row>
    <row r="87" spans="2:26" s="1" customFormat="1" ht="24" customHeight="1" thickBot="1" x14ac:dyDescent="0.4">
      <c r="C87" s="322"/>
      <c r="D87" s="332" t="s">
        <v>605</v>
      </c>
      <c r="E87" s="333" t="s">
        <v>606</v>
      </c>
      <c r="F87" s="334" t="s">
        <v>607</v>
      </c>
      <c r="G87" s="333" t="s">
        <v>608</v>
      </c>
      <c r="H87" s="334" t="s">
        <v>609</v>
      </c>
      <c r="I87" s="333" t="s">
        <v>610</v>
      </c>
      <c r="J87" s="334" t="s">
        <v>611</v>
      </c>
      <c r="K87" s="333" t="s">
        <v>612</v>
      </c>
      <c r="L87" s="333"/>
      <c r="M87" s="333" t="s">
        <v>613</v>
      </c>
      <c r="N87" s="333" t="s">
        <v>614</v>
      </c>
      <c r="O87" s="334" t="s">
        <v>615</v>
      </c>
      <c r="P87" s="335" t="s">
        <v>616</v>
      </c>
      <c r="Q87" s="329" t="s">
        <v>617</v>
      </c>
      <c r="R87"/>
      <c r="S87"/>
      <c r="V87"/>
    </row>
    <row r="88" spans="2:26" s="1" customFormat="1" ht="23.25" customHeight="1" x14ac:dyDescent="0.35">
      <c r="C88" s="330">
        <v>2016</v>
      </c>
      <c r="D88" s="324">
        <f>[6]Jan!$I$57</f>
        <v>7</v>
      </c>
      <c r="E88" s="325">
        <f>[6]Feb!$I$57</f>
        <v>9</v>
      </c>
      <c r="F88" s="326">
        <f>[6]Mar!$I$57</f>
        <v>8</v>
      </c>
      <c r="G88" s="325">
        <f>[6]Apr!$I$57</f>
        <v>12</v>
      </c>
      <c r="H88" s="326">
        <f>[6]May!$I$57</f>
        <v>11</v>
      </c>
      <c r="I88" s="325">
        <f>[6]Jun!$I$57</f>
        <v>10</v>
      </c>
      <c r="J88" s="326">
        <f>[6]Jul!$I$57</f>
        <v>12</v>
      </c>
      <c r="K88" s="325">
        <f>[6]Aug!$I$57</f>
        <v>9</v>
      </c>
      <c r="L88" s="325"/>
      <c r="M88" s="325">
        <f>[6]Sep!$I$57</f>
        <v>13</v>
      </c>
      <c r="N88" s="325">
        <f>[6]Oct!$I$57</f>
        <v>5</v>
      </c>
      <c r="O88" s="326">
        <f>[6]Nov!$I$57</f>
        <v>9</v>
      </c>
      <c r="P88" s="327">
        <f>[6]Dec!$I$57</f>
        <v>14</v>
      </c>
      <c r="Q88" s="328">
        <f>SUM(D88:P88)</f>
        <v>119</v>
      </c>
      <c r="R88"/>
      <c r="S88"/>
      <c r="V88"/>
    </row>
    <row r="89" spans="2:26" s="1" customFormat="1" ht="24" customHeight="1" thickBot="1" x14ac:dyDescent="0.4">
      <c r="C89" s="331">
        <v>2017</v>
      </c>
      <c r="D89" s="321">
        <f>[4]Jan!$I$57</f>
        <v>13</v>
      </c>
      <c r="E89" s="318">
        <f>[4]Feb!$I$57</f>
        <v>8</v>
      </c>
      <c r="F89" s="318">
        <f>[4]Mar!$I$57</f>
        <v>12</v>
      </c>
      <c r="G89" s="318">
        <f>[4]Apr!$I$57</f>
        <v>5</v>
      </c>
      <c r="H89" s="318">
        <f>[4]May!$I$57</f>
        <v>11</v>
      </c>
      <c r="I89" s="318">
        <f>[4]Jun!$I$57</f>
        <v>13</v>
      </c>
      <c r="J89" s="318">
        <f>[4]Jul!$I$57</f>
        <v>9</v>
      </c>
      <c r="K89" s="318">
        <f>[4]Aug!$I$57</f>
        <v>15</v>
      </c>
      <c r="L89" s="318"/>
      <c r="M89" s="318">
        <f>[4]Sep!$I$57</f>
        <v>8</v>
      </c>
      <c r="N89" s="318">
        <f>[4]Oct!$I$57</f>
        <v>12</v>
      </c>
      <c r="O89" s="318">
        <f>[4]Nov!$I$57</f>
        <v>18</v>
      </c>
      <c r="P89" s="398">
        <f>[4]Dec!$I$57</f>
        <v>14</v>
      </c>
      <c r="Q89" s="323">
        <f>SUM(D89:P89)</f>
        <v>138</v>
      </c>
      <c r="R89"/>
      <c r="S89"/>
      <c r="V89" s="9"/>
    </row>
    <row r="90" spans="2:26" s="1" customFormat="1" ht="20.25" customHeight="1" x14ac:dyDescent="0.3">
      <c r="C90" s="371" t="s">
        <v>619</v>
      </c>
      <c r="D90" s="372">
        <f>+(D89-D88)/D88</f>
        <v>0.8571428571428571</v>
      </c>
      <c r="E90" s="372">
        <f t="shared" ref="E90:P90" si="7">+(E89-E88)/E88</f>
        <v>-0.1111111111111111</v>
      </c>
      <c r="F90" s="372">
        <f t="shared" si="7"/>
        <v>0.5</v>
      </c>
      <c r="G90" s="372">
        <f t="shared" si="7"/>
        <v>-0.58333333333333337</v>
      </c>
      <c r="H90" s="372">
        <f t="shared" si="7"/>
        <v>0</v>
      </c>
      <c r="I90" s="372">
        <f t="shared" si="7"/>
        <v>0.3</v>
      </c>
      <c r="J90" s="372">
        <f t="shared" si="7"/>
        <v>-0.25</v>
      </c>
      <c r="K90" s="372">
        <f t="shared" si="7"/>
        <v>0.66666666666666663</v>
      </c>
      <c r="L90" s="372"/>
      <c r="M90" s="372">
        <f t="shared" si="7"/>
        <v>-0.38461538461538464</v>
      </c>
      <c r="N90" s="372">
        <f t="shared" si="7"/>
        <v>1.4</v>
      </c>
      <c r="O90" s="372">
        <f t="shared" si="7"/>
        <v>1</v>
      </c>
      <c r="P90" s="372">
        <f t="shared" si="7"/>
        <v>0</v>
      </c>
      <c r="Q90" s="373">
        <f>+(Q89-Q88)/Q88</f>
        <v>0.15966386554621848</v>
      </c>
      <c r="V90" s="9"/>
    </row>
    <row r="91" spans="2:26" s="1" customFormat="1" ht="12.75" customHeight="1" thickBot="1" x14ac:dyDescent="0.25">
      <c r="J91"/>
      <c r="K91"/>
      <c r="L91"/>
      <c r="M91"/>
      <c r="N91"/>
      <c r="O91" s="392"/>
      <c r="P91" s="2"/>
      <c r="V91" s="9"/>
    </row>
    <row r="92" spans="2:26" s="1" customFormat="1" ht="27.75" customHeight="1" thickBot="1" x14ac:dyDescent="0.3">
      <c r="C92" s="528"/>
      <c r="D92" s="528"/>
      <c r="E92" s="528"/>
      <c r="F92" s="528"/>
      <c r="G92" s="528"/>
      <c r="H92" s="528"/>
      <c r="I92" s="528"/>
      <c r="J92" s="529"/>
      <c r="K92" s="529"/>
      <c r="L92" s="529"/>
      <c r="M92" s="529"/>
      <c r="N92" s="529"/>
      <c r="O92" s="570"/>
      <c r="P92" s="571"/>
      <c r="Q92" s="572"/>
      <c r="R92" s="573"/>
      <c r="S92" s="574">
        <f>($P$93)*24/($Q$93/60)/17000</f>
        <v>0.50608981549590504</v>
      </c>
      <c r="T92" s="575"/>
      <c r="V92" s="9"/>
    </row>
    <row r="93" spans="2:26" s="1" customFormat="1" ht="21" customHeight="1" thickTop="1" thickBot="1" x14ac:dyDescent="0.3">
      <c r="C93" s="528"/>
      <c r="D93" s="528"/>
      <c r="E93" s="528"/>
      <c r="F93" s="528"/>
      <c r="G93" s="528"/>
      <c r="H93" s="528"/>
      <c r="I93" s="528"/>
      <c r="J93" s="529"/>
      <c r="K93" s="529"/>
      <c r="L93" s="529"/>
      <c r="M93" s="529"/>
      <c r="N93" s="529"/>
      <c r="O93" s="570"/>
      <c r="P93" s="571">
        <f>G73</f>
        <v>899200</v>
      </c>
      <c r="Q93" s="576">
        <f>July_26!K61+June_26!K52+May_26!K59+April_26!K57+March_26!K58+February_26!K60+January_26!K103+K56</f>
        <v>150502</v>
      </c>
      <c r="R93" s="573"/>
      <c r="S93" s="574">
        <f>($P$93)*24/($Q$93/60)/17000</f>
        <v>0.50608981549590504</v>
      </c>
      <c r="T93" s="575"/>
      <c r="V93" s="9"/>
    </row>
    <row r="94" spans="2:26" s="1" customFormat="1" ht="21" customHeight="1" thickTop="1" thickBot="1" x14ac:dyDescent="0.35">
      <c r="C94" s="528"/>
      <c r="D94" s="528"/>
      <c r="E94" s="528"/>
      <c r="F94" s="528"/>
      <c r="G94" s="528"/>
      <c r="H94" s="528"/>
      <c r="I94" s="528"/>
      <c r="J94" s="529"/>
      <c r="K94" s="529"/>
      <c r="L94" s="529"/>
      <c r="M94" s="529"/>
      <c r="N94" s="529"/>
      <c r="O94" s="570"/>
      <c r="P94" s="571">
        <f>July_26!F61+June_26!F52+May_26!F59+April_26!F57+March_26!F58+February_26!F60+January_26!F103+F56</f>
        <v>60942.859440000007</v>
      </c>
      <c r="Q94" s="577">
        <f>July_26!H61+June_26!H52+May_26!H59+April_26!H57+March_26!H58+February_26!H60+January_26!H103+H56</f>
        <v>59781.062800000007</v>
      </c>
      <c r="R94" s="573"/>
      <c r="S94" s="578">
        <f>(P94-Q94)/P94</f>
        <v>1.9063704110303892E-2</v>
      </c>
      <c r="T94" s="579"/>
      <c r="V94" s="9"/>
    </row>
    <row r="95" spans="2:26" s="1" customFormat="1" ht="13.5" customHeight="1" thickTop="1" x14ac:dyDescent="0.25">
      <c r="C95" s="528"/>
      <c r="D95" s="528"/>
      <c r="E95" s="528"/>
      <c r="F95" s="528"/>
      <c r="G95" s="528"/>
      <c r="H95" s="528"/>
      <c r="I95" s="528"/>
      <c r="J95" s="529"/>
      <c r="K95" s="529"/>
      <c r="L95" s="529"/>
      <c r="M95" s="529"/>
      <c r="N95" s="529"/>
      <c r="O95" s="570"/>
      <c r="P95" s="571"/>
      <c r="Q95" s="572"/>
      <c r="R95" s="573"/>
      <c r="S95" s="573"/>
      <c r="T95" s="575"/>
      <c r="V95" s="9"/>
    </row>
    <row r="96" spans="2:26" s="1" customFormat="1" ht="20.25" customHeight="1" x14ac:dyDescent="0.2">
      <c r="C96" s="1174" t="s">
        <v>620</v>
      </c>
      <c r="D96" s="1174"/>
      <c r="E96" s="1174"/>
      <c r="F96" s="1174"/>
      <c r="G96" s="1174"/>
      <c r="H96" s="1174"/>
      <c r="I96" s="1174"/>
      <c r="J96" s="1174"/>
      <c r="K96" s="1174"/>
      <c r="L96" s="1174"/>
      <c r="M96" s="1174"/>
      <c r="N96" s="1174"/>
      <c r="O96" s="1174"/>
      <c r="P96" s="1174"/>
      <c r="Q96" s="1174"/>
      <c r="R96"/>
      <c r="S96"/>
      <c r="V96" s="9"/>
    </row>
    <row r="97" spans="2:22" s="1" customFormat="1" ht="21.75" customHeight="1" thickBot="1" x14ac:dyDescent="0.25">
      <c r="C97" s="1174"/>
      <c r="D97" s="1174"/>
      <c r="E97" s="1174"/>
      <c r="F97" s="1174"/>
      <c r="G97" s="1174"/>
      <c r="H97" s="1174"/>
      <c r="I97" s="1174"/>
      <c r="J97" s="1174"/>
      <c r="K97" s="1174"/>
      <c r="L97" s="1174"/>
      <c r="M97" s="1174"/>
      <c r="N97" s="1174"/>
      <c r="O97" s="1174"/>
      <c r="P97" s="1174"/>
      <c r="Q97" s="1174"/>
      <c r="R97"/>
      <c r="S97"/>
      <c r="V97" s="9"/>
    </row>
    <row r="98" spans="2:22" s="1" customFormat="1" ht="21" customHeight="1" thickBot="1" x14ac:dyDescent="0.35">
      <c r="C98" s="351"/>
      <c r="D98" s="352" t="s">
        <v>605</v>
      </c>
      <c r="E98" s="353" t="s">
        <v>606</v>
      </c>
      <c r="F98" s="353" t="s">
        <v>607</v>
      </c>
      <c r="G98" s="353" t="s">
        <v>608</v>
      </c>
      <c r="H98" s="353" t="s">
        <v>609</v>
      </c>
      <c r="I98" s="353" t="s">
        <v>610</v>
      </c>
      <c r="J98" s="353" t="s">
        <v>611</v>
      </c>
      <c r="K98" s="353" t="s">
        <v>612</v>
      </c>
      <c r="L98" s="353"/>
      <c r="M98" s="353" t="s">
        <v>613</v>
      </c>
      <c r="N98" s="353" t="s">
        <v>614</v>
      </c>
      <c r="O98" s="394" t="s">
        <v>615</v>
      </c>
      <c r="P98" s="354" t="s">
        <v>616</v>
      </c>
      <c r="Q98" s="355" t="s">
        <v>379</v>
      </c>
      <c r="R98"/>
      <c r="S98"/>
      <c r="V98" s="9"/>
    </row>
    <row r="99" spans="2:22" s="1" customFormat="1" ht="21" customHeight="1" thickBot="1" x14ac:dyDescent="0.35">
      <c r="C99" s="356">
        <v>2016</v>
      </c>
      <c r="D99" s="357">
        <v>257</v>
      </c>
      <c r="E99" s="358">
        <v>234</v>
      </c>
      <c r="F99" s="358">
        <v>300</v>
      </c>
      <c r="G99" s="358">
        <v>547</v>
      </c>
      <c r="H99" s="358">
        <v>196</v>
      </c>
      <c r="I99" s="358">
        <v>373</v>
      </c>
      <c r="J99" s="359">
        <f>[6]Jul!$I$54</f>
        <v>480</v>
      </c>
      <c r="K99" s="359">
        <f>[6]Aug!$I$54</f>
        <v>300</v>
      </c>
      <c r="L99" s="359"/>
      <c r="M99" s="359">
        <f>[6]Sep!$I$54</f>
        <v>370</v>
      </c>
      <c r="N99" s="359">
        <f>[6]Oct!$I$54</f>
        <v>74</v>
      </c>
      <c r="O99" s="359">
        <f>[6]Nov!$I54</f>
        <v>263</v>
      </c>
      <c r="P99" s="360">
        <f>[6]Dec!$I$54</f>
        <v>434</v>
      </c>
      <c r="Q99" s="361">
        <f>SUM(D99:K99)</f>
        <v>2687</v>
      </c>
      <c r="R99"/>
      <c r="S99"/>
      <c r="V99" s="9"/>
    </row>
    <row r="100" spans="2:22" s="1" customFormat="1" ht="21" customHeight="1" thickBot="1" x14ac:dyDescent="0.35">
      <c r="C100" s="362">
        <v>2017</v>
      </c>
      <c r="D100" s="363">
        <f>436</f>
        <v>436</v>
      </c>
      <c r="E100" s="364">
        <v>148</v>
      </c>
      <c r="F100" s="364">
        <f>316</f>
        <v>316</v>
      </c>
      <c r="G100" s="364">
        <v>314</v>
      </c>
      <c r="H100" s="364">
        <v>259</v>
      </c>
      <c r="I100" s="365">
        <f>[4]Jun!$I$54</f>
        <v>558</v>
      </c>
      <c r="J100" s="365">
        <f>[4]Jul!$I$54</f>
        <v>220</v>
      </c>
      <c r="K100" s="365">
        <f>[4]Aug!$I$54</f>
        <v>441</v>
      </c>
      <c r="L100" s="365"/>
      <c r="M100" s="365">
        <f>[4]Sep!$I$54</f>
        <v>191</v>
      </c>
      <c r="N100" s="365">
        <f>[4]Oct!$I$54</f>
        <v>592</v>
      </c>
      <c r="O100" s="365">
        <f>[4]Nov!$I$54</f>
        <v>543</v>
      </c>
      <c r="P100" s="366">
        <f>[4]Dec!$I$54</f>
        <v>647</v>
      </c>
      <c r="Q100" s="367">
        <f>SUM(D100:P100)</f>
        <v>4665</v>
      </c>
      <c r="R100"/>
      <c r="S100"/>
      <c r="V100" s="9"/>
    </row>
    <row r="101" spans="2:22" s="1" customFormat="1" ht="20.25" customHeight="1" x14ac:dyDescent="0.3">
      <c r="C101" s="371" t="s">
        <v>619</v>
      </c>
      <c r="D101" s="372">
        <f t="shared" ref="D101:P101" si="8">+(D100-D99)/D99</f>
        <v>0.69649805447470814</v>
      </c>
      <c r="E101" s="372">
        <f t="shared" si="8"/>
        <v>-0.36752136752136755</v>
      </c>
      <c r="F101" s="372">
        <f t="shared" si="8"/>
        <v>5.3333333333333337E-2</v>
      </c>
      <c r="G101" s="372">
        <f t="shared" si="8"/>
        <v>-0.42595978062157219</v>
      </c>
      <c r="H101" s="372">
        <f t="shared" si="8"/>
        <v>0.32142857142857145</v>
      </c>
      <c r="I101" s="372">
        <f t="shared" si="8"/>
        <v>0.49597855227882037</v>
      </c>
      <c r="J101" s="372">
        <f t="shared" si="8"/>
        <v>-0.54166666666666663</v>
      </c>
      <c r="K101" s="372">
        <f t="shared" si="8"/>
        <v>0.47</v>
      </c>
      <c r="L101" s="372"/>
      <c r="M101" s="372">
        <f t="shared" si="8"/>
        <v>-0.48378378378378378</v>
      </c>
      <c r="N101" s="372">
        <f t="shared" si="8"/>
        <v>7</v>
      </c>
      <c r="O101" s="372">
        <f t="shared" si="8"/>
        <v>1.064638783269962</v>
      </c>
      <c r="P101" s="372">
        <f t="shared" si="8"/>
        <v>0.49078341013824883</v>
      </c>
      <c r="Q101" s="373">
        <f>+(Q100-Q99)/Q99</f>
        <v>0.73613695571269078</v>
      </c>
      <c r="R101"/>
      <c r="S101"/>
      <c r="V101" s="9"/>
    </row>
    <row r="102" spans="2:22" s="1" customFormat="1" x14ac:dyDescent="0.2">
      <c r="J102"/>
      <c r="K102"/>
      <c r="L102"/>
      <c r="M102"/>
      <c r="N102"/>
      <c r="O102" s="392"/>
      <c r="P102" s="2"/>
      <c r="R102"/>
      <c r="S102"/>
      <c r="V102"/>
    </row>
    <row r="103" spans="2:22" s="1" customFormat="1" x14ac:dyDescent="0.2">
      <c r="J103"/>
      <c r="K103"/>
      <c r="L103"/>
      <c r="M103"/>
      <c r="N103"/>
      <c r="O103" s="392"/>
      <c r="P103" s="2"/>
      <c r="R103"/>
      <c r="S103"/>
      <c r="V103"/>
    </row>
    <row r="104" spans="2:22" s="1" customFormat="1" ht="24" thickBot="1" x14ac:dyDescent="0.4">
      <c r="C104" s="1133" t="s">
        <v>796</v>
      </c>
      <c r="D104" s="1133"/>
      <c r="E104" s="1133"/>
      <c r="J104"/>
      <c r="K104"/>
      <c r="L104"/>
      <c r="M104"/>
      <c r="N104"/>
      <c r="O104" s="392"/>
      <c r="P104" s="2"/>
      <c r="R104"/>
      <c r="S104"/>
      <c r="V104"/>
    </row>
    <row r="105" spans="2:22" s="1" customFormat="1" ht="36.75" thickBot="1" x14ac:dyDescent="0.3">
      <c r="C105" s="417" t="s">
        <v>778</v>
      </c>
      <c r="D105" s="418" t="s">
        <v>779</v>
      </c>
      <c r="E105" s="419" t="s">
        <v>780</v>
      </c>
      <c r="F105" s="419" t="s">
        <v>797</v>
      </c>
      <c r="J105"/>
      <c r="K105"/>
      <c r="L105"/>
      <c r="M105"/>
      <c r="N105"/>
      <c r="O105" s="392"/>
      <c r="P105" s="2"/>
      <c r="R105"/>
      <c r="S105"/>
      <c r="V105"/>
    </row>
    <row r="106" spans="2:22" s="1" customFormat="1" ht="18" x14ac:dyDescent="0.25">
      <c r="B106" s="316" t="s">
        <v>3</v>
      </c>
      <c r="C106" s="428">
        <f>[4]Dec!$C$58</f>
        <v>14</v>
      </c>
      <c r="D106" s="424">
        <f>[4]Dec!$D$58</f>
        <v>32</v>
      </c>
      <c r="E106" s="420">
        <f>[4]Dec!$E$58</f>
        <v>19</v>
      </c>
      <c r="F106" s="420">
        <f>[4]Dec!$I$55</f>
        <v>10.783333333333333</v>
      </c>
      <c r="J106"/>
      <c r="K106"/>
      <c r="L106"/>
      <c r="M106"/>
      <c r="N106"/>
      <c r="O106" s="392"/>
      <c r="P106" s="2"/>
      <c r="R106"/>
      <c r="S106"/>
      <c r="V106"/>
    </row>
    <row r="107" spans="2:22" s="1" customFormat="1" ht="18.75" thickBot="1" x14ac:dyDescent="0.3">
      <c r="B107" s="316" t="s">
        <v>617</v>
      </c>
      <c r="C107" s="429">
        <f>[4]Dec!$C$65</f>
        <v>138</v>
      </c>
      <c r="D107" s="425">
        <f>[4]Dec!$D$65</f>
        <v>345</v>
      </c>
      <c r="E107" s="421">
        <f>[4]Dec!$E$65</f>
        <v>230</v>
      </c>
      <c r="F107" s="432">
        <f>[4]Dec!$F$65</f>
        <v>77.75</v>
      </c>
      <c r="J107"/>
      <c r="K107"/>
      <c r="L107"/>
      <c r="M107"/>
      <c r="N107"/>
      <c r="O107" s="392"/>
      <c r="P107" s="2"/>
      <c r="R107"/>
      <c r="S107"/>
      <c r="V107"/>
    </row>
    <row r="108" spans="2:22" s="1" customFormat="1" ht="18.75" x14ac:dyDescent="0.3">
      <c r="B108" s="316" t="s">
        <v>3</v>
      </c>
      <c r="C108" s="430" t="s">
        <v>658</v>
      </c>
      <c r="D108" s="426">
        <f>[4]Dec!$D$60</f>
        <v>1.6842105263157894</v>
      </c>
      <c r="E108" s="422">
        <f>[4]Dec!$E$60</f>
        <v>18.161403508771929</v>
      </c>
      <c r="J108"/>
      <c r="K108"/>
      <c r="L108"/>
      <c r="M108"/>
      <c r="N108"/>
      <c r="O108" s="392"/>
      <c r="P108" s="2"/>
      <c r="R108"/>
      <c r="S108"/>
      <c r="V108"/>
    </row>
    <row r="109" spans="2:22" s="1" customFormat="1" ht="19.5" thickBot="1" x14ac:dyDescent="0.35">
      <c r="B109" s="316" t="s">
        <v>617</v>
      </c>
      <c r="C109" s="431" t="s">
        <v>658</v>
      </c>
      <c r="D109" s="427">
        <f>[4]Dec!$D$67</f>
        <v>1.5</v>
      </c>
      <c r="E109" s="423">
        <f>[4]Dec!$E$67</f>
        <v>116.625</v>
      </c>
      <c r="J109"/>
      <c r="K109"/>
      <c r="L109"/>
      <c r="M109"/>
      <c r="N109"/>
      <c r="O109" s="392"/>
      <c r="P109" s="2"/>
      <c r="R109"/>
      <c r="S109"/>
      <c r="V109"/>
    </row>
    <row r="110" spans="2:22" s="1" customFormat="1" x14ac:dyDescent="0.2">
      <c r="J110"/>
      <c r="K110"/>
      <c r="L110"/>
      <c r="M110"/>
      <c r="N110"/>
      <c r="O110" s="392"/>
      <c r="P110" s="2"/>
      <c r="R110"/>
      <c r="S110"/>
      <c r="V110"/>
    </row>
    <row r="111" spans="2:22" s="1" customFormat="1" x14ac:dyDescent="0.2">
      <c r="J111"/>
      <c r="K111"/>
      <c r="L111"/>
      <c r="M111"/>
      <c r="N111"/>
      <c r="O111" s="392"/>
      <c r="P111" s="2"/>
      <c r="R111"/>
      <c r="S111"/>
      <c r="V111"/>
    </row>
    <row r="112" spans="2:22" s="1" customFormat="1" ht="24" thickBot="1" x14ac:dyDescent="0.4">
      <c r="C112" s="1133" t="s">
        <v>798</v>
      </c>
      <c r="D112" s="1133"/>
      <c r="E112" s="1133"/>
      <c r="J112"/>
      <c r="K112"/>
      <c r="L112"/>
      <c r="M112"/>
      <c r="N112"/>
      <c r="O112" s="392"/>
      <c r="P112" s="2"/>
      <c r="R112"/>
      <c r="S112"/>
      <c r="V112"/>
    </row>
    <row r="113" spans="2:22" s="1" customFormat="1" ht="36.75" thickBot="1" x14ac:dyDescent="0.3">
      <c r="C113" s="417" t="s">
        <v>778</v>
      </c>
      <c r="D113" s="418" t="s">
        <v>779</v>
      </c>
      <c r="E113" s="419" t="s">
        <v>780</v>
      </c>
      <c r="F113" s="419" t="s">
        <v>797</v>
      </c>
      <c r="J113"/>
      <c r="K113"/>
      <c r="L113"/>
      <c r="M113"/>
      <c r="N113"/>
      <c r="O113" s="392"/>
      <c r="P113" s="2"/>
      <c r="R113"/>
      <c r="S113"/>
      <c r="V113"/>
    </row>
    <row r="114" spans="2:22" s="1" customFormat="1" ht="18" x14ac:dyDescent="0.25">
      <c r="B114" s="316" t="s">
        <v>3</v>
      </c>
      <c r="C114" s="428">
        <f>[6]Dec!$C$58</f>
        <v>14</v>
      </c>
      <c r="D114" s="424">
        <f>[6]Dec!$D$58</f>
        <v>33</v>
      </c>
      <c r="E114" s="420">
        <f>[6]Dec!$E$58</f>
        <v>20</v>
      </c>
      <c r="F114" s="420">
        <f>[6]Dec!$I$55</f>
        <v>7.2333333333333334</v>
      </c>
      <c r="J114"/>
      <c r="K114"/>
      <c r="L114"/>
      <c r="M114"/>
      <c r="N114"/>
      <c r="O114" s="392"/>
      <c r="P114" s="2"/>
      <c r="R114"/>
      <c r="S114"/>
      <c r="V114"/>
    </row>
    <row r="115" spans="2:22" s="1" customFormat="1" ht="18.75" thickBot="1" x14ac:dyDescent="0.3">
      <c r="B115" s="316" t="s">
        <v>617</v>
      </c>
      <c r="C115" s="429">
        <f>[6]Dec!$C$64</f>
        <v>119</v>
      </c>
      <c r="D115" s="425">
        <f>[6]Dec!$D$64</f>
        <v>337</v>
      </c>
      <c r="E115" s="421">
        <f>[6]Dec!$E$64</f>
        <v>236</v>
      </c>
      <c r="F115" s="432">
        <f>[6]Dec!$F$64</f>
        <v>63.8</v>
      </c>
      <c r="J115"/>
      <c r="K115"/>
      <c r="L115"/>
      <c r="M115"/>
      <c r="N115"/>
      <c r="O115" s="392"/>
      <c r="P115" s="2"/>
      <c r="R115"/>
      <c r="S115"/>
      <c r="V115"/>
    </row>
    <row r="116" spans="2:22" s="1" customFormat="1" ht="18.75" x14ac:dyDescent="0.3">
      <c r="B116" s="316" t="s">
        <v>3</v>
      </c>
      <c r="C116" s="430" t="s">
        <v>658</v>
      </c>
      <c r="D116" s="426">
        <f>[6]Dec!$D$60</f>
        <v>1.65</v>
      </c>
      <c r="E116" s="422">
        <f>[6]Dec!$E$60</f>
        <v>11.934999999999999</v>
      </c>
      <c r="J116"/>
      <c r="K116"/>
      <c r="L116"/>
      <c r="M116"/>
      <c r="N116"/>
      <c r="O116" s="392"/>
      <c r="P116" s="2"/>
      <c r="R116"/>
      <c r="S116"/>
      <c r="V116"/>
    </row>
    <row r="117" spans="2:22" s="1" customFormat="1" ht="19.5" thickBot="1" x14ac:dyDescent="0.35">
      <c r="B117" s="316" t="s">
        <v>617</v>
      </c>
      <c r="C117" s="431" t="s">
        <v>658</v>
      </c>
      <c r="D117" s="427">
        <f>[6]Dec!$D$66</f>
        <v>1.4279661016949152</v>
      </c>
      <c r="E117" s="423">
        <f>[6]Dec!$E$66</f>
        <v>91.104237288135593</v>
      </c>
      <c r="J117"/>
      <c r="K117"/>
      <c r="L117"/>
      <c r="M117"/>
      <c r="N117"/>
      <c r="O117" s="392"/>
      <c r="P117" s="2"/>
      <c r="R117"/>
      <c r="S117"/>
      <c r="V117"/>
    </row>
    <row r="118" spans="2:22" s="1" customFormat="1" x14ac:dyDescent="0.2">
      <c r="J118"/>
      <c r="K118"/>
      <c r="L118"/>
      <c r="M118"/>
      <c r="N118"/>
      <c r="O118" s="392"/>
      <c r="P118" s="2"/>
      <c r="R118"/>
      <c r="S118"/>
      <c r="V118"/>
    </row>
    <row r="119" spans="2:22" s="1" customFormat="1" x14ac:dyDescent="0.2">
      <c r="J119"/>
      <c r="K119"/>
      <c r="L119"/>
      <c r="M119"/>
      <c r="N119"/>
      <c r="O119" s="392"/>
      <c r="P119" s="2"/>
      <c r="R119"/>
      <c r="S119"/>
      <c r="V119"/>
    </row>
    <row r="120" spans="2:22" s="1" customFormat="1" x14ac:dyDescent="0.2">
      <c r="J120"/>
      <c r="K120"/>
      <c r="L120"/>
      <c r="M120"/>
      <c r="N120"/>
      <c r="O120" s="392"/>
      <c r="P120" s="2"/>
      <c r="R120"/>
      <c r="S120"/>
      <c r="V120"/>
    </row>
    <row r="121" spans="2:22" s="1" customFormat="1" x14ac:dyDescent="0.2">
      <c r="J121"/>
      <c r="K121"/>
      <c r="L121"/>
      <c r="M121"/>
      <c r="N121"/>
      <c r="O121" s="392"/>
      <c r="P121" s="2"/>
      <c r="R121"/>
      <c r="S121"/>
      <c r="V121"/>
    </row>
    <row r="122" spans="2:22" s="1" customFormat="1" x14ac:dyDescent="0.2">
      <c r="J122"/>
      <c r="K122"/>
      <c r="L122"/>
      <c r="M122"/>
      <c r="N122"/>
      <c r="O122" s="392"/>
      <c r="P122" s="2"/>
      <c r="R122"/>
      <c r="S122"/>
      <c r="V122"/>
    </row>
    <row r="123" spans="2:22" s="1" customFormat="1" x14ac:dyDescent="0.2">
      <c r="J123"/>
      <c r="K123"/>
      <c r="L123"/>
      <c r="M123"/>
      <c r="N123"/>
      <c r="O123" s="392"/>
      <c r="P123" s="2"/>
      <c r="R123"/>
      <c r="S123"/>
      <c r="V123"/>
    </row>
    <row r="124" spans="2:22" s="1" customFormat="1" x14ac:dyDescent="0.2">
      <c r="J124"/>
      <c r="K124"/>
      <c r="L124"/>
      <c r="M124"/>
      <c r="N124"/>
      <c r="O124" s="392"/>
      <c r="P124" s="2"/>
      <c r="R124"/>
      <c r="S124"/>
      <c r="V124"/>
    </row>
    <row r="125" spans="2:22" s="1" customFormat="1" x14ac:dyDescent="0.2">
      <c r="J125"/>
      <c r="K125"/>
      <c r="L125"/>
      <c r="M125"/>
      <c r="N125"/>
      <c r="O125" s="392"/>
      <c r="P125" s="2"/>
      <c r="R125"/>
      <c r="S125"/>
      <c r="V125"/>
    </row>
    <row r="126" spans="2:22" s="1" customFormat="1" x14ac:dyDescent="0.2">
      <c r="J126"/>
      <c r="K126"/>
      <c r="L126"/>
      <c r="M126"/>
      <c r="N126"/>
      <c r="O126" s="392"/>
      <c r="P126" s="2"/>
      <c r="R126"/>
      <c r="S126"/>
      <c r="V126"/>
    </row>
    <row r="127" spans="2:22" s="1" customFormat="1" x14ac:dyDescent="0.2">
      <c r="J127"/>
      <c r="K127"/>
      <c r="L127"/>
      <c r="M127"/>
      <c r="N127"/>
      <c r="O127" s="392"/>
      <c r="P127" s="2"/>
      <c r="R127"/>
      <c r="S127"/>
      <c r="V127"/>
    </row>
    <row r="128" spans="2:22" s="1" customFormat="1" x14ac:dyDescent="0.2">
      <c r="J128"/>
      <c r="K128"/>
      <c r="L128"/>
      <c r="M128"/>
      <c r="N128"/>
      <c r="O128" s="392"/>
      <c r="P128" s="2"/>
      <c r="R128"/>
      <c r="S128"/>
      <c r="V128"/>
    </row>
    <row r="129" spans="10:22" s="1" customFormat="1" x14ac:dyDescent="0.2">
      <c r="J129"/>
      <c r="K129"/>
      <c r="L129"/>
      <c r="M129"/>
      <c r="N129"/>
      <c r="O129" s="392"/>
      <c r="P129" s="2"/>
      <c r="R129"/>
      <c r="S129"/>
      <c r="V129"/>
    </row>
    <row r="130" spans="10:22" s="1" customFormat="1" x14ac:dyDescent="0.2">
      <c r="J130"/>
      <c r="K130"/>
      <c r="L130"/>
      <c r="M130"/>
      <c r="N130"/>
      <c r="O130" s="392"/>
      <c r="P130" s="2"/>
      <c r="R130"/>
      <c r="S130"/>
      <c r="V130"/>
    </row>
    <row r="131" spans="10:22" s="1" customFormat="1" x14ac:dyDescent="0.2">
      <c r="J131"/>
      <c r="K131"/>
      <c r="L131"/>
      <c r="M131"/>
      <c r="N131"/>
      <c r="O131" s="392"/>
      <c r="P131" s="2"/>
      <c r="R131"/>
      <c r="S131"/>
      <c r="V131"/>
    </row>
    <row r="132" spans="10:22" s="1" customFormat="1" x14ac:dyDescent="0.2">
      <c r="J132"/>
      <c r="K132"/>
      <c r="L132"/>
      <c r="M132"/>
      <c r="N132"/>
      <c r="O132" s="392"/>
      <c r="P132" s="2"/>
      <c r="R132"/>
      <c r="S132"/>
      <c r="V132"/>
    </row>
    <row r="133" spans="10:22" s="1" customFormat="1" x14ac:dyDescent="0.2">
      <c r="J133"/>
      <c r="K133"/>
      <c r="L133"/>
      <c r="M133"/>
      <c r="N133"/>
      <c r="O133" s="392"/>
      <c r="P133" s="2"/>
      <c r="R133"/>
      <c r="S133"/>
      <c r="V133"/>
    </row>
    <row r="134" spans="10:22" s="1" customFormat="1" x14ac:dyDescent="0.2">
      <c r="J134"/>
      <c r="K134"/>
      <c r="L134"/>
      <c r="M134"/>
      <c r="N134"/>
      <c r="O134" s="392"/>
      <c r="P134" s="2"/>
      <c r="R134"/>
      <c r="S134"/>
      <c r="V134"/>
    </row>
    <row r="135" spans="10:22" s="1" customFormat="1" x14ac:dyDescent="0.2">
      <c r="J135"/>
      <c r="K135"/>
      <c r="L135"/>
      <c r="M135"/>
      <c r="N135"/>
      <c r="O135" s="392"/>
      <c r="P135" s="2"/>
      <c r="R135"/>
      <c r="S135"/>
      <c r="V135"/>
    </row>
    <row r="136" spans="10:22" s="1" customFormat="1" x14ac:dyDescent="0.2">
      <c r="J136"/>
      <c r="K136"/>
      <c r="L136"/>
      <c r="M136"/>
      <c r="N136"/>
      <c r="O136" s="392"/>
      <c r="P136" s="2"/>
      <c r="R136"/>
      <c r="S136"/>
      <c r="V136"/>
    </row>
    <row r="137" spans="10:22" s="1" customFormat="1" x14ac:dyDescent="0.2">
      <c r="J137"/>
      <c r="K137"/>
      <c r="L137"/>
      <c r="M137"/>
      <c r="N137"/>
      <c r="O137" s="392"/>
      <c r="P137" s="2"/>
      <c r="R137"/>
      <c r="S137"/>
      <c r="V137"/>
    </row>
    <row r="138" spans="10:22" s="1" customFormat="1" x14ac:dyDescent="0.2">
      <c r="J138"/>
      <c r="K138"/>
      <c r="L138"/>
      <c r="M138"/>
      <c r="N138"/>
      <c r="O138" s="392"/>
      <c r="P138" s="2"/>
      <c r="R138"/>
      <c r="S138"/>
      <c r="V138"/>
    </row>
    <row r="139" spans="10:22" s="1" customFormat="1" x14ac:dyDescent="0.2">
      <c r="J139"/>
      <c r="K139"/>
      <c r="L139"/>
      <c r="M139"/>
      <c r="N139"/>
      <c r="O139" s="392"/>
      <c r="P139" s="2"/>
      <c r="R139"/>
      <c r="S139"/>
      <c r="V139"/>
    </row>
    <row r="140" spans="10:22" s="1" customFormat="1" x14ac:dyDescent="0.2">
      <c r="J140"/>
      <c r="K140"/>
      <c r="L140"/>
      <c r="M140"/>
      <c r="N140"/>
      <c r="O140" s="392"/>
      <c r="P140" s="2"/>
      <c r="R140"/>
      <c r="S140"/>
      <c r="V140"/>
    </row>
    <row r="141" spans="10:22" s="1" customFormat="1" x14ac:dyDescent="0.2">
      <c r="J141"/>
      <c r="K141"/>
      <c r="L141"/>
      <c r="M141"/>
      <c r="N141"/>
      <c r="O141" s="392"/>
      <c r="P141" s="2"/>
      <c r="R141"/>
      <c r="S141"/>
      <c r="V141"/>
    </row>
    <row r="142" spans="10:22" s="1" customFormat="1" x14ac:dyDescent="0.2">
      <c r="J142"/>
      <c r="K142"/>
      <c r="L142"/>
      <c r="M142"/>
      <c r="N142"/>
      <c r="O142" s="392"/>
      <c r="P142" s="2"/>
      <c r="R142"/>
      <c r="S142"/>
      <c r="V142"/>
    </row>
    <row r="143" spans="10:22" s="1" customFormat="1" x14ac:dyDescent="0.2">
      <c r="J143"/>
      <c r="K143"/>
      <c r="L143"/>
      <c r="M143"/>
      <c r="N143"/>
      <c r="O143" s="392"/>
      <c r="P143" s="2"/>
      <c r="R143"/>
      <c r="S143"/>
      <c r="V143"/>
    </row>
    <row r="144" spans="10:22" s="1" customFormat="1" x14ac:dyDescent="0.2">
      <c r="J144"/>
      <c r="K144"/>
      <c r="L144"/>
      <c r="M144"/>
      <c r="N144"/>
      <c r="O144" s="392"/>
      <c r="P144" s="2"/>
      <c r="R144"/>
      <c r="S144"/>
      <c r="V144"/>
    </row>
    <row r="145" spans="10:22" s="1" customFormat="1" x14ac:dyDescent="0.2">
      <c r="J145"/>
      <c r="K145"/>
      <c r="L145"/>
      <c r="M145"/>
      <c r="N145"/>
      <c r="O145" s="392"/>
      <c r="P145" s="2"/>
      <c r="R145"/>
      <c r="S145"/>
      <c r="V145"/>
    </row>
    <row r="146" spans="10:22" s="1" customFormat="1" x14ac:dyDescent="0.2">
      <c r="J146"/>
      <c r="K146"/>
      <c r="L146"/>
      <c r="M146"/>
      <c r="N146"/>
      <c r="O146" s="392"/>
      <c r="P146" s="2"/>
      <c r="R146"/>
      <c r="S146"/>
      <c r="V146"/>
    </row>
    <row r="147" spans="10:22" s="1" customFormat="1" x14ac:dyDescent="0.2">
      <c r="J147"/>
      <c r="K147"/>
      <c r="L147"/>
      <c r="M147"/>
      <c r="N147"/>
      <c r="O147" s="392"/>
      <c r="P147" s="2"/>
      <c r="R147"/>
      <c r="S147"/>
      <c r="V147"/>
    </row>
    <row r="148" spans="10:22" s="1" customFormat="1" x14ac:dyDescent="0.2">
      <c r="J148"/>
      <c r="K148"/>
      <c r="L148"/>
      <c r="M148"/>
      <c r="N148"/>
      <c r="O148" s="392"/>
      <c r="P148" s="2"/>
      <c r="R148"/>
      <c r="S148"/>
      <c r="V148"/>
    </row>
    <row r="149" spans="10:22" s="1" customFormat="1" x14ac:dyDescent="0.2">
      <c r="J149"/>
      <c r="K149"/>
      <c r="L149"/>
      <c r="M149"/>
      <c r="N149"/>
      <c r="O149" s="392"/>
      <c r="P149" s="2"/>
      <c r="R149"/>
      <c r="S149"/>
      <c r="V149"/>
    </row>
    <row r="150" spans="10:22" s="1" customFormat="1" x14ac:dyDescent="0.2">
      <c r="J150"/>
      <c r="K150"/>
      <c r="L150"/>
      <c r="M150"/>
      <c r="N150"/>
      <c r="O150" s="392"/>
      <c r="P150" s="2"/>
      <c r="R150"/>
      <c r="S150"/>
      <c r="V150"/>
    </row>
    <row r="151" spans="10:22" s="1" customFormat="1" x14ac:dyDescent="0.2">
      <c r="J151"/>
      <c r="K151"/>
      <c r="L151"/>
      <c r="M151"/>
      <c r="N151"/>
      <c r="O151" s="392"/>
      <c r="P151" s="2"/>
      <c r="R151"/>
      <c r="S151"/>
      <c r="V151"/>
    </row>
    <row r="152" spans="10:22" s="1" customFormat="1" x14ac:dyDescent="0.2">
      <c r="J152"/>
      <c r="K152"/>
      <c r="L152"/>
      <c r="M152"/>
      <c r="N152"/>
      <c r="O152" s="392"/>
      <c r="P152" s="2"/>
      <c r="R152"/>
      <c r="S152"/>
      <c r="V152"/>
    </row>
    <row r="153" spans="10:22" s="1" customFormat="1" x14ac:dyDescent="0.2">
      <c r="J153"/>
      <c r="K153"/>
      <c r="L153"/>
      <c r="M153"/>
      <c r="N153"/>
      <c r="O153" s="392"/>
      <c r="P153" s="2"/>
      <c r="R153"/>
      <c r="S153"/>
      <c r="V153"/>
    </row>
    <row r="154" spans="10:22" s="1" customFormat="1" x14ac:dyDescent="0.2">
      <c r="J154"/>
      <c r="K154"/>
      <c r="L154"/>
      <c r="M154"/>
      <c r="N154"/>
      <c r="O154" s="392"/>
      <c r="P154" s="2"/>
      <c r="R154"/>
      <c r="S154"/>
      <c r="V154"/>
    </row>
    <row r="155" spans="10:22" s="1" customFormat="1" x14ac:dyDescent="0.2">
      <c r="J155"/>
      <c r="K155"/>
      <c r="L155"/>
      <c r="M155"/>
      <c r="N155"/>
      <c r="O155" s="392"/>
      <c r="P155" s="2"/>
      <c r="R155"/>
      <c r="S155"/>
      <c r="V155"/>
    </row>
    <row r="156" spans="10:22" s="1" customFormat="1" x14ac:dyDescent="0.2">
      <c r="J156"/>
      <c r="K156"/>
      <c r="L156"/>
      <c r="M156"/>
      <c r="N156"/>
      <c r="O156" s="392"/>
      <c r="P156" s="2"/>
      <c r="R156"/>
      <c r="S156"/>
      <c r="V156"/>
    </row>
    <row r="157" spans="10:22" s="1" customFormat="1" x14ac:dyDescent="0.2">
      <c r="J157"/>
      <c r="K157"/>
      <c r="L157"/>
      <c r="M157"/>
      <c r="N157"/>
      <c r="O157" s="392"/>
      <c r="P157" s="2"/>
      <c r="R157"/>
      <c r="S157"/>
      <c r="V157"/>
    </row>
    <row r="158" spans="10:22" s="1" customFormat="1" x14ac:dyDescent="0.2">
      <c r="J158"/>
      <c r="K158"/>
      <c r="L158"/>
      <c r="M158"/>
      <c r="N158"/>
      <c r="O158" s="392"/>
      <c r="P158" s="2"/>
      <c r="R158"/>
      <c r="S158"/>
      <c r="V158"/>
    </row>
    <row r="159" spans="10:22" s="1" customFormat="1" x14ac:dyDescent="0.2">
      <c r="J159"/>
      <c r="K159"/>
      <c r="L159"/>
      <c r="M159"/>
      <c r="N159"/>
      <c r="O159" s="392"/>
      <c r="P159" s="2"/>
      <c r="R159"/>
      <c r="S159"/>
      <c r="V159"/>
    </row>
    <row r="160" spans="10:22" s="1" customFormat="1" x14ac:dyDescent="0.2">
      <c r="J160"/>
      <c r="K160"/>
      <c r="L160"/>
      <c r="M160"/>
      <c r="N160"/>
      <c r="O160" s="392"/>
      <c r="P160" s="2"/>
      <c r="R160"/>
      <c r="S160"/>
      <c r="V160"/>
    </row>
    <row r="161" spans="10:22" s="1" customFormat="1" x14ac:dyDescent="0.2">
      <c r="J161"/>
      <c r="K161"/>
      <c r="L161"/>
      <c r="M161"/>
      <c r="N161"/>
      <c r="O161" s="392"/>
      <c r="P161" s="2"/>
      <c r="R161"/>
      <c r="S161"/>
      <c r="V161"/>
    </row>
    <row r="162" spans="10:22" s="1" customFormat="1" x14ac:dyDescent="0.2">
      <c r="J162"/>
      <c r="K162"/>
      <c r="L162"/>
      <c r="M162"/>
      <c r="N162"/>
      <c r="O162" s="392"/>
      <c r="P162" s="2"/>
      <c r="R162"/>
      <c r="S162"/>
      <c r="V162"/>
    </row>
    <row r="163" spans="10:22" s="1" customFormat="1" x14ac:dyDescent="0.2">
      <c r="J163"/>
      <c r="K163"/>
      <c r="L163"/>
      <c r="M163"/>
      <c r="N163"/>
      <c r="O163" s="392"/>
      <c r="P163" s="2"/>
      <c r="R163"/>
      <c r="S163"/>
      <c r="V163"/>
    </row>
    <row r="164" spans="10:22" s="1" customFormat="1" x14ac:dyDescent="0.2">
      <c r="J164"/>
      <c r="K164"/>
      <c r="L164"/>
      <c r="M164"/>
      <c r="N164"/>
      <c r="O164" s="392"/>
      <c r="P164" s="2"/>
      <c r="R164"/>
      <c r="S164"/>
      <c r="V164"/>
    </row>
    <row r="165" spans="10:22" s="1" customFormat="1" x14ac:dyDescent="0.2">
      <c r="J165"/>
      <c r="K165"/>
      <c r="L165"/>
      <c r="M165"/>
      <c r="N165"/>
      <c r="O165" s="392"/>
      <c r="P165" s="2"/>
      <c r="R165"/>
      <c r="S165"/>
      <c r="V165"/>
    </row>
    <row r="166" spans="10:22" s="1" customFormat="1" x14ac:dyDescent="0.2">
      <c r="J166"/>
      <c r="K166"/>
      <c r="L166"/>
      <c r="M166"/>
      <c r="N166"/>
      <c r="O166" s="392"/>
      <c r="P166" s="2"/>
      <c r="R166"/>
      <c r="S166"/>
      <c r="V166"/>
    </row>
    <row r="167" spans="10:22" s="1" customFormat="1" x14ac:dyDescent="0.2">
      <c r="J167"/>
      <c r="K167"/>
      <c r="L167"/>
      <c r="M167"/>
      <c r="N167"/>
      <c r="O167" s="392"/>
      <c r="P167" s="2"/>
      <c r="R167"/>
      <c r="S167"/>
      <c r="V167"/>
    </row>
    <row r="168" spans="10:22" s="1" customFormat="1" x14ac:dyDescent="0.2">
      <c r="J168"/>
      <c r="K168"/>
      <c r="L168"/>
      <c r="M168"/>
      <c r="N168"/>
      <c r="O168" s="392"/>
      <c r="P168" s="2"/>
      <c r="R168"/>
      <c r="S168"/>
      <c r="V168"/>
    </row>
    <row r="169" spans="10:22" s="1" customFormat="1" x14ac:dyDescent="0.2">
      <c r="J169"/>
      <c r="K169"/>
      <c r="L169"/>
      <c r="M169"/>
      <c r="N169"/>
      <c r="O169" s="392"/>
      <c r="P169" s="2"/>
      <c r="R169"/>
      <c r="S169"/>
      <c r="V169"/>
    </row>
    <row r="170" spans="10:22" s="1" customFormat="1" x14ac:dyDescent="0.2">
      <c r="J170"/>
      <c r="K170"/>
      <c r="L170"/>
      <c r="M170"/>
      <c r="N170"/>
      <c r="O170" s="392"/>
      <c r="P170" s="2"/>
      <c r="R170"/>
      <c r="S170"/>
      <c r="V170"/>
    </row>
    <row r="171" spans="10:22" s="1" customFormat="1" x14ac:dyDescent="0.2">
      <c r="J171"/>
      <c r="K171"/>
      <c r="L171"/>
      <c r="M171"/>
      <c r="N171"/>
      <c r="O171" s="392"/>
      <c r="P171" s="2"/>
      <c r="R171"/>
      <c r="S171"/>
      <c r="V171"/>
    </row>
    <row r="172" spans="10:22" s="1" customFormat="1" x14ac:dyDescent="0.2">
      <c r="J172"/>
      <c r="K172"/>
      <c r="L172"/>
      <c r="M172"/>
      <c r="N172"/>
      <c r="O172" s="392"/>
      <c r="P172" s="2"/>
      <c r="R172"/>
      <c r="S172"/>
      <c r="V172"/>
    </row>
    <row r="173" spans="10:22" s="1" customFormat="1" x14ac:dyDescent="0.2">
      <c r="J173"/>
      <c r="K173"/>
      <c r="L173"/>
      <c r="M173"/>
      <c r="N173"/>
      <c r="O173" s="392"/>
      <c r="P173" s="2"/>
      <c r="R173"/>
      <c r="S173"/>
      <c r="V173"/>
    </row>
    <row r="174" spans="10:22" s="1" customFormat="1" x14ac:dyDescent="0.2">
      <c r="J174"/>
      <c r="K174"/>
      <c r="L174"/>
      <c r="M174"/>
      <c r="N174"/>
      <c r="O174" s="392"/>
      <c r="P174" s="2"/>
      <c r="R174"/>
      <c r="S174"/>
      <c r="V174"/>
    </row>
    <row r="175" spans="10:22" s="1" customFormat="1" x14ac:dyDescent="0.2">
      <c r="J175"/>
      <c r="K175"/>
      <c r="L175"/>
      <c r="M175"/>
      <c r="N175"/>
      <c r="O175" s="392"/>
      <c r="P175" s="2"/>
      <c r="R175"/>
      <c r="S175"/>
      <c r="V175"/>
    </row>
    <row r="176" spans="10:22" s="1" customFormat="1" x14ac:dyDescent="0.2">
      <c r="J176"/>
      <c r="K176"/>
      <c r="L176"/>
      <c r="M176"/>
      <c r="N176"/>
      <c r="O176" s="392"/>
      <c r="P176" s="2"/>
      <c r="R176"/>
      <c r="S176"/>
      <c r="V176"/>
    </row>
    <row r="177" spans="10:22" s="1" customFormat="1" x14ac:dyDescent="0.2">
      <c r="J177"/>
      <c r="K177"/>
      <c r="L177"/>
      <c r="M177"/>
      <c r="N177"/>
      <c r="O177" s="392"/>
      <c r="P177" s="2"/>
      <c r="R177"/>
      <c r="S177"/>
      <c r="V177"/>
    </row>
    <row r="178" spans="10:22" s="1" customFormat="1" x14ac:dyDescent="0.2">
      <c r="J178"/>
      <c r="K178"/>
      <c r="L178"/>
      <c r="M178"/>
      <c r="N178"/>
      <c r="O178" s="392"/>
      <c r="P178" s="2"/>
      <c r="R178"/>
      <c r="S178"/>
      <c r="V178"/>
    </row>
    <row r="179" spans="10:22" s="1" customFormat="1" x14ac:dyDescent="0.2">
      <c r="J179"/>
      <c r="K179"/>
      <c r="L179"/>
      <c r="M179"/>
      <c r="N179"/>
      <c r="O179" s="392"/>
      <c r="P179" s="2"/>
      <c r="R179"/>
      <c r="S179"/>
      <c r="V179"/>
    </row>
    <row r="180" spans="10:22" s="1" customFormat="1" x14ac:dyDescent="0.2">
      <c r="J180"/>
      <c r="K180"/>
      <c r="L180"/>
      <c r="M180"/>
      <c r="N180"/>
      <c r="O180" s="392"/>
      <c r="P180" s="2"/>
      <c r="R180"/>
      <c r="S180"/>
      <c r="V180"/>
    </row>
    <row r="181" spans="10:22" s="1" customFormat="1" x14ac:dyDescent="0.2">
      <c r="J181"/>
      <c r="K181"/>
      <c r="L181"/>
      <c r="M181"/>
      <c r="N181"/>
      <c r="O181" s="392"/>
      <c r="P181" s="2"/>
      <c r="R181"/>
      <c r="S181"/>
      <c r="V181"/>
    </row>
    <row r="182" spans="10:22" s="1" customFormat="1" x14ac:dyDescent="0.2">
      <c r="J182"/>
      <c r="K182"/>
      <c r="L182"/>
      <c r="M182"/>
      <c r="N182"/>
      <c r="O182" s="392"/>
      <c r="P182" s="2"/>
      <c r="R182"/>
      <c r="S182"/>
      <c r="V182"/>
    </row>
    <row r="183" spans="10:22" s="1" customFormat="1" x14ac:dyDescent="0.2">
      <c r="J183"/>
      <c r="K183"/>
      <c r="L183"/>
      <c r="M183"/>
      <c r="N183"/>
      <c r="O183" s="392"/>
      <c r="P183" s="2"/>
      <c r="R183"/>
      <c r="S183"/>
      <c r="V183"/>
    </row>
    <row r="184" spans="10:22" s="1" customFormat="1" x14ac:dyDescent="0.2">
      <c r="J184"/>
      <c r="K184"/>
      <c r="L184"/>
      <c r="M184"/>
      <c r="N184"/>
      <c r="O184" s="392"/>
      <c r="P184" s="2"/>
      <c r="R184"/>
      <c r="S184"/>
      <c r="V184"/>
    </row>
    <row r="185" spans="10:22" s="1" customFormat="1" x14ac:dyDescent="0.2">
      <c r="J185"/>
      <c r="K185"/>
      <c r="L185"/>
      <c r="M185"/>
      <c r="N185"/>
      <c r="O185" s="392"/>
      <c r="P185" s="2"/>
      <c r="R185"/>
      <c r="S185"/>
      <c r="V185"/>
    </row>
    <row r="186" spans="10:22" s="1" customFormat="1" x14ac:dyDescent="0.2">
      <c r="J186"/>
      <c r="K186"/>
      <c r="L186"/>
      <c r="M186"/>
      <c r="N186"/>
      <c r="O186" s="392"/>
      <c r="P186" s="2"/>
      <c r="R186"/>
      <c r="S186"/>
      <c r="V186"/>
    </row>
    <row r="187" spans="10:22" s="1" customFormat="1" x14ac:dyDescent="0.2">
      <c r="J187"/>
      <c r="K187"/>
      <c r="L187"/>
      <c r="M187"/>
      <c r="N187"/>
      <c r="O187" s="392"/>
      <c r="P187" s="2"/>
      <c r="R187"/>
      <c r="S187"/>
      <c r="V187"/>
    </row>
    <row r="188" spans="10:22" s="1" customFormat="1" x14ac:dyDescent="0.2">
      <c r="J188"/>
      <c r="K188"/>
      <c r="L188"/>
      <c r="M188"/>
      <c r="N188"/>
      <c r="O188" s="392"/>
      <c r="P188" s="2"/>
      <c r="R188"/>
      <c r="S188"/>
      <c r="V188"/>
    </row>
    <row r="189" spans="10:22" s="1" customFormat="1" x14ac:dyDescent="0.2">
      <c r="J189"/>
      <c r="K189"/>
      <c r="L189"/>
      <c r="M189"/>
      <c r="N189"/>
      <c r="O189" s="392"/>
      <c r="P189" s="2"/>
      <c r="R189"/>
      <c r="S189"/>
      <c r="V189"/>
    </row>
    <row r="190" spans="10:22" s="1" customFormat="1" x14ac:dyDescent="0.2">
      <c r="J190"/>
      <c r="K190"/>
      <c r="L190"/>
      <c r="M190"/>
      <c r="N190"/>
      <c r="O190" s="392"/>
      <c r="P190" s="2"/>
      <c r="R190"/>
      <c r="S190"/>
      <c r="V190"/>
    </row>
    <row r="191" spans="10:22" s="1" customFormat="1" x14ac:dyDescent="0.2">
      <c r="J191"/>
      <c r="K191"/>
      <c r="L191"/>
      <c r="M191"/>
      <c r="N191"/>
      <c r="O191" s="392"/>
      <c r="P191" s="2"/>
      <c r="R191"/>
      <c r="S191"/>
      <c r="V191"/>
    </row>
    <row r="192" spans="10:22" s="1" customFormat="1" x14ac:dyDescent="0.2">
      <c r="J192"/>
      <c r="K192"/>
      <c r="L192"/>
      <c r="M192"/>
      <c r="N192"/>
      <c r="O192" s="392"/>
      <c r="P192" s="2"/>
      <c r="R192"/>
      <c r="S192"/>
      <c r="V192"/>
    </row>
    <row r="193" spans="10:22" s="1" customFormat="1" x14ac:dyDescent="0.2">
      <c r="J193"/>
      <c r="K193"/>
      <c r="L193"/>
      <c r="M193"/>
      <c r="N193"/>
      <c r="O193" s="392"/>
      <c r="P193" s="2"/>
      <c r="R193"/>
      <c r="S193"/>
      <c r="V193"/>
    </row>
    <row r="194" spans="10:22" s="1" customFormat="1" x14ac:dyDescent="0.2">
      <c r="J194"/>
      <c r="K194"/>
      <c r="L194"/>
      <c r="M194"/>
      <c r="N194"/>
      <c r="O194" s="392"/>
      <c r="P194" s="2"/>
      <c r="R194"/>
      <c r="S194"/>
      <c r="V194"/>
    </row>
    <row r="195" spans="10:22" s="1" customFormat="1" x14ac:dyDescent="0.2">
      <c r="J195"/>
      <c r="K195"/>
      <c r="L195"/>
      <c r="M195"/>
      <c r="N195"/>
      <c r="O195" s="392"/>
      <c r="P195" s="2"/>
      <c r="R195"/>
      <c r="S195"/>
      <c r="V195"/>
    </row>
    <row r="196" spans="10:22" s="1" customFormat="1" x14ac:dyDescent="0.2">
      <c r="J196"/>
      <c r="K196"/>
      <c r="L196"/>
      <c r="M196"/>
      <c r="N196"/>
      <c r="O196" s="392"/>
      <c r="P196" s="2"/>
      <c r="R196"/>
      <c r="S196"/>
      <c r="V196"/>
    </row>
    <row r="197" spans="10:22" s="1" customFormat="1" x14ac:dyDescent="0.2">
      <c r="J197"/>
      <c r="K197"/>
      <c r="L197"/>
      <c r="M197"/>
      <c r="N197"/>
      <c r="O197" s="392"/>
      <c r="P197" s="2"/>
      <c r="R197"/>
      <c r="S197"/>
      <c r="V197"/>
    </row>
    <row r="198" spans="10:22" s="1" customFormat="1" x14ac:dyDescent="0.2">
      <c r="J198"/>
      <c r="K198"/>
      <c r="L198"/>
      <c r="M198"/>
      <c r="N198"/>
      <c r="O198" s="392"/>
      <c r="P198" s="2"/>
      <c r="R198"/>
      <c r="S198"/>
      <c r="V198"/>
    </row>
    <row r="199" spans="10:22" s="1" customFormat="1" x14ac:dyDescent="0.2">
      <c r="J199"/>
      <c r="K199"/>
      <c r="L199"/>
      <c r="M199"/>
      <c r="N199"/>
      <c r="O199" s="392"/>
      <c r="P199" s="2"/>
      <c r="R199"/>
      <c r="S199"/>
      <c r="V199"/>
    </row>
    <row r="200" spans="10:22" s="1" customFormat="1" x14ac:dyDescent="0.2">
      <c r="J200"/>
      <c r="K200"/>
      <c r="L200"/>
      <c r="M200"/>
      <c r="N200"/>
      <c r="O200" s="392"/>
      <c r="P200" s="2"/>
      <c r="R200"/>
      <c r="S200"/>
      <c r="V200"/>
    </row>
    <row r="201" spans="10:22" s="1" customFormat="1" x14ac:dyDescent="0.2">
      <c r="J201"/>
      <c r="K201"/>
      <c r="L201"/>
      <c r="M201"/>
      <c r="N201"/>
      <c r="O201" s="392"/>
      <c r="P201" s="2"/>
      <c r="R201"/>
      <c r="S201"/>
      <c r="V201"/>
    </row>
    <row r="202" spans="10:22" s="1" customFormat="1" x14ac:dyDescent="0.2">
      <c r="J202"/>
      <c r="K202"/>
      <c r="L202"/>
      <c r="M202"/>
      <c r="N202"/>
      <c r="O202" s="392"/>
      <c r="P202" s="2"/>
      <c r="R202"/>
      <c r="S202"/>
      <c r="V202"/>
    </row>
    <row r="203" spans="10:22" s="1" customFormat="1" x14ac:dyDescent="0.2">
      <c r="J203"/>
      <c r="K203"/>
      <c r="L203"/>
      <c r="M203"/>
      <c r="N203"/>
      <c r="O203" s="392"/>
      <c r="P203" s="2"/>
      <c r="R203"/>
      <c r="S203"/>
      <c r="V203"/>
    </row>
    <row r="204" spans="10:22" s="1" customFormat="1" x14ac:dyDescent="0.2">
      <c r="J204"/>
      <c r="K204"/>
      <c r="L204"/>
      <c r="M204"/>
      <c r="N204"/>
      <c r="O204" s="392"/>
      <c r="P204" s="2"/>
      <c r="R204"/>
      <c r="S204"/>
      <c r="V204"/>
    </row>
    <row r="205" spans="10:22" s="1" customFormat="1" x14ac:dyDescent="0.2">
      <c r="J205"/>
      <c r="K205"/>
      <c r="L205"/>
      <c r="M205"/>
      <c r="N205"/>
      <c r="O205" s="392"/>
      <c r="P205" s="2"/>
      <c r="R205"/>
      <c r="S205"/>
      <c r="V205"/>
    </row>
    <row r="206" spans="10:22" s="1" customFormat="1" x14ac:dyDescent="0.2">
      <c r="J206"/>
      <c r="K206"/>
      <c r="L206"/>
      <c r="M206"/>
      <c r="N206"/>
      <c r="O206" s="392"/>
      <c r="P206" s="2"/>
      <c r="R206"/>
      <c r="S206"/>
      <c r="V206"/>
    </row>
    <row r="207" spans="10:22" s="1" customFormat="1" x14ac:dyDescent="0.2">
      <c r="J207"/>
      <c r="K207"/>
      <c r="L207"/>
      <c r="M207"/>
      <c r="N207"/>
      <c r="O207" s="392"/>
      <c r="P207" s="2"/>
      <c r="R207"/>
      <c r="S207"/>
      <c r="V207"/>
    </row>
    <row r="208" spans="10:22" s="1" customFormat="1" x14ac:dyDescent="0.2">
      <c r="J208"/>
      <c r="K208"/>
      <c r="L208"/>
      <c r="M208"/>
      <c r="N208"/>
      <c r="O208" s="392"/>
      <c r="P208" s="2"/>
      <c r="R208"/>
      <c r="S208"/>
      <c r="V208"/>
    </row>
    <row r="209" spans="10:22" s="1" customFormat="1" x14ac:dyDescent="0.2">
      <c r="J209"/>
      <c r="K209"/>
      <c r="L209"/>
      <c r="M209"/>
      <c r="N209"/>
      <c r="O209" s="392"/>
      <c r="P209" s="2"/>
      <c r="R209"/>
      <c r="S209"/>
      <c r="V209"/>
    </row>
    <row r="210" spans="10:22" s="1" customFormat="1" x14ac:dyDescent="0.2">
      <c r="J210"/>
      <c r="K210"/>
      <c r="L210"/>
      <c r="M210"/>
      <c r="N210"/>
      <c r="O210" s="392"/>
      <c r="P210" s="2"/>
      <c r="R210"/>
      <c r="S210"/>
      <c r="V210"/>
    </row>
    <row r="211" spans="10:22" s="1" customFormat="1" x14ac:dyDescent="0.2">
      <c r="J211"/>
      <c r="K211"/>
      <c r="L211"/>
      <c r="M211"/>
      <c r="N211"/>
      <c r="O211" s="392"/>
      <c r="P211" s="2"/>
      <c r="R211"/>
      <c r="S211"/>
      <c r="V211"/>
    </row>
    <row r="212" spans="10:22" s="1" customFormat="1" x14ac:dyDescent="0.2">
      <c r="J212"/>
      <c r="K212"/>
      <c r="L212"/>
      <c r="M212"/>
      <c r="N212"/>
      <c r="O212" s="392"/>
      <c r="P212" s="2"/>
      <c r="R212"/>
      <c r="S212"/>
      <c r="V212"/>
    </row>
    <row r="213" spans="10:22" s="1" customFormat="1" x14ac:dyDescent="0.2">
      <c r="J213"/>
      <c r="K213"/>
      <c r="L213"/>
      <c r="M213"/>
      <c r="N213"/>
      <c r="O213" s="392"/>
      <c r="P213" s="2"/>
      <c r="R213"/>
      <c r="S213"/>
      <c r="V213"/>
    </row>
    <row r="214" spans="10:22" s="1" customFormat="1" x14ac:dyDescent="0.2">
      <c r="J214"/>
      <c r="K214"/>
      <c r="L214"/>
      <c r="M214"/>
      <c r="N214"/>
      <c r="O214" s="392"/>
      <c r="P214" s="2"/>
      <c r="R214"/>
      <c r="S214"/>
      <c r="V214"/>
    </row>
    <row r="215" spans="10:22" s="1" customFormat="1" x14ac:dyDescent="0.2">
      <c r="J215"/>
      <c r="K215"/>
      <c r="L215"/>
      <c r="M215"/>
      <c r="N215"/>
      <c r="O215" s="392"/>
      <c r="P215" s="2"/>
      <c r="R215"/>
      <c r="S215"/>
      <c r="V215"/>
    </row>
    <row r="216" spans="10:22" s="1" customFormat="1" x14ac:dyDescent="0.2">
      <c r="J216"/>
      <c r="K216"/>
      <c r="L216"/>
      <c r="M216"/>
      <c r="N216"/>
      <c r="O216" s="392"/>
      <c r="P216" s="2"/>
      <c r="R216"/>
      <c r="S216"/>
      <c r="V216"/>
    </row>
    <row r="217" spans="10:22" s="1" customFormat="1" x14ac:dyDescent="0.2">
      <c r="J217"/>
      <c r="K217"/>
      <c r="L217"/>
      <c r="M217"/>
      <c r="N217"/>
      <c r="O217" s="392"/>
      <c r="P217" s="2"/>
      <c r="R217"/>
      <c r="S217"/>
      <c r="V217"/>
    </row>
    <row r="218" spans="10:22" s="1" customFormat="1" x14ac:dyDescent="0.2">
      <c r="J218"/>
      <c r="K218"/>
      <c r="L218"/>
      <c r="M218"/>
      <c r="N218"/>
      <c r="O218" s="392"/>
      <c r="P218" s="2"/>
      <c r="R218"/>
      <c r="S218"/>
      <c r="V218"/>
    </row>
    <row r="219" spans="10:22" s="1" customFormat="1" x14ac:dyDescent="0.2">
      <c r="J219"/>
      <c r="K219"/>
      <c r="L219"/>
      <c r="M219"/>
      <c r="N219"/>
      <c r="O219" s="392"/>
      <c r="P219" s="2"/>
      <c r="R219"/>
      <c r="S219"/>
      <c r="V219"/>
    </row>
    <row r="220" spans="10:22" s="1" customFormat="1" x14ac:dyDescent="0.2">
      <c r="J220"/>
      <c r="K220"/>
      <c r="L220"/>
      <c r="M220"/>
      <c r="N220"/>
      <c r="O220" s="392"/>
      <c r="P220" s="2"/>
      <c r="R220"/>
      <c r="S220"/>
      <c r="V220"/>
    </row>
    <row r="221" spans="10:22" s="1" customFormat="1" x14ac:dyDescent="0.2">
      <c r="J221"/>
      <c r="K221"/>
      <c r="L221"/>
      <c r="M221"/>
      <c r="N221"/>
      <c r="O221" s="392"/>
      <c r="P221" s="2"/>
      <c r="R221"/>
      <c r="S221"/>
      <c r="V221"/>
    </row>
    <row r="222" spans="10:22" s="1" customFormat="1" x14ac:dyDescent="0.2">
      <c r="J222"/>
      <c r="K222"/>
      <c r="L222"/>
      <c r="M222"/>
      <c r="N222"/>
      <c r="O222" s="392"/>
      <c r="P222" s="2"/>
      <c r="R222"/>
      <c r="S222"/>
      <c r="V222"/>
    </row>
    <row r="223" spans="10:22" s="1" customFormat="1" x14ac:dyDescent="0.2">
      <c r="J223"/>
      <c r="K223"/>
      <c r="L223"/>
      <c r="M223"/>
      <c r="N223"/>
      <c r="O223" s="392"/>
      <c r="P223" s="2"/>
      <c r="R223"/>
      <c r="S223"/>
      <c r="V223"/>
    </row>
    <row r="224" spans="10:22" s="1" customFormat="1" x14ac:dyDescent="0.2">
      <c r="J224"/>
      <c r="K224"/>
      <c r="L224"/>
      <c r="M224"/>
      <c r="N224"/>
      <c r="O224" s="392"/>
      <c r="P224" s="2"/>
      <c r="R224"/>
      <c r="S224"/>
      <c r="V224"/>
    </row>
    <row r="225" spans="10:22" s="1" customFormat="1" x14ac:dyDescent="0.2">
      <c r="J225"/>
      <c r="K225"/>
      <c r="L225"/>
      <c r="M225"/>
      <c r="N225"/>
      <c r="O225" s="392"/>
      <c r="P225" s="2"/>
      <c r="R225"/>
      <c r="S225"/>
      <c r="V225"/>
    </row>
    <row r="226" spans="10:22" s="1" customFormat="1" x14ac:dyDescent="0.2">
      <c r="J226"/>
      <c r="K226"/>
      <c r="L226"/>
      <c r="M226"/>
      <c r="N226"/>
      <c r="O226" s="392"/>
      <c r="P226" s="2"/>
      <c r="R226"/>
      <c r="S226"/>
      <c r="V226"/>
    </row>
    <row r="227" spans="10:22" s="1" customFormat="1" x14ac:dyDescent="0.2">
      <c r="J227"/>
      <c r="K227"/>
      <c r="L227"/>
      <c r="M227"/>
      <c r="N227"/>
      <c r="O227" s="392"/>
      <c r="P227" s="2"/>
      <c r="R227"/>
      <c r="S227"/>
      <c r="V227"/>
    </row>
    <row r="228" spans="10:22" s="1" customFormat="1" x14ac:dyDescent="0.2">
      <c r="J228"/>
      <c r="K228"/>
      <c r="L228"/>
      <c r="M228"/>
      <c r="N228"/>
      <c r="O228" s="392"/>
      <c r="P228" s="2"/>
      <c r="R228"/>
      <c r="S228"/>
      <c r="V228"/>
    </row>
    <row r="229" spans="10:22" s="1" customFormat="1" x14ac:dyDescent="0.2">
      <c r="J229"/>
      <c r="K229"/>
      <c r="L229"/>
      <c r="M229"/>
      <c r="N229"/>
      <c r="O229" s="392"/>
      <c r="P229" s="2"/>
      <c r="R229"/>
      <c r="S229"/>
      <c r="V229"/>
    </row>
    <row r="230" spans="10:22" s="1" customFormat="1" x14ac:dyDescent="0.2">
      <c r="J230"/>
      <c r="K230"/>
      <c r="L230"/>
      <c r="M230"/>
      <c r="N230"/>
      <c r="O230" s="392"/>
      <c r="P230" s="2"/>
      <c r="R230"/>
      <c r="S230"/>
      <c r="V230"/>
    </row>
    <row r="231" spans="10:22" s="1" customFormat="1" x14ac:dyDescent="0.2">
      <c r="J231"/>
      <c r="K231"/>
      <c r="L231"/>
      <c r="M231"/>
      <c r="N231"/>
      <c r="O231" s="392"/>
      <c r="P231" s="2"/>
      <c r="R231"/>
      <c r="S231"/>
      <c r="V231"/>
    </row>
    <row r="232" spans="10:22" s="1" customFormat="1" x14ac:dyDescent="0.2">
      <c r="J232"/>
      <c r="K232"/>
      <c r="L232"/>
      <c r="M232"/>
      <c r="N232"/>
      <c r="O232" s="392"/>
      <c r="P232" s="2"/>
      <c r="R232"/>
      <c r="S232"/>
      <c r="V232"/>
    </row>
    <row r="233" spans="10:22" s="1" customFormat="1" x14ac:dyDescent="0.2">
      <c r="J233"/>
      <c r="K233"/>
      <c r="L233"/>
      <c r="M233"/>
      <c r="N233"/>
      <c r="O233" s="392"/>
      <c r="P233" s="2"/>
      <c r="R233"/>
      <c r="S233"/>
      <c r="V233"/>
    </row>
    <row r="234" spans="10:22" s="1" customFormat="1" x14ac:dyDescent="0.2">
      <c r="J234"/>
      <c r="K234"/>
      <c r="L234"/>
      <c r="M234"/>
      <c r="N234"/>
      <c r="O234" s="392"/>
      <c r="P234" s="2"/>
      <c r="R234"/>
      <c r="S234"/>
      <c r="V234"/>
    </row>
    <row r="235" spans="10:22" s="1" customFormat="1" x14ac:dyDescent="0.2">
      <c r="J235"/>
      <c r="K235"/>
      <c r="L235"/>
      <c r="M235"/>
      <c r="N235"/>
      <c r="O235" s="392"/>
      <c r="P235" s="2"/>
      <c r="R235"/>
      <c r="S235"/>
      <c r="V235"/>
    </row>
    <row r="236" spans="10:22" s="1" customFormat="1" x14ac:dyDescent="0.2">
      <c r="J236"/>
      <c r="K236"/>
      <c r="L236"/>
      <c r="M236"/>
      <c r="N236"/>
      <c r="O236" s="392"/>
      <c r="P236" s="2"/>
      <c r="R236"/>
      <c r="S236"/>
      <c r="V236"/>
    </row>
    <row r="237" spans="10:22" s="1" customFormat="1" x14ac:dyDescent="0.2">
      <c r="J237"/>
      <c r="K237"/>
      <c r="L237"/>
      <c r="M237"/>
      <c r="N237"/>
      <c r="O237" s="392"/>
      <c r="P237" s="2"/>
      <c r="R237"/>
      <c r="S237"/>
      <c r="V237"/>
    </row>
    <row r="238" spans="10:22" s="1" customFormat="1" x14ac:dyDescent="0.2">
      <c r="J238"/>
      <c r="K238"/>
      <c r="L238"/>
      <c r="M238"/>
      <c r="N238"/>
      <c r="O238" s="392"/>
      <c r="P238" s="2"/>
      <c r="R238"/>
      <c r="S238"/>
      <c r="V238"/>
    </row>
    <row r="239" spans="10:22" s="1" customFormat="1" x14ac:dyDescent="0.2">
      <c r="J239"/>
      <c r="K239"/>
      <c r="L239"/>
      <c r="M239"/>
      <c r="N239"/>
      <c r="O239" s="392"/>
      <c r="P239" s="2"/>
      <c r="R239"/>
      <c r="S239"/>
      <c r="V239"/>
    </row>
    <row r="240" spans="10:22" s="1" customFormat="1" x14ac:dyDescent="0.2">
      <c r="J240"/>
      <c r="K240"/>
      <c r="L240"/>
      <c r="M240"/>
      <c r="N240"/>
      <c r="O240" s="392"/>
      <c r="P240" s="2"/>
      <c r="R240"/>
      <c r="S240"/>
      <c r="V240"/>
    </row>
    <row r="241" spans="10:22" s="1" customFormat="1" x14ac:dyDescent="0.2">
      <c r="J241"/>
      <c r="K241"/>
      <c r="L241"/>
      <c r="M241"/>
      <c r="N241"/>
      <c r="O241" s="392"/>
      <c r="P241" s="2"/>
      <c r="R241"/>
      <c r="S241"/>
      <c r="V241"/>
    </row>
    <row r="242" spans="10:22" s="1" customFormat="1" x14ac:dyDescent="0.2">
      <c r="J242"/>
      <c r="K242"/>
      <c r="L242"/>
      <c r="M242"/>
      <c r="N242"/>
      <c r="O242" s="392"/>
      <c r="P242" s="2"/>
      <c r="R242"/>
      <c r="S242"/>
      <c r="V242"/>
    </row>
    <row r="243" spans="10:22" s="1" customFormat="1" x14ac:dyDescent="0.2">
      <c r="J243"/>
      <c r="K243"/>
      <c r="L243"/>
      <c r="M243"/>
      <c r="N243"/>
      <c r="O243" s="392"/>
      <c r="P243" s="2"/>
      <c r="R243"/>
      <c r="S243"/>
      <c r="V243"/>
    </row>
    <row r="244" spans="10:22" s="1" customFormat="1" x14ac:dyDescent="0.2">
      <c r="J244"/>
      <c r="K244"/>
      <c r="L244"/>
      <c r="M244"/>
      <c r="N244"/>
      <c r="O244" s="392"/>
      <c r="P244" s="2"/>
      <c r="R244"/>
      <c r="S244"/>
      <c r="V244"/>
    </row>
    <row r="245" spans="10:22" s="1" customFormat="1" x14ac:dyDescent="0.2">
      <c r="J245"/>
      <c r="K245"/>
      <c r="L245"/>
      <c r="M245"/>
      <c r="N245"/>
      <c r="O245" s="392"/>
      <c r="P245" s="2"/>
      <c r="R245"/>
      <c r="S245"/>
      <c r="V245"/>
    </row>
    <row r="246" spans="10:22" s="1" customFormat="1" x14ac:dyDescent="0.2">
      <c r="J246"/>
      <c r="K246"/>
      <c r="L246"/>
      <c r="M246"/>
      <c r="N246"/>
      <c r="O246" s="392"/>
      <c r="P246" s="2"/>
      <c r="R246"/>
      <c r="S246"/>
      <c r="V246"/>
    </row>
    <row r="247" spans="10:22" s="1" customFormat="1" x14ac:dyDescent="0.2">
      <c r="J247"/>
      <c r="K247"/>
      <c r="L247"/>
      <c r="M247"/>
      <c r="N247"/>
      <c r="O247" s="392"/>
      <c r="P247" s="2"/>
      <c r="R247"/>
      <c r="S247"/>
      <c r="V247"/>
    </row>
    <row r="248" spans="10:22" s="1" customFormat="1" x14ac:dyDescent="0.2">
      <c r="J248"/>
      <c r="K248"/>
      <c r="L248"/>
      <c r="M248"/>
      <c r="N248"/>
      <c r="O248" s="392"/>
      <c r="P248" s="2"/>
      <c r="R248"/>
      <c r="S248"/>
      <c r="V248"/>
    </row>
    <row r="249" spans="10:22" s="1" customFormat="1" x14ac:dyDescent="0.2">
      <c r="J249"/>
      <c r="K249"/>
      <c r="L249"/>
      <c r="M249"/>
      <c r="N249"/>
      <c r="O249" s="392"/>
      <c r="P249" s="2"/>
      <c r="R249"/>
      <c r="S249"/>
      <c r="V249"/>
    </row>
    <row r="250" spans="10:22" s="1" customFormat="1" x14ac:dyDescent="0.2">
      <c r="J250"/>
      <c r="K250"/>
      <c r="L250"/>
      <c r="M250"/>
      <c r="N250"/>
      <c r="O250" s="392"/>
      <c r="P250" s="2"/>
      <c r="R250"/>
      <c r="S250"/>
      <c r="V250"/>
    </row>
    <row r="251" spans="10:22" s="1" customFormat="1" x14ac:dyDescent="0.2">
      <c r="J251"/>
      <c r="K251"/>
      <c r="L251"/>
      <c r="M251"/>
      <c r="N251"/>
      <c r="O251" s="392"/>
      <c r="P251" s="2"/>
      <c r="R251"/>
      <c r="S251"/>
      <c r="V251"/>
    </row>
    <row r="252" spans="10:22" s="1" customFormat="1" x14ac:dyDescent="0.2">
      <c r="J252"/>
      <c r="K252"/>
      <c r="L252"/>
      <c r="M252"/>
      <c r="N252"/>
      <c r="O252" s="392"/>
      <c r="P252" s="2"/>
      <c r="R252"/>
      <c r="S252"/>
      <c r="V252"/>
    </row>
    <row r="253" spans="10:22" s="1" customFormat="1" x14ac:dyDescent="0.2">
      <c r="J253"/>
      <c r="K253"/>
      <c r="L253"/>
      <c r="M253"/>
      <c r="N253"/>
      <c r="O253" s="392"/>
      <c r="P253" s="2"/>
      <c r="R253"/>
      <c r="S253"/>
      <c r="V253"/>
    </row>
    <row r="254" spans="10:22" s="1" customFormat="1" x14ac:dyDescent="0.2">
      <c r="J254"/>
      <c r="K254"/>
      <c r="L254"/>
      <c r="M254"/>
      <c r="N254"/>
      <c r="O254" s="392"/>
      <c r="P254" s="2"/>
      <c r="R254"/>
      <c r="S254"/>
      <c r="V254"/>
    </row>
    <row r="255" spans="10:22" s="1" customFormat="1" x14ac:dyDescent="0.2">
      <c r="J255"/>
      <c r="K255"/>
      <c r="L255"/>
      <c r="M255"/>
      <c r="N255"/>
      <c r="O255" s="392"/>
      <c r="P255" s="2"/>
      <c r="R255"/>
      <c r="S255"/>
      <c r="V255"/>
    </row>
    <row r="256" spans="10:22" s="1" customFormat="1" x14ac:dyDescent="0.2">
      <c r="J256"/>
      <c r="K256"/>
      <c r="L256"/>
      <c r="M256"/>
      <c r="N256"/>
      <c r="O256" s="392"/>
      <c r="P256" s="2"/>
      <c r="R256"/>
      <c r="S256"/>
      <c r="V256"/>
    </row>
    <row r="257" spans="10:22" s="1" customFormat="1" x14ac:dyDescent="0.2">
      <c r="J257"/>
      <c r="K257"/>
      <c r="L257"/>
      <c r="M257"/>
      <c r="N257"/>
      <c r="O257" s="392"/>
      <c r="P257" s="2"/>
      <c r="R257"/>
      <c r="S257"/>
      <c r="V257"/>
    </row>
    <row r="258" spans="10:22" s="1" customFormat="1" x14ac:dyDescent="0.2">
      <c r="J258"/>
      <c r="K258"/>
      <c r="L258"/>
      <c r="M258"/>
      <c r="N258"/>
      <c r="O258" s="392"/>
      <c r="P258" s="2"/>
      <c r="R258"/>
      <c r="S258"/>
      <c r="V258"/>
    </row>
    <row r="259" spans="10:22" s="1" customFormat="1" x14ac:dyDescent="0.2">
      <c r="J259"/>
      <c r="K259"/>
      <c r="L259"/>
      <c r="M259"/>
      <c r="N259"/>
      <c r="O259" s="392"/>
      <c r="P259" s="2"/>
      <c r="R259"/>
      <c r="S259"/>
      <c r="V259"/>
    </row>
    <row r="260" spans="10:22" s="1" customFormat="1" x14ac:dyDescent="0.2">
      <c r="J260"/>
      <c r="K260"/>
      <c r="L260"/>
      <c r="M260"/>
      <c r="N260"/>
      <c r="O260" s="392"/>
      <c r="P260" s="2"/>
      <c r="R260"/>
      <c r="S260"/>
      <c r="V260"/>
    </row>
    <row r="261" spans="10:22" s="1" customFormat="1" x14ac:dyDescent="0.2">
      <c r="J261"/>
      <c r="K261"/>
      <c r="L261"/>
      <c r="M261"/>
      <c r="N261"/>
      <c r="O261" s="392"/>
      <c r="P261" s="2"/>
      <c r="R261"/>
      <c r="S261"/>
      <c r="V261"/>
    </row>
    <row r="262" spans="10:22" s="1" customFormat="1" x14ac:dyDescent="0.2">
      <c r="J262"/>
      <c r="K262"/>
      <c r="L262"/>
      <c r="M262"/>
      <c r="N262"/>
      <c r="O262" s="392"/>
      <c r="P262" s="2"/>
      <c r="R262"/>
      <c r="S262"/>
      <c r="V262"/>
    </row>
    <row r="263" spans="10:22" s="1" customFormat="1" x14ac:dyDescent="0.2">
      <c r="J263"/>
      <c r="K263"/>
      <c r="L263"/>
      <c r="M263"/>
      <c r="N263"/>
      <c r="O263" s="392"/>
      <c r="P263" s="2"/>
      <c r="R263"/>
      <c r="S263"/>
      <c r="V263"/>
    </row>
    <row r="264" spans="10:22" s="1" customFormat="1" x14ac:dyDescent="0.2">
      <c r="J264"/>
      <c r="K264"/>
      <c r="L264"/>
      <c r="M264"/>
      <c r="N264"/>
      <c r="O264" s="392"/>
      <c r="P264" s="2"/>
      <c r="R264"/>
      <c r="S264"/>
      <c r="V264"/>
    </row>
    <row r="265" spans="10:22" s="1" customFormat="1" x14ac:dyDescent="0.2">
      <c r="J265"/>
      <c r="K265"/>
      <c r="L265"/>
      <c r="M265"/>
      <c r="N265"/>
      <c r="O265" s="392"/>
      <c r="P265" s="2"/>
      <c r="R265"/>
      <c r="S265"/>
      <c r="V265"/>
    </row>
    <row r="266" spans="10:22" s="1" customFormat="1" x14ac:dyDescent="0.2">
      <c r="J266"/>
      <c r="K266"/>
      <c r="L266"/>
      <c r="M266"/>
      <c r="N266"/>
      <c r="O266" s="392"/>
      <c r="P266" s="2"/>
      <c r="R266"/>
      <c r="S266"/>
      <c r="V266"/>
    </row>
    <row r="267" spans="10:22" s="1" customFormat="1" x14ac:dyDescent="0.2">
      <c r="J267"/>
      <c r="K267"/>
      <c r="L267"/>
      <c r="M267"/>
      <c r="N267"/>
      <c r="O267" s="392"/>
      <c r="P267" s="2"/>
      <c r="R267"/>
      <c r="S267"/>
      <c r="V267"/>
    </row>
    <row r="268" spans="10:22" s="1" customFormat="1" x14ac:dyDescent="0.2">
      <c r="J268"/>
      <c r="K268"/>
      <c r="L268"/>
      <c r="M268"/>
      <c r="N268"/>
      <c r="O268" s="392"/>
      <c r="P268" s="2"/>
      <c r="R268"/>
      <c r="S268"/>
      <c r="V268"/>
    </row>
    <row r="269" spans="10:22" s="1" customFormat="1" x14ac:dyDescent="0.2">
      <c r="J269"/>
      <c r="K269"/>
      <c r="L269"/>
      <c r="M269"/>
      <c r="N269"/>
      <c r="O269" s="392"/>
      <c r="P269" s="2"/>
      <c r="R269"/>
      <c r="S269"/>
      <c r="V269"/>
    </row>
    <row r="270" spans="10:22" s="1" customFormat="1" x14ac:dyDescent="0.2">
      <c r="J270"/>
      <c r="K270"/>
      <c r="L270"/>
      <c r="M270"/>
      <c r="N270"/>
      <c r="O270" s="392"/>
      <c r="P270" s="2"/>
      <c r="R270"/>
      <c r="S270"/>
      <c r="V270"/>
    </row>
    <row r="271" spans="10:22" s="1" customFormat="1" x14ac:dyDescent="0.2">
      <c r="J271"/>
      <c r="K271"/>
      <c r="L271"/>
      <c r="M271"/>
      <c r="N271"/>
      <c r="O271" s="392"/>
      <c r="P271" s="2"/>
      <c r="R271"/>
      <c r="S271"/>
      <c r="V271"/>
    </row>
    <row r="272" spans="10:22" s="1" customFormat="1" x14ac:dyDescent="0.2">
      <c r="J272"/>
      <c r="K272"/>
      <c r="L272"/>
      <c r="M272"/>
      <c r="N272"/>
      <c r="O272" s="392"/>
      <c r="P272" s="2"/>
      <c r="R272"/>
      <c r="S272"/>
      <c r="V272"/>
    </row>
    <row r="273" spans="10:22" s="1" customFormat="1" x14ac:dyDescent="0.2">
      <c r="J273"/>
      <c r="K273"/>
      <c r="L273"/>
      <c r="M273"/>
      <c r="N273"/>
      <c r="O273" s="392"/>
      <c r="P273" s="2"/>
      <c r="R273"/>
      <c r="S273"/>
      <c r="V273"/>
    </row>
    <row r="274" spans="10:22" s="1" customFormat="1" x14ac:dyDescent="0.2">
      <c r="J274"/>
      <c r="K274"/>
      <c r="L274"/>
      <c r="M274"/>
      <c r="N274"/>
      <c r="O274" s="392"/>
      <c r="P274" s="2"/>
      <c r="R274"/>
      <c r="S274"/>
      <c r="V274"/>
    </row>
    <row r="275" spans="10:22" s="1" customFormat="1" x14ac:dyDescent="0.2">
      <c r="J275"/>
      <c r="K275"/>
      <c r="L275"/>
      <c r="M275"/>
      <c r="N275"/>
      <c r="O275" s="392"/>
      <c r="P275" s="2"/>
      <c r="R275"/>
      <c r="S275"/>
      <c r="V275"/>
    </row>
    <row r="276" spans="10:22" s="1" customFormat="1" x14ac:dyDescent="0.2">
      <c r="J276"/>
      <c r="K276"/>
      <c r="L276"/>
      <c r="M276"/>
      <c r="N276"/>
      <c r="O276" s="392"/>
      <c r="P276" s="2"/>
      <c r="R276"/>
      <c r="S276"/>
      <c r="V276"/>
    </row>
    <row r="277" spans="10:22" s="1" customFormat="1" x14ac:dyDescent="0.2">
      <c r="J277"/>
      <c r="K277"/>
      <c r="L277"/>
      <c r="M277"/>
      <c r="N277"/>
      <c r="O277" s="392"/>
      <c r="P277" s="2"/>
      <c r="R277"/>
      <c r="S277"/>
      <c r="V277"/>
    </row>
    <row r="278" spans="10:22" s="1" customFormat="1" x14ac:dyDescent="0.2">
      <c r="J278"/>
      <c r="K278"/>
      <c r="L278"/>
      <c r="M278"/>
      <c r="N278"/>
      <c r="O278" s="392"/>
      <c r="P278" s="2"/>
      <c r="R278"/>
      <c r="S278"/>
      <c r="V278"/>
    </row>
    <row r="279" spans="10:22" s="1" customFormat="1" x14ac:dyDescent="0.2">
      <c r="J279"/>
      <c r="K279"/>
      <c r="L279"/>
      <c r="M279"/>
      <c r="N279"/>
      <c r="O279" s="392"/>
      <c r="P279" s="2"/>
      <c r="R279"/>
      <c r="S279"/>
      <c r="V279"/>
    </row>
    <row r="280" spans="10:22" s="1" customFormat="1" x14ac:dyDescent="0.2">
      <c r="J280"/>
      <c r="K280"/>
      <c r="L280"/>
      <c r="M280"/>
      <c r="N280"/>
      <c r="O280" s="392"/>
      <c r="P280" s="2"/>
      <c r="R280"/>
      <c r="S280"/>
      <c r="V280"/>
    </row>
    <row r="281" spans="10:22" s="1" customFormat="1" x14ac:dyDescent="0.2">
      <c r="J281"/>
      <c r="K281"/>
      <c r="L281"/>
      <c r="M281"/>
      <c r="N281"/>
      <c r="O281" s="392"/>
      <c r="P281" s="2"/>
      <c r="R281"/>
      <c r="S281"/>
      <c r="V281"/>
    </row>
    <row r="282" spans="10:22" s="1" customFormat="1" x14ac:dyDescent="0.2">
      <c r="J282"/>
      <c r="K282"/>
      <c r="L282"/>
      <c r="M282"/>
      <c r="N282"/>
      <c r="O282" s="392"/>
      <c r="P282" s="2"/>
      <c r="R282"/>
      <c r="S282"/>
      <c r="V282"/>
    </row>
    <row r="283" spans="10:22" s="1" customFormat="1" x14ac:dyDescent="0.2">
      <c r="J283"/>
      <c r="K283"/>
      <c r="L283"/>
      <c r="M283"/>
      <c r="N283"/>
      <c r="O283" s="392"/>
      <c r="P283" s="2"/>
      <c r="R283"/>
      <c r="S283"/>
      <c r="V283"/>
    </row>
    <row r="284" spans="10:22" s="1" customFormat="1" x14ac:dyDescent="0.2">
      <c r="J284"/>
      <c r="K284"/>
      <c r="L284"/>
      <c r="M284"/>
      <c r="N284"/>
      <c r="O284" s="392"/>
      <c r="P284" s="2"/>
      <c r="R284"/>
      <c r="S284"/>
      <c r="V284"/>
    </row>
    <row r="285" spans="10:22" s="1" customFormat="1" x14ac:dyDescent="0.2">
      <c r="J285"/>
      <c r="K285"/>
      <c r="L285"/>
      <c r="M285"/>
      <c r="N285"/>
      <c r="O285" s="392"/>
      <c r="P285" s="2"/>
      <c r="R285"/>
      <c r="S285"/>
      <c r="V285"/>
    </row>
    <row r="286" spans="10:22" s="1" customFormat="1" x14ac:dyDescent="0.2">
      <c r="J286"/>
      <c r="K286"/>
      <c r="L286"/>
      <c r="M286"/>
      <c r="N286"/>
      <c r="O286" s="392"/>
      <c r="P286" s="2"/>
      <c r="R286"/>
      <c r="S286"/>
      <c r="V286"/>
    </row>
    <row r="287" spans="10:22" s="1" customFormat="1" x14ac:dyDescent="0.2">
      <c r="J287"/>
      <c r="K287"/>
      <c r="L287"/>
      <c r="M287"/>
      <c r="N287"/>
      <c r="O287" s="392"/>
      <c r="P287" s="2"/>
      <c r="R287"/>
      <c r="S287"/>
      <c r="V287"/>
    </row>
    <row r="288" spans="10:22" s="1" customFormat="1" x14ac:dyDescent="0.2">
      <c r="J288"/>
      <c r="K288"/>
      <c r="L288"/>
      <c r="M288"/>
      <c r="N288"/>
      <c r="O288" s="392"/>
      <c r="P288" s="2"/>
      <c r="R288"/>
      <c r="S288"/>
      <c r="V288"/>
    </row>
    <row r="289" spans="10:22" s="1" customFormat="1" x14ac:dyDescent="0.2">
      <c r="J289"/>
      <c r="K289"/>
      <c r="L289"/>
      <c r="M289"/>
      <c r="N289"/>
      <c r="O289" s="392"/>
      <c r="P289" s="2"/>
      <c r="R289"/>
      <c r="S289"/>
      <c r="V289"/>
    </row>
    <row r="290" spans="10:22" s="1" customFormat="1" x14ac:dyDescent="0.2">
      <c r="J290"/>
      <c r="K290"/>
      <c r="L290"/>
      <c r="M290"/>
      <c r="N290"/>
      <c r="O290" s="392"/>
      <c r="P290" s="2"/>
      <c r="R290"/>
      <c r="S290"/>
      <c r="V290"/>
    </row>
    <row r="291" spans="10:22" s="1" customFormat="1" x14ac:dyDescent="0.2">
      <c r="J291"/>
      <c r="K291"/>
      <c r="L291"/>
      <c r="M291"/>
      <c r="N291"/>
      <c r="O291" s="392"/>
      <c r="P291" s="2"/>
      <c r="R291"/>
      <c r="S291"/>
      <c r="V291"/>
    </row>
    <row r="292" spans="10:22" s="1" customFormat="1" x14ac:dyDescent="0.2">
      <c r="J292"/>
      <c r="K292"/>
      <c r="L292"/>
      <c r="M292"/>
      <c r="N292"/>
      <c r="O292" s="392"/>
      <c r="P292" s="2"/>
      <c r="R292"/>
      <c r="S292"/>
      <c r="V292"/>
    </row>
    <row r="293" spans="10:22" s="1" customFormat="1" x14ac:dyDescent="0.2">
      <c r="J293"/>
      <c r="K293"/>
      <c r="L293"/>
      <c r="M293"/>
      <c r="N293"/>
      <c r="O293" s="392"/>
      <c r="P293" s="2"/>
      <c r="R293"/>
      <c r="S293"/>
      <c r="V293"/>
    </row>
    <row r="294" spans="10:22" s="1" customFormat="1" x14ac:dyDescent="0.2">
      <c r="J294"/>
      <c r="K294"/>
      <c r="L294"/>
      <c r="M294"/>
      <c r="N294"/>
      <c r="O294" s="392"/>
      <c r="P294" s="2"/>
      <c r="R294"/>
      <c r="S294"/>
      <c r="V294"/>
    </row>
    <row r="295" spans="10:22" s="1" customFormat="1" x14ac:dyDescent="0.2">
      <c r="J295"/>
      <c r="K295"/>
      <c r="L295"/>
      <c r="M295"/>
      <c r="N295"/>
      <c r="O295" s="392"/>
      <c r="P295" s="2"/>
      <c r="R295"/>
      <c r="S295"/>
      <c r="V295"/>
    </row>
    <row r="296" spans="10:22" s="1" customFormat="1" x14ac:dyDescent="0.2">
      <c r="J296"/>
      <c r="K296"/>
      <c r="L296"/>
      <c r="M296"/>
      <c r="N296"/>
      <c r="O296" s="392"/>
      <c r="P296" s="2"/>
      <c r="R296"/>
      <c r="S296"/>
      <c r="V296"/>
    </row>
    <row r="297" spans="10:22" s="1" customFormat="1" x14ac:dyDescent="0.2">
      <c r="J297"/>
      <c r="K297"/>
      <c r="L297"/>
      <c r="M297"/>
      <c r="N297"/>
      <c r="O297" s="392"/>
      <c r="P297" s="2"/>
      <c r="R297"/>
      <c r="S297"/>
      <c r="V297"/>
    </row>
    <row r="298" spans="10:22" s="1" customFormat="1" x14ac:dyDescent="0.2">
      <c r="J298"/>
      <c r="K298"/>
      <c r="L298"/>
      <c r="M298"/>
      <c r="N298"/>
      <c r="O298" s="392"/>
      <c r="P298" s="2"/>
      <c r="R298"/>
      <c r="S298"/>
      <c r="V298"/>
    </row>
    <row r="299" spans="10:22" s="1" customFormat="1" x14ac:dyDescent="0.2">
      <c r="J299"/>
      <c r="K299"/>
      <c r="L299"/>
      <c r="M299"/>
      <c r="N299"/>
      <c r="O299" s="392"/>
      <c r="P299" s="2"/>
      <c r="R299"/>
      <c r="S299"/>
      <c r="V299"/>
    </row>
    <row r="300" spans="10:22" s="1" customFormat="1" x14ac:dyDescent="0.2">
      <c r="J300"/>
      <c r="K300"/>
      <c r="L300"/>
      <c r="M300"/>
      <c r="N300"/>
      <c r="O300" s="392"/>
      <c r="P300" s="2"/>
      <c r="R300"/>
      <c r="S300"/>
      <c r="V300"/>
    </row>
    <row r="301" spans="10:22" s="1" customFormat="1" x14ac:dyDescent="0.2">
      <c r="J301"/>
      <c r="K301"/>
      <c r="L301"/>
      <c r="M301"/>
      <c r="N301"/>
      <c r="O301" s="392"/>
      <c r="P301" s="2"/>
      <c r="R301"/>
      <c r="S301"/>
      <c r="V301"/>
    </row>
    <row r="302" spans="10:22" s="1" customFormat="1" x14ac:dyDescent="0.2">
      <c r="J302"/>
      <c r="K302"/>
      <c r="L302"/>
      <c r="M302"/>
      <c r="N302"/>
      <c r="O302" s="392"/>
      <c r="P302" s="2"/>
      <c r="R302"/>
      <c r="S302"/>
      <c r="V302"/>
    </row>
    <row r="303" spans="10:22" s="1" customFormat="1" x14ac:dyDescent="0.2">
      <c r="J303"/>
      <c r="K303"/>
      <c r="L303"/>
      <c r="M303"/>
      <c r="N303"/>
      <c r="O303" s="392"/>
      <c r="P303" s="2"/>
      <c r="R303"/>
      <c r="S303"/>
      <c r="V303"/>
    </row>
    <row r="304" spans="10:22" s="1" customFormat="1" x14ac:dyDescent="0.2">
      <c r="J304"/>
      <c r="K304"/>
      <c r="L304"/>
      <c r="M304"/>
      <c r="N304"/>
      <c r="O304" s="392"/>
      <c r="P304" s="2"/>
      <c r="R304"/>
      <c r="S304"/>
      <c r="V304"/>
    </row>
    <row r="305" spans="10:22" s="1" customFormat="1" x14ac:dyDescent="0.2">
      <c r="J305"/>
      <c r="K305"/>
      <c r="L305"/>
      <c r="M305"/>
      <c r="N305"/>
      <c r="O305" s="392"/>
      <c r="P305" s="2"/>
      <c r="R305"/>
      <c r="S305"/>
      <c r="V305"/>
    </row>
    <row r="306" spans="10:22" s="1" customFormat="1" x14ac:dyDescent="0.2">
      <c r="J306"/>
      <c r="K306"/>
      <c r="L306"/>
      <c r="M306"/>
      <c r="N306"/>
      <c r="O306" s="392"/>
      <c r="P306" s="2"/>
      <c r="R306"/>
      <c r="S306"/>
      <c r="V306"/>
    </row>
    <row r="307" spans="10:22" s="1" customFormat="1" x14ac:dyDescent="0.2">
      <c r="J307"/>
      <c r="K307"/>
      <c r="L307"/>
      <c r="M307"/>
      <c r="N307"/>
      <c r="O307" s="392"/>
      <c r="P307" s="2"/>
      <c r="R307"/>
      <c r="S307"/>
      <c r="V307"/>
    </row>
    <row r="308" spans="10:22" s="1" customFormat="1" x14ac:dyDescent="0.2">
      <c r="J308"/>
      <c r="K308"/>
      <c r="L308"/>
      <c r="M308"/>
      <c r="N308"/>
      <c r="O308" s="392"/>
      <c r="P308" s="2"/>
      <c r="R308"/>
      <c r="S308"/>
      <c r="V308"/>
    </row>
    <row r="309" spans="10:22" s="1" customFormat="1" x14ac:dyDescent="0.2">
      <c r="J309"/>
      <c r="K309"/>
      <c r="L309"/>
      <c r="M309"/>
      <c r="N309"/>
      <c r="O309" s="392"/>
      <c r="P309" s="2"/>
      <c r="R309"/>
      <c r="S309"/>
      <c r="V309"/>
    </row>
    <row r="310" spans="10:22" s="1" customFormat="1" x14ac:dyDescent="0.2">
      <c r="J310"/>
      <c r="K310"/>
      <c r="L310"/>
      <c r="M310"/>
      <c r="N310"/>
      <c r="O310" s="392"/>
      <c r="P310" s="2"/>
      <c r="R310"/>
      <c r="S310"/>
      <c r="V310"/>
    </row>
    <row r="311" spans="10:22" s="1" customFormat="1" x14ac:dyDescent="0.2">
      <c r="J311"/>
      <c r="K311"/>
      <c r="L311"/>
      <c r="M311"/>
      <c r="N311"/>
      <c r="O311" s="392"/>
      <c r="P311" s="2"/>
      <c r="R311"/>
      <c r="S311"/>
      <c r="V311"/>
    </row>
    <row r="312" spans="10:22" s="1" customFormat="1" x14ac:dyDescent="0.2">
      <c r="J312"/>
      <c r="K312"/>
      <c r="L312"/>
      <c r="M312"/>
      <c r="N312"/>
      <c r="O312" s="392"/>
      <c r="P312" s="2"/>
      <c r="R312"/>
      <c r="S312"/>
      <c r="V312"/>
    </row>
    <row r="313" spans="10:22" s="1" customFormat="1" x14ac:dyDescent="0.2">
      <c r="J313"/>
      <c r="K313"/>
      <c r="L313"/>
      <c r="M313"/>
      <c r="N313"/>
      <c r="O313" s="392"/>
      <c r="P313" s="2"/>
      <c r="R313"/>
      <c r="S313"/>
      <c r="V313"/>
    </row>
    <row r="314" spans="10:22" s="1" customFormat="1" x14ac:dyDescent="0.2">
      <c r="J314"/>
      <c r="K314"/>
      <c r="L314"/>
      <c r="M314"/>
      <c r="N314"/>
      <c r="O314" s="392"/>
      <c r="P314" s="2"/>
      <c r="R314"/>
      <c r="S314"/>
      <c r="V314"/>
    </row>
    <row r="315" spans="10:22" s="1" customFormat="1" x14ac:dyDescent="0.2">
      <c r="J315"/>
      <c r="K315"/>
      <c r="L315"/>
      <c r="M315"/>
      <c r="N315"/>
      <c r="O315" s="392"/>
      <c r="P315" s="2"/>
      <c r="R315"/>
      <c r="S315"/>
      <c r="V315"/>
    </row>
    <row r="316" spans="10:22" s="1" customFormat="1" x14ac:dyDescent="0.2">
      <c r="J316"/>
      <c r="K316"/>
      <c r="L316"/>
      <c r="M316"/>
      <c r="N316"/>
      <c r="O316" s="392"/>
      <c r="P316" s="2"/>
      <c r="R316"/>
      <c r="S316"/>
      <c r="V316"/>
    </row>
    <row r="317" spans="10:22" s="1" customFormat="1" x14ac:dyDescent="0.2">
      <c r="J317"/>
      <c r="K317"/>
      <c r="L317"/>
      <c r="M317"/>
      <c r="N317"/>
      <c r="O317" s="392"/>
      <c r="P317" s="2"/>
      <c r="R317"/>
      <c r="S317"/>
      <c r="V317"/>
    </row>
    <row r="318" spans="10:22" s="1" customFormat="1" x14ac:dyDescent="0.2">
      <c r="J318"/>
      <c r="K318"/>
      <c r="L318"/>
      <c r="M318"/>
      <c r="N318"/>
      <c r="O318" s="392"/>
      <c r="P318" s="2"/>
      <c r="R318"/>
      <c r="S318"/>
      <c r="V318"/>
    </row>
    <row r="319" spans="10:22" s="1" customFormat="1" x14ac:dyDescent="0.2">
      <c r="J319"/>
      <c r="K319"/>
      <c r="L319"/>
      <c r="M319"/>
      <c r="N319"/>
      <c r="O319" s="392"/>
      <c r="P319" s="2"/>
      <c r="R319"/>
      <c r="S319"/>
      <c r="V319"/>
    </row>
    <row r="320" spans="10:22" s="1" customFormat="1" x14ac:dyDescent="0.2">
      <c r="J320"/>
      <c r="K320"/>
      <c r="L320"/>
      <c r="M320"/>
      <c r="N320"/>
      <c r="O320" s="392"/>
      <c r="P320" s="2"/>
      <c r="R320"/>
      <c r="S320"/>
      <c r="V320"/>
    </row>
    <row r="321" spans="10:22" s="1" customFormat="1" x14ac:dyDescent="0.2">
      <c r="J321"/>
      <c r="K321"/>
      <c r="L321"/>
      <c r="M321"/>
      <c r="N321"/>
      <c r="O321" s="392"/>
      <c r="P321" s="2"/>
      <c r="R321"/>
      <c r="S321"/>
      <c r="V321"/>
    </row>
    <row r="322" spans="10:22" s="1" customFormat="1" x14ac:dyDescent="0.2">
      <c r="J322"/>
      <c r="K322"/>
      <c r="L322"/>
      <c r="M322"/>
      <c r="N322"/>
      <c r="O322" s="392"/>
      <c r="P322" s="2"/>
      <c r="R322"/>
      <c r="S322"/>
      <c r="V322"/>
    </row>
    <row r="323" spans="10:22" s="1" customFormat="1" x14ac:dyDescent="0.2">
      <c r="J323"/>
      <c r="K323"/>
      <c r="L323"/>
      <c r="M323"/>
      <c r="N323"/>
      <c r="O323" s="392"/>
      <c r="P323" s="2"/>
      <c r="R323"/>
      <c r="S323"/>
      <c r="V323"/>
    </row>
    <row r="324" spans="10:22" s="1" customFormat="1" x14ac:dyDescent="0.2">
      <c r="J324"/>
      <c r="K324"/>
      <c r="L324"/>
      <c r="M324"/>
      <c r="N324"/>
      <c r="O324" s="392"/>
      <c r="P324" s="2"/>
      <c r="R324"/>
      <c r="S324"/>
      <c r="V324"/>
    </row>
    <row r="325" spans="10:22" s="1" customFormat="1" x14ac:dyDescent="0.2">
      <c r="J325"/>
      <c r="K325"/>
      <c r="L325"/>
      <c r="M325"/>
      <c r="N325"/>
      <c r="O325" s="392"/>
      <c r="P325" s="2"/>
      <c r="R325"/>
      <c r="S325"/>
      <c r="V325"/>
    </row>
    <row r="326" spans="10:22" s="1" customFormat="1" x14ac:dyDescent="0.2">
      <c r="J326"/>
      <c r="K326"/>
      <c r="L326"/>
      <c r="M326"/>
      <c r="N326"/>
      <c r="O326" s="392"/>
      <c r="P326" s="2"/>
      <c r="R326"/>
      <c r="S326"/>
      <c r="V326"/>
    </row>
    <row r="327" spans="10:22" s="1" customFormat="1" x14ac:dyDescent="0.2">
      <c r="J327"/>
      <c r="K327"/>
      <c r="L327"/>
      <c r="M327"/>
      <c r="N327"/>
      <c r="O327" s="392"/>
      <c r="P327" s="2"/>
      <c r="R327"/>
      <c r="S327"/>
      <c r="V327"/>
    </row>
    <row r="328" spans="10:22" s="1" customFormat="1" x14ac:dyDescent="0.2">
      <c r="J328"/>
      <c r="K328"/>
      <c r="L328"/>
      <c r="M328"/>
      <c r="N328"/>
      <c r="O328" s="392"/>
      <c r="P328" s="2"/>
      <c r="R328"/>
      <c r="S328"/>
      <c r="V328"/>
    </row>
    <row r="329" spans="10:22" s="1" customFormat="1" x14ac:dyDescent="0.2">
      <c r="J329"/>
      <c r="K329"/>
      <c r="L329"/>
      <c r="M329"/>
      <c r="N329"/>
      <c r="O329" s="392"/>
      <c r="P329" s="2"/>
      <c r="R329"/>
      <c r="S329"/>
      <c r="V329"/>
    </row>
    <row r="330" spans="10:22" s="1" customFormat="1" x14ac:dyDescent="0.2">
      <c r="J330"/>
      <c r="K330"/>
      <c r="L330"/>
      <c r="M330"/>
      <c r="N330"/>
      <c r="O330" s="392"/>
      <c r="P330" s="2"/>
      <c r="R330"/>
      <c r="S330"/>
      <c r="V330"/>
    </row>
    <row r="331" spans="10:22" s="1" customFormat="1" x14ac:dyDescent="0.2">
      <c r="J331"/>
      <c r="K331"/>
      <c r="L331"/>
      <c r="M331"/>
      <c r="N331"/>
      <c r="O331" s="392"/>
      <c r="P331" s="2"/>
      <c r="R331"/>
      <c r="S331"/>
      <c r="V331"/>
    </row>
    <row r="332" spans="10:22" s="1" customFormat="1" x14ac:dyDescent="0.2">
      <c r="J332"/>
      <c r="K332"/>
      <c r="L332"/>
      <c r="M332"/>
      <c r="N332"/>
      <c r="O332" s="392"/>
      <c r="P332" s="2"/>
      <c r="R332"/>
      <c r="S332"/>
      <c r="V332"/>
    </row>
    <row r="333" spans="10:22" s="1" customFormat="1" x14ac:dyDescent="0.2">
      <c r="J333"/>
      <c r="K333"/>
      <c r="L333"/>
      <c r="M333"/>
      <c r="N333"/>
      <c r="O333" s="392"/>
      <c r="P333" s="2"/>
      <c r="R333"/>
      <c r="S333"/>
      <c r="V333"/>
    </row>
    <row r="334" spans="10:22" s="1" customFormat="1" x14ac:dyDescent="0.2">
      <c r="J334"/>
      <c r="K334"/>
      <c r="L334"/>
      <c r="M334"/>
      <c r="N334"/>
      <c r="O334" s="392"/>
      <c r="P334" s="2"/>
      <c r="R334"/>
      <c r="S334"/>
      <c r="V334"/>
    </row>
    <row r="335" spans="10:22" s="1" customFormat="1" x14ac:dyDescent="0.2">
      <c r="J335"/>
      <c r="K335"/>
      <c r="L335"/>
      <c r="M335"/>
      <c r="N335"/>
      <c r="O335" s="392"/>
      <c r="P335" s="2"/>
      <c r="R335"/>
      <c r="S335"/>
      <c r="V335"/>
    </row>
    <row r="336" spans="10:22" s="1" customFormat="1" x14ac:dyDescent="0.2">
      <c r="J336"/>
      <c r="K336"/>
      <c r="L336"/>
      <c r="M336"/>
      <c r="N336"/>
      <c r="O336" s="392"/>
      <c r="P336" s="2"/>
      <c r="R336"/>
      <c r="S336"/>
      <c r="V336"/>
    </row>
    <row r="337" spans="10:22" s="1" customFormat="1" x14ac:dyDescent="0.2">
      <c r="J337"/>
      <c r="K337"/>
      <c r="L337"/>
      <c r="M337"/>
      <c r="N337"/>
      <c r="O337" s="392"/>
      <c r="P337" s="2"/>
      <c r="R337"/>
      <c r="S337"/>
      <c r="V337"/>
    </row>
    <row r="338" spans="10:22" s="1" customFormat="1" x14ac:dyDescent="0.2">
      <c r="J338"/>
      <c r="K338"/>
      <c r="L338"/>
      <c r="M338"/>
      <c r="N338"/>
      <c r="O338" s="392"/>
      <c r="P338" s="2"/>
      <c r="R338"/>
      <c r="S338"/>
      <c r="V338"/>
    </row>
    <row r="339" spans="10:22" s="1" customFormat="1" x14ac:dyDescent="0.2">
      <c r="J339"/>
      <c r="K339"/>
      <c r="L339"/>
      <c r="M339"/>
      <c r="N339"/>
      <c r="O339" s="392"/>
      <c r="P339" s="2"/>
      <c r="R339"/>
      <c r="S339"/>
      <c r="V339"/>
    </row>
    <row r="340" spans="10:22" s="1" customFormat="1" x14ac:dyDescent="0.2">
      <c r="J340"/>
      <c r="K340"/>
      <c r="L340"/>
      <c r="M340"/>
      <c r="N340"/>
      <c r="O340" s="392"/>
      <c r="P340" s="2"/>
      <c r="R340"/>
      <c r="S340"/>
      <c r="V340"/>
    </row>
    <row r="341" spans="10:22" s="1" customFormat="1" x14ac:dyDescent="0.2">
      <c r="J341"/>
      <c r="K341"/>
      <c r="L341"/>
      <c r="M341"/>
      <c r="N341"/>
      <c r="O341" s="392"/>
      <c r="P341" s="2"/>
      <c r="R341"/>
      <c r="S341"/>
      <c r="V341"/>
    </row>
    <row r="342" spans="10:22" s="1" customFormat="1" x14ac:dyDescent="0.2">
      <c r="J342"/>
      <c r="K342"/>
      <c r="L342"/>
      <c r="M342"/>
      <c r="N342"/>
      <c r="O342" s="392"/>
      <c r="P342" s="2"/>
      <c r="R342"/>
      <c r="S342"/>
      <c r="V342"/>
    </row>
    <row r="343" spans="10:22" s="1" customFormat="1" x14ac:dyDescent="0.2">
      <c r="J343"/>
      <c r="K343"/>
      <c r="L343"/>
      <c r="M343"/>
      <c r="N343"/>
      <c r="O343" s="392"/>
      <c r="P343" s="2"/>
      <c r="R343"/>
      <c r="S343"/>
      <c r="V343"/>
    </row>
    <row r="344" spans="10:22" s="1" customFormat="1" x14ac:dyDescent="0.2">
      <c r="J344"/>
      <c r="K344"/>
      <c r="L344"/>
      <c r="M344"/>
      <c r="N344"/>
      <c r="O344" s="392"/>
      <c r="P344" s="2"/>
      <c r="R344"/>
      <c r="S344"/>
      <c r="V344"/>
    </row>
    <row r="345" spans="10:22" s="1" customFormat="1" x14ac:dyDescent="0.2">
      <c r="J345"/>
      <c r="K345"/>
      <c r="L345"/>
      <c r="M345"/>
      <c r="N345"/>
      <c r="O345" s="392"/>
      <c r="P345" s="2"/>
      <c r="R345"/>
      <c r="S345"/>
      <c r="V345"/>
    </row>
    <row r="346" spans="10:22" s="1" customFormat="1" x14ac:dyDescent="0.2">
      <c r="J346"/>
      <c r="K346"/>
      <c r="L346"/>
      <c r="M346"/>
      <c r="N346"/>
      <c r="O346" s="392"/>
      <c r="P346" s="2"/>
      <c r="R346"/>
      <c r="S346"/>
      <c r="V346"/>
    </row>
    <row r="347" spans="10:22" s="1" customFormat="1" x14ac:dyDescent="0.2">
      <c r="J347"/>
      <c r="K347"/>
      <c r="L347"/>
      <c r="M347"/>
      <c r="N347"/>
      <c r="O347" s="392"/>
      <c r="P347" s="2"/>
      <c r="R347"/>
      <c r="S347"/>
      <c r="V347"/>
    </row>
    <row r="348" spans="10:22" s="1" customFormat="1" x14ac:dyDescent="0.2">
      <c r="J348"/>
      <c r="K348"/>
      <c r="L348"/>
      <c r="M348"/>
      <c r="N348"/>
      <c r="O348" s="392"/>
      <c r="P348" s="2"/>
      <c r="R348"/>
      <c r="S348"/>
      <c r="V348"/>
    </row>
    <row r="349" spans="10:22" s="1" customFormat="1" x14ac:dyDescent="0.2">
      <c r="J349"/>
      <c r="K349"/>
      <c r="L349"/>
      <c r="M349"/>
      <c r="N349"/>
      <c r="O349" s="392"/>
      <c r="P349" s="2"/>
      <c r="R349"/>
      <c r="S349"/>
      <c r="V349"/>
    </row>
    <row r="350" spans="10:22" s="1" customFormat="1" x14ac:dyDescent="0.2">
      <c r="J350"/>
      <c r="K350"/>
      <c r="L350"/>
      <c r="M350"/>
      <c r="N350"/>
      <c r="O350" s="392"/>
      <c r="P350" s="2"/>
      <c r="R350"/>
      <c r="S350"/>
      <c r="V350"/>
    </row>
    <row r="351" spans="10:22" s="1" customFormat="1" x14ac:dyDescent="0.2">
      <c r="J351"/>
      <c r="K351"/>
      <c r="L351"/>
      <c r="M351"/>
      <c r="N351"/>
      <c r="O351" s="392"/>
      <c r="P351" s="2"/>
      <c r="R351"/>
      <c r="S351"/>
      <c r="V351"/>
    </row>
    <row r="352" spans="10:22" s="1" customFormat="1" x14ac:dyDescent="0.2">
      <c r="J352"/>
      <c r="K352"/>
      <c r="L352"/>
      <c r="M352"/>
      <c r="N352"/>
      <c r="O352" s="392"/>
      <c r="P352" s="2"/>
      <c r="R352"/>
      <c r="S352"/>
      <c r="V352"/>
    </row>
    <row r="353" spans="10:22" s="1" customFormat="1" x14ac:dyDescent="0.2">
      <c r="J353"/>
      <c r="K353"/>
      <c r="L353"/>
      <c r="M353"/>
      <c r="N353"/>
      <c r="O353" s="392"/>
      <c r="P353" s="2"/>
      <c r="R353"/>
      <c r="S353"/>
      <c r="V353"/>
    </row>
    <row r="354" spans="10:22" s="1" customFormat="1" x14ac:dyDescent="0.2">
      <c r="J354"/>
      <c r="K354"/>
      <c r="L354"/>
      <c r="M354"/>
      <c r="N354"/>
      <c r="O354" s="392"/>
      <c r="P354" s="2"/>
      <c r="R354"/>
      <c r="S354"/>
      <c r="V354"/>
    </row>
    <row r="355" spans="10:22" s="1" customFormat="1" x14ac:dyDescent="0.2">
      <c r="J355"/>
      <c r="K355"/>
      <c r="L355"/>
      <c r="M355"/>
      <c r="N355"/>
      <c r="O355" s="392"/>
      <c r="P355" s="2"/>
      <c r="R355"/>
      <c r="S355"/>
      <c r="V355"/>
    </row>
    <row r="356" spans="10:22" s="1" customFormat="1" x14ac:dyDescent="0.2">
      <c r="J356"/>
      <c r="K356"/>
      <c r="L356"/>
      <c r="M356"/>
      <c r="N356"/>
      <c r="O356" s="392"/>
      <c r="P356" s="2"/>
      <c r="R356"/>
      <c r="S356"/>
      <c r="V356"/>
    </row>
    <row r="357" spans="10:22" s="1" customFormat="1" x14ac:dyDescent="0.2">
      <c r="J357"/>
      <c r="K357"/>
      <c r="L357"/>
      <c r="M357"/>
      <c r="N357"/>
      <c r="O357" s="392"/>
      <c r="P357" s="2"/>
      <c r="R357"/>
      <c r="S357"/>
      <c r="V357"/>
    </row>
    <row r="358" spans="10:22" s="1" customFormat="1" x14ac:dyDescent="0.2">
      <c r="J358"/>
      <c r="K358"/>
      <c r="L358"/>
      <c r="M358"/>
      <c r="N358"/>
      <c r="O358" s="392"/>
      <c r="P358" s="2"/>
      <c r="R358"/>
      <c r="S358"/>
      <c r="V358"/>
    </row>
    <row r="359" spans="10:22" s="1" customFormat="1" x14ac:dyDescent="0.2">
      <c r="J359"/>
      <c r="K359"/>
      <c r="L359"/>
      <c r="M359"/>
      <c r="N359"/>
      <c r="O359" s="392"/>
      <c r="P359" s="2"/>
      <c r="R359"/>
      <c r="S359"/>
      <c r="V359"/>
    </row>
    <row r="360" spans="10:22" s="1" customFormat="1" x14ac:dyDescent="0.2">
      <c r="J360"/>
      <c r="K360"/>
      <c r="L360"/>
      <c r="M360"/>
      <c r="N360"/>
      <c r="O360" s="392"/>
      <c r="P360" s="2"/>
      <c r="R360"/>
      <c r="S360"/>
      <c r="V360"/>
    </row>
    <row r="361" spans="10:22" s="1" customFormat="1" x14ac:dyDescent="0.2">
      <c r="J361"/>
      <c r="K361"/>
      <c r="L361"/>
      <c r="M361"/>
      <c r="N361"/>
      <c r="O361" s="392"/>
      <c r="P361" s="2"/>
      <c r="R361"/>
      <c r="S361"/>
      <c r="V361"/>
    </row>
    <row r="362" spans="10:22" s="1" customFormat="1" x14ac:dyDescent="0.2">
      <c r="J362"/>
      <c r="K362"/>
      <c r="L362"/>
      <c r="M362"/>
      <c r="N362"/>
      <c r="O362" s="392"/>
      <c r="P362" s="2"/>
      <c r="R362"/>
      <c r="S362"/>
      <c r="V362"/>
    </row>
    <row r="363" spans="10:22" s="1" customFormat="1" x14ac:dyDescent="0.2">
      <c r="J363"/>
      <c r="K363"/>
      <c r="L363"/>
      <c r="M363"/>
      <c r="N363"/>
      <c r="O363" s="392"/>
      <c r="P363" s="2"/>
      <c r="R363"/>
      <c r="S363"/>
      <c r="V363"/>
    </row>
    <row r="364" spans="10:22" s="1" customFormat="1" x14ac:dyDescent="0.2">
      <c r="J364"/>
      <c r="K364"/>
      <c r="L364"/>
      <c r="M364"/>
      <c r="N364"/>
      <c r="O364" s="392"/>
      <c r="P364" s="2"/>
      <c r="R364"/>
      <c r="S364"/>
      <c r="V364"/>
    </row>
    <row r="365" spans="10:22" s="1" customFormat="1" x14ac:dyDescent="0.2">
      <c r="J365"/>
      <c r="K365"/>
      <c r="L365"/>
      <c r="M365"/>
      <c r="N365"/>
      <c r="O365" s="392"/>
      <c r="P365" s="2"/>
      <c r="R365"/>
      <c r="S365"/>
      <c r="V365"/>
    </row>
    <row r="366" spans="10:22" s="1" customFormat="1" x14ac:dyDescent="0.2">
      <c r="J366"/>
      <c r="K366"/>
      <c r="L366"/>
      <c r="M366"/>
      <c r="N366"/>
      <c r="O366" s="392"/>
      <c r="P366" s="2"/>
      <c r="R366"/>
      <c r="S366"/>
      <c r="V366"/>
    </row>
    <row r="367" spans="10:22" s="1" customFormat="1" x14ac:dyDescent="0.2">
      <c r="J367"/>
      <c r="K367"/>
      <c r="L367"/>
      <c r="M367"/>
      <c r="N367"/>
      <c r="O367" s="392"/>
      <c r="P367" s="2"/>
      <c r="R367"/>
      <c r="S367"/>
      <c r="V367"/>
    </row>
    <row r="368" spans="10:22" s="1" customFormat="1" x14ac:dyDescent="0.2">
      <c r="J368"/>
      <c r="K368"/>
      <c r="L368"/>
      <c r="M368"/>
      <c r="N368"/>
      <c r="O368" s="392"/>
      <c r="P368" s="2"/>
      <c r="R368"/>
      <c r="S368"/>
      <c r="V368"/>
    </row>
    <row r="369" spans="10:22" s="1" customFormat="1" x14ac:dyDescent="0.2">
      <c r="J369"/>
      <c r="K369"/>
      <c r="L369"/>
      <c r="M369"/>
      <c r="N369"/>
      <c r="O369" s="392"/>
      <c r="P369" s="2"/>
      <c r="R369"/>
      <c r="S369"/>
      <c r="V369"/>
    </row>
    <row r="370" spans="10:22" s="1" customFormat="1" x14ac:dyDescent="0.2">
      <c r="J370"/>
      <c r="K370"/>
      <c r="L370"/>
      <c r="M370"/>
      <c r="N370"/>
      <c r="O370" s="392"/>
      <c r="P370" s="2"/>
      <c r="R370"/>
      <c r="S370"/>
      <c r="V370"/>
    </row>
    <row r="371" spans="10:22" s="1" customFormat="1" x14ac:dyDescent="0.2">
      <c r="J371"/>
      <c r="K371"/>
      <c r="L371"/>
      <c r="M371"/>
      <c r="N371"/>
      <c r="O371" s="392"/>
      <c r="P371" s="2"/>
      <c r="R371"/>
      <c r="S371"/>
      <c r="V371"/>
    </row>
    <row r="372" spans="10:22" s="1" customFormat="1" x14ac:dyDescent="0.2">
      <c r="J372"/>
      <c r="K372"/>
      <c r="L372"/>
      <c r="M372"/>
      <c r="N372"/>
      <c r="O372" s="392"/>
      <c r="P372" s="2"/>
      <c r="R372"/>
      <c r="S372"/>
      <c r="V372"/>
    </row>
    <row r="373" spans="10:22" s="1" customFormat="1" x14ac:dyDescent="0.2">
      <c r="J373"/>
      <c r="K373"/>
      <c r="L373"/>
      <c r="M373"/>
      <c r="N373"/>
      <c r="O373" s="392"/>
      <c r="P373" s="2"/>
      <c r="R373"/>
      <c r="S373"/>
      <c r="V373"/>
    </row>
    <row r="374" spans="10:22" s="1" customFormat="1" x14ac:dyDescent="0.2">
      <c r="J374"/>
      <c r="K374"/>
      <c r="L374"/>
      <c r="M374"/>
      <c r="N374"/>
      <c r="O374" s="392"/>
      <c r="P374" s="2"/>
      <c r="R374"/>
      <c r="S374"/>
      <c r="V374"/>
    </row>
    <row r="375" spans="10:22" s="1" customFormat="1" x14ac:dyDescent="0.2">
      <c r="J375"/>
      <c r="K375"/>
      <c r="L375"/>
      <c r="M375"/>
      <c r="N375"/>
      <c r="O375" s="392"/>
      <c r="P375" s="2"/>
      <c r="R375"/>
      <c r="S375"/>
      <c r="V375"/>
    </row>
    <row r="376" spans="10:22" s="1" customFormat="1" x14ac:dyDescent="0.2">
      <c r="J376"/>
      <c r="K376"/>
      <c r="L376"/>
      <c r="M376"/>
      <c r="N376"/>
      <c r="O376" s="392"/>
      <c r="P376" s="2"/>
      <c r="R376"/>
      <c r="S376"/>
      <c r="V376"/>
    </row>
    <row r="377" spans="10:22" s="1" customFormat="1" x14ac:dyDescent="0.2">
      <c r="J377"/>
      <c r="K377"/>
      <c r="L377"/>
      <c r="M377"/>
      <c r="N377"/>
      <c r="O377" s="392"/>
      <c r="P377" s="2"/>
      <c r="R377"/>
      <c r="S377"/>
      <c r="V377"/>
    </row>
    <row r="378" spans="10:22" s="1" customFormat="1" x14ac:dyDescent="0.2">
      <c r="J378"/>
      <c r="K378"/>
      <c r="L378"/>
      <c r="M378"/>
      <c r="N378"/>
      <c r="O378" s="392"/>
      <c r="P378" s="2"/>
      <c r="R378"/>
      <c r="S378"/>
      <c r="V378"/>
    </row>
    <row r="379" spans="10:22" s="1" customFormat="1" x14ac:dyDescent="0.2">
      <c r="J379"/>
      <c r="K379"/>
      <c r="L379"/>
      <c r="M379"/>
      <c r="N379"/>
      <c r="O379" s="392"/>
      <c r="P379" s="2"/>
      <c r="R379"/>
      <c r="S379"/>
      <c r="V379"/>
    </row>
    <row r="380" spans="10:22" s="1" customFormat="1" x14ac:dyDescent="0.2">
      <c r="J380"/>
      <c r="K380"/>
      <c r="L380"/>
      <c r="M380"/>
      <c r="N380"/>
      <c r="O380" s="392"/>
      <c r="P380" s="2"/>
      <c r="R380"/>
      <c r="S380"/>
      <c r="V380"/>
    </row>
    <row r="381" spans="10:22" s="1" customFormat="1" x14ac:dyDescent="0.2">
      <c r="J381"/>
      <c r="K381"/>
      <c r="L381"/>
      <c r="M381"/>
      <c r="N381"/>
      <c r="O381" s="392"/>
      <c r="P381" s="2"/>
      <c r="R381"/>
      <c r="S381"/>
      <c r="V381"/>
    </row>
    <row r="382" spans="10:22" s="1" customFormat="1" x14ac:dyDescent="0.2">
      <c r="J382"/>
      <c r="K382"/>
      <c r="L382"/>
      <c r="M382"/>
      <c r="N382"/>
      <c r="O382" s="392"/>
      <c r="P382" s="2"/>
      <c r="R382"/>
      <c r="S382"/>
      <c r="V382"/>
    </row>
    <row r="383" spans="10:22" s="1" customFormat="1" x14ac:dyDescent="0.2">
      <c r="J383"/>
      <c r="K383"/>
      <c r="L383"/>
      <c r="M383"/>
      <c r="N383"/>
      <c r="O383" s="392"/>
      <c r="P383" s="2"/>
      <c r="R383"/>
      <c r="S383"/>
      <c r="V383"/>
    </row>
    <row r="384" spans="10:22" s="1" customFormat="1" x14ac:dyDescent="0.2">
      <c r="J384"/>
      <c r="K384"/>
      <c r="L384"/>
      <c r="M384"/>
      <c r="N384"/>
      <c r="O384" s="392"/>
      <c r="P384" s="2"/>
      <c r="R384"/>
      <c r="S384"/>
      <c r="V384"/>
    </row>
    <row r="385" spans="10:22" s="1" customFormat="1" x14ac:dyDescent="0.2">
      <c r="J385"/>
      <c r="K385"/>
      <c r="L385"/>
      <c r="M385"/>
      <c r="N385"/>
      <c r="O385" s="392"/>
      <c r="P385" s="2"/>
      <c r="R385"/>
      <c r="S385"/>
      <c r="V385"/>
    </row>
    <row r="386" spans="10:22" s="1" customFormat="1" x14ac:dyDescent="0.2">
      <c r="J386"/>
      <c r="K386"/>
      <c r="L386"/>
      <c r="M386"/>
      <c r="N386"/>
      <c r="O386" s="392"/>
      <c r="P386" s="2"/>
      <c r="R386"/>
      <c r="S386"/>
      <c r="V386"/>
    </row>
    <row r="387" spans="10:22" s="1" customFormat="1" x14ac:dyDescent="0.2">
      <c r="J387"/>
      <c r="K387"/>
      <c r="L387"/>
      <c r="M387"/>
      <c r="N387"/>
      <c r="O387" s="392"/>
      <c r="P387" s="2"/>
      <c r="R387"/>
      <c r="S387"/>
      <c r="V387"/>
    </row>
    <row r="388" spans="10:22" s="1" customFormat="1" x14ac:dyDescent="0.2">
      <c r="J388"/>
      <c r="K388"/>
      <c r="L388"/>
      <c r="M388"/>
      <c r="N388"/>
      <c r="O388" s="392"/>
      <c r="P388" s="2"/>
      <c r="R388"/>
      <c r="S388"/>
      <c r="V388"/>
    </row>
    <row r="389" spans="10:22" s="1" customFormat="1" x14ac:dyDescent="0.2">
      <c r="J389"/>
      <c r="K389"/>
      <c r="L389"/>
      <c r="M389"/>
      <c r="N389"/>
      <c r="O389" s="392"/>
      <c r="P389" s="2"/>
      <c r="R389"/>
      <c r="S389"/>
      <c r="V389"/>
    </row>
    <row r="390" spans="10:22" s="1" customFormat="1" x14ac:dyDescent="0.2">
      <c r="J390"/>
      <c r="K390"/>
      <c r="L390"/>
      <c r="M390"/>
      <c r="N390"/>
      <c r="O390" s="392"/>
      <c r="P390" s="2"/>
      <c r="R390"/>
      <c r="S390"/>
      <c r="V390"/>
    </row>
    <row r="391" spans="10:22" s="1" customFormat="1" x14ac:dyDescent="0.2">
      <c r="J391"/>
      <c r="K391"/>
      <c r="L391"/>
      <c r="M391"/>
      <c r="N391"/>
      <c r="O391" s="392"/>
      <c r="P391" s="2"/>
      <c r="R391"/>
      <c r="S391"/>
      <c r="V391"/>
    </row>
    <row r="392" spans="10:22" s="1" customFormat="1" x14ac:dyDescent="0.2">
      <c r="J392"/>
      <c r="K392"/>
      <c r="L392"/>
      <c r="M392"/>
      <c r="N392"/>
      <c r="O392" s="392"/>
      <c r="P392" s="2"/>
      <c r="R392"/>
      <c r="S392"/>
      <c r="V392"/>
    </row>
    <row r="393" spans="10:22" s="1" customFormat="1" x14ac:dyDescent="0.2">
      <c r="J393"/>
      <c r="K393"/>
      <c r="L393"/>
      <c r="M393"/>
      <c r="N393"/>
      <c r="O393" s="392"/>
      <c r="P393" s="2"/>
      <c r="R393"/>
      <c r="S393"/>
      <c r="V393"/>
    </row>
    <row r="394" spans="10:22" s="1" customFormat="1" x14ac:dyDescent="0.2">
      <c r="J394"/>
      <c r="K394"/>
      <c r="L394"/>
      <c r="M394"/>
      <c r="N394"/>
      <c r="O394" s="392"/>
      <c r="P394" s="2"/>
      <c r="R394"/>
      <c r="S394"/>
      <c r="V394"/>
    </row>
    <row r="395" spans="10:22" s="1" customFormat="1" x14ac:dyDescent="0.2">
      <c r="J395"/>
      <c r="K395"/>
      <c r="L395"/>
      <c r="M395"/>
      <c r="N395"/>
      <c r="O395" s="392"/>
      <c r="P395" s="2"/>
      <c r="R395"/>
      <c r="S395"/>
      <c r="V395"/>
    </row>
    <row r="396" spans="10:22" s="1" customFormat="1" x14ac:dyDescent="0.2">
      <c r="J396"/>
      <c r="K396"/>
      <c r="L396"/>
      <c r="M396"/>
      <c r="N396"/>
      <c r="O396" s="392"/>
      <c r="P396" s="2"/>
      <c r="R396"/>
      <c r="S396"/>
      <c r="V396"/>
    </row>
    <row r="397" spans="10:22" s="1" customFormat="1" x14ac:dyDescent="0.2">
      <c r="J397"/>
      <c r="K397"/>
      <c r="L397"/>
      <c r="M397"/>
      <c r="N397"/>
      <c r="O397" s="392"/>
      <c r="P397" s="2"/>
      <c r="R397"/>
      <c r="S397"/>
      <c r="V397"/>
    </row>
    <row r="398" spans="10:22" s="1" customFormat="1" x14ac:dyDescent="0.2">
      <c r="J398"/>
      <c r="K398"/>
      <c r="L398"/>
      <c r="M398"/>
      <c r="N398"/>
      <c r="O398" s="392"/>
      <c r="P398" s="2"/>
      <c r="R398"/>
      <c r="S398"/>
      <c r="V398"/>
    </row>
    <row r="399" spans="10:22" s="1" customFormat="1" x14ac:dyDescent="0.2">
      <c r="J399"/>
      <c r="K399"/>
      <c r="L399"/>
      <c r="M399"/>
      <c r="N399"/>
      <c r="O399" s="392"/>
      <c r="P399" s="2"/>
      <c r="R399"/>
      <c r="S399"/>
      <c r="V399"/>
    </row>
    <row r="400" spans="10:22" s="1" customFormat="1" x14ac:dyDescent="0.2">
      <c r="J400"/>
      <c r="K400"/>
      <c r="L400"/>
      <c r="M400"/>
      <c r="N400"/>
      <c r="O400" s="392"/>
      <c r="P400" s="2"/>
      <c r="R400"/>
      <c r="S400"/>
      <c r="V400"/>
    </row>
    <row r="401" spans="10:22" s="1" customFormat="1" x14ac:dyDescent="0.2">
      <c r="J401"/>
      <c r="K401"/>
      <c r="L401"/>
      <c r="M401"/>
      <c r="N401"/>
      <c r="O401" s="392"/>
      <c r="P401" s="2"/>
      <c r="R401"/>
      <c r="S401"/>
      <c r="V401"/>
    </row>
    <row r="402" spans="10:22" s="1" customFormat="1" x14ac:dyDescent="0.2">
      <c r="J402"/>
      <c r="K402"/>
      <c r="L402"/>
      <c r="M402"/>
      <c r="N402"/>
      <c r="O402" s="392"/>
      <c r="P402" s="2"/>
      <c r="R402"/>
      <c r="S402"/>
      <c r="V402"/>
    </row>
    <row r="403" spans="10:22" s="1" customFormat="1" x14ac:dyDescent="0.2">
      <c r="J403"/>
      <c r="K403"/>
      <c r="L403"/>
      <c r="M403"/>
      <c r="N403"/>
      <c r="O403" s="392"/>
      <c r="P403" s="2"/>
      <c r="R403"/>
      <c r="S403"/>
      <c r="V403"/>
    </row>
    <row r="404" spans="10:22" s="1" customFormat="1" x14ac:dyDescent="0.2">
      <c r="J404"/>
      <c r="K404"/>
      <c r="L404"/>
      <c r="M404"/>
      <c r="N404"/>
      <c r="O404" s="392"/>
      <c r="P404" s="2"/>
      <c r="R404"/>
      <c r="S404"/>
      <c r="V404"/>
    </row>
    <row r="405" spans="10:22" s="1" customFormat="1" x14ac:dyDescent="0.2">
      <c r="J405"/>
      <c r="K405"/>
      <c r="L405"/>
      <c r="M405"/>
      <c r="N405"/>
      <c r="O405" s="392"/>
      <c r="P405" s="2"/>
      <c r="R405"/>
      <c r="S405"/>
      <c r="V405"/>
    </row>
    <row r="406" spans="10:22" s="1" customFormat="1" x14ac:dyDescent="0.2">
      <c r="J406"/>
      <c r="K406"/>
      <c r="L406"/>
      <c r="M406"/>
      <c r="N406"/>
      <c r="O406" s="392"/>
      <c r="P406" s="2"/>
      <c r="R406"/>
      <c r="S406"/>
      <c r="V406"/>
    </row>
    <row r="407" spans="10:22" s="1" customFormat="1" x14ac:dyDescent="0.2">
      <c r="J407"/>
      <c r="K407"/>
      <c r="L407"/>
      <c r="M407"/>
      <c r="N407"/>
      <c r="O407" s="392"/>
      <c r="P407" s="2"/>
      <c r="R407"/>
      <c r="S407"/>
      <c r="V407"/>
    </row>
    <row r="408" spans="10:22" s="1" customFormat="1" x14ac:dyDescent="0.2">
      <c r="J408"/>
      <c r="K408"/>
      <c r="L408"/>
      <c r="M408"/>
      <c r="N408"/>
      <c r="O408" s="392"/>
      <c r="P408" s="2"/>
      <c r="R408"/>
      <c r="S408"/>
      <c r="V408"/>
    </row>
    <row r="409" spans="10:22" s="1" customFormat="1" x14ac:dyDescent="0.2">
      <c r="J409"/>
      <c r="K409"/>
      <c r="L409"/>
      <c r="M409"/>
      <c r="N409"/>
      <c r="O409" s="392"/>
      <c r="P409" s="2"/>
      <c r="R409"/>
      <c r="S409"/>
      <c r="V409"/>
    </row>
    <row r="410" spans="10:22" s="1" customFormat="1" x14ac:dyDescent="0.2">
      <c r="J410"/>
      <c r="K410"/>
      <c r="L410"/>
      <c r="M410"/>
      <c r="N410"/>
      <c r="O410" s="392"/>
      <c r="P410" s="2"/>
      <c r="R410"/>
      <c r="S410"/>
      <c r="V410"/>
    </row>
    <row r="411" spans="10:22" s="1" customFormat="1" x14ac:dyDescent="0.2">
      <c r="J411"/>
      <c r="K411"/>
      <c r="L411"/>
      <c r="M411"/>
      <c r="N411"/>
      <c r="O411" s="392"/>
      <c r="P411" s="2"/>
      <c r="R411"/>
      <c r="S411"/>
      <c r="V411"/>
    </row>
    <row r="412" spans="10:22" s="1" customFormat="1" x14ac:dyDescent="0.2">
      <c r="J412"/>
      <c r="K412"/>
      <c r="L412"/>
      <c r="M412"/>
      <c r="N412"/>
      <c r="O412" s="392"/>
      <c r="P412" s="2"/>
      <c r="R412"/>
      <c r="S412"/>
      <c r="V412"/>
    </row>
    <row r="413" spans="10:22" s="1" customFormat="1" x14ac:dyDescent="0.2">
      <c r="J413"/>
      <c r="K413"/>
      <c r="L413"/>
      <c r="M413"/>
      <c r="N413"/>
      <c r="O413" s="392"/>
      <c r="P413" s="2"/>
      <c r="R413"/>
      <c r="S413"/>
      <c r="V413"/>
    </row>
    <row r="414" spans="10:22" s="1" customFormat="1" x14ac:dyDescent="0.2">
      <c r="J414"/>
      <c r="K414"/>
      <c r="L414"/>
      <c r="M414"/>
      <c r="N414"/>
      <c r="O414" s="392"/>
      <c r="P414" s="2"/>
      <c r="R414"/>
      <c r="S414"/>
      <c r="V414"/>
    </row>
    <row r="415" spans="10:22" s="1" customFormat="1" x14ac:dyDescent="0.2">
      <c r="J415"/>
      <c r="K415"/>
      <c r="L415"/>
      <c r="M415"/>
      <c r="N415"/>
      <c r="O415" s="392"/>
      <c r="P415" s="2"/>
      <c r="R415"/>
      <c r="S415"/>
      <c r="V415"/>
    </row>
    <row r="416" spans="10:22" s="1" customFormat="1" x14ac:dyDescent="0.2">
      <c r="J416"/>
      <c r="K416"/>
      <c r="L416"/>
      <c r="M416"/>
      <c r="N416"/>
      <c r="O416" s="392"/>
      <c r="P416" s="2"/>
      <c r="R416"/>
      <c r="S416"/>
      <c r="V416"/>
    </row>
    <row r="417" spans="10:22" s="1" customFormat="1" x14ac:dyDescent="0.2">
      <c r="J417"/>
      <c r="K417"/>
      <c r="L417"/>
      <c r="M417"/>
      <c r="N417"/>
      <c r="O417" s="392"/>
      <c r="P417" s="2"/>
      <c r="R417"/>
      <c r="S417"/>
      <c r="V417"/>
    </row>
    <row r="418" spans="10:22" s="1" customFormat="1" x14ac:dyDescent="0.2">
      <c r="J418"/>
      <c r="K418"/>
      <c r="L418"/>
      <c r="M418"/>
      <c r="N418"/>
      <c r="O418" s="392"/>
      <c r="P418" s="2"/>
      <c r="R418"/>
      <c r="S418"/>
      <c r="V418"/>
    </row>
    <row r="419" spans="10:22" s="1" customFormat="1" x14ac:dyDescent="0.2">
      <c r="J419"/>
      <c r="K419"/>
      <c r="L419"/>
      <c r="M419"/>
      <c r="N419"/>
      <c r="O419" s="392"/>
      <c r="P419" s="2"/>
      <c r="R419"/>
      <c r="S419"/>
      <c r="V419"/>
    </row>
    <row r="420" spans="10:22" s="1" customFormat="1" x14ac:dyDescent="0.2">
      <c r="J420"/>
      <c r="K420"/>
      <c r="L420"/>
      <c r="M420"/>
      <c r="N420"/>
      <c r="O420" s="392"/>
      <c r="P420" s="2"/>
      <c r="R420"/>
      <c r="S420"/>
      <c r="V420"/>
    </row>
    <row r="421" spans="10:22" s="1" customFormat="1" x14ac:dyDescent="0.2">
      <c r="J421"/>
      <c r="K421"/>
      <c r="L421"/>
      <c r="M421"/>
      <c r="N421"/>
      <c r="O421" s="392"/>
      <c r="P421" s="2"/>
      <c r="R421"/>
      <c r="S421"/>
      <c r="V421"/>
    </row>
    <row r="422" spans="10:22" s="1" customFormat="1" x14ac:dyDescent="0.2">
      <c r="J422"/>
      <c r="K422"/>
      <c r="L422"/>
      <c r="M422"/>
      <c r="N422"/>
      <c r="O422" s="392"/>
      <c r="P422" s="2"/>
      <c r="R422"/>
      <c r="S422"/>
      <c r="V422"/>
    </row>
    <row r="423" spans="10:22" s="1" customFormat="1" x14ac:dyDescent="0.2">
      <c r="J423"/>
      <c r="K423"/>
      <c r="L423"/>
      <c r="M423"/>
      <c r="N423"/>
      <c r="O423" s="392"/>
      <c r="P423" s="2"/>
      <c r="R423"/>
      <c r="S423"/>
      <c r="V423"/>
    </row>
    <row r="424" spans="10:22" s="1" customFormat="1" x14ac:dyDescent="0.2">
      <c r="J424"/>
      <c r="K424"/>
      <c r="L424"/>
      <c r="M424"/>
      <c r="N424"/>
      <c r="O424" s="392"/>
      <c r="P424" s="2"/>
      <c r="R424"/>
      <c r="S424"/>
      <c r="V424"/>
    </row>
    <row r="425" spans="10:22" s="1" customFormat="1" x14ac:dyDescent="0.2">
      <c r="J425"/>
      <c r="K425"/>
      <c r="L425"/>
      <c r="M425"/>
      <c r="N425"/>
      <c r="O425" s="392"/>
      <c r="P425" s="2"/>
      <c r="R425"/>
      <c r="S425"/>
      <c r="V425"/>
    </row>
    <row r="426" spans="10:22" s="1" customFormat="1" x14ac:dyDescent="0.2">
      <c r="J426"/>
      <c r="K426"/>
      <c r="L426"/>
      <c r="M426"/>
      <c r="N426"/>
      <c r="O426" s="392"/>
      <c r="P426" s="2"/>
      <c r="R426"/>
      <c r="S426"/>
      <c r="V426"/>
    </row>
    <row r="427" spans="10:22" s="1" customFormat="1" x14ac:dyDescent="0.2">
      <c r="J427"/>
      <c r="K427"/>
      <c r="L427"/>
      <c r="M427"/>
      <c r="N427"/>
      <c r="O427" s="392"/>
      <c r="P427" s="2"/>
      <c r="R427"/>
      <c r="S427"/>
      <c r="V427"/>
    </row>
    <row r="428" spans="10:22" s="1" customFormat="1" x14ac:dyDescent="0.2">
      <c r="J428"/>
      <c r="K428"/>
      <c r="L428"/>
      <c r="M428"/>
      <c r="N428"/>
      <c r="O428" s="392"/>
      <c r="P428" s="2"/>
      <c r="R428"/>
      <c r="S428"/>
      <c r="V428"/>
    </row>
    <row r="429" spans="10:22" s="1" customFormat="1" x14ac:dyDescent="0.2">
      <c r="J429"/>
      <c r="K429"/>
      <c r="L429"/>
      <c r="M429"/>
      <c r="N429"/>
      <c r="O429" s="392"/>
      <c r="P429" s="2"/>
      <c r="R429"/>
      <c r="S429"/>
      <c r="V429"/>
    </row>
    <row r="430" spans="10:22" s="1" customFormat="1" x14ac:dyDescent="0.2">
      <c r="J430"/>
      <c r="K430"/>
      <c r="L430"/>
      <c r="M430"/>
      <c r="N430"/>
      <c r="O430" s="392"/>
      <c r="P430" s="2"/>
      <c r="R430"/>
      <c r="S430"/>
      <c r="V430"/>
    </row>
    <row r="431" spans="10:22" s="1" customFormat="1" x14ac:dyDescent="0.2">
      <c r="J431"/>
      <c r="K431"/>
      <c r="L431"/>
      <c r="M431"/>
      <c r="N431"/>
      <c r="O431" s="392"/>
      <c r="P431" s="2"/>
      <c r="R431"/>
      <c r="S431"/>
      <c r="V431"/>
    </row>
    <row r="432" spans="10:22" s="1" customFormat="1" x14ac:dyDescent="0.2">
      <c r="J432"/>
      <c r="K432"/>
      <c r="L432"/>
      <c r="M432"/>
      <c r="N432"/>
      <c r="O432" s="392"/>
      <c r="P432" s="2"/>
      <c r="R432"/>
      <c r="S432"/>
      <c r="V432"/>
    </row>
    <row r="433" spans="10:22" s="1" customFormat="1" x14ac:dyDescent="0.2">
      <c r="J433"/>
      <c r="K433"/>
      <c r="L433"/>
      <c r="M433"/>
      <c r="N433"/>
      <c r="O433" s="392"/>
      <c r="P433" s="2"/>
      <c r="R433"/>
      <c r="S433"/>
      <c r="V433"/>
    </row>
    <row r="434" spans="10:22" s="1" customFormat="1" x14ac:dyDescent="0.2">
      <c r="J434"/>
      <c r="K434"/>
      <c r="L434"/>
      <c r="M434"/>
      <c r="N434"/>
      <c r="O434" s="392"/>
      <c r="P434" s="2"/>
      <c r="R434"/>
      <c r="S434"/>
      <c r="V434"/>
    </row>
    <row r="435" spans="10:22" s="1" customFormat="1" x14ac:dyDescent="0.2">
      <c r="J435"/>
      <c r="K435"/>
      <c r="L435"/>
      <c r="M435"/>
      <c r="N435"/>
      <c r="O435" s="392"/>
      <c r="P435" s="2"/>
      <c r="R435"/>
      <c r="S435"/>
      <c r="V435"/>
    </row>
    <row r="436" spans="10:22" s="1" customFormat="1" x14ac:dyDescent="0.2">
      <c r="J436"/>
      <c r="K436"/>
      <c r="L436"/>
      <c r="M436"/>
      <c r="N436"/>
      <c r="O436" s="392"/>
      <c r="P436" s="2"/>
      <c r="R436"/>
      <c r="S436"/>
      <c r="V436"/>
    </row>
    <row r="437" spans="10:22" s="1" customFormat="1" x14ac:dyDescent="0.2">
      <c r="J437"/>
      <c r="K437"/>
      <c r="L437"/>
      <c r="M437"/>
      <c r="N437"/>
      <c r="O437" s="392"/>
      <c r="P437" s="2"/>
      <c r="R437"/>
      <c r="S437"/>
      <c r="V437"/>
    </row>
    <row r="438" spans="10:22" s="1" customFormat="1" x14ac:dyDescent="0.2">
      <c r="J438"/>
      <c r="K438"/>
      <c r="L438"/>
      <c r="M438"/>
      <c r="N438"/>
      <c r="O438" s="392"/>
      <c r="P438" s="2"/>
      <c r="R438"/>
      <c r="S438"/>
      <c r="V438"/>
    </row>
    <row r="439" spans="10:22" s="1" customFormat="1" x14ac:dyDescent="0.2">
      <c r="J439"/>
      <c r="K439"/>
      <c r="L439"/>
      <c r="M439"/>
      <c r="N439"/>
      <c r="O439" s="392"/>
      <c r="P439" s="2"/>
      <c r="R439"/>
      <c r="S439"/>
      <c r="V439"/>
    </row>
    <row r="440" spans="10:22" s="1" customFormat="1" x14ac:dyDescent="0.2">
      <c r="J440"/>
      <c r="K440"/>
      <c r="L440"/>
      <c r="M440"/>
      <c r="N440"/>
      <c r="O440" s="392"/>
      <c r="P440" s="2"/>
      <c r="R440"/>
      <c r="S440"/>
      <c r="V440"/>
    </row>
    <row r="441" spans="10:22" s="1" customFormat="1" x14ac:dyDescent="0.2">
      <c r="J441"/>
      <c r="K441"/>
      <c r="L441"/>
      <c r="M441"/>
      <c r="N441"/>
      <c r="O441" s="392"/>
      <c r="P441" s="2"/>
      <c r="R441"/>
      <c r="S441"/>
      <c r="V441"/>
    </row>
    <row r="442" spans="10:22" s="1" customFormat="1" x14ac:dyDescent="0.2">
      <c r="J442"/>
      <c r="K442"/>
      <c r="L442"/>
      <c r="M442"/>
      <c r="N442"/>
      <c r="O442" s="392"/>
      <c r="P442" s="2"/>
      <c r="R442"/>
      <c r="S442"/>
      <c r="V442"/>
    </row>
    <row r="443" spans="10:22" s="1" customFormat="1" x14ac:dyDescent="0.2">
      <c r="J443"/>
      <c r="K443"/>
      <c r="L443"/>
      <c r="M443"/>
      <c r="N443"/>
      <c r="O443" s="392"/>
      <c r="P443" s="2"/>
      <c r="R443"/>
      <c r="S443"/>
      <c r="V443"/>
    </row>
    <row r="444" spans="10:22" s="1" customFormat="1" x14ac:dyDescent="0.2">
      <c r="J444"/>
      <c r="K444"/>
      <c r="L444"/>
      <c r="M444"/>
      <c r="N444"/>
      <c r="O444" s="392"/>
      <c r="P444" s="2"/>
      <c r="R444"/>
      <c r="S444"/>
      <c r="V444"/>
    </row>
    <row r="445" spans="10:22" s="1" customFormat="1" x14ac:dyDescent="0.2">
      <c r="J445"/>
      <c r="K445"/>
      <c r="L445"/>
      <c r="M445"/>
      <c r="N445"/>
      <c r="O445" s="392"/>
      <c r="P445" s="2"/>
      <c r="R445"/>
      <c r="S445"/>
      <c r="V445"/>
    </row>
    <row r="446" spans="10:22" s="1" customFormat="1" x14ac:dyDescent="0.2">
      <c r="J446"/>
      <c r="K446"/>
      <c r="L446"/>
      <c r="M446"/>
      <c r="N446"/>
      <c r="O446" s="392"/>
      <c r="P446" s="2"/>
      <c r="R446"/>
      <c r="S446"/>
      <c r="V446"/>
    </row>
    <row r="447" spans="10:22" s="1" customFormat="1" x14ac:dyDescent="0.2">
      <c r="J447"/>
      <c r="K447"/>
      <c r="L447"/>
      <c r="M447"/>
      <c r="N447"/>
      <c r="O447" s="392"/>
      <c r="P447" s="2"/>
      <c r="R447"/>
      <c r="S447"/>
      <c r="V447"/>
    </row>
    <row r="448" spans="10:22" s="1" customFormat="1" x14ac:dyDescent="0.2">
      <c r="J448"/>
      <c r="K448"/>
      <c r="L448"/>
      <c r="M448"/>
      <c r="N448"/>
      <c r="O448" s="392"/>
      <c r="P448" s="2"/>
      <c r="R448"/>
      <c r="S448"/>
      <c r="V448"/>
    </row>
    <row r="449" spans="10:22" s="1" customFormat="1" x14ac:dyDescent="0.2">
      <c r="J449"/>
      <c r="K449"/>
      <c r="L449"/>
      <c r="M449"/>
      <c r="N449"/>
      <c r="O449" s="392"/>
      <c r="P449" s="2"/>
      <c r="R449"/>
      <c r="S449"/>
      <c r="V449"/>
    </row>
    <row r="450" spans="10:22" s="1" customFormat="1" x14ac:dyDescent="0.2">
      <c r="J450"/>
      <c r="K450"/>
      <c r="L450"/>
      <c r="M450"/>
      <c r="N450"/>
      <c r="O450" s="392"/>
      <c r="P450" s="2"/>
      <c r="R450"/>
      <c r="S450"/>
      <c r="V450"/>
    </row>
    <row r="451" spans="10:22" s="1" customFormat="1" x14ac:dyDescent="0.2">
      <c r="J451"/>
      <c r="K451"/>
      <c r="L451"/>
      <c r="M451"/>
      <c r="N451"/>
      <c r="O451" s="392"/>
      <c r="P451" s="2"/>
      <c r="R451"/>
      <c r="S451"/>
      <c r="V451"/>
    </row>
    <row r="452" spans="10:22" s="1" customFormat="1" x14ac:dyDescent="0.2">
      <c r="J452"/>
      <c r="K452"/>
      <c r="L452"/>
      <c r="M452"/>
      <c r="N452"/>
      <c r="O452" s="392"/>
      <c r="P452" s="2"/>
      <c r="R452"/>
      <c r="S452"/>
      <c r="V452"/>
    </row>
    <row r="453" spans="10:22" s="1" customFormat="1" x14ac:dyDescent="0.2">
      <c r="J453"/>
      <c r="K453"/>
      <c r="L453"/>
      <c r="M453"/>
      <c r="N453"/>
      <c r="O453" s="392"/>
      <c r="P453" s="2"/>
      <c r="R453"/>
      <c r="S453"/>
      <c r="V453"/>
    </row>
    <row r="454" spans="10:22" s="1" customFormat="1" x14ac:dyDescent="0.2">
      <c r="J454"/>
      <c r="K454"/>
      <c r="L454"/>
      <c r="M454"/>
      <c r="N454"/>
      <c r="O454" s="392"/>
      <c r="P454" s="2"/>
      <c r="R454"/>
      <c r="S454"/>
      <c r="V454"/>
    </row>
    <row r="455" spans="10:22" s="1" customFormat="1" x14ac:dyDescent="0.2">
      <c r="J455"/>
      <c r="K455"/>
      <c r="L455"/>
      <c r="M455"/>
      <c r="N455"/>
      <c r="O455" s="392"/>
      <c r="P455" s="2"/>
      <c r="R455"/>
      <c r="S455"/>
      <c r="V455"/>
    </row>
    <row r="456" spans="10:22" s="1" customFormat="1" x14ac:dyDescent="0.2">
      <c r="J456"/>
      <c r="K456"/>
      <c r="L456"/>
      <c r="M456"/>
      <c r="N456"/>
      <c r="O456" s="392"/>
      <c r="P456" s="2"/>
      <c r="R456"/>
      <c r="S456"/>
      <c r="V456"/>
    </row>
    <row r="457" spans="10:22" s="1" customFormat="1" x14ac:dyDescent="0.2">
      <c r="J457"/>
      <c r="K457"/>
      <c r="L457"/>
      <c r="M457"/>
      <c r="N457"/>
      <c r="O457" s="392"/>
      <c r="P457" s="2"/>
      <c r="R457"/>
      <c r="S457"/>
      <c r="V457"/>
    </row>
    <row r="458" spans="10:22" s="1" customFormat="1" x14ac:dyDescent="0.2">
      <c r="J458"/>
      <c r="K458"/>
      <c r="L458"/>
      <c r="M458"/>
      <c r="N458"/>
      <c r="O458" s="392"/>
      <c r="P458" s="2"/>
      <c r="R458"/>
      <c r="S458"/>
      <c r="V458"/>
    </row>
    <row r="459" spans="10:22" s="1" customFormat="1" x14ac:dyDescent="0.2">
      <c r="J459"/>
      <c r="K459"/>
      <c r="L459"/>
      <c r="M459"/>
      <c r="N459"/>
      <c r="O459" s="392"/>
      <c r="P459" s="2"/>
      <c r="R459"/>
      <c r="S459"/>
      <c r="V459"/>
    </row>
    <row r="460" spans="10:22" s="1" customFormat="1" x14ac:dyDescent="0.2">
      <c r="J460"/>
      <c r="K460"/>
      <c r="L460"/>
      <c r="M460"/>
      <c r="N460"/>
      <c r="O460" s="392"/>
      <c r="P460" s="2"/>
      <c r="R460"/>
      <c r="S460"/>
      <c r="V460"/>
    </row>
    <row r="461" spans="10:22" s="1" customFormat="1" x14ac:dyDescent="0.2">
      <c r="J461"/>
      <c r="K461"/>
      <c r="L461"/>
      <c r="M461"/>
      <c r="N461"/>
      <c r="O461" s="392"/>
      <c r="P461" s="2"/>
      <c r="R461"/>
      <c r="S461"/>
      <c r="V461"/>
    </row>
    <row r="462" spans="10:22" s="1" customFormat="1" x14ac:dyDescent="0.2">
      <c r="J462"/>
      <c r="K462"/>
      <c r="L462"/>
      <c r="M462"/>
      <c r="N462"/>
      <c r="O462" s="392"/>
      <c r="P462" s="2"/>
      <c r="R462"/>
      <c r="S462"/>
      <c r="V462"/>
    </row>
    <row r="463" spans="10:22" s="1" customFormat="1" x14ac:dyDescent="0.2">
      <c r="J463"/>
      <c r="K463"/>
      <c r="L463"/>
      <c r="M463"/>
      <c r="N463"/>
      <c r="O463" s="392"/>
      <c r="P463" s="2"/>
      <c r="R463"/>
      <c r="S463"/>
      <c r="V463"/>
    </row>
    <row r="464" spans="10:22" s="1" customFormat="1" x14ac:dyDescent="0.2">
      <c r="J464"/>
      <c r="K464"/>
      <c r="L464"/>
      <c r="M464"/>
      <c r="N464"/>
      <c r="O464" s="392"/>
      <c r="P464" s="2"/>
      <c r="R464"/>
      <c r="S464"/>
      <c r="V464"/>
    </row>
    <row r="465" spans="10:22" s="1" customFormat="1" x14ac:dyDescent="0.2">
      <c r="J465"/>
      <c r="K465"/>
      <c r="L465"/>
      <c r="M465"/>
      <c r="N465"/>
      <c r="O465" s="392"/>
      <c r="P465" s="2"/>
      <c r="R465"/>
      <c r="S465"/>
      <c r="V465"/>
    </row>
    <row r="466" spans="10:22" s="1" customFormat="1" x14ac:dyDescent="0.2">
      <c r="J466"/>
      <c r="K466"/>
      <c r="L466"/>
      <c r="M466"/>
      <c r="N466"/>
      <c r="O466" s="392"/>
      <c r="P466" s="2"/>
      <c r="R466"/>
      <c r="S466"/>
      <c r="V466"/>
    </row>
    <row r="467" spans="10:22" s="1" customFormat="1" x14ac:dyDescent="0.2">
      <c r="J467"/>
      <c r="K467"/>
      <c r="L467"/>
      <c r="M467"/>
      <c r="N467"/>
      <c r="O467" s="392"/>
      <c r="P467" s="2"/>
      <c r="R467"/>
      <c r="S467"/>
      <c r="V467"/>
    </row>
    <row r="468" spans="10:22" s="1" customFormat="1" x14ac:dyDescent="0.2">
      <c r="J468"/>
      <c r="K468"/>
      <c r="L468"/>
      <c r="M468"/>
      <c r="N468"/>
      <c r="O468" s="392"/>
      <c r="P468" s="2"/>
      <c r="R468"/>
      <c r="S468"/>
      <c r="V468"/>
    </row>
    <row r="469" spans="10:22" s="1" customFormat="1" x14ac:dyDescent="0.2">
      <c r="J469"/>
      <c r="K469"/>
      <c r="L469"/>
      <c r="M469"/>
      <c r="N469"/>
      <c r="O469" s="392"/>
      <c r="P469" s="2"/>
      <c r="R469"/>
      <c r="S469"/>
      <c r="V469"/>
    </row>
    <row r="470" spans="10:22" s="1" customFormat="1" x14ac:dyDescent="0.2">
      <c r="J470"/>
      <c r="K470"/>
      <c r="L470"/>
      <c r="M470"/>
      <c r="N470"/>
      <c r="O470" s="392"/>
      <c r="P470" s="2"/>
      <c r="R470"/>
      <c r="S470"/>
      <c r="V470"/>
    </row>
    <row r="471" spans="10:22" s="1" customFormat="1" x14ac:dyDescent="0.2">
      <c r="J471"/>
      <c r="K471"/>
      <c r="L471"/>
      <c r="M471"/>
      <c r="N471"/>
      <c r="O471" s="392"/>
      <c r="P471" s="2"/>
      <c r="R471"/>
      <c r="S471"/>
      <c r="V471"/>
    </row>
    <row r="472" spans="10:22" s="1" customFormat="1" x14ac:dyDescent="0.2">
      <c r="J472"/>
      <c r="K472"/>
      <c r="L472"/>
      <c r="M472"/>
      <c r="N472"/>
      <c r="O472" s="392"/>
      <c r="P472" s="2"/>
      <c r="R472"/>
      <c r="S472"/>
      <c r="V472"/>
    </row>
    <row r="473" spans="10:22" s="1" customFormat="1" x14ac:dyDescent="0.2">
      <c r="J473"/>
      <c r="K473"/>
      <c r="L473"/>
      <c r="M473"/>
      <c r="N473"/>
      <c r="O473" s="392"/>
      <c r="P473" s="2"/>
      <c r="R473"/>
      <c r="S473"/>
      <c r="V473"/>
    </row>
    <row r="474" spans="10:22" s="1" customFormat="1" x14ac:dyDescent="0.2">
      <c r="J474"/>
      <c r="K474"/>
      <c r="L474"/>
      <c r="M474"/>
      <c r="N474"/>
      <c r="O474" s="392"/>
      <c r="P474" s="2"/>
      <c r="R474"/>
      <c r="S474"/>
      <c r="V474"/>
    </row>
    <row r="475" spans="10:22" s="1" customFormat="1" x14ac:dyDescent="0.2">
      <c r="J475"/>
      <c r="K475"/>
      <c r="L475"/>
      <c r="M475"/>
      <c r="N475"/>
      <c r="O475" s="392"/>
      <c r="P475" s="2"/>
      <c r="R475"/>
      <c r="S475"/>
      <c r="V475"/>
    </row>
    <row r="476" spans="10:22" s="1" customFormat="1" x14ac:dyDescent="0.2">
      <c r="J476"/>
      <c r="K476"/>
      <c r="L476"/>
      <c r="M476"/>
      <c r="N476"/>
      <c r="O476" s="392"/>
      <c r="P476" s="2"/>
      <c r="R476"/>
      <c r="S476"/>
      <c r="V476"/>
    </row>
    <row r="477" spans="10:22" s="1" customFormat="1" x14ac:dyDescent="0.2">
      <c r="J477"/>
      <c r="K477"/>
      <c r="L477"/>
      <c r="M477"/>
      <c r="N477"/>
      <c r="O477" s="392"/>
      <c r="P477" s="2"/>
      <c r="R477"/>
      <c r="S477"/>
      <c r="V477"/>
    </row>
    <row r="478" spans="10:22" s="1" customFormat="1" x14ac:dyDescent="0.2">
      <c r="J478"/>
      <c r="K478"/>
      <c r="L478"/>
      <c r="M478"/>
      <c r="N478"/>
      <c r="O478" s="392"/>
      <c r="P478" s="2"/>
      <c r="R478"/>
      <c r="S478"/>
      <c r="V478"/>
    </row>
    <row r="479" spans="10:22" s="1" customFormat="1" x14ac:dyDescent="0.2">
      <c r="J479"/>
      <c r="K479"/>
      <c r="L479"/>
      <c r="M479"/>
      <c r="N479"/>
      <c r="O479" s="392"/>
      <c r="P479" s="2"/>
      <c r="R479"/>
      <c r="S479"/>
      <c r="V479"/>
    </row>
    <row r="480" spans="10:22" s="1" customFormat="1" x14ac:dyDescent="0.2">
      <c r="J480"/>
      <c r="K480"/>
      <c r="L480"/>
      <c r="M480"/>
      <c r="N480"/>
      <c r="O480" s="392"/>
      <c r="P480" s="2"/>
      <c r="R480"/>
      <c r="S480"/>
      <c r="V480"/>
    </row>
    <row r="481" spans="10:22" s="1" customFormat="1" x14ac:dyDescent="0.2">
      <c r="J481"/>
      <c r="K481"/>
      <c r="L481"/>
      <c r="M481"/>
      <c r="N481"/>
      <c r="O481" s="392"/>
      <c r="P481" s="2"/>
      <c r="R481"/>
      <c r="S481"/>
      <c r="V481"/>
    </row>
    <row r="482" spans="10:22" s="1" customFormat="1" x14ac:dyDescent="0.2">
      <c r="J482"/>
      <c r="K482"/>
      <c r="L482"/>
      <c r="M482"/>
      <c r="N482"/>
      <c r="O482" s="392"/>
      <c r="P482" s="2"/>
      <c r="R482"/>
      <c r="S482"/>
      <c r="V482"/>
    </row>
    <row r="483" spans="10:22" s="1" customFormat="1" x14ac:dyDescent="0.2">
      <c r="J483"/>
      <c r="K483"/>
      <c r="L483"/>
      <c r="M483"/>
      <c r="N483"/>
      <c r="O483" s="392"/>
      <c r="P483" s="2"/>
      <c r="R483"/>
      <c r="S483"/>
      <c r="V483"/>
    </row>
    <row r="484" spans="10:22" s="1" customFormat="1" x14ac:dyDescent="0.2">
      <c r="J484"/>
      <c r="K484"/>
      <c r="L484"/>
      <c r="M484"/>
      <c r="N484"/>
      <c r="O484" s="392"/>
      <c r="P484" s="2"/>
      <c r="R484"/>
      <c r="S484"/>
      <c r="V484"/>
    </row>
    <row r="485" spans="10:22" s="1" customFormat="1" x14ac:dyDescent="0.2">
      <c r="J485"/>
      <c r="K485"/>
      <c r="L485"/>
      <c r="M485"/>
      <c r="N485"/>
      <c r="O485" s="392"/>
      <c r="P485" s="2"/>
      <c r="R485"/>
      <c r="S485"/>
      <c r="V485"/>
    </row>
    <row r="486" spans="10:22" s="1" customFormat="1" x14ac:dyDescent="0.2">
      <c r="J486"/>
      <c r="K486"/>
      <c r="L486"/>
      <c r="M486"/>
      <c r="N486"/>
      <c r="O486" s="392"/>
      <c r="P486" s="2"/>
      <c r="R486"/>
      <c r="S486"/>
      <c r="V486"/>
    </row>
    <row r="487" spans="10:22" s="1" customFormat="1" x14ac:dyDescent="0.2">
      <c r="J487"/>
      <c r="K487"/>
      <c r="L487"/>
      <c r="M487"/>
      <c r="N487"/>
      <c r="O487" s="392"/>
      <c r="P487" s="2"/>
      <c r="R487"/>
      <c r="S487"/>
      <c r="V487"/>
    </row>
    <row r="488" spans="10:22" s="1" customFormat="1" x14ac:dyDescent="0.2">
      <c r="J488"/>
      <c r="K488"/>
      <c r="L488"/>
      <c r="M488"/>
      <c r="N488"/>
      <c r="O488" s="392"/>
      <c r="P488" s="2"/>
      <c r="R488"/>
      <c r="S488"/>
      <c r="V488"/>
    </row>
    <row r="489" spans="10:22" s="1" customFormat="1" x14ac:dyDescent="0.2">
      <c r="J489"/>
      <c r="K489"/>
      <c r="L489"/>
      <c r="M489"/>
      <c r="N489"/>
      <c r="O489" s="392"/>
      <c r="P489" s="2"/>
      <c r="R489"/>
      <c r="S489"/>
      <c r="V489"/>
    </row>
    <row r="490" spans="10:22" s="1" customFormat="1" x14ac:dyDescent="0.2">
      <c r="J490"/>
      <c r="K490"/>
      <c r="L490"/>
      <c r="M490"/>
      <c r="N490"/>
      <c r="O490" s="392"/>
      <c r="P490" s="2"/>
      <c r="R490"/>
      <c r="S490"/>
      <c r="V490"/>
    </row>
    <row r="491" spans="10:22" s="1" customFormat="1" x14ac:dyDescent="0.2">
      <c r="J491"/>
      <c r="K491"/>
      <c r="L491"/>
      <c r="M491"/>
      <c r="N491"/>
      <c r="O491" s="392"/>
      <c r="P491" s="2"/>
      <c r="R491"/>
      <c r="S491"/>
      <c r="V491"/>
    </row>
    <row r="492" spans="10:22" s="1" customFormat="1" x14ac:dyDescent="0.2">
      <c r="J492"/>
      <c r="K492"/>
      <c r="L492"/>
      <c r="M492"/>
      <c r="N492"/>
      <c r="O492" s="392"/>
      <c r="P492" s="2"/>
      <c r="R492"/>
      <c r="S492"/>
      <c r="V492"/>
    </row>
    <row r="493" spans="10:22" s="1" customFormat="1" x14ac:dyDescent="0.2">
      <c r="J493"/>
      <c r="K493"/>
      <c r="L493"/>
      <c r="M493"/>
      <c r="N493"/>
      <c r="O493" s="392"/>
      <c r="P493" s="2"/>
      <c r="R493"/>
      <c r="S493"/>
      <c r="V493"/>
    </row>
    <row r="494" spans="10:22" s="1" customFormat="1" x14ac:dyDescent="0.2">
      <c r="J494"/>
      <c r="K494"/>
      <c r="L494"/>
      <c r="M494"/>
      <c r="N494"/>
      <c r="O494" s="392"/>
      <c r="P494" s="2"/>
      <c r="R494"/>
      <c r="S494"/>
      <c r="V494"/>
    </row>
    <row r="495" spans="10:22" s="1" customFormat="1" x14ac:dyDescent="0.2">
      <c r="J495"/>
      <c r="K495"/>
      <c r="L495"/>
      <c r="M495"/>
      <c r="N495"/>
      <c r="O495" s="392"/>
      <c r="P495" s="2"/>
      <c r="R495"/>
      <c r="S495"/>
      <c r="V495"/>
    </row>
    <row r="496" spans="10:22" s="1" customFormat="1" x14ac:dyDescent="0.2">
      <c r="J496"/>
      <c r="K496"/>
      <c r="L496"/>
      <c r="M496"/>
      <c r="N496"/>
      <c r="O496" s="392"/>
      <c r="P496" s="2"/>
      <c r="R496"/>
      <c r="S496"/>
      <c r="V496"/>
    </row>
    <row r="497" spans="10:22" s="1" customFormat="1" x14ac:dyDescent="0.2">
      <c r="J497"/>
      <c r="K497"/>
      <c r="L497"/>
      <c r="M497"/>
      <c r="N497"/>
      <c r="O497" s="392"/>
      <c r="P497" s="2"/>
      <c r="R497"/>
      <c r="S497"/>
      <c r="V497"/>
    </row>
    <row r="498" spans="10:22" s="1" customFormat="1" x14ac:dyDescent="0.2">
      <c r="J498"/>
      <c r="K498"/>
      <c r="L498"/>
      <c r="M498"/>
      <c r="N498"/>
      <c r="O498" s="392"/>
      <c r="P498" s="2"/>
      <c r="R498"/>
      <c r="S498"/>
      <c r="V498"/>
    </row>
    <row r="499" spans="10:22" s="1" customFormat="1" x14ac:dyDescent="0.2">
      <c r="J499"/>
      <c r="K499"/>
      <c r="L499"/>
      <c r="M499"/>
      <c r="N499"/>
      <c r="O499" s="392"/>
      <c r="P499" s="2"/>
      <c r="R499"/>
      <c r="S499"/>
      <c r="V499"/>
    </row>
    <row r="500" spans="10:22" s="1" customFormat="1" x14ac:dyDescent="0.2">
      <c r="J500"/>
      <c r="K500"/>
      <c r="L500"/>
      <c r="M500"/>
      <c r="N500"/>
      <c r="O500" s="392"/>
      <c r="P500" s="2"/>
      <c r="R500"/>
      <c r="S500"/>
      <c r="V500"/>
    </row>
    <row r="501" spans="10:22" s="1" customFormat="1" x14ac:dyDescent="0.2">
      <c r="J501"/>
      <c r="K501"/>
      <c r="L501"/>
      <c r="M501"/>
      <c r="N501"/>
      <c r="O501" s="392"/>
      <c r="P501" s="2"/>
      <c r="R501"/>
      <c r="S501"/>
      <c r="V501"/>
    </row>
    <row r="502" spans="10:22" s="1" customFormat="1" x14ac:dyDescent="0.2">
      <c r="J502"/>
      <c r="K502"/>
      <c r="L502"/>
      <c r="M502"/>
      <c r="N502"/>
      <c r="O502" s="392"/>
      <c r="P502" s="2"/>
      <c r="R502"/>
      <c r="S502"/>
      <c r="V502"/>
    </row>
    <row r="503" spans="10:22" s="1" customFormat="1" x14ac:dyDescent="0.2">
      <c r="J503"/>
      <c r="K503"/>
      <c r="L503"/>
      <c r="M503"/>
      <c r="N503"/>
      <c r="O503" s="392"/>
      <c r="P503" s="2"/>
      <c r="R503"/>
      <c r="S503"/>
      <c r="V503"/>
    </row>
    <row r="504" spans="10:22" s="1" customFormat="1" x14ac:dyDescent="0.2">
      <c r="J504"/>
      <c r="K504"/>
      <c r="L504"/>
      <c r="M504"/>
      <c r="N504"/>
      <c r="O504" s="392"/>
      <c r="P504" s="2"/>
      <c r="R504"/>
      <c r="S504"/>
      <c r="V504"/>
    </row>
    <row r="505" spans="10:22" s="1" customFormat="1" x14ac:dyDescent="0.2">
      <c r="J505"/>
      <c r="K505"/>
      <c r="L505"/>
      <c r="M505"/>
      <c r="N505"/>
      <c r="O505" s="392"/>
      <c r="P505" s="2"/>
      <c r="R505"/>
      <c r="S505"/>
      <c r="V505"/>
    </row>
    <row r="506" spans="10:22" s="1" customFormat="1" x14ac:dyDescent="0.2">
      <c r="J506"/>
      <c r="K506"/>
      <c r="L506"/>
      <c r="M506"/>
      <c r="N506"/>
      <c r="O506" s="392"/>
      <c r="P506" s="2"/>
      <c r="R506"/>
      <c r="S506"/>
      <c r="V506"/>
    </row>
    <row r="507" spans="10:22" s="1" customFormat="1" x14ac:dyDescent="0.2">
      <c r="J507"/>
      <c r="K507"/>
      <c r="L507"/>
      <c r="M507"/>
      <c r="N507"/>
      <c r="O507" s="392"/>
      <c r="P507" s="2"/>
      <c r="R507"/>
      <c r="S507"/>
      <c r="V507"/>
    </row>
    <row r="508" spans="10:22" s="1" customFormat="1" x14ac:dyDescent="0.2">
      <c r="J508"/>
      <c r="K508"/>
      <c r="L508"/>
      <c r="M508"/>
      <c r="N508"/>
      <c r="O508" s="392"/>
      <c r="P508" s="2"/>
      <c r="R508"/>
      <c r="S508"/>
      <c r="V508"/>
    </row>
    <row r="509" spans="10:22" s="1" customFormat="1" x14ac:dyDescent="0.2">
      <c r="J509"/>
      <c r="K509"/>
      <c r="L509"/>
      <c r="M509"/>
      <c r="N509"/>
      <c r="O509" s="392"/>
      <c r="P509" s="2"/>
      <c r="R509"/>
      <c r="S509"/>
      <c r="V509"/>
    </row>
    <row r="510" spans="10:22" s="1" customFormat="1" x14ac:dyDescent="0.2">
      <c r="J510"/>
      <c r="K510"/>
      <c r="L510"/>
      <c r="M510"/>
      <c r="N510"/>
      <c r="O510" s="392"/>
      <c r="P510" s="2"/>
      <c r="R510"/>
      <c r="S510"/>
      <c r="V510"/>
    </row>
    <row r="511" spans="10:22" s="1" customFormat="1" x14ac:dyDescent="0.2">
      <c r="J511"/>
      <c r="K511"/>
      <c r="L511"/>
      <c r="M511"/>
      <c r="N511"/>
      <c r="O511" s="392"/>
      <c r="P511" s="2"/>
      <c r="R511"/>
      <c r="S511"/>
      <c r="V511"/>
    </row>
    <row r="512" spans="10:22" s="1" customFormat="1" x14ac:dyDescent="0.2">
      <c r="J512"/>
      <c r="K512"/>
      <c r="L512"/>
      <c r="M512"/>
      <c r="N512"/>
      <c r="O512" s="392"/>
      <c r="P512" s="2"/>
      <c r="R512"/>
      <c r="S512"/>
      <c r="V512"/>
    </row>
    <row r="513" spans="10:22" s="1" customFormat="1" x14ac:dyDescent="0.2">
      <c r="J513"/>
      <c r="K513"/>
      <c r="L513"/>
      <c r="M513"/>
      <c r="N513"/>
      <c r="O513" s="392"/>
      <c r="P513" s="2"/>
      <c r="R513"/>
      <c r="S513"/>
      <c r="V513"/>
    </row>
    <row r="514" spans="10:22" s="1" customFormat="1" x14ac:dyDescent="0.2">
      <c r="J514"/>
      <c r="K514"/>
      <c r="L514"/>
      <c r="M514"/>
      <c r="N514"/>
      <c r="O514" s="392"/>
      <c r="P514" s="2"/>
      <c r="R514"/>
      <c r="S514"/>
      <c r="V514"/>
    </row>
    <row r="515" spans="10:22" s="1" customFormat="1" x14ac:dyDescent="0.2">
      <c r="J515"/>
      <c r="K515"/>
      <c r="L515"/>
      <c r="M515"/>
      <c r="N515"/>
      <c r="O515" s="392"/>
      <c r="P515" s="2"/>
      <c r="R515"/>
      <c r="S515"/>
      <c r="V515"/>
    </row>
    <row r="516" spans="10:22" s="1" customFormat="1" x14ac:dyDescent="0.2">
      <c r="J516"/>
      <c r="K516"/>
      <c r="L516"/>
      <c r="M516"/>
      <c r="N516"/>
      <c r="O516" s="392"/>
      <c r="P516" s="2"/>
      <c r="R516"/>
      <c r="S516"/>
      <c r="V516"/>
    </row>
    <row r="517" spans="10:22" s="1" customFormat="1" x14ac:dyDescent="0.2">
      <c r="J517"/>
      <c r="K517"/>
      <c r="L517"/>
      <c r="M517"/>
      <c r="N517"/>
      <c r="O517" s="392"/>
      <c r="P517" s="2"/>
      <c r="R517"/>
      <c r="S517"/>
      <c r="V517"/>
    </row>
    <row r="518" spans="10:22" s="1" customFormat="1" x14ac:dyDescent="0.2">
      <c r="J518"/>
      <c r="K518"/>
      <c r="L518"/>
      <c r="M518"/>
      <c r="N518"/>
      <c r="O518" s="392"/>
      <c r="P518" s="2"/>
      <c r="R518"/>
      <c r="S518"/>
      <c r="V518"/>
    </row>
    <row r="519" spans="10:22" s="1" customFormat="1" x14ac:dyDescent="0.2">
      <c r="J519"/>
      <c r="K519"/>
      <c r="L519"/>
      <c r="M519"/>
      <c r="N519"/>
      <c r="O519" s="392"/>
      <c r="P519" s="2"/>
      <c r="R519"/>
      <c r="S519"/>
      <c r="V519"/>
    </row>
    <row r="520" spans="10:22" s="1" customFormat="1" x14ac:dyDescent="0.2">
      <c r="J520"/>
      <c r="K520"/>
      <c r="L520"/>
      <c r="M520"/>
      <c r="N520"/>
      <c r="O520" s="392"/>
      <c r="P520" s="2"/>
      <c r="R520"/>
      <c r="S520"/>
      <c r="V520"/>
    </row>
    <row r="521" spans="10:22" s="1" customFormat="1" x14ac:dyDescent="0.2">
      <c r="J521"/>
      <c r="K521"/>
      <c r="L521"/>
      <c r="M521"/>
      <c r="N521"/>
      <c r="O521" s="392"/>
      <c r="P521" s="2"/>
      <c r="R521"/>
      <c r="S521"/>
      <c r="V521"/>
    </row>
    <row r="522" spans="10:22" s="1" customFormat="1" x14ac:dyDescent="0.2">
      <c r="J522"/>
      <c r="K522"/>
      <c r="L522"/>
      <c r="M522"/>
      <c r="N522"/>
      <c r="O522" s="392"/>
      <c r="P522" s="2"/>
      <c r="R522"/>
      <c r="S522"/>
      <c r="V522"/>
    </row>
    <row r="523" spans="10:22" s="1" customFormat="1" x14ac:dyDescent="0.2">
      <c r="J523"/>
      <c r="K523"/>
      <c r="L523"/>
      <c r="M523"/>
      <c r="N523"/>
      <c r="O523" s="392"/>
      <c r="P523" s="2"/>
      <c r="R523"/>
      <c r="S523"/>
      <c r="V523"/>
    </row>
    <row r="524" spans="10:22" s="1" customFormat="1" x14ac:dyDescent="0.2">
      <c r="J524"/>
      <c r="K524"/>
      <c r="L524"/>
      <c r="M524"/>
      <c r="N524"/>
      <c r="O524" s="392"/>
      <c r="P524" s="2"/>
      <c r="R524"/>
      <c r="S524"/>
      <c r="V524"/>
    </row>
    <row r="525" spans="10:22" s="1" customFormat="1" x14ac:dyDescent="0.2">
      <c r="J525"/>
      <c r="K525"/>
      <c r="L525"/>
      <c r="M525"/>
      <c r="N525"/>
      <c r="O525" s="392"/>
      <c r="P525" s="2"/>
      <c r="R525"/>
      <c r="S525"/>
      <c r="V525"/>
    </row>
    <row r="526" spans="10:22" s="1" customFormat="1" x14ac:dyDescent="0.2">
      <c r="J526"/>
      <c r="K526"/>
      <c r="L526"/>
      <c r="M526"/>
      <c r="N526"/>
      <c r="O526" s="392"/>
      <c r="P526" s="2"/>
      <c r="R526"/>
      <c r="S526"/>
      <c r="V526"/>
    </row>
    <row r="527" spans="10:22" s="1" customFormat="1" x14ac:dyDescent="0.2">
      <c r="J527"/>
      <c r="K527"/>
      <c r="L527"/>
      <c r="M527"/>
      <c r="N527"/>
      <c r="O527" s="392"/>
      <c r="P527" s="2"/>
      <c r="R527"/>
      <c r="S527"/>
      <c r="V527"/>
    </row>
    <row r="528" spans="10:22" s="1" customFormat="1" x14ac:dyDescent="0.2">
      <c r="J528"/>
      <c r="K528"/>
      <c r="L528"/>
      <c r="M528"/>
      <c r="N528"/>
      <c r="O528" s="392"/>
      <c r="P528" s="2"/>
      <c r="R528"/>
      <c r="S528"/>
      <c r="V528"/>
    </row>
    <row r="529" spans="10:22" s="1" customFormat="1" x14ac:dyDescent="0.2">
      <c r="J529"/>
      <c r="K529"/>
      <c r="L529"/>
      <c r="M529"/>
      <c r="N529"/>
      <c r="O529" s="392"/>
      <c r="P529" s="2"/>
      <c r="R529"/>
      <c r="S529"/>
      <c r="V529"/>
    </row>
    <row r="530" spans="10:22" s="1" customFormat="1" x14ac:dyDescent="0.2">
      <c r="J530"/>
      <c r="K530"/>
      <c r="L530"/>
      <c r="M530"/>
      <c r="N530"/>
      <c r="O530" s="392"/>
      <c r="P530" s="2"/>
      <c r="R530"/>
      <c r="S530"/>
      <c r="V530"/>
    </row>
    <row r="531" spans="10:22" s="1" customFormat="1" x14ac:dyDescent="0.2">
      <c r="J531"/>
      <c r="K531"/>
      <c r="L531"/>
      <c r="M531"/>
      <c r="N531"/>
      <c r="O531" s="392"/>
      <c r="P531" s="2"/>
      <c r="R531"/>
      <c r="S531"/>
      <c r="V531"/>
    </row>
    <row r="532" spans="10:22" s="1" customFormat="1" x14ac:dyDescent="0.2">
      <c r="J532"/>
      <c r="K532"/>
      <c r="L532"/>
      <c r="M532"/>
      <c r="N532"/>
      <c r="O532" s="392"/>
      <c r="P532" s="2"/>
      <c r="R532"/>
      <c r="S532"/>
      <c r="V532"/>
    </row>
    <row r="533" spans="10:22" s="1" customFormat="1" x14ac:dyDescent="0.2">
      <c r="J533"/>
      <c r="K533"/>
      <c r="L533"/>
      <c r="M533"/>
      <c r="N533"/>
      <c r="O533" s="392"/>
      <c r="P533" s="2"/>
      <c r="R533"/>
      <c r="S533"/>
      <c r="V533"/>
    </row>
    <row r="534" spans="10:22" s="1" customFormat="1" x14ac:dyDescent="0.2">
      <c r="J534"/>
      <c r="K534"/>
      <c r="L534"/>
      <c r="M534"/>
      <c r="N534"/>
      <c r="O534" s="392"/>
      <c r="P534" s="2"/>
      <c r="R534"/>
      <c r="S534"/>
      <c r="V534"/>
    </row>
    <row r="535" spans="10:22" s="1" customFormat="1" x14ac:dyDescent="0.2">
      <c r="J535"/>
      <c r="K535"/>
      <c r="L535"/>
      <c r="M535"/>
      <c r="N535"/>
      <c r="O535" s="392"/>
      <c r="P535" s="2"/>
      <c r="R535"/>
      <c r="S535"/>
      <c r="V535"/>
    </row>
    <row r="536" spans="10:22" s="1" customFormat="1" x14ac:dyDescent="0.2">
      <c r="J536"/>
      <c r="K536"/>
      <c r="L536"/>
      <c r="M536"/>
      <c r="N536"/>
      <c r="O536" s="392"/>
      <c r="P536" s="2"/>
      <c r="R536"/>
      <c r="S536"/>
      <c r="V536"/>
    </row>
    <row r="537" spans="10:22" s="1" customFormat="1" x14ac:dyDescent="0.2">
      <c r="J537"/>
      <c r="K537"/>
      <c r="L537"/>
      <c r="M537"/>
      <c r="N537"/>
      <c r="O537" s="392"/>
      <c r="P537" s="2"/>
      <c r="R537"/>
      <c r="S537"/>
      <c r="V537"/>
    </row>
    <row r="538" spans="10:22" s="1" customFormat="1" x14ac:dyDescent="0.2">
      <c r="J538"/>
      <c r="K538"/>
      <c r="L538"/>
      <c r="M538"/>
      <c r="N538"/>
      <c r="O538" s="392"/>
      <c r="P538" s="2"/>
      <c r="R538"/>
      <c r="S538"/>
      <c r="V538"/>
    </row>
    <row r="539" spans="10:22" s="1" customFormat="1" x14ac:dyDescent="0.2">
      <c r="J539"/>
      <c r="K539"/>
      <c r="L539"/>
      <c r="M539"/>
      <c r="N539"/>
      <c r="O539" s="392"/>
      <c r="P539" s="2"/>
      <c r="R539"/>
      <c r="S539"/>
      <c r="V539"/>
    </row>
    <row r="540" spans="10:22" s="1" customFormat="1" x14ac:dyDescent="0.2">
      <c r="J540"/>
      <c r="K540"/>
      <c r="L540"/>
      <c r="M540"/>
      <c r="N540"/>
      <c r="O540" s="392"/>
      <c r="P540" s="2"/>
      <c r="R540"/>
      <c r="S540"/>
      <c r="V540"/>
    </row>
    <row r="541" spans="10:22" s="1" customFormat="1" x14ac:dyDescent="0.2">
      <c r="J541"/>
      <c r="K541"/>
      <c r="L541"/>
      <c r="M541"/>
      <c r="N541"/>
      <c r="O541" s="392"/>
      <c r="P541" s="2"/>
      <c r="R541"/>
      <c r="S541"/>
      <c r="V541"/>
    </row>
    <row r="542" spans="10:22" s="1" customFormat="1" x14ac:dyDescent="0.2">
      <c r="J542"/>
      <c r="K542"/>
      <c r="L542"/>
      <c r="M542"/>
      <c r="N542"/>
      <c r="O542" s="392"/>
      <c r="P542" s="2"/>
      <c r="R542"/>
      <c r="S542"/>
      <c r="V542"/>
    </row>
    <row r="543" spans="10:22" s="1" customFormat="1" x14ac:dyDescent="0.2">
      <c r="J543"/>
      <c r="K543"/>
      <c r="L543"/>
      <c r="M543"/>
      <c r="N543"/>
      <c r="O543" s="392"/>
      <c r="P543" s="2"/>
      <c r="R543"/>
      <c r="S543"/>
      <c r="V543"/>
    </row>
    <row r="544" spans="10:22" s="1" customFormat="1" x14ac:dyDescent="0.2">
      <c r="J544"/>
      <c r="K544"/>
      <c r="L544"/>
      <c r="M544"/>
      <c r="N544"/>
      <c r="O544" s="392"/>
      <c r="P544" s="2"/>
      <c r="R544"/>
      <c r="S544"/>
      <c r="V544"/>
    </row>
    <row r="545" spans="10:22" s="1" customFormat="1" x14ac:dyDescent="0.2">
      <c r="J545"/>
      <c r="K545"/>
      <c r="L545"/>
      <c r="M545"/>
      <c r="N545"/>
      <c r="O545" s="392"/>
      <c r="P545" s="2"/>
      <c r="R545"/>
      <c r="S545"/>
      <c r="V545"/>
    </row>
    <row r="546" spans="10:22" s="1" customFormat="1" x14ac:dyDescent="0.2">
      <c r="J546"/>
      <c r="K546"/>
      <c r="L546"/>
      <c r="M546"/>
      <c r="N546"/>
      <c r="O546" s="392"/>
      <c r="P546" s="2"/>
      <c r="R546"/>
      <c r="S546"/>
      <c r="V546"/>
    </row>
    <row r="547" spans="10:22" s="1" customFormat="1" x14ac:dyDescent="0.2">
      <c r="J547"/>
      <c r="K547"/>
      <c r="L547"/>
      <c r="M547"/>
      <c r="N547"/>
      <c r="O547" s="392"/>
      <c r="P547" s="2"/>
      <c r="R547"/>
      <c r="S547"/>
      <c r="V547"/>
    </row>
    <row r="548" spans="10:22" s="1" customFormat="1" x14ac:dyDescent="0.2">
      <c r="J548"/>
      <c r="K548"/>
      <c r="L548"/>
      <c r="M548"/>
      <c r="N548"/>
      <c r="O548" s="392"/>
      <c r="P548" s="2"/>
      <c r="R548"/>
      <c r="S548"/>
      <c r="V548"/>
    </row>
    <row r="549" spans="10:22" s="1" customFormat="1" x14ac:dyDescent="0.2">
      <c r="J549"/>
      <c r="K549"/>
      <c r="L549"/>
      <c r="M549"/>
      <c r="N549"/>
      <c r="O549" s="392"/>
      <c r="P549" s="2"/>
      <c r="R549"/>
      <c r="S549"/>
      <c r="V549"/>
    </row>
    <row r="550" spans="10:22" s="1" customFormat="1" x14ac:dyDescent="0.2">
      <c r="J550"/>
      <c r="K550"/>
      <c r="L550"/>
      <c r="M550"/>
      <c r="N550"/>
      <c r="O550" s="392"/>
      <c r="P550" s="2"/>
      <c r="R550"/>
      <c r="S550"/>
      <c r="V550"/>
    </row>
    <row r="551" spans="10:22" s="1" customFormat="1" x14ac:dyDescent="0.2">
      <c r="J551"/>
      <c r="K551"/>
      <c r="L551"/>
      <c r="M551"/>
      <c r="N551"/>
      <c r="O551" s="392"/>
      <c r="P551" s="2"/>
      <c r="R551"/>
      <c r="S551"/>
      <c r="V551"/>
    </row>
    <row r="552" spans="10:22" s="1" customFormat="1" x14ac:dyDescent="0.2">
      <c r="J552"/>
      <c r="K552"/>
      <c r="L552"/>
      <c r="M552"/>
      <c r="N552"/>
      <c r="O552" s="392"/>
      <c r="P552" s="2"/>
      <c r="R552"/>
      <c r="S552"/>
      <c r="V552"/>
    </row>
    <row r="553" spans="10:22" s="1" customFormat="1" x14ac:dyDescent="0.2">
      <c r="J553"/>
      <c r="K553"/>
      <c r="L553"/>
      <c r="M553"/>
      <c r="N553"/>
      <c r="O553" s="392"/>
      <c r="P553" s="2"/>
      <c r="R553"/>
      <c r="S553"/>
      <c r="V553"/>
    </row>
    <row r="554" spans="10:22" s="1" customFormat="1" x14ac:dyDescent="0.2">
      <c r="J554"/>
      <c r="K554"/>
      <c r="L554"/>
      <c r="M554"/>
      <c r="N554"/>
      <c r="O554" s="392"/>
      <c r="P554" s="2"/>
      <c r="R554"/>
      <c r="S554"/>
      <c r="V554"/>
    </row>
    <row r="555" spans="10:22" s="1" customFormat="1" x14ac:dyDescent="0.2">
      <c r="J555"/>
      <c r="K555"/>
      <c r="L555"/>
      <c r="M555"/>
      <c r="N555"/>
      <c r="O555" s="392"/>
      <c r="P555" s="2"/>
      <c r="R555"/>
      <c r="S555"/>
      <c r="V555"/>
    </row>
    <row r="556" spans="10:22" s="1" customFormat="1" x14ac:dyDescent="0.2">
      <c r="J556"/>
      <c r="K556"/>
      <c r="L556"/>
      <c r="M556"/>
      <c r="N556"/>
      <c r="O556" s="392"/>
      <c r="P556" s="2"/>
      <c r="R556"/>
      <c r="S556"/>
      <c r="V556"/>
    </row>
    <row r="557" spans="10:22" s="1" customFormat="1" x14ac:dyDescent="0.2">
      <c r="J557"/>
      <c r="K557"/>
      <c r="L557"/>
      <c r="M557"/>
      <c r="N557"/>
      <c r="O557" s="392"/>
      <c r="P557" s="2"/>
      <c r="R557"/>
      <c r="S557"/>
      <c r="V557"/>
    </row>
    <row r="558" spans="10:22" s="1" customFormat="1" x14ac:dyDescent="0.2">
      <c r="J558"/>
      <c r="K558"/>
      <c r="L558"/>
      <c r="M558"/>
      <c r="N558"/>
      <c r="O558" s="392"/>
      <c r="P558" s="2"/>
      <c r="R558"/>
      <c r="S558"/>
      <c r="V558"/>
    </row>
    <row r="559" spans="10:22" s="1" customFormat="1" x14ac:dyDescent="0.2">
      <c r="J559"/>
      <c r="K559"/>
      <c r="L559"/>
      <c r="M559"/>
      <c r="N559"/>
      <c r="O559" s="392"/>
      <c r="P559" s="2"/>
      <c r="R559"/>
      <c r="S559"/>
      <c r="V559"/>
    </row>
    <row r="560" spans="10:22" s="1" customFormat="1" x14ac:dyDescent="0.2">
      <c r="J560"/>
      <c r="K560"/>
      <c r="L560"/>
      <c r="M560"/>
      <c r="N560"/>
      <c r="O560" s="392"/>
      <c r="P560" s="2"/>
      <c r="R560"/>
      <c r="S560"/>
      <c r="V560"/>
    </row>
    <row r="561" spans="10:22" s="1" customFormat="1" x14ac:dyDescent="0.2">
      <c r="J561"/>
      <c r="K561"/>
      <c r="L561"/>
      <c r="M561"/>
      <c r="N561"/>
      <c r="O561" s="392"/>
      <c r="P561" s="2"/>
      <c r="R561"/>
      <c r="S561"/>
      <c r="V561"/>
    </row>
    <row r="562" spans="10:22" s="1" customFormat="1" x14ac:dyDescent="0.2">
      <c r="J562"/>
      <c r="K562"/>
      <c r="L562"/>
      <c r="M562"/>
      <c r="N562"/>
      <c r="O562" s="392"/>
      <c r="P562" s="2"/>
      <c r="R562"/>
      <c r="S562"/>
      <c r="V562"/>
    </row>
    <row r="563" spans="10:22" s="1" customFormat="1" x14ac:dyDescent="0.2">
      <c r="J563"/>
      <c r="K563"/>
      <c r="L563"/>
      <c r="M563"/>
      <c r="N563"/>
      <c r="O563" s="392"/>
      <c r="P563" s="2"/>
      <c r="R563"/>
      <c r="S563"/>
      <c r="V563"/>
    </row>
    <row r="564" spans="10:22" s="1" customFormat="1" x14ac:dyDescent="0.2">
      <c r="J564"/>
      <c r="K564"/>
      <c r="L564"/>
      <c r="M564"/>
      <c r="N564"/>
      <c r="O564" s="392"/>
      <c r="P564" s="2"/>
      <c r="R564"/>
      <c r="S564"/>
      <c r="V564"/>
    </row>
    <row r="565" spans="10:22" s="1" customFormat="1" x14ac:dyDescent="0.2">
      <c r="J565"/>
      <c r="K565"/>
      <c r="L565"/>
      <c r="M565"/>
      <c r="N565"/>
      <c r="O565" s="392"/>
      <c r="P565" s="2"/>
      <c r="R565"/>
      <c r="S565"/>
      <c r="V565"/>
    </row>
    <row r="566" spans="10:22" s="1" customFormat="1" x14ac:dyDescent="0.2">
      <c r="J566"/>
      <c r="K566"/>
      <c r="L566"/>
      <c r="M566"/>
      <c r="N566"/>
      <c r="O566" s="392"/>
      <c r="P566" s="2"/>
      <c r="R566"/>
      <c r="S566"/>
      <c r="V566"/>
    </row>
    <row r="567" spans="10:22" s="1" customFormat="1" x14ac:dyDescent="0.2">
      <c r="J567"/>
      <c r="K567"/>
      <c r="L567"/>
      <c r="M567"/>
      <c r="N567"/>
      <c r="O567" s="392"/>
      <c r="P567" s="2"/>
      <c r="R567"/>
      <c r="S567"/>
      <c r="V567"/>
    </row>
    <row r="568" spans="10:22" s="1" customFormat="1" x14ac:dyDescent="0.2">
      <c r="J568"/>
      <c r="K568"/>
      <c r="L568"/>
      <c r="M568"/>
      <c r="N568"/>
      <c r="O568" s="392"/>
      <c r="P568" s="2"/>
      <c r="R568"/>
      <c r="S568"/>
      <c r="V568"/>
    </row>
    <row r="569" spans="10:22" s="1" customFormat="1" x14ac:dyDescent="0.2">
      <c r="J569"/>
      <c r="K569"/>
      <c r="L569"/>
      <c r="M569"/>
      <c r="N569"/>
      <c r="O569" s="392"/>
      <c r="P569" s="2"/>
      <c r="R569"/>
      <c r="S569"/>
      <c r="V569"/>
    </row>
    <row r="570" spans="10:22" s="1" customFormat="1" x14ac:dyDescent="0.2">
      <c r="J570"/>
      <c r="K570"/>
      <c r="L570"/>
      <c r="M570"/>
      <c r="N570"/>
      <c r="O570" s="392"/>
      <c r="P570" s="2"/>
      <c r="R570"/>
      <c r="S570"/>
      <c r="V570"/>
    </row>
    <row r="571" spans="10:22" s="1" customFormat="1" x14ac:dyDescent="0.2">
      <c r="J571"/>
      <c r="K571"/>
      <c r="L571"/>
      <c r="M571"/>
      <c r="N571"/>
      <c r="O571" s="392"/>
      <c r="P571" s="2"/>
      <c r="R571"/>
      <c r="S571"/>
      <c r="V571"/>
    </row>
    <row r="572" spans="10:22" s="1" customFormat="1" x14ac:dyDescent="0.2">
      <c r="J572"/>
      <c r="K572"/>
      <c r="L572"/>
      <c r="M572"/>
      <c r="N572"/>
      <c r="O572" s="392"/>
      <c r="P572" s="2"/>
      <c r="R572"/>
      <c r="S572"/>
      <c r="V572"/>
    </row>
    <row r="573" spans="10:22" s="1" customFormat="1" x14ac:dyDescent="0.2">
      <c r="J573"/>
      <c r="K573"/>
      <c r="L573"/>
      <c r="M573"/>
      <c r="N573"/>
      <c r="O573" s="392"/>
      <c r="P573" s="2"/>
      <c r="R573"/>
      <c r="S573"/>
      <c r="V573"/>
    </row>
    <row r="574" spans="10:22" s="1" customFormat="1" x14ac:dyDescent="0.2">
      <c r="J574"/>
      <c r="K574"/>
      <c r="L574"/>
      <c r="M574"/>
      <c r="N574"/>
      <c r="O574" s="392"/>
      <c r="P574" s="2"/>
      <c r="R574"/>
      <c r="S574"/>
      <c r="V574"/>
    </row>
    <row r="575" spans="10:22" s="1" customFormat="1" x14ac:dyDescent="0.2">
      <c r="J575"/>
      <c r="K575"/>
      <c r="L575"/>
      <c r="M575"/>
      <c r="N575"/>
      <c r="O575" s="392"/>
      <c r="P575" s="2"/>
      <c r="R575"/>
      <c r="S575"/>
      <c r="V575"/>
    </row>
    <row r="576" spans="10:22" s="1" customFormat="1" x14ac:dyDescent="0.2">
      <c r="J576"/>
      <c r="K576"/>
      <c r="L576"/>
      <c r="M576"/>
      <c r="N576"/>
      <c r="O576" s="392"/>
      <c r="P576" s="2"/>
      <c r="R576"/>
      <c r="S576"/>
      <c r="V576"/>
    </row>
    <row r="577" spans="10:22" s="1" customFormat="1" x14ac:dyDescent="0.2">
      <c r="J577"/>
      <c r="K577"/>
      <c r="L577"/>
      <c r="M577"/>
      <c r="N577"/>
      <c r="O577" s="392"/>
      <c r="P577" s="2"/>
      <c r="R577"/>
      <c r="S577"/>
      <c r="V577"/>
    </row>
    <row r="578" spans="10:22" s="1" customFormat="1" x14ac:dyDescent="0.2">
      <c r="J578"/>
      <c r="K578"/>
      <c r="L578"/>
      <c r="M578"/>
      <c r="N578"/>
      <c r="O578" s="392"/>
      <c r="P578" s="2"/>
      <c r="R578"/>
      <c r="S578"/>
      <c r="V578"/>
    </row>
    <row r="579" spans="10:22" s="1" customFormat="1" x14ac:dyDescent="0.2">
      <c r="J579"/>
      <c r="K579"/>
      <c r="L579"/>
      <c r="M579"/>
      <c r="N579"/>
      <c r="O579" s="392"/>
      <c r="P579" s="2"/>
      <c r="R579"/>
      <c r="S579"/>
      <c r="V579"/>
    </row>
    <row r="580" spans="10:22" s="1" customFormat="1" x14ac:dyDescent="0.2">
      <c r="J580"/>
      <c r="K580"/>
      <c r="L580"/>
      <c r="M580"/>
      <c r="N580"/>
      <c r="O580" s="392"/>
      <c r="P580" s="2"/>
      <c r="R580"/>
      <c r="S580"/>
      <c r="V580"/>
    </row>
    <row r="581" spans="10:22" s="1" customFormat="1" x14ac:dyDescent="0.2">
      <c r="J581"/>
      <c r="K581"/>
      <c r="L581"/>
      <c r="M581"/>
      <c r="N581"/>
      <c r="O581" s="392"/>
      <c r="P581" s="2"/>
      <c r="R581"/>
      <c r="S581"/>
      <c r="V581"/>
    </row>
    <row r="582" spans="10:22" s="1" customFormat="1" x14ac:dyDescent="0.2">
      <c r="J582"/>
      <c r="K582"/>
      <c r="L582"/>
      <c r="M582"/>
      <c r="N582"/>
      <c r="O582" s="392"/>
      <c r="P582" s="2"/>
      <c r="R582"/>
      <c r="S582"/>
      <c r="V582"/>
    </row>
    <row r="583" spans="10:22" s="1" customFormat="1" x14ac:dyDescent="0.2">
      <c r="J583"/>
      <c r="K583"/>
      <c r="L583"/>
      <c r="M583"/>
      <c r="N583"/>
      <c r="O583" s="392"/>
      <c r="P583" s="2"/>
      <c r="R583"/>
      <c r="S583"/>
      <c r="V583"/>
    </row>
    <row r="584" spans="10:22" s="1" customFormat="1" x14ac:dyDescent="0.2">
      <c r="J584"/>
      <c r="K584"/>
      <c r="L584"/>
      <c r="M584"/>
      <c r="N584"/>
      <c r="O584" s="392"/>
      <c r="P584" s="2"/>
      <c r="R584"/>
      <c r="S584"/>
      <c r="V584"/>
    </row>
    <row r="585" spans="10:22" s="1" customFormat="1" x14ac:dyDescent="0.2">
      <c r="J585"/>
      <c r="K585"/>
      <c r="L585"/>
      <c r="M585"/>
      <c r="N585"/>
      <c r="O585" s="392"/>
      <c r="P585" s="2"/>
      <c r="R585"/>
      <c r="S585"/>
      <c r="V585"/>
    </row>
    <row r="586" spans="10:22" s="1" customFormat="1" x14ac:dyDescent="0.2">
      <c r="J586"/>
      <c r="K586"/>
      <c r="L586"/>
      <c r="M586"/>
      <c r="N586"/>
      <c r="O586" s="392"/>
      <c r="P586" s="2"/>
      <c r="R586"/>
      <c r="S586"/>
      <c r="V586"/>
    </row>
    <row r="587" spans="10:22" s="1" customFormat="1" x14ac:dyDescent="0.2">
      <c r="J587"/>
      <c r="K587"/>
      <c r="L587"/>
      <c r="M587"/>
      <c r="N587"/>
      <c r="O587" s="392"/>
      <c r="P587" s="2"/>
      <c r="R587"/>
      <c r="S587"/>
      <c r="V587"/>
    </row>
    <row r="588" spans="10:22" s="1" customFormat="1" x14ac:dyDescent="0.2">
      <c r="J588"/>
      <c r="K588"/>
      <c r="L588"/>
      <c r="M588"/>
      <c r="N588"/>
      <c r="O588" s="392"/>
      <c r="P588" s="2"/>
      <c r="R588"/>
      <c r="S588"/>
      <c r="V588"/>
    </row>
    <row r="589" spans="10:22" s="1" customFormat="1" x14ac:dyDescent="0.2">
      <c r="J589"/>
      <c r="K589"/>
      <c r="L589"/>
      <c r="M589"/>
      <c r="N589"/>
      <c r="O589" s="392"/>
      <c r="P589" s="2"/>
      <c r="R589"/>
      <c r="S589"/>
      <c r="V589"/>
    </row>
    <row r="590" spans="10:22" s="1" customFormat="1" x14ac:dyDescent="0.2">
      <c r="J590"/>
      <c r="K590"/>
      <c r="L590"/>
      <c r="M590"/>
      <c r="N590"/>
      <c r="O590" s="392"/>
      <c r="P590" s="2"/>
      <c r="R590"/>
      <c r="S590"/>
      <c r="V590"/>
    </row>
    <row r="591" spans="10:22" s="1" customFormat="1" x14ac:dyDescent="0.2">
      <c r="J591"/>
      <c r="K591"/>
      <c r="L591"/>
      <c r="M591"/>
      <c r="N591"/>
      <c r="O591" s="392"/>
      <c r="P591" s="2"/>
      <c r="R591"/>
      <c r="S591"/>
      <c r="V591"/>
    </row>
    <row r="592" spans="10:22" s="1" customFormat="1" x14ac:dyDescent="0.2">
      <c r="J592"/>
      <c r="K592"/>
      <c r="L592"/>
      <c r="M592"/>
      <c r="N592"/>
      <c r="O592" s="392"/>
      <c r="P592" s="2"/>
      <c r="R592"/>
      <c r="S592"/>
      <c r="V592"/>
    </row>
    <row r="593" spans="10:22" s="1" customFormat="1" x14ac:dyDescent="0.2">
      <c r="J593"/>
      <c r="K593"/>
      <c r="L593"/>
      <c r="M593"/>
      <c r="N593"/>
      <c r="O593" s="392"/>
      <c r="P593" s="2"/>
      <c r="R593"/>
      <c r="S593"/>
      <c r="V593"/>
    </row>
    <row r="594" spans="10:22" s="1" customFormat="1" x14ac:dyDescent="0.2">
      <c r="J594"/>
      <c r="K594"/>
      <c r="L594"/>
      <c r="M594"/>
      <c r="N594"/>
      <c r="O594" s="392"/>
      <c r="P594" s="2"/>
      <c r="R594"/>
      <c r="S594"/>
      <c r="V594"/>
    </row>
    <row r="595" spans="10:22" s="1" customFormat="1" x14ac:dyDescent="0.2">
      <c r="J595"/>
      <c r="K595"/>
      <c r="L595"/>
      <c r="M595"/>
      <c r="N595"/>
      <c r="O595" s="392"/>
      <c r="P595" s="2"/>
      <c r="R595"/>
      <c r="S595"/>
      <c r="V595"/>
    </row>
    <row r="596" spans="10:22" s="1" customFormat="1" x14ac:dyDescent="0.2">
      <c r="J596"/>
      <c r="K596"/>
      <c r="L596"/>
      <c r="M596"/>
      <c r="N596"/>
      <c r="O596" s="392"/>
      <c r="P596" s="2"/>
      <c r="R596"/>
      <c r="S596"/>
      <c r="V596"/>
    </row>
    <row r="597" spans="10:22" s="1" customFormat="1" x14ac:dyDescent="0.2">
      <c r="J597"/>
      <c r="K597"/>
      <c r="L597"/>
      <c r="M597"/>
      <c r="N597"/>
      <c r="O597" s="392"/>
      <c r="P597" s="2"/>
      <c r="R597"/>
      <c r="S597"/>
      <c r="V597"/>
    </row>
    <row r="598" spans="10:22" s="1" customFormat="1" x14ac:dyDescent="0.2">
      <c r="J598"/>
      <c r="K598"/>
      <c r="L598"/>
      <c r="M598"/>
      <c r="N598"/>
      <c r="O598" s="392"/>
      <c r="P598" s="2"/>
      <c r="R598"/>
      <c r="S598"/>
      <c r="V598"/>
    </row>
    <row r="599" spans="10:22" s="1" customFormat="1" x14ac:dyDescent="0.2">
      <c r="J599"/>
      <c r="K599"/>
      <c r="L599"/>
      <c r="M599"/>
      <c r="N599"/>
      <c r="O599" s="392"/>
      <c r="P599" s="2"/>
      <c r="R599"/>
      <c r="S599"/>
      <c r="V599"/>
    </row>
    <row r="600" spans="10:22" s="1" customFormat="1" x14ac:dyDescent="0.2">
      <c r="J600"/>
      <c r="K600"/>
      <c r="L600"/>
      <c r="M600"/>
      <c r="N600"/>
      <c r="O600" s="392"/>
      <c r="P600" s="2"/>
      <c r="R600"/>
      <c r="S600"/>
      <c r="V600"/>
    </row>
    <row r="601" spans="10:22" s="1" customFormat="1" x14ac:dyDescent="0.2">
      <c r="J601"/>
      <c r="K601"/>
      <c r="L601"/>
      <c r="M601"/>
      <c r="N601"/>
      <c r="O601" s="392"/>
      <c r="P601" s="2"/>
      <c r="R601"/>
      <c r="S601"/>
      <c r="V601"/>
    </row>
    <row r="602" spans="10:22" s="1" customFormat="1" x14ac:dyDescent="0.2">
      <c r="J602"/>
      <c r="K602"/>
      <c r="L602"/>
      <c r="M602"/>
      <c r="N602"/>
      <c r="O602" s="392"/>
      <c r="P602" s="2"/>
      <c r="R602"/>
      <c r="S602"/>
      <c r="V602"/>
    </row>
    <row r="603" spans="10:22" s="1" customFormat="1" x14ac:dyDescent="0.2">
      <c r="J603"/>
      <c r="K603"/>
      <c r="L603"/>
      <c r="M603"/>
      <c r="N603"/>
      <c r="O603" s="392"/>
      <c r="P603" s="2"/>
      <c r="R603"/>
      <c r="S603"/>
      <c r="V603"/>
    </row>
    <row r="604" spans="10:22" s="1" customFormat="1" x14ac:dyDescent="0.2">
      <c r="J604"/>
      <c r="K604"/>
      <c r="L604"/>
      <c r="M604"/>
      <c r="N604"/>
      <c r="O604" s="392"/>
      <c r="P604" s="2"/>
      <c r="R604"/>
      <c r="S604"/>
      <c r="V604"/>
    </row>
    <row r="605" spans="10:22" s="1" customFormat="1" x14ac:dyDescent="0.2">
      <c r="J605"/>
      <c r="K605"/>
      <c r="L605"/>
      <c r="M605"/>
      <c r="N605"/>
      <c r="O605" s="392"/>
      <c r="P605" s="2"/>
      <c r="R605"/>
      <c r="S605"/>
      <c r="V605"/>
    </row>
    <row r="606" spans="10:22" s="1" customFormat="1" x14ac:dyDescent="0.2">
      <c r="J606"/>
      <c r="K606"/>
      <c r="L606"/>
      <c r="M606"/>
      <c r="N606"/>
      <c r="O606" s="392"/>
      <c r="P606" s="2"/>
      <c r="R606"/>
      <c r="S606"/>
      <c r="V606"/>
    </row>
    <row r="607" spans="10:22" s="1" customFormat="1" x14ac:dyDescent="0.2">
      <c r="J607"/>
      <c r="K607"/>
      <c r="L607"/>
      <c r="M607"/>
      <c r="N607"/>
      <c r="O607" s="392"/>
      <c r="P607" s="2"/>
      <c r="R607"/>
      <c r="S607"/>
      <c r="V607"/>
    </row>
    <row r="608" spans="10:22" s="1" customFormat="1" x14ac:dyDescent="0.2">
      <c r="J608"/>
      <c r="K608"/>
      <c r="L608"/>
      <c r="M608"/>
      <c r="N608"/>
      <c r="O608" s="392"/>
      <c r="P608" s="2"/>
      <c r="R608"/>
      <c r="S608"/>
      <c r="V608"/>
    </row>
    <row r="609" spans="10:22" s="1" customFormat="1" x14ac:dyDescent="0.2">
      <c r="J609"/>
      <c r="K609"/>
      <c r="L609"/>
      <c r="M609"/>
      <c r="N609"/>
      <c r="O609" s="392"/>
      <c r="P609" s="2"/>
      <c r="R609"/>
      <c r="S609"/>
      <c r="V609"/>
    </row>
    <row r="610" spans="10:22" s="1" customFormat="1" x14ac:dyDescent="0.2">
      <c r="J610"/>
      <c r="K610"/>
      <c r="L610"/>
      <c r="M610"/>
      <c r="N610"/>
      <c r="O610" s="392"/>
      <c r="P610" s="2"/>
      <c r="R610"/>
      <c r="S610"/>
      <c r="V610"/>
    </row>
    <row r="611" spans="10:22" s="1" customFormat="1" x14ac:dyDescent="0.2">
      <c r="J611"/>
      <c r="K611"/>
      <c r="L611"/>
      <c r="M611"/>
      <c r="N611"/>
      <c r="O611" s="392"/>
      <c r="P611" s="2"/>
      <c r="R611"/>
      <c r="S611"/>
      <c r="V611"/>
    </row>
    <row r="612" spans="10:22" s="1" customFormat="1" x14ac:dyDescent="0.2">
      <c r="J612"/>
      <c r="K612"/>
      <c r="L612"/>
      <c r="M612"/>
      <c r="N612"/>
      <c r="O612" s="392"/>
      <c r="P612" s="2"/>
      <c r="R612"/>
      <c r="S612"/>
      <c r="V612"/>
    </row>
    <row r="613" spans="10:22" s="1" customFormat="1" x14ac:dyDescent="0.2">
      <c r="J613"/>
      <c r="K613"/>
      <c r="L613"/>
      <c r="M613"/>
      <c r="N613"/>
      <c r="O613" s="392"/>
      <c r="P613" s="2"/>
      <c r="R613"/>
      <c r="S613"/>
      <c r="V613"/>
    </row>
    <row r="614" spans="10:22" s="1" customFormat="1" x14ac:dyDescent="0.2">
      <c r="J614"/>
      <c r="K614"/>
      <c r="L614"/>
      <c r="M614"/>
      <c r="N614"/>
      <c r="O614" s="392"/>
      <c r="P614" s="2"/>
      <c r="R614"/>
      <c r="S614"/>
      <c r="V614"/>
    </row>
    <row r="615" spans="10:22" s="1" customFormat="1" x14ac:dyDescent="0.2">
      <c r="J615"/>
      <c r="K615"/>
      <c r="L615"/>
      <c r="M615"/>
      <c r="N615"/>
      <c r="O615" s="392"/>
      <c r="P615" s="2"/>
      <c r="R615"/>
      <c r="S615"/>
      <c r="V615"/>
    </row>
    <row r="616" spans="10:22" s="1" customFormat="1" x14ac:dyDescent="0.2">
      <c r="J616"/>
      <c r="K616"/>
      <c r="L616"/>
      <c r="M616"/>
      <c r="N616"/>
      <c r="O616" s="392"/>
      <c r="P616" s="2"/>
      <c r="R616"/>
      <c r="S616"/>
      <c r="V616"/>
    </row>
    <row r="617" spans="10:22" s="1" customFormat="1" x14ac:dyDescent="0.2">
      <c r="J617"/>
      <c r="K617"/>
      <c r="L617"/>
      <c r="M617"/>
      <c r="N617"/>
      <c r="O617" s="392"/>
      <c r="P617" s="2"/>
      <c r="R617"/>
      <c r="S617"/>
      <c r="V617"/>
    </row>
    <row r="618" spans="10:22" s="1" customFormat="1" x14ac:dyDescent="0.2">
      <c r="J618"/>
      <c r="K618"/>
      <c r="L618"/>
      <c r="M618"/>
      <c r="N618"/>
      <c r="O618" s="392"/>
      <c r="P618" s="2"/>
      <c r="R618"/>
      <c r="S618"/>
      <c r="V618"/>
    </row>
    <row r="619" spans="10:22" s="1" customFormat="1" x14ac:dyDescent="0.2">
      <c r="J619"/>
      <c r="K619"/>
      <c r="L619"/>
      <c r="M619"/>
      <c r="N619"/>
      <c r="O619" s="392"/>
      <c r="P619" s="2"/>
      <c r="R619"/>
      <c r="S619"/>
      <c r="V619"/>
    </row>
    <row r="620" spans="10:22" s="1" customFormat="1" x14ac:dyDescent="0.2">
      <c r="J620"/>
      <c r="K620"/>
      <c r="L620"/>
      <c r="M620"/>
      <c r="N620"/>
      <c r="O620" s="392"/>
      <c r="P620" s="2"/>
      <c r="R620"/>
      <c r="S620"/>
      <c r="V620"/>
    </row>
    <row r="621" spans="10:22" s="1" customFormat="1" x14ac:dyDescent="0.2">
      <c r="J621"/>
      <c r="K621"/>
      <c r="L621"/>
      <c r="M621"/>
      <c r="N621"/>
      <c r="O621" s="392"/>
      <c r="P621" s="2"/>
      <c r="R621"/>
      <c r="S621"/>
      <c r="V621"/>
    </row>
    <row r="622" spans="10:22" s="1" customFormat="1" x14ac:dyDescent="0.2">
      <c r="J622"/>
      <c r="K622"/>
      <c r="L622"/>
      <c r="M622"/>
      <c r="N622"/>
      <c r="O622" s="392"/>
      <c r="P622" s="2"/>
      <c r="R622"/>
      <c r="S622"/>
      <c r="V622"/>
    </row>
    <row r="623" spans="10:22" s="1" customFormat="1" x14ac:dyDescent="0.2">
      <c r="J623"/>
      <c r="K623"/>
      <c r="L623"/>
      <c r="M623"/>
      <c r="N623"/>
      <c r="O623" s="392"/>
      <c r="P623" s="2"/>
      <c r="R623"/>
      <c r="S623"/>
      <c r="V623"/>
    </row>
    <row r="624" spans="10:22" s="1" customFormat="1" x14ac:dyDescent="0.2">
      <c r="J624"/>
      <c r="K624"/>
      <c r="L624"/>
      <c r="M624"/>
      <c r="N624"/>
      <c r="O624" s="392"/>
      <c r="P624" s="2"/>
      <c r="R624"/>
      <c r="S624"/>
      <c r="V624"/>
    </row>
    <row r="625" spans="10:22" s="1" customFormat="1" x14ac:dyDescent="0.2">
      <c r="J625"/>
      <c r="K625"/>
      <c r="L625"/>
      <c r="M625"/>
      <c r="N625"/>
      <c r="O625" s="392"/>
      <c r="P625" s="2"/>
      <c r="R625"/>
      <c r="S625"/>
      <c r="V625"/>
    </row>
    <row r="626" spans="10:22" s="1" customFormat="1" x14ac:dyDescent="0.2">
      <c r="J626"/>
      <c r="K626"/>
      <c r="L626"/>
      <c r="M626"/>
      <c r="N626"/>
      <c r="O626" s="392"/>
      <c r="P626" s="2"/>
      <c r="R626"/>
      <c r="S626"/>
      <c r="V626"/>
    </row>
    <row r="627" spans="10:22" s="1" customFormat="1" x14ac:dyDescent="0.2">
      <c r="J627"/>
      <c r="K627"/>
      <c r="L627"/>
      <c r="M627"/>
      <c r="N627"/>
      <c r="O627" s="392"/>
      <c r="P627" s="2"/>
      <c r="R627"/>
      <c r="S627"/>
      <c r="V627"/>
    </row>
    <row r="628" spans="10:22" s="1" customFormat="1" x14ac:dyDescent="0.2">
      <c r="J628"/>
      <c r="K628"/>
      <c r="L628"/>
      <c r="M628"/>
      <c r="N628"/>
      <c r="O628" s="392"/>
      <c r="P628" s="2"/>
      <c r="R628"/>
      <c r="S628"/>
      <c r="V628"/>
    </row>
    <row r="629" spans="10:22" s="1" customFormat="1" x14ac:dyDescent="0.2">
      <c r="J629"/>
      <c r="K629"/>
      <c r="L629"/>
      <c r="M629"/>
      <c r="N629"/>
      <c r="O629" s="392"/>
      <c r="P629" s="2"/>
      <c r="R629"/>
      <c r="S629"/>
      <c r="V629"/>
    </row>
    <row r="630" spans="10:22" s="1" customFormat="1" x14ac:dyDescent="0.2">
      <c r="J630"/>
      <c r="K630"/>
      <c r="L630"/>
      <c r="M630"/>
      <c r="N630"/>
      <c r="O630" s="392"/>
      <c r="P630" s="2"/>
      <c r="R630"/>
      <c r="S630"/>
      <c r="V630"/>
    </row>
    <row r="631" spans="10:22" s="1" customFormat="1" x14ac:dyDescent="0.2">
      <c r="J631"/>
      <c r="K631"/>
      <c r="L631"/>
      <c r="M631"/>
      <c r="N631"/>
      <c r="O631" s="392"/>
      <c r="P631" s="2"/>
      <c r="R631"/>
      <c r="S631"/>
      <c r="V631"/>
    </row>
    <row r="632" spans="10:22" s="1" customFormat="1" x14ac:dyDescent="0.2">
      <c r="J632"/>
      <c r="K632"/>
      <c r="L632"/>
      <c r="M632"/>
      <c r="N632"/>
      <c r="O632" s="392"/>
      <c r="P632" s="2"/>
      <c r="R632"/>
      <c r="S632"/>
      <c r="V632"/>
    </row>
    <row r="633" spans="10:22" s="1" customFormat="1" x14ac:dyDescent="0.2">
      <c r="J633"/>
      <c r="K633"/>
      <c r="L633"/>
      <c r="M633"/>
      <c r="N633"/>
      <c r="O633" s="392"/>
      <c r="P633" s="2"/>
      <c r="R633"/>
      <c r="S633"/>
      <c r="V633"/>
    </row>
    <row r="634" spans="10:22" s="1" customFormat="1" x14ac:dyDescent="0.2">
      <c r="J634"/>
      <c r="K634"/>
      <c r="L634"/>
      <c r="M634"/>
      <c r="N634"/>
      <c r="O634" s="392"/>
      <c r="P634" s="2"/>
      <c r="R634"/>
      <c r="S634"/>
      <c r="V634"/>
    </row>
    <row r="635" spans="10:22" s="1" customFormat="1" x14ac:dyDescent="0.2">
      <c r="J635"/>
      <c r="K635"/>
      <c r="L635"/>
      <c r="M635"/>
      <c r="N635"/>
      <c r="O635" s="392"/>
      <c r="P635" s="2"/>
      <c r="R635"/>
      <c r="S635"/>
      <c r="V635"/>
    </row>
    <row r="636" spans="10:22" s="1" customFormat="1" x14ac:dyDescent="0.2">
      <c r="J636"/>
      <c r="K636"/>
      <c r="L636"/>
      <c r="M636"/>
      <c r="N636"/>
      <c r="O636" s="392"/>
      <c r="P636" s="2"/>
      <c r="R636"/>
      <c r="S636"/>
      <c r="V636"/>
    </row>
    <row r="637" spans="10:22" s="1" customFormat="1" x14ac:dyDescent="0.2">
      <c r="J637"/>
      <c r="K637"/>
      <c r="L637"/>
      <c r="M637"/>
      <c r="N637"/>
      <c r="O637" s="392"/>
      <c r="P637" s="2"/>
      <c r="R637"/>
      <c r="S637"/>
      <c r="V637"/>
    </row>
    <row r="638" spans="10:22" s="1" customFormat="1" x14ac:dyDescent="0.2">
      <c r="J638"/>
      <c r="K638"/>
      <c r="L638"/>
      <c r="M638"/>
      <c r="N638"/>
      <c r="O638" s="392"/>
      <c r="P638" s="2"/>
      <c r="R638"/>
      <c r="S638"/>
      <c r="V638"/>
    </row>
    <row r="639" spans="10:22" s="1" customFormat="1" x14ac:dyDescent="0.2">
      <c r="J639"/>
      <c r="K639"/>
      <c r="L639"/>
      <c r="M639"/>
      <c r="N639"/>
      <c r="O639" s="392"/>
      <c r="P639" s="2"/>
      <c r="R639"/>
      <c r="S639"/>
      <c r="V639"/>
    </row>
    <row r="640" spans="10:22" s="1" customFormat="1" x14ac:dyDescent="0.2">
      <c r="J640"/>
      <c r="K640"/>
      <c r="L640"/>
      <c r="M640"/>
      <c r="N640"/>
      <c r="O640" s="392"/>
      <c r="P640" s="2"/>
      <c r="R640"/>
      <c r="S640"/>
      <c r="V640"/>
    </row>
    <row r="641" spans="10:22" s="1" customFormat="1" x14ac:dyDescent="0.2">
      <c r="J641"/>
      <c r="K641"/>
      <c r="L641"/>
      <c r="M641"/>
      <c r="N641"/>
      <c r="O641" s="392"/>
      <c r="P641" s="2"/>
      <c r="R641"/>
      <c r="S641"/>
      <c r="V641"/>
    </row>
    <row r="642" spans="10:22" s="1" customFormat="1" x14ac:dyDescent="0.2">
      <c r="J642"/>
      <c r="K642"/>
      <c r="L642"/>
      <c r="M642"/>
      <c r="N642"/>
      <c r="O642" s="392"/>
      <c r="P642" s="2"/>
      <c r="R642"/>
      <c r="S642"/>
      <c r="V642"/>
    </row>
    <row r="643" spans="10:22" s="1" customFormat="1" x14ac:dyDescent="0.2">
      <c r="J643"/>
      <c r="K643"/>
      <c r="L643"/>
      <c r="M643"/>
      <c r="N643"/>
      <c r="O643" s="392"/>
      <c r="P643" s="2"/>
      <c r="R643"/>
      <c r="S643"/>
      <c r="V643"/>
    </row>
    <row r="644" spans="10:22" s="1" customFormat="1" x14ac:dyDescent="0.2">
      <c r="J644"/>
      <c r="K644"/>
      <c r="L644"/>
      <c r="M644"/>
      <c r="N644"/>
      <c r="O644" s="392"/>
      <c r="P644" s="2"/>
      <c r="R644"/>
      <c r="S644"/>
      <c r="V644"/>
    </row>
    <row r="645" spans="10:22" s="1" customFormat="1" x14ac:dyDescent="0.2">
      <c r="J645"/>
      <c r="K645"/>
      <c r="L645"/>
      <c r="M645"/>
      <c r="N645"/>
      <c r="O645" s="392"/>
      <c r="P645" s="2"/>
      <c r="R645"/>
      <c r="S645"/>
      <c r="V645"/>
    </row>
    <row r="646" spans="10:22" s="1" customFormat="1" x14ac:dyDescent="0.2">
      <c r="J646"/>
      <c r="K646"/>
      <c r="L646"/>
      <c r="M646"/>
      <c r="N646"/>
      <c r="O646" s="392"/>
      <c r="P646" s="2"/>
      <c r="R646"/>
      <c r="S646"/>
      <c r="V646"/>
    </row>
    <row r="647" spans="10:22" s="1" customFormat="1" x14ac:dyDescent="0.2">
      <c r="J647"/>
      <c r="K647"/>
      <c r="L647"/>
      <c r="M647"/>
      <c r="N647"/>
      <c r="O647" s="392"/>
      <c r="P647" s="2"/>
      <c r="R647"/>
      <c r="S647"/>
      <c r="V647"/>
    </row>
    <row r="648" spans="10:22" s="1" customFormat="1" x14ac:dyDescent="0.2">
      <c r="J648"/>
      <c r="K648"/>
      <c r="L648"/>
      <c r="M648"/>
      <c r="N648"/>
      <c r="O648" s="392"/>
      <c r="P648" s="2"/>
      <c r="R648"/>
      <c r="S648"/>
      <c r="V648"/>
    </row>
    <row r="649" spans="10:22" s="1" customFormat="1" x14ac:dyDescent="0.2">
      <c r="J649"/>
      <c r="K649"/>
      <c r="L649"/>
      <c r="M649"/>
      <c r="N649"/>
      <c r="O649" s="392"/>
      <c r="P649" s="2"/>
      <c r="R649"/>
      <c r="S649"/>
      <c r="V649"/>
    </row>
    <row r="650" spans="10:22" s="1" customFormat="1" x14ac:dyDescent="0.2">
      <c r="J650"/>
      <c r="K650"/>
      <c r="L650"/>
      <c r="M650"/>
      <c r="N650"/>
      <c r="O650" s="392"/>
      <c r="P650" s="2"/>
      <c r="R650"/>
      <c r="S650"/>
      <c r="V650"/>
    </row>
    <row r="651" spans="10:22" s="1" customFormat="1" x14ac:dyDescent="0.2">
      <c r="J651"/>
      <c r="K651"/>
      <c r="L651"/>
      <c r="M651"/>
      <c r="N651"/>
      <c r="O651" s="392"/>
      <c r="P651" s="2"/>
      <c r="R651"/>
      <c r="S651"/>
      <c r="V651"/>
    </row>
    <row r="652" spans="10:22" s="1" customFormat="1" x14ac:dyDescent="0.2">
      <c r="J652"/>
      <c r="K652"/>
      <c r="L652"/>
      <c r="M652"/>
      <c r="N652"/>
      <c r="O652" s="392"/>
      <c r="P652" s="2"/>
      <c r="R652"/>
      <c r="S652"/>
      <c r="V652"/>
    </row>
    <row r="653" spans="10:22" s="1" customFormat="1" x14ac:dyDescent="0.2">
      <c r="J653"/>
      <c r="K653"/>
      <c r="L653"/>
      <c r="M653"/>
      <c r="N653"/>
      <c r="O653" s="392"/>
      <c r="P653" s="2"/>
      <c r="R653"/>
      <c r="S653"/>
      <c r="V653"/>
    </row>
    <row r="654" spans="10:22" s="1" customFormat="1" x14ac:dyDescent="0.2">
      <c r="J654"/>
      <c r="K654"/>
      <c r="L654"/>
      <c r="M654"/>
      <c r="N654"/>
      <c r="O654" s="392"/>
      <c r="P654" s="2"/>
      <c r="R654"/>
      <c r="S654"/>
      <c r="V654"/>
    </row>
    <row r="655" spans="10:22" s="1" customFormat="1" x14ac:dyDescent="0.2">
      <c r="J655"/>
      <c r="K655"/>
      <c r="L655"/>
      <c r="M655"/>
      <c r="N655"/>
      <c r="O655" s="392"/>
      <c r="P655" s="2"/>
      <c r="R655"/>
      <c r="S655"/>
      <c r="V655"/>
    </row>
    <row r="656" spans="10:22" s="1" customFormat="1" x14ac:dyDescent="0.2">
      <c r="J656"/>
      <c r="K656"/>
      <c r="L656"/>
      <c r="M656"/>
      <c r="N656"/>
      <c r="O656" s="392"/>
      <c r="P656" s="2"/>
      <c r="R656"/>
      <c r="S656"/>
      <c r="V656"/>
    </row>
    <row r="657" spans="10:22" s="1" customFormat="1" x14ac:dyDescent="0.2">
      <c r="J657"/>
      <c r="K657"/>
      <c r="L657"/>
      <c r="M657"/>
      <c r="N657"/>
      <c r="O657" s="392"/>
      <c r="P657" s="2"/>
      <c r="R657"/>
      <c r="S657"/>
      <c r="V657"/>
    </row>
    <row r="658" spans="10:22" s="1" customFormat="1" x14ac:dyDescent="0.2">
      <c r="J658"/>
      <c r="K658"/>
      <c r="L658"/>
      <c r="M658"/>
      <c r="N658"/>
      <c r="O658" s="392"/>
      <c r="P658" s="2"/>
      <c r="R658"/>
      <c r="S658"/>
      <c r="V658"/>
    </row>
    <row r="659" spans="10:22" s="1" customFormat="1" x14ac:dyDescent="0.2">
      <c r="J659"/>
      <c r="K659"/>
      <c r="L659"/>
      <c r="M659"/>
      <c r="N659"/>
      <c r="O659" s="392"/>
      <c r="P659" s="2"/>
      <c r="R659"/>
      <c r="S659"/>
      <c r="V659"/>
    </row>
    <row r="660" spans="10:22" s="1" customFormat="1" x14ac:dyDescent="0.2">
      <c r="J660"/>
      <c r="K660"/>
      <c r="L660"/>
      <c r="M660"/>
      <c r="N660"/>
      <c r="O660" s="392"/>
      <c r="P660" s="2"/>
      <c r="R660"/>
      <c r="S660"/>
      <c r="V660"/>
    </row>
    <row r="661" spans="10:22" s="1" customFormat="1" x14ac:dyDescent="0.2">
      <c r="J661"/>
      <c r="K661"/>
      <c r="L661"/>
      <c r="M661"/>
      <c r="N661"/>
      <c r="O661" s="392"/>
      <c r="P661" s="2"/>
      <c r="R661"/>
      <c r="S661"/>
      <c r="V661"/>
    </row>
    <row r="662" spans="10:22" s="1" customFormat="1" x14ac:dyDescent="0.2">
      <c r="J662"/>
      <c r="K662"/>
      <c r="L662"/>
      <c r="M662"/>
      <c r="N662"/>
      <c r="O662" s="392"/>
      <c r="P662" s="2"/>
      <c r="R662"/>
      <c r="S662"/>
      <c r="V662"/>
    </row>
    <row r="663" spans="10:22" s="1" customFormat="1" x14ac:dyDescent="0.2">
      <c r="J663"/>
      <c r="K663"/>
      <c r="L663"/>
      <c r="M663"/>
      <c r="N663"/>
      <c r="O663" s="392"/>
      <c r="P663" s="2"/>
      <c r="R663"/>
      <c r="S663"/>
      <c r="V663"/>
    </row>
    <row r="664" spans="10:22" s="1" customFormat="1" x14ac:dyDescent="0.2">
      <c r="J664"/>
      <c r="K664"/>
      <c r="L664"/>
      <c r="M664"/>
      <c r="N664"/>
      <c r="O664" s="392"/>
      <c r="P664" s="2"/>
      <c r="R664"/>
      <c r="S664"/>
      <c r="V664"/>
    </row>
    <row r="665" spans="10:22" s="1" customFormat="1" x14ac:dyDescent="0.2">
      <c r="J665"/>
      <c r="K665"/>
      <c r="L665"/>
      <c r="M665"/>
      <c r="N665"/>
      <c r="O665" s="392"/>
      <c r="P665" s="2"/>
      <c r="R665"/>
      <c r="S665"/>
      <c r="V665"/>
    </row>
    <row r="666" spans="10:22" s="1" customFormat="1" x14ac:dyDescent="0.2">
      <c r="J666"/>
      <c r="K666"/>
      <c r="L666"/>
      <c r="M666"/>
      <c r="N666"/>
      <c r="O666" s="392"/>
      <c r="P666" s="2"/>
      <c r="R666"/>
      <c r="S666"/>
      <c r="V666"/>
    </row>
    <row r="667" spans="10:22" s="1" customFormat="1" x14ac:dyDescent="0.2">
      <c r="J667"/>
      <c r="K667"/>
      <c r="L667"/>
      <c r="M667"/>
      <c r="N667"/>
      <c r="O667" s="392"/>
      <c r="P667" s="2"/>
      <c r="R667"/>
      <c r="S667"/>
      <c r="V667"/>
    </row>
    <row r="668" spans="10:22" s="1" customFormat="1" x14ac:dyDescent="0.2">
      <c r="J668"/>
      <c r="K668"/>
      <c r="L668"/>
      <c r="M668"/>
      <c r="N668"/>
      <c r="O668" s="392"/>
      <c r="P668" s="2"/>
      <c r="R668"/>
      <c r="S668"/>
      <c r="V668"/>
    </row>
    <row r="669" spans="10:22" s="1" customFormat="1" x14ac:dyDescent="0.2">
      <c r="J669"/>
      <c r="K669"/>
      <c r="L669"/>
      <c r="M669"/>
      <c r="N669"/>
      <c r="O669" s="392"/>
      <c r="P669" s="2"/>
      <c r="R669"/>
      <c r="S669"/>
      <c r="V669"/>
    </row>
    <row r="670" spans="10:22" s="1" customFormat="1" x14ac:dyDescent="0.2">
      <c r="J670"/>
      <c r="K670"/>
      <c r="L670"/>
      <c r="M670"/>
      <c r="N670"/>
      <c r="O670" s="392"/>
      <c r="P670" s="2"/>
      <c r="R670"/>
      <c r="S670"/>
      <c r="V670"/>
    </row>
    <row r="671" spans="10:22" s="1" customFormat="1" x14ac:dyDescent="0.2">
      <c r="J671"/>
      <c r="K671"/>
      <c r="L671"/>
      <c r="M671"/>
      <c r="N671"/>
      <c r="O671" s="392"/>
      <c r="P671" s="2"/>
      <c r="R671"/>
      <c r="S671"/>
      <c r="V671"/>
    </row>
    <row r="672" spans="10:22" s="1" customFormat="1" x14ac:dyDescent="0.2">
      <c r="J672"/>
      <c r="K672"/>
      <c r="L672"/>
      <c r="M672"/>
      <c r="N672"/>
      <c r="O672" s="392"/>
      <c r="P672" s="2"/>
      <c r="R672"/>
      <c r="S672"/>
      <c r="V672"/>
    </row>
    <row r="673" spans="10:22" s="1" customFormat="1" x14ac:dyDescent="0.2">
      <c r="J673"/>
      <c r="K673"/>
      <c r="L673"/>
      <c r="M673"/>
      <c r="N673"/>
      <c r="O673" s="392"/>
      <c r="P673" s="2"/>
      <c r="R673"/>
      <c r="S673"/>
      <c r="V673"/>
    </row>
    <row r="674" spans="10:22" s="1" customFormat="1" x14ac:dyDescent="0.2">
      <c r="J674"/>
      <c r="K674"/>
      <c r="L674"/>
      <c r="M674"/>
      <c r="N674"/>
      <c r="O674" s="392"/>
      <c r="P674" s="2"/>
      <c r="R674"/>
      <c r="S674"/>
      <c r="V674"/>
    </row>
    <row r="675" spans="10:22" s="1" customFormat="1" x14ac:dyDescent="0.2">
      <c r="J675"/>
      <c r="K675"/>
      <c r="L675"/>
      <c r="M675"/>
      <c r="N675"/>
      <c r="O675" s="392"/>
      <c r="P675" s="2"/>
      <c r="R675"/>
      <c r="S675"/>
      <c r="V675"/>
    </row>
    <row r="676" spans="10:22" s="1" customFormat="1" x14ac:dyDescent="0.2">
      <c r="J676"/>
      <c r="K676"/>
      <c r="L676"/>
      <c r="M676"/>
      <c r="N676"/>
      <c r="O676" s="392"/>
      <c r="P676" s="2"/>
      <c r="R676"/>
      <c r="S676"/>
      <c r="V676"/>
    </row>
    <row r="677" spans="10:22" s="1" customFormat="1" x14ac:dyDescent="0.2">
      <c r="J677"/>
      <c r="K677"/>
      <c r="L677"/>
      <c r="M677"/>
      <c r="N677"/>
      <c r="O677" s="392"/>
      <c r="P677" s="2"/>
      <c r="R677"/>
      <c r="S677"/>
      <c r="V677"/>
    </row>
    <row r="678" spans="10:22" s="1" customFormat="1" x14ac:dyDescent="0.2">
      <c r="J678"/>
      <c r="K678"/>
      <c r="L678"/>
      <c r="M678"/>
      <c r="N678"/>
      <c r="O678" s="392"/>
      <c r="P678" s="2"/>
      <c r="R678"/>
      <c r="S678"/>
      <c r="V678"/>
    </row>
    <row r="679" spans="10:22" s="1" customFormat="1" x14ac:dyDescent="0.2">
      <c r="J679"/>
      <c r="K679"/>
      <c r="L679"/>
      <c r="M679"/>
      <c r="N679"/>
      <c r="O679" s="392"/>
      <c r="P679" s="2"/>
      <c r="R679"/>
      <c r="S679"/>
      <c r="V679"/>
    </row>
    <row r="680" spans="10:22" s="1" customFormat="1" x14ac:dyDescent="0.2">
      <c r="J680"/>
      <c r="K680"/>
      <c r="L680"/>
      <c r="M680"/>
      <c r="N680"/>
      <c r="O680" s="392"/>
      <c r="P680" s="2"/>
      <c r="R680"/>
      <c r="S680"/>
      <c r="V680"/>
    </row>
    <row r="681" spans="10:22" s="1" customFormat="1" x14ac:dyDescent="0.2">
      <c r="J681"/>
      <c r="K681"/>
      <c r="L681"/>
      <c r="M681"/>
      <c r="N681"/>
      <c r="O681" s="392"/>
      <c r="P681" s="2"/>
      <c r="R681"/>
      <c r="S681"/>
      <c r="V681"/>
    </row>
    <row r="682" spans="10:22" s="1" customFormat="1" x14ac:dyDescent="0.2">
      <c r="J682"/>
      <c r="K682"/>
      <c r="L682"/>
      <c r="M682"/>
      <c r="N682"/>
      <c r="O682" s="392"/>
      <c r="P682" s="2"/>
      <c r="R682"/>
      <c r="S682"/>
      <c r="V682"/>
    </row>
    <row r="683" spans="10:22" s="1" customFormat="1" x14ac:dyDescent="0.2">
      <c r="J683"/>
      <c r="K683"/>
      <c r="L683"/>
      <c r="M683"/>
      <c r="N683"/>
      <c r="O683" s="392"/>
      <c r="P683" s="2"/>
      <c r="R683"/>
      <c r="S683"/>
      <c r="V683"/>
    </row>
    <row r="684" spans="10:22" s="1" customFormat="1" x14ac:dyDescent="0.2">
      <c r="J684"/>
      <c r="K684"/>
      <c r="L684"/>
      <c r="M684"/>
      <c r="N684"/>
      <c r="O684" s="392"/>
      <c r="P684" s="2"/>
      <c r="R684"/>
      <c r="S684"/>
      <c r="V684"/>
    </row>
    <row r="685" spans="10:22" s="1" customFormat="1" x14ac:dyDescent="0.2">
      <c r="J685"/>
      <c r="K685"/>
      <c r="L685"/>
      <c r="M685"/>
      <c r="N685"/>
      <c r="O685" s="392"/>
      <c r="P685" s="2"/>
      <c r="R685"/>
      <c r="S685"/>
      <c r="V685"/>
    </row>
    <row r="686" spans="10:22" s="1" customFormat="1" x14ac:dyDescent="0.2">
      <c r="J686"/>
      <c r="K686"/>
      <c r="L686"/>
      <c r="M686"/>
      <c r="N686"/>
      <c r="O686" s="392"/>
      <c r="P686" s="2"/>
      <c r="R686"/>
      <c r="S686"/>
      <c r="V686"/>
    </row>
    <row r="687" spans="10:22" s="1" customFormat="1" x14ac:dyDescent="0.2">
      <c r="J687"/>
      <c r="K687"/>
      <c r="L687"/>
      <c r="M687"/>
      <c r="N687"/>
      <c r="O687" s="392"/>
      <c r="P687" s="2"/>
      <c r="R687"/>
      <c r="S687"/>
      <c r="V687"/>
    </row>
    <row r="688" spans="10:22" s="1" customFormat="1" x14ac:dyDescent="0.2">
      <c r="J688"/>
      <c r="K688"/>
      <c r="L688"/>
      <c r="M688"/>
      <c r="N688"/>
      <c r="O688" s="392"/>
      <c r="P688" s="2"/>
      <c r="R688"/>
      <c r="S688"/>
      <c r="V688"/>
    </row>
    <row r="689" spans="10:22" s="1" customFormat="1" x14ac:dyDescent="0.2">
      <c r="J689"/>
      <c r="K689"/>
      <c r="L689"/>
      <c r="M689"/>
      <c r="N689"/>
      <c r="O689" s="392"/>
      <c r="P689" s="2"/>
      <c r="R689"/>
      <c r="S689"/>
      <c r="V689"/>
    </row>
    <row r="690" spans="10:22" s="1" customFormat="1" x14ac:dyDescent="0.2">
      <c r="J690"/>
      <c r="K690"/>
      <c r="L690"/>
      <c r="M690"/>
      <c r="N690"/>
      <c r="O690" s="392"/>
      <c r="P690" s="2"/>
      <c r="R690"/>
      <c r="S690"/>
      <c r="V690"/>
    </row>
    <row r="691" spans="10:22" s="1" customFormat="1" x14ac:dyDescent="0.2">
      <c r="J691"/>
      <c r="K691"/>
      <c r="L691"/>
      <c r="M691"/>
      <c r="N691"/>
      <c r="O691" s="392"/>
      <c r="P691" s="2"/>
      <c r="R691"/>
      <c r="S691"/>
      <c r="V691"/>
    </row>
    <row r="692" spans="10:22" s="1" customFormat="1" x14ac:dyDescent="0.2">
      <c r="J692"/>
      <c r="K692"/>
      <c r="L692"/>
      <c r="M692"/>
      <c r="N692"/>
      <c r="O692" s="392"/>
      <c r="P692" s="2"/>
      <c r="R692"/>
      <c r="S692"/>
      <c r="V692"/>
    </row>
    <row r="693" spans="10:22" s="1" customFormat="1" x14ac:dyDescent="0.2">
      <c r="J693"/>
      <c r="K693"/>
      <c r="L693"/>
      <c r="M693"/>
      <c r="N693"/>
      <c r="O693" s="392"/>
      <c r="P693" s="2"/>
      <c r="R693"/>
      <c r="S693"/>
      <c r="V693"/>
    </row>
    <row r="694" spans="10:22" s="1" customFormat="1" x14ac:dyDescent="0.2">
      <c r="J694"/>
      <c r="K694"/>
      <c r="L694"/>
      <c r="M694"/>
      <c r="N694"/>
      <c r="O694" s="392"/>
      <c r="P694" s="2"/>
      <c r="R694"/>
      <c r="S694"/>
      <c r="V694"/>
    </row>
    <row r="695" spans="10:22" s="1" customFormat="1" x14ac:dyDescent="0.2">
      <c r="J695"/>
      <c r="K695"/>
      <c r="L695"/>
      <c r="M695"/>
      <c r="N695"/>
      <c r="O695" s="392"/>
      <c r="P695" s="2"/>
      <c r="R695"/>
      <c r="S695"/>
      <c r="V695"/>
    </row>
    <row r="696" spans="10:22" s="1" customFormat="1" x14ac:dyDescent="0.2">
      <c r="J696"/>
      <c r="K696"/>
      <c r="L696"/>
      <c r="M696"/>
      <c r="N696"/>
      <c r="O696" s="392"/>
      <c r="P696" s="2"/>
      <c r="R696"/>
      <c r="S696"/>
      <c r="V696"/>
    </row>
    <row r="697" spans="10:22" s="1" customFormat="1" x14ac:dyDescent="0.2">
      <c r="J697"/>
      <c r="K697"/>
      <c r="L697"/>
      <c r="M697"/>
      <c r="N697"/>
      <c r="O697" s="392"/>
      <c r="P697" s="2"/>
      <c r="R697"/>
      <c r="S697"/>
      <c r="V697"/>
    </row>
    <row r="698" spans="10:22" s="1" customFormat="1" x14ac:dyDescent="0.2">
      <c r="J698"/>
      <c r="K698"/>
      <c r="L698"/>
      <c r="M698"/>
      <c r="N698"/>
      <c r="O698" s="392"/>
      <c r="P698" s="2"/>
      <c r="R698"/>
      <c r="S698"/>
      <c r="V698"/>
    </row>
    <row r="699" spans="10:22" s="1" customFormat="1" x14ac:dyDescent="0.2">
      <c r="J699"/>
      <c r="K699"/>
      <c r="L699"/>
      <c r="M699"/>
      <c r="N699"/>
      <c r="O699" s="392"/>
      <c r="P699" s="2"/>
      <c r="R699"/>
      <c r="S699"/>
      <c r="V699"/>
    </row>
    <row r="700" spans="10:22" s="1" customFormat="1" x14ac:dyDescent="0.2">
      <c r="J700"/>
      <c r="K700"/>
      <c r="L700"/>
      <c r="M700"/>
      <c r="N700"/>
      <c r="O700" s="392"/>
      <c r="P700" s="2"/>
      <c r="R700"/>
      <c r="S700"/>
      <c r="V700"/>
    </row>
    <row r="701" spans="10:22" s="1" customFormat="1" x14ac:dyDescent="0.2">
      <c r="J701"/>
      <c r="K701"/>
      <c r="L701"/>
      <c r="M701"/>
      <c r="N701"/>
      <c r="O701" s="392"/>
      <c r="P701" s="2"/>
      <c r="R701"/>
      <c r="S701"/>
      <c r="V701"/>
    </row>
    <row r="702" spans="10:22" s="1" customFormat="1" x14ac:dyDescent="0.2">
      <c r="J702"/>
      <c r="K702"/>
      <c r="L702"/>
      <c r="M702"/>
      <c r="N702"/>
      <c r="O702" s="392"/>
      <c r="P702" s="2"/>
      <c r="R702"/>
      <c r="S702"/>
      <c r="V702"/>
    </row>
    <row r="703" spans="10:22" s="1" customFormat="1" x14ac:dyDescent="0.2">
      <c r="J703"/>
      <c r="K703"/>
      <c r="L703"/>
      <c r="M703"/>
      <c r="N703"/>
      <c r="O703" s="392"/>
      <c r="P703" s="2"/>
      <c r="R703"/>
      <c r="S703"/>
      <c r="V703"/>
    </row>
    <row r="704" spans="10:22" s="1" customFormat="1" x14ac:dyDescent="0.2">
      <c r="J704"/>
      <c r="K704"/>
      <c r="L704"/>
      <c r="M704"/>
      <c r="N704"/>
      <c r="O704" s="392"/>
      <c r="P704" s="2"/>
      <c r="R704"/>
      <c r="S704"/>
      <c r="V704"/>
    </row>
    <row r="705" spans="10:22" s="1" customFormat="1" x14ac:dyDescent="0.2">
      <c r="J705"/>
      <c r="K705"/>
      <c r="L705"/>
      <c r="M705"/>
      <c r="N705"/>
      <c r="O705" s="392"/>
      <c r="P705" s="2"/>
      <c r="R705"/>
      <c r="S705"/>
      <c r="V705"/>
    </row>
    <row r="706" spans="10:22" s="1" customFormat="1" x14ac:dyDescent="0.2">
      <c r="J706"/>
      <c r="K706"/>
      <c r="L706"/>
      <c r="M706"/>
      <c r="N706"/>
      <c r="O706" s="392"/>
      <c r="P706" s="2"/>
      <c r="R706"/>
      <c r="S706"/>
      <c r="V706"/>
    </row>
    <row r="707" spans="10:22" s="1" customFormat="1" x14ac:dyDescent="0.2">
      <c r="J707"/>
      <c r="K707"/>
      <c r="L707"/>
      <c r="M707"/>
      <c r="N707"/>
      <c r="O707" s="392"/>
      <c r="P707" s="2"/>
      <c r="R707"/>
      <c r="S707"/>
      <c r="V707"/>
    </row>
    <row r="708" spans="10:22" s="1" customFormat="1" x14ac:dyDescent="0.2">
      <c r="J708"/>
      <c r="K708"/>
      <c r="L708"/>
      <c r="M708"/>
      <c r="N708"/>
      <c r="O708" s="392"/>
      <c r="P708" s="2"/>
      <c r="R708"/>
      <c r="S708"/>
      <c r="V708"/>
    </row>
    <row r="709" spans="10:22" s="1" customFormat="1" x14ac:dyDescent="0.2">
      <c r="J709"/>
      <c r="K709"/>
      <c r="L709"/>
      <c r="M709"/>
      <c r="N709"/>
      <c r="O709" s="392"/>
      <c r="P709" s="2"/>
      <c r="R709"/>
      <c r="S709"/>
      <c r="V709"/>
    </row>
    <row r="710" spans="10:22" s="1" customFormat="1" x14ac:dyDescent="0.2">
      <c r="J710"/>
      <c r="K710"/>
      <c r="L710"/>
      <c r="M710"/>
      <c r="N710"/>
      <c r="O710" s="392"/>
      <c r="P710" s="2"/>
      <c r="R710"/>
      <c r="S710"/>
      <c r="V710"/>
    </row>
    <row r="711" spans="10:22" s="1" customFormat="1" x14ac:dyDescent="0.2">
      <c r="J711"/>
      <c r="K711"/>
      <c r="L711"/>
      <c r="M711"/>
      <c r="N711"/>
      <c r="O711" s="392"/>
      <c r="P711" s="2"/>
      <c r="R711"/>
      <c r="S711"/>
      <c r="V711"/>
    </row>
    <row r="712" spans="10:22" s="1" customFormat="1" x14ac:dyDescent="0.2">
      <c r="J712"/>
      <c r="K712"/>
      <c r="L712"/>
      <c r="M712"/>
      <c r="N712"/>
      <c r="O712" s="392"/>
      <c r="P712" s="2"/>
      <c r="R712"/>
      <c r="S712"/>
      <c r="V712"/>
    </row>
    <row r="713" spans="10:22" s="1" customFormat="1" x14ac:dyDescent="0.2">
      <c r="J713"/>
      <c r="K713"/>
      <c r="L713"/>
      <c r="M713"/>
      <c r="N713"/>
      <c r="O713" s="392"/>
      <c r="P713" s="2"/>
      <c r="R713"/>
      <c r="S713"/>
      <c r="V713"/>
    </row>
    <row r="714" spans="10:22" s="1" customFormat="1" x14ac:dyDescent="0.2">
      <c r="J714"/>
      <c r="K714"/>
      <c r="L714"/>
      <c r="M714"/>
      <c r="N714"/>
      <c r="O714" s="392"/>
      <c r="P714" s="2"/>
      <c r="R714"/>
      <c r="S714"/>
      <c r="V714"/>
    </row>
    <row r="715" spans="10:22" s="1" customFormat="1" x14ac:dyDescent="0.2">
      <c r="J715"/>
      <c r="K715"/>
      <c r="L715"/>
      <c r="M715"/>
      <c r="N715"/>
      <c r="O715" s="392"/>
      <c r="P715" s="2"/>
      <c r="R715"/>
      <c r="S715"/>
      <c r="V715"/>
    </row>
    <row r="716" spans="10:22" s="1" customFormat="1" x14ac:dyDescent="0.2">
      <c r="J716"/>
      <c r="K716"/>
      <c r="L716"/>
      <c r="M716"/>
      <c r="N716"/>
      <c r="O716" s="392"/>
      <c r="P716" s="2"/>
      <c r="R716"/>
      <c r="S716"/>
      <c r="V716"/>
    </row>
    <row r="717" spans="10:22" s="1" customFormat="1" x14ac:dyDescent="0.2">
      <c r="J717"/>
      <c r="K717"/>
      <c r="L717"/>
      <c r="M717"/>
      <c r="N717"/>
      <c r="O717" s="392"/>
      <c r="P717" s="2"/>
      <c r="R717"/>
      <c r="S717"/>
      <c r="V717"/>
    </row>
    <row r="718" spans="10:22" s="1" customFormat="1" x14ac:dyDescent="0.2">
      <c r="J718"/>
      <c r="K718"/>
      <c r="L718"/>
      <c r="M718"/>
      <c r="N718"/>
      <c r="O718" s="392"/>
      <c r="P718" s="2"/>
      <c r="R718"/>
      <c r="S718"/>
      <c r="V718"/>
    </row>
    <row r="719" spans="10:22" s="1" customFormat="1" x14ac:dyDescent="0.2">
      <c r="J719"/>
      <c r="K719"/>
      <c r="L719"/>
      <c r="M719"/>
      <c r="N719"/>
      <c r="O719" s="392"/>
      <c r="P719" s="2"/>
      <c r="R719"/>
      <c r="S719"/>
      <c r="V719"/>
    </row>
    <row r="720" spans="10:22" s="1" customFormat="1" x14ac:dyDescent="0.2">
      <c r="J720"/>
      <c r="K720"/>
      <c r="L720"/>
      <c r="M720"/>
      <c r="N720"/>
      <c r="O720" s="392"/>
      <c r="P720" s="2"/>
      <c r="R720"/>
      <c r="S720"/>
      <c r="V720"/>
    </row>
    <row r="721" spans="10:22" s="1" customFormat="1" x14ac:dyDescent="0.2">
      <c r="J721"/>
      <c r="K721"/>
      <c r="L721"/>
      <c r="M721"/>
      <c r="N721"/>
      <c r="O721" s="392"/>
      <c r="P721" s="2"/>
      <c r="R721"/>
      <c r="S721"/>
      <c r="V721"/>
    </row>
    <row r="722" spans="10:22" s="1" customFormat="1" x14ac:dyDescent="0.2">
      <c r="J722"/>
      <c r="K722"/>
      <c r="L722"/>
      <c r="M722"/>
      <c r="N722"/>
      <c r="O722" s="392"/>
      <c r="P722" s="2"/>
      <c r="R722"/>
      <c r="S722"/>
      <c r="V722"/>
    </row>
    <row r="723" spans="10:22" s="1" customFormat="1" x14ac:dyDescent="0.2">
      <c r="J723"/>
      <c r="K723"/>
      <c r="L723"/>
      <c r="M723"/>
      <c r="N723"/>
      <c r="O723" s="392"/>
      <c r="P723" s="2"/>
      <c r="R723"/>
      <c r="S723"/>
      <c r="V723"/>
    </row>
    <row r="724" spans="10:22" s="1" customFormat="1" x14ac:dyDescent="0.2">
      <c r="J724"/>
      <c r="K724"/>
      <c r="L724"/>
      <c r="M724"/>
      <c r="N724"/>
      <c r="O724" s="392"/>
      <c r="P724" s="2"/>
      <c r="R724"/>
      <c r="S724"/>
      <c r="V724"/>
    </row>
    <row r="725" spans="10:22" s="1" customFormat="1" x14ac:dyDescent="0.2">
      <c r="J725"/>
      <c r="K725"/>
      <c r="L725"/>
      <c r="M725"/>
      <c r="N725"/>
      <c r="O725" s="392"/>
      <c r="P725" s="2"/>
      <c r="R725"/>
      <c r="S725"/>
      <c r="V725"/>
    </row>
    <row r="726" spans="10:22" s="1" customFormat="1" x14ac:dyDescent="0.2">
      <c r="J726"/>
      <c r="K726"/>
      <c r="L726"/>
      <c r="M726"/>
      <c r="N726"/>
      <c r="O726" s="392"/>
      <c r="P726" s="2"/>
      <c r="R726"/>
      <c r="S726"/>
      <c r="V726"/>
    </row>
    <row r="727" spans="10:22" s="1" customFormat="1" x14ac:dyDescent="0.2">
      <c r="J727"/>
      <c r="K727"/>
      <c r="L727"/>
      <c r="M727"/>
      <c r="N727"/>
      <c r="O727" s="392"/>
      <c r="P727" s="2"/>
      <c r="R727"/>
      <c r="S727"/>
      <c r="V727"/>
    </row>
    <row r="728" spans="10:22" s="1" customFormat="1" x14ac:dyDescent="0.2">
      <c r="J728"/>
      <c r="K728"/>
      <c r="L728"/>
      <c r="M728"/>
      <c r="N728"/>
      <c r="O728" s="392"/>
      <c r="P728" s="2"/>
      <c r="R728"/>
      <c r="S728"/>
      <c r="V728"/>
    </row>
    <row r="729" spans="10:22" s="1" customFormat="1" x14ac:dyDescent="0.2">
      <c r="J729"/>
      <c r="K729"/>
      <c r="L729"/>
      <c r="M729"/>
      <c r="N729"/>
      <c r="O729" s="392"/>
      <c r="P729" s="2"/>
      <c r="R729"/>
      <c r="S729"/>
      <c r="V729"/>
    </row>
    <row r="730" spans="10:22" s="1" customFormat="1" x14ac:dyDescent="0.2">
      <c r="J730"/>
      <c r="K730"/>
      <c r="L730"/>
      <c r="M730"/>
      <c r="N730"/>
      <c r="O730" s="392"/>
      <c r="P730" s="2"/>
      <c r="R730"/>
      <c r="S730"/>
      <c r="V730"/>
    </row>
    <row r="731" spans="10:22" s="1" customFormat="1" x14ac:dyDescent="0.2">
      <c r="J731"/>
      <c r="K731"/>
      <c r="L731"/>
      <c r="M731"/>
      <c r="N731"/>
      <c r="O731" s="392"/>
      <c r="P731" s="2"/>
      <c r="R731"/>
      <c r="S731"/>
      <c r="V731"/>
    </row>
    <row r="732" spans="10:22" s="1" customFormat="1" x14ac:dyDescent="0.2">
      <c r="J732"/>
      <c r="K732"/>
      <c r="L732"/>
      <c r="M732"/>
      <c r="N732"/>
      <c r="O732" s="392"/>
      <c r="P732" s="2"/>
      <c r="R732"/>
      <c r="S732"/>
      <c r="V732"/>
    </row>
    <row r="733" spans="10:22" s="1" customFormat="1" x14ac:dyDescent="0.2">
      <c r="J733"/>
      <c r="K733"/>
      <c r="L733"/>
      <c r="M733"/>
      <c r="N733"/>
      <c r="O733" s="392"/>
      <c r="P733" s="2"/>
      <c r="R733"/>
      <c r="S733"/>
      <c r="V733"/>
    </row>
    <row r="65462" spans="13:13" x14ac:dyDescent="0.2">
      <c r="M65462">
        <v>4</v>
      </c>
    </row>
  </sheetData>
  <mergeCells count="117">
    <mergeCell ref="V46:AB46"/>
    <mergeCell ref="V44:AB44"/>
    <mergeCell ref="V47:AB47"/>
    <mergeCell ref="J24:J25"/>
    <mergeCell ref="Q23:Q24"/>
    <mergeCell ref="V52:AB52"/>
    <mergeCell ref="V51:AB51"/>
    <mergeCell ref="V40:AB40"/>
    <mergeCell ref="V36:AB36"/>
    <mergeCell ref="V39:AB39"/>
    <mergeCell ref="V38:AB38"/>
    <mergeCell ref="V37:AB37"/>
    <mergeCell ref="V50:AB50"/>
    <mergeCell ref="U49:U50"/>
    <mergeCell ref="V48:AB48"/>
    <mergeCell ref="V49:AB49"/>
    <mergeCell ref="V26:AB26"/>
    <mergeCell ref="V27:AB27"/>
    <mergeCell ref="V29:AB29"/>
    <mergeCell ref="R24:R25"/>
    <mergeCell ref="T24:T25"/>
    <mergeCell ref="V28:AB28"/>
    <mergeCell ref="V24:AB24"/>
    <mergeCell ref="V30:AB30"/>
    <mergeCell ref="C112:E112"/>
    <mergeCell ref="V53:AB53"/>
    <mergeCell ref="V54:AB54"/>
    <mergeCell ref="V55:AB55"/>
    <mergeCell ref="V56:AB56"/>
    <mergeCell ref="D86:Q86"/>
    <mergeCell ref="C104:E104"/>
    <mergeCell ref="E73:F73"/>
    <mergeCell ref="E72:F72"/>
    <mergeCell ref="C96:Q97"/>
    <mergeCell ref="E74:F74"/>
    <mergeCell ref="V25:AB25"/>
    <mergeCell ref="V45:AB45"/>
    <mergeCell ref="V41:AB41"/>
    <mergeCell ref="V33:AB33"/>
    <mergeCell ref="V43:AB43"/>
    <mergeCell ref="V34:AB34"/>
    <mergeCell ref="V31:AB31"/>
    <mergeCell ref="V35:AB35"/>
    <mergeCell ref="V32:AB32"/>
    <mergeCell ref="V42:AB42"/>
    <mergeCell ref="L10:L11"/>
    <mergeCell ref="R10:R11"/>
    <mergeCell ref="T10:T11"/>
    <mergeCell ref="L33:L35"/>
    <mergeCell ref="T33:T35"/>
    <mergeCell ref="R33:R35"/>
    <mergeCell ref="L36:L39"/>
    <mergeCell ref="R36:R39"/>
    <mergeCell ref="T36:T39"/>
    <mergeCell ref="J10:J11"/>
    <mergeCell ref="V11:AB11"/>
    <mergeCell ref="L24:L25"/>
    <mergeCell ref="L29:L30"/>
    <mergeCell ref="R20:R21"/>
    <mergeCell ref="T20:T21"/>
    <mergeCell ref="L20:L21"/>
    <mergeCell ref="V23:AB23"/>
    <mergeCell ref="V21:AB21"/>
    <mergeCell ref="V20:AB20"/>
    <mergeCell ref="V22:AB22"/>
    <mergeCell ref="V19:AB19"/>
    <mergeCell ref="J20:J21"/>
    <mergeCell ref="Q20:Q21"/>
    <mergeCell ref="V17:AB17"/>
    <mergeCell ref="V16:AB16"/>
    <mergeCell ref="L13:L15"/>
    <mergeCell ref="R13:R15"/>
    <mergeCell ref="T13:T15"/>
    <mergeCell ref="J22:J23"/>
    <mergeCell ref="L22:L23"/>
    <mergeCell ref="L27:L28"/>
    <mergeCell ref="R22:R23"/>
    <mergeCell ref="T22:T23"/>
    <mergeCell ref="B2:V2"/>
    <mergeCell ref="V3:AB3"/>
    <mergeCell ref="V4:AB4"/>
    <mergeCell ref="V5:AB5"/>
    <mergeCell ref="V6:AB6"/>
    <mergeCell ref="Q18:Q19"/>
    <mergeCell ref="J16:J17"/>
    <mergeCell ref="L16:L17"/>
    <mergeCell ref="R16:R17"/>
    <mergeCell ref="T16:T17"/>
    <mergeCell ref="J13:J15"/>
    <mergeCell ref="R6:R8"/>
    <mergeCell ref="T6:T8"/>
    <mergeCell ref="L6:L8"/>
    <mergeCell ref="J6:J8"/>
    <mergeCell ref="V15:AB15"/>
    <mergeCell ref="V7:AB7"/>
    <mergeCell ref="V13:AB13"/>
    <mergeCell ref="V18:AB18"/>
    <mergeCell ref="V14:AB14"/>
    <mergeCell ref="V8:AB8"/>
    <mergeCell ref="V9:AB9"/>
    <mergeCell ref="V10:AB10"/>
    <mergeCell ref="V12:AB12"/>
    <mergeCell ref="H18:H19"/>
    <mergeCell ref="F18:F19"/>
    <mergeCell ref="J18:J19"/>
    <mergeCell ref="L18:L19"/>
    <mergeCell ref="R18:R19"/>
    <mergeCell ref="T18:T19"/>
    <mergeCell ref="F20:F21"/>
    <mergeCell ref="H20:H21"/>
    <mergeCell ref="L31:L32"/>
    <mergeCell ref="R27:R28"/>
    <mergeCell ref="T27:T28"/>
    <mergeCell ref="R29:R30"/>
    <mergeCell ref="T29:T30"/>
    <mergeCell ref="R31:R32"/>
    <mergeCell ref="T31:T32"/>
  </mergeCells>
  <conditionalFormatting sqref="B2">
    <cfRule type="cellIs" dxfId="873" priority="220" stopIfTrue="1" operator="lessThan">
      <formula>438</formula>
    </cfRule>
  </conditionalFormatting>
  <conditionalFormatting sqref="D61:D69">
    <cfRule type="cellIs" dxfId="872" priority="1347" stopIfTrue="1" operator="greaterThan">
      <formula>0.06</formula>
    </cfRule>
  </conditionalFormatting>
  <conditionalFormatting sqref="E61:F70">
    <cfRule type="cellIs" dxfId="871" priority="1350" operator="greaterThan">
      <formula>0.04</formula>
    </cfRule>
  </conditionalFormatting>
  <conditionalFormatting sqref="I59:I67">
    <cfRule type="cellIs" dxfId="870" priority="2087" stopIfTrue="1" operator="lessThan">
      <formula>438</formula>
    </cfRule>
    <cfRule type="cellIs" dxfId="869" priority="2086" stopIfTrue="1" operator="lessThan">
      <formula>462</formula>
    </cfRule>
  </conditionalFormatting>
  <conditionalFormatting sqref="I76:I82">
    <cfRule type="cellIs" dxfId="868" priority="2080" stopIfTrue="1" operator="lessThan">
      <formula>0%</formula>
    </cfRule>
    <cfRule type="cellIs" dxfId="867" priority="2079" stopIfTrue="1" operator="greaterThan">
      <formula>1.5%</formula>
    </cfRule>
  </conditionalFormatting>
  <conditionalFormatting sqref="I83">
    <cfRule type="cellIs" dxfId="866" priority="2070" stopIfTrue="1" operator="greaterThan">
      <formula>1.1</formula>
    </cfRule>
    <cfRule type="cellIs" dxfId="865" priority="2069" stopIfTrue="1" operator="greaterThan">
      <formula>0.011</formula>
    </cfRule>
  </conditionalFormatting>
  <conditionalFormatting sqref="J3">
    <cfRule type="cellIs" dxfId="864" priority="637" stopIfTrue="1" operator="lessThan">
      <formula>456.25</formula>
    </cfRule>
    <cfRule type="cellIs" dxfId="863" priority="639" stopIfTrue="1" operator="lessThan">
      <formula>438</formula>
    </cfRule>
  </conditionalFormatting>
  <conditionalFormatting sqref="J4:J6 J9:J10 J12:J13 J16 J18 J20 J22 J24 J26:J56">
    <cfRule type="cellIs" dxfId="862" priority="2112" stopIfTrue="1" operator="lessThan">
      <formula>350</formula>
    </cfRule>
  </conditionalFormatting>
  <conditionalFormatting sqref="J57:J71">
    <cfRule type="cellIs" dxfId="861" priority="645" stopIfTrue="1" operator="lessThan">
      <formula>462</formula>
    </cfRule>
  </conditionalFormatting>
  <conditionalFormatting sqref="J60:J71 J91:J95 J98:J99 J102:J65536">
    <cfRule type="cellIs" dxfId="860" priority="2198" stopIfTrue="1" operator="lessThan">
      <formula>438</formula>
    </cfRule>
  </conditionalFormatting>
  <conditionalFormatting sqref="J76:J85">
    <cfRule type="cellIs" dxfId="859" priority="2058" stopIfTrue="1" operator="lessThan">
      <formula>73%</formula>
    </cfRule>
  </conditionalFormatting>
  <conditionalFormatting sqref="K76:K84">
    <cfRule type="cellIs" dxfId="858" priority="2149" stopIfTrue="1" operator="lessThan">
      <formula>73%</formula>
    </cfRule>
  </conditionalFormatting>
  <conditionalFormatting sqref="K4:L5 L6 K6:K8 K9:L9 L10 K10:K40 L12:L13 L16 L18 L20 L22 L24 L26:L27 L29 L31 L33 L36 L40 K41:L55">
    <cfRule type="cellIs" dxfId="857" priority="38" stopIfTrue="1" operator="lessThan">
      <formula>540</formula>
    </cfRule>
  </conditionalFormatting>
  <conditionalFormatting sqref="K85:L85">
    <cfRule type="cellIs" dxfId="856" priority="2150" stopIfTrue="1" operator="lessThan">
      <formula>73%</formula>
    </cfRule>
  </conditionalFormatting>
  <conditionalFormatting sqref="P59:P67">
    <cfRule type="cellIs" dxfId="855" priority="2189" stopIfTrue="1" operator="greaterThan">
      <formula>1.1</formula>
    </cfRule>
  </conditionalFormatting>
  <conditionalFormatting sqref="Q4:Q18 Q20 Q22:Q23 Q25:Q55">
    <cfRule type="cellIs" dxfId="854" priority="2113" stopIfTrue="1" operator="greaterThanOrEqual">
      <formula>1.8</formula>
    </cfRule>
  </conditionalFormatting>
  <conditionalFormatting sqref="Q56">
    <cfRule type="cellIs" dxfId="853" priority="23" stopIfTrue="1" operator="greaterThan">
      <formula>0.011</formula>
    </cfRule>
    <cfRule type="cellIs" dxfId="852" priority="24" stopIfTrue="1" operator="greaterThan">
      <formula>1.8</formula>
    </cfRule>
  </conditionalFormatting>
  <conditionalFormatting sqref="Q57:Q72">
    <cfRule type="cellIs" dxfId="851" priority="643" stopIfTrue="1" operator="greaterThan">
      <formula>1.1</formula>
    </cfRule>
  </conditionalFormatting>
  <conditionalFormatting sqref="Q72:Q73 I84:I85">
    <cfRule type="cellIs" dxfId="850" priority="2195" stopIfTrue="1" operator="lessThan">
      <formula>0%</formula>
    </cfRule>
    <cfRule type="cellIs" dxfId="849" priority="2194" stopIfTrue="1" operator="greaterThan">
      <formula>1.5%</formula>
    </cfRule>
  </conditionalFormatting>
  <conditionalFormatting sqref="Q76">
    <cfRule type="cellIs" dxfId="848" priority="2072" stopIfTrue="1" operator="greaterThan">
      <formula>1.1</formula>
    </cfRule>
    <cfRule type="cellIs" dxfId="847" priority="2071" stopIfTrue="1" operator="greaterThan">
      <formula>0.011</formula>
    </cfRule>
  </conditionalFormatting>
  <conditionalFormatting sqref="R4:R5 R9 R26">
    <cfRule type="cellIs" dxfId="846" priority="33" stopIfTrue="1" operator="lessThan">
      <formula>0.67</formula>
    </cfRule>
  </conditionalFormatting>
  <conditionalFormatting sqref="R6">
    <cfRule type="cellIs" dxfId="845" priority="15" stopIfTrue="1" operator="lessThan">
      <formula>0.56</formula>
    </cfRule>
  </conditionalFormatting>
  <conditionalFormatting sqref="R10">
    <cfRule type="cellIs" dxfId="844" priority="12" stopIfTrue="1" operator="lessThan">
      <formula>0.56</formula>
    </cfRule>
  </conditionalFormatting>
  <conditionalFormatting sqref="R12">
    <cfRule type="cellIs" dxfId="843" priority="9" stopIfTrue="1" operator="lessThan">
      <formula>0.67</formula>
    </cfRule>
  </conditionalFormatting>
  <conditionalFormatting sqref="R13">
    <cfRule type="cellIs" dxfId="842" priority="8" stopIfTrue="1" operator="lessThan">
      <formula>0.56</formula>
    </cfRule>
  </conditionalFormatting>
  <conditionalFormatting sqref="R16 R18 R20 R22 R24">
    <cfRule type="cellIs" dxfId="841" priority="6" stopIfTrue="1" operator="lessThan">
      <formula>0.56</formula>
    </cfRule>
  </conditionalFormatting>
  <conditionalFormatting sqref="R27 R29 R31 R33 R36">
    <cfRule type="cellIs" dxfId="840" priority="4" stopIfTrue="1" operator="lessThan">
      <formula>0.56</formula>
    </cfRule>
  </conditionalFormatting>
  <conditionalFormatting sqref="R40:R55">
    <cfRule type="cellIs" dxfId="839" priority="1" stopIfTrue="1" operator="lessThan">
      <formula>0.67</formula>
    </cfRule>
  </conditionalFormatting>
  <conditionalFormatting sqref="R56">
    <cfRule type="cellIs" dxfId="838" priority="31" stopIfTrue="1" operator="lessThan">
      <formula>0.56</formula>
    </cfRule>
  </conditionalFormatting>
  <conditionalFormatting sqref="R58:R71">
    <cfRule type="cellIs" dxfId="837" priority="641" stopIfTrue="1" operator="lessThan">
      <formula>0.6</formula>
    </cfRule>
  </conditionalFormatting>
  <conditionalFormatting sqref="R59:R67">
    <cfRule type="cellIs" dxfId="836" priority="2192" stopIfTrue="1" operator="lessThan">
      <formula>0.74</formula>
    </cfRule>
  </conditionalFormatting>
  <conditionalFormatting sqref="R76:S76">
    <cfRule type="cellIs" dxfId="835" priority="1428" stopIfTrue="1" operator="lessThan">
      <formula>0.74</formula>
    </cfRule>
  </conditionalFormatting>
  <conditionalFormatting sqref="S3">
    <cfRule type="cellIs" dxfId="834" priority="640" stopIfTrue="1" operator="lessThan">
      <formula>0.65</formula>
    </cfRule>
  </conditionalFormatting>
  <conditionalFormatting sqref="S4:S40">
    <cfRule type="cellIs" dxfId="833" priority="13" stopIfTrue="1" operator="lessThan">
      <formula>0.66</formula>
    </cfRule>
  </conditionalFormatting>
  <conditionalFormatting sqref="S41:S56 S58:S71">
    <cfRule type="cellIs" dxfId="832" priority="115" stopIfTrue="1" operator="lessThan">
      <formula>0.74</formula>
    </cfRule>
  </conditionalFormatting>
  <conditionalFormatting sqref="S92:S93">
    <cfRule type="cellIs" dxfId="831" priority="2119" stopIfTrue="1" operator="lessThan">
      <formula>0.74</formula>
    </cfRule>
  </conditionalFormatting>
  <conditionalFormatting sqref="S94">
    <cfRule type="cellIs" dxfId="830" priority="2118" stopIfTrue="1" operator="greaterThan">
      <formula>1.1</formula>
    </cfRule>
  </conditionalFormatting>
  <conditionalFormatting sqref="S72:T73">
    <cfRule type="cellIs" dxfId="829" priority="2197" stopIfTrue="1" operator="lessThan">
      <formula>75%</formula>
    </cfRule>
  </conditionalFormatting>
  <conditionalFormatting sqref="T4:T5 T9">
    <cfRule type="cellIs" dxfId="828" priority="34" stopIfTrue="1" operator="lessThan">
      <formula>0.8</formula>
    </cfRule>
  </conditionalFormatting>
  <conditionalFormatting sqref="T6">
    <cfRule type="cellIs" dxfId="827" priority="14" stopIfTrue="1" operator="lessThan">
      <formula>0.8</formula>
    </cfRule>
  </conditionalFormatting>
  <conditionalFormatting sqref="T10">
    <cfRule type="cellIs" dxfId="826" priority="11" stopIfTrue="1" operator="lessThan">
      <formula>0.8</formula>
    </cfRule>
  </conditionalFormatting>
  <conditionalFormatting sqref="T12">
    <cfRule type="cellIs" dxfId="825" priority="10" stopIfTrue="1" operator="lessThan">
      <formula>0.8</formula>
    </cfRule>
  </conditionalFormatting>
  <conditionalFormatting sqref="T13">
    <cfRule type="cellIs" dxfId="824" priority="7" stopIfTrue="1" operator="lessThan">
      <formula>0.8</formula>
    </cfRule>
  </conditionalFormatting>
  <conditionalFormatting sqref="T16 T18 T20 T22 T24">
    <cfRule type="cellIs" dxfId="823" priority="5" stopIfTrue="1" operator="lessThan">
      <formula>0.8</formula>
    </cfRule>
  </conditionalFormatting>
  <conditionalFormatting sqref="T26">
    <cfRule type="cellIs" dxfId="822" priority="27" stopIfTrue="1" operator="lessThan">
      <formula>0.8</formula>
    </cfRule>
  </conditionalFormatting>
  <conditionalFormatting sqref="T27 T29 T31 T33 T36">
    <cfRule type="cellIs" dxfId="821" priority="3" stopIfTrue="1" operator="lessThan">
      <formula>0.8</formula>
    </cfRule>
  </conditionalFormatting>
  <conditionalFormatting sqref="T40:T71">
    <cfRule type="cellIs" dxfId="820" priority="2" stopIfTrue="1" operator="lessThan">
      <formula>0.8</formula>
    </cfRule>
  </conditionalFormatting>
  <conditionalFormatting sqref="T75">
    <cfRule type="cellIs" dxfId="819" priority="2151" stopIfTrue="1" operator="lessThan">
      <formula>0.65</formula>
    </cfRule>
  </conditionalFormatting>
  <conditionalFormatting sqref="T76">
    <cfRule type="cellIs" dxfId="818" priority="2077" stopIfTrue="1" operator="lessThan">
      <formula>0.95</formula>
    </cfRule>
  </conditionalFormatting>
  <conditionalFormatting sqref="U4:U49 U51:U60">
    <cfRule type="cellIs" dxfId="817" priority="17" stopIfTrue="1" operator="greaterThan">
      <formula>1.8</formula>
    </cfRule>
  </conditionalFormatting>
  <conditionalFormatting sqref="U64">
    <cfRule type="cellIs" dxfId="816" priority="20" stopIfTrue="1" operator="lessThan">
      <formula>75%</formula>
    </cfRule>
  </conditionalFormatting>
  <conditionalFormatting sqref="U65">
    <cfRule type="cellIs" dxfId="815" priority="19" stopIfTrue="1" operator="lessThan">
      <formula>0.65</formula>
    </cfRule>
  </conditionalFormatting>
  <conditionalFormatting sqref="U66">
    <cfRule type="cellIs" dxfId="814" priority="18" stopIfTrue="1" operator="lessThan">
      <formula>0.95</formula>
    </cfRule>
  </conditionalFormatting>
  <printOptions horizontalCentered="1"/>
  <pageMargins left="0.10312499999999999" right="0.5" top="0.25" bottom="0.27" header="0.25" footer="0.27"/>
  <pageSetup scale="23" fitToHeight="0" orientation="landscape" r:id="rId1"/>
  <headerFooter alignWithMargins="0"/>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E9359-6B24-4AC8-B6A0-7A4B1A279704}">
  <sheetPr codeName="Sheet35">
    <pageSetUpPr fitToPage="1"/>
  </sheetPr>
  <dimension ref="A2:AC65336"/>
  <sheetViews>
    <sheetView showZeros="0" tabSelected="1" showWhiteSpace="0" zoomScale="60" zoomScaleNormal="60" zoomScaleSheetLayoutView="70" workbookViewId="0">
      <pane xSplit="3" ySplit="3" topLeftCell="D40" activePane="bottomRight" state="frozen"/>
      <selection pane="topRight" activeCell="D1" sqref="D1"/>
      <selection pane="bottomLeft" activeCell="A4" sqref="A4"/>
      <selection pane="bottomRight" activeCell="N43" sqref="N43"/>
    </sheetView>
  </sheetViews>
  <sheetFormatPr defaultColWidth="9.42578125" defaultRowHeight="12.75" outlineLevelCol="1" x14ac:dyDescent="0.2"/>
  <cols>
    <col min="1" max="1" width="3.42578125" customWidth="1"/>
    <col min="2" max="2" width="21.42578125" style="1" customWidth="1"/>
    <col min="3" max="3" width="58.5703125" style="1" customWidth="1"/>
    <col min="4" max="4" width="25.42578125" style="1" customWidth="1"/>
    <col min="5" max="5" width="22.42578125" style="1" customWidth="1"/>
    <col min="6" max="6" width="21.5703125" style="1" hidden="1" customWidth="1" outlineLevel="1"/>
    <col min="7" max="7" width="26.42578125" customWidth="1" collapsed="1"/>
    <col min="8" max="8" width="20.42578125" hidden="1" customWidth="1" outlineLevel="1"/>
    <col min="9" max="9" width="22.42578125" style="1" hidden="1" customWidth="1" outlineLevel="1"/>
    <col min="10" max="10" width="20.5703125" customWidth="1" collapsed="1"/>
    <col min="11" max="11" width="23.42578125" hidden="1" customWidth="1" outlineLevel="1"/>
    <col min="12" max="12" width="17.42578125" hidden="1" customWidth="1" outlineLevel="1"/>
    <col min="13" max="13" width="17" hidden="1" customWidth="1" outlineLevel="1"/>
    <col min="14" max="14" width="13.42578125" hidden="1" customWidth="1" outlineLevel="1"/>
    <col min="15" max="15" width="12.5703125" style="392" hidden="1" customWidth="1" outlineLevel="1"/>
    <col min="16" max="16" width="16.5703125" style="2" hidden="1" customWidth="1" outlineLevel="1"/>
    <col min="17" max="17" width="14.42578125" style="1" customWidth="1" collapsed="1"/>
    <col min="18" max="18" width="20" bestFit="1" customWidth="1"/>
    <col min="19" max="19" width="16.42578125" customWidth="1"/>
    <col min="20" max="20" width="17.85546875" style="1" bestFit="1" customWidth="1"/>
    <col min="21" max="21" width="12" customWidth="1"/>
    <col min="22" max="22" width="17" customWidth="1"/>
    <col min="23" max="23" width="15.42578125" customWidth="1"/>
    <col min="24" max="24" width="15.5703125" customWidth="1"/>
    <col min="25" max="25" width="14" customWidth="1"/>
    <col min="26" max="26" width="25.5703125" customWidth="1"/>
    <col min="27" max="27" width="71.42578125" customWidth="1"/>
    <col min="28" max="28" width="68.5703125" customWidth="1"/>
    <col min="29" max="29" width="15.5703125" bestFit="1" customWidth="1"/>
  </cols>
  <sheetData>
    <row r="2" spans="2:29" ht="24" thickBot="1" x14ac:dyDescent="0.4">
      <c r="B2" s="1022" t="s">
        <v>964</v>
      </c>
      <c r="C2" s="1022"/>
      <c r="D2" s="1022"/>
      <c r="E2" s="1022"/>
      <c r="F2" s="1022"/>
      <c r="G2" s="1022"/>
      <c r="H2" s="1022"/>
      <c r="I2" s="1022"/>
      <c r="J2" s="1022"/>
      <c r="K2" s="1022"/>
      <c r="L2" s="1022"/>
      <c r="M2" s="1022"/>
      <c r="N2" s="1022"/>
      <c r="O2" s="1022"/>
      <c r="P2" s="1022"/>
      <c r="Q2" s="1022"/>
      <c r="R2" s="1022"/>
      <c r="S2" s="1022"/>
      <c r="T2" s="1022"/>
      <c r="U2" s="1022"/>
    </row>
    <row r="3" spans="2:29" ht="135.75" customHeight="1" thickTop="1" thickBot="1" x14ac:dyDescent="0.25">
      <c r="B3" s="564" t="s">
        <v>0</v>
      </c>
      <c r="C3" s="565" t="s">
        <v>2</v>
      </c>
      <c r="D3" s="565" t="s">
        <v>12</v>
      </c>
      <c r="E3" s="565" t="s">
        <v>11</v>
      </c>
      <c r="F3" s="38" t="s">
        <v>15</v>
      </c>
      <c r="G3" s="565" t="s">
        <v>9</v>
      </c>
      <c r="H3" s="38" t="s">
        <v>17</v>
      </c>
      <c r="I3" s="38" t="s">
        <v>5</v>
      </c>
      <c r="J3" s="565" t="s">
        <v>958</v>
      </c>
      <c r="K3" s="38" t="s">
        <v>4</v>
      </c>
      <c r="L3" s="663" t="s">
        <v>843</v>
      </c>
      <c r="M3" s="664" t="s">
        <v>161</v>
      </c>
      <c r="N3" s="664" t="s">
        <v>10</v>
      </c>
      <c r="O3" s="38" t="s">
        <v>622</v>
      </c>
      <c r="P3" s="294" t="s">
        <v>863</v>
      </c>
      <c r="Q3" s="566" t="s">
        <v>957</v>
      </c>
      <c r="R3" s="584" t="s">
        <v>473</v>
      </c>
      <c r="S3" s="547" t="s">
        <v>860</v>
      </c>
      <c r="T3" s="545" t="s">
        <v>862</v>
      </c>
      <c r="U3" s="1023" t="s">
        <v>1</v>
      </c>
      <c r="V3" s="1024"/>
      <c r="W3" s="1024"/>
      <c r="X3" s="1024"/>
      <c r="Y3" s="1024"/>
      <c r="Z3" s="1024"/>
      <c r="AA3" s="1025"/>
      <c r="AB3">
        <v>18000</v>
      </c>
      <c r="AC3">
        <v>17000</v>
      </c>
    </row>
    <row r="4" spans="2:29" s="19" customFormat="1" ht="117.75" customHeight="1" thickTop="1" thickBot="1" x14ac:dyDescent="0.25">
      <c r="B4" s="168">
        <f>[1]September_206!$B8</f>
        <v>46266</v>
      </c>
      <c r="C4" s="580" t="str">
        <f>[1]September_206!$D8</f>
        <v>STAG</v>
      </c>
      <c r="D4" s="27">
        <v>5600</v>
      </c>
      <c r="E4" s="28">
        <f>[2]Sept!$E8</f>
        <v>1.0555555555555556</v>
      </c>
      <c r="F4" s="29">
        <f>[1]September_206!$J8</f>
        <v>372.7</v>
      </c>
      <c r="G4" s="30">
        <f>[1]September_206!$G8</f>
        <v>5560</v>
      </c>
      <c r="H4" s="29">
        <f>[1]September_206!$K8</f>
        <v>366.96000000000004</v>
      </c>
      <c r="I4" s="31">
        <f>[1]September_206!$N8</f>
        <v>18</v>
      </c>
      <c r="J4" s="32">
        <f>[1]September_206!$Q8</f>
        <v>231.66666666666666</v>
      </c>
      <c r="K4" s="32">
        <f>[1]September_206!$F8</f>
        <v>815</v>
      </c>
      <c r="L4" s="993">
        <f>[1]September_206!$E8</f>
        <v>1440</v>
      </c>
      <c r="M4" s="169">
        <f>[2]Sept!$G8</f>
        <v>0.72361111111111109</v>
      </c>
      <c r="N4" s="32">
        <f>[2]Sept!$AD8</f>
        <v>342</v>
      </c>
      <c r="O4" s="406">
        <f>[2]Sept!$I8</f>
        <v>106</v>
      </c>
      <c r="P4" s="32">
        <f>[1]September_206!$I8</f>
        <v>0</v>
      </c>
      <c r="Q4" s="33">
        <f>[1]September_206!$P8</f>
        <v>1.540112691172512</v>
      </c>
      <c r="R4" s="995">
        <f>($G4+G5)/(($L4/60)*AC$3*(1/24))</f>
        <v>0.43976470588235295</v>
      </c>
      <c r="S4" s="971">
        <f>($G4)*24/(($K4)/60)/$AC$3</f>
        <v>0.57787080476362318</v>
      </c>
      <c r="T4" s="1019">
        <f>(1600-((N4+N5)-[2]Sept!$H$8-[2]Sept!$J$9-[2]Sept!$L$9-[2]Sept!$Z$8-[2]Sept!$Z$9-[2]Sept!$AB$8-[2]Sept!$AB$9))/1600</f>
        <v>0.71062499999999995</v>
      </c>
      <c r="U4" s="1002" t="s">
        <v>1294</v>
      </c>
      <c r="V4" s="1002"/>
      <c r="W4" s="1002"/>
      <c r="X4" s="1002"/>
      <c r="Y4" s="1002"/>
      <c r="Z4" s="1002"/>
      <c r="AA4" s="1003"/>
    </row>
    <row r="5" spans="2:29" s="19" customFormat="1" ht="156.75" customHeight="1" thickBot="1" x14ac:dyDescent="0.25">
      <c r="B5" s="168">
        <f>[1]September_206!$B9</f>
        <v>46266</v>
      </c>
      <c r="C5" s="580" t="str">
        <f>[1]September_206!$D9</f>
        <v>CARIB EXPORT</v>
      </c>
      <c r="D5" s="27">
        <v>2800</v>
      </c>
      <c r="E5" s="28">
        <f>[2]Sept!$E9</f>
        <v>1.6944444444444444</v>
      </c>
      <c r="F5" s="29">
        <f>[1]September_206!$J9</f>
        <v>129.09999999999997</v>
      </c>
      <c r="G5" s="30">
        <f>[1]September_206!$G9</f>
        <v>1916</v>
      </c>
      <c r="H5" s="29">
        <f>[1]September_206!$K9</f>
        <v>126.456</v>
      </c>
      <c r="I5" s="31">
        <f>[1]September_206!$N9</f>
        <v>6</v>
      </c>
      <c r="J5" s="32">
        <f>[1]September_206!$Q9</f>
        <v>79.833333333333329</v>
      </c>
      <c r="K5" s="32">
        <f>[1]September_206!$F9</f>
        <v>367</v>
      </c>
      <c r="L5" s="999"/>
      <c r="M5" s="169">
        <f>[2]Sept!$G9</f>
        <v>2.1111111111111112</v>
      </c>
      <c r="N5" s="32">
        <f>[2]Sept!$AD9</f>
        <v>259</v>
      </c>
      <c r="O5" s="406">
        <f>[2]Sept!$I9</f>
        <v>65</v>
      </c>
      <c r="P5" s="32">
        <f>[1]September_206!$I9</f>
        <v>0</v>
      </c>
      <c r="Q5" s="33">
        <f>[1]September_206!$P9</f>
        <v>2.0480247869868036</v>
      </c>
      <c r="R5" s="1020"/>
      <c r="S5" s="971">
        <f>($G5)*24/(($K5)/60)/$AC$3</f>
        <v>0.44222471549927872</v>
      </c>
      <c r="T5" s="1026"/>
      <c r="U5" s="1002" t="s">
        <v>1293</v>
      </c>
      <c r="V5" s="1002"/>
      <c r="W5" s="1002"/>
      <c r="X5" s="1002"/>
      <c r="Y5" s="1002"/>
      <c r="Z5" s="1002"/>
      <c r="AA5" s="1003"/>
    </row>
    <row r="6" spans="2:29" s="19" customFormat="1" ht="136.5" customHeight="1" thickTop="1" thickBot="1" x14ac:dyDescent="0.25">
      <c r="B6" s="168">
        <f>[1]September_206!$B10</f>
        <v>46267</v>
      </c>
      <c r="C6" s="580" t="str">
        <f>[1]September_206!$D10</f>
        <v>CARIB EXPORT</v>
      </c>
      <c r="D6" s="27">
        <v>2800</v>
      </c>
      <c r="E6" s="28">
        <f>[2]Sept!$E10</f>
        <v>1.0083333333333333</v>
      </c>
      <c r="F6" s="989">
        <f>[1]September_206!$J10</f>
        <v>527.4</v>
      </c>
      <c r="G6" s="30">
        <f>[1]September_206!$G10</f>
        <v>2831</v>
      </c>
      <c r="H6" s="989">
        <f>[1]September_206!$K10</f>
        <v>519.42000000000007</v>
      </c>
      <c r="I6" s="31">
        <f>[1]September_206!$N10</f>
        <v>10</v>
      </c>
      <c r="J6" s="32">
        <f>[1]September_206!$Q10</f>
        <v>117.95833333333333</v>
      </c>
      <c r="K6" s="32">
        <f>[1]September_206!$F10</f>
        <v>520</v>
      </c>
      <c r="L6" s="993">
        <f>[1]September_206!$E10</f>
        <v>1440</v>
      </c>
      <c r="M6" s="169">
        <f>[2]Sept!$G10</f>
        <v>0</v>
      </c>
      <c r="N6" s="32">
        <f>[2]Sept!$AD10</f>
        <v>207</v>
      </c>
      <c r="O6" s="406">
        <f>[2]Sept!$I10</f>
        <v>0</v>
      </c>
      <c r="P6" s="32">
        <f>[1]September_206!$I10</f>
        <v>0</v>
      </c>
      <c r="Q6" s="1000">
        <f>[1]September_206!$P10</f>
        <v>1.5130830489192084</v>
      </c>
      <c r="R6" s="995">
        <f>($G6+G7)/(($L6/60)*AC$3*(1/24))</f>
        <v>0.30429411764705883</v>
      </c>
      <c r="S6" s="971">
        <f t="shared" ref="S6:S11" si="0">($G6)*24/(($K6)/60)/$AC$3</f>
        <v>0.46115837104072405</v>
      </c>
      <c r="T6" s="1019">
        <f>(1509-((N6+N7+N8)-[2]Sept!$H$10-[2]Sept!$H$11-[2]Sept!$H$12-[2]Sept!$J$10-[2]Sept!$Z$10-[2]Sept!$Z$11-[2]Sept!$Z$12-[2]Sept!$AA$10-[2]Sept!$AB$11))/1509</f>
        <v>0.80848243870112657</v>
      </c>
      <c r="U6" s="1002" t="s">
        <v>1295</v>
      </c>
      <c r="V6" s="1002"/>
      <c r="W6" s="1002"/>
      <c r="X6" s="1002"/>
      <c r="Y6" s="1002"/>
      <c r="Z6" s="1002"/>
      <c r="AA6" s="1003"/>
    </row>
    <row r="7" spans="2:29" s="19" customFormat="1" ht="86.25" customHeight="1" thickBot="1" x14ac:dyDescent="0.25">
      <c r="B7" s="168">
        <f>[1]September_206!$B11</f>
        <v>46267</v>
      </c>
      <c r="C7" s="580" t="str">
        <f>[1]September_206!$D11</f>
        <v>CARIB FLINT LOCAL</v>
      </c>
      <c r="D7" s="27">
        <v>4200</v>
      </c>
      <c r="E7" s="28">
        <f>[2]Sept!$E11</f>
        <v>1.4340277777777777</v>
      </c>
      <c r="F7" s="1027"/>
      <c r="G7" s="30">
        <f>[1]September_206!$G11</f>
        <v>2342</v>
      </c>
      <c r="H7" s="1027"/>
      <c r="I7" s="31">
        <f>[1]September_206!$N11</f>
        <v>3</v>
      </c>
      <c r="J7" s="32">
        <f>[1]September_206!$Q11</f>
        <v>97.583333333333329</v>
      </c>
      <c r="K7" s="32">
        <f>[1]September_206!$F11</f>
        <v>334</v>
      </c>
      <c r="L7" s="1016"/>
      <c r="M7" s="169">
        <f>[2]Sept!$G11</f>
        <v>0.77500000000000002</v>
      </c>
      <c r="N7" s="32">
        <f>[2]Sept!$AD11</f>
        <v>139</v>
      </c>
      <c r="O7" s="406">
        <f>[2]Sept!$I11</f>
        <v>27</v>
      </c>
      <c r="P7" s="32">
        <f>[1]September_206!$I11</f>
        <v>0</v>
      </c>
      <c r="Q7" s="1028"/>
      <c r="R7" s="996"/>
      <c r="S7" s="971">
        <f t="shared" si="0"/>
        <v>0.59395561817541387</v>
      </c>
      <c r="T7" s="996"/>
      <c r="U7" s="1002" t="s">
        <v>1297</v>
      </c>
      <c r="V7" s="1002"/>
      <c r="W7" s="1002"/>
      <c r="X7" s="1002"/>
      <c r="Y7" s="1002"/>
      <c r="Z7" s="1002"/>
      <c r="AA7" s="1003"/>
    </row>
    <row r="8" spans="2:29" s="19" customFormat="1" ht="127.5" customHeight="1" thickBot="1" x14ac:dyDescent="0.25">
      <c r="B8" s="168">
        <f>[1]September_206!$B12</f>
        <v>46267</v>
      </c>
      <c r="C8" s="580" t="str">
        <f>[1]September_206!$D12</f>
        <v>CARIB AMBER</v>
      </c>
      <c r="D8" s="27">
        <v>4200</v>
      </c>
      <c r="E8" s="28">
        <f>[2]Sept!$E12</f>
        <v>1.7152777777777777</v>
      </c>
      <c r="F8" s="990"/>
      <c r="G8" s="30">
        <f>[1]September_206!$G12</f>
        <v>2697</v>
      </c>
      <c r="H8" s="990"/>
      <c r="I8" s="31">
        <f>[1]September_206!$N12</f>
        <v>3</v>
      </c>
      <c r="J8" s="32">
        <f>[1]September_206!$Q12</f>
        <v>112.375</v>
      </c>
      <c r="K8" s="32">
        <f>[1]September_206!$F12</f>
        <v>405</v>
      </c>
      <c r="L8" s="1016"/>
      <c r="M8" s="169">
        <f>[2]Sept!$G12</f>
        <v>2.0479166666666666</v>
      </c>
      <c r="N8" s="32">
        <f>[2]Sept!$AD12</f>
        <v>100</v>
      </c>
      <c r="O8" s="406">
        <f>[2]Sept!$I12</f>
        <v>16</v>
      </c>
      <c r="P8" s="32">
        <f>[1]September_206!$I12</f>
        <v>0</v>
      </c>
      <c r="Q8" s="1001"/>
      <c r="R8" s="996"/>
      <c r="S8" s="971">
        <f t="shared" si="0"/>
        <v>0.56407843137254909</v>
      </c>
      <c r="T8" s="996"/>
      <c r="U8" s="1002" t="s">
        <v>1296</v>
      </c>
      <c r="V8" s="1002"/>
      <c r="W8" s="1002"/>
      <c r="X8" s="1002"/>
      <c r="Y8" s="1002"/>
      <c r="Z8" s="1002"/>
      <c r="AA8" s="1003"/>
    </row>
    <row r="9" spans="2:29" s="19" customFormat="1" ht="54" customHeight="1" thickTop="1" thickBot="1" x14ac:dyDescent="0.25">
      <c r="B9" s="168">
        <f>[1]September_206!$B13</f>
        <v>46268</v>
      </c>
      <c r="C9" s="580" t="str">
        <f>[1]September_206!$D13</f>
        <v>CARIB AMBER</v>
      </c>
      <c r="D9" s="27"/>
      <c r="E9" s="28">
        <f>[2]Sept!$E13</f>
        <v>1</v>
      </c>
      <c r="F9" s="29">
        <f>[1]September_206!$J13</f>
        <v>89.5</v>
      </c>
      <c r="G9" s="30">
        <f>[1]September_206!$G13</f>
        <v>1343</v>
      </c>
      <c r="H9" s="29">
        <f>[1]September_206!$K13</f>
        <v>88.638000000000005</v>
      </c>
      <c r="I9" s="31">
        <f>[1]September_206!$N13</f>
        <v>0</v>
      </c>
      <c r="J9" s="32">
        <f>[1]September_206!$Q13</f>
        <v>55.958333333333336</v>
      </c>
      <c r="K9" s="32">
        <f>[1]September_206!$F13</f>
        <v>198</v>
      </c>
      <c r="L9" s="993">
        <f>[1]September_206!$E13</f>
        <v>1440</v>
      </c>
      <c r="M9" s="169">
        <f>[2]Sept!$G13</f>
        <v>0</v>
      </c>
      <c r="N9" s="32">
        <f>[2]Sept!$AD13</f>
        <v>23</v>
      </c>
      <c r="O9" s="406">
        <f>[2]Sept!$I13</f>
        <v>0</v>
      </c>
      <c r="P9" s="32">
        <f>[1]September_206!$I13</f>
        <v>0</v>
      </c>
      <c r="Q9" s="33">
        <f>[1]September_206!$P13</f>
        <v>0.96312849162010583</v>
      </c>
      <c r="R9" s="995">
        <f>($G9+G10)/(($L9/60)*AC$3*(1/24))</f>
        <v>0.39900000000000002</v>
      </c>
      <c r="S9" s="971">
        <f t="shared" si="0"/>
        <v>0.57454545454545458</v>
      </c>
      <c r="T9" s="1019">
        <f>(1485-((N9+N10+N11)-[2]Sept!$H$13-[2]Sept!$J$14-[2]Sept!$J$15-[2]Sept!$N$15-[2]Sept!$AB$15-[2]Sept!$AB$14-[2]Sept!$AA$14-[2]Sept!$Z$14))/1485</f>
        <v>0.84646464646464648</v>
      </c>
      <c r="U9" s="1002" t="s">
        <v>1298</v>
      </c>
      <c r="V9" s="1002"/>
      <c r="W9" s="1002"/>
      <c r="X9" s="1002"/>
      <c r="Y9" s="1002"/>
      <c r="Z9" s="1002"/>
      <c r="AA9" s="1003"/>
    </row>
    <row r="10" spans="2:29" s="19" customFormat="1" ht="132.75" customHeight="1" thickBot="1" x14ac:dyDescent="0.25">
      <c r="B10" s="168">
        <f>[1]September_206!$B14</f>
        <v>46268</v>
      </c>
      <c r="C10" s="580" t="str">
        <f>[1]September_206!$D14</f>
        <v>STAG</v>
      </c>
      <c r="D10" s="27">
        <v>7000</v>
      </c>
      <c r="E10" s="28">
        <f>[2]Sept!$E14</f>
        <v>1.1784722222222221</v>
      </c>
      <c r="F10" s="29">
        <f>[1]September_206!$J14</f>
        <v>361.8</v>
      </c>
      <c r="G10" s="30">
        <f>[1]September_206!$G14</f>
        <v>5440</v>
      </c>
      <c r="H10" s="29">
        <f>[1]September_206!$K14</f>
        <v>359.04</v>
      </c>
      <c r="I10" s="31">
        <f>[1]September_206!$N14</f>
        <v>3</v>
      </c>
      <c r="J10" s="32">
        <f>[1]September_206!$Q14</f>
        <v>226.66666666666666</v>
      </c>
      <c r="K10" s="32">
        <f>[1]September_206!$F14</f>
        <v>700</v>
      </c>
      <c r="L10" s="1016"/>
      <c r="M10" s="169">
        <f>[2]Sept!$G14</f>
        <v>1.8222222222222222</v>
      </c>
      <c r="N10" s="32">
        <f>[2]Sept!$AD14</f>
        <v>243</v>
      </c>
      <c r="O10" s="406">
        <f>[2]Sept!$I14</f>
        <v>12</v>
      </c>
      <c r="P10" s="32">
        <f>[1]September_206!$I14</f>
        <v>0</v>
      </c>
      <c r="Q10" s="33">
        <f>[1]September_206!$P14</f>
        <v>0.76285240464344684</v>
      </c>
      <c r="R10" s="996"/>
      <c r="S10" s="971">
        <f t="shared" si="0"/>
        <v>0.65828571428571425</v>
      </c>
      <c r="T10" s="996"/>
      <c r="U10" s="1002" t="s">
        <v>1299</v>
      </c>
      <c r="V10" s="1002"/>
      <c r="W10" s="1002"/>
      <c r="X10" s="1002"/>
      <c r="Y10" s="1002"/>
      <c r="Z10" s="1002"/>
      <c r="AA10" s="1003"/>
    </row>
    <row r="11" spans="2:29" s="19" customFormat="1" ht="107.25" customHeight="1" thickBot="1" x14ac:dyDescent="0.25">
      <c r="B11" s="168">
        <f>[1]September_206!$B15</f>
        <v>46268</v>
      </c>
      <c r="C11" s="580" t="str">
        <f>[1]September_206!$D15</f>
        <v>GINSENG UP ORIGINAL</v>
      </c>
      <c r="D11" s="27">
        <v>1500</v>
      </c>
      <c r="E11" s="28">
        <f>[2]Sept!$E15</f>
        <v>1.9402777777777778</v>
      </c>
      <c r="F11" s="29">
        <f>[1]September_206!$J15</f>
        <v>0</v>
      </c>
      <c r="G11" s="30">
        <f>[1]September_206!$G15</f>
        <v>0</v>
      </c>
      <c r="H11" s="29">
        <f>[1]September_206!$K15</f>
        <v>0</v>
      </c>
      <c r="I11" s="31">
        <f>[1]September_206!$N15</f>
        <v>0</v>
      </c>
      <c r="J11" s="32">
        <f>[1]September_206!$Q15</f>
        <v>0</v>
      </c>
      <c r="K11" s="32">
        <f>[1]September_206!$F15</f>
        <v>68</v>
      </c>
      <c r="L11" s="994"/>
      <c r="M11" s="169">
        <f>[2]Sept!$G15</f>
        <v>2.03125</v>
      </c>
      <c r="N11" s="32">
        <f>[2]Sept!$AD15</f>
        <v>297</v>
      </c>
      <c r="O11" s="406">
        <f>[2]Sept!$I15</f>
        <v>75</v>
      </c>
      <c r="P11" s="32">
        <f>[1]September_206!$I15</f>
        <v>0</v>
      </c>
      <c r="Q11" s="33"/>
      <c r="R11" s="996"/>
      <c r="S11" s="971">
        <f t="shared" si="0"/>
        <v>0</v>
      </c>
      <c r="T11" s="996"/>
      <c r="U11" s="1002" t="s">
        <v>1300</v>
      </c>
      <c r="V11" s="1002"/>
      <c r="W11" s="1002"/>
      <c r="X11" s="1002"/>
      <c r="Y11" s="1002"/>
      <c r="Z11" s="1002"/>
      <c r="AA11" s="1003"/>
    </row>
    <row r="12" spans="2:29" s="19" customFormat="1" ht="43.5" customHeight="1" thickTop="1" thickBot="1" x14ac:dyDescent="0.25">
      <c r="B12" s="168">
        <f>[1]September_206!$B16</f>
        <v>46269</v>
      </c>
      <c r="C12" s="580" t="str">
        <f>[1]September_206!$D16</f>
        <v>GINSENG UP ORIGINAL</v>
      </c>
      <c r="D12" s="27"/>
      <c r="E12" s="28">
        <f>[2]Sept!$E16</f>
        <v>1</v>
      </c>
      <c r="F12" s="29">
        <f>[1]September_206!$J16</f>
        <v>100.9</v>
      </c>
      <c r="G12" s="30">
        <f>[1]September_206!$G16</f>
        <v>1459</v>
      </c>
      <c r="H12" s="29">
        <f>[1]September_206!$K16</f>
        <v>96.294000000000011</v>
      </c>
      <c r="I12" s="31">
        <f>[1]September_206!$N16</f>
        <v>6</v>
      </c>
      <c r="J12" s="32">
        <f>[1]September_206!$Q16</f>
        <v>354.41295546558706</v>
      </c>
      <c r="K12" s="32">
        <f>[1]September_206!$F16</f>
        <v>180</v>
      </c>
      <c r="L12" s="938">
        <f>[1]September_206!$E16</f>
        <v>247</v>
      </c>
      <c r="M12" s="169">
        <f>[2]Sept!$G16</f>
        <v>1.2722222222222221</v>
      </c>
      <c r="N12" s="32">
        <f>[2]Sept!$AD16</f>
        <v>71</v>
      </c>
      <c r="O12" s="406">
        <f>[2]Sept!$I16</f>
        <v>0</v>
      </c>
      <c r="P12" s="32">
        <f>[1]September_206!$I16</f>
        <v>0</v>
      </c>
      <c r="Q12" s="33">
        <f>[1]September_206!$P16</f>
        <v>4.5649157581764062</v>
      </c>
      <c r="R12" s="862">
        <f>($G12)/(($L12/60)*AC$3*(1/24))</f>
        <v>0.50034770183377009</v>
      </c>
      <c r="S12" s="651">
        <f>($G12)*24/(($K12)/60)/$AC$3</f>
        <v>0.68658823529411761</v>
      </c>
      <c r="T12" s="866">
        <f>(392-((N12)-[2]Sept!$AB$16-[2]Sept!$N$16))/392</f>
        <v>0.98979591836734693</v>
      </c>
      <c r="U12" s="1002" t="s">
        <v>1301</v>
      </c>
      <c r="V12" s="1002"/>
      <c r="W12" s="1002"/>
      <c r="X12" s="1002"/>
      <c r="Y12" s="1002"/>
      <c r="Z12" s="1002"/>
      <c r="AA12" s="1003"/>
    </row>
    <row r="13" spans="2:29" s="19" customFormat="1" ht="121.5" customHeight="1" thickTop="1" thickBot="1" x14ac:dyDescent="0.25">
      <c r="B13" s="168">
        <f>[1]September_206!$B17</f>
        <v>46273</v>
      </c>
      <c r="C13" s="580" t="str">
        <f>[1]September_206!$D17</f>
        <v>CARIB AMBER</v>
      </c>
      <c r="D13" s="27">
        <v>5600</v>
      </c>
      <c r="E13" s="28">
        <f>[2]Sept!$E17</f>
        <v>0.3888888888888889</v>
      </c>
      <c r="F13" s="29">
        <f>[1]September_206!$J17</f>
        <v>266</v>
      </c>
      <c r="G13" s="30">
        <f>[1]September_206!$G17</f>
        <v>3961</v>
      </c>
      <c r="H13" s="29">
        <f>[1]September_206!$K17</f>
        <v>261.42599999999999</v>
      </c>
      <c r="I13" s="31">
        <f>[1]September_206!$N17</f>
        <v>24</v>
      </c>
      <c r="J13" s="32">
        <f>[1]September_206!$Q17</f>
        <v>261.16483516483515</v>
      </c>
      <c r="K13" s="32">
        <f>[1]September_206!$F17</f>
        <v>757</v>
      </c>
      <c r="L13" s="938">
        <f>[1]September_206!$E17</f>
        <v>910</v>
      </c>
      <c r="M13" s="169">
        <f>[2]Sept!$G17</f>
        <v>0.96388888888888891</v>
      </c>
      <c r="N13" s="32">
        <f>[2]Sept!$AD17</f>
        <v>426</v>
      </c>
      <c r="O13" s="406">
        <f>[2]Sept!$I17</f>
        <v>0</v>
      </c>
      <c r="P13" s="32">
        <f>[1]September_206!$I17</f>
        <v>0</v>
      </c>
      <c r="Q13" s="33">
        <f>[1]September_206!$P17</f>
        <v>1.7195488721804559</v>
      </c>
      <c r="R13" s="862">
        <f>($G13)/(($L13/60)*AC$3*(1/24))</f>
        <v>0.36870329670329671</v>
      </c>
      <c r="S13" s="651">
        <f>($G13)*24/(($K13)/60)/$AC$3</f>
        <v>0.44322324966974902</v>
      </c>
      <c r="T13" s="866">
        <f>(968-((N13)-[2]Sept!$J$17-[2]Sept!$Z$17))/968</f>
        <v>0.63326446280991733</v>
      </c>
      <c r="U13" s="1002" t="s">
        <v>1302</v>
      </c>
      <c r="V13" s="1002"/>
      <c r="W13" s="1002"/>
      <c r="X13" s="1002"/>
      <c r="Y13" s="1002"/>
      <c r="Z13" s="1002"/>
      <c r="AA13" s="1003"/>
    </row>
    <row r="14" spans="2:29" s="19" customFormat="1" ht="81" customHeight="1" thickTop="1" thickBot="1" x14ac:dyDescent="0.25">
      <c r="B14" s="168">
        <f>[1]September_206!$B18</f>
        <v>46274</v>
      </c>
      <c r="C14" s="580" t="str">
        <f>[1]September_206!$D18</f>
        <v>CARIB AMBER</v>
      </c>
      <c r="D14" s="27">
        <v>5600</v>
      </c>
      <c r="E14" s="28">
        <f>[2]Sept!$E18</f>
        <v>0.34375</v>
      </c>
      <c r="F14" s="29">
        <f>[1]September_206!$J18</f>
        <v>404.9</v>
      </c>
      <c r="G14" s="30">
        <f>[1]September_206!$G18</f>
        <v>6085</v>
      </c>
      <c r="H14" s="29">
        <f>[1]September_206!$K18</f>
        <v>401.61</v>
      </c>
      <c r="I14" s="31">
        <f>[1]September_206!$N18</f>
        <v>34</v>
      </c>
      <c r="J14" s="32">
        <f>[1]September_206!$Q18</f>
        <v>401.20879120879124</v>
      </c>
      <c r="K14" s="32">
        <f>[1]September_206!$F18</f>
        <v>694</v>
      </c>
      <c r="L14" s="938">
        <f>[1]September_206!$E18</f>
        <v>910</v>
      </c>
      <c r="M14" s="169">
        <f>[2]Sept!$G18</f>
        <v>0.95763888888888893</v>
      </c>
      <c r="N14" s="32">
        <f>[2]Sept!$AD18</f>
        <v>178</v>
      </c>
      <c r="O14" s="406">
        <f>[2]Sept!$I18</f>
        <v>0</v>
      </c>
      <c r="P14" s="32">
        <f>[1]September_206!$I18</f>
        <v>0</v>
      </c>
      <c r="Q14" s="33">
        <f>[1]September_206!$P18</f>
        <v>0.81254630773029479</v>
      </c>
      <c r="R14" s="862">
        <f>($G14)/(($L14/60)*AC$3*(1/24))</f>
        <v>0.56641241111829355</v>
      </c>
      <c r="S14" s="651">
        <f>($G14)*24/(($K14)/60)/$AC$3</f>
        <v>0.74270215290727248</v>
      </c>
      <c r="T14" s="866">
        <f>(958-((N14)-[2]Sept!$Z$18-[2]Sept!$J$18-[2]Sept!$H$18))/958</f>
        <v>0.89874739039665974</v>
      </c>
      <c r="U14" s="1002" t="s">
        <v>1303</v>
      </c>
      <c r="V14" s="1002"/>
      <c r="W14" s="1002"/>
      <c r="X14" s="1002"/>
      <c r="Y14" s="1002"/>
      <c r="Z14" s="1002"/>
      <c r="AA14" s="1003"/>
    </row>
    <row r="15" spans="2:29" s="19" customFormat="1" ht="119.25" customHeight="1" thickTop="1" thickBot="1" x14ac:dyDescent="0.25">
      <c r="B15" s="168">
        <f>[1]September_206!$B19</f>
        <v>46275</v>
      </c>
      <c r="C15" s="580" t="str">
        <f>[1]September_206!$D19</f>
        <v>CARIB AMBER</v>
      </c>
      <c r="D15" s="27">
        <v>5600</v>
      </c>
      <c r="E15" s="28">
        <f>[2]Sept!$E19</f>
        <v>1.3472222222222223</v>
      </c>
      <c r="F15" s="29">
        <f>[1]September_206!$J19</f>
        <v>403.5</v>
      </c>
      <c r="G15" s="30">
        <f>[1]September_206!$G19</f>
        <v>6104</v>
      </c>
      <c r="H15" s="29">
        <f>[1]September_206!$K19</f>
        <v>402.86400000000003</v>
      </c>
      <c r="I15" s="31">
        <f>[1]September_206!$N19</f>
        <v>12</v>
      </c>
      <c r="J15" s="32">
        <f>[1]September_206!$Q19</f>
        <v>402.46153846153845</v>
      </c>
      <c r="K15" s="32">
        <f>[1]September_206!$F19</f>
        <v>798</v>
      </c>
      <c r="L15" s="938">
        <f>[1]September_206!$E19</f>
        <v>910</v>
      </c>
      <c r="M15" s="169">
        <f>[2]Sept!$G19</f>
        <v>1.9520833333333334</v>
      </c>
      <c r="N15" s="32">
        <f>[2]Sept!$AD19</f>
        <v>117</v>
      </c>
      <c r="O15" s="406">
        <f>[2]Sept!$I19</f>
        <v>0</v>
      </c>
      <c r="P15" s="32">
        <f>[1]September_206!$I19</f>
        <v>0</v>
      </c>
      <c r="Q15" s="33">
        <f>[1]September_206!$P19</f>
        <v>0.15762081784385804</v>
      </c>
      <c r="R15" s="862">
        <f>($G15)/(($L15/60)*AC$3*(1/24))</f>
        <v>0.56818099547511314</v>
      </c>
      <c r="S15" s="651">
        <f>($G15)*24/(($K15)/60)/$AC$3</f>
        <v>0.64792569659442723</v>
      </c>
      <c r="T15" s="866">
        <f>(949-((N15)-[2]Sept!$J$19-[2]Sept!$Z$19))/949</f>
        <v>0.90410958904109584</v>
      </c>
      <c r="U15" s="1002" t="s">
        <v>1304</v>
      </c>
      <c r="V15" s="1002"/>
      <c r="W15" s="1002"/>
      <c r="X15" s="1002"/>
      <c r="Y15" s="1002"/>
      <c r="Z15" s="1002"/>
      <c r="AA15" s="1003"/>
    </row>
    <row r="16" spans="2:29" s="19" customFormat="1" ht="50.25" customHeight="1" thickTop="1" thickBot="1" x14ac:dyDescent="0.25">
      <c r="B16" s="168">
        <f>[1]September_206!$B20</f>
        <v>46276</v>
      </c>
      <c r="C16" s="580" t="str">
        <f>[1]September_206!$D20</f>
        <v>CARIB AMBER</v>
      </c>
      <c r="D16" s="27"/>
      <c r="E16" s="28">
        <f>[2]Sept!$E20</f>
        <v>0.34583333333333333</v>
      </c>
      <c r="F16" s="29">
        <f>[1]September_206!$J20</f>
        <v>57</v>
      </c>
      <c r="G16" s="30">
        <f>[1]September_206!$G20</f>
        <v>854</v>
      </c>
      <c r="H16" s="29">
        <f>[1]September_206!$K20</f>
        <v>56.364000000000004</v>
      </c>
      <c r="I16" s="31">
        <f>[1]September_206!$N20</f>
        <v>7</v>
      </c>
      <c r="J16" s="32">
        <f>[1]September_206!$Q20</f>
        <v>64.860759493670884</v>
      </c>
      <c r="K16" s="32">
        <f>[1]September_206!$F20</f>
        <v>109</v>
      </c>
      <c r="L16" s="993">
        <f>[1]September_206!$E20</f>
        <v>790</v>
      </c>
      <c r="M16" s="169">
        <f>[2]Sept!$G20</f>
        <v>1.4715277777777778</v>
      </c>
      <c r="N16" s="32">
        <f>[2]Sept!$AD20</f>
        <v>22</v>
      </c>
      <c r="O16" s="406">
        <f>[2]Sept!$I20</f>
        <v>0</v>
      </c>
      <c r="P16" s="32">
        <f>[1]September_206!$I20</f>
        <v>0</v>
      </c>
      <c r="Q16" s="33">
        <f>[1]September_206!$P20</f>
        <v>1.1157894736842029</v>
      </c>
      <c r="R16" s="995">
        <f>($G16+G17)/(($L16/60)*AC$3*(1/24))</f>
        <v>0.43253611317944907</v>
      </c>
      <c r="S16" s="651">
        <f t="shared" ref="S16:S27" si="1">($G16)*24/(($K16)/60)/$AC$3</f>
        <v>0.66365893146249333</v>
      </c>
      <c r="T16" s="997">
        <f>(855-((N16+N17)-[2]Sept!$AB$21-[2]Sept!$Z$21-[2]Sept!$Z$20-[2]Sept!$J$21))/855</f>
        <v>0.84444444444444444</v>
      </c>
      <c r="U16" s="1002" t="s">
        <v>1305</v>
      </c>
      <c r="V16" s="1002"/>
      <c r="W16" s="1002"/>
      <c r="X16" s="1002"/>
      <c r="Y16" s="1002"/>
      <c r="Z16" s="1002"/>
      <c r="AA16" s="1003"/>
    </row>
    <row r="17" spans="2:27" s="19" customFormat="1" ht="93" customHeight="1" thickBot="1" x14ac:dyDescent="0.25">
      <c r="B17" s="168">
        <f>[1]September_206!$B21</f>
        <v>46276</v>
      </c>
      <c r="C17" s="580" t="str">
        <f>[1]September_206!$D21</f>
        <v>MACKESON</v>
      </c>
      <c r="D17" s="27">
        <v>5600</v>
      </c>
      <c r="E17" s="28">
        <f>[2]Sept!$E21</f>
        <v>0.51666666666666672</v>
      </c>
      <c r="F17" s="29">
        <f>[1]September_206!$J21</f>
        <v>213</v>
      </c>
      <c r="G17" s="30">
        <f>[1]September_206!$G21</f>
        <v>3180</v>
      </c>
      <c r="H17" s="29">
        <f>[1]September_206!$K21</f>
        <v>209.88000000000002</v>
      </c>
      <c r="I17" s="31">
        <f>[1]September_206!$N21</f>
        <v>0</v>
      </c>
      <c r="J17" s="32">
        <f>[1]September_206!$Q21</f>
        <v>241.51898734177217</v>
      </c>
      <c r="K17" s="32">
        <f>[1]September_206!$F21</f>
        <v>427</v>
      </c>
      <c r="L17" s="999"/>
      <c r="M17" s="169">
        <f>[2]Sept!$G21</f>
        <v>0.88402777777777775</v>
      </c>
      <c r="N17" s="32">
        <f>[2]Sept!$AD21</f>
        <v>198</v>
      </c>
      <c r="O17" s="406">
        <f>[2]Sept!$I21</f>
        <v>15</v>
      </c>
      <c r="P17" s="32">
        <f>[1]September_206!$I21</f>
        <v>0</v>
      </c>
      <c r="Q17" s="33">
        <f>[1]September_206!$P21</f>
        <v>1.4647887323943549</v>
      </c>
      <c r="R17" s="1020"/>
      <c r="S17" s="651">
        <f t="shared" si="1"/>
        <v>0.63083069293291094</v>
      </c>
      <c r="T17" s="1021"/>
      <c r="U17" s="1002" t="s">
        <v>1306</v>
      </c>
      <c r="V17" s="1002"/>
      <c r="W17" s="1002"/>
      <c r="X17" s="1002"/>
      <c r="Y17" s="1002"/>
      <c r="Z17" s="1002"/>
      <c r="AA17" s="1003"/>
    </row>
    <row r="18" spans="2:27" s="19" customFormat="1" ht="86.25" customHeight="1" thickTop="1" thickBot="1" x14ac:dyDescent="0.25">
      <c r="B18" s="168">
        <f>[1]September_206!$B22</f>
        <v>46279</v>
      </c>
      <c r="C18" s="580" t="str">
        <f>[1]September_206!$D22</f>
        <v>MACKESON</v>
      </c>
      <c r="D18" s="27"/>
      <c r="E18" s="28">
        <f>[2]Sept!$E22</f>
        <v>1.0833333333333333</v>
      </c>
      <c r="F18" s="29">
        <f>[1]September_206!$J22</f>
        <v>167</v>
      </c>
      <c r="G18" s="30">
        <f>[1]September_206!$G22</f>
        <v>2454</v>
      </c>
      <c r="H18" s="29">
        <f>[1]September_206!$K22</f>
        <v>161.964</v>
      </c>
      <c r="I18" s="31">
        <f>[1]September_206!$N22</f>
        <v>19</v>
      </c>
      <c r="J18" s="32">
        <f>[1]September_206!$Q22</f>
        <v>106.69565217391305</v>
      </c>
      <c r="K18" s="32">
        <f>[1]September_206!$F22</f>
        <v>467</v>
      </c>
      <c r="L18" s="993">
        <f>[1]September_206!$E22</f>
        <v>1380</v>
      </c>
      <c r="M18" s="169">
        <f>[2]Sept!$G22</f>
        <v>0.46319444444444446</v>
      </c>
      <c r="N18" s="32">
        <f>[2]Sept!$AD22</f>
        <v>226</v>
      </c>
      <c r="O18" s="406">
        <f>[2]Sept!$I22</f>
        <v>0</v>
      </c>
      <c r="P18" s="32">
        <f>[1]September_206!$I22</f>
        <v>0</v>
      </c>
      <c r="Q18" s="33">
        <f>[1]September_206!$P22</f>
        <v>3.0155688622754502</v>
      </c>
      <c r="R18" s="995">
        <f>($G18+G19)/(($L18/60)*AC$3*(1/24))</f>
        <v>0.4630588235294118</v>
      </c>
      <c r="S18" s="651">
        <f t="shared" si="1"/>
        <v>0.44511399420581937</v>
      </c>
      <c r="T18" s="997">
        <f>(1510-((N18+N19)-[2]Sept!$J$22-[2]Sept!$I$23-[2]Sept!$Z$22-[2]Sept!$Z$23))/1510</f>
        <v>0.81589403973509933</v>
      </c>
      <c r="U18" s="1002" t="s">
        <v>1308</v>
      </c>
      <c r="V18" s="1002"/>
      <c r="W18" s="1002"/>
      <c r="X18" s="1002"/>
      <c r="Y18" s="1002"/>
      <c r="Z18" s="1002"/>
      <c r="AA18" s="1003"/>
    </row>
    <row r="19" spans="2:27" s="19" customFormat="1" ht="155.25" customHeight="1" thickBot="1" x14ac:dyDescent="0.25">
      <c r="B19" s="168">
        <f>[1]September_206!$B23</f>
        <v>46279</v>
      </c>
      <c r="C19" s="580" t="str">
        <f>[1]September_206!$D23</f>
        <v>STAG</v>
      </c>
      <c r="D19" s="27">
        <v>7000</v>
      </c>
      <c r="E19" s="28">
        <f>[2]Sept!$E23</f>
        <v>1.5</v>
      </c>
      <c r="F19" s="29">
        <f>[1]September_206!$J23</f>
        <v>337.90000000000003</v>
      </c>
      <c r="G19" s="30">
        <f>[1]September_206!$G23</f>
        <v>5090</v>
      </c>
      <c r="H19" s="29">
        <f>[1]September_206!$K23</f>
        <v>335.94</v>
      </c>
      <c r="I19" s="31">
        <f>[1]September_206!$N23</f>
        <v>8</v>
      </c>
      <c r="J19" s="32">
        <f>[1]September_206!$Q23</f>
        <v>221.30434782608697</v>
      </c>
      <c r="K19" s="32">
        <f>[1]September_206!$F23</f>
        <v>691</v>
      </c>
      <c r="L19" s="999"/>
      <c r="M19" s="169">
        <f>[2]Sept!$G23</f>
        <v>2.0486111111111112</v>
      </c>
      <c r="N19" s="32">
        <f>[2]Sept!$AD23</f>
        <v>242</v>
      </c>
      <c r="O19" s="406">
        <f>[2]Sept!$I23</f>
        <v>50</v>
      </c>
      <c r="P19" s="32">
        <f>[1]September_206!$I23</f>
        <v>0</v>
      </c>
      <c r="Q19" s="33">
        <f>[1]September_206!$P23</f>
        <v>0.58005327019829422</v>
      </c>
      <c r="R19" s="1020"/>
      <c r="S19" s="651">
        <f t="shared" si="1"/>
        <v>0.62395505235379245</v>
      </c>
      <c r="T19" s="1021"/>
      <c r="U19" s="1002" t="s">
        <v>1307</v>
      </c>
      <c r="V19" s="1002"/>
      <c r="W19" s="1002"/>
      <c r="X19" s="1002"/>
      <c r="Y19" s="1002"/>
      <c r="Z19" s="1002"/>
      <c r="AA19" s="1003"/>
    </row>
    <row r="20" spans="2:27" s="19" customFormat="1" ht="69.75" customHeight="1" thickTop="1" thickBot="1" x14ac:dyDescent="0.25">
      <c r="B20" s="168">
        <f>[1]September_206!$B24</f>
        <v>46280</v>
      </c>
      <c r="C20" s="580" t="str">
        <f>[1]September_206!$D24</f>
        <v>STAG</v>
      </c>
      <c r="D20" s="27"/>
      <c r="E20" s="28">
        <f>[2]Sept!$E24</f>
        <v>1.0069444444444444</v>
      </c>
      <c r="F20" s="29">
        <f>[1]September_206!$J24</f>
        <v>117.5</v>
      </c>
      <c r="G20" s="30">
        <f>[1]September_206!$G24</f>
        <v>1759</v>
      </c>
      <c r="H20" s="29">
        <f>[1]September_206!$K24</f>
        <v>116.09400000000001</v>
      </c>
      <c r="I20" s="31">
        <f>[1]September_206!$N24</f>
        <v>5</v>
      </c>
      <c r="J20" s="32">
        <f>[1]September_206!$Q24</f>
        <v>73.804195804195814</v>
      </c>
      <c r="K20" s="32">
        <f>[1]September_206!$F24</f>
        <v>221</v>
      </c>
      <c r="L20" s="993">
        <f>[1]September_206!$E24</f>
        <v>1430</v>
      </c>
      <c r="M20" s="169">
        <f>[2]Sept!$G24</f>
        <v>1.2430555555555556</v>
      </c>
      <c r="N20" s="32">
        <f>[2]Sept!$AD24</f>
        <v>86</v>
      </c>
      <c r="O20" s="406">
        <f>[2]Sept!$I24</f>
        <v>0</v>
      </c>
      <c r="P20" s="32">
        <f>[1]September_206!$I24</f>
        <v>0</v>
      </c>
      <c r="Q20" s="33">
        <f>[1]September_206!$P24</f>
        <v>1.196595744680844</v>
      </c>
      <c r="R20" s="995">
        <f>($G20+G21)/(($L20/60)*AC$3*(1/24))</f>
        <v>0.54111065405183056</v>
      </c>
      <c r="S20" s="651">
        <f t="shared" si="1"/>
        <v>0.67419749800372641</v>
      </c>
      <c r="T20" s="997">
        <f>(1540-((N20+N21)-[2]Sept!$J$24-[2]Sept!$J$25-[2]Sept!$Z$25-[2]Sept!$AB$25-[2]Sept!$Z$24))/1540</f>
        <v>0.84870129870129873</v>
      </c>
      <c r="U20" s="1002" t="s">
        <v>1309</v>
      </c>
      <c r="V20" s="1002"/>
      <c r="W20" s="1002"/>
      <c r="X20" s="1002"/>
      <c r="Y20" s="1002"/>
      <c r="Z20" s="1002"/>
      <c r="AA20" s="1003"/>
    </row>
    <row r="21" spans="2:27" s="19" customFormat="1" ht="207.75" customHeight="1" thickBot="1" x14ac:dyDescent="0.25">
      <c r="B21" s="168">
        <f>[1]September_206!$B25</f>
        <v>46280</v>
      </c>
      <c r="C21" s="580" t="str">
        <f>[1]September_206!$D25</f>
        <v xml:space="preserve">CARIB AMBER </v>
      </c>
      <c r="D21" s="27">
        <v>8400</v>
      </c>
      <c r="E21" s="28">
        <f>[2]Sept!$E25</f>
        <v>1.2152777777777777</v>
      </c>
      <c r="F21" s="29">
        <f>[1]September_206!$J25</f>
        <v>500.09999999999997</v>
      </c>
      <c r="G21" s="30">
        <f>[1]September_206!$G25</f>
        <v>7376</v>
      </c>
      <c r="H21" s="29">
        <f>[1]September_206!$K25</f>
        <v>486.81600000000003</v>
      </c>
      <c r="I21" s="31">
        <f>[1]September_206!$N25</f>
        <v>19</v>
      </c>
      <c r="J21" s="32">
        <f>[1]September_206!$Q25</f>
        <v>309.48251748251749</v>
      </c>
      <c r="K21" s="32">
        <f>[1]September_206!$F25</f>
        <v>1030</v>
      </c>
      <c r="L21" s="999"/>
      <c r="M21" s="169">
        <f>[2]Sept!$G25</f>
        <v>2.0694444444444446</v>
      </c>
      <c r="N21" s="32">
        <f>[2]Sept!$AD25</f>
        <v>301</v>
      </c>
      <c r="O21" s="406">
        <f>[2]Sept!$I25</f>
        <v>14</v>
      </c>
      <c r="P21" s="32">
        <f>[1]September_206!$I25</f>
        <v>0</v>
      </c>
      <c r="Q21" s="33">
        <f>[1]September_206!$P25</f>
        <v>2.6562687462507371</v>
      </c>
      <c r="R21" s="1020"/>
      <c r="S21" s="651">
        <f t="shared" si="1"/>
        <v>0.60659280411193595</v>
      </c>
      <c r="T21" s="1021"/>
      <c r="U21" s="1002" t="s">
        <v>1310</v>
      </c>
      <c r="V21" s="1002"/>
      <c r="W21" s="1002"/>
      <c r="X21" s="1002"/>
      <c r="Y21" s="1002"/>
      <c r="Z21" s="1002"/>
      <c r="AA21" s="1003"/>
    </row>
    <row r="22" spans="2:27" s="19" customFormat="1" ht="72.75" customHeight="1" thickTop="1" thickBot="1" x14ac:dyDescent="0.25">
      <c r="B22" s="168">
        <f>[1]September_206!$B26</f>
        <v>46281</v>
      </c>
      <c r="C22" s="580" t="str">
        <f>[1]September_206!$D26</f>
        <v>CARIB AMBER</v>
      </c>
      <c r="D22" s="27"/>
      <c r="E22" s="28">
        <f>[2]Sept!$E26</f>
        <v>1.0069444444444444</v>
      </c>
      <c r="F22" s="29">
        <f>[1]September_206!$J26</f>
        <v>207.60000000000002</v>
      </c>
      <c r="G22" s="30">
        <f>[1]September_206!$G26</f>
        <v>3098</v>
      </c>
      <c r="H22" s="29">
        <f>[1]September_206!$K26</f>
        <v>204.46800000000002</v>
      </c>
      <c r="I22" s="31">
        <f>[1]September_206!$N26</f>
        <v>7</v>
      </c>
      <c r="J22" s="32">
        <f>[1]September_206!$Q26</f>
        <v>129.986013986014</v>
      </c>
      <c r="K22" s="32">
        <f>[1]September_206!$F26</f>
        <v>394</v>
      </c>
      <c r="L22" s="993">
        <f>[1]September_206!$E26</f>
        <v>1430</v>
      </c>
      <c r="M22" s="169">
        <f>[2]Sept!$G26</f>
        <v>0.49166666666666664</v>
      </c>
      <c r="N22" s="32">
        <f>[2]Sept!$AD26</f>
        <v>159</v>
      </c>
      <c r="O22" s="406">
        <f>[2]Sept!$I26</f>
        <v>0</v>
      </c>
      <c r="P22" s="32">
        <f>[1]September_206!$I26</f>
        <v>530</v>
      </c>
      <c r="Q22" s="33">
        <f>[1]September_206!$P26</f>
        <v>1.5086705202312161</v>
      </c>
      <c r="R22" s="995">
        <f>($G22+G23)/(($L22/60)*AC$3*(1/24))</f>
        <v>0.21839901275195397</v>
      </c>
      <c r="S22" s="651">
        <f t="shared" si="1"/>
        <v>0.66603762317109594</v>
      </c>
      <c r="T22" s="997">
        <f>(1680-((N22+N23)-[2]Sept!$I$27-[2]Sept!$J$27-[2]Sept!$L$27-[2]Sept!$Z$26-[2]Sept!$Z$27-[2]Sept!$AB$26))/1680</f>
        <v>0.95357142857142863</v>
      </c>
      <c r="U22" s="1002" t="s">
        <v>1311</v>
      </c>
      <c r="V22" s="1002"/>
      <c r="W22" s="1002"/>
      <c r="X22" s="1002"/>
      <c r="Y22" s="1002"/>
      <c r="Z22" s="1002"/>
      <c r="AA22" s="1003"/>
    </row>
    <row r="23" spans="2:27" s="19" customFormat="1" ht="96" customHeight="1" thickBot="1" x14ac:dyDescent="0.25">
      <c r="B23" s="168">
        <f>[1]September_206!$B27</f>
        <v>46281</v>
      </c>
      <c r="C23" s="580" t="str">
        <f>[1]September_206!$D27</f>
        <v>PORNSTAR</v>
      </c>
      <c r="D23" s="27">
        <v>1400</v>
      </c>
      <c r="E23" s="28">
        <f>[2]Sept!$E27</f>
        <v>1.8993055555555556</v>
      </c>
      <c r="F23" s="29">
        <f>[1]September_206!$J27</f>
        <v>42.3</v>
      </c>
      <c r="G23" s="30">
        <f>[1]September_206!$G27</f>
        <v>589</v>
      </c>
      <c r="H23" s="29">
        <f>[1]September_206!$K27</f>
        <v>38.874000000000002</v>
      </c>
      <c r="I23" s="31">
        <f>[1]September_206!$N27</f>
        <v>16</v>
      </c>
      <c r="J23" s="32">
        <f>[1]September_206!$Q27</f>
        <v>24.713286713286713</v>
      </c>
      <c r="K23" s="32">
        <f>[1]September_206!$F27</f>
        <v>88</v>
      </c>
      <c r="L23" s="999"/>
      <c r="M23" s="169">
        <f>[2]Sept!$G27</f>
        <v>2.1666666666666665</v>
      </c>
      <c r="N23" s="32">
        <f>[2]Sept!$AD27</f>
        <v>901</v>
      </c>
      <c r="O23" s="406">
        <f>[2]Sept!$I27</f>
        <v>60</v>
      </c>
      <c r="P23" s="32">
        <f>[1]September_206!$I27</f>
        <v>0</v>
      </c>
      <c r="Q23" s="33">
        <f>[1]September_206!$P27</f>
        <v>8.0992907801418319</v>
      </c>
      <c r="R23" s="996"/>
      <c r="S23" s="651">
        <f t="shared" si="1"/>
        <v>0.56695187165775396</v>
      </c>
      <c r="T23" s="998"/>
      <c r="U23" s="1002" t="s">
        <v>1312</v>
      </c>
      <c r="V23" s="1002"/>
      <c r="W23" s="1002"/>
      <c r="X23" s="1002"/>
      <c r="Y23" s="1002"/>
      <c r="Z23" s="1002"/>
      <c r="AA23" s="1003"/>
    </row>
    <row r="24" spans="2:27" s="19" customFormat="1" ht="60" customHeight="1" thickTop="1" thickBot="1" x14ac:dyDescent="0.25">
      <c r="B24" s="168">
        <f>[1]September_206!$B28</f>
        <v>46282</v>
      </c>
      <c r="C24" s="580" t="str">
        <f>[1]September_206!$D28</f>
        <v>PORNSTAR</v>
      </c>
      <c r="D24" s="27"/>
      <c r="E24" s="28">
        <f>[2]Sept!$E28</f>
        <v>1</v>
      </c>
      <c r="F24" s="29">
        <f>[1]September_206!$J28</f>
        <v>45</v>
      </c>
      <c r="G24" s="30">
        <f>[1]September_206!$G28</f>
        <v>623</v>
      </c>
      <c r="H24" s="29">
        <f>[1]September_206!$K28</f>
        <v>41.118000000000002</v>
      </c>
      <c r="I24" s="31">
        <f>[1]September_206!$N28</f>
        <v>6</v>
      </c>
      <c r="J24" s="32">
        <f>[1]September_206!$Q28</f>
        <v>25.958333333333332</v>
      </c>
      <c r="K24" s="32">
        <f>[1]September_206!$F28</f>
        <v>248</v>
      </c>
      <c r="L24" s="993">
        <f>[1]September_206!$E28</f>
        <v>1440</v>
      </c>
      <c r="M24" s="169">
        <f>[2]Sept!$G28</f>
        <v>0</v>
      </c>
      <c r="N24" s="32">
        <f>[2]Sept!$AD28</f>
        <v>185</v>
      </c>
      <c r="O24" s="406">
        <f>[2]Sept!$I28</f>
        <v>0</v>
      </c>
      <c r="P24" s="32">
        <f>[1]September_206!$I28</f>
        <v>0</v>
      </c>
      <c r="Q24" s="33">
        <f>[1]September_206!$P28</f>
        <v>8.6266666666666616</v>
      </c>
      <c r="R24" s="995">
        <f>($G24+G25+G26)/(($L24/60)*AC$3*(1/24))</f>
        <v>0.2586470588235294</v>
      </c>
      <c r="S24" s="971">
        <f t="shared" si="1"/>
        <v>0.21278937381404173</v>
      </c>
      <c r="T24" s="995">
        <f>(1592-((N24+N25+N26)-[2]Sept!$AB$30-[2]Sept!$AB$29-[2]Sept!$Z$30-[2]Sept!$J$28-[2]Sept!$H$29-[2]Sept!$J$30))/1592</f>
        <v>0.56846733668341709</v>
      </c>
      <c r="U24" s="1002" t="s">
        <v>1315</v>
      </c>
      <c r="V24" s="1002"/>
      <c r="W24" s="1002"/>
      <c r="X24" s="1002"/>
      <c r="Y24" s="1002"/>
      <c r="Z24" s="1002"/>
      <c r="AA24" s="1003"/>
    </row>
    <row r="25" spans="2:27" s="19" customFormat="1" ht="103.5" customHeight="1" thickBot="1" x14ac:dyDescent="0.25">
      <c r="B25" s="168">
        <f>[1]September_206!$B29</f>
        <v>46282</v>
      </c>
      <c r="C25" s="580" t="str">
        <f>[1]September_206!$D29</f>
        <v>BELLINI</v>
      </c>
      <c r="D25" s="27">
        <v>1300</v>
      </c>
      <c r="E25" s="28">
        <f>[2]Sept!$E29</f>
        <v>1.1944444444444444</v>
      </c>
      <c r="F25" s="29">
        <f>[1]September_206!$J29</f>
        <v>82</v>
      </c>
      <c r="G25" s="30">
        <f>[1]September_206!$G29</f>
        <v>1134</v>
      </c>
      <c r="H25" s="29">
        <f>[1]September_206!$K29</f>
        <v>74.844000000000008</v>
      </c>
      <c r="I25" s="31">
        <f>[1]September_206!$N29</f>
        <v>13</v>
      </c>
      <c r="J25" s="32">
        <f>[1]September_206!$Q29</f>
        <v>47.25</v>
      </c>
      <c r="K25" s="32">
        <f>[1]September_206!$F29</f>
        <v>459</v>
      </c>
      <c r="L25" s="1016"/>
      <c r="M25" s="169">
        <f>[2]Sept!$G29</f>
        <v>0.60555555555555551</v>
      </c>
      <c r="N25" s="32">
        <f>[2]Sept!$AD29</f>
        <v>251</v>
      </c>
      <c r="O25" s="406">
        <f>[2]Sept!$I29</f>
        <v>24</v>
      </c>
      <c r="P25" s="32">
        <f>[1]September_206!$I29</f>
        <v>0</v>
      </c>
      <c r="Q25" s="33">
        <f>[1]September_206!$P29</f>
        <v>8.726829268292672</v>
      </c>
      <c r="R25" s="996"/>
      <c r="S25" s="971">
        <f t="shared" si="1"/>
        <v>0.20927335640138409</v>
      </c>
      <c r="T25" s="996"/>
      <c r="U25" s="1002" t="s">
        <v>1314</v>
      </c>
      <c r="V25" s="1002"/>
      <c r="W25" s="1002"/>
      <c r="X25" s="1002"/>
      <c r="Y25" s="1002"/>
      <c r="Z25" s="1002"/>
      <c r="AA25" s="1003"/>
    </row>
    <row r="26" spans="2:27" s="19" customFormat="1" ht="126" customHeight="1" thickBot="1" x14ac:dyDescent="0.25">
      <c r="B26" s="168">
        <f>[1]September_206!$B30</f>
        <v>46282</v>
      </c>
      <c r="C26" s="580" t="str">
        <f>[1]September_206!$D30</f>
        <v>ROYALE</v>
      </c>
      <c r="D26" s="27">
        <v>2600</v>
      </c>
      <c r="E26" s="28">
        <f>[2]Sept!$E30</f>
        <v>1.5305555555555554</v>
      </c>
      <c r="F26" s="29">
        <f>[1]September_206!$J30</f>
        <v>183.2</v>
      </c>
      <c r="G26" s="30">
        <f>[1]September_206!$G30</f>
        <v>2640</v>
      </c>
      <c r="H26" s="29">
        <f>[1]September_206!$K30</f>
        <v>174.24</v>
      </c>
      <c r="I26" s="31">
        <f>[1]September_206!$N30</f>
        <v>14</v>
      </c>
      <c r="J26" s="32">
        <f>[1]September_206!$Q30</f>
        <v>110</v>
      </c>
      <c r="K26" s="32">
        <f>[1]September_206!$F30</f>
        <v>544</v>
      </c>
      <c r="L26" s="994"/>
      <c r="M26" s="169">
        <f>[2]Sept!$G30</f>
        <v>2.1055555555555556</v>
      </c>
      <c r="N26" s="32">
        <f>[2]Sept!$AD30</f>
        <v>339</v>
      </c>
      <c r="O26" s="406">
        <f>[2]Sept!$I30</f>
        <v>36</v>
      </c>
      <c r="P26" s="32">
        <f>[1]September_206!$I30</f>
        <v>6</v>
      </c>
      <c r="Q26" s="33">
        <f>[1]September_206!$P30</f>
        <v>4.8908296943231333</v>
      </c>
      <c r="R26" s="1020"/>
      <c r="S26" s="971">
        <f t="shared" si="1"/>
        <v>0.41107266435986156</v>
      </c>
      <c r="T26" s="1020"/>
      <c r="U26" s="1002" t="s">
        <v>1313</v>
      </c>
      <c r="V26" s="1002"/>
      <c r="W26" s="1002"/>
      <c r="X26" s="1002"/>
      <c r="Y26" s="1002"/>
      <c r="Z26" s="1002"/>
      <c r="AA26" s="1003"/>
    </row>
    <row r="27" spans="2:27" s="19" customFormat="1" ht="133.5" customHeight="1" thickTop="1" thickBot="1" x14ac:dyDescent="0.25">
      <c r="B27" s="168">
        <f>[1]September_206!$B31</f>
        <v>46283</v>
      </c>
      <c r="C27" s="580" t="str">
        <f>[1]September_206!$D31</f>
        <v xml:space="preserve">CARIB AMBER </v>
      </c>
      <c r="D27" s="27"/>
      <c r="E27" s="28">
        <f>[2]Sept!$E31</f>
        <v>1.1319444444444444</v>
      </c>
      <c r="F27" s="29">
        <f>[1]September_206!$J31</f>
        <v>349.2</v>
      </c>
      <c r="G27" s="30">
        <f>[1]September_206!$G31</f>
        <v>5195</v>
      </c>
      <c r="H27" s="29">
        <f>[1]September_206!$K31</f>
        <v>342.87</v>
      </c>
      <c r="I27" s="31">
        <f>[1]September_206!$N31</f>
        <v>5</v>
      </c>
      <c r="J27" s="32">
        <f>[1]September_206!$Q31</f>
        <v>247.38095238095238</v>
      </c>
      <c r="K27" s="32">
        <f>[1]September_206!$F31</f>
        <v>629</v>
      </c>
      <c r="L27" s="993">
        <f>[1]September_206!$E31</f>
        <v>1260</v>
      </c>
      <c r="M27" s="169">
        <f>[2]Sept!$G31</f>
        <v>1.7048611111111112</v>
      </c>
      <c r="N27" s="32">
        <f>[2]Sept!$AD31</f>
        <v>345</v>
      </c>
      <c r="O27" s="406">
        <f>[2]Sept!$I31</f>
        <v>0</v>
      </c>
      <c r="P27" s="32">
        <f>[1]September_206!$I31</f>
        <v>0</v>
      </c>
      <c r="Q27" s="33">
        <f>[1]September_206!$P31</f>
        <v>1.812714776632298</v>
      </c>
      <c r="R27" s="995">
        <f>($G27+G28+G29+G30+G31)/(($L27/60)*AC$3*(1/24))</f>
        <v>0.44900840336134451</v>
      </c>
      <c r="S27" s="971">
        <f t="shared" si="1"/>
        <v>0.69959786776395771</v>
      </c>
      <c r="T27" s="995">
        <f>(1280-((N27+N28+N29)-[2]Sept!$Z$31-[2]Sept!$AB$31-[2]Sept!$J$31-[2]Sept!$L$31))/1280</f>
        <v>0.8</v>
      </c>
      <c r="U27" s="1002" t="s">
        <v>1318</v>
      </c>
      <c r="V27" s="1002"/>
      <c r="W27" s="1002"/>
      <c r="X27" s="1002"/>
      <c r="Y27" s="1002"/>
      <c r="Z27" s="1002"/>
      <c r="AA27" s="1003"/>
    </row>
    <row r="28" spans="2:27" s="19" customFormat="1" ht="45" customHeight="1" x14ac:dyDescent="0.2">
      <c r="B28" s="168">
        <f>[1]September_206!$B32</f>
        <v>46283</v>
      </c>
      <c r="C28" s="580" t="str">
        <f>[1]September_206!$D32</f>
        <v>SHANDY LIME EXPORT</v>
      </c>
      <c r="D28" s="27">
        <v>350</v>
      </c>
      <c r="E28" s="28">
        <f>[2]Sept!$E32</f>
        <v>1.6666666666666667</v>
      </c>
      <c r="F28" s="29">
        <f>[1]September_206!$J32</f>
        <v>52.6</v>
      </c>
      <c r="G28" s="30">
        <f>[1]September_206!$G32</f>
        <v>368</v>
      </c>
      <c r="H28" s="989">
        <f>[1]September_206!$K32</f>
        <v>49.764000000000003</v>
      </c>
      <c r="I28" s="31">
        <f>[1]September_206!$N32</f>
        <v>8</v>
      </c>
      <c r="J28" s="32">
        <f>[1]September_206!$Q32</f>
        <v>17.523809523809526</v>
      </c>
      <c r="K28" s="991">
        <f>[1]September_206!$F32</f>
        <v>106</v>
      </c>
      <c r="L28" s="1016"/>
      <c r="M28" s="1017">
        <f>[2]Sept!$G32</f>
        <v>1.8125</v>
      </c>
      <c r="N28" s="991">
        <f>[2]Sept!$AD32</f>
        <v>32</v>
      </c>
      <c r="O28" s="1008">
        <f>[2]Sept!$I32</f>
        <v>20</v>
      </c>
      <c r="P28" s="32">
        <f>[1]September_206!$I32</f>
        <v>0</v>
      </c>
      <c r="Q28" s="1000">
        <f>[1]September_206!$P32</f>
        <v>5.3916349809885906</v>
      </c>
      <c r="R28" s="996"/>
      <c r="S28" s="1006">
        <f>($G28+G29)*24/(($K28)/60)/$AC$3</f>
        <v>0.60253052164261933</v>
      </c>
      <c r="T28" s="996"/>
      <c r="U28" s="1029" t="s">
        <v>1316</v>
      </c>
      <c r="V28" s="1030"/>
      <c r="W28" s="1030"/>
      <c r="X28" s="1030"/>
      <c r="Y28" s="1030"/>
      <c r="Z28" s="1030"/>
      <c r="AA28" s="1031"/>
    </row>
    <row r="29" spans="2:27" s="19" customFormat="1" ht="33.75" customHeight="1" thickBot="1" x14ac:dyDescent="0.25">
      <c r="B29" s="168">
        <f>[1]September_206!$B33</f>
        <v>46283</v>
      </c>
      <c r="C29" s="580" t="str">
        <f>[1]September_206!$D33</f>
        <v>SHANDY LIME LOCAL</v>
      </c>
      <c r="D29" s="27">
        <v>350</v>
      </c>
      <c r="E29" s="28"/>
      <c r="F29" s="29">
        <f>[1]September_206!$J33</f>
        <v>0</v>
      </c>
      <c r="G29" s="30">
        <f>[1]September_206!$G33</f>
        <v>386</v>
      </c>
      <c r="H29" s="990"/>
      <c r="I29" s="31">
        <f>[1]September_206!$N33</f>
        <v>0</v>
      </c>
      <c r="J29" s="32">
        <f>[1]September_206!$Q33</f>
        <v>18.38095238095238</v>
      </c>
      <c r="K29" s="992"/>
      <c r="L29" s="1016"/>
      <c r="M29" s="1018"/>
      <c r="N29" s="992"/>
      <c r="O29" s="1009"/>
      <c r="P29" s="32">
        <f>[1]September_206!$I33</f>
        <v>0</v>
      </c>
      <c r="Q29" s="1001"/>
      <c r="R29" s="996"/>
      <c r="S29" s="1007"/>
      <c r="T29" s="996"/>
      <c r="U29" s="1032"/>
      <c r="V29" s="1033"/>
      <c r="W29" s="1033"/>
      <c r="X29" s="1033"/>
      <c r="Y29" s="1033"/>
      <c r="Z29" s="1033"/>
      <c r="AA29" s="1034"/>
    </row>
    <row r="30" spans="2:27" s="19" customFormat="1" ht="35.25" customHeight="1" x14ac:dyDescent="0.2">
      <c r="B30" s="168">
        <f>[1]September_206!$B34</f>
        <v>46283</v>
      </c>
      <c r="C30" s="580" t="str">
        <f>[1]September_206!$D34</f>
        <v>SHANDY GINGER EXPORT</v>
      </c>
      <c r="D30" s="27">
        <v>440</v>
      </c>
      <c r="E30" s="28">
        <f>[2]Sept!$E33</f>
        <v>1.7527777777777778</v>
      </c>
      <c r="F30" s="29">
        <f>[1]September_206!$J34</f>
        <v>50</v>
      </c>
      <c r="G30" s="30">
        <f>[1]September_206!$G34</f>
        <v>369</v>
      </c>
      <c r="H30" s="989">
        <f>[1]September_206!$K34</f>
        <v>48.18</v>
      </c>
      <c r="I30" s="31">
        <f>[1]September_206!$N34</f>
        <v>10</v>
      </c>
      <c r="J30" s="32">
        <f>[1]September_206!$Q34</f>
        <v>17.571428571428573</v>
      </c>
      <c r="K30" s="991">
        <f>[1]September_206!$F34</f>
        <v>101</v>
      </c>
      <c r="L30" s="1016"/>
      <c r="M30" s="1017">
        <f>[2]Sept!$G33</f>
        <v>1.8888888888888888</v>
      </c>
      <c r="N30" s="991">
        <f>[2]Sept!$AD33</f>
        <v>26</v>
      </c>
      <c r="O30" s="1008">
        <f>[2]Sept!$I33</f>
        <v>18</v>
      </c>
      <c r="P30" s="32">
        <f>[1]September_206!$I34</f>
        <v>0</v>
      </c>
      <c r="Q30" s="1000">
        <f>[1]September_206!$P34</f>
        <v>3.640000000000001</v>
      </c>
      <c r="R30" s="996"/>
      <c r="S30" s="1006">
        <f>($G30+G31)*24/(($K30)/60)/$AC$3</f>
        <v>0.61223063482818874</v>
      </c>
      <c r="T30" s="996"/>
      <c r="U30" s="1029" t="s">
        <v>1317</v>
      </c>
      <c r="V30" s="1030"/>
      <c r="W30" s="1030"/>
      <c r="X30" s="1030"/>
      <c r="Y30" s="1030"/>
      <c r="Z30" s="1030"/>
      <c r="AA30" s="1031"/>
    </row>
    <row r="31" spans="2:27" s="19" customFormat="1" ht="39" customHeight="1" thickBot="1" x14ac:dyDescent="0.25">
      <c r="B31" s="168">
        <f>[1]September_206!$B35</f>
        <v>46283</v>
      </c>
      <c r="C31" s="580" t="str">
        <f>[1]September_206!$D35</f>
        <v>SHANDY GINGER LOCAL</v>
      </c>
      <c r="D31" s="27">
        <v>260</v>
      </c>
      <c r="E31" s="28">
        <f>[2]Sept!$E35</f>
        <v>0.56111111111111112</v>
      </c>
      <c r="F31" s="29">
        <f>[1]September_206!$J35</f>
        <v>0</v>
      </c>
      <c r="G31" s="30">
        <f>[1]September_206!$G35</f>
        <v>361</v>
      </c>
      <c r="H31" s="990"/>
      <c r="I31" s="31">
        <f>[1]September_206!$N35</f>
        <v>0</v>
      </c>
      <c r="J31" s="32">
        <f>[1]September_206!$Q35</f>
        <v>17.19047619047619</v>
      </c>
      <c r="K31" s="992"/>
      <c r="L31" s="994"/>
      <c r="M31" s="1018"/>
      <c r="N31" s="992"/>
      <c r="O31" s="1009"/>
      <c r="P31" s="32">
        <f>[1]September_206!$I35</f>
        <v>0</v>
      </c>
      <c r="Q31" s="1001"/>
      <c r="R31" s="996"/>
      <c r="S31" s="1007"/>
      <c r="T31" s="996"/>
      <c r="U31" s="1032"/>
      <c r="V31" s="1033"/>
      <c r="W31" s="1033"/>
      <c r="X31" s="1033"/>
      <c r="Y31" s="1033"/>
      <c r="Z31" s="1033"/>
      <c r="AA31" s="1034"/>
    </row>
    <row r="32" spans="2:27" s="19" customFormat="1" ht="78" customHeight="1" thickTop="1" thickBot="1" x14ac:dyDescent="0.25">
      <c r="B32" s="168">
        <f>[1]September_206!$B36</f>
        <v>46286</v>
      </c>
      <c r="C32" s="580" t="str">
        <f>[1]September_206!$D36</f>
        <v>SHANDY SORREL EXPORT</v>
      </c>
      <c r="D32" s="27">
        <v>2420</v>
      </c>
      <c r="E32" s="28">
        <f>[2]Sept!$E34</f>
        <v>0.41666666666666669</v>
      </c>
      <c r="F32" s="989">
        <f>[1]September_206!$J36</f>
        <v>186</v>
      </c>
      <c r="G32" s="30">
        <f>[1]September_206!$G36</f>
        <v>381</v>
      </c>
      <c r="H32" s="989">
        <f>[1]September_206!$K36</f>
        <v>179.916</v>
      </c>
      <c r="I32" s="1004">
        <f>[1]September_206!$N36</f>
        <v>29</v>
      </c>
      <c r="J32" s="32">
        <f>[1]September_206!$Q36</f>
        <v>25.12087912087912</v>
      </c>
      <c r="K32" s="285">
        <f>[1]September_206!$F36</f>
        <v>111</v>
      </c>
      <c r="L32" s="993">
        <f>[1]September_206!$E36</f>
        <v>910</v>
      </c>
      <c r="M32" s="1017">
        <f>[2]Sept!$G35</f>
        <v>0.79861111111111116</v>
      </c>
      <c r="N32" s="285">
        <f>[2]Sept!$AD34</f>
        <v>196</v>
      </c>
      <c r="O32" s="406"/>
      <c r="P32" s="32">
        <f>[1]September_206!$I36</f>
        <v>0</v>
      </c>
      <c r="Q32" s="1000">
        <f>[1]September_206!$P36</f>
        <v>3.2709677419354857</v>
      </c>
      <c r="R32" s="995">
        <f>($G32+G33)/(($L32/60)*AC$3*(1/24))</f>
        <v>0.25374531351001939</v>
      </c>
      <c r="S32" s="971">
        <f t="shared" ref="S32" si="2">($G32)*24/(($K32)/60)/$AC$3</f>
        <v>0.29074721780604135</v>
      </c>
      <c r="T32" s="997">
        <f>(730-((N32+N33)-[2]Sept!$AB$34-[2]Sept!$AB$35-[2]Sept!$J$35-[2]Sept!$H$34))/730</f>
        <v>0.67671232876712328</v>
      </c>
      <c r="U32" s="1002" t="s">
        <v>1320</v>
      </c>
      <c r="V32" s="1002"/>
      <c r="W32" s="1002"/>
      <c r="X32" s="1002"/>
      <c r="Y32" s="1002"/>
      <c r="Z32" s="1002"/>
      <c r="AA32" s="1003"/>
    </row>
    <row r="33" spans="2:27" s="19" customFormat="1" ht="60.75" customHeight="1" thickBot="1" x14ac:dyDescent="0.25">
      <c r="B33" s="168">
        <f>[1]September_206!$B37</f>
        <v>46286</v>
      </c>
      <c r="C33" s="580" t="str">
        <f>[1]September_206!$D37</f>
        <v xml:space="preserve">SHANDY SORREL LOCAL </v>
      </c>
      <c r="D33" s="27">
        <v>380</v>
      </c>
      <c r="E33" s="28">
        <f>[2]Sept!$E35</f>
        <v>0.56111111111111112</v>
      </c>
      <c r="F33" s="990"/>
      <c r="G33" s="30">
        <f>[1]September_206!$G37</f>
        <v>2345</v>
      </c>
      <c r="H33" s="990"/>
      <c r="I33" s="1005"/>
      <c r="J33" s="32">
        <f>[1]September_206!$Q37</f>
        <v>154.61538461538461</v>
      </c>
      <c r="K33" s="285">
        <f>[1]September_206!$F37</f>
        <v>331</v>
      </c>
      <c r="L33" s="999"/>
      <c r="M33" s="1018"/>
      <c r="N33" s="285">
        <f>[2]Sept!$AD35</f>
        <v>71</v>
      </c>
      <c r="O33" s="406">
        <f>[2]Sept!$I35</f>
        <v>16</v>
      </c>
      <c r="P33" s="32">
        <f>[1]September_206!$I37</f>
        <v>0</v>
      </c>
      <c r="Q33" s="1001"/>
      <c r="R33" s="996"/>
      <c r="S33" s="971">
        <f>($G33)*24/(($K33)/60)/$AC$3</f>
        <v>0.60010662875422072</v>
      </c>
      <c r="T33" s="998"/>
      <c r="U33" s="1002" t="s">
        <v>1319</v>
      </c>
      <c r="V33" s="1002"/>
      <c r="W33" s="1002"/>
      <c r="X33" s="1002"/>
      <c r="Y33" s="1002"/>
      <c r="Z33" s="1002"/>
      <c r="AA33" s="1003"/>
    </row>
    <row r="34" spans="2:27" s="19" customFormat="1" ht="84.75" customHeight="1" thickTop="1" thickBot="1" x14ac:dyDescent="0.25">
      <c r="B34" s="168">
        <f>[1]September_206!$B38</f>
        <v>46287</v>
      </c>
      <c r="C34" s="580" t="str">
        <f>[1]September_206!$D38</f>
        <v>STAG</v>
      </c>
      <c r="D34" s="27">
        <v>1400</v>
      </c>
      <c r="E34" s="28">
        <f>[2]Sept!$E36</f>
        <v>0.34027777777777779</v>
      </c>
      <c r="F34" s="29">
        <f>[1]September_206!$J38</f>
        <v>372.90000000000003</v>
      </c>
      <c r="G34" s="30">
        <f>[1]September_206!$G38</f>
        <v>5538</v>
      </c>
      <c r="H34" s="29">
        <f>[1]September_206!$K38</f>
        <v>365.50800000000004</v>
      </c>
      <c r="I34" s="31">
        <f>[1]September_206!$N38</f>
        <v>3</v>
      </c>
      <c r="J34" s="32">
        <f>[1]September_206!$Q38</f>
        <v>365.14285714285717</v>
      </c>
      <c r="K34" s="285">
        <f>[1]September_206!$F38</f>
        <v>732</v>
      </c>
      <c r="L34" s="938">
        <f>[1]September_206!$E38</f>
        <v>910</v>
      </c>
      <c r="M34" s="169">
        <f>[2]Sept!$G36</f>
        <v>0.95208333333333328</v>
      </c>
      <c r="N34" s="285">
        <f>[2]Sept!$AD36</f>
        <v>158</v>
      </c>
      <c r="O34" s="406">
        <f>[2]Sept!$I36</f>
        <v>0</v>
      </c>
      <c r="P34" s="32"/>
      <c r="Q34" s="988">
        <f>[1]September_206!$P38</f>
        <v>1.9823008849557511</v>
      </c>
      <c r="R34" s="862">
        <f>($G34)/(($L34/60)*AC$3*(1/24))</f>
        <v>0.51549579831932779</v>
      </c>
      <c r="S34" s="651">
        <f>($G34)*24/(($K34)/60)/$AC$3</f>
        <v>0.64084860173577629</v>
      </c>
      <c r="T34" s="866">
        <f>(951-((N34)-[2]Sept!$Z$36-[2]Sept!$J$36-[2]Sept!$H$36-[2]Sept!$AB$36))/951</f>
        <v>0.90536277602523663</v>
      </c>
      <c r="U34" s="1002" t="s">
        <v>1321</v>
      </c>
      <c r="V34" s="1002"/>
      <c r="W34" s="1002"/>
      <c r="X34" s="1002"/>
      <c r="Y34" s="1002"/>
      <c r="Z34" s="1002"/>
      <c r="AA34" s="1003"/>
    </row>
    <row r="35" spans="2:27" s="19" customFormat="1" ht="42" customHeight="1" thickTop="1" thickBot="1" x14ac:dyDescent="0.25">
      <c r="B35" s="168">
        <f>[1]September_206!$B39</f>
        <v>46288</v>
      </c>
      <c r="C35" s="580" t="str">
        <f>[1]September_206!$D39</f>
        <v>STAG</v>
      </c>
      <c r="D35" s="27"/>
      <c r="E35" s="28">
        <f>[2]Sept!$E37</f>
        <v>0.33333333333333331</v>
      </c>
      <c r="F35" s="29">
        <f>[1]September_206!$J39</f>
        <v>109</v>
      </c>
      <c r="G35" s="30">
        <f>[1]September_206!$G39</f>
        <v>1605</v>
      </c>
      <c r="H35" s="29">
        <f>[1]September_206!$K39</f>
        <v>105.93</v>
      </c>
      <c r="I35" s="31">
        <f>[1]September_206!$N39</f>
        <v>4</v>
      </c>
      <c r="J35" s="32">
        <f>[1]September_206!$Q39</f>
        <v>105.82417582417582</v>
      </c>
      <c r="K35" s="285">
        <f>[1]September_206!$F39</f>
        <v>218</v>
      </c>
      <c r="L35" s="993">
        <f>[1]September_206!$E39</f>
        <v>910</v>
      </c>
      <c r="M35" s="169">
        <f>[2]Sept!$G37</f>
        <v>1.5486111111111112</v>
      </c>
      <c r="N35" s="285">
        <f>[2]Sept!$AD37</f>
        <v>34</v>
      </c>
      <c r="O35" s="406">
        <f>[2]Sept!$I37</f>
        <v>0</v>
      </c>
      <c r="P35" s="32"/>
      <c r="Q35" s="988">
        <f>[1]September_206!$P39</f>
        <v>2.8165137614678835</v>
      </c>
      <c r="R35" s="995">
        <f>($G35+G36)/(($L35/60)*AC$3*(1/24))</f>
        <v>0.39513897866839048</v>
      </c>
      <c r="S35" s="651">
        <f t="shared" ref="S35:S36" si="3">($G35)*24/(($K35)/60)/$AC$3</f>
        <v>0.62363734484619537</v>
      </c>
      <c r="T35" s="997">
        <f>(955-((N35+N36)-[2]Sept!$J$38-[2]Sept!$AB$38-[2]Sept!$AB$37-[2]Sept!$Z$37-[2]Sept!$Z$38))/955</f>
        <v>0.79476439790575915</v>
      </c>
      <c r="U35" s="1002" t="s">
        <v>1322</v>
      </c>
      <c r="V35" s="1002"/>
      <c r="W35" s="1002"/>
      <c r="X35" s="1002"/>
      <c r="Y35" s="1002"/>
      <c r="Z35" s="1002"/>
      <c r="AA35" s="1003"/>
    </row>
    <row r="36" spans="2:27" s="19" customFormat="1" ht="92.25" customHeight="1" thickBot="1" x14ac:dyDescent="0.25">
      <c r="B36" s="168">
        <f>[1]September_206!$B40</f>
        <v>46288</v>
      </c>
      <c r="C36" s="580" t="str">
        <f>[1]September_206!$D40</f>
        <v>CARIB FLINT EXPORT</v>
      </c>
      <c r="D36" s="27">
        <v>5600</v>
      </c>
      <c r="E36" s="28">
        <f>[2]Sept!$E38</f>
        <v>0.51388888888888884</v>
      </c>
      <c r="F36" s="29">
        <f>[1]September_206!$J40</f>
        <v>174.6</v>
      </c>
      <c r="G36" s="30">
        <f>[1]September_206!$G40</f>
        <v>2640</v>
      </c>
      <c r="H36" s="29">
        <f>[1]September_206!$K40</f>
        <v>174.24</v>
      </c>
      <c r="I36" s="31">
        <f>[1]September_206!$N40</f>
        <v>0</v>
      </c>
      <c r="J36" s="32">
        <f>[1]September_206!$Q40</f>
        <v>174.06593406593407</v>
      </c>
      <c r="K36" s="285">
        <f>[1]September_206!$F40</f>
        <v>487</v>
      </c>
      <c r="L36" s="994"/>
      <c r="M36" s="169">
        <f>[2]Sept!$G38</f>
        <v>0.95486111111111116</v>
      </c>
      <c r="N36" s="285">
        <f>[2]Sept!$AD38</f>
        <v>232</v>
      </c>
      <c r="O36" s="406">
        <f>[2]Sept!$I38</f>
        <v>31</v>
      </c>
      <c r="P36" s="32"/>
      <c r="Q36" s="988">
        <f>[1]September_206!$P40</f>
        <v>0.20618556701030083</v>
      </c>
      <c r="R36" s="996"/>
      <c r="S36" s="651">
        <f t="shared" si="3"/>
        <v>0.4591858920159439</v>
      </c>
      <c r="T36" s="998"/>
      <c r="U36" s="1002" t="s">
        <v>1323</v>
      </c>
      <c r="V36" s="1002"/>
      <c r="W36" s="1002"/>
      <c r="X36" s="1002"/>
      <c r="Y36" s="1002"/>
      <c r="Z36" s="1002"/>
      <c r="AA36" s="1003"/>
    </row>
    <row r="37" spans="2:27" s="19" customFormat="1" ht="87" customHeight="1" thickTop="1" thickBot="1" x14ac:dyDescent="0.25">
      <c r="B37" s="168">
        <f>[1]September_206!$B41</f>
        <v>46289</v>
      </c>
      <c r="C37" s="580" t="str">
        <f>[1]September_206!$D41</f>
        <v>CARIB FLINT EXPORT</v>
      </c>
      <c r="D37" s="27">
        <v>4200</v>
      </c>
      <c r="E37" s="28">
        <f>[2]Sept!$E39</f>
        <v>0.36805555555555558</v>
      </c>
      <c r="F37" s="29">
        <f>[1]September_206!$J41</f>
        <v>356</v>
      </c>
      <c r="G37" s="30">
        <f>[1]September_206!$G41</f>
        <v>5378</v>
      </c>
      <c r="H37" s="29">
        <f>[1]September_206!$K41</f>
        <v>354.94800000000004</v>
      </c>
      <c r="I37" s="31">
        <f>[1]September_206!$N41</f>
        <v>19</v>
      </c>
      <c r="J37" s="32">
        <f>[1]September_206!$Q41</f>
        <v>354.5934065934066</v>
      </c>
      <c r="K37" s="285">
        <f>[1]September_206!$F41</f>
        <v>723</v>
      </c>
      <c r="L37" s="938">
        <f>[1]September_206!$E41</f>
        <v>910</v>
      </c>
      <c r="M37" s="169">
        <f>[2]Sept!$G39</f>
        <v>0.95902777777777781</v>
      </c>
      <c r="N37" s="285">
        <f>[2]Sept!$AD39</f>
        <v>206</v>
      </c>
      <c r="O37" s="406">
        <f>[2]Sept!$I39</f>
        <v>0</v>
      </c>
      <c r="P37" s="32"/>
      <c r="Q37" s="988">
        <f>[1]September_206!$P41</f>
        <v>0.29550561797751801</v>
      </c>
      <c r="R37" s="862">
        <f>($G37)/(($L37/60)*AC$3*(1/24))</f>
        <v>0.50060245636716227</v>
      </c>
      <c r="S37" s="651">
        <f>($G37)*24/(($K37)/60)/$AC$3</f>
        <v>0.63008054674151814</v>
      </c>
      <c r="T37" s="866">
        <f>(961-((N37)-[2]Sept!$AB$39-[2]Sept!$Z$39-[2]Sept!$J$39))/961</f>
        <v>0.81581685744016652</v>
      </c>
      <c r="U37" s="1002" t="s">
        <v>1324</v>
      </c>
      <c r="V37" s="1002"/>
      <c r="W37" s="1002"/>
      <c r="X37" s="1002"/>
      <c r="Y37" s="1002"/>
      <c r="Z37" s="1002"/>
      <c r="AA37" s="1003"/>
    </row>
    <row r="38" spans="2:27" s="19" customFormat="1" ht="99" customHeight="1" thickTop="1" thickBot="1" x14ac:dyDescent="0.25">
      <c r="B38" s="168">
        <f>[1]September_206!$B42</f>
        <v>46290</v>
      </c>
      <c r="C38" s="580" t="str">
        <f>[1]September_206!$D42</f>
        <v>CARIB FLINT EXPORT</v>
      </c>
      <c r="D38" s="27"/>
      <c r="E38" s="28">
        <f>[2]Sept!$E40</f>
        <v>0.33680555555555558</v>
      </c>
      <c r="F38" s="29">
        <f>[1]September_206!$J42</f>
        <v>233.5</v>
      </c>
      <c r="G38" s="30">
        <f>[1]September_206!$G42</f>
        <v>3524</v>
      </c>
      <c r="H38" s="29">
        <f>[1]September_206!$K42</f>
        <v>232.584</v>
      </c>
      <c r="I38" s="31">
        <f>[1]September_206!$N42</f>
        <v>1</v>
      </c>
      <c r="J38" s="32">
        <f>[1]September_206!$Q42</f>
        <v>300.76813655761026</v>
      </c>
      <c r="K38" s="285">
        <f>[1]September_206!$F42</f>
        <v>474</v>
      </c>
      <c r="L38" s="993">
        <f>[1]September_206!$E42</f>
        <v>703</v>
      </c>
      <c r="M38" s="169">
        <f>[2]Sept!$G40</f>
        <v>0</v>
      </c>
      <c r="N38" s="285">
        <f>[2]Sept!$AD40</f>
        <v>127</v>
      </c>
      <c r="O38" s="406">
        <f>[2]Sept!$I40</f>
        <v>0</v>
      </c>
      <c r="P38" s="32"/>
      <c r="Q38" s="988">
        <f>[1]September_206!$P42</f>
        <v>0.39229122055674376</v>
      </c>
      <c r="R38" s="995">
        <f>($G38+G39)/(($L38/60)*AC$3*(1/24))</f>
        <v>0.48016065601204927</v>
      </c>
      <c r="S38" s="651">
        <f>($G38)*24/(($K38)/60)/$AC$3</f>
        <v>0.62975428145941925</v>
      </c>
      <c r="T38" s="997">
        <f>(798-((N38+N39)-[2]Sept!$AB$40-[2]Sept!$Z$40))/798</f>
        <v>0.77568922305764409</v>
      </c>
      <c r="U38" s="1002" t="s">
        <v>1326</v>
      </c>
      <c r="V38" s="1002"/>
      <c r="W38" s="1002"/>
      <c r="X38" s="1002"/>
      <c r="Y38" s="1002"/>
      <c r="Z38" s="1002"/>
      <c r="AA38" s="1003"/>
    </row>
    <row r="39" spans="2:27" s="19" customFormat="1" ht="75" customHeight="1" thickBot="1" x14ac:dyDescent="0.25">
      <c r="B39" s="168">
        <f>[1]September_206!$B43</f>
        <v>46290</v>
      </c>
      <c r="C39" s="580" t="str">
        <f>[1]September_206!$D43</f>
        <v>GUINNESS</v>
      </c>
      <c r="D39" s="27">
        <v>5600</v>
      </c>
      <c r="E39" s="28">
        <f>[2]Sept!$E41</f>
        <v>0.7729166666666667</v>
      </c>
      <c r="F39" s="29">
        <f>[1]September_206!$J43</f>
        <v>30.5</v>
      </c>
      <c r="G39" s="30">
        <f>[1]September_206!$G43</f>
        <v>461</v>
      </c>
      <c r="H39" s="29">
        <f>[1]September_206!$K43</f>
        <v>30.426000000000002</v>
      </c>
      <c r="I39" s="31">
        <f>[1]September_206!$N43</f>
        <v>3</v>
      </c>
      <c r="J39" s="32">
        <f>[1]September_206!$Q43</f>
        <v>39.345661450924609</v>
      </c>
      <c r="K39" s="285">
        <f>[1]September_206!$F43</f>
        <v>60</v>
      </c>
      <c r="L39" s="994"/>
      <c r="M39" s="169">
        <f>[2]Sept!$G41</f>
        <v>0.84583333333333333</v>
      </c>
      <c r="N39" s="285">
        <f>[2]Sept!$AD41</f>
        <v>103</v>
      </c>
      <c r="O39" s="406">
        <f>[2]Sept!$I41</f>
        <v>103</v>
      </c>
      <c r="P39" s="32"/>
      <c r="Q39" s="988">
        <f>[1]September_206!$P43</f>
        <v>0.24262295081966578</v>
      </c>
      <c r="R39" s="996"/>
      <c r="S39" s="651">
        <f>($G39)*24/(($K39)/60)/$AC$3</f>
        <v>0.65082352941176469</v>
      </c>
      <c r="T39" s="998"/>
      <c r="U39" s="1002" t="s">
        <v>1325</v>
      </c>
      <c r="V39" s="1002"/>
      <c r="W39" s="1002"/>
      <c r="X39" s="1002"/>
      <c r="Y39" s="1002"/>
      <c r="Z39" s="1002"/>
      <c r="AA39" s="1003"/>
    </row>
    <row r="40" spans="2:27" s="19" customFormat="1" ht="120" customHeight="1" thickTop="1" thickBot="1" x14ac:dyDescent="0.25">
      <c r="B40" s="168">
        <f>[1]September_206!$B44</f>
        <v>46293</v>
      </c>
      <c r="C40" s="580" t="str">
        <f>[1]September_206!$D44</f>
        <v>GUINNESS</v>
      </c>
      <c r="D40" s="27"/>
      <c r="E40" s="28">
        <f>[2]Sept!$E42</f>
        <v>1.3784722222222223</v>
      </c>
      <c r="F40" s="29">
        <f>[1]September_206!$J44</f>
        <v>258.8</v>
      </c>
      <c r="G40" s="30">
        <f>[1]September_206!$G44</f>
        <v>3920</v>
      </c>
      <c r="H40" s="29">
        <f>[1]September_206!$K44</f>
        <v>258.72000000000003</v>
      </c>
      <c r="I40" s="31">
        <f>[1]September_206!$N44</f>
        <v>10</v>
      </c>
      <c r="J40" s="32">
        <f>[1]September_206!$Q44</f>
        <v>258.46153846153845</v>
      </c>
      <c r="K40" s="285">
        <f>[1]September_206!$F44</f>
        <v>739</v>
      </c>
      <c r="L40" s="938">
        <f>[1]September_206!$E44</f>
        <v>910</v>
      </c>
      <c r="M40" s="169">
        <f>[2]Sept!$G42</f>
        <v>1.9750000000000001</v>
      </c>
      <c r="N40" s="285">
        <f>[2]Sept!$AD42</f>
        <v>326</v>
      </c>
      <c r="O40" s="406">
        <f>[2]Sept!$I42</f>
        <v>0</v>
      </c>
      <c r="P40" s="32"/>
      <c r="Q40" s="988">
        <f>[1]September_206!$P44</f>
        <v>3.0911901081910387E-2</v>
      </c>
      <c r="R40" s="862">
        <f>($G40)/(($L40/60)*AC$3*(1/24))</f>
        <v>0.36488687782805435</v>
      </c>
      <c r="S40" s="651">
        <f>($G40)*24/(($K40)/60)/$AC$3</f>
        <v>0.44931943007243491</v>
      </c>
      <c r="T40" s="866">
        <f>(984-((N40)-[2]Sept!$AB$42-[2]Sept!$Z$42))/984</f>
        <v>0.68699186991869921</v>
      </c>
      <c r="U40" s="1002" t="s">
        <v>1327</v>
      </c>
      <c r="V40" s="1002"/>
      <c r="W40" s="1002"/>
      <c r="X40" s="1002"/>
      <c r="Y40" s="1002"/>
      <c r="Z40" s="1002"/>
      <c r="AA40" s="1003"/>
    </row>
    <row r="41" spans="2:27" s="19" customFormat="1" ht="58.5" customHeight="1" thickTop="1" thickBot="1" x14ac:dyDescent="0.25">
      <c r="B41" s="168">
        <f>[1]September_206!$B45</f>
        <v>46294</v>
      </c>
      <c r="C41" s="580" t="str">
        <f>[1]September_206!$D45</f>
        <v>GUINNESS</v>
      </c>
      <c r="D41" s="27">
        <v>5139</v>
      </c>
      <c r="E41" s="28">
        <f>[2]Sept!$E43</f>
        <v>0.34166666666666667</v>
      </c>
      <c r="F41" s="29">
        <f>[1]September_206!$J45</f>
        <v>88.5</v>
      </c>
      <c r="G41" s="30">
        <f>[1]September_206!$G45</f>
        <v>1337</v>
      </c>
      <c r="H41" s="29">
        <f>[1]September_206!$K45</f>
        <v>88.242000000000004</v>
      </c>
      <c r="I41" s="31">
        <f>[1]September_206!$N45</f>
        <v>3</v>
      </c>
      <c r="J41" s="32">
        <f>[1]September_206!$Q45</f>
        <v>88.15384615384616</v>
      </c>
      <c r="K41" s="285">
        <f>[1]September_206!$F45</f>
        <v>172</v>
      </c>
      <c r="L41" s="993">
        <f>[1]September_206!$E45</f>
        <v>910</v>
      </c>
      <c r="M41" s="169">
        <f>[2]Sept!$G43</f>
        <v>1.5486111111111112</v>
      </c>
      <c r="N41" s="285">
        <f>[2]Sept!$AD43</f>
        <v>46</v>
      </c>
      <c r="O41" s="406">
        <f>[2]Sept!$I43</f>
        <v>0</v>
      </c>
      <c r="P41" s="32"/>
      <c r="Q41" s="988">
        <f>[1]September_206!$P45</f>
        <v>0.29152542372880852</v>
      </c>
      <c r="R41" s="995">
        <f>($G41+G42)/(($L41/60)*AC$3*(1/24))</f>
        <v>0.4429838396897221</v>
      </c>
      <c r="S41" s="651">
        <f t="shared" ref="S41:S44" si="4">($G41)*24/(($K41)/60)/$AC$3</f>
        <v>0.65844049247606018</v>
      </c>
      <c r="T41" s="997">
        <f>(940-((N41+N42)-[2]Sept!$AA$44-[2]Sept!$AB$44-[2]Sept!$AB$43-[2]Sept!$Z$43-[2]Sept!$K$44-[2]Sept!$J$44))/940</f>
        <v>0.7978723404255319</v>
      </c>
      <c r="U41" s="1002" t="s">
        <v>1328</v>
      </c>
      <c r="V41" s="1002"/>
      <c r="W41" s="1002"/>
      <c r="X41" s="1002"/>
      <c r="Y41" s="1002"/>
      <c r="Z41" s="1002"/>
      <c r="AA41" s="1003"/>
    </row>
    <row r="42" spans="2:27" s="19" customFormat="1" ht="87.75" customHeight="1" thickBot="1" x14ac:dyDescent="0.25">
      <c r="B42" s="168">
        <f>[1]September_206!$B46</f>
        <v>46294</v>
      </c>
      <c r="C42" s="580" t="str">
        <f>[1]September_206!$D46</f>
        <v>CARIB AMBER</v>
      </c>
      <c r="D42" s="27">
        <v>700</v>
      </c>
      <c r="E42" s="28">
        <f>[2]Sept!$E44</f>
        <v>0.54861111111111116</v>
      </c>
      <c r="F42" s="29">
        <f>[1]September_206!$J46</f>
        <v>240.5</v>
      </c>
      <c r="G42" s="30">
        <f>[1]September_206!$G46</f>
        <v>3422</v>
      </c>
      <c r="H42" s="29">
        <f>[1]September_206!$K46</f>
        <v>234.40200000000002</v>
      </c>
      <c r="I42" s="31">
        <f>[1]September_206!$N46</f>
        <v>4</v>
      </c>
      <c r="J42" s="32">
        <f>[1]September_206!$Q46</f>
        <v>225.62637362637363</v>
      </c>
      <c r="K42" s="285">
        <f>[1]September_206!$F46</f>
        <v>431</v>
      </c>
      <c r="L42" s="994"/>
      <c r="M42" s="169">
        <f>[2]Sept!$G44</f>
        <v>0.94444444444444442</v>
      </c>
      <c r="N42" s="285">
        <f>[2]Sept!$AD44</f>
        <v>230</v>
      </c>
      <c r="O42" s="406">
        <f>[2]Sept!$I44</f>
        <v>114</v>
      </c>
      <c r="P42" s="32"/>
      <c r="Q42" s="988">
        <f>[1]September_206!$P46</f>
        <v>2.5355509355509289</v>
      </c>
      <c r="R42" s="996"/>
      <c r="S42" s="651">
        <f t="shared" si="4"/>
        <v>0.67253719121059086</v>
      </c>
      <c r="T42" s="998"/>
      <c r="U42" s="1002" t="s">
        <v>1329</v>
      </c>
      <c r="V42" s="1002"/>
      <c r="W42" s="1002"/>
      <c r="X42" s="1002"/>
      <c r="Y42" s="1002"/>
      <c r="Z42" s="1002"/>
      <c r="AA42" s="1003"/>
    </row>
    <row r="43" spans="2:27" s="19" customFormat="1" ht="86.25" customHeight="1" thickTop="1" thickBot="1" x14ac:dyDescent="0.25">
      <c r="B43" s="168">
        <f>[1]September_206!$B47</f>
        <v>46295</v>
      </c>
      <c r="C43" s="580" t="str">
        <f>[1]September_206!$D47</f>
        <v>CARIB AMBER</v>
      </c>
      <c r="D43" s="27">
        <v>7000</v>
      </c>
      <c r="E43" s="28">
        <f>[2]Sept!$E45</f>
        <v>0.34722222222222221</v>
      </c>
      <c r="F43" s="29">
        <f>[1]September_206!$J47</f>
        <v>227.6</v>
      </c>
      <c r="G43" s="30">
        <f>[1]September_206!$G47</f>
        <v>3376</v>
      </c>
      <c r="H43" s="29">
        <f>[1]September_206!$K47</f>
        <v>222.816</v>
      </c>
      <c r="I43" s="31">
        <f>[1]September_206!$N47</f>
        <v>4</v>
      </c>
      <c r="J43" s="32">
        <f>[1]September_206!$Q47</f>
        <v>222.5934065934066</v>
      </c>
      <c r="K43" s="285">
        <f>[1]September_206!$F47</f>
        <v>427</v>
      </c>
      <c r="L43" s="993">
        <f>[1]September_206!$E47</f>
        <v>910</v>
      </c>
      <c r="M43" s="169">
        <f>[2]Sept!$G45</f>
        <v>1.726388888888889</v>
      </c>
      <c r="N43" s="285">
        <f>[2]Sept!$AD45</f>
        <v>99</v>
      </c>
      <c r="O43" s="406">
        <f>[2]Sept!$I45</f>
        <v>0</v>
      </c>
      <c r="P43" s="32"/>
      <c r="Q43" s="988">
        <f>[1]September_206!$P47</f>
        <v>2.1019332161687134</v>
      </c>
      <c r="R43" s="995">
        <f>($G43+G44)/(($L43/60)*AC$3*(1/24))</f>
        <v>0.44670717517776343</v>
      </c>
      <c r="S43" s="651">
        <f t="shared" si="4"/>
        <v>0.66971208155393314</v>
      </c>
      <c r="T43" s="997">
        <f>(980-((N43+N44)-[2]Sept!$I$46-[2]Sept!$J$45-[2]Sept!$Z$46-[2]Sept!$Z$45-[2]Sept!$AB$45))/980</f>
        <v>0.91122448979591841</v>
      </c>
      <c r="U43" s="1002" t="s">
        <v>1330</v>
      </c>
      <c r="V43" s="1002"/>
      <c r="W43" s="1002"/>
      <c r="X43" s="1002"/>
      <c r="Y43" s="1002"/>
      <c r="Z43" s="1002"/>
      <c r="AA43" s="1003"/>
    </row>
    <row r="44" spans="2:27" s="19" customFormat="1" ht="63.75" customHeight="1" thickBot="1" x14ac:dyDescent="0.25">
      <c r="B44" s="168">
        <f>[1]September_206!$B48</f>
        <v>46295</v>
      </c>
      <c r="C44" s="580" t="str">
        <f>[1]September_206!$D48</f>
        <v>STARMALT</v>
      </c>
      <c r="D44" s="27">
        <v>5600</v>
      </c>
      <c r="E44" s="28">
        <f>[2]Sept!$E46</f>
        <v>0.78055555555555556</v>
      </c>
      <c r="F44" s="29">
        <f>[1]September_206!$J48</f>
        <v>101</v>
      </c>
      <c r="G44" s="30">
        <f>[1]September_206!$G48</f>
        <v>1423</v>
      </c>
      <c r="H44" s="29">
        <f>[1]September_206!$K48</f>
        <v>93.918000000000006</v>
      </c>
      <c r="I44" s="31">
        <f>[1]September_206!$N48</f>
        <v>3</v>
      </c>
      <c r="J44" s="32">
        <f>[1]September_206!$Q48</f>
        <v>93.824175824175825</v>
      </c>
      <c r="K44" s="285">
        <f>[1]September_206!$F48</f>
        <v>149</v>
      </c>
      <c r="L44" s="999"/>
      <c r="M44" s="169">
        <f>[2]Sept!$G46</f>
        <v>0.97222222222222221</v>
      </c>
      <c r="N44" s="285">
        <f>[2]Sept!$AD46</f>
        <v>235</v>
      </c>
      <c r="O44" s="406">
        <f>[2]Sept!$I46</f>
        <v>199</v>
      </c>
      <c r="P44" s="32"/>
      <c r="Q44" s="988">
        <f>[1]September_206!$P48</f>
        <v>7.0118811881188057</v>
      </c>
      <c r="R44" s="996"/>
      <c r="S44" s="651">
        <f t="shared" si="4"/>
        <v>0.80896960126332418</v>
      </c>
      <c r="T44" s="998"/>
      <c r="U44" s="1002" t="s">
        <v>1331</v>
      </c>
      <c r="V44" s="1002"/>
      <c r="W44" s="1002"/>
      <c r="X44" s="1002"/>
      <c r="Y44" s="1002"/>
      <c r="Z44" s="1002"/>
      <c r="AA44" s="1003"/>
    </row>
    <row r="45" spans="2:27" s="19" customFormat="1" ht="63.75" hidden="1" customHeight="1" thickBot="1" x14ac:dyDescent="0.25">
      <c r="B45" s="168"/>
      <c r="C45" s="580"/>
      <c r="D45" s="27"/>
      <c r="E45" s="28"/>
      <c r="F45" s="29"/>
      <c r="G45" s="30"/>
      <c r="H45" s="29"/>
      <c r="I45" s="31"/>
      <c r="J45" s="32"/>
      <c r="K45" s="32"/>
      <c r="L45" s="464"/>
      <c r="M45" s="169"/>
      <c r="N45" s="32"/>
      <c r="O45" s="406"/>
      <c r="P45" s="32"/>
      <c r="Q45" s="33"/>
      <c r="R45" s="653"/>
      <c r="S45" s="652"/>
      <c r="T45" s="653"/>
      <c r="U45" s="1002"/>
      <c r="V45" s="1002"/>
      <c r="W45" s="1002"/>
      <c r="X45" s="1002"/>
      <c r="Y45" s="1002"/>
      <c r="Z45" s="1002"/>
      <c r="AA45" s="1003"/>
    </row>
    <row r="46" spans="2:27" s="19" customFormat="1" ht="63.75" hidden="1" customHeight="1" thickBot="1" x14ac:dyDescent="0.25">
      <c r="B46" s="168"/>
      <c r="C46" s="580"/>
      <c r="D46" s="27"/>
      <c r="E46" s="28"/>
      <c r="F46" s="29"/>
      <c r="G46" s="30"/>
      <c r="H46" s="29"/>
      <c r="I46" s="31"/>
      <c r="J46" s="32"/>
      <c r="K46" s="32"/>
      <c r="L46" s="464"/>
      <c r="M46" s="169"/>
      <c r="N46" s="32"/>
      <c r="O46" s="406"/>
      <c r="P46" s="32"/>
      <c r="Q46" s="33"/>
      <c r="R46" s="653"/>
      <c r="S46" s="652"/>
      <c r="T46" s="653"/>
      <c r="U46" s="1002"/>
      <c r="V46" s="1002"/>
      <c r="W46" s="1002"/>
      <c r="X46" s="1002"/>
      <c r="Y46" s="1002"/>
      <c r="Z46" s="1002"/>
      <c r="AA46" s="1003"/>
    </row>
    <row r="47" spans="2:27" s="19" customFormat="1" ht="20.25" hidden="1" x14ac:dyDescent="0.2">
      <c r="B47" s="168"/>
      <c r="C47" s="580"/>
      <c r="D47" s="27"/>
      <c r="E47" s="28"/>
      <c r="F47" s="29"/>
      <c r="G47" s="30"/>
      <c r="H47" s="29"/>
      <c r="I47" s="31"/>
      <c r="J47" s="32"/>
      <c r="K47" s="32"/>
      <c r="L47" s="464"/>
      <c r="M47" s="169"/>
      <c r="N47" s="32"/>
      <c r="O47" s="406"/>
      <c r="P47" s="32"/>
      <c r="Q47" s="33"/>
      <c r="R47" s="569"/>
      <c r="S47" s="546"/>
      <c r="T47" s="548"/>
      <c r="U47" s="1013"/>
      <c r="V47" s="1014"/>
      <c r="W47" s="1014"/>
      <c r="X47" s="1014"/>
      <c r="Y47" s="1014"/>
      <c r="Z47" s="1014"/>
      <c r="AA47" s="1015"/>
    </row>
    <row r="48" spans="2:27" s="19" customFormat="1" ht="20.25" hidden="1" x14ac:dyDescent="0.2">
      <c r="B48" s="168"/>
      <c r="C48" s="580"/>
      <c r="D48" s="27"/>
      <c r="E48" s="28"/>
      <c r="F48" s="29"/>
      <c r="G48" s="30"/>
      <c r="H48" s="29"/>
      <c r="I48" s="31"/>
      <c r="J48" s="32"/>
      <c r="K48" s="32"/>
      <c r="L48" s="464"/>
      <c r="M48" s="169"/>
      <c r="N48" s="32"/>
      <c r="O48" s="406"/>
      <c r="P48" s="32"/>
      <c r="Q48" s="33"/>
      <c r="R48" s="569"/>
      <c r="S48" s="546"/>
      <c r="T48" s="548"/>
      <c r="U48" s="1013"/>
      <c r="V48" s="1014"/>
      <c r="W48" s="1014"/>
      <c r="X48" s="1014"/>
      <c r="Y48" s="1014"/>
      <c r="Z48" s="1014"/>
      <c r="AA48" s="1015"/>
    </row>
    <row r="49" spans="1:29" s="19" customFormat="1" ht="20.25" hidden="1" x14ac:dyDescent="0.2">
      <c r="B49" s="168"/>
      <c r="C49" s="580"/>
      <c r="D49" s="27"/>
      <c r="E49" s="28"/>
      <c r="F49" s="29"/>
      <c r="G49" s="30"/>
      <c r="H49" s="29"/>
      <c r="I49" s="31"/>
      <c r="J49" s="32"/>
      <c r="K49" s="32"/>
      <c r="L49" s="464"/>
      <c r="M49" s="169"/>
      <c r="N49" s="32"/>
      <c r="O49" s="406"/>
      <c r="P49" s="32"/>
      <c r="Q49" s="33"/>
      <c r="R49" s="569"/>
      <c r="S49" s="546"/>
      <c r="T49" s="548"/>
      <c r="U49" s="1013"/>
      <c r="V49" s="1014"/>
      <c r="W49" s="1014"/>
      <c r="X49" s="1014"/>
      <c r="Y49" s="1014"/>
      <c r="Z49" s="1014"/>
      <c r="AA49" s="1015"/>
    </row>
    <row r="50" spans="1:29" s="19" customFormat="1" ht="20.25" hidden="1" x14ac:dyDescent="0.2">
      <c r="B50" s="168"/>
      <c r="C50" s="580"/>
      <c r="D50" s="27"/>
      <c r="E50" s="28"/>
      <c r="F50" s="29"/>
      <c r="G50" s="30"/>
      <c r="H50" s="29"/>
      <c r="I50" s="31"/>
      <c r="J50" s="32"/>
      <c r="K50" s="32"/>
      <c r="L50" s="464"/>
      <c r="M50" s="169"/>
      <c r="N50" s="32"/>
      <c r="O50" s="406"/>
      <c r="P50" s="32"/>
      <c r="Q50" s="33"/>
      <c r="R50" s="569"/>
      <c r="S50" s="546"/>
      <c r="T50" s="548"/>
      <c r="U50" s="1013"/>
      <c r="V50" s="1014"/>
      <c r="W50" s="1014"/>
      <c r="X50" s="1014"/>
      <c r="Y50" s="1014"/>
      <c r="Z50" s="1014"/>
      <c r="AA50" s="1015"/>
    </row>
    <row r="51" spans="1:29" s="19" customFormat="1" ht="20.25" hidden="1" x14ac:dyDescent="0.2">
      <c r="B51" s="168"/>
      <c r="C51" s="580"/>
      <c r="D51" s="27"/>
      <c r="E51" s="28"/>
      <c r="F51" s="29"/>
      <c r="G51" s="30"/>
      <c r="H51" s="29"/>
      <c r="I51" s="31"/>
      <c r="J51" s="32"/>
      <c r="K51" s="32"/>
      <c r="L51" s="464"/>
      <c r="M51" s="169"/>
      <c r="N51" s="32"/>
      <c r="O51" s="406"/>
      <c r="P51" s="32"/>
      <c r="Q51" s="33"/>
      <c r="R51" s="569"/>
      <c r="S51" s="546"/>
      <c r="T51" s="548"/>
      <c r="U51" s="1013"/>
      <c r="V51" s="1014"/>
      <c r="W51" s="1014"/>
      <c r="X51" s="1014"/>
      <c r="Y51" s="1014"/>
      <c r="Z51" s="1014"/>
      <c r="AA51" s="1015"/>
    </row>
    <row r="52" spans="1:29" s="19" customFormat="1" ht="20.25" hidden="1" x14ac:dyDescent="0.2">
      <c r="B52" s="168"/>
      <c r="C52" s="580"/>
      <c r="D52" s="27"/>
      <c r="E52" s="28"/>
      <c r="F52" s="29"/>
      <c r="G52" s="30"/>
      <c r="H52" s="29"/>
      <c r="I52" s="31"/>
      <c r="J52" s="32"/>
      <c r="K52" s="32"/>
      <c r="L52" s="464"/>
      <c r="M52" s="169"/>
      <c r="N52" s="32"/>
      <c r="O52" s="406"/>
      <c r="P52" s="32"/>
      <c r="Q52" s="33"/>
      <c r="R52" s="569"/>
      <c r="S52" s="546"/>
      <c r="T52" s="548"/>
      <c r="U52" s="1013"/>
      <c r="V52" s="1014"/>
      <c r="W52" s="1014"/>
      <c r="X52" s="1014"/>
      <c r="Y52" s="1014"/>
      <c r="Z52" s="1014"/>
      <c r="AA52" s="1015"/>
    </row>
    <row r="53" spans="1:29" s="19" customFormat="1" ht="20.25" hidden="1" x14ac:dyDescent="0.2">
      <c r="B53" s="168"/>
      <c r="C53" s="580"/>
      <c r="D53" s="27"/>
      <c r="E53" s="28"/>
      <c r="F53" s="29"/>
      <c r="G53" s="30"/>
      <c r="H53" s="29"/>
      <c r="I53" s="31"/>
      <c r="J53" s="32"/>
      <c r="K53" s="32"/>
      <c r="L53" s="464"/>
      <c r="M53" s="169"/>
      <c r="N53" s="32"/>
      <c r="O53" s="406"/>
      <c r="P53" s="32"/>
      <c r="Q53" s="33"/>
      <c r="R53" s="569"/>
      <c r="S53" s="546"/>
      <c r="T53" s="548"/>
      <c r="U53" s="1013"/>
      <c r="V53" s="1014"/>
      <c r="W53" s="1014"/>
      <c r="X53" s="1014"/>
      <c r="Y53" s="1014"/>
      <c r="Z53" s="1014"/>
      <c r="AA53" s="1015"/>
    </row>
    <row r="54" spans="1:29" s="19" customFormat="1" ht="20.25" hidden="1" x14ac:dyDescent="0.2">
      <c r="B54" s="168"/>
      <c r="C54" s="580"/>
      <c r="D54" s="27"/>
      <c r="E54" s="28"/>
      <c r="F54" s="29"/>
      <c r="G54" s="30"/>
      <c r="H54" s="29"/>
      <c r="I54" s="31"/>
      <c r="J54" s="32"/>
      <c r="K54" s="32"/>
      <c r="L54" s="464"/>
      <c r="M54" s="169"/>
      <c r="N54" s="32"/>
      <c r="O54" s="406"/>
      <c r="P54" s="32"/>
      <c r="Q54" s="33"/>
      <c r="R54" s="569"/>
      <c r="S54" s="546"/>
      <c r="T54" s="548"/>
      <c r="U54" s="1013"/>
      <c r="V54" s="1014"/>
      <c r="W54" s="1014"/>
      <c r="X54" s="1014"/>
      <c r="Y54" s="1014"/>
      <c r="Z54" s="1014"/>
      <c r="AA54" s="1015"/>
    </row>
    <row r="55" spans="1:29" s="19" customFormat="1" ht="20.25" hidden="1" x14ac:dyDescent="0.2">
      <c r="B55" s="168"/>
      <c r="C55" s="580"/>
      <c r="D55" s="27"/>
      <c r="E55" s="28"/>
      <c r="F55" s="29"/>
      <c r="G55" s="30"/>
      <c r="H55" s="29"/>
      <c r="I55" s="31"/>
      <c r="J55" s="32"/>
      <c r="K55" s="32"/>
      <c r="L55" s="464"/>
      <c r="M55" s="169"/>
      <c r="N55" s="32"/>
      <c r="O55" s="406"/>
      <c r="P55" s="32"/>
      <c r="Q55" s="33"/>
      <c r="R55" s="569"/>
      <c r="S55" s="546"/>
      <c r="T55" s="548"/>
      <c r="U55" s="1013"/>
      <c r="V55" s="1014"/>
      <c r="W55" s="1014"/>
      <c r="X55" s="1014"/>
      <c r="Y55" s="1014"/>
      <c r="Z55" s="1014"/>
      <c r="AA55" s="1015"/>
    </row>
    <row r="56" spans="1:29" s="19" customFormat="1" ht="57.75" hidden="1" customHeight="1" x14ac:dyDescent="0.2">
      <c r="B56" s="168"/>
      <c r="C56" s="580"/>
      <c r="D56" s="27"/>
      <c r="E56" s="28"/>
      <c r="F56" s="29"/>
      <c r="G56" s="30"/>
      <c r="H56" s="29"/>
      <c r="I56" s="31"/>
      <c r="J56" s="32"/>
      <c r="K56" s="32"/>
      <c r="L56" s="464"/>
      <c r="M56" s="169"/>
      <c r="N56" s="32"/>
      <c r="O56" s="406"/>
      <c r="P56" s="32"/>
      <c r="Q56" s="33"/>
      <c r="R56" s="569"/>
      <c r="S56" s="546"/>
      <c r="T56" s="548"/>
      <c r="U56" s="1013"/>
      <c r="V56" s="1014"/>
      <c r="W56" s="1014"/>
      <c r="X56" s="1014"/>
      <c r="Y56" s="1014"/>
      <c r="Z56" s="1014"/>
      <c r="AA56" s="1015"/>
    </row>
    <row r="57" spans="1:29" s="19" customFormat="1" ht="27.75" hidden="1" customHeight="1" x14ac:dyDescent="0.2">
      <c r="B57" s="168"/>
      <c r="C57" s="580"/>
      <c r="D57" s="27"/>
      <c r="E57" s="28"/>
      <c r="F57" s="29"/>
      <c r="G57" s="30"/>
      <c r="H57" s="29"/>
      <c r="I57" s="31"/>
      <c r="J57" s="32"/>
      <c r="K57" s="32"/>
      <c r="L57" s="464"/>
      <c r="M57" s="169"/>
      <c r="N57" s="32"/>
      <c r="O57" s="406"/>
      <c r="P57" s="32"/>
      <c r="Q57" s="33"/>
      <c r="R57" s="569"/>
      <c r="S57" s="546"/>
      <c r="T57" s="548"/>
      <c r="U57" s="1013"/>
      <c r="V57" s="1014"/>
      <c r="W57" s="1014"/>
      <c r="X57" s="1014"/>
      <c r="Y57" s="1014"/>
      <c r="Z57" s="1014"/>
      <c r="AA57" s="1015"/>
    </row>
    <row r="58" spans="1:29" s="19" customFormat="1" ht="21" thickBot="1" x14ac:dyDescent="0.25">
      <c r="B58" s="168"/>
      <c r="C58" s="580"/>
      <c r="D58" s="27"/>
      <c r="E58" s="28"/>
      <c r="F58" s="29"/>
      <c r="G58" s="30"/>
      <c r="H58" s="29"/>
      <c r="I58" s="31"/>
      <c r="J58" s="32"/>
      <c r="K58" s="32"/>
      <c r="L58" s="464"/>
      <c r="M58" s="169"/>
      <c r="N58" s="32"/>
      <c r="O58" s="406"/>
      <c r="P58" s="32"/>
      <c r="Q58" s="33"/>
      <c r="R58" s="569"/>
      <c r="S58" s="546"/>
      <c r="T58" s="548"/>
      <c r="U58" s="1013"/>
      <c r="V58" s="1014"/>
      <c r="W58" s="1014"/>
      <c r="X58" s="1014"/>
      <c r="Y58" s="1014"/>
      <c r="Z58" s="1014"/>
      <c r="AA58" s="1015"/>
    </row>
    <row r="59" spans="1:29" s="19" customFormat="1" ht="59.25" customHeight="1" thickBot="1" x14ac:dyDescent="0.25">
      <c r="B59" s="240" t="s">
        <v>3</v>
      </c>
      <c r="C59" s="241"/>
      <c r="D59" s="242">
        <f>SUM(D4:D57)</f>
        <v>110639</v>
      </c>
      <c r="E59" s="243">
        <f>AVERAGE(E4:E57)</f>
        <v>0.96394097222222241</v>
      </c>
      <c r="F59" s="582">
        <f>SUM(F4:F58)</f>
        <v>7439.1</v>
      </c>
      <c r="G59" s="242">
        <f>SUM(G4:G58)</f>
        <v>110564</v>
      </c>
      <c r="H59" s="244">
        <f>SUM(H4:H58)</f>
        <v>7305.7740000000013</v>
      </c>
      <c r="I59" s="245">
        <f>SUM(I4:I57)</f>
        <v>339</v>
      </c>
      <c r="J59" s="245">
        <f>G59/(L59/60)</f>
        <v>300.1737556561086</v>
      </c>
      <c r="K59" s="242">
        <f>SUM(K4:K57)</f>
        <v>16404</v>
      </c>
      <c r="L59" s="466">
        <f>SUM(L4:L57)</f>
        <v>22100</v>
      </c>
      <c r="M59" s="246">
        <f>AVERAGE(M4:M58)</f>
        <v>1.2325840643274855</v>
      </c>
      <c r="N59" s="242">
        <f>SUM(N4:N57)</f>
        <v>7778</v>
      </c>
      <c r="O59" s="245">
        <f>SUM(O4:O58)</f>
        <v>1001</v>
      </c>
      <c r="P59" s="245">
        <f>SUM(P4:P58)</f>
        <v>536</v>
      </c>
      <c r="Q59" s="292">
        <f>(F59-H59)/F59</f>
        <v>1.7922329314029803E-2</v>
      </c>
      <c r="R59" s="653">
        <f>($G59)/(($L59/60)*AC$3*(1/24))</f>
        <v>0.42377471386744747</v>
      </c>
      <c r="S59" s="556">
        <f>(G59)*24/((K59)/60)/$AC$3</f>
        <v>0.57092301734153794</v>
      </c>
      <c r="T59" s="559">
        <f>(23617-((N59)-[2]Sept!$H$55-[2]Sept!$I$55-[2]Sept!$J$55-[2]Sept!$K$55-[2]Sept!$L$55-[2]Sept!$M$55-[2]Sept!$N$55-[2]Sept!$Z$55-[2]Sept!$AA$55-[2]Sept!$AB$55-[2]Sept!$AC$55))/23617</f>
        <v>0.8324512004064869</v>
      </c>
      <c r="U59" s="1011"/>
      <c r="V59" s="1011"/>
      <c r="W59" s="1011"/>
      <c r="X59" s="1011"/>
      <c r="Y59" s="1011"/>
      <c r="Z59" s="1011"/>
      <c r="AA59" s="1012"/>
    </row>
    <row r="60" spans="1:29" s="656" customFormat="1" ht="65.099999999999994" customHeight="1" thickTop="1" x14ac:dyDescent="0.2">
      <c r="B60" s="657" t="s">
        <v>861</v>
      </c>
      <c r="C60" s="658"/>
      <c r="D60" s="641"/>
      <c r="E60" s="659"/>
      <c r="F60" s="660"/>
      <c r="G60" s="641"/>
      <c r="H60" s="660"/>
      <c r="I60" s="661"/>
      <c r="J60" s="661">
        <v>350</v>
      </c>
      <c r="K60" s="641"/>
      <c r="L60" s="641"/>
      <c r="M60" s="642"/>
      <c r="N60" s="641"/>
      <c r="O60" s="643"/>
      <c r="P60" s="644"/>
      <c r="Q60" s="645">
        <v>1.7999999999999999E-2</v>
      </c>
      <c r="R60" s="646">
        <v>0.56000000000000005</v>
      </c>
      <c r="S60" s="646">
        <v>0.66</v>
      </c>
      <c r="T60" s="647">
        <v>0.8</v>
      </c>
      <c r="U60" s="662"/>
      <c r="V60" s="662"/>
      <c r="W60" s="662"/>
      <c r="X60" s="662"/>
      <c r="Y60" s="662"/>
      <c r="Z60" s="662"/>
      <c r="AA60" s="662"/>
    </row>
    <row r="61" spans="1:29" s="271" customFormat="1" ht="20.25" x14ac:dyDescent="0.3">
      <c r="A61" s="274"/>
      <c r="B61" s="260"/>
      <c r="C61" s="260"/>
      <c r="D61" s="261"/>
      <c r="E61" s="262"/>
      <c r="F61" s="263"/>
      <c r="G61" s="261"/>
      <c r="H61" s="263"/>
      <c r="I61" s="264"/>
      <c r="J61" s="264"/>
      <c r="K61" s="261"/>
      <c r="L61" s="261"/>
      <c r="M61" s="265"/>
      <c r="N61" s="261"/>
      <c r="O61" s="266"/>
      <c r="P61" s="264"/>
      <c r="Q61" s="267"/>
      <c r="R61" s="268"/>
      <c r="S61" s="268"/>
      <c r="T61" s="269"/>
      <c r="U61" s="270"/>
      <c r="V61" s="270"/>
      <c r="W61" s="270"/>
      <c r="X61" s="270"/>
      <c r="Y61" s="270"/>
      <c r="Z61" s="270"/>
      <c r="AA61" s="270"/>
    </row>
    <row r="62" spans="1:29" s="484" customFormat="1" ht="49.5" hidden="1" customHeight="1" x14ac:dyDescent="0.3">
      <c r="B62" s="467"/>
      <c r="C62" s="485"/>
      <c r="D62" s="486"/>
      <c r="E62" s="487"/>
      <c r="F62" s="488"/>
      <c r="G62" s="467"/>
      <c r="H62" s="467"/>
      <c r="I62" s="271"/>
      <c r="J62" s="271"/>
      <c r="K62" s="271"/>
      <c r="L62" s="271"/>
      <c r="M62" s="271"/>
      <c r="N62" s="271"/>
      <c r="O62" s="468"/>
      <c r="P62" s="467"/>
      <c r="Q62" s="467"/>
      <c r="R62" s="271"/>
      <c r="S62" s="271"/>
      <c r="T62" s="271"/>
      <c r="U62" s="270"/>
      <c r="V62" s="270"/>
      <c r="W62" s="270"/>
      <c r="X62" s="270"/>
      <c r="Y62" s="270"/>
      <c r="Z62" s="270"/>
      <c r="AA62" s="270"/>
      <c r="AB62" s="271"/>
      <c r="AC62" s="467"/>
    </row>
    <row r="63" spans="1:29" s="467" customFormat="1" ht="60.75" hidden="1" thickBot="1" x14ac:dyDescent="0.35">
      <c r="C63" s="587" t="s">
        <v>375</v>
      </c>
      <c r="D63" s="588" t="s">
        <v>376</v>
      </c>
      <c r="E63" s="588" t="s">
        <v>377</v>
      </c>
      <c r="F63" s="589" t="s">
        <v>378</v>
      </c>
      <c r="I63" s="271"/>
      <c r="J63" s="271"/>
      <c r="K63" s="271"/>
      <c r="L63" s="271"/>
      <c r="M63" s="271"/>
      <c r="N63" s="271"/>
      <c r="O63" s="563"/>
      <c r="R63" s="271"/>
      <c r="S63" s="271"/>
      <c r="T63" s="271"/>
    </row>
    <row r="64" spans="1:29" s="467" customFormat="1" ht="33" hidden="1" customHeight="1" x14ac:dyDescent="0.4">
      <c r="C64" s="516" t="s">
        <v>370</v>
      </c>
      <c r="D64" s="603"/>
      <c r="E64" s="536"/>
      <c r="F64" s="592"/>
      <c r="I64" s="271"/>
      <c r="J64" s="567"/>
      <c r="K64" s="271"/>
      <c r="L64" s="271"/>
      <c r="M64" s="271"/>
      <c r="N64" s="271"/>
      <c r="O64" s="468"/>
      <c r="R64" s="271"/>
      <c r="S64" s="271"/>
      <c r="T64" s="271"/>
    </row>
    <row r="65" spans="2:26" s="467" customFormat="1" ht="33" hidden="1" customHeight="1" x14ac:dyDescent="0.4">
      <c r="C65" s="517" t="s">
        <v>371</v>
      </c>
      <c r="D65" s="603"/>
      <c r="E65" s="536"/>
      <c r="F65" s="593"/>
      <c r="I65" s="271"/>
      <c r="J65" s="567"/>
      <c r="K65" s="271"/>
      <c r="L65" s="271"/>
      <c r="M65" s="271"/>
      <c r="N65" s="271"/>
      <c r="O65" s="468"/>
      <c r="R65" s="271"/>
      <c r="S65" s="271"/>
      <c r="T65" s="271"/>
    </row>
    <row r="66" spans="2:26" s="467" customFormat="1" ht="33" hidden="1" customHeight="1" x14ac:dyDescent="0.4">
      <c r="C66" s="518" t="s">
        <v>372</v>
      </c>
      <c r="D66" s="603"/>
      <c r="E66" s="536"/>
      <c r="F66" s="593"/>
      <c r="I66" s="271"/>
      <c r="J66" s="567"/>
      <c r="K66" s="271"/>
      <c r="L66" s="271"/>
      <c r="M66" s="271"/>
      <c r="N66" s="271"/>
      <c r="O66" s="468"/>
      <c r="R66" s="271"/>
      <c r="S66" s="271"/>
      <c r="T66" s="271"/>
    </row>
    <row r="67" spans="2:26" s="467" customFormat="1" ht="33" hidden="1" customHeight="1" x14ac:dyDescent="0.4">
      <c r="C67" s="517" t="s">
        <v>373</v>
      </c>
      <c r="D67" s="520"/>
      <c r="E67" s="536"/>
      <c r="F67" s="593"/>
      <c r="I67" s="271"/>
      <c r="J67" s="567"/>
      <c r="K67" s="271"/>
      <c r="L67" s="271"/>
      <c r="M67" s="271"/>
      <c r="N67" s="271"/>
      <c r="O67" s="468"/>
      <c r="R67" s="271"/>
      <c r="S67" s="271"/>
      <c r="T67" s="271"/>
    </row>
    <row r="68" spans="2:26" s="467" customFormat="1" ht="33" hidden="1" customHeight="1" x14ac:dyDescent="0.4">
      <c r="C68" s="518" t="s">
        <v>374</v>
      </c>
      <c r="D68" s="519"/>
      <c r="E68" s="536"/>
      <c r="F68" s="593"/>
      <c r="I68" s="271"/>
      <c r="J68" s="567"/>
      <c r="K68" s="271"/>
      <c r="L68" s="271"/>
      <c r="M68" s="271"/>
      <c r="N68" s="271"/>
      <c r="O68" s="468"/>
      <c r="R68" s="271"/>
      <c r="S68" s="271"/>
      <c r="T68" s="271"/>
    </row>
    <row r="69" spans="2:26" s="467" customFormat="1" ht="33" hidden="1" customHeight="1" x14ac:dyDescent="0.4">
      <c r="C69" s="521" t="s">
        <v>850</v>
      </c>
      <c r="D69" s="585"/>
      <c r="E69" s="536"/>
      <c r="F69" s="593"/>
      <c r="I69" s="271"/>
      <c r="J69" s="271"/>
      <c r="K69" s="271"/>
      <c r="L69" s="271"/>
      <c r="M69" s="271"/>
      <c r="N69" s="271"/>
      <c r="O69" s="468"/>
      <c r="R69" s="271"/>
      <c r="S69" s="271"/>
      <c r="T69" s="271"/>
    </row>
    <row r="70" spans="2:26" s="467" customFormat="1" ht="33" hidden="1" customHeight="1" x14ac:dyDescent="0.4">
      <c r="C70" s="518" t="s">
        <v>853</v>
      </c>
      <c r="D70" s="603"/>
      <c r="E70" s="536"/>
      <c r="F70" s="593"/>
      <c r="I70" s="271"/>
      <c r="J70" s="271"/>
      <c r="K70" s="271"/>
      <c r="L70" s="271"/>
      <c r="M70" s="271"/>
      <c r="N70" s="271"/>
      <c r="O70" s="468"/>
      <c r="R70" s="271"/>
      <c r="S70" s="271"/>
      <c r="T70" s="271"/>
    </row>
    <row r="71" spans="2:26" s="467" customFormat="1" ht="33" hidden="1" customHeight="1" x14ac:dyDescent="0.4">
      <c r="C71" s="590" t="s">
        <v>854</v>
      </c>
      <c r="D71" s="603"/>
      <c r="E71" s="536"/>
      <c r="F71" s="594"/>
      <c r="J71" s="271"/>
      <c r="K71" s="271"/>
      <c r="L71" s="271"/>
      <c r="M71" s="271"/>
      <c r="N71" s="271"/>
      <c r="O71" s="271"/>
      <c r="P71" s="468"/>
      <c r="R71" s="271"/>
      <c r="S71" s="271"/>
      <c r="U71" s="271"/>
    </row>
    <row r="72" spans="2:26" s="467" customFormat="1" ht="30.75" hidden="1" thickBot="1" x14ac:dyDescent="0.45">
      <c r="C72" s="590" t="s">
        <v>855</v>
      </c>
      <c r="D72" s="591"/>
      <c r="E72" s="536"/>
      <c r="F72" s="594"/>
      <c r="J72" s="271"/>
      <c r="K72" s="271"/>
      <c r="L72" s="271"/>
      <c r="M72" s="271"/>
      <c r="N72" s="271"/>
      <c r="O72" s="271"/>
      <c r="P72" s="468"/>
      <c r="R72" s="271"/>
      <c r="S72" s="271"/>
      <c r="U72" s="271"/>
    </row>
    <row r="73" spans="2:26" s="1" customFormat="1" ht="31.5" hidden="1" thickTop="1" thickBot="1" x14ac:dyDescent="0.45">
      <c r="C73" s="522" t="s">
        <v>379</v>
      </c>
      <c r="D73" s="523"/>
      <c r="E73" s="557"/>
      <c r="F73" s="595"/>
      <c r="G73" s="467"/>
      <c r="H73" s="467"/>
      <c r="J73" s="581"/>
      <c r="K73"/>
      <c r="L73"/>
      <c r="M73"/>
      <c r="N73"/>
      <c r="O73" s="392"/>
      <c r="P73" s="2"/>
      <c r="R73"/>
      <c r="S73"/>
      <c r="U73"/>
    </row>
    <row r="74" spans="2:26" s="1" customFormat="1" ht="23.25" x14ac:dyDescent="0.3">
      <c r="G74" s="470"/>
      <c r="H74" s="467"/>
      <c r="J74"/>
      <c r="K74"/>
      <c r="L74"/>
      <c r="M74"/>
      <c r="N74"/>
      <c r="O74" s="392"/>
      <c r="P74" s="2"/>
      <c r="R74"/>
      <c r="S74"/>
      <c r="U74"/>
    </row>
    <row r="75" spans="2:26" s="478" customFormat="1" ht="24.75" customHeight="1" x14ac:dyDescent="0.35">
      <c r="B75" s="489"/>
      <c r="C75" s="469" t="s">
        <v>849</v>
      </c>
      <c r="D75" s="818">
        <v>114150</v>
      </c>
      <c r="E75" s="1010" t="s">
        <v>692</v>
      </c>
      <c r="F75" s="1010"/>
      <c r="G75" s="470">
        <f>D75-G59</f>
        <v>3586</v>
      </c>
      <c r="H75" s="469" t="s">
        <v>327</v>
      </c>
      <c r="I75" s="471">
        <f>G59/D75</f>
        <v>0.96858519491896622</v>
      </c>
      <c r="J75" s="472">
        <v>0</v>
      </c>
      <c r="K75" s="473"/>
      <c r="L75" s="473"/>
      <c r="M75" s="473"/>
      <c r="N75" s="473"/>
      <c r="O75" s="473"/>
      <c r="P75" s="490"/>
      <c r="Q75" s="491"/>
      <c r="R75" s="492"/>
      <c r="S75" s="493"/>
      <c r="T75" s="493"/>
      <c r="U75" s="494" t="s">
        <v>48</v>
      </c>
    </row>
    <row r="76" spans="2:26" s="478" customFormat="1" ht="23.25" x14ac:dyDescent="0.35">
      <c r="B76" s="489"/>
      <c r="C76" s="469" t="s">
        <v>37</v>
      </c>
      <c r="D76" s="470">
        <f>August_26!D73+D75</f>
        <v>978714</v>
      </c>
      <c r="E76" s="1010" t="s">
        <v>36</v>
      </c>
      <c r="F76" s="1010"/>
      <c r="G76" s="470">
        <f>August_26!G73+G59</f>
        <v>1009764</v>
      </c>
      <c r="H76" s="469" t="s">
        <v>326</v>
      </c>
      <c r="I76" s="474">
        <v>0</v>
      </c>
      <c r="J76" s="472"/>
      <c r="K76" s="473">
        <v>0</v>
      </c>
      <c r="L76" s="473"/>
      <c r="M76" s="473"/>
      <c r="N76" s="473"/>
      <c r="O76" s="473"/>
      <c r="P76" s="490"/>
      <c r="Q76" s="491"/>
      <c r="R76" s="492"/>
      <c r="S76" s="493"/>
      <c r="T76" s="493"/>
      <c r="U76" s="494"/>
    </row>
    <row r="77" spans="2:26" ht="24" thickBot="1" x14ac:dyDescent="0.4">
      <c r="C77" s="475"/>
      <c r="D77" s="470"/>
      <c r="E77" s="1010"/>
      <c r="F77" s="1010"/>
      <c r="G77" s="470"/>
      <c r="H77" s="476"/>
      <c r="I77" s="476"/>
      <c r="J77" s="477"/>
      <c r="K77" s="478"/>
      <c r="P77"/>
      <c r="U77" s="17"/>
    </row>
    <row r="78" spans="2:26" ht="144" customHeight="1" thickTop="1" thickBot="1" x14ac:dyDescent="0.25">
      <c r="B78" s="7"/>
      <c r="C78" s="495" t="s">
        <v>19</v>
      </c>
      <c r="D78" s="496" t="s">
        <v>14</v>
      </c>
      <c r="E78" s="496" t="s">
        <v>23</v>
      </c>
      <c r="F78" s="496" t="s">
        <v>24</v>
      </c>
      <c r="G78" s="497" t="s">
        <v>15</v>
      </c>
      <c r="H78" s="496" t="s">
        <v>17</v>
      </c>
      <c r="I78" s="496" t="s">
        <v>16</v>
      </c>
      <c r="J78" s="498" t="s">
        <v>600</v>
      </c>
      <c r="K78" s="499" t="s">
        <v>599</v>
      </c>
      <c r="L78" s="473"/>
      <c r="M78" s="535"/>
      <c r="N78" t="s">
        <v>845</v>
      </c>
      <c r="P78" s="459"/>
      <c r="Q78" s="537" t="s">
        <v>325</v>
      </c>
      <c r="R78" s="538" t="s">
        <v>467</v>
      </c>
      <c r="S78" s="539" t="s">
        <v>324</v>
      </c>
      <c r="T78" s="524" t="s">
        <v>576</v>
      </c>
    </row>
    <row r="79" spans="2:26" ht="36" customHeight="1" thickBot="1" x14ac:dyDescent="0.45">
      <c r="B79" s="8"/>
      <c r="C79" s="500">
        <v>1</v>
      </c>
      <c r="D79" s="501" t="s">
        <v>20</v>
      </c>
      <c r="E79" s="502"/>
      <c r="F79" s="502"/>
      <c r="G79" s="502"/>
      <c r="H79" s="502"/>
      <c r="I79" s="552" t="e">
        <f t="shared" ref="I79:I84" si="5">(G79-H79)/G79</f>
        <v>#DIV/0!</v>
      </c>
      <c r="J79" s="543" t="e">
        <f t="shared" ref="J79:J85" si="6">(E79)*24/(F79/60)/17000</f>
        <v>#DIV/0!</v>
      </c>
      <c r="K79" s="544" t="e">
        <f>AVERAGE(January_26!K111,February_26!J68,March_26!J66,April_26!J67,May_26!J68,June_26!J61,July_26!J82,,August_26!J76,J79)</f>
        <v>#DIV/0!</v>
      </c>
      <c r="L79" s="473"/>
      <c r="P79"/>
      <c r="Q79" s="540">
        <f>S90</f>
        <v>1.8939536839923013E-2</v>
      </c>
      <c r="R79" s="558">
        <f>(((January_26!R103*January_26!G103))+(February_26!R60*(February_26!G60))+(March_26!R58*(March_26!G58))+(April_26!R57*(April_26!$G$57))+(May_26!R59*(May_26!G59))+(June_26!R52*(June_26!G52))+(July_26!R61*(July_26!G61))+(August_26!R56*(August_26!G56))+('September_26 '!R59*('September_26 '!G59)))/G76</f>
        <v>0.3842764375244459</v>
      </c>
      <c r="S79" s="558">
        <f>S89</f>
        <v>0.5124618083725887</v>
      </c>
      <c r="T79" s="568">
        <f>AVERAGE(January_26!T103,February_26!T60,March_26!T58,April_26!T57,May_26!T59,June_26!T52,July_26!T61,August_26!T56,T59)</f>
        <v>0.72844622678141135</v>
      </c>
    </row>
    <row r="80" spans="2:26" s="1" customFormat="1" ht="27.75" x14ac:dyDescent="0.4">
      <c r="B80" s="8"/>
      <c r="C80" s="505">
        <v>2</v>
      </c>
      <c r="D80" s="506" t="s">
        <v>21</v>
      </c>
      <c r="E80" s="502"/>
      <c r="F80" s="502"/>
      <c r="G80" s="502"/>
      <c r="H80" s="502"/>
      <c r="I80" s="552" t="e">
        <f t="shared" si="5"/>
        <v>#DIV/0!</v>
      </c>
      <c r="J80" s="543" t="e">
        <f t="shared" si="6"/>
        <v>#DIV/0!</v>
      </c>
      <c r="K80" s="544" t="e">
        <f>AVERAGE(January_26!K112,February_26!J69,March_26!J67,April_26!J68,May_26!J69,June_26!J62,July_26!J83,,August_26!J77,J80)</f>
        <v>#DIV/0!</v>
      </c>
      <c r="L80" s="473"/>
      <c r="M80"/>
      <c r="N80" s="461"/>
      <c r="O80" s="392"/>
      <c r="P80" s="2"/>
      <c r="R80"/>
      <c r="S80"/>
      <c r="U80"/>
      <c r="Z80"/>
    </row>
    <row r="81" spans="2:26" s="1" customFormat="1" ht="27.75" x14ac:dyDescent="0.4">
      <c r="B81" s="8"/>
      <c r="C81" s="500">
        <v>3</v>
      </c>
      <c r="D81" s="506" t="s">
        <v>846</v>
      </c>
      <c r="E81" s="502"/>
      <c r="F81" s="502"/>
      <c r="G81" s="502"/>
      <c r="H81" s="502"/>
      <c r="I81" s="552" t="e">
        <f t="shared" si="5"/>
        <v>#DIV/0!</v>
      </c>
      <c r="J81" s="543" t="e">
        <f t="shared" si="6"/>
        <v>#DIV/0!</v>
      </c>
      <c r="K81" s="544" t="e">
        <f>AVERAGE(January_26!K113,February_26!J70,March_26!J68,April_26!J69,May_26!J70,June_26!J63,July_26!J84,,August_26!J78,J81)</f>
        <v>#DIV/0!</v>
      </c>
      <c r="L81" s="473"/>
      <c r="M81"/>
      <c r="N81"/>
      <c r="O81" s="392"/>
      <c r="P81" s="2"/>
      <c r="R81"/>
      <c r="S81"/>
      <c r="U81"/>
      <c r="Z81"/>
    </row>
    <row r="82" spans="2:26" s="1" customFormat="1" ht="27.75" x14ac:dyDescent="0.4">
      <c r="B82" s="8"/>
      <c r="C82" s="505">
        <v>4</v>
      </c>
      <c r="D82" s="506" t="s">
        <v>18</v>
      </c>
      <c r="E82" s="510"/>
      <c r="F82" s="510"/>
      <c r="G82" s="510"/>
      <c r="H82" s="510"/>
      <c r="I82" s="552" t="e">
        <f t="shared" si="5"/>
        <v>#DIV/0!</v>
      </c>
      <c r="J82" s="543" t="e">
        <f t="shared" si="6"/>
        <v>#DIV/0!</v>
      </c>
      <c r="K82" s="544" t="e">
        <f>AVERAGE(January_26!K114,February_26!J71,March_26!J69,April_26!J70,May_26!J71,June_26!J64,July_26!J85,,August_26!J79,J82)</f>
        <v>#DIV/0!</v>
      </c>
      <c r="L82" s="473"/>
      <c r="M82"/>
      <c r="N82"/>
      <c r="O82" s="392"/>
      <c r="P82" s="2"/>
      <c r="Q82" s="159"/>
      <c r="R82" s="160"/>
      <c r="S82" s="161"/>
      <c r="T82" s="234"/>
      <c r="U82"/>
    </row>
    <row r="83" spans="2:26" s="1" customFormat="1" ht="27.75" x14ac:dyDescent="0.4">
      <c r="B83" s="8"/>
      <c r="C83" s="500">
        <v>5</v>
      </c>
      <c r="D83" s="509" t="s">
        <v>26</v>
      </c>
      <c r="E83" s="510"/>
      <c r="F83" s="510"/>
      <c r="G83" s="510"/>
      <c r="H83" s="510"/>
      <c r="I83" s="552" t="e">
        <f t="shared" si="5"/>
        <v>#DIV/0!</v>
      </c>
      <c r="J83" s="543" t="e">
        <f t="shared" si="6"/>
        <v>#DIV/0!</v>
      </c>
      <c r="K83" s="544" t="e">
        <f>AVERAGE(January_26!K115,February_26!J72,March_26!J70,April_26!J71,May_26!J72,June_26!J65,July_26!J86,,August_26!J80,J83)</f>
        <v>#DIV/0!</v>
      </c>
      <c r="L83" s="473"/>
      <c r="M83"/>
      <c r="O83" s="392"/>
      <c r="P83" s="2"/>
      <c r="Q83" s="159"/>
      <c r="R83"/>
      <c r="S83" s="6"/>
      <c r="T83" s="10"/>
      <c r="U83"/>
    </row>
    <row r="84" spans="2:26" s="1" customFormat="1" ht="27.75" x14ac:dyDescent="0.4">
      <c r="B84" s="8"/>
      <c r="C84" s="505">
        <v>6</v>
      </c>
      <c r="D84" s="506" t="s">
        <v>25</v>
      </c>
      <c r="E84" s="510"/>
      <c r="F84" s="510"/>
      <c r="G84" s="510"/>
      <c r="H84" s="510"/>
      <c r="I84" s="552" t="e">
        <f t="shared" si="5"/>
        <v>#DIV/0!</v>
      </c>
      <c r="J84" s="543" t="e">
        <f t="shared" si="6"/>
        <v>#DIV/0!</v>
      </c>
      <c r="K84" s="544" t="e">
        <f>AVERAGE(January_26!K116,February_26!J73,March_26!J71,April_26!J72,May_26!J73,June_26!J66,July_26!J87,,August_26!J81,J84)</f>
        <v>#DIV/0!</v>
      </c>
      <c r="L84" s="473"/>
      <c r="M84"/>
      <c r="N84"/>
      <c r="O84" s="392"/>
      <c r="P84" s="2"/>
      <c r="Q84" s="159"/>
      <c r="R84" s="465"/>
      <c r="S84" s="139"/>
      <c r="U84"/>
    </row>
    <row r="85" spans="2:26" s="1" customFormat="1" ht="28.5" thickBot="1" x14ac:dyDescent="0.45">
      <c r="B85" s="8"/>
      <c r="C85" s="526">
        <v>7</v>
      </c>
      <c r="D85" s="509" t="s">
        <v>847</v>
      </c>
      <c r="E85" s="510"/>
      <c r="F85" s="510"/>
      <c r="G85" s="510"/>
      <c r="H85" s="510"/>
      <c r="I85" s="552" t="e">
        <f>(G85-H85)/G85</f>
        <v>#DIV/0!</v>
      </c>
      <c r="J85" s="543" t="e">
        <f t="shared" si="6"/>
        <v>#DIV/0!</v>
      </c>
      <c r="K85" s="544" t="e">
        <f>AVERAGE(January_26!K117,February_26!J74,March_26!J72,April_26!J73,May_26!J74,June_26!J67,July_26!J88,,August_26!J82,J85)</f>
        <v>#DIV/0!</v>
      </c>
      <c r="L85" s="473"/>
      <c r="M85"/>
      <c r="N85"/>
      <c r="O85" s="392"/>
      <c r="P85" s="2"/>
      <c r="Q85" s="159"/>
      <c r="R85" s="465"/>
      <c r="S85" s="139"/>
      <c r="U85"/>
    </row>
    <row r="86" spans="2:26" s="627" customFormat="1" ht="28.5" thickBot="1" x14ac:dyDescent="0.45">
      <c r="C86" s="628"/>
      <c r="D86" s="629" t="s">
        <v>22</v>
      </c>
      <c r="E86" s="513"/>
      <c r="F86" s="513"/>
      <c r="G86" s="513"/>
      <c r="H86" s="513"/>
      <c r="I86" s="551" t="e">
        <f>((G86)-(H86))/(G86)</f>
        <v>#DIV/0!</v>
      </c>
      <c r="J86" s="514" t="e">
        <f>E86*24/((F86)/60)/17000</f>
        <v>#DIV/0!</v>
      </c>
      <c r="K86" s="515">
        <f>S79</f>
        <v>0.5124618083725887</v>
      </c>
      <c r="L86" s="630"/>
      <c r="O86" s="631"/>
      <c r="P86" s="632" t="s">
        <v>845</v>
      </c>
      <c r="Q86" s="633"/>
      <c r="R86" s="631"/>
      <c r="S86" s="634"/>
      <c r="T86" s="631"/>
      <c r="U86" s="631"/>
    </row>
    <row r="87" spans="2:26" s="1" customFormat="1" ht="24.75" thickTop="1" thickBot="1" x14ac:dyDescent="0.4">
      <c r="C87" s="479"/>
      <c r="D87" s="469"/>
      <c r="E87" s="480"/>
      <c r="F87" s="481"/>
      <c r="G87" s="482"/>
      <c r="H87" s="482"/>
      <c r="I87" s="483"/>
      <c r="J87" s="483"/>
      <c r="K87" s="483"/>
      <c r="L87" s="473"/>
      <c r="M87"/>
      <c r="N87"/>
      <c r="O87" s="271"/>
      <c r="P87" s="618"/>
      <c r="Q87" s="463"/>
      <c r="R87" s="271"/>
      <c r="S87" s="271"/>
      <c r="T87" s="467"/>
      <c r="U87" s="271"/>
      <c r="V87" s="316"/>
      <c r="W87" s="317"/>
      <c r="X87" s="317"/>
      <c r="Y87" s="317"/>
    </row>
    <row r="88" spans="2:26" s="1" customFormat="1" ht="27.75" customHeight="1" thickBot="1" x14ac:dyDescent="0.35">
      <c r="C88" s="528"/>
      <c r="D88" s="528"/>
      <c r="E88" s="528"/>
      <c r="F88" s="528"/>
      <c r="G88" s="528"/>
      <c r="H88" s="528"/>
      <c r="I88" s="528"/>
      <c r="J88" s="529"/>
      <c r="K88" s="529"/>
      <c r="L88" s="529"/>
      <c r="M88" s="529"/>
      <c r="N88" s="529"/>
      <c r="O88" s="619"/>
      <c r="P88" s="620"/>
      <c r="Q88" s="621"/>
      <c r="R88" s="619"/>
      <c r="S88" s="574">
        <f>($P$89)*24/($Q$89/60)/17000</f>
        <v>0.5124618083725887</v>
      </c>
      <c r="T88" s="621"/>
      <c r="U88" s="622"/>
    </row>
    <row r="89" spans="2:26" s="1" customFormat="1" ht="21" customHeight="1" thickTop="1" thickBot="1" x14ac:dyDescent="0.35">
      <c r="C89" s="528"/>
      <c r="D89" s="528"/>
      <c r="E89" s="528"/>
      <c r="F89" s="528"/>
      <c r="G89" s="528"/>
      <c r="H89" s="528"/>
      <c r="I89" s="528"/>
      <c r="J89" s="529"/>
      <c r="K89" s="529"/>
      <c r="L89" s="529"/>
      <c r="M89" s="529"/>
      <c r="N89" s="529"/>
      <c r="O89" s="619"/>
      <c r="P89" s="620">
        <f>G76</f>
        <v>1009764</v>
      </c>
      <c r="Q89" s="623">
        <f>August_26!K56+July_26!K61+June_26!K52+May_26!K59+April_26!K57+March_26!K58+February_26!K60+January_26!K103+K59</f>
        <v>166906</v>
      </c>
      <c r="R89" s="619"/>
      <c r="S89" s="574">
        <f>($P$89)*24/($Q$89/60)/17000</f>
        <v>0.5124618083725887</v>
      </c>
      <c r="T89" s="621"/>
      <c r="U89" s="622"/>
    </row>
    <row r="90" spans="2:26" s="1" customFormat="1" ht="21" customHeight="1" thickTop="1" thickBot="1" x14ac:dyDescent="0.35">
      <c r="C90" s="528"/>
      <c r="D90" s="528"/>
      <c r="E90" s="528"/>
      <c r="F90" s="528"/>
      <c r="G90" s="528"/>
      <c r="H90" s="528"/>
      <c r="I90" s="528"/>
      <c r="J90" s="529"/>
      <c r="K90" s="529"/>
      <c r="L90" s="529"/>
      <c r="M90" s="529"/>
      <c r="N90" s="529"/>
      <c r="O90" s="619"/>
      <c r="P90" s="620">
        <f>August_26!F56+July_26!F61+June_26!F52+May_26!F59+April_26!F57+March_26!F58+February_26!F60+January_26!F103+F59</f>
        <v>68381.959440000006</v>
      </c>
      <c r="Q90" s="624">
        <f>August_26!H56+July_26!H61+June_26!H52+May_26!H59+April_26!H57+March_26!H58+February_26!H60+January_26!H103+H59</f>
        <v>67086.836800000005</v>
      </c>
      <c r="R90" s="619"/>
      <c r="S90" s="578">
        <f>(P90-Q90)/P90</f>
        <v>1.8939536839923013E-2</v>
      </c>
      <c r="T90" s="579"/>
      <c r="U90" s="622"/>
    </row>
    <row r="91" spans="2:26" s="1" customFormat="1" ht="13.5" customHeight="1" thickTop="1" x14ac:dyDescent="0.3">
      <c r="C91" s="528"/>
      <c r="D91" s="528"/>
      <c r="E91" s="528"/>
      <c r="F91" s="528"/>
      <c r="G91" s="528"/>
      <c r="H91" s="528"/>
      <c r="I91" s="528"/>
      <c r="J91" s="529"/>
      <c r="K91" s="529"/>
      <c r="L91" s="529"/>
      <c r="M91" s="529"/>
      <c r="N91" s="529"/>
      <c r="O91" s="619"/>
      <c r="P91" s="620"/>
      <c r="Q91" s="621"/>
      <c r="R91" s="619"/>
      <c r="S91" s="619"/>
      <c r="T91" s="621"/>
      <c r="U91" s="622"/>
    </row>
    <row r="92" spans="2:26" s="1" customFormat="1" ht="20.25" customHeight="1" x14ac:dyDescent="0.35">
      <c r="C92" s="601"/>
      <c r="D92" s="601"/>
      <c r="E92" s="601"/>
      <c r="F92" s="601"/>
      <c r="G92" s="601"/>
      <c r="H92" s="601"/>
      <c r="I92" s="601"/>
      <c r="J92" s="601"/>
      <c r="K92" s="601"/>
      <c r="L92" s="601"/>
      <c r="M92" s="601"/>
      <c r="N92" s="601"/>
      <c r="O92" s="625"/>
      <c r="P92" s="625"/>
      <c r="Q92" s="625"/>
      <c r="R92" s="271"/>
      <c r="S92" s="271"/>
      <c r="T92" s="467"/>
      <c r="U92" s="622"/>
    </row>
    <row r="93" spans="2:26" s="1" customFormat="1" ht="20.25" x14ac:dyDescent="0.3">
      <c r="J93"/>
      <c r="K93"/>
      <c r="L93"/>
      <c r="M93"/>
      <c r="N93"/>
      <c r="O93" s="271"/>
      <c r="P93" s="468"/>
      <c r="Q93" s="467"/>
      <c r="R93" s="271"/>
      <c r="S93" s="271"/>
      <c r="T93" s="467"/>
      <c r="U93" s="271"/>
    </row>
    <row r="94" spans="2:26" s="1" customFormat="1" ht="20.25" x14ac:dyDescent="0.3">
      <c r="J94"/>
      <c r="K94"/>
      <c r="L94"/>
      <c r="M94"/>
      <c r="N94"/>
      <c r="O94" s="271"/>
      <c r="P94" s="468"/>
      <c r="Q94" s="467"/>
      <c r="R94" s="271"/>
      <c r="S94" s="271"/>
      <c r="T94" s="467"/>
      <c r="U94" s="271"/>
    </row>
    <row r="95" spans="2:26" s="1" customFormat="1" x14ac:dyDescent="0.2">
      <c r="J95"/>
      <c r="K95"/>
      <c r="L95"/>
      <c r="M95"/>
      <c r="N95"/>
      <c r="O95" s="392"/>
      <c r="P95" s="2"/>
      <c r="R95"/>
      <c r="S95"/>
      <c r="U95"/>
    </row>
    <row r="96" spans="2:26" s="1" customFormat="1" x14ac:dyDescent="0.2">
      <c r="J96"/>
      <c r="K96"/>
      <c r="L96"/>
      <c r="M96"/>
      <c r="N96"/>
      <c r="O96" s="392"/>
      <c r="P96" s="2"/>
      <c r="R96"/>
      <c r="S96"/>
      <c r="U96"/>
    </row>
    <row r="97" spans="10:21" s="1" customFormat="1" x14ac:dyDescent="0.2">
      <c r="J97"/>
      <c r="K97"/>
      <c r="L97"/>
      <c r="M97"/>
      <c r="N97"/>
      <c r="O97" s="392"/>
      <c r="P97" s="2"/>
      <c r="R97"/>
      <c r="S97"/>
      <c r="U97"/>
    </row>
    <row r="98" spans="10:21" s="1" customFormat="1" x14ac:dyDescent="0.2">
      <c r="J98"/>
      <c r="K98"/>
      <c r="L98"/>
      <c r="M98"/>
      <c r="N98"/>
      <c r="O98" s="392"/>
      <c r="P98" s="2"/>
      <c r="R98"/>
      <c r="S98"/>
      <c r="U98"/>
    </row>
    <row r="99" spans="10:21" s="1" customFormat="1" x14ac:dyDescent="0.2">
      <c r="J99"/>
      <c r="K99"/>
      <c r="L99"/>
      <c r="M99"/>
      <c r="N99"/>
      <c r="O99" s="392"/>
      <c r="P99" s="2"/>
      <c r="R99"/>
      <c r="S99"/>
      <c r="U99"/>
    </row>
    <row r="100" spans="10:21" s="1" customFormat="1" x14ac:dyDescent="0.2">
      <c r="J100"/>
      <c r="K100"/>
      <c r="L100"/>
      <c r="M100"/>
      <c r="N100"/>
      <c r="O100" s="392"/>
      <c r="P100" s="2"/>
      <c r="R100"/>
      <c r="S100"/>
      <c r="U100"/>
    </row>
    <row r="101" spans="10:21" s="1" customFormat="1" x14ac:dyDescent="0.2">
      <c r="J101"/>
      <c r="K101"/>
      <c r="L101"/>
      <c r="M101"/>
      <c r="N101"/>
      <c r="O101" s="392"/>
      <c r="P101" s="2"/>
      <c r="R101"/>
      <c r="S101"/>
      <c r="U101"/>
    </row>
    <row r="102" spans="10:21" s="1" customFormat="1" x14ac:dyDescent="0.2">
      <c r="J102"/>
      <c r="K102"/>
      <c r="L102"/>
      <c r="M102"/>
      <c r="N102"/>
      <c r="O102" s="392"/>
      <c r="P102" s="2"/>
      <c r="R102"/>
      <c r="S102"/>
      <c r="U102"/>
    </row>
    <row r="103" spans="10:21" s="1" customFormat="1" x14ac:dyDescent="0.2">
      <c r="J103"/>
      <c r="K103"/>
      <c r="L103"/>
      <c r="M103"/>
      <c r="N103"/>
      <c r="O103" s="392"/>
      <c r="P103" s="2"/>
      <c r="R103"/>
      <c r="S103"/>
      <c r="U103"/>
    </row>
    <row r="104" spans="10:21" s="1" customFormat="1" x14ac:dyDescent="0.2">
      <c r="J104"/>
      <c r="K104"/>
      <c r="L104"/>
      <c r="M104"/>
      <c r="N104"/>
      <c r="O104" s="392"/>
      <c r="P104" s="2"/>
      <c r="R104"/>
      <c r="S104"/>
      <c r="U104"/>
    </row>
    <row r="105" spans="10:21" s="1" customFormat="1" x14ac:dyDescent="0.2">
      <c r="J105"/>
      <c r="K105"/>
      <c r="L105"/>
      <c r="M105"/>
      <c r="N105"/>
      <c r="O105" s="392"/>
      <c r="P105" s="2"/>
      <c r="R105"/>
      <c r="S105"/>
      <c r="U105"/>
    </row>
    <row r="106" spans="10:21" s="1" customFormat="1" x14ac:dyDescent="0.2">
      <c r="J106"/>
      <c r="K106"/>
      <c r="L106"/>
      <c r="M106"/>
      <c r="N106"/>
      <c r="O106" s="392"/>
      <c r="P106" s="2"/>
      <c r="R106"/>
      <c r="S106"/>
      <c r="U106"/>
    </row>
    <row r="107" spans="10:21" s="1" customFormat="1" x14ac:dyDescent="0.2">
      <c r="J107"/>
      <c r="K107"/>
      <c r="L107"/>
      <c r="M107"/>
      <c r="N107"/>
      <c r="O107" s="392"/>
      <c r="P107" s="2"/>
      <c r="R107"/>
      <c r="S107"/>
      <c r="U107"/>
    </row>
    <row r="108" spans="10:21" s="1" customFormat="1" x14ac:dyDescent="0.2">
      <c r="J108"/>
      <c r="K108"/>
      <c r="L108"/>
      <c r="M108"/>
      <c r="N108"/>
      <c r="O108" s="392"/>
      <c r="P108" s="2"/>
      <c r="R108"/>
      <c r="S108"/>
      <c r="U108"/>
    </row>
    <row r="109" spans="10:21" s="1" customFormat="1" x14ac:dyDescent="0.2">
      <c r="J109"/>
      <c r="K109"/>
      <c r="L109"/>
      <c r="M109"/>
      <c r="N109"/>
      <c r="O109" s="392"/>
      <c r="P109" s="2"/>
      <c r="R109"/>
      <c r="S109"/>
      <c r="U109"/>
    </row>
    <row r="110" spans="10:21" s="1" customFormat="1" x14ac:dyDescent="0.2">
      <c r="J110"/>
      <c r="K110"/>
      <c r="L110"/>
      <c r="M110"/>
      <c r="N110"/>
      <c r="O110" s="392"/>
      <c r="P110" s="2"/>
      <c r="R110"/>
      <c r="S110"/>
      <c r="U110"/>
    </row>
    <row r="111" spans="10:21" s="1" customFormat="1" x14ac:dyDescent="0.2">
      <c r="J111"/>
      <c r="K111"/>
      <c r="L111"/>
      <c r="M111"/>
      <c r="N111"/>
      <c r="O111" s="392"/>
      <c r="P111" s="2"/>
      <c r="R111"/>
      <c r="S111"/>
      <c r="U111"/>
    </row>
    <row r="112" spans="10:21" s="1" customFormat="1" x14ac:dyDescent="0.2">
      <c r="J112"/>
      <c r="K112"/>
      <c r="L112"/>
      <c r="M112"/>
      <c r="N112"/>
      <c r="O112" s="392"/>
      <c r="P112" s="2"/>
      <c r="R112"/>
      <c r="S112"/>
      <c r="U112"/>
    </row>
    <row r="113" spans="10:21" s="1" customFormat="1" x14ac:dyDescent="0.2">
      <c r="J113"/>
      <c r="K113"/>
      <c r="L113"/>
      <c r="M113"/>
      <c r="N113"/>
      <c r="O113" s="392"/>
      <c r="P113" s="2"/>
      <c r="R113"/>
      <c r="S113"/>
      <c r="U113"/>
    </row>
    <row r="114" spans="10:21" s="1" customFormat="1" x14ac:dyDescent="0.2">
      <c r="J114"/>
      <c r="K114"/>
      <c r="L114"/>
      <c r="M114"/>
      <c r="N114"/>
      <c r="O114" s="392"/>
      <c r="P114" s="2"/>
      <c r="R114"/>
      <c r="S114"/>
      <c r="U114"/>
    </row>
    <row r="115" spans="10:21" s="1" customFormat="1" x14ac:dyDescent="0.2">
      <c r="J115"/>
      <c r="K115"/>
      <c r="L115"/>
      <c r="M115"/>
      <c r="N115"/>
      <c r="O115" s="392"/>
      <c r="P115" s="2"/>
      <c r="R115"/>
      <c r="S115"/>
      <c r="U115"/>
    </row>
    <row r="116" spans="10:21" s="1" customFormat="1" x14ac:dyDescent="0.2">
      <c r="J116"/>
      <c r="K116"/>
      <c r="L116"/>
      <c r="M116"/>
      <c r="N116"/>
      <c r="O116" s="392"/>
      <c r="P116" s="2"/>
      <c r="R116"/>
      <c r="S116"/>
      <c r="U116"/>
    </row>
    <row r="117" spans="10:21" s="1" customFormat="1" x14ac:dyDescent="0.2">
      <c r="J117"/>
      <c r="K117"/>
      <c r="L117"/>
      <c r="M117"/>
      <c r="N117"/>
      <c r="O117" s="392"/>
      <c r="P117" s="2"/>
      <c r="R117"/>
      <c r="S117"/>
      <c r="U117"/>
    </row>
    <row r="118" spans="10:21" s="1" customFormat="1" x14ac:dyDescent="0.2">
      <c r="J118"/>
      <c r="K118"/>
      <c r="L118"/>
      <c r="M118"/>
      <c r="N118"/>
      <c r="O118" s="392"/>
      <c r="P118" s="2"/>
      <c r="R118"/>
      <c r="S118"/>
      <c r="U118"/>
    </row>
    <row r="119" spans="10:21" s="1" customFormat="1" x14ac:dyDescent="0.2">
      <c r="J119"/>
      <c r="K119"/>
      <c r="L119"/>
      <c r="M119"/>
      <c r="N119"/>
      <c r="O119" s="392"/>
      <c r="P119" s="2"/>
      <c r="R119"/>
      <c r="S119"/>
      <c r="U119"/>
    </row>
    <row r="120" spans="10:21" s="1" customFormat="1" x14ac:dyDescent="0.2">
      <c r="J120"/>
      <c r="K120"/>
      <c r="L120"/>
      <c r="M120"/>
      <c r="N120"/>
      <c r="O120" s="392"/>
      <c r="P120" s="2"/>
      <c r="R120"/>
      <c r="S120"/>
      <c r="U120"/>
    </row>
    <row r="121" spans="10:21" s="1" customFormat="1" x14ac:dyDescent="0.2">
      <c r="J121"/>
      <c r="K121"/>
      <c r="L121"/>
      <c r="M121"/>
      <c r="N121"/>
      <c r="O121" s="392"/>
      <c r="P121" s="2"/>
      <c r="R121"/>
      <c r="S121"/>
      <c r="U121"/>
    </row>
    <row r="122" spans="10:21" s="1" customFormat="1" x14ac:dyDescent="0.2">
      <c r="J122"/>
      <c r="K122"/>
      <c r="L122"/>
      <c r="M122"/>
      <c r="N122"/>
      <c r="O122" s="392"/>
      <c r="P122" s="2"/>
      <c r="R122"/>
      <c r="S122"/>
      <c r="U122"/>
    </row>
    <row r="123" spans="10:21" s="1" customFormat="1" x14ac:dyDescent="0.2">
      <c r="J123"/>
      <c r="K123"/>
      <c r="L123"/>
      <c r="M123"/>
      <c r="N123"/>
      <c r="O123" s="392"/>
      <c r="P123" s="2"/>
      <c r="R123"/>
      <c r="S123"/>
      <c r="U123"/>
    </row>
    <row r="124" spans="10:21" s="1" customFormat="1" x14ac:dyDescent="0.2">
      <c r="J124"/>
      <c r="K124"/>
      <c r="L124"/>
      <c r="M124"/>
      <c r="N124"/>
      <c r="O124" s="392"/>
      <c r="P124" s="2"/>
      <c r="R124"/>
      <c r="S124"/>
      <c r="U124"/>
    </row>
    <row r="125" spans="10:21" s="1" customFormat="1" x14ac:dyDescent="0.2">
      <c r="J125"/>
      <c r="K125"/>
      <c r="L125"/>
      <c r="M125"/>
      <c r="N125"/>
      <c r="O125" s="392"/>
      <c r="P125" s="2"/>
      <c r="R125"/>
      <c r="S125"/>
      <c r="U125"/>
    </row>
    <row r="126" spans="10:21" s="1" customFormat="1" x14ac:dyDescent="0.2">
      <c r="J126"/>
      <c r="K126"/>
      <c r="L126"/>
      <c r="M126"/>
      <c r="N126"/>
      <c r="O126" s="392"/>
      <c r="P126" s="2"/>
      <c r="R126"/>
      <c r="S126"/>
      <c r="U126"/>
    </row>
    <row r="127" spans="10:21" s="1" customFormat="1" x14ac:dyDescent="0.2">
      <c r="J127"/>
      <c r="K127"/>
      <c r="L127"/>
      <c r="M127"/>
      <c r="N127"/>
      <c r="O127" s="392"/>
      <c r="P127" s="2"/>
      <c r="R127"/>
      <c r="S127"/>
      <c r="U127"/>
    </row>
    <row r="128" spans="10:21" s="1" customFormat="1" x14ac:dyDescent="0.2">
      <c r="J128"/>
      <c r="K128"/>
      <c r="L128"/>
      <c r="M128"/>
      <c r="N128"/>
      <c r="O128" s="392"/>
      <c r="P128" s="2"/>
      <c r="R128"/>
      <c r="S128"/>
      <c r="U128"/>
    </row>
    <row r="129" spans="10:21" s="1" customFormat="1" x14ac:dyDescent="0.2">
      <c r="J129"/>
      <c r="K129"/>
      <c r="L129"/>
      <c r="M129"/>
      <c r="N129"/>
      <c r="O129" s="392"/>
      <c r="P129" s="2"/>
      <c r="R129"/>
      <c r="S129"/>
      <c r="U129"/>
    </row>
    <row r="130" spans="10:21" s="1" customFormat="1" x14ac:dyDescent="0.2">
      <c r="J130"/>
      <c r="K130"/>
      <c r="L130"/>
      <c r="M130"/>
      <c r="N130"/>
      <c r="O130" s="392"/>
      <c r="P130" s="2"/>
      <c r="R130"/>
      <c r="S130"/>
      <c r="U130"/>
    </row>
    <row r="131" spans="10:21" s="1" customFormat="1" x14ac:dyDescent="0.2">
      <c r="J131"/>
      <c r="K131"/>
      <c r="L131"/>
      <c r="M131"/>
      <c r="N131"/>
      <c r="O131" s="392"/>
      <c r="P131" s="2"/>
      <c r="R131"/>
      <c r="S131"/>
      <c r="U131"/>
    </row>
    <row r="132" spans="10:21" s="1" customFormat="1" x14ac:dyDescent="0.2">
      <c r="J132"/>
      <c r="K132"/>
      <c r="L132"/>
      <c r="M132"/>
      <c r="N132"/>
      <c r="O132" s="392"/>
      <c r="P132" s="2"/>
      <c r="R132"/>
      <c r="S132"/>
      <c r="U132"/>
    </row>
    <row r="133" spans="10:21" s="1" customFormat="1" x14ac:dyDescent="0.2">
      <c r="J133"/>
      <c r="K133"/>
      <c r="L133"/>
      <c r="M133"/>
      <c r="N133"/>
      <c r="O133" s="392"/>
      <c r="P133" s="2"/>
      <c r="R133"/>
      <c r="S133"/>
      <c r="U133"/>
    </row>
    <row r="134" spans="10:21" s="1" customFormat="1" x14ac:dyDescent="0.2">
      <c r="J134"/>
      <c r="K134"/>
      <c r="L134"/>
      <c r="M134"/>
      <c r="N134"/>
      <c r="O134" s="392"/>
      <c r="P134" s="2"/>
      <c r="R134"/>
      <c r="S134"/>
      <c r="U134"/>
    </row>
    <row r="135" spans="10:21" s="1" customFormat="1" x14ac:dyDescent="0.2">
      <c r="J135"/>
      <c r="K135"/>
      <c r="L135"/>
      <c r="M135"/>
      <c r="N135"/>
      <c r="O135" s="392"/>
      <c r="P135" s="2"/>
      <c r="R135"/>
      <c r="S135"/>
      <c r="U135"/>
    </row>
    <row r="136" spans="10:21" s="1" customFormat="1" x14ac:dyDescent="0.2">
      <c r="J136"/>
      <c r="K136"/>
      <c r="L136"/>
      <c r="M136"/>
      <c r="N136"/>
      <c r="O136" s="392"/>
      <c r="P136" s="2"/>
      <c r="R136"/>
      <c r="S136"/>
      <c r="U136"/>
    </row>
    <row r="137" spans="10:21" s="1" customFormat="1" x14ac:dyDescent="0.2">
      <c r="J137"/>
      <c r="K137"/>
      <c r="L137"/>
      <c r="M137"/>
      <c r="N137"/>
      <c r="O137" s="392"/>
      <c r="P137" s="2"/>
      <c r="R137"/>
      <c r="S137"/>
      <c r="U137"/>
    </row>
    <row r="138" spans="10:21" s="1" customFormat="1" x14ac:dyDescent="0.2">
      <c r="J138"/>
      <c r="K138"/>
      <c r="L138"/>
      <c r="M138"/>
      <c r="N138"/>
      <c r="O138" s="392"/>
      <c r="P138" s="2"/>
      <c r="R138"/>
      <c r="S138"/>
      <c r="U138"/>
    </row>
    <row r="139" spans="10:21" s="1" customFormat="1" x14ac:dyDescent="0.2">
      <c r="J139"/>
      <c r="K139"/>
      <c r="L139"/>
      <c r="M139"/>
      <c r="N139"/>
      <c r="O139" s="392"/>
      <c r="P139" s="2"/>
      <c r="R139"/>
      <c r="S139"/>
      <c r="U139"/>
    </row>
    <row r="140" spans="10:21" s="1" customFormat="1" x14ac:dyDescent="0.2">
      <c r="J140"/>
      <c r="K140"/>
      <c r="L140"/>
      <c r="M140"/>
      <c r="N140"/>
      <c r="O140" s="392"/>
      <c r="P140" s="2"/>
      <c r="R140"/>
      <c r="S140"/>
      <c r="U140"/>
    </row>
    <row r="141" spans="10:21" s="1" customFormat="1" x14ac:dyDescent="0.2">
      <c r="J141"/>
      <c r="K141"/>
      <c r="L141"/>
      <c r="M141"/>
      <c r="N141"/>
      <c r="O141" s="392"/>
      <c r="P141" s="2"/>
      <c r="R141"/>
      <c r="S141"/>
      <c r="U141"/>
    </row>
    <row r="142" spans="10:21" s="1" customFormat="1" x14ac:dyDescent="0.2">
      <c r="J142"/>
      <c r="K142"/>
      <c r="L142"/>
      <c r="M142"/>
      <c r="N142"/>
      <c r="O142" s="392"/>
      <c r="P142" s="2"/>
      <c r="R142"/>
      <c r="S142"/>
      <c r="U142"/>
    </row>
    <row r="143" spans="10:21" s="1" customFormat="1" x14ac:dyDescent="0.2">
      <c r="J143"/>
      <c r="K143"/>
      <c r="L143"/>
      <c r="M143"/>
      <c r="N143"/>
      <c r="O143" s="392"/>
      <c r="P143" s="2"/>
      <c r="R143"/>
      <c r="S143"/>
      <c r="U143"/>
    </row>
    <row r="144" spans="10:21" s="1" customFormat="1" x14ac:dyDescent="0.2">
      <c r="J144"/>
      <c r="K144"/>
      <c r="L144"/>
      <c r="M144"/>
      <c r="N144"/>
      <c r="O144" s="392"/>
      <c r="P144" s="2"/>
      <c r="R144"/>
      <c r="S144"/>
      <c r="U144"/>
    </row>
    <row r="145" spans="10:21" s="1" customFormat="1" x14ac:dyDescent="0.2">
      <c r="J145"/>
      <c r="K145"/>
      <c r="L145"/>
      <c r="M145"/>
      <c r="N145"/>
      <c r="O145" s="392"/>
      <c r="P145" s="2"/>
      <c r="R145"/>
      <c r="S145"/>
      <c r="U145"/>
    </row>
    <row r="146" spans="10:21" s="1" customFormat="1" x14ac:dyDescent="0.2">
      <c r="J146"/>
      <c r="K146"/>
      <c r="L146"/>
      <c r="M146"/>
      <c r="N146"/>
      <c r="O146" s="392"/>
      <c r="P146" s="2"/>
      <c r="R146"/>
      <c r="S146"/>
      <c r="U146"/>
    </row>
    <row r="147" spans="10:21" s="1" customFormat="1" x14ac:dyDescent="0.2">
      <c r="J147"/>
      <c r="K147"/>
      <c r="L147"/>
      <c r="M147"/>
      <c r="N147"/>
      <c r="O147" s="392"/>
      <c r="P147" s="2"/>
      <c r="R147"/>
      <c r="S147"/>
      <c r="U147"/>
    </row>
    <row r="148" spans="10:21" s="1" customFormat="1" x14ac:dyDescent="0.2">
      <c r="J148"/>
      <c r="K148"/>
      <c r="L148"/>
      <c r="M148"/>
      <c r="N148"/>
      <c r="O148" s="392"/>
      <c r="P148" s="2"/>
      <c r="R148"/>
      <c r="S148"/>
      <c r="U148"/>
    </row>
    <row r="149" spans="10:21" s="1" customFormat="1" x14ac:dyDescent="0.2">
      <c r="J149"/>
      <c r="K149"/>
      <c r="L149"/>
      <c r="M149"/>
      <c r="N149"/>
      <c r="O149" s="392"/>
      <c r="P149" s="2"/>
      <c r="R149"/>
      <c r="S149"/>
      <c r="U149"/>
    </row>
    <row r="150" spans="10:21" s="1" customFormat="1" x14ac:dyDescent="0.2">
      <c r="J150"/>
      <c r="K150"/>
      <c r="L150"/>
      <c r="M150"/>
      <c r="N150"/>
      <c r="O150" s="392"/>
      <c r="P150" s="2"/>
      <c r="R150"/>
      <c r="S150"/>
      <c r="U150"/>
    </row>
    <row r="151" spans="10:21" s="1" customFormat="1" x14ac:dyDescent="0.2">
      <c r="J151"/>
      <c r="K151"/>
      <c r="L151"/>
      <c r="M151"/>
      <c r="N151"/>
      <c r="O151" s="392"/>
      <c r="P151" s="2"/>
      <c r="R151"/>
      <c r="S151"/>
      <c r="U151"/>
    </row>
    <row r="152" spans="10:21" s="1" customFormat="1" x14ac:dyDescent="0.2">
      <c r="J152"/>
      <c r="K152"/>
      <c r="L152"/>
      <c r="M152"/>
      <c r="N152"/>
      <c r="O152" s="392"/>
      <c r="P152" s="2"/>
      <c r="R152"/>
      <c r="S152"/>
      <c r="U152"/>
    </row>
    <row r="153" spans="10:21" s="1" customFormat="1" x14ac:dyDescent="0.2">
      <c r="J153"/>
      <c r="K153"/>
      <c r="L153"/>
      <c r="M153"/>
      <c r="N153"/>
      <c r="O153" s="392"/>
      <c r="P153" s="2"/>
      <c r="R153"/>
      <c r="S153"/>
      <c r="U153"/>
    </row>
    <row r="154" spans="10:21" s="1" customFormat="1" x14ac:dyDescent="0.2">
      <c r="J154"/>
      <c r="K154"/>
      <c r="L154"/>
      <c r="M154"/>
      <c r="N154"/>
      <c r="O154" s="392"/>
      <c r="P154" s="2"/>
      <c r="R154"/>
      <c r="S154"/>
      <c r="U154"/>
    </row>
    <row r="155" spans="10:21" s="1" customFormat="1" x14ac:dyDescent="0.2">
      <c r="J155"/>
      <c r="K155"/>
      <c r="L155"/>
      <c r="M155"/>
      <c r="N155"/>
      <c r="O155" s="392"/>
      <c r="P155" s="2"/>
      <c r="R155"/>
      <c r="S155"/>
      <c r="U155"/>
    </row>
    <row r="156" spans="10:21" s="1" customFormat="1" x14ac:dyDescent="0.2">
      <c r="J156"/>
      <c r="K156"/>
      <c r="L156"/>
      <c r="M156"/>
      <c r="N156"/>
      <c r="O156" s="392"/>
      <c r="P156" s="2"/>
      <c r="R156"/>
      <c r="S156"/>
      <c r="U156"/>
    </row>
    <row r="157" spans="10:21" s="1" customFormat="1" x14ac:dyDescent="0.2">
      <c r="J157"/>
      <c r="K157"/>
      <c r="L157"/>
      <c r="M157"/>
      <c r="N157"/>
      <c r="O157" s="392"/>
      <c r="P157" s="2"/>
      <c r="R157"/>
      <c r="S157"/>
      <c r="U157"/>
    </row>
    <row r="158" spans="10:21" s="1" customFormat="1" x14ac:dyDescent="0.2">
      <c r="J158"/>
      <c r="K158"/>
      <c r="L158"/>
      <c r="M158"/>
      <c r="N158"/>
      <c r="O158" s="392"/>
      <c r="P158" s="2"/>
      <c r="R158"/>
      <c r="S158"/>
      <c r="U158"/>
    </row>
    <row r="159" spans="10:21" s="1" customFormat="1" x14ac:dyDescent="0.2">
      <c r="J159"/>
      <c r="K159"/>
      <c r="L159"/>
      <c r="M159"/>
      <c r="N159"/>
      <c r="O159" s="392"/>
      <c r="P159" s="2"/>
      <c r="R159"/>
      <c r="S159"/>
      <c r="U159"/>
    </row>
    <row r="160" spans="10:21" s="1" customFormat="1" x14ac:dyDescent="0.2">
      <c r="J160"/>
      <c r="K160"/>
      <c r="L160"/>
      <c r="M160"/>
      <c r="N160"/>
      <c r="O160" s="392"/>
      <c r="P160" s="2"/>
      <c r="R160"/>
      <c r="S160"/>
      <c r="U160"/>
    </row>
    <row r="161" spans="10:21" s="1" customFormat="1" x14ac:dyDescent="0.2">
      <c r="J161"/>
      <c r="K161"/>
      <c r="L161"/>
      <c r="M161"/>
      <c r="N161"/>
      <c r="O161" s="392"/>
      <c r="P161" s="2"/>
      <c r="R161"/>
      <c r="S161"/>
      <c r="U161"/>
    </row>
    <row r="162" spans="10:21" s="1" customFormat="1" x14ac:dyDescent="0.2">
      <c r="J162"/>
      <c r="K162"/>
      <c r="L162"/>
      <c r="M162"/>
      <c r="N162"/>
      <c r="O162" s="392"/>
      <c r="P162" s="2"/>
      <c r="R162"/>
      <c r="S162"/>
      <c r="U162"/>
    </row>
    <row r="163" spans="10:21" s="1" customFormat="1" x14ac:dyDescent="0.2">
      <c r="J163"/>
      <c r="K163"/>
      <c r="L163"/>
      <c r="M163"/>
      <c r="N163"/>
      <c r="O163" s="392"/>
      <c r="P163" s="2"/>
      <c r="R163"/>
      <c r="S163"/>
      <c r="U163"/>
    </row>
    <row r="164" spans="10:21" s="1" customFormat="1" x14ac:dyDescent="0.2">
      <c r="J164"/>
      <c r="K164"/>
      <c r="L164"/>
      <c r="M164"/>
      <c r="N164"/>
      <c r="O164" s="392"/>
      <c r="P164" s="2"/>
      <c r="R164"/>
      <c r="S164"/>
      <c r="U164"/>
    </row>
    <row r="165" spans="10:21" s="1" customFormat="1" x14ac:dyDescent="0.2">
      <c r="J165"/>
      <c r="K165"/>
      <c r="L165"/>
      <c r="M165"/>
      <c r="N165"/>
      <c r="O165" s="392"/>
      <c r="P165" s="2"/>
      <c r="R165"/>
      <c r="S165"/>
      <c r="U165"/>
    </row>
    <row r="166" spans="10:21" s="1" customFormat="1" x14ac:dyDescent="0.2">
      <c r="J166"/>
      <c r="K166"/>
      <c r="L166"/>
      <c r="M166"/>
      <c r="N166"/>
      <c r="O166" s="392"/>
      <c r="P166" s="2"/>
      <c r="R166"/>
      <c r="S166"/>
      <c r="U166"/>
    </row>
    <row r="167" spans="10:21" s="1" customFormat="1" x14ac:dyDescent="0.2">
      <c r="J167"/>
      <c r="K167"/>
      <c r="L167"/>
      <c r="M167"/>
      <c r="N167"/>
      <c r="O167" s="392"/>
      <c r="P167" s="2"/>
      <c r="R167"/>
      <c r="S167"/>
      <c r="U167"/>
    </row>
    <row r="168" spans="10:21" s="1" customFormat="1" x14ac:dyDescent="0.2">
      <c r="J168"/>
      <c r="K168"/>
      <c r="L168"/>
      <c r="M168"/>
      <c r="N168"/>
      <c r="O168" s="392"/>
      <c r="P168" s="2"/>
      <c r="R168"/>
      <c r="S168"/>
      <c r="U168"/>
    </row>
    <row r="169" spans="10:21" s="1" customFormat="1" x14ac:dyDescent="0.2">
      <c r="J169"/>
      <c r="K169"/>
      <c r="L169"/>
      <c r="M169"/>
      <c r="N169"/>
      <c r="O169" s="392"/>
      <c r="P169" s="2"/>
      <c r="R169"/>
      <c r="S169"/>
      <c r="U169"/>
    </row>
    <row r="170" spans="10:21" s="1" customFormat="1" x14ac:dyDescent="0.2">
      <c r="J170"/>
      <c r="K170"/>
      <c r="L170"/>
      <c r="M170"/>
      <c r="N170"/>
      <c r="O170" s="392"/>
      <c r="P170" s="2"/>
      <c r="R170"/>
      <c r="S170"/>
      <c r="U170"/>
    </row>
    <row r="171" spans="10:21" s="1" customFormat="1" x14ac:dyDescent="0.2">
      <c r="J171"/>
      <c r="K171"/>
      <c r="L171"/>
      <c r="M171"/>
      <c r="N171"/>
      <c r="O171" s="392"/>
      <c r="P171" s="2"/>
      <c r="R171"/>
      <c r="S171"/>
      <c r="U171"/>
    </row>
    <row r="172" spans="10:21" s="1" customFormat="1" x14ac:dyDescent="0.2">
      <c r="J172"/>
      <c r="K172"/>
      <c r="L172"/>
      <c r="M172"/>
      <c r="N172"/>
      <c r="O172" s="392"/>
      <c r="P172" s="2"/>
      <c r="R172"/>
      <c r="S172"/>
      <c r="U172"/>
    </row>
    <row r="173" spans="10:21" s="1" customFormat="1" x14ac:dyDescent="0.2">
      <c r="J173"/>
      <c r="K173"/>
      <c r="L173"/>
      <c r="M173"/>
      <c r="N173"/>
      <c r="O173" s="392"/>
      <c r="P173" s="2"/>
      <c r="R173"/>
      <c r="S173"/>
      <c r="U173"/>
    </row>
    <row r="174" spans="10:21" s="1" customFormat="1" x14ac:dyDescent="0.2">
      <c r="J174"/>
      <c r="K174"/>
      <c r="L174"/>
      <c r="M174"/>
      <c r="N174"/>
      <c r="O174" s="392"/>
      <c r="P174" s="2"/>
      <c r="R174"/>
      <c r="S174"/>
      <c r="U174"/>
    </row>
    <row r="175" spans="10:21" s="1" customFormat="1" x14ac:dyDescent="0.2">
      <c r="J175"/>
      <c r="K175"/>
      <c r="L175"/>
      <c r="M175"/>
      <c r="N175"/>
      <c r="O175" s="392"/>
      <c r="P175" s="2"/>
      <c r="R175"/>
      <c r="S175"/>
      <c r="U175"/>
    </row>
    <row r="176" spans="10:21" s="1" customFormat="1" x14ac:dyDescent="0.2">
      <c r="J176"/>
      <c r="K176"/>
      <c r="L176"/>
      <c r="M176"/>
      <c r="N176"/>
      <c r="O176" s="392"/>
      <c r="P176" s="2"/>
      <c r="R176"/>
      <c r="S176"/>
      <c r="U176"/>
    </row>
    <row r="177" spans="10:21" s="1" customFormat="1" x14ac:dyDescent="0.2">
      <c r="J177"/>
      <c r="K177"/>
      <c r="L177"/>
      <c r="M177"/>
      <c r="N177"/>
      <c r="O177" s="392"/>
      <c r="P177" s="2"/>
      <c r="R177"/>
      <c r="S177"/>
      <c r="U177"/>
    </row>
    <row r="178" spans="10:21" s="1" customFormat="1" x14ac:dyDescent="0.2">
      <c r="J178"/>
      <c r="K178"/>
      <c r="L178"/>
      <c r="M178"/>
      <c r="N178"/>
      <c r="O178" s="392"/>
      <c r="P178" s="2"/>
      <c r="R178"/>
      <c r="S178"/>
      <c r="U178"/>
    </row>
    <row r="179" spans="10:21" s="1" customFormat="1" x14ac:dyDescent="0.2">
      <c r="J179"/>
      <c r="K179"/>
      <c r="L179"/>
      <c r="M179"/>
      <c r="N179"/>
      <c r="O179" s="392"/>
      <c r="P179" s="2"/>
      <c r="R179"/>
      <c r="S179"/>
      <c r="U179"/>
    </row>
    <row r="180" spans="10:21" s="1" customFormat="1" x14ac:dyDescent="0.2">
      <c r="J180"/>
      <c r="K180"/>
      <c r="L180"/>
      <c r="M180"/>
      <c r="N180"/>
      <c r="O180" s="392"/>
      <c r="P180" s="2"/>
      <c r="R180"/>
      <c r="S180"/>
      <c r="U180"/>
    </row>
    <row r="181" spans="10:21" s="1" customFormat="1" x14ac:dyDescent="0.2">
      <c r="J181"/>
      <c r="K181"/>
      <c r="L181"/>
      <c r="M181"/>
      <c r="N181"/>
      <c r="O181" s="392"/>
      <c r="P181" s="2"/>
      <c r="R181"/>
      <c r="S181"/>
      <c r="U181"/>
    </row>
    <row r="182" spans="10:21" s="1" customFormat="1" x14ac:dyDescent="0.2">
      <c r="J182"/>
      <c r="K182"/>
      <c r="L182"/>
      <c r="M182"/>
      <c r="N182"/>
      <c r="O182" s="392"/>
      <c r="P182" s="2"/>
      <c r="R182"/>
      <c r="S182"/>
      <c r="U182"/>
    </row>
    <row r="183" spans="10:21" s="1" customFormat="1" x14ac:dyDescent="0.2">
      <c r="J183"/>
      <c r="K183"/>
      <c r="L183"/>
      <c r="M183"/>
      <c r="N183"/>
      <c r="O183" s="392"/>
      <c r="P183" s="2"/>
      <c r="R183"/>
      <c r="S183"/>
      <c r="U183"/>
    </row>
    <row r="184" spans="10:21" s="1" customFormat="1" x14ac:dyDescent="0.2">
      <c r="J184"/>
      <c r="K184"/>
      <c r="L184"/>
      <c r="M184"/>
      <c r="N184"/>
      <c r="O184" s="392"/>
      <c r="P184" s="2"/>
      <c r="R184"/>
      <c r="S184"/>
      <c r="U184"/>
    </row>
    <row r="185" spans="10:21" s="1" customFormat="1" x14ac:dyDescent="0.2">
      <c r="J185"/>
      <c r="K185"/>
      <c r="L185"/>
      <c r="M185"/>
      <c r="N185"/>
      <c r="O185" s="392"/>
      <c r="P185" s="2"/>
      <c r="R185"/>
      <c r="S185"/>
      <c r="U185"/>
    </row>
    <row r="186" spans="10:21" s="1" customFormat="1" x14ac:dyDescent="0.2">
      <c r="J186"/>
      <c r="K186"/>
      <c r="L186"/>
      <c r="M186"/>
      <c r="N186"/>
      <c r="O186" s="392"/>
      <c r="P186" s="2"/>
      <c r="R186"/>
      <c r="S186"/>
      <c r="U186"/>
    </row>
    <row r="187" spans="10:21" s="1" customFormat="1" x14ac:dyDescent="0.2">
      <c r="J187"/>
      <c r="K187"/>
      <c r="L187"/>
      <c r="M187"/>
      <c r="N187"/>
      <c r="O187" s="392"/>
      <c r="P187" s="2"/>
      <c r="R187"/>
      <c r="S187"/>
      <c r="U187"/>
    </row>
    <row r="188" spans="10:21" s="1" customFormat="1" x14ac:dyDescent="0.2">
      <c r="J188"/>
      <c r="K188"/>
      <c r="L188"/>
      <c r="M188"/>
      <c r="N188"/>
      <c r="O188" s="392"/>
      <c r="P188" s="2"/>
      <c r="R188"/>
      <c r="S188"/>
      <c r="U188"/>
    </row>
    <row r="189" spans="10:21" s="1" customFormat="1" x14ac:dyDescent="0.2">
      <c r="J189"/>
      <c r="K189"/>
      <c r="L189"/>
      <c r="M189"/>
      <c r="N189"/>
      <c r="O189" s="392"/>
      <c r="P189" s="2"/>
      <c r="R189"/>
      <c r="S189"/>
      <c r="U189"/>
    </row>
    <row r="190" spans="10:21" s="1" customFormat="1" x14ac:dyDescent="0.2">
      <c r="J190"/>
      <c r="K190"/>
      <c r="L190"/>
      <c r="M190"/>
      <c r="N190"/>
      <c r="O190" s="392"/>
      <c r="P190" s="2"/>
      <c r="R190"/>
      <c r="S190"/>
      <c r="U190"/>
    </row>
    <row r="191" spans="10:21" s="1" customFormat="1" x14ac:dyDescent="0.2">
      <c r="J191"/>
      <c r="K191"/>
      <c r="L191"/>
      <c r="M191"/>
      <c r="N191"/>
      <c r="O191" s="392"/>
      <c r="P191" s="2"/>
      <c r="R191"/>
      <c r="S191"/>
      <c r="U191"/>
    </row>
    <row r="192" spans="10:21" s="1" customFormat="1" x14ac:dyDescent="0.2">
      <c r="J192"/>
      <c r="K192"/>
      <c r="L192"/>
      <c r="M192"/>
      <c r="N192"/>
      <c r="O192" s="392"/>
      <c r="P192" s="2"/>
      <c r="R192"/>
      <c r="S192"/>
      <c r="U192"/>
    </row>
    <row r="193" spans="10:21" s="1" customFormat="1" x14ac:dyDescent="0.2">
      <c r="J193"/>
      <c r="K193"/>
      <c r="L193"/>
      <c r="M193"/>
      <c r="N193"/>
      <c r="O193" s="392"/>
      <c r="P193" s="2"/>
      <c r="R193"/>
      <c r="S193"/>
      <c r="U193"/>
    </row>
    <row r="194" spans="10:21" s="1" customFormat="1" x14ac:dyDescent="0.2">
      <c r="J194"/>
      <c r="K194"/>
      <c r="L194"/>
      <c r="M194"/>
      <c r="N194"/>
      <c r="O194" s="392"/>
      <c r="P194" s="2"/>
      <c r="R194"/>
      <c r="S194"/>
      <c r="U194"/>
    </row>
    <row r="195" spans="10:21" s="1" customFormat="1" x14ac:dyDescent="0.2">
      <c r="J195"/>
      <c r="K195"/>
      <c r="L195"/>
      <c r="M195"/>
      <c r="N195"/>
      <c r="O195" s="392"/>
      <c r="P195" s="2"/>
      <c r="R195"/>
      <c r="S195"/>
      <c r="U195"/>
    </row>
    <row r="196" spans="10:21" s="1" customFormat="1" x14ac:dyDescent="0.2">
      <c r="J196"/>
      <c r="K196"/>
      <c r="L196"/>
      <c r="M196"/>
      <c r="N196"/>
      <c r="O196" s="392"/>
      <c r="P196" s="2"/>
      <c r="R196"/>
      <c r="S196"/>
      <c r="U196"/>
    </row>
    <row r="197" spans="10:21" s="1" customFormat="1" x14ac:dyDescent="0.2">
      <c r="J197"/>
      <c r="K197"/>
      <c r="L197"/>
      <c r="M197"/>
      <c r="N197"/>
      <c r="O197" s="392"/>
      <c r="P197" s="2"/>
      <c r="R197"/>
      <c r="S197"/>
      <c r="U197"/>
    </row>
    <row r="198" spans="10:21" s="1" customFormat="1" x14ac:dyDescent="0.2">
      <c r="J198"/>
      <c r="K198"/>
      <c r="L198"/>
      <c r="M198"/>
      <c r="N198"/>
      <c r="O198" s="392"/>
      <c r="P198" s="2"/>
      <c r="R198"/>
      <c r="S198"/>
      <c r="U198"/>
    </row>
    <row r="199" spans="10:21" s="1" customFormat="1" x14ac:dyDescent="0.2">
      <c r="J199"/>
      <c r="K199"/>
      <c r="L199"/>
      <c r="M199"/>
      <c r="N199"/>
      <c r="O199" s="392"/>
      <c r="P199" s="2"/>
      <c r="R199"/>
      <c r="S199"/>
      <c r="U199"/>
    </row>
    <row r="200" spans="10:21" s="1" customFormat="1" x14ac:dyDescent="0.2">
      <c r="J200"/>
      <c r="K200"/>
      <c r="L200"/>
      <c r="M200"/>
      <c r="N200"/>
      <c r="O200" s="392"/>
      <c r="P200" s="2"/>
      <c r="R200"/>
      <c r="S200"/>
      <c r="U200"/>
    </row>
    <row r="201" spans="10:21" s="1" customFormat="1" x14ac:dyDescent="0.2">
      <c r="J201"/>
      <c r="K201"/>
      <c r="L201"/>
      <c r="M201"/>
      <c r="N201"/>
      <c r="O201" s="392"/>
      <c r="P201" s="2"/>
      <c r="R201"/>
      <c r="S201"/>
      <c r="U201"/>
    </row>
    <row r="202" spans="10:21" s="1" customFormat="1" x14ac:dyDescent="0.2">
      <c r="J202"/>
      <c r="K202"/>
      <c r="L202"/>
      <c r="M202"/>
      <c r="N202"/>
      <c r="O202" s="392"/>
      <c r="P202" s="2"/>
      <c r="R202"/>
      <c r="S202"/>
      <c r="U202"/>
    </row>
    <row r="203" spans="10:21" s="1" customFormat="1" x14ac:dyDescent="0.2">
      <c r="J203"/>
      <c r="K203"/>
      <c r="L203"/>
      <c r="M203"/>
      <c r="N203"/>
      <c r="O203" s="392"/>
      <c r="P203" s="2"/>
      <c r="R203"/>
      <c r="S203"/>
      <c r="U203"/>
    </row>
    <row r="204" spans="10:21" s="1" customFormat="1" x14ac:dyDescent="0.2">
      <c r="J204"/>
      <c r="K204"/>
      <c r="L204"/>
      <c r="M204"/>
      <c r="N204"/>
      <c r="O204" s="392"/>
      <c r="P204" s="2"/>
      <c r="R204"/>
      <c r="S204"/>
      <c r="U204"/>
    </row>
    <row r="205" spans="10:21" s="1" customFormat="1" x14ac:dyDescent="0.2">
      <c r="J205"/>
      <c r="K205"/>
      <c r="L205"/>
      <c r="M205"/>
      <c r="N205"/>
      <c r="O205" s="392"/>
      <c r="P205" s="2"/>
      <c r="R205"/>
      <c r="S205"/>
      <c r="U205"/>
    </row>
    <row r="206" spans="10:21" s="1" customFormat="1" x14ac:dyDescent="0.2">
      <c r="J206"/>
      <c r="K206"/>
      <c r="L206"/>
      <c r="M206"/>
      <c r="N206"/>
      <c r="O206" s="392"/>
      <c r="P206" s="2"/>
      <c r="R206"/>
      <c r="S206"/>
      <c r="U206"/>
    </row>
    <row r="207" spans="10:21" s="1" customFormat="1" x14ac:dyDescent="0.2">
      <c r="J207"/>
      <c r="K207"/>
      <c r="L207"/>
      <c r="M207"/>
      <c r="N207"/>
      <c r="O207" s="392"/>
      <c r="P207" s="2"/>
      <c r="R207"/>
      <c r="S207"/>
      <c r="U207"/>
    </row>
    <row r="208" spans="10:21" s="1" customFormat="1" x14ac:dyDescent="0.2">
      <c r="J208"/>
      <c r="K208"/>
      <c r="L208"/>
      <c r="M208"/>
      <c r="N208"/>
      <c r="O208" s="392"/>
      <c r="P208" s="2"/>
      <c r="R208"/>
      <c r="S208"/>
      <c r="U208"/>
    </row>
    <row r="209" spans="10:21" s="1" customFormat="1" x14ac:dyDescent="0.2">
      <c r="J209"/>
      <c r="K209"/>
      <c r="L209"/>
      <c r="M209"/>
      <c r="N209"/>
      <c r="O209" s="392"/>
      <c r="P209" s="2"/>
      <c r="R209"/>
      <c r="S209"/>
      <c r="U209"/>
    </row>
    <row r="210" spans="10:21" s="1" customFormat="1" x14ac:dyDescent="0.2">
      <c r="J210"/>
      <c r="K210"/>
      <c r="L210"/>
      <c r="M210"/>
      <c r="N210"/>
      <c r="O210" s="392"/>
      <c r="P210" s="2"/>
      <c r="R210"/>
      <c r="S210"/>
      <c r="U210"/>
    </row>
    <row r="211" spans="10:21" s="1" customFormat="1" x14ac:dyDescent="0.2">
      <c r="J211"/>
      <c r="K211"/>
      <c r="L211"/>
      <c r="M211"/>
      <c r="N211"/>
      <c r="O211" s="392"/>
      <c r="P211" s="2"/>
      <c r="R211"/>
      <c r="S211"/>
      <c r="U211"/>
    </row>
    <row r="212" spans="10:21" s="1" customFormat="1" x14ac:dyDescent="0.2">
      <c r="J212"/>
      <c r="K212"/>
      <c r="L212"/>
      <c r="M212"/>
      <c r="N212"/>
      <c r="O212" s="392"/>
      <c r="P212" s="2"/>
      <c r="R212"/>
      <c r="S212"/>
      <c r="U212"/>
    </row>
    <row r="213" spans="10:21" s="1" customFormat="1" x14ac:dyDescent="0.2">
      <c r="J213"/>
      <c r="K213"/>
      <c r="L213"/>
      <c r="M213"/>
      <c r="N213"/>
      <c r="O213" s="392"/>
      <c r="P213" s="2"/>
      <c r="R213"/>
      <c r="S213"/>
      <c r="U213"/>
    </row>
    <row r="214" spans="10:21" s="1" customFormat="1" x14ac:dyDescent="0.2">
      <c r="J214"/>
      <c r="K214"/>
      <c r="L214"/>
      <c r="M214"/>
      <c r="N214"/>
      <c r="O214" s="392"/>
      <c r="P214" s="2"/>
      <c r="R214"/>
      <c r="S214"/>
      <c r="U214"/>
    </row>
    <row r="215" spans="10:21" s="1" customFormat="1" x14ac:dyDescent="0.2">
      <c r="J215"/>
      <c r="K215"/>
      <c r="L215"/>
      <c r="M215"/>
      <c r="N215"/>
      <c r="O215" s="392"/>
      <c r="P215" s="2"/>
      <c r="R215"/>
      <c r="S215"/>
      <c r="U215"/>
    </row>
    <row r="216" spans="10:21" s="1" customFormat="1" x14ac:dyDescent="0.2">
      <c r="J216"/>
      <c r="K216"/>
      <c r="L216"/>
      <c r="M216"/>
      <c r="N216"/>
      <c r="O216" s="392"/>
      <c r="P216" s="2"/>
      <c r="R216"/>
      <c r="S216"/>
      <c r="U216"/>
    </row>
    <row r="217" spans="10:21" s="1" customFormat="1" x14ac:dyDescent="0.2">
      <c r="J217"/>
      <c r="K217"/>
      <c r="L217"/>
      <c r="M217"/>
      <c r="N217"/>
      <c r="O217" s="392"/>
      <c r="P217" s="2"/>
      <c r="R217"/>
      <c r="S217"/>
      <c r="U217"/>
    </row>
    <row r="218" spans="10:21" s="1" customFormat="1" x14ac:dyDescent="0.2">
      <c r="J218"/>
      <c r="K218"/>
      <c r="L218"/>
      <c r="M218"/>
      <c r="N218"/>
      <c r="O218" s="392"/>
      <c r="P218" s="2"/>
      <c r="R218"/>
      <c r="S218"/>
      <c r="U218"/>
    </row>
    <row r="219" spans="10:21" s="1" customFormat="1" x14ac:dyDescent="0.2">
      <c r="J219"/>
      <c r="K219"/>
      <c r="L219"/>
      <c r="M219"/>
      <c r="N219"/>
      <c r="O219" s="392"/>
      <c r="P219" s="2"/>
      <c r="R219"/>
      <c r="S219"/>
      <c r="U219"/>
    </row>
    <row r="220" spans="10:21" s="1" customFormat="1" x14ac:dyDescent="0.2">
      <c r="J220"/>
      <c r="K220"/>
      <c r="L220"/>
      <c r="M220"/>
      <c r="N220"/>
      <c r="O220" s="392"/>
      <c r="P220" s="2"/>
      <c r="R220"/>
      <c r="S220"/>
      <c r="U220"/>
    </row>
    <row r="221" spans="10:21" s="1" customFormat="1" x14ac:dyDescent="0.2">
      <c r="J221"/>
      <c r="K221"/>
      <c r="L221"/>
      <c r="M221"/>
      <c r="N221"/>
      <c r="O221" s="392"/>
      <c r="P221" s="2"/>
      <c r="R221"/>
      <c r="S221"/>
      <c r="U221"/>
    </row>
    <row r="222" spans="10:21" s="1" customFormat="1" x14ac:dyDescent="0.2">
      <c r="J222"/>
      <c r="K222"/>
      <c r="L222"/>
      <c r="M222"/>
      <c r="N222"/>
      <c r="O222" s="392"/>
      <c r="P222" s="2"/>
      <c r="R222"/>
      <c r="S222"/>
      <c r="U222"/>
    </row>
    <row r="223" spans="10:21" s="1" customFormat="1" x14ac:dyDescent="0.2">
      <c r="J223"/>
      <c r="K223"/>
      <c r="L223"/>
      <c r="M223"/>
      <c r="N223"/>
      <c r="O223" s="392"/>
      <c r="P223" s="2"/>
      <c r="R223"/>
      <c r="S223"/>
      <c r="U223"/>
    </row>
    <row r="224" spans="10:21" s="1" customFormat="1" x14ac:dyDescent="0.2">
      <c r="J224"/>
      <c r="K224"/>
      <c r="L224"/>
      <c r="M224"/>
      <c r="N224"/>
      <c r="O224" s="392"/>
      <c r="P224" s="2"/>
      <c r="R224"/>
      <c r="S224"/>
      <c r="U224"/>
    </row>
    <row r="225" spans="10:21" s="1" customFormat="1" x14ac:dyDescent="0.2">
      <c r="J225"/>
      <c r="K225"/>
      <c r="L225"/>
      <c r="M225"/>
      <c r="N225"/>
      <c r="O225" s="392"/>
      <c r="P225" s="2"/>
      <c r="R225"/>
      <c r="S225"/>
      <c r="U225"/>
    </row>
    <row r="226" spans="10:21" s="1" customFormat="1" x14ac:dyDescent="0.2">
      <c r="J226"/>
      <c r="K226"/>
      <c r="L226"/>
      <c r="M226"/>
      <c r="N226"/>
      <c r="O226" s="392"/>
      <c r="P226" s="2"/>
      <c r="R226"/>
      <c r="S226"/>
      <c r="U226"/>
    </row>
    <row r="227" spans="10:21" s="1" customFormat="1" x14ac:dyDescent="0.2">
      <c r="J227"/>
      <c r="K227"/>
      <c r="L227"/>
      <c r="M227"/>
      <c r="N227"/>
      <c r="O227" s="392"/>
      <c r="P227" s="2"/>
      <c r="R227"/>
      <c r="S227"/>
      <c r="U227"/>
    </row>
    <row r="228" spans="10:21" s="1" customFormat="1" x14ac:dyDescent="0.2">
      <c r="J228"/>
      <c r="K228"/>
      <c r="L228"/>
      <c r="M228"/>
      <c r="N228"/>
      <c r="O228" s="392"/>
      <c r="P228" s="2"/>
      <c r="R228"/>
      <c r="S228"/>
      <c r="U228"/>
    </row>
    <row r="229" spans="10:21" s="1" customFormat="1" x14ac:dyDescent="0.2">
      <c r="J229"/>
      <c r="K229"/>
      <c r="L229"/>
      <c r="M229"/>
      <c r="N229"/>
      <c r="O229" s="392"/>
      <c r="P229" s="2"/>
      <c r="R229"/>
      <c r="S229"/>
      <c r="U229"/>
    </row>
    <row r="230" spans="10:21" s="1" customFormat="1" x14ac:dyDescent="0.2">
      <c r="J230"/>
      <c r="K230"/>
      <c r="L230"/>
      <c r="M230"/>
      <c r="N230"/>
      <c r="O230" s="392"/>
      <c r="P230" s="2"/>
      <c r="R230"/>
      <c r="S230"/>
      <c r="U230"/>
    </row>
    <row r="231" spans="10:21" s="1" customFormat="1" x14ac:dyDescent="0.2">
      <c r="J231"/>
      <c r="K231"/>
      <c r="L231"/>
      <c r="M231"/>
      <c r="N231"/>
      <c r="O231" s="392"/>
      <c r="P231" s="2"/>
      <c r="R231"/>
      <c r="S231"/>
      <c r="U231"/>
    </row>
    <row r="232" spans="10:21" s="1" customFormat="1" x14ac:dyDescent="0.2">
      <c r="J232"/>
      <c r="K232"/>
      <c r="L232"/>
      <c r="M232"/>
      <c r="N232"/>
      <c r="O232" s="392"/>
      <c r="P232" s="2"/>
      <c r="R232"/>
      <c r="S232"/>
      <c r="U232"/>
    </row>
    <row r="233" spans="10:21" s="1" customFormat="1" x14ac:dyDescent="0.2">
      <c r="J233"/>
      <c r="K233"/>
      <c r="L233"/>
      <c r="M233"/>
      <c r="N233"/>
      <c r="O233" s="392"/>
      <c r="P233" s="2"/>
      <c r="R233"/>
      <c r="S233"/>
      <c r="U233"/>
    </row>
    <row r="234" spans="10:21" s="1" customFormat="1" x14ac:dyDescent="0.2">
      <c r="J234"/>
      <c r="K234"/>
      <c r="L234"/>
      <c r="M234"/>
      <c r="N234"/>
      <c r="O234" s="392"/>
      <c r="P234" s="2"/>
      <c r="R234"/>
      <c r="S234"/>
      <c r="U234"/>
    </row>
    <row r="235" spans="10:21" s="1" customFormat="1" x14ac:dyDescent="0.2">
      <c r="J235"/>
      <c r="K235"/>
      <c r="L235"/>
      <c r="M235"/>
      <c r="N235"/>
      <c r="O235" s="392"/>
      <c r="P235" s="2"/>
      <c r="R235"/>
      <c r="S235"/>
      <c r="U235"/>
    </row>
    <row r="236" spans="10:21" s="1" customFormat="1" x14ac:dyDescent="0.2">
      <c r="J236"/>
      <c r="K236"/>
      <c r="L236"/>
      <c r="M236"/>
      <c r="N236"/>
      <c r="O236" s="392"/>
      <c r="P236" s="2"/>
      <c r="R236"/>
      <c r="S236"/>
      <c r="U236"/>
    </row>
    <row r="237" spans="10:21" s="1" customFormat="1" x14ac:dyDescent="0.2">
      <c r="J237"/>
      <c r="K237"/>
      <c r="L237"/>
      <c r="M237"/>
      <c r="N237"/>
      <c r="O237" s="392"/>
      <c r="P237" s="2"/>
      <c r="R237"/>
      <c r="S237"/>
      <c r="U237"/>
    </row>
    <row r="238" spans="10:21" s="1" customFormat="1" x14ac:dyDescent="0.2">
      <c r="J238"/>
      <c r="K238"/>
      <c r="L238"/>
      <c r="M238"/>
      <c r="N238"/>
      <c r="O238" s="392"/>
      <c r="P238" s="2"/>
      <c r="R238"/>
      <c r="S238"/>
      <c r="U238"/>
    </row>
    <row r="239" spans="10:21" s="1" customFormat="1" x14ac:dyDescent="0.2">
      <c r="J239"/>
      <c r="K239"/>
      <c r="L239"/>
      <c r="M239"/>
      <c r="N239"/>
      <c r="O239" s="392"/>
      <c r="P239" s="2"/>
      <c r="R239"/>
      <c r="S239"/>
      <c r="U239"/>
    </row>
    <row r="240" spans="10:21" s="1" customFormat="1" x14ac:dyDescent="0.2">
      <c r="J240"/>
      <c r="K240"/>
      <c r="L240"/>
      <c r="M240"/>
      <c r="N240"/>
      <c r="O240" s="392"/>
      <c r="P240" s="2"/>
      <c r="R240"/>
      <c r="S240"/>
      <c r="U240"/>
    </row>
    <row r="241" spans="10:21" s="1" customFormat="1" x14ac:dyDescent="0.2">
      <c r="J241"/>
      <c r="K241"/>
      <c r="L241"/>
      <c r="M241"/>
      <c r="N241"/>
      <c r="O241" s="392"/>
      <c r="P241" s="2"/>
      <c r="R241"/>
      <c r="S241"/>
      <c r="U241"/>
    </row>
    <row r="242" spans="10:21" s="1" customFormat="1" x14ac:dyDescent="0.2">
      <c r="J242"/>
      <c r="K242"/>
      <c r="L242"/>
      <c r="M242"/>
      <c r="N242"/>
      <c r="O242" s="392"/>
      <c r="P242" s="2"/>
      <c r="R242"/>
      <c r="S242"/>
      <c r="U242"/>
    </row>
    <row r="243" spans="10:21" s="1" customFormat="1" x14ac:dyDescent="0.2">
      <c r="J243"/>
      <c r="K243"/>
      <c r="L243"/>
      <c r="M243"/>
      <c r="N243"/>
      <c r="O243" s="392"/>
      <c r="P243" s="2"/>
      <c r="R243"/>
      <c r="S243"/>
      <c r="U243"/>
    </row>
    <row r="244" spans="10:21" s="1" customFormat="1" x14ac:dyDescent="0.2">
      <c r="J244"/>
      <c r="K244"/>
      <c r="L244"/>
      <c r="M244"/>
      <c r="N244"/>
      <c r="O244" s="392"/>
      <c r="P244" s="2"/>
      <c r="R244"/>
      <c r="S244"/>
      <c r="U244"/>
    </row>
    <row r="245" spans="10:21" s="1" customFormat="1" x14ac:dyDescent="0.2">
      <c r="J245"/>
      <c r="K245"/>
      <c r="L245"/>
      <c r="M245"/>
      <c r="N245"/>
      <c r="O245" s="392"/>
      <c r="P245" s="2"/>
      <c r="R245"/>
      <c r="S245"/>
      <c r="U245"/>
    </row>
    <row r="246" spans="10:21" s="1" customFormat="1" x14ac:dyDescent="0.2">
      <c r="J246"/>
      <c r="K246"/>
      <c r="L246"/>
      <c r="M246"/>
      <c r="N246"/>
      <c r="O246" s="392"/>
      <c r="P246" s="2"/>
      <c r="R246"/>
      <c r="S246"/>
      <c r="U246"/>
    </row>
    <row r="247" spans="10:21" s="1" customFormat="1" x14ac:dyDescent="0.2">
      <c r="J247"/>
      <c r="K247"/>
      <c r="L247"/>
      <c r="M247"/>
      <c r="N247"/>
      <c r="O247" s="392"/>
      <c r="P247" s="2"/>
      <c r="R247"/>
      <c r="S247"/>
      <c r="U247"/>
    </row>
    <row r="248" spans="10:21" s="1" customFormat="1" x14ac:dyDescent="0.2">
      <c r="J248"/>
      <c r="K248"/>
      <c r="L248"/>
      <c r="M248"/>
      <c r="N248"/>
      <c r="O248" s="392"/>
      <c r="P248" s="2"/>
      <c r="R248"/>
      <c r="S248"/>
      <c r="U248"/>
    </row>
    <row r="249" spans="10:21" s="1" customFormat="1" x14ac:dyDescent="0.2">
      <c r="J249"/>
      <c r="K249"/>
      <c r="L249"/>
      <c r="M249"/>
      <c r="N249"/>
      <c r="O249" s="392"/>
      <c r="P249" s="2"/>
      <c r="R249"/>
      <c r="S249"/>
      <c r="U249"/>
    </row>
    <row r="250" spans="10:21" s="1" customFormat="1" x14ac:dyDescent="0.2">
      <c r="J250"/>
      <c r="K250"/>
      <c r="L250"/>
      <c r="M250"/>
      <c r="N250"/>
      <c r="O250" s="392"/>
      <c r="P250" s="2"/>
      <c r="R250"/>
      <c r="S250"/>
      <c r="U250"/>
    </row>
    <row r="251" spans="10:21" s="1" customFormat="1" x14ac:dyDescent="0.2">
      <c r="J251"/>
      <c r="K251"/>
      <c r="L251"/>
      <c r="M251"/>
      <c r="N251"/>
      <c r="O251" s="392"/>
      <c r="P251" s="2"/>
      <c r="R251"/>
      <c r="S251"/>
      <c r="U251"/>
    </row>
    <row r="252" spans="10:21" s="1" customFormat="1" x14ac:dyDescent="0.2">
      <c r="J252"/>
      <c r="K252"/>
      <c r="L252"/>
      <c r="M252"/>
      <c r="N252"/>
      <c r="O252" s="392"/>
      <c r="P252" s="2"/>
      <c r="R252"/>
      <c r="S252"/>
      <c r="U252"/>
    </row>
    <row r="253" spans="10:21" s="1" customFormat="1" x14ac:dyDescent="0.2">
      <c r="J253"/>
      <c r="K253"/>
      <c r="L253"/>
      <c r="M253"/>
      <c r="N253"/>
      <c r="O253" s="392"/>
      <c r="P253" s="2"/>
      <c r="R253"/>
      <c r="S253"/>
      <c r="U253"/>
    </row>
    <row r="254" spans="10:21" s="1" customFormat="1" x14ac:dyDescent="0.2">
      <c r="J254"/>
      <c r="K254"/>
      <c r="L254"/>
      <c r="M254"/>
      <c r="N254"/>
      <c r="O254" s="392"/>
      <c r="P254" s="2"/>
      <c r="R254"/>
      <c r="S254"/>
      <c r="U254"/>
    </row>
    <row r="255" spans="10:21" s="1" customFormat="1" x14ac:dyDescent="0.2">
      <c r="J255"/>
      <c r="K255"/>
      <c r="L255"/>
      <c r="M255"/>
      <c r="N255"/>
      <c r="O255" s="392"/>
      <c r="P255" s="2"/>
      <c r="R255"/>
      <c r="S255"/>
      <c r="U255"/>
    </row>
    <row r="256" spans="10:21" s="1" customFormat="1" x14ac:dyDescent="0.2">
      <c r="J256"/>
      <c r="K256"/>
      <c r="L256"/>
      <c r="M256"/>
      <c r="N256"/>
      <c r="O256" s="392"/>
      <c r="P256" s="2"/>
      <c r="R256"/>
      <c r="S256"/>
      <c r="U256"/>
    </row>
    <row r="257" spans="10:21" s="1" customFormat="1" x14ac:dyDescent="0.2">
      <c r="J257"/>
      <c r="K257"/>
      <c r="L257"/>
      <c r="M257"/>
      <c r="N257"/>
      <c r="O257" s="392"/>
      <c r="P257" s="2"/>
      <c r="R257"/>
      <c r="S257"/>
      <c r="U257"/>
    </row>
    <row r="258" spans="10:21" s="1" customFormat="1" x14ac:dyDescent="0.2">
      <c r="J258"/>
      <c r="K258"/>
      <c r="L258"/>
      <c r="M258"/>
      <c r="N258"/>
      <c r="O258" s="392"/>
      <c r="P258" s="2"/>
      <c r="R258"/>
      <c r="S258"/>
      <c r="U258"/>
    </row>
    <row r="259" spans="10:21" s="1" customFormat="1" x14ac:dyDescent="0.2">
      <c r="J259"/>
      <c r="K259"/>
      <c r="L259"/>
      <c r="M259"/>
      <c r="N259"/>
      <c r="O259" s="392"/>
      <c r="P259" s="2"/>
      <c r="R259"/>
      <c r="S259"/>
      <c r="U259"/>
    </row>
    <row r="260" spans="10:21" s="1" customFormat="1" x14ac:dyDescent="0.2">
      <c r="J260"/>
      <c r="K260"/>
      <c r="L260"/>
      <c r="M260"/>
      <c r="N260"/>
      <c r="O260" s="392"/>
      <c r="P260" s="2"/>
      <c r="R260"/>
      <c r="S260"/>
      <c r="U260"/>
    </row>
    <row r="261" spans="10:21" s="1" customFormat="1" x14ac:dyDescent="0.2">
      <c r="J261"/>
      <c r="K261"/>
      <c r="L261"/>
      <c r="M261"/>
      <c r="N261"/>
      <c r="O261" s="392"/>
      <c r="P261" s="2"/>
      <c r="R261"/>
      <c r="S261"/>
      <c r="U261"/>
    </row>
    <row r="262" spans="10:21" s="1" customFormat="1" x14ac:dyDescent="0.2">
      <c r="J262"/>
      <c r="K262"/>
      <c r="L262"/>
      <c r="M262"/>
      <c r="N262"/>
      <c r="O262" s="392"/>
      <c r="P262" s="2"/>
      <c r="R262"/>
      <c r="S262"/>
      <c r="U262"/>
    </row>
    <row r="263" spans="10:21" s="1" customFormat="1" x14ac:dyDescent="0.2">
      <c r="J263"/>
      <c r="K263"/>
      <c r="L263"/>
      <c r="M263"/>
      <c r="N263"/>
      <c r="O263" s="392"/>
      <c r="P263" s="2"/>
      <c r="R263"/>
      <c r="S263"/>
      <c r="U263"/>
    </row>
    <row r="264" spans="10:21" s="1" customFormat="1" x14ac:dyDescent="0.2">
      <c r="J264"/>
      <c r="K264"/>
      <c r="L264"/>
      <c r="M264"/>
      <c r="N264"/>
      <c r="O264" s="392"/>
      <c r="P264" s="2"/>
      <c r="R264"/>
      <c r="S264"/>
      <c r="U264"/>
    </row>
    <row r="265" spans="10:21" s="1" customFormat="1" x14ac:dyDescent="0.2">
      <c r="J265"/>
      <c r="K265"/>
      <c r="L265"/>
      <c r="M265"/>
      <c r="N265"/>
      <c r="O265" s="392"/>
      <c r="P265" s="2"/>
      <c r="R265"/>
      <c r="S265"/>
      <c r="U265"/>
    </row>
    <row r="266" spans="10:21" s="1" customFormat="1" x14ac:dyDescent="0.2">
      <c r="J266"/>
      <c r="K266"/>
      <c r="L266"/>
      <c r="M266"/>
      <c r="N266"/>
      <c r="O266" s="392"/>
      <c r="P266" s="2"/>
      <c r="R266"/>
      <c r="S266"/>
      <c r="U266"/>
    </row>
    <row r="267" spans="10:21" s="1" customFormat="1" x14ac:dyDescent="0.2">
      <c r="J267"/>
      <c r="K267"/>
      <c r="L267"/>
      <c r="M267"/>
      <c r="N267"/>
      <c r="O267" s="392"/>
      <c r="P267" s="2"/>
      <c r="R267"/>
      <c r="S267"/>
      <c r="U267"/>
    </row>
    <row r="268" spans="10:21" s="1" customFormat="1" x14ac:dyDescent="0.2">
      <c r="J268"/>
      <c r="K268"/>
      <c r="L268"/>
      <c r="M268"/>
      <c r="N268"/>
      <c r="O268" s="392"/>
      <c r="P268" s="2"/>
      <c r="R268"/>
      <c r="S268"/>
      <c r="U268"/>
    </row>
    <row r="269" spans="10:21" s="1" customFormat="1" x14ac:dyDescent="0.2">
      <c r="J269"/>
      <c r="K269"/>
      <c r="L269"/>
      <c r="M269"/>
      <c r="N269"/>
      <c r="O269" s="392"/>
      <c r="P269" s="2"/>
      <c r="R269"/>
      <c r="S269"/>
      <c r="U269"/>
    </row>
    <row r="270" spans="10:21" s="1" customFormat="1" x14ac:dyDescent="0.2">
      <c r="J270"/>
      <c r="K270"/>
      <c r="L270"/>
      <c r="M270"/>
      <c r="N270"/>
      <c r="O270" s="392"/>
      <c r="P270" s="2"/>
      <c r="R270"/>
      <c r="S270"/>
      <c r="U270"/>
    </row>
    <row r="271" spans="10:21" s="1" customFormat="1" x14ac:dyDescent="0.2">
      <c r="J271"/>
      <c r="K271"/>
      <c r="L271"/>
      <c r="M271"/>
      <c r="N271"/>
      <c r="O271" s="392"/>
      <c r="P271" s="2"/>
      <c r="R271"/>
      <c r="S271"/>
      <c r="U271"/>
    </row>
    <row r="272" spans="10:21" s="1" customFormat="1" x14ac:dyDescent="0.2">
      <c r="J272"/>
      <c r="K272"/>
      <c r="L272"/>
      <c r="M272"/>
      <c r="N272"/>
      <c r="O272" s="392"/>
      <c r="P272" s="2"/>
      <c r="R272"/>
      <c r="S272"/>
      <c r="U272"/>
    </row>
    <row r="273" spans="10:21" s="1" customFormat="1" x14ac:dyDescent="0.2">
      <c r="J273"/>
      <c r="K273"/>
      <c r="L273"/>
      <c r="M273"/>
      <c r="N273"/>
      <c r="O273" s="392"/>
      <c r="P273" s="2"/>
      <c r="R273"/>
      <c r="S273"/>
      <c r="U273"/>
    </row>
    <row r="274" spans="10:21" s="1" customFormat="1" x14ac:dyDescent="0.2">
      <c r="J274"/>
      <c r="K274"/>
      <c r="L274"/>
      <c r="M274"/>
      <c r="N274"/>
      <c r="O274" s="392"/>
      <c r="P274" s="2"/>
      <c r="R274"/>
      <c r="S274"/>
      <c r="U274"/>
    </row>
    <row r="275" spans="10:21" s="1" customFormat="1" x14ac:dyDescent="0.2">
      <c r="J275"/>
      <c r="K275"/>
      <c r="L275"/>
      <c r="M275"/>
      <c r="N275"/>
      <c r="O275" s="392"/>
      <c r="P275" s="2"/>
      <c r="R275"/>
      <c r="S275"/>
      <c r="U275"/>
    </row>
    <row r="276" spans="10:21" s="1" customFormat="1" x14ac:dyDescent="0.2">
      <c r="J276"/>
      <c r="K276"/>
      <c r="L276"/>
      <c r="M276"/>
      <c r="N276"/>
      <c r="O276" s="392"/>
      <c r="P276" s="2"/>
      <c r="R276"/>
      <c r="S276"/>
      <c r="U276"/>
    </row>
    <row r="277" spans="10:21" s="1" customFormat="1" x14ac:dyDescent="0.2">
      <c r="J277"/>
      <c r="K277"/>
      <c r="L277"/>
      <c r="M277"/>
      <c r="N277"/>
      <c r="O277" s="392"/>
      <c r="P277" s="2"/>
      <c r="R277"/>
      <c r="S277"/>
      <c r="U277"/>
    </row>
    <row r="278" spans="10:21" s="1" customFormat="1" x14ac:dyDescent="0.2">
      <c r="J278"/>
      <c r="K278"/>
      <c r="L278"/>
      <c r="M278"/>
      <c r="N278"/>
      <c r="O278" s="392"/>
      <c r="P278" s="2"/>
      <c r="R278"/>
      <c r="S278"/>
      <c r="U278"/>
    </row>
    <row r="279" spans="10:21" s="1" customFormat="1" x14ac:dyDescent="0.2">
      <c r="J279"/>
      <c r="K279"/>
      <c r="L279"/>
      <c r="M279"/>
      <c r="N279"/>
      <c r="O279" s="392"/>
      <c r="P279" s="2"/>
      <c r="R279"/>
      <c r="S279"/>
      <c r="U279"/>
    </row>
    <row r="280" spans="10:21" s="1" customFormat="1" x14ac:dyDescent="0.2">
      <c r="J280"/>
      <c r="K280"/>
      <c r="L280"/>
      <c r="M280"/>
      <c r="N280"/>
      <c r="O280" s="392"/>
      <c r="P280" s="2"/>
      <c r="R280"/>
      <c r="S280"/>
      <c r="U280"/>
    </row>
    <row r="281" spans="10:21" s="1" customFormat="1" x14ac:dyDescent="0.2">
      <c r="J281"/>
      <c r="K281"/>
      <c r="L281"/>
      <c r="M281"/>
      <c r="N281"/>
      <c r="O281" s="392"/>
      <c r="P281" s="2"/>
      <c r="R281"/>
      <c r="S281"/>
      <c r="U281"/>
    </row>
    <row r="282" spans="10:21" s="1" customFormat="1" x14ac:dyDescent="0.2">
      <c r="J282"/>
      <c r="K282"/>
      <c r="L282"/>
      <c r="M282"/>
      <c r="N282"/>
      <c r="O282" s="392"/>
      <c r="P282" s="2"/>
      <c r="R282"/>
      <c r="S282"/>
      <c r="U282"/>
    </row>
    <row r="283" spans="10:21" s="1" customFormat="1" x14ac:dyDescent="0.2">
      <c r="J283"/>
      <c r="K283"/>
      <c r="L283"/>
      <c r="M283"/>
      <c r="N283"/>
      <c r="O283" s="392"/>
      <c r="P283" s="2"/>
      <c r="R283"/>
      <c r="S283"/>
      <c r="U283"/>
    </row>
    <row r="284" spans="10:21" s="1" customFormat="1" x14ac:dyDescent="0.2">
      <c r="J284"/>
      <c r="K284"/>
      <c r="L284"/>
      <c r="M284"/>
      <c r="N284"/>
      <c r="O284" s="392"/>
      <c r="P284" s="2"/>
      <c r="R284"/>
      <c r="S284"/>
      <c r="U284"/>
    </row>
    <row r="285" spans="10:21" s="1" customFormat="1" x14ac:dyDescent="0.2">
      <c r="J285"/>
      <c r="K285"/>
      <c r="L285"/>
      <c r="M285"/>
      <c r="N285"/>
      <c r="O285" s="392"/>
      <c r="P285" s="2"/>
      <c r="R285"/>
      <c r="S285"/>
      <c r="U285"/>
    </row>
    <row r="286" spans="10:21" s="1" customFormat="1" x14ac:dyDescent="0.2">
      <c r="J286"/>
      <c r="K286"/>
      <c r="L286"/>
      <c r="M286"/>
      <c r="N286"/>
      <c r="O286" s="392"/>
      <c r="P286" s="2"/>
      <c r="R286"/>
      <c r="S286"/>
      <c r="U286"/>
    </row>
    <row r="287" spans="10:21" s="1" customFormat="1" x14ac:dyDescent="0.2">
      <c r="J287"/>
      <c r="K287"/>
      <c r="L287"/>
      <c r="M287"/>
      <c r="N287"/>
      <c r="O287" s="392"/>
      <c r="P287" s="2"/>
      <c r="R287"/>
      <c r="S287"/>
      <c r="U287"/>
    </row>
    <row r="288" spans="10:21" s="1" customFormat="1" x14ac:dyDescent="0.2">
      <c r="J288"/>
      <c r="K288"/>
      <c r="L288"/>
      <c r="M288"/>
      <c r="N288"/>
      <c r="O288" s="392"/>
      <c r="P288" s="2"/>
      <c r="R288"/>
      <c r="S288"/>
      <c r="U288"/>
    </row>
    <row r="289" spans="10:21" s="1" customFormat="1" x14ac:dyDescent="0.2">
      <c r="J289"/>
      <c r="K289"/>
      <c r="L289"/>
      <c r="M289"/>
      <c r="N289"/>
      <c r="O289" s="392"/>
      <c r="P289" s="2"/>
      <c r="R289"/>
      <c r="S289"/>
      <c r="U289"/>
    </row>
    <row r="290" spans="10:21" s="1" customFormat="1" x14ac:dyDescent="0.2">
      <c r="J290"/>
      <c r="K290"/>
      <c r="L290"/>
      <c r="M290"/>
      <c r="N290"/>
      <c r="O290" s="392"/>
      <c r="P290" s="2"/>
      <c r="R290"/>
      <c r="S290"/>
      <c r="U290"/>
    </row>
    <row r="291" spans="10:21" s="1" customFormat="1" x14ac:dyDescent="0.2">
      <c r="J291"/>
      <c r="K291"/>
      <c r="L291"/>
      <c r="M291"/>
      <c r="N291"/>
      <c r="O291" s="392"/>
      <c r="P291" s="2"/>
      <c r="R291"/>
      <c r="S291"/>
      <c r="U291"/>
    </row>
    <row r="292" spans="10:21" s="1" customFormat="1" x14ac:dyDescent="0.2">
      <c r="J292"/>
      <c r="K292"/>
      <c r="L292"/>
      <c r="M292"/>
      <c r="N292"/>
      <c r="O292" s="392"/>
      <c r="P292" s="2"/>
      <c r="R292"/>
      <c r="S292"/>
      <c r="U292"/>
    </row>
    <row r="293" spans="10:21" s="1" customFormat="1" x14ac:dyDescent="0.2">
      <c r="J293"/>
      <c r="K293"/>
      <c r="L293"/>
      <c r="M293"/>
      <c r="N293"/>
      <c r="O293" s="392"/>
      <c r="P293" s="2"/>
      <c r="R293"/>
      <c r="S293"/>
      <c r="U293"/>
    </row>
    <row r="294" spans="10:21" s="1" customFormat="1" x14ac:dyDescent="0.2">
      <c r="J294"/>
      <c r="K294"/>
      <c r="L294"/>
      <c r="M294"/>
      <c r="N294"/>
      <c r="O294" s="392"/>
      <c r="P294" s="2"/>
      <c r="R294"/>
      <c r="S294"/>
      <c r="U294"/>
    </row>
    <row r="295" spans="10:21" s="1" customFormat="1" x14ac:dyDescent="0.2">
      <c r="J295"/>
      <c r="K295"/>
      <c r="L295"/>
      <c r="M295"/>
      <c r="N295"/>
      <c r="O295" s="392"/>
      <c r="P295" s="2"/>
      <c r="R295"/>
      <c r="S295"/>
      <c r="U295"/>
    </row>
    <row r="296" spans="10:21" s="1" customFormat="1" x14ac:dyDescent="0.2">
      <c r="J296"/>
      <c r="K296"/>
      <c r="L296"/>
      <c r="M296"/>
      <c r="N296"/>
      <c r="O296" s="392"/>
      <c r="P296" s="2"/>
      <c r="R296"/>
      <c r="S296"/>
      <c r="U296"/>
    </row>
    <row r="297" spans="10:21" s="1" customFormat="1" x14ac:dyDescent="0.2">
      <c r="J297"/>
      <c r="K297"/>
      <c r="L297"/>
      <c r="M297"/>
      <c r="N297"/>
      <c r="O297" s="392"/>
      <c r="P297" s="2"/>
      <c r="R297"/>
      <c r="S297"/>
      <c r="U297"/>
    </row>
    <row r="298" spans="10:21" s="1" customFormat="1" x14ac:dyDescent="0.2">
      <c r="J298"/>
      <c r="K298"/>
      <c r="L298"/>
      <c r="M298"/>
      <c r="N298"/>
      <c r="O298" s="392"/>
      <c r="P298" s="2"/>
      <c r="R298"/>
      <c r="S298"/>
      <c r="U298"/>
    </row>
    <row r="299" spans="10:21" s="1" customFormat="1" x14ac:dyDescent="0.2">
      <c r="J299"/>
      <c r="K299"/>
      <c r="L299"/>
      <c r="M299"/>
      <c r="N299"/>
      <c r="O299" s="392"/>
      <c r="P299" s="2"/>
      <c r="R299"/>
      <c r="S299"/>
      <c r="U299"/>
    </row>
    <row r="300" spans="10:21" s="1" customFormat="1" x14ac:dyDescent="0.2">
      <c r="J300"/>
      <c r="K300"/>
      <c r="L300"/>
      <c r="M300"/>
      <c r="N300"/>
      <c r="O300" s="392"/>
      <c r="P300" s="2"/>
      <c r="R300"/>
      <c r="S300"/>
      <c r="U300"/>
    </row>
    <row r="301" spans="10:21" s="1" customFormat="1" x14ac:dyDescent="0.2">
      <c r="J301"/>
      <c r="K301"/>
      <c r="L301"/>
      <c r="M301"/>
      <c r="N301"/>
      <c r="O301" s="392"/>
      <c r="P301" s="2"/>
      <c r="R301"/>
      <c r="S301"/>
      <c r="U301"/>
    </row>
    <row r="302" spans="10:21" s="1" customFormat="1" x14ac:dyDescent="0.2">
      <c r="J302"/>
      <c r="K302"/>
      <c r="L302"/>
      <c r="M302"/>
      <c r="N302"/>
      <c r="O302" s="392"/>
      <c r="P302" s="2"/>
      <c r="R302"/>
      <c r="S302"/>
      <c r="U302"/>
    </row>
    <row r="303" spans="10:21" s="1" customFormat="1" x14ac:dyDescent="0.2">
      <c r="J303"/>
      <c r="K303"/>
      <c r="L303"/>
      <c r="M303"/>
      <c r="N303"/>
      <c r="O303" s="392"/>
      <c r="P303" s="2"/>
      <c r="R303"/>
      <c r="S303"/>
      <c r="U303"/>
    </row>
    <row r="304" spans="10:21" s="1" customFormat="1" x14ac:dyDescent="0.2">
      <c r="J304"/>
      <c r="K304"/>
      <c r="L304"/>
      <c r="M304"/>
      <c r="N304"/>
      <c r="O304" s="392"/>
      <c r="P304" s="2"/>
      <c r="R304"/>
      <c r="S304"/>
      <c r="U304"/>
    </row>
    <row r="305" spans="10:21" s="1" customFormat="1" x14ac:dyDescent="0.2">
      <c r="J305"/>
      <c r="K305"/>
      <c r="L305"/>
      <c r="M305"/>
      <c r="N305"/>
      <c r="O305" s="392"/>
      <c r="P305" s="2"/>
      <c r="R305"/>
      <c r="S305"/>
      <c r="U305"/>
    </row>
    <row r="306" spans="10:21" s="1" customFormat="1" x14ac:dyDescent="0.2">
      <c r="J306"/>
      <c r="K306"/>
      <c r="L306"/>
      <c r="M306"/>
      <c r="N306"/>
      <c r="O306" s="392"/>
      <c r="P306" s="2"/>
      <c r="R306"/>
      <c r="S306"/>
      <c r="U306"/>
    </row>
    <row r="307" spans="10:21" s="1" customFormat="1" x14ac:dyDescent="0.2">
      <c r="J307"/>
      <c r="K307"/>
      <c r="L307"/>
      <c r="M307"/>
      <c r="N307"/>
      <c r="O307" s="392"/>
      <c r="P307" s="2"/>
      <c r="R307"/>
      <c r="S307"/>
      <c r="U307"/>
    </row>
    <row r="308" spans="10:21" s="1" customFormat="1" x14ac:dyDescent="0.2">
      <c r="J308"/>
      <c r="K308"/>
      <c r="L308"/>
      <c r="M308"/>
      <c r="N308"/>
      <c r="O308" s="392"/>
      <c r="P308" s="2"/>
      <c r="R308"/>
      <c r="S308"/>
      <c r="U308"/>
    </row>
    <row r="309" spans="10:21" s="1" customFormat="1" x14ac:dyDescent="0.2">
      <c r="J309"/>
      <c r="K309"/>
      <c r="L309"/>
      <c r="M309"/>
      <c r="N309"/>
      <c r="O309" s="392"/>
      <c r="P309" s="2"/>
      <c r="R309"/>
      <c r="S309"/>
      <c r="U309"/>
    </row>
    <row r="310" spans="10:21" s="1" customFormat="1" x14ac:dyDescent="0.2">
      <c r="J310"/>
      <c r="K310"/>
      <c r="L310"/>
      <c r="M310"/>
      <c r="N310"/>
      <c r="O310" s="392"/>
      <c r="P310" s="2"/>
      <c r="R310"/>
      <c r="S310"/>
      <c r="U310"/>
    </row>
    <row r="311" spans="10:21" s="1" customFormat="1" x14ac:dyDescent="0.2">
      <c r="J311"/>
      <c r="K311"/>
      <c r="L311"/>
      <c r="M311"/>
      <c r="N311"/>
      <c r="O311" s="392"/>
      <c r="P311" s="2"/>
      <c r="R311"/>
      <c r="S311"/>
      <c r="U311"/>
    </row>
    <row r="312" spans="10:21" s="1" customFormat="1" x14ac:dyDescent="0.2">
      <c r="J312"/>
      <c r="K312"/>
      <c r="L312"/>
      <c r="M312"/>
      <c r="N312"/>
      <c r="O312" s="392"/>
      <c r="P312" s="2"/>
      <c r="R312"/>
      <c r="S312"/>
      <c r="U312"/>
    </row>
    <row r="313" spans="10:21" s="1" customFormat="1" x14ac:dyDescent="0.2">
      <c r="J313"/>
      <c r="K313"/>
      <c r="L313"/>
      <c r="M313"/>
      <c r="N313"/>
      <c r="O313" s="392"/>
      <c r="P313" s="2"/>
      <c r="R313"/>
      <c r="S313"/>
      <c r="U313"/>
    </row>
    <row r="314" spans="10:21" s="1" customFormat="1" x14ac:dyDescent="0.2">
      <c r="J314"/>
      <c r="K314"/>
      <c r="L314"/>
      <c r="M314"/>
      <c r="N314"/>
      <c r="O314" s="392"/>
      <c r="P314" s="2"/>
      <c r="R314"/>
      <c r="S314"/>
      <c r="U314"/>
    </row>
    <row r="315" spans="10:21" s="1" customFormat="1" x14ac:dyDescent="0.2">
      <c r="J315"/>
      <c r="K315"/>
      <c r="L315"/>
      <c r="M315"/>
      <c r="N315"/>
      <c r="O315" s="392"/>
      <c r="P315" s="2"/>
      <c r="R315"/>
      <c r="S315"/>
      <c r="U315"/>
    </row>
    <row r="316" spans="10:21" s="1" customFormat="1" x14ac:dyDescent="0.2">
      <c r="J316"/>
      <c r="K316"/>
      <c r="L316"/>
      <c r="M316"/>
      <c r="N316"/>
      <c r="O316" s="392"/>
      <c r="P316" s="2"/>
      <c r="R316"/>
      <c r="S316"/>
      <c r="U316"/>
    </row>
    <row r="317" spans="10:21" s="1" customFormat="1" x14ac:dyDescent="0.2">
      <c r="J317"/>
      <c r="K317"/>
      <c r="L317"/>
      <c r="M317"/>
      <c r="N317"/>
      <c r="O317" s="392"/>
      <c r="P317" s="2"/>
      <c r="R317"/>
      <c r="S317"/>
      <c r="U317"/>
    </row>
    <row r="318" spans="10:21" s="1" customFormat="1" x14ac:dyDescent="0.2">
      <c r="J318"/>
      <c r="K318"/>
      <c r="L318"/>
      <c r="M318"/>
      <c r="N318"/>
      <c r="O318" s="392"/>
      <c r="P318" s="2"/>
      <c r="R318"/>
      <c r="S318"/>
      <c r="U318"/>
    </row>
    <row r="319" spans="10:21" s="1" customFormat="1" x14ac:dyDescent="0.2">
      <c r="J319"/>
      <c r="K319"/>
      <c r="L319"/>
      <c r="M319"/>
      <c r="N319"/>
      <c r="O319" s="392"/>
      <c r="P319" s="2"/>
      <c r="R319"/>
      <c r="S319"/>
      <c r="U319"/>
    </row>
    <row r="320" spans="10:21" s="1" customFormat="1" x14ac:dyDescent="0.2">
      <c r="J320"/>
      <c r="K320"/>
      <c r="L320"/>
      <c r="M320"/>
      <c r="N320"/>
      <c r="O320" s="392"/>
      <c r="P320" s="2"/>
      <c r="R320"/>
      <c r="S320"/>
      <c r="U320"/>
    </row>
    <row r="321" spans="10:21" s="1" customFormat="1" x14ac:dyDescent="0.2">
      <c r="J321"/>
      <c r="K321"/>
      <c r="L321"/>
      <c r="M321"/>
      <c r="N321"/>
      <c r="O321" s="392"/>
      <c r="P321" s="2"/>
      <c r="R321"/>
      <c r="S321"/>
      <c r="U321"/>
    </row>
    <row r="322" spans="10:21" s="1" customFormat="1" x14ac:dyDescent="0.2">
      <c r="J322"/>
      <c r="K322"/>
      <c r="L322"/>
      <c r="M322"/>
      <c r="N322"/>
      <c r="O322" s="392"/>
      <c r="P322" s="2"/>
      <c r="R322"/>
      <c r="S322"/>
      <c r="U322"/>
    </row>
    <row r="323" spans="10:21" s="1" customFormat="1" x14ac:dyDescent="0.2">
      <c r="J323"/>
      <c r="K323"/>
      <c r="L323"/>
      <c r="M323"/>
      <c r="N323"/>
      <c r="O323" s="392"/>
      <c r="P323" s="2"/>
      <c r="R323"/>
      <c r="S323"/>
      <c r="U323"/>
    </row>
    <row r="324" spans="10:21" s="1" customFormat="1" x14ac:dyDescent="0.2">
      <c r="J324"/>
      <c r="K324"/>
      <c r="L324"/>
      <c r="M324"/>
      <c r="N324"/>
      <c r="O324" s="392"/>
      <c r="P324" s="2"/>
      <c r="R324"/>
      <c r="S324"/>
      <c r="U324"/>
    </row>
    <row r="325" spans="10:21" s="1" customFormat="1" x14ac:dyDescent="0.2">
      <c r="J325"/>
      <c r="K325"/>
      <c r="L325"/>
      <c r="M325"/>
      <c r="N325"/>
      <c r="O325" s="392"/>
      <c r="P325" s="2"/>
      <c r="R325"/>
      <c r="S325"/>
      <c r="U325"/>
    </row>
    <row r="326" spans="10:21" s="1" customFormat="1" x14ac:dyDescent="0.2">
      <c r="J326"/>
      <c r="K326"/>
      <c r="L326"/>
      <c r="M326"/>
      <c r="N326"/>
      <c r="O326" s="392"/>
      <c r="P326" s="2"/>
      <c r="R326"/>
      <c r="S326"/>
      <c r="U326"/>
    </row>
    <row r="327" spans="10:21" s="1" customFormat="1" x14ac:dyDescent="0.2">
      <c r="J327"/>
      <c r="K327"/>
      <c r="L327"/>
      <c r="M327"/>
      <c r="N327"/>
      <c r="O327" s="392"/>
      <c r="P327" s="2"/>
      <c r="R327"/>
      <c r="S327"/>
      <c r="U327"/>
    </row>
    <row r="328" spans="10:21" s="1" customFormat="1" x14ac:dyDescent="0.2">
      <c r="J328"/>
      <c r="K328"/>
      <c r="L328"/>
      <c r="M328"/>
      <c r="N328"/>
      <c r="O328" s="392"/>
      <c r="P328" s="2"/>
      <c r="R328"/>
      <c r="S328"/>
      <c r="U328"/>
    </row>
    <row r="329" spans="10:21" s="1" customFormat="1" x14ac:dyDescent="0.2">
      <c r="J329"/>
      <c r="K329"/>
      <c r="L329"/>
      <c r="M329"/>
      <c r="N329"/>
      <c r="O329" s="392"/>
      <c r="P329" s="2"/>
      <c r="R329"/>
      <c r="S329"/>
      <c r="U329"/>
    </row>
    <row r="330" spans="10:21" s="1" customFormat="1" x14ac:dyDescent="0.2">
      <c r="J330"/>
      <c r="K330"/>
      <c r="L330"/>
      <c r="M330"/>
      <c r="N330"/>
      <c r="O330" s="392"/>
      <c r="P330" s="2"/>
      <c r="R330"/>
      <c r="S330"/>
      <c r="U330"/>
    </row>
    <row r="331" spans="10:21" s="1" customFormat="1" x14ac:dyDescent="0.2">
      <c r="J331"/>
      <c r="K331"/>
      <c r="L331"/>
      <c r="M331"/>
      <c r="N331"/>
      <c r="O331" s="392"/>
      <c r="P331" s="2"/>
      <c r="R331"/>
      <c r="S331"/>
      <c r="U331"/>
    </row>
    <row r="332" spans="10:21" s="1" customFormat="1" x14ac:dyDescent="0.2">
      <c r="J332"/>
      <c r="K332"/>
      <c r="L332"/>
      <c r="M332"/>
      <c r="N332"/>
      <c r="O332" s="392"/>
      <c r="P332" s="2"/>
      <c r="R332"/>
      <c r="S332"/>
      <c r="U332"/>
    </row>
    <row r="333" spans="10:21" s="1" customFormat="1" x14ac:dyDescent="0.2">
      <c r="J333"/>
      <c r="K333"/>
      <c r="L333"/>
      <c r="M333"/>
      <c r="N333"/>
      <c r="O333" s="392"/>
      <c r="P333" s="2"/>
      <c r="R333"/>
      <c r="S333"/>
      <c r="U333"/>
    </row>
    <row r="334" spans="10:21" s="1" customFormat="1" x14ac:dyDescent="0.2">
      <c r="J334"/>
      <c r="K334"/>
      <c r="L334"/>
      <c r="M334"/>
      <c r="N334"/>
      <c r="O334" s="392"/>
      <c r="P334" s="2"/>
      <c r="R334"/>
      <c r="S334"/>
      <c r="U334"/>
    </row>
    <row r="335" spans="10:21" s="1" customFormat="1" x14ac:dyDescent="0.2">
      <c r="J335"/>
      <c r="K335"/>
      <c r="L335"/>
      <c r="M335"/>
      <c r="N335"/>
      <c r="O335" s="392"/>
      <c r="P335" s="2"/>
      <c r="R335"/>
      <c r="S335"/>
      <c r="U335"/>
    </row>
    <row r="336" spans="10:21" s="1" customFormat="1" x14ac:dyDescent="0.2">
      <c r="J336"/>
      <c r="K336"/>
      <c r="L336"/>
      <c r="M336"/>
      <c r="N336"/>
      <c r="O336" s="392"/>
      <c r="P336" s="2"/>
      <c r="R336"/>
      <c r="S336"/>
      <c r="U336"/>
    </row>
    <row r="337" spans="10:21" s="1" customFormat="1" x14ac:dyDescent="0.2">
      <c r="J337"/>
      <c r="K337"/>
      <c r="L337"/>
      <c r="M337"/>
      <c r="N337"/>
      <c r="O337" s="392"/>
      <c r="P337" s="2"/>
      <c r="R337"/>
      <c r="S337"/>
      <c r="U337"/>
    </row>
    <row r="338" spans="10:21" s="1" customFormat="1" x14ac:dyDescent="0.2">
      <c r="J338"/>
      <c r="K338"/>
      <c r="L338"/>
      <c r="M338"/>
      <c r="N338"/>
      <c r="O338" s="392"/>
      <c r="P338" s="2"/>
      <c r="R338"/>
      <c r="S338"/>
      <c r="U338"/>
    </row>
    <row r="339" spans="10:21" s="1" customFormat="1" x14ac:dyDescent="0.2">
      <c r="J339"/>
      <c r="K339"/>
      <c r="L339"/>
      <c r="M339"/>
      <c r="N339"/>
      <c r="O339" s="392"/>
      <c r="P339" s="2"/>
      <c r="R339"/>
      <c r="S339"/>
      <c r="U339"/>
    </row>
    <row r="340" spans="10:21" s="1" customFormat="1" x14ac:dyDescent="0.2">
      <c r="J340"/>
      <c r="K340"/>
      <c r="L340"/>
      <c r="M340"/>
      <c r="N340"/>
      <c r="O340" s="392"/>
      <c r="P340" s="2"/>
      <c r="R340"/>
      <c r="S340"/>
      <c r="U340"/>
    </row>
    <row r="341" spans="10:21" s="1" customFormat="1" x14ac:dyDescent="0.2">
      <c r="J341"/>
      <c r="K341"/>
      <c r="L341"/>
      <c r="M341"/>
      <c r="N341"/>
      <c r="O341" s="392"/>
      <c r="P341" s="2"/>
      <c r="R341"/>
      <c r="S341"/>
      <c r="U341"/>
    </row>
    <row r="342" spans="10:21" s="1" customFormat="1" x14ac:dyDescent="0.2">
      <c r="J342"/>
      <c r="K342"/>
      <c r="L342"/>
      <c r="M342"/>
      <c r="N342"/>
      <c r="O342" s="392"/>
      <c r="P342" s="2"/>
      <c r="R342"/>
      <c r="S342"/>
      <c r="U342"/>
    </row>
    <row r="343" spans="10:21" s="1" customFormat="1" x14ac:dyDescent="0.2">
      <c r="J343"/>
      <c r="K343"/>
      <c r="L343"/>
      <c r="M343"/>
      <c r="N343"/>
      <c r="O343" s="392"/>
      <c r="P343" s="2"/>
      <c r="R343"/>
      <c r="S343"/>
      <c r="U343"/>
    </row>
    <row r="344" spans="10:21" s="1" customFormat="1" x14ac:dyDescent="0.2">
      <c r="J344"/>
      <c r="K344"/>
      <c r="L344"/>
      <c r="M344"/>
      <c r="N344"/>
      <c r="O344" s="392"/>
      <c r="P344" s="2"/>
      <c r="R344"/>
      <c r="S344"/>
      <c r="U344"/>
    </row>
    <row r="345" spans="10:21" s="1" customFormat="1" x14ac:dyDescent="0.2">
      <c r="J345"/>
      <c r="K345"/>
      <c r="L345"/>
      <c r="M345"/>
      <c r="N345"/>
      <c r="O345" s="392"/>
      <c r="P345" s="2"/>
      <c r="R345"/>
      <c r="S345"/>
      <c r="U345"/>
    </row>
    <row r="346" spans="10:21" s="1" customFormat="1" x14ac:dyDescent="0.2">
      <c r="J346"/>
      <c r="K346"/>
      <c r="L346"/>
      <c r="M346"/>
      <c r="N346"/>
      <c r="O346" s="392"/>
      <c r="P346" s="2"/>
      <c r="R346"/>
      <c r="S346"/>
      <c r="U346"/>
    </row>
    <row r="347" spans="10:21" s="1" customFormat="1" x14ac:dyDescent="0.2">
      <c r="J347"/>
      <c r="K347"/>
      <c r="L347"/>
      <c r="M347"/>
      <c r="N347"/>
      <c r="O347" s="392"/>
      <c r="P347" s="2"/>
      <c r="R347"/>
      <c r="S347"/>
      <c r="U347"/>
    </row>
    <row r="348" spans="10:21" s="1" customFormat="1" x14ac:dyDescent="0.2">
      <c r="J348"/>
      <c r="K348"/>
      <c r="L348"/>
      <c r="M348"/>
      <c r="N348"/>
      <c r="O348" s="392"/>
      <c r="P348" s="2"/>
      <c r="R348"/>
      <c r="S348"/>
      <c r="U348"/>
    </row>
    <row r="349" spans="10:21" s="1" customFormat="1" x14ac:dyDescent="0.2">
      <c r="J349"/>
      <c r="K349"/>
      <c r="L349"/>
      <c r="M349"/>
      <c r="N349"/>
      <c r="O349" s="392"/>
      <c r="P349" s="2"/>
      <c r="R349"/>
      <c r="S349"/>
      <c r="U349"/>
    </row>
    <row r="350" spans="10:21" s="1" customFormat="1" x14ac:dyDescent="0.2">
      <c r="J350"/>
      <c r="K350"/>
      <c r="L350"/>
      <c r="M350"/>
      <c r="N350"/>
      <c r="O350" s="392"/>
      <c r="P350" s="2"/>
      <c r="R350"/>
      <c r="S350"/>
      <c r="U350"/>
    </row>
    <row r="351" spans="10:21" s="1" customFormat="1" x14ac:dyDescent="0.2">
      <c r="J351"/>
      <c r="K351"/>
      <c r="L351"/>
      <c r="M351"/>
      <c r="N351"/>
      <c r="O351" s="392"/>
      <c r="P351" s="2"/>
      <c r="R351"/>
      <c r="S351"/>
      <c r="U351"/>
    </row>
    <row r="352" spans="10:21" s="1" customFormat="1" x14ac:dyDescent="0.2">
      <c r="J352"/>
      <c r="K352"/>
      <c r="L352"/>
      <c r="M352"/>
      <c r="N352"/>
      <c r="O352" s="392"/>
      <c r="P352" s="2"/>
      <c r="R352"/>
      <c r="S352"/>
      <c r="U352"/>
    </row>
    <row r="353" spans="10:21" s="1" customFormat="1" x14ac:dyDescent="0.2">
      <c r="J353"/>
      <c r="K353"/>
      <c r="L353"/>
      <c r="M353"/>
      <c r="N353"/>
      <c r="O353" s="392"/>
      <c r="P353" s="2"/>
      <c r="R353"/>
      <c r="S353"/>
      <c r="U353"/>
    </row>
    <row r="354" spans="10:21" s="1" customFormat="1" x14ac:dyDescent="0.2">
      <c r="J354"/>
      <c r="K354"/>
      <c r="L354"/>
      <c r="M354"/>
      <c r="N354"/>
      <c r="O354" s="392"/>
      <c r="P354" s="2"/>
      <c r="R354"/>
      <c r="S354"/>
      <c r="U354"/>
    </row>
    <row r="355" spans="10:21" s="1" customFormat="1" x14ac:dyDescent="0.2">
      <c r="J355"/>
      <c r="K355"/>
      <c r="L355"/>
      <c r="M355"/>
      <c r="N355"/>
      <c r="O355" s="392"/>
      <c r="P355" s="2"/>
      <c r="R355"/>
      <c r="S355"/>
      <c r="U355"/>
    </row>
    <row r="356" spans="10:21" s="1" customFormat="1" x14ac:dyDescent="0.2">
      <c r="J356"/>
      <c r="K356"/>
      <c r="L356"/>
      <c r="M356"/>
      <c r="N356"/>
      <c r="O356" s="392"/>
      <c r="P356" s="2"/>
      <c r="R356"/>
      <c r="S356"/>
      <c r="U356"/>
    </row>
    <row r="357" spans="10:21" s="1" customFormat="1" x14ac:dyDescent="0.2">
      <c r="J357"/>
      <c r="K357"/>
      <c r="L357"/>
      <c r="M357"/>
      <c r="N357"/>
      <c r="O357" s="392"/>
      <c r="P357" s="2"/>
      <c r="R357"/>
      <c r="S357"/>
      <c r="U357"/>
    </row>
    <row r="358" spans="10:21" s="1" customFormat="1" x14ac:dyDescent="0.2">
      <c r="J358"/>
      <c r="K358"/>
      <c r="L358"/>
      <c r="M358"/>
      <c r="N358"/>
      <c r="O358" s="392"/>
      <c r="P358" s="2"/>
      <c r="R358"/>
      <c r="S358"/>
      <c r="U358"/>
    </row>
    <row r="359" spans="10:21" s="1" customFormat="1" x14ac:dyDescent="0.2">
      <c r="J359"/>
      <c r="K359"/>
      <c r="L359"/>
      <c r="M359"/>
      <c r="N359"/>
      <c r="O359" s="392"/>
      <c r="P359" s="2"/>
      <c r="R359"/>
      <c r="S359"/>
      <c r="U359"/>
    </row>
    <row r="360" spans="10:21" s="1" customFormat="1" x14ac:dyDescent="0.2">
      <c r="J360"/>
      <c r="K360"/>
      <c r="L360"/>
      <c r="M360"/>
      <c r="N360"/>
      <c r="O360" s="392"/>
      <c r="P360" s="2"/>
      <c r="R360"/>
      <c r="S360"/>
      <c r="U360"/>
    </row>
    <row r="361" spans="10:21" s="1" customFormat="1" x14ac:dyDescent="0.2">
      <c r="J361"/>
      <c r="K361"/>
      <c r="L361"/>
      <c r="M361"/>
      <c r="N361"/>
      <c r="O361" s="392"/>
      <c r="P361" s="2"/>
      <c r="R361"/>
      <c r="S361"/>
      <c r="U361"/>
    </row>
    <row r="362" spans="10:21" s="1" customFormat="1" x14ac:dyDescent="0.2">
      <c r="J362"/>
      <c r="K362"/>
      <c r="L362"/>
      <c r="M362"/>
      <c r="N362"/>
      <c r="O362" s="392"/>
      <c r="P362" s="2"/>
      <c r="R362"/>
      <c r="S362"/>
      <c r="U362"/>
    </row>
    <row r="363" spans="10:21" s="1" customFormat="1" x14ac:dyDescent="0.2">
      <c r="J363"/>
      <c r="K363"/>
      <c r="L363"/>
      <c r="M363"/>
      <c r="N363"/>
      <c r="O363" s="392"/>
      <c r="P363" s="2"/>
      <c r="R363"/>
      <c r="S363"/>
      <c r="U363"/>
    </row>
    <row r="364" spans="10:21" s="1" customFormat="1" x14ac:dyDescent="0.2">
      <c r="J364"/>
      <c r="K364"/>
      <c r="L364"/>
      <c r="M364"/>
      <c r="N364"/>
      <c r="O364" s="392"/>
      <c r="P364" s="2"/>
      <c r="R364"/>
      <c r="S364"/>
      <c r="U364"/>
    </row>
    <row r="365" spans="10:21" s="1" customFormat="1" x14ac:dyDescent="0.2">
      <c r="J365"/>
      <c r="K365"/>
      <c r="L365"/>
      <c r="M365"/>
      <c r="N365"/>
      <c r="O365" s="392"/>
      <c r="P365" s="2"/>
      <c r="R365"/>
      <c r="S365"/>
      <c r="U365"/>
    </row>
    <row r="366" spans="10:21" s="1" customFormat="1" x14ac:dyDescent="0.2">
      <c r="J366"/>
      <c r="K366"/>
      <c r="L366"/>
      <c r="M366"/>
      <c r="N366"/>
      <c r="O366" s="392"/>
      <c r="P366" s="2"/>
      <c r="R366"/>
      <c r="S366"/>
      <c r="U366"/>
    </row>
    <row r="367" spans="10:21" s="1" customFormat="1" x14ac:dyDescent="0.2">
      <c r="J367"/>
      <c r="K367"/>
      <c r="L367"/>
      <c r="M367"/>
      <c r="N367"/>
      <c r="O367" s="392"/>
      <c r="P367" s="2"/>
      <c r="R367"/>
      <c r="S367"/>
      <c r="U367"/>
    </row>
    <row r="368" spans="10:21" s="1" customFormat="1" x14ac:dyDescent="0.2">
      <c r="J368"/>
      <c r="K368"/>
      <c r="L368"/>
      <c r="M368"/>
      <c r="N368"/>
      <c r="O368" s="392"/>
      <c r="P368" s="2"/>
      <c r="R368"/>
      <c r="S368"/>
      <c r="U368"/>
    </row>
    <row r="369" spans="10:21" s="1" customFormat="1" x14ac:dyDescent="0.2">
      <c r="J369"/>
      <c r="K369"/>
      <c r="L369"/>
      <c r="M369"/>
      <c r="N369"/>
      <c r="O369" s="392"/>
      <c r="P369" s="2"/>
      <c r="R369"/>
      <c r="S369"/>
      <c r="U369"/>
    </row>
    <row r="370" spans="10:21" s="1" customFormat="1" x14ac:dyDescent="0.2">
      <c r="J370"/>
      <c r="K370"/>
      <c r="L370"/>
      <c r="M370"/>
      <c r="N370"/>
      <c r="O370" s="392"/>
      <c r="P370" s="2"/>
      <c r="R370"/>
      <c r="S370"/>
      <c r="U370"/>
    </row>
    <row r="371" spans="10:21" s="1" customFormat="1" x14ac:dyDescent="0.2">
      <c r="J371"/>
      <c r="K371"/>
      <c r="L371"/>
      <c r="M371"/>
      <c r="N371"/>
      <c r="O371" s="392"/>
      <c r="P371" s="2"/>
      <c r="R371"/>
      <c r="S371"/>
      <c r="U371"/>
    </row>
    <row r="372" spans="10:21" s="1" customFormat="1" x14ac:dyDescent="0.2">
      <c r="J372"/>
      <c r="K372"/>
      <c r="L372"/>
      <c r="M372"/>
      <c r="N372"/>
      <c r="O372" s="392"/>
      <c r="P372" s="2"/>
      <c r="R372"/>
      <c r="S372"/>
      <c r="U372"/>
    </row>
    <row r="373" spans="10:21" s="1" customFormat="1" x14ac:dyDescent="0.2">
      <c r="J373"/>
      <c r="K373"/>
      <c r="L373"/>
      <c r="M373"/>
      <c r="N373"/>
      <c r="O373" s="392"/>
      <c r="P373" s="2"/>
      <c r="R373"/>
      <c r="S373"/>
      <c r="U373"/>
    </row>
    <row r="374" spans="10:21" s="1" customFormat="1" x14ac:dyDescent="0.2">
      <c r="J374"/>
      <c r="K374"/>
      <c r="L374"/>
      <c r="M374"/>
      <c r="N374"/>
      <c r="O374" s="392"/>
      <c r="P374" s="2"/>
      <c r="R374"/>
      <c r="S374"/>
      <c r="U374"/>
    </row>
    <row r="375" spans="10:21" s="1" customFormat="1" x14ac:dyDescent="0.2">
      <c r="J375"/>
      <c r="K375"/>
      <c r="L375"/>
      <c r="M375"/>
      <c r="N375"/>
      <c r="O375" s="392"/>
      <c r="P375" s="2"/>
      <c r="R375"/>
      <c r="S375"/>
      <c r="U375"/>
    </row>
    <row r="376" spans="10:21" s="1" customFormat="1" x14ac:dyDescent="0.2">
      <c r="J376"/>
      <c r="K376"/>
      <c r="L376"/>
      <c r="M376"/>
      <c r="N376"/>
      <c r="O376" s="392"/>
      <c r="P376" s="2"/>
      <c r="R376"/>
      <c r="S376"/>
      <c r="U376"/>
    </row>
    <row r="377" spans="10:21" s="1" customFormat="1" x14ac:dyDescent="0.2">
      <c r="J377"/>
      <c r="K377"/>
      <c r="L377"/>
      <c r="M377"/>
      <c r="N377"/>
      <c r="O377" s="392"/>
      <c r="P377" s="2"/>
      <c r="R377"/>
      <c r="S377"/>
      <c r="U377"/>
    </row>
    <row r="378" spans="10:21" s="1" customFormat="1" x14ac:dyDescent="0.2">
      <c r="J378"/>
      <c r="K378"/>
      <c r="L378"/>
      <c r="M378"/>
      <c r="N378"/>
      <c r="O378" s="392"/>
      <c r="P378" s="2"/>
      <c r="R378"/>
      <c r="S378"/>
      <c r="U378"/>
    </row>
    <row r="379" spans="10:21" s="1" customFormat="1" x14ac:dyDescent="0.2">
      <c r="J379"/>
      <c r="K379"/>
      <c r="L379"/>
      <c r="M379"/>
      <c r="N379"/>
      <c r="O379" s="392"/>
      <c r="P379" s="2"/>
      <c r="R379"/>
      <c r="S379"/>
      <c r="U379"/>
    </row>
    <row r="380" spans="10:21" s="1" customFormat="1" x14ac:dyDescent="0.2">
      <c r="J380"/>
      <c r="K380"/>
      <c r="L380"/>
      <c r="M380"/>
      <c r="N380"/>
      <c r="O380" s="392"/>
      <c r="P380" s="2"/>
      <c r="R380"/>
      <c r="S380"/>
      <c r="U380"/>
    </row>
    <row r="381" spans="10:21" s="1" customFormat="1" x14ac:dyDescent="0.2">
      <c r="J381"/>
      <c r="K381"/>
      <c r="L381"/>
      <c r="M381"/>
      <c r="N381"/>
      <c r="O381" s="392"/>
      <c r="P381" s="2"/>
      <c r="R381"/>
      <c r="S381"/>
      <c r="U381"/>
    </row>
    <row r="382" spans="10:21" s="1" customFormat="1" x14ac:dyDescent="0.2">
      <c r="J382"/>
      <c r="K382"/>
      <c r="L382"/>
      <c r="M382"/>
      <c r="N382"/>
      <c r="O382" s="392"/>
      <c r="P382" s="2"/>
      <c r="R382"/>
      <c r="S382"/>
      <c r="U382"/>
    </row>
    <row r="383" spans="10:21" s="1" customFormat="1" x14ac:dyDescent="0.2">
      <c r="J383"/>
      <c r="K383"/>
      <c r="L383"/>
      <c r="M383"/>
      <c r="N383"/>
      <c r="O383" s="392"/>
      <c r="P383" s="2"/>
      <c r="R383"/>
      <c r="S383"/>
      <c r="U383"/>
    </row>
    <row r="384" spans="10:21" s="1" customFormat="1" x14ac:dyDescent="0.2">
      <c r="J384"/>
      <c r="K384"/>
      <c r="L384"/>
      <c r="M384"/>
      <c r="N384"/>
      <c r="O384" s="392"/>
      <c r="P384" s="2"/>
      <c r="R384"/>
      <c r="S384"/>
      <c r="U384"/>
    </row>
    <row r="385" spans="10:21" s="1" customFormat="1" x14ac:dyDescent="0.2">
      <c r="J385"/>
      <c r="K385"/>
      <c r="L385"/>
      <c r="M385"/>
      <c r="N385"/>
      <c r="O385" s="392"/>
      <c r="P385" s="2"/>
      <c r="R385"/>
      <c r="S385"/>
      <c r="U385"/>
    </row>
    <row r="386" spans="10:21" s="1" customFormat="1" x14ac:dyDescent="0.2">
      <c r="J386"/>
      <c r="K386"/>
      <c r="L386"/>
      <c r="M386"/>
      <c r="N386"/>
      <c r="O386" s="392"/>
      <c r="P386" s="2"/>
      <c r="R386"/>
      <c r="S386"/>
      <c r="U386"/>
    </row>
    <row r="387" spans="10:21" s="1" customFormat="1" x14ac:dyDescent="0.2">
      <c r="J387"/>
      <c r="K387"/>
      <c r="L387"/>
      <c r="M387"/>
      <c r="N387"/>
      <c r="O387" s="392"/>
      <c r="P387" s="2"/>
      <c r="R387"/>
      <c r="S387"/>
      <c r="U387"/>
    </row>
    <row r="388" spans="10:21" s="1" customFormat="1" x14ac:dyDescent="0.2">
      <c r="J388"/>
      <c r="K388"/>
      <c r="L388"/>
      <c r="M388"/>
      <c r="N388"/>
      <c r="O388" s="392"/>
      <c r="P388" s="2"/>
      <c r="R388"/>
      <c r="S388"/>
      <c r="U388"/>
    </row>
    <row r="389" spans="10:21" s="1" customFormat="1" x14ac:dyDescent="0.2">
      <c r="J389"/>
      <c r="K389"/>
      <c r="L389"/>
      <c r="M389"/>
      <c r="N389"/>
      <c r="O389" s="392"/>
      <c r="P389" s="2"/>
      <c r="R389"/>
      <c r="S389"/>
      <c r="U389"/>
    </row>
    <row r="390" spans="10:21" s="1" customFormat="1" x14ac:dyDescent="0.2">
      <c r="J390"/>
      <c r="K390"/>
      <c r="L390"/>
      <c r="M390"/>
      <c r="N390"/>
      <c r="O390" s="392"/>
      <c r="P390" s="2"/>
      <c r="R390"/>
      <c r="S390"/>
      <c r="U390"/>
    </row>
    <row r="391" spans="10:21" s="1" customFormat="1" x14ac:dyDescent="0.2">
      <c r="J391"/>
      <c r="K391"/>
      <c r="L391"/>
      <c r="M391"/>
      <c r="N391"/>
      <c r="O391" s="392"/>
      <c r="P391" s="2"/>
      <c r="R391"/>
      <c r="S391"/>
      <c r="U391"/>
    </row>
    <row r="392" spans="10:21" s="1" customFormat="1" x14ac:dyDescent="0.2">
      <c r="J392"/>
      <c r="K392"/>
      <c r="L392"/>
      <c r="M392"/>
      <c r="N392"/>
      <c r="O392" s="392"/>
      <c r="P392" s="2"/>
      <c r="R392"/>
      <c r="S392"/>
      <c r="U392"/>
    </row>
    <row r="393" spans="10:21" s="1" customFormat="1" x14ac:dyDescent="0.2">
      <c r="J393"/>
      <c r="K393"/>
      <c r="L393"/>
      <c r="M393"/>
      <c r="N393"/>
      <c r="O393" s="392"/>
      <c r="P393" s="2"/>
      <c r="R393"/>
      <c r="S393"/>
      <c r="U393"/>
    </row>
    <row r="394" spans="10:21" s="1" customFormat="1" x14ac:dyDescent="0.2">
      <c r="J394"/>
      <c r="K394"/>
      <c r="L394"/>
      <c r="M394"/>
      <c r="N394"/>
      <c r="O394" s="392"/>
      <c r="P394" s="2"/>
      <c r="R394"/>
      <c r="S394"/>
      <c r="U394"/>
    </row>
    <row r="395" spans="10:21" s="1" customFormat="1" x14ac:dyDescent="0.2">
      <c r="J395"/>
      <c r="K395"/>
      <c r="L395"/>
      <c r="M395"/>
      <c r="N395"/>
      <c r="O395" s="392"/>
      <c r="P395" s="2"/>
      <c r="R395"/>
      <c r="S395"/>
      <c r="U395"/>
    </row>
    <row r="396" spans="10:21" s="1" customFormat="1" x14ac:dyDescent="0.2">
      <c r="J396"/>
      <c r="K396"/>
      <c r="L396"/>
      <c r="M396"/>
      <c r="N396"/>
      <c r="O396" s="392"/>
      <c r="P396" s="2"/>
      <c r="R396"/>
      <c r="S396"/>
      <c r="U396"/>
    </row>
    <row r="397" spans="10:21" s="1" customFormat="1" x14ac:dyDescent="0.2">
      <c r="J397"/>
      <c r="K397"/>
      <c r="L397"/>
      <c r="M397"/>
      <c r="N397"/>
      <c r="O397" s="392"/>
      <c r="P397" s="2"/>
      <c r="R397"/>
      <c r="S397"/>
      <c r="U397"/>
    </row>
    <row r="398" spans="10:21" s="1" customFormat="1" x14ac:dyDescent="0.2">
      <c r="J398"/>
      <c r="K398"/>
      <c r="L398"/>
      <c r="M398"/>
      <c r="N398"/>
      <c r="O398" s="392"/>
      <c r="P398" s="2"/>
      <c r="R398"/>
      <c r="S398"/>
      <c r="U398"/>
    </row>
    <row r="399" spans="10:21" s="1" customFormat="1" x14ac:dyDescent="0.2">
      <c r="J399"/>
      <c r="K399"/>
      <c r="L399"/>
      <c r="M399"/>
      <c r="N399"/>
      <c r="O399" s="392"/>
      <c r="P399" s="2"/>
      <c r="R399"/>
      <c r="S399"/>
      <c r="U399"/>
    </row>
    <row r="400" spans="10:21" s="1" customFormat="1" x14ac:dyDescent="0.2">
      <c r="J400"/>
      <c r="K400"/>
      <c r="L400"/>
      <c r="M400"/>
      <c r="N400"/>
      <c r="O400" s="392"/>
      <c r="P400" s="2"/>
      <c r="R400"/>
      <c r="S400"/>
      <c r="U400"/>
    </row>
    <row r="401" spans="10:21" s="1" customFormat="1" x14ac:dyDescent="0.2">
      <c r="J401"/>
      <c r="K401"/>
      <c r="L401"/>
      <c r="M401"/>
      <c r="N401"/>
      <c r="O401" s="392"/>
      <c r="P401" s="2"/>
      <c r="R401"/>
      <c r="S401"/>
      <c r="U401"/>
    </row>
    <row r="402" spans="10:21" s="1" customFormat="1" x14ac:dyDescent="0.2">
      <c r="J402"/>
      <c r="K402"/>
      <c r="L402"/>
      <c r="M402"/>
      <c r="N402"/>
      <c r="O402" s="392"/>
      <c r="P402" s="2"/>
      <c r="R402"/>
      <c r="S402"/>
      <c r="U402"/>
    </row>
    <row r="403" spans="10:21" s="1" customFormat="1" x14ac:dyDescent="0.2">
      <c r="J403"/>
      <c r="K403"/>
      <c r="L403"/>
      <c r="M403"/>
      <c r="N403"/>
      <c r="O403" s="392"/>
      <c r="P403" s="2"/>
      <c r="R403"/>
      <c r="S403"/>
      <c r="U403"/>
    </row>
    <row r="404" spans="10:21" s="1" customFormat="1" x14ac:dyDescent="0.2">
      <c r="J404"/>
      <c r="K404"/>
      <c r="L404"/>
      <c r="M404"/>
      <c r="N404"/>
      <c r="O404" s="392"/>
      <c r="P404" s="2"/>
      <c r="R404"/>
      <c r="S404"/>
      <c r="U404"/>
    </row>
    <row r="405" spans="10:21" s="1" customFormat="1" x14ac:dyDescent="0.2">
      <c r="J405"/>
      <c r="K405"/>
      <c r="L405"/>
      <c r="M405"/>
      <c r="N405"/>
      <c r="O405" s="392"/>
      <c r="P405" s="2"/>
      <c r="R405"/>
      <c r="S405"/>
      <c r="U405"/>
    </row>
    <row r="406" spans="10:21" s="1" customFormat="1" x14ac:dyDescent="0.2">
      <c r="J406"/>
      <c r="K406"/>
      <c r="L406"/>
      <c r="M406"/>
      <c r="N406"/>
      <c r="O406" s="392"/>
      <c r="P406" s="2"/>
      <c r="R406"/>
      <c r="S406"/>
      <c r="U406"/>
    </row>
    <row r="407" spans="10:21" s="1" customFormat="1" x14ac:dyDescent="0.2">
      <c r="J407"/>
      <c r="K407"/>
      <c r="L407"/>
      <c r="M407"/>
      <c r="N407"/>
      <c r="O407" s="392"/>
      <c r="P407" s="2"/>
      <c r="R407"/>
      <c r="S407"/>
      <c r="U407"/>
    </row>
    <row r="408" spans="10:21" s="1" customFormat="1" x14ac:dyDescent="0.2">
      <c r="J408"/>
      <c r="K408"/>
      <c r="L408"/>
      <c r="M408"/>
      <c r="N408"/>
      <c r="O408" s="392"/>
      <c r="P408" s="2"/>
      <c r="R408"/>
      <c r="S408"/>
      <c r="U408"/>
    </row>
    <row r="409" spans="10:21" s="1" customFormat="1" x14ac:dyDescent="0.2">
      <c r="J409"/>
      <c r="K409"/>
      <c r="L409"/>
      <c r="M409"/>
      <c r="N409"/>
      <c r="O409" s="392"/>
      <c r="P409" s="2"/>
      <c r="R409"/>
      <c r="S409"/>
      <c r="U409"/>
    </row>
    <row r="410" spans="10:21" s="1" customFormat="1" x14ac:dyDescent="0.2">
      <c r="J410"/>
      <c r="K410"/>
      <c r="L410"/>
      <c r="M410"/>
      <c r="N410"/>
      <c r="O410" s="392"/>
      <c r="P410" s="2"/>
      <c r="R410"/>
      <c r="S410"/>
      <c r="U410"/>
    </row>
    <row r="411" spans="10:21" s="1" customFormat="1" x14ac:dyDescent="0.2">
      <c r="J411"/>
      <c r="K411"/>
      <c r="L411"/>
      <c r="M411"/>
      <c r="N411"/>
      <c r="O411" s="392"/>
      <c r="P411" s="2"/>
      <c r="R411"/>
      <c r="S411"/>
      <c r="U411"/>
    </row>
    <row r="412" spans="10:21" s="1" customFormat="1" x14ac:dyDescent="0.2">
      <c r="J412"/>
      <c r="K412"/>
      <c r="L412"/>
      <c r="M412"/>
      <c r="N412"/>
      <c r="O412" s="392"/>
      <c r="P412" s="2"/>
      <c r="R412"/>
      <c r="S412"/>
      <c r="U412"/>
    </row>
    <row r="413" spans="10:21" s="1" customFormat="1" x14ac:dyDescent="0.2">
      <c r="J413"/>
      <c r="K413"/>
      <c r="L413"/>
      <c r="M413"/>
      <c r="N413"/>
      <c r="O413" s="392"/>
      <c r="P413" s="2"/>
      <c r="R413"/>
      <c r="S413"/>
      <c r="U413"/>
    </row>
    <row r="414" spans="10:21" s="1" customFormat="1" x14ac:dyDescent="0.2">
      <c r="J414"/>
      <c r="K414"/>
      <c r="L414"/>
      <c r="M414"/>
      <c r="N414"/>
      <c r="O414" s="392"/>
      <c r="P414" s="2"/>
      <c r="R414"/>
      <c r="S414"/>
      <c r="U414"/>
    </row>
    <row r="415" spans="10:21" s="1" customFormat="1" x14ac:dyDescent="0.2">
      <c r="J415"/>
      <c r="K415"/>
      <c r="L415"/>
      <c r="M415"/>
      <c r="N415"/>
      <c r="O415" s="392"/>
      <c r="P415" s="2"/>
      <c r="R415"/>
      <c r="S415"/>
      <c r="U415"/>
    </row>
    <row r="416" spans="10:21" s="1" customFormat="1" x14ac:dyDescent="0.2">
      <c r="J416"/>
      <c r="K416"/>
      <c r="L416"/>
      <c r="M416"/>
      <c r="N416"/>
      <c r="O416" s="392"/>
      <c r="P416" s="2"/>
      <c r="R416"/>
      <c r="S416"/>
      <c r="U416"/>
    </row>
    <row r="417" spans="10:21" s="1" customFormat="1" x14ac:dyDescent="0.2">
      <c r="J417"/>
      <c r="K417"/>
      <c r="L417"/>
      <c r="M417"/>
      <c r="N417"/>
      <c r="O417" s="392"/>
      <c r="P417" s="2"/>
      <c r="R417"/>
      <c r="S417"/>
      <c r="U417"/>
    </row>
    <row r="418" spans="10:21" s="1" customFormat="1" x14ac:dyDescent="0.2">
      <c r="J418"/>
      <c r="K418"/>
      <c r="L418"/>
      <c r="M418"/>
      <c r="N418"/>
      <c r="O418" s="392"/>
      <c r="P418" s="2"/>
      <c r="R418"/>
      <c r="S418"/>
      <c r="U418"/>
    </row>
    <row r="419" spans="10:21" s="1" customFormat="1" x14ac:dyDescent="0.2">
      <c r="J419"/>
      <c r="K419"/>
      <c r="L419"/>
      <c r="M419"/>
      <c r="N419"/>
      <c r="O419" s="392"/>
      <c r="P419" s="2"/>
      <c r="R419"/>
      <c r="S419"/>
      <c r="U419"/>
    </row>
    <row r="420" spans="10:21" s="1" customFormat="1" x14ac:dyDescent="0.2">
      <c r="J420"/>
      <c r="K420"/>
      <c r="L420"/>
      <c r="M420"/>
      <c r="N420"/>
      <c r="O420" s="392"/>
      <c r="P420" s="2"/>
      <c r="R420"/>
      <c r="S420"/>
      <c r="U420"/>
    </row>
    <row r="421" spans="10:21" s="1" customFormat="1" x14ac:dyDescent="0.2">
      <c r="J421"/>
      <c r="K421"/>
      <c r="L421"/>
      <c r="M421"/>
      <c r="N421"/>
      <c r="O421" s="392"/>
      <c r="P421" s="2"/>
      <c r="R421"/>
      <c r="S421"/>
      <c r="U421"/>
    </row>
    <row r="422" spans="10:21" s="1" customFormat="1" x14ac:dyDescent="0.2">
      <c r="J422"/>
      <c r="K422"/>
      <c r="L422"/>
      <c r="M422"/>
      <c r="N422"/>
      <c r="O422" s="392"/>
      <c r="P422" s="2"/>
      <c r="R422"/>
      <c r="S422"/>
      <c r="U422"/>
    </row>
    <row r="423" spans="10:21" s="1" customFormat="1" x14ac:dyDescent="0.2">
      <c r="J423"/>
      <c r="K423"/>
      <c r="L423"/>
      <c r="M423"/>
      <c r="N423"/>
      <c r="O423" s="392"/>
      <c r="P423" s="2"/>
      <c r="R423"/>
      <c r="S423"/>
      <c r="U423"/>
    </row>
    <row r="424" spans="10:21" s="1" customFormat="1" x14ac:dyDescent="0.2">
      <c r="J424"/>
      <c r="K424"/>
      <c r="L424"/>
      <c r="M424"/>
      <c r="N424"/>
      <c r="O424" s="392"/>
      <c r="P424" s="2"/>
      <c r="R424"/>
      <c r="S424"/>
      <c r="U424"/>
    </row>
    <row r="425" spans="10:21" s="1" customFormat="1" x14ac:dyDescent="0.2">
      <c r="J425"/>
      <c r="K425"/>
      <c r="L425"/>
      <c r="M425"/>
      <c r="N425"/>
      <c r="O425" s="392"/>
      <c r="P425" s="2"/>
      <c r="R425"/>
      <c r="S425"/>
      <c r="U425"/>
    </row>
    <row r="426" spans="10:21" s="1" customFormat="1" x14ac:dyDescent="0.2">
      <c r="J426"/>
      <c r="K426"/>
      <c r="L426"/>
      <c r="M426"/>
      <c r="N426"/>
      <c r="O426" s="392"/>
      <c r="P426" s="2"/>
      <c r="R426"/>
      <c r="S426"/>
      <c r="U426"/>
    </row>
    <row r="427" spans="10:21" s="1" customFormat="1" x14ac:dyDescent="0.2">
      <c r="J427"/>
      <c r="K427"/>
      <c r="L427"/>
      <c r="M427"/>
      <c r="N427"/>
      <c r="O427" s="392"/>
      <c r="P427" s="2"/>
      <c r="R427"/>
      <c r="S427"/>
      <c r="U427"/>
    </row>
    <row r="428" spans="10:21" s="1" customFormat="1" x14ac:dyDescent="0.2">
      <c r="J428"/>
      <c r="K428"/>
      <c r="L428"/>
      <c r="M428"/>
      <c r="N428"/>
      <c r="O428" s="392"/>
      <c r="P428" s="2"/>
      <c r="R428"/>
      <c r="S428"/>
      <c r="U428"/>
    </row>
    <row r="429" spans="10:21" s="1" customFormat="1" x14ac:dyDescent="0.2">
      <c r="J429"/>
      <c r="K429"/>
      <c r="L429"/>
      <c r="M429"/>
      <c r="N429"/>
      <c r="O429" s="392"/>
      <c r="P429" s="2"/>
      <c r="R429"/>
      <c r="S429"/>
      <c r="U429"/>
    </row>
    <row r="430" spans="10:21" s="1" customFormat="1" x14ac:dyDescent="0.2">
      <c r="J430"/>
      <c r="K430"/>
      <c r="L430"/>
      <c r="M430"/>
      <c r="N430"/>
      <c r="O430" s="392"/>
      <c r="P430" s="2"/>
      <c r="R430"/>
      <c r="S430"/>
      <c r="U430"/>
    </row>
    <row r="431" spans="10:21" s="1" customFormat="1" x14ac:dyDescent="0.2">
      <c r="J431"/>
      <c r="K431"/>
      <c r="L431"/>
      <c r="M431"/>
      <c r="N431"/>
      <c r="O431" s="392"/>
      <c r="P431" s="2"/>
      <c r="R431"/>
      <c r="S431"/>
      <c r="U431"/>
    </row>
    <row r="432" spans="10:21" s="1" customFormat="1" x14ac:dyDescent="0.2">
      <c r="J432"/>
      <c r="K432"/>
      <c r="L432"/>
      <c r="M432"/>
      <c r="N432"/>
      <c r="O432" s="392"/>
      <c r="P432" s="2"/>
      <c r="R432"/>
      <c r="S432"/>
      <c r="U432"/>
    </row>
    <row r="433" spans="10:21" s="1" customFormat="1" x14ac:dyDescent="0.2">
      <c r="J433"/>
      <c r="K433"/>
      <c r="L433"/>
      <c r="M433"/>
      <c r="N433"/>
      <c r="O433" s="392"/>
      <c r="P433" s="2"/>
      <c r="R433"/>
      <c r="S433"/>
      <c r="U433"/>
    </row>
    <row r="434" spans="10:21" s="1" customFormat="1" x14ac:dyDescent="0.2">
      <c r="J434"/>
      <c r="K434"/>
      <c r="L434"/>
      <c r="M434"/>
      <c r="N434"/>
      <c r="O434" s="392"/>
      <c r="P434" s="2"/>
      <c r="R434"/>
      <c r="S434"/>
      <c r="U434"/>
    </row>
    <row r="435" spans="10:21" s="1" customFormat="1" x14ac:dyDescent="0.2">
      <c r="J435"/>
      <c r="K435"/>
      <c r="L435"/>
      <c r="M435"/>
      <c r="N435"/>
      <c r="O435" s="392"/>
      <c r="P435" s="2"/>
      <c r="R435"/>
      <c r="S435"/>
      <c r="U435"/>
    </row>
    <row r="436" spans="10:21" s="1" customFormat="1" x14ac:dyDescent="0.2">
      <c r="J436"/>
      <c r="K436"/>
      <c r="L436"/>
      <c r="M436"/>
      <c r="N436"/>
      <c r="O436" s="392"/>
      <c r="P436" s="2"/>
      <c r="R436"/>
      <c r="S436"/>
      <c r="U436"/>
    </row>
    <row r="437" spans="10:21" s="1" customFormat="1" x14ac:dyDescent="0.2">
      <c r="J437"/>
      <c r="K437"/>
      <c r="L437"/>
      <c r="M437"/>
      <c r="N437"/>
      <c r="O437" s="392"/>
      <c r="P437" s="2"/>
      <c r="R437"/>
      <c r="S437"/>
      <c r="U437"/>
    </row>
    <row r="438" spans="10:21" s="1" customFormat="1" x14ac:dyDescent="0.2">
      <c r="J438"/>
      <c r="K438"/>
      <c r="L438"/>
      <c r="M438"/>
      <c r="N438"/>
      <c r="O438" s="392"/>
      <c r="P438" s="2"/>
      <c r="R438"/>
      <c r="S438"/>
      <c r="U438"/>
    </row>
    <row r="439" spans="10:21" s="1" customFormat="1" x14ac:dyDescent="0.2">
      <c r="J439"/>
      <c r="K439"/>
      <c r="L439"/>
      <c r="M439"/>
      <c r="N439"/>
      <c r="O439" s="392"/>
      <c r="P439" s="2"/>
      <c r="R439"/>
      <c r="S439"/>
      <c r="U439"/>
    </row>
    <row r="440" spans="10:21" s="1" customFormat="1" x14ac:dyDescent="0.2">
      <c r="J440"/>
      <c r="K440"/>
      <c r="L440"/>
      <c r="M440"/>
      <c r="N440"/>
      <c r="O440" s="392"/>
      <c r="P440" s="2"/>
      <c r="R440"/>
      <c r="S440"/>
      <c r="U440"/>
    </row>
    <row r="441" spans="10:21" s="1" customFormat="1" x14ac:dyDescent="0.2">
      <c r="J441"/>
      <c r="K441"/>
      <c r="L441"/>
      <c r="M441"/>
      <c r="N441"/>
      <c r="O441" s="392"/>
      <c r="P441" s="2"/>
      <c r="R441"/>
      <c r="S441"/>
      <c r="U441"/>
    </row>
    <row r="442" spans="10:21" s="1" customFormat="1" x14ac:dyDescent="0.2">
      <c r="J442"/>
      <c r="K442"/>
      <c r="L442"/>
      <c r="M442"/>
      <c r="N442"/>
      <c r="O442" s="392"/>
      <c r="P442" s="2"/>
      <c r="R442"/>
      <c r="S442"/>
      <c r="U442"/>
    </row>
    <row r="443" spans="10:21" s="1" customFormat="1" x14ac:dyDescent="0.2">
      <c r="J443"/>
      <c r="K443"/>
      <c r="L443"/>
      <c r="M443"/>
      <c r="N443"/>
      <c r="O443" s="392"/>
      <c r="P443" s="2"/>
      <c r="R443"/>
      <c r="S443"/>
      <c r="U443"/>
    </row>
    <row r="444" spans="10:21" s="1" customFormat="1" x14ac:dyDescent="0.2">
      <c r="J444"/>
      <c r="K444"/>
      <c r="L444"/>
      <c r="M444"/>
      <c r="N444"/>
      <c r="O444" s="392"/>
      <c r="P444" s="2"/>
      <c r="R444"/>
      <c r="S444"/>
      <c r="U444"/>
    </row>
    <row r="445" spans="10:21" s="1" customFormat="1" x14ac:dyDescent="0.2">
      <c r="J445"/>
      <c r="K445"/>
      <c r="L445"/>
      <c r="M445"/>
      <c r="N445"/>
      <c r="O445" s="392"/>
      <c r="P445" s="2"/>
      <c r="R445"/>
      <c r="S445"/>
      <c r="U445"/>
    </row>
    <row r="446" spans="10:21" s="1" customFormat="1" x14ac:dyDescent="0.2">
      <c r="J446"/>
      <c r="K446"/>
      <c r="L446"/>
      <c r="M446"/>
      <c r="N446"/>
      <c r="O446" s="392"/>
      <c r="P446" s="2"/>
      <c r="R446"/>
      <c r="S446"/>
      <c r="U446"/>
    </row>
    <row r="447" spans="10:21" s="1" customFormat="1" x14ac:dyDescent="0.2">
      <c r="J447"/>
      <c r="K447"/>
      <c r="L447"/>
      <c r="M447"/>
      <c r="N447"/>
      <c r="O447" s="392"/>
      <c r="P447" s="2"/>
      <c r="R447"/>
      <c r="S447"/>
      <c r="U447"/>
    </row>
    <row r="448" spans="10:21" s="1" customFormat="1" x14ac:dyDescent="0.2">
      <c r="J448"/>
      <c r="K448"/>
      <c r="L448"/>
      <c r="M448"/>
      <c r="N448"/>
      <c r="O448" s="392"/>
      <c r="P448" s="2"/>
      <c r="R448"/>
      <c r="S448"/>
      <c r="U448"/>
    </row>
    <row r="449" spans="10:21" s="1" customFormat="1" x14ac:dyDescent="0.2">
      <c r="J449"/>
      <c r="K449"/>
      <c r="L449"/>
      <c r="M449"/>
      <c r="N449"/>
      <c r="O449" s="392"/>
      <c r="P449" s="2"/>
      <c r="R449"/>
      <c r="S449"/>
      <c r="U449"/>
    </row>
    <row r="450" spans="10:21" s="1" customFormat="1" x14ac:dyDescent="0.2">
      <c r="J450"/>
      <c r="K450"/>
      <c r="L450"/>
      <c r="M450"/>
      <c r="N450"/>
      <c r="O450" s="392"/>
      <c r="P450" s="2"/>
      <c r="R450"/>
      <c r="S450"/>
      <c r="U450"/>
    </row>
    <row r="451" spans="10:21" s="1" customFormat="1" x14ac:dyDescent="0.2">
      <c r="J451"/>
      <c r="K451"/>
      <c r="L451"/>
      <c r="M451"/>
      <c r="N451"/>
      <c r="O451" s="392"/>
      <c r="P451" s="2"/>
      <c r="R451"/>
      <c r="S451"/>
      <c r="U451"/>
    </row>
    <row r="452" spans="10:21" s="1" customFormat="1" x14ac:dyDescent="0.2">
      <c r="J452"/>
      <c r="K452"/>
      <c r="L452"/>
      <c r="M452"/>
      <c r="N452"/>
      <c r="O452" s="392"/>
      <c r="P452" s="2"/>
      <c r="R452"/>
      <c r="S452"/>
      <c r="U452"/>
    </row>
    <row r="453" spans="10:21" s="1" customFormat="1" x14ac:dyDescent="0.2">
      <c r="J453"/>
      <c r="K453"/>
      <c r="L453"/>
      <c r="M453"/>
      <c r="N453"/>
      <c r="O453" s="392"/>
      <c r="P453" s="2"/>
      <c r="R453"/>
      <c r="S453"/>
      <c r="U453"/>
    </row>
    <row r="454" spans="10:21" s="1" customFormat="1" x14ac:dyDescent="0.2">
      <c r="J454"/>
      <c r="K454"/>
      <c r="L454"/>
      <c r="M454"/>
      <c r="N454"/>
      <c r="O454" s="392"/>
      <c r="P454" s="2"/>
      <c r="R454"/>
      <c r="S454"/>
      <c r="U454"/>
    </row>
    <row r="455" spans="10:21" s="1" customFormat="1" x14ac:dyDescent="0.2">
      <c r="J455"/>
      <c r="K455"/>
      <c r="L455"/>
      <c r="M455"/>
      <c r="N455"/>
      <c r="O455" s="392"/>
      <c r="P455" s="2"/>
      <c r="R455"/>
      <c r="S455"/>
      <c r="U455"/>
    </row>
    <row r="456" spans="10:21" s="1" customFormat="1" x14ac:dyDescent="0.2">
      <c r="J456"/>
      <c r="K456"/>
      <c r="L456"/>
      <c r="M456"/>
      <c r="N456"/>
      <c r="O456" s="392"/>
      <c r="P456" s="2"/>
      <c r="R456"/>
      <c r="S456"/>
      <c r="U456"/>
    </row>
    <row r="457" spans="10:21" s="1" customFormat="1" x14ac:dyDescent="0.2">
      <c r="J457"/>
      <c r="K457"/>
      <c r="L457"/>
      <c r="M457"/>
      <c r="N457"/>
      <c r="O457" s="392"/>
      <c r="P457" s="2"/>
      <c r="R457"/>
      <c r="S457"/>
      <c r="U457"/>
    </row>
    <row r="458" spans="10:21" s="1" customFormat="1" x14ac:dyDescent="0.2">
      <c r="J458"/>
      <c r="K458"/>
      <c r="L458"/>
      <c r="M458"/>
      <c r="N458"/>
      <c r="O458" s="392"/>
      <c r="P458" s="2"/>
      <c r="R458"/>
      <c r="S458"/>
      <c r="U458"/>
    </row>
    <row r="459" spans="10:21" s="1" customFormat="1" x14ac:dyDescent="0.2">
      <c r="J459"/>
      <c r="K459"/>
      <c r="L459"/>
      <c r="M459"/>
      <c r="N459"/>
      <c r="O459" s="392"/>
      <c r="P459" s="2"/>
      <c r="R459"/>
      <c r="S459"/>
      <c r="U459"/>
    </row>
    <row r="460" spans="10:21" s="1" customFormat="1" x14ac:dyDescent="0.2">
      <c r="J460"/>
      <c r="K460"/>
      <c r="L460"/>
      <c r="M460"/>
      <c r="N460"/>
      <c r="O460" s="392"/>
      <c r="P460" s="2"/>
      <c r="R460"/>
      <c r="S460"/>
      <c r="U460"/>
    </row>
    <row r="461" spans="10:21" s="1" customFormat="1" x14ac:dyDescent="0.2">
      <c r="J461"/>
      <c r="K461"/>
      <c r="L461"/>
      <c r="M461"/>
      <c r="N461"/>
      <c r="O461" s="392"/>
      <c r="P461" s="2"/>
      <c r="R461"/>
      <c r="S461"/>
      <c r="U461"/>
    </row>
    <row r="462" spans="10:21" s="1" customFormat="1" x14ac:dyDescent="0.2">
      <c r="J462"/>
      <c r="K462"/>
      <c r="L462"/>
      <c r="M462"/>
      <c r="N462"/>
      <c r="O462" s="392"/>
      <c r="P462" s="2"/>
      <c r="R462"/>
      <c r="S462"/>
      <c r="U462"/>
    </row>
    <row r="463" spans="10:21" s="1" customFormat="1" x14ac:dyDescent="0.2">
      <c r="J463"/>
      <c r="K463"/>
      <c r="L463"/>
      <c r="M463"/>
      <c r="N463"/>
      <c r="O463" s="392"/>
      <c r="P463" s="2"/>
      <c r="R463"/>
      <c r="S463"/>
      <c r="U463"/>
    </row>
    <row r="464" spans="10:21" s="1" customFormat="1" x14ac:dyDescent="0.2">
      <c r="J464"/>
      <c r="K464"/>
      <c r="L464"/>
      <c r="M464"/>
      <c r="N464"/>
      <c r="O464" s="392"/>
      <c r="P464" s="2"/>
      <c r="R464"/>
      <c r="S464"/>
      <c r="U464"/>
    </row>
    <row r="465" spans="10:21" s="1" customFormat="1" x14ac:dyDescent="0.2">
      <c r="J465"/>
      <c r="K465"/>
      <c r="L465"/>
      <c r="M465"/>
      <c r="N465"/>
      <c r="O465" s="392"/>
      <c r="P465" s="2"/>
      <c r="R465"/>
      <c r="S465"/>
      <c r="U465"/>
    </row>
    <row r="466" spans="10:21" s="1" customFormat="1" x14ac:dyDescent="0.2">
      <c r="J466"/>
      <c r="K466"/>
      <c r="L466"/>
      <c r="M466"/>
      <c r="N466"/>
      <c r="O466" s="392"/>
      <c r="P466" s="2"/>
      <c r="R466"/>
      <c r="S466"/>
      <c r="U466"/>
    </row>
    <row r="467" spans="10:21" s="1" customFormat="1" x14ac:dyDescent="0.2">
      <c r="J467"/>
      <c r="K467"/>
      <c r="L467"/>
      <c r="M467"/>
      <c r="N467"/>
      <c r="O467" s="392"/>
      <c r="P467" s="2"/>
      <c r="R467"/>
      <c r="S467"/>
      <c r="U467"/>
    </row>
    <row r="468" spans="10:21" s="1" customFormat="1" x14ac:dyDescent="0.2">
      <c r="J468"/>
      <c r="K468"/>
      <c r="L468"/>
      <c r="M468"/>
      <c r="N468"/>
      <c r="O468" s="392"/>
      <c r="P468" s="2"/>
      <c r="R468"/>
      <c r="S468"/>
      <c r="U468"/>
    </row>
    <row r="469" spans="10:21" s="1" customFormat="1" x14ac:dyDescent="0.2">
      <c r="J469"/>
      <c r="K469"/>
      <c r="L469"/>
      <c r="M469"/>
      <c r="N469"/>
      <c r="O469" s="392"/>
      <c r="P469" s="2"/>
      <c r="R469"/>
      <c r="S469"/>
      <c r="U469"/>
    </row>
    <row r="470" spans="10:21" s="1" customFormat="1" x14ac:dyDescent="0.2">
      <c r="J470"/>
      <c r="K470"/>
      <c r="L470"/>
      <c r="M470"/>
      <c r="N470"/>
      <c r="O470" s="392"/>
      <c r="P470" s="2"/>
      <c r="R470"/>
      <c r="S470"/>
      <c r="U470"/>
    </row>
    <row r="471" spans="10:21" s="1" customFormat="1" x14ac:dyDescent="0.2">
      <c r="J471"/>
      <c r="K471"/>
      <c r="L471"/>
      <c r="M471"/>
      <c r="N471"/>
      <c r="O471" s="392"/>
      <c r="P471" s="2"/>
      <c r="R471"/>
      <c r="S471"/>
      <c r="U471"/>
    </row>
    <row r="472" spans="10:21" s="1" customFormat="1" x14ac:dyDescent="0.2">
      <c r="J472"/>
      <c r="K472"/>
      <c r="L472"/>
      <c r="M472"/>
      <c r="N472"/>
      <c r="O472" s="392"/>
      <c r="P472" s="2"/>
      <c r="R472"/>
      <c r="S472"/>
      <c r="U472"/>
    </row>
    <row r="473" spans="10:21" s="1" customFormat="1" x14ac:dyDescent="0.2">
      <c r="J473"/>
      <c r="K473"/>
      <c r="L473"/>
      <c r="M473"/>
      <c r="N473"/>
      <c r="O473" s="392"/>
      <c r="P473" s="2"/>
      <c r="R473"/>
      <c r="S473"/>
      <c r="U473"/>
    </row>
    <row r="474" spans="10:21" s="1" customFormat="1" x14ac:dyDescent="0.2">
      <c r="J474"/>
      <c r="K474"/>
      <c r="L474"/>
      <c r="M474"/>
      <c r="N474"/>
      <c r="O474" s="392"/>
      <c r="P474" s="2"/>
      <c r="R474"/>
      <c r="S474"/>
      <c r="U474"/>
    </row>
    <row r="475" spans="10:21" s="1" customFormat="1" x14ac:dyDescent="0.2">
      <c r="J475"/>
      <c r="K475"/>
      <c r="L475"/>
      <c r="M475"/>
      <c r="N475"/>
      <c r="O475" s="392"/>
      <c r="P475" s="2"/>
      <c r="R475"/>
      <c r="S475"/>
      <c r="U475"/>
    </row>
    <row r="476" spans="10:21" s="1" customFormat="1" x14ac:dyDescent="0.2">
      <c r="J476"/>
      <c r="K476"/>
      <c r="L476"/>
      <c r="M476"/>
      <c r="N476"/>
      <c r="O476" s="392"/>
      <c r="P476" s="2"/>
      <c r="R476"/>
      <c r="S476"/>
      <c r="U476"/>
    </row>
    <row r="477" spans="10:21" s="1" customFormat="1" x14ac:dyDescent="0.2">
      <c r="J477"/>
      <c r="K477"/>
      <c r="L477"/>
      <c r="M477"/>
      <c r="N477"/>
      <c r="O477" s="392"/>
      <c r="P477" s="2"/>
      <c r="R477"/>
      <c r="S477"/>
      <c r="U477"/>
    </row>
    <row r="478" spans="10:21" s="1" customFormat="1" x14ac:dyDescent="0.2">
      <c r="J478"/>
      <c r="K478"/>
      <c r="L478"/>
      <c r="M478"/>
      <c r="N478"/>
      <c r="O478" s="392"/>
      <c r="P478" s="2"/>
      <c r="R478"/>
      <c r="S478"/>
      <c r="U478"/>
    </row>
    <row r="479" spans="10:21" s="1" customFormat="1" x14ac:dyDescent="0.2">
      <c r="J479"/>
      <c r="K479"/>
      <c r="L479"/>
      <c r="M479"/>
      <c r="N479"/>
      <c r="O479" s="392"/>
      <c r="P479" s="2"/>
      <c r="R479"/>
      <c r="S479"/>
      <c r="U479"/>
    </row>
    <row r="480" spans="10:21" s="1" customFormat="1" x14ac:dyDescent="0.2">
      <c r="J480"/>
      <c r="K480"/>
      <c r="L480"/>
      <c r="M480"/>
      <c r="N480"/>
      <c r="O480" s="392"/>
      <c r="P480" s="2"/>
      <c r="R480"/>
      <c r="S480"/>
      <c r="U480"/>
    </row>
    <row r="481" spans="10:21" s="1" customFormat="1" x14ac:dyDescent="0.2">
      <c r="J481"/>
      <c r="K481"/>
      <c r="L481"/>
      <c r="M481"/>
      <c r="N481"/>
      <c r="O481" s="392"/>
      <c r="P481" s="2"/>
      <c r="R481"/>
      <c r="S481"/>
      <c r="U481"/>
    </row>
    <row r="482" spans="10:21" s="1" customFormat="1" x14ac:dyDescent="0.2">
      <c r="J482"/>
      <c r="K482"/>
      <c r="L482"/>
      <c r="M482"/>
      <c r="N482"/>
      <c r="O482" s="392"/>
      <c r="P482" s="2"/>
      <c r="R482"/>
      <c r="S482"/>
      <c r="U482"/>
    </row>
    <row r="483" spans="10:21" s="1" customFormat="1" x14ac:dyDescent="0.2">
      <c r="J483"/>
      <c r="K483"/>
      <c r="L483"/>
      <c r="M483"/>
      <c r="N483"/>
      <c r="O483" s="392"/>
      <c r="P483" s="2"/>
      <c r="R483"/>
      <c r="S483"/>
      <c r="U483"/>
    </row>
    <row r="484" spans="10:21" s="1" customFormat="1" x14ac:dyDescent="0.2">
      <c r="J484"/>
      <c r="K484"/>
      <c r="L484"/>
      <c r="M484"/>
      <c r="N484"/>
      <c r="O484" s="392"/>
      <c r="P484" s="2"/>
      <c r="R484"/>
      <c r="S484"/>
      <c r="U484"/>
    </row>
    <row r="485" spans="10:21" s="1" customFormat="1" x14ac:dyDescent="0.2">
      <c r="J485"/>
      <c r="K485"/>
      <c r="L485"/>
      <c r="M485"/>
      <c r="N485"/>
      <c r="O485" s="392"/>
      <c r="P485" s="2"/>
      <c r="R485"/>
      <c r="S485"/>
      <c r="U485"/>
    </row>
    <row r="486" spans="10:21" s="1" customFormat="1" x14ac:dyDescent="0.2">
      <c r="J486"/>
      <c r="K486"/>
      <c r="L486"/>
      <c r="M486"/>
      <c r="N486"/>
      <c r="O486" s="392"/>
      <c r="P486" s="2"/>
      <c r="R486"/>
      <c r="S486"/>
      <c r="U486"/>
    </row>
    <row r="487" spans="10:21" s="1" customFormat="1" x14ac:dyDescent="0.2">
      <c r="J487"/>
      <c r="K487"/>
      <c r="L487"/>
      <c r="M487"/>
      <c r="N487"/>
      <c r="O487" s="392"/>
      <c r="P487" s="2"/>
      <c r="R487"/>
      <c r="S487"/>
      <c r="U487"/>
    </row>
    <row r="488" spans="10:21" s="1" customFormat="1" x14ac:dyDescent="0.2">
      <c r="J488"/>
      <c r="K488"/>
      <c r="L488"/>
      <c r="M488"/>
      <c r="N488"/>
      <c r="O488" s="392"/>
      <c r="P488" s="2"/>
      <c r="R488"/>
      <c r="S488"/>
      <c r="U488"/>
    </row>
    <row r="489" spans="10:21" s="1" customFormat="1" x14ac:dyDescent="0.2">
      <c r="J489"/>
      <c r="K489"/>
      <c r="L489"/>
      <c r="M489"/>
      <c r="N489"/>
      <c r="O489" s="392"/>
      <c r="P489" s="2"/>
      <c r="R489"/>
      <c r="S489"/>
      <c r="U489"/>
    </row>
    <row r="490" spans="10:21" s="1" customFormat="1" x14ac:dyDescent="0.2">
      <c r="J490"/>
      <c r="K490"/>
      <c r="L490"/>
      <c r="M490"/>
      <c r="N490"/>
      <c r="O490" s="392"/>
      <c r="P490" s="2"/>
      <c r="R490"/>
      <c r="S490"/>
      <c r="U490"/>
    </row>
    <row r="491" spans="10:21" s="1" customFormat="1" x14ac:dyDescent="0.2">
      <c r="J491"/>
      <c r="K491"/>
      <c r="L491"/>
      <c r="M491"/>
      <c r="N491"/>
      <c r="O491" s="392"/>
      <c r="P491" s="2"/>
      <c r="R491"/>
      <c r="S491"/>
      <c r="U491"/>
    </row>
    <row r="492" spans="10:21" s="1" customFormat="1" x14ac:dyDescent="0.2">
      <c r="J492"/>
      <c r="K492"/>
      <c r="L492"/>
      <c r="M492"/>
      <c r="N492"/>
      <c r="O492" s="392"/>
      <c r="P492" s="2"/>
      <c r="R492"/>
      <c r="S492"/>
      <c r="U492"/>
    </row>
    <row r="493" spans="10:21" s="1" customFormat="1" x14ac:dyDescent="0.2">
      <c r="J493"/>
      <c r="K493"/>
      <c r="L493"/>
      <c r="M493"/>
      <c r="N493"/>
      <c r="O493" s="392"/>
      <c r="P493" s="2"/>
      <c r="R493"/>
      <c r="S493"/>
      <c r="U493"/>
    </row>
    <row r="494" spans="10:21" s="1" customFormat="1" x14ac:dyDescent="0.2">
      <c r="J494"/>
      <c r="K494"/>
      <c r="L494"/>
      <c r="M494"/>
      <c r="N494"/>
      <c r="O494" s="392"/>
      <c r="P494" s="2"/>
      <c r="R494"/>
      <c r="S494"/>
      <c r="U494"/>
    </row>
    <row r="495" spans="10:21" s="1" customFormat="1" x14ac:dyDescent="0.2">
      <c r="J495"/>
      <c r="K495"/>
      <c r="L495"/>
      <c r="M495"/>
      <c r="N495"/>
      <c r="O495" s="392"/>
      <c r="P495" s="2"/>
      <c r="R495"/>
      <c r="S495"/>
      <c r="U495"/>
    </row>
    <row r="496" spans="10:21" s="1" customFormat="1" x14ac:dyDescent="0.2">
      <c r="J496"/>
      <c r="K496"/>
      <c r="L496"/>
      <c r="M496"/>
      <c r="N496"/>
      <c r="O496" s="392"/>
      <c r="P496" s="2"/>
      <c r="R496"/>
      <c r="S496"/>
      <c r="U496"/>
    </row>
    <row r="497" spans="10:21" s="1" customFormat="1" x14ac:dyDescent="0.2">
      <c r="J497"/>
      <c r="K497"/>
      <c r="L497"/>
      <c r="M497"/>
      <c r="N497"/>
      <c r="O497" s="392"/>
      <c r="P497" s="2"/>
      <c r="R497"/>
      <c r="S497"/>
      <c r="U497"/>
    </row>
    <row r="498" spans="10:21" s="1" customFormat="1" x14ac:dyDescent="0.2">
      <c r="J498"/>
      <c r="K498"/>
      <c r="L498"/>
      <c r="M498"/>
      <c r="N498"/>
      <c r="O498" s="392"/>
      <c r="P498" s="2"/>
      <c r="R498"/>
      <c r="S498"/>
      <c r="U498"/>
    </row>
    <row r="499" spans="10:21" s="1" customFormat="1" x14ac:dyDescent="0.2">
      <c r="J499"/>
      <c r="K499"/>
      <c r="L499"/>
      <c r="M499"/>
      <c r="N499"/>
      <c r="O499" s="392"/>
      <c r="P499" s="2"/>
      <c r="R499"/>
      <c r="S499"/>
      <c r="U499"/>
    </row>
    <row r="500" spans="10:21" s="1" customFormat="1" x14ac:dyDescent="0.2">
      <c r="J500"/>
      <c r="K500"/>
      <c r="L500"/>
      <c r="M500"/>
      <c r="N500"/>
      <c r="O500" s="392"/>
      <c r="P500" s="2"/>
      <c r="R500"/>
      <c r="S500"/>
      <c r="U500"/>
    </row>
    <row r="501" spans="10:21" s="1" customFormat="1" x14ac:dyDescent="0.2">
      <c r="J501"/>
      <c r="K501"/>
      <c r="L501"/>
      <c r="M501"/>
      <c r="N501"/>
      <c r="O501" s="392"/>
      <c r="P501" s="2"/>
      <c r="R501"/>
      <c r="S501"/>
      <c r="U501"/>
    </row>
    <row r="502" spans="10:21" s="1" customFormat="1" x14ac:dyDescent="0.2">
      <c r="J502"/>
      <c r="K502"/>
      <c r="L502"/>
      <c r="M502"/>
      <c r="N502"/>
      <c r="O502" s="392"/>
      <c r="P502" s="2"/>
      <c r="R502"/>
      <c r="S502"/>
      <c r="U502"/>
    </row>
    <row r="503" spans="10:21" s="1" customFormat="1" x14ac:dyDescent="0.2">
      <c r="J503"/>
      <c r="K503"/>
      <c r="L503"/>
      <c r="M503"/>
      <c r="N503"/>
      <c r="O503" s="392"/>
      <c r="P503" s="2"/>
      <c r="R503"/>
      <c r="S503"/>
      <c r="U503"/>
    </row>
    <row r="504" spans="10:21" s="1" customFormat="1" x14ac:dyDescent="0.2">
      <c r="J504"/>
      <c r="K504"/>
      <c r="L504"/>
      <c r="M504"/>
      <c r="N504"/>
      <c r="O504" s="392"/>
      <c r="P504" s="2"/>
      <c r="R504"/>
      <c r="S504"/>
      <c r="U504"/>
    </row>
    <row r="505" spans="10:21" s="1" customFormat="1" x14ac:dyDescent="0.2">
      <c r="J505"/>
      <c r="K505"/>
      <c r="L505"/>
      <c r="M505"/>
      <c r="N505"/>
      <c r="O505" s="392"/>
      <c r="P505" s="2"/>
      <c r="R505"/>
      <c r="S505"/>
      <c r="U505"/>
    </row>
    <row r="506" spans="10:21" s="1" customFormat="1" x14ac:dyDescent="0.2">
      <c r="J506"/>
      <c r="K506"/>
      <c r="L506"/>
      <c r="M506"/>
      <c r="N506"/>
      <c r="O506" s="392"/>
      <c r="P506" s="2"/>
      <c r="R506"/>
      <c r="S506"/>
      <c r="U506"/>
    </row>
    <row r="507" spans="10:21" s="1" customFormat="1" x14ac:dyDescent="0.2">
      <c r="J507"/>
      <c r="K507"/>
      <c r="L507"/>
      <c r="M507"/>
      <c r="N507"/>
      <c r="O507" s="392"/>
      <c r="P507" s="2"/>
      <c r="R507"/>
      <c r="S507"/>
      <c r="U507"/>
    </row>
    <row r="508" spans="10:21" s="1" customFormat="1" x14ac:dyDescent="0.2">
      <c r="J508"/>
      <c r="K508"/>
      <c r="L508"/>
      <c r="M508"/>
      <c r="N508"/>
      <c r="O508" s="392"/>
      <c r="P508" s="2"/>
      <c r="R508"/>
      <c r="S508"/>
      <c r="U508"/>
    </row>
    <row r="509" spans="10:21" s="1" customFormat="1" x14ac:dyDescent="0.2">
      <c r="J509"/>
      <c r="K509"/>
      <c r="L509"/>
      <c r="M509"/>
      <c r="N509"/>
      <c r="O509" s="392"/>
      <c r="P509" s="2"/>
      <c r="R509"/>
      <c r="S509"/>
      <c r="U509"/>
    </row>
    <row r="510" spans="10:21" s="1" customFormat="1" x14ac:dyDescent="0.2">
      <c r="J510"/>
      <c r="K510"/>
      <c r="L510"/>
      <c r="M510"/>
      <c r="N510"/>
      <c r="O510" s="392"/>
      <c r="P510" s="2"/>
      <c r="R510"/>
      <c r="S510"/>
      <c r="U510"/>
    </row>
    <row r="511" spans="10:21" s="1" customFormat="1" x14ac:dyDescent="0.2">
      <c r="J511"/>
      <c r="K511"/>
      <c r="L511"/>
      <c r="M511"/>
      <c r="N511"/>
      <c r="O511" s="392"/>
      <c r="P511" s="2"/>
      <c r="R511"/>
      <c r="S511"/>
      <c r="U511"/>
    </row>
    <row r="512" spans="10:21" s="1" customFormat="1" x14ac:dyDescent="0.2">
      <c r="J512"/>
      <c r="K512"/>
      <c r="L512"/>
      <c r="M512"/>
      <c r="N512"/>
      <c r="O512" s="392"/>
      <c r="P512" s="2"/>
      <c r="R512"/>
      <c r="S512"/>
      <c r="U512"/>
    </row>
    <row r="513" spans="10:21" s="1" customFormat="1" x14ac:dyDescent="0.2">
      <c r="J513"/>
      <c r="K513"/>
      <c r="L513"/>
      <c r="M513"/>
      <c r="N513"/>
      <c r="O513" s="392"/>
      <c r="P513" s="2"/>
      <c r="R513"/>
      <c r="S513"/>
      <c r="U513"/>
    </row>
    <row r="514" spans="10:21" s="1" customFormat="1" x14ac:dyDescent="0.2">
      <c r="J514"/>
      <c r="K514"/>
      <c r="L514"/>
      <c r="M514"/>
      <c r="N514"/>
      <c r="O514" s="392"/>
      <c r="P514" s="2"/>
      <c r="R514"/>
      <c r="S514"/>
      <c r="U514"/>
    </row>
    <row r="515" spans="10:21" s="1" customFormat="1" x14ac:dyDescent="0.2">
      <c r="J515"/>
      <c r="K515"/>
      <c r="L515"/>
      <c r="M515"/>
      <c r="N515"/>
      <c r="O515" s="392"/>
      <c r="P515" s="2"/>
      <c r="R515"/>
      <c r="S515"/>
      <c r="U515"/>
    </row>
    <row r="516" spans="10:21" s="1" customFormat="1" x14ac:dyDescent="0.2">
      <c r="J516"/>
      <c r="K516"/>
      <c r="L516"/>
      <c r="M516"/>
      <c r="N516"/>
      <c r="O516" s="392"/>
      <c r="P516" s="2"/>
      <c r="R516"/>
      <c r="S516"/>
      <c r="U516"/>
    </row>
    <row r="517" spans="10:21" s="1" customFormat="1" x14ac:dyDescent="0.2">
      <c r="J517"/>
      <c r="K517"/>
      <c r="L517"/>
      <c r="M517"/>
      <c r="N517"/>
      <c r="O517" s="392"/>
      <c r="P517" s="2"/>
      <c r="R517"/>
      <c r="S517"/>
      <c r="U517"/>
    </row>
    <row r="518" spans="10:21" s="1" customFormat="1" x14ac:dyDescent="0.2">
      <c r="J518"/>
      <c r="K518"/>
      <c r="L518"/>
      <c r="M518"/>
      <c r="N518"/>
      <c r="O518" s="392"/>
      <c r="P518" s="2"/>
      <c r="R518"/>
      <c r="S518"/>
      <c r="U518"/>
    </row>
    <row r="519" spans="10:21" s="1" customFormat="1" x14ac:dyDescent="0.2">
      <c r="J519"/>
      <c r="K519"/>
      <c r="L519"/>
      <c r="M519"/>
      <c r="N519"/>
      <c r="O519" s="392"/>
      <c r="P519" s="2"/>
      <c r="R519"/>
      <c r="S519"/>
      <c r="U519"/>
    </row>
    <row r="520" spans="10:21" s="1" customFormat="1" x14ac:dyDescent="0.2">
      <c r="J520"/>
      <c r="K520"/>
      <c r="L520"/>
      <c r="M520"/>
      <c r="N520"/>
      <c r="O520" s="392"/>
      <c r="P520" s="2"/>
      <c r="R520"/>
      <c r="S520"/>
      <c r="U520"/>
    </row>
    <row r="521" spans="10:21" s="1" customFormat="1" x14ac:dyDescent="0.2">
      <c r="J521"/>
      <c r="K521"/>
      <c r="L521"/>
      <c r="M521"/>
      <c r="N521"/>
      <c r="O521" s="392"/>
      <c r="P521" s="2"/>
      <c r="R521"/>
      <c r="S521"/>
      <c r="U521"/>
    </row>
    <row r="522" spans="10:21" s="1" customFormat="1" x14ac:dyDescent="0.2">
      <c r="J522"/>
      <c r="K522"/>
      <c r="L522"/>
      <c r="M522"/>
      <c r="N522"/>
      <c r="O522" s="392"/>
      <c r="P522" s="2"/>
      <c r="R522"/>
      <c r="S522"/>
      <c r="U522"/>
    </row>
    <row r="523" spans="10:21" s="1" customFormat="1" x14ac:dyDescent="0.2">
      <c r="J523"/>
      <c r="K523"/>
      <c r="L523"/>
      <c r="M523"/>
      <c r="N523"/>
      <c r="O523" s="392"/>
      <c r="P523" s="2"/>
      <c r="R523"/>
      <c r="S523"/>
      <c r="U523"/>
    </row>
    <row r="524" spans="10:21" s="1" customFormat="1" x14ac:dyDescent="0.2">
      <c r="J524"/>
      <c r="K524"/>
      <c r="L524"/>
      <c r="M524"/>
      <c r="N524"/>
      <c r="O524" s="392"/>
      <c r="P524" s="2"/>
      <c r="R524"/>
      <c r="S524"/>
      <c r="U524"/>
    </row>
    <row r="525" spans="10:21" s="1" customFormat="1" x14ac:dyDescent="0.2">
      <c r="J525"/>
      <c r="K525"/>
      <c r="L525"/>
      <c r="M525"/>
      <c r="N525"/>
      <c r="O525" s="392"/>
      <c r="P525" s="2"/>
      <c r="R525"/>
      <c r="S525"/>
      <c r="U525"/>
    </row>
    <row r="526" spans="10:21" s="1" customFormat="1" x14ac:dyDescent="0.2">
      <c r="J526"/>
      <c r="K526"/>
      <c r="L526"/>
      <c r="M526"/>
      <c r="N526"/>
      <c r="O526" s="392"/>
      <c r="P526" s="2"/>
      <c r="R526"/>
      <c r="S526"/>
      <c r="U526"/>
    </row>
    <row r="527" spans="10:21" s="1" customFormat="1" x14ac:dyDescent="0.2">
      <c r="J527"/>
      <c r="K527"/>
      <c r="L527"/>
      <c r="M527"/>
      <c r="N527"/>
      <c r="O527" s="392"/>
      <c r="P527" s="2"/>
      <c r="R527"/>
      <c r="S527"/>
      <c r="U527"/>
    </row>
    <row r="528" spans="10:21" s="1" customFormat="1" x14ac:dyDescent="0.2">
      <c r="J528"/>
      <c r="K528"/>
      <c r="L528"/>
      <c r="M528"/>
      <c r="N528"/>
      <c r="O528" s="392"/>
      <c r="P528" s="2"/>
      <c r="R528"/>
      <c r="S528"/>
      <c r="U528"/>
    </row>
    <row r="529" spans="10:21" s="1" customFormat="1" x14ac:dyDescent="0.2">
      <c r="J529"/>
      <c r="K529"/>
      <c r="L529"/>
      <c r="M529"/>
      <c r="N529"/>
      <c r="O529" s="392"/>
      <c r="P529" s="2"/>
      <c r="R529"/>
      <c r="S529"/>
      <c r="U529"/>
    </row>
    <row r="530" spans="10:21" s="1" customFormat="1" x14ac:dyDescent="0.2">
      <c r="J530"/>
      <c r="K530"/>
      <c r="L530"/>
      <c r="M530"/>
      <c r="N530"/>
      <c r="O530" s="392"/>
      <c r="P530" s="2"/>
      <c r="R530"/>
      <c r="S530"/>
      <c r="U530"/>
    </row>
    <row r="531" spans="10:21" s="1" customFormat="1" x14ac:dyDescent="0.2">
      <c r="J531"/>
      <c r="K531"/>
      <c r="L531"/>
      <c r="M531"/>
      <c r="N531"/>
      <c r="O531" s="392"/>
      <c r="P531" s="2"/>
      <c r="R531"/>
      <c r="S531"/>
      <c r="U531"/>
    </row>
    <row r="532" spans="10:21" s="1" customFormat="1" x14ac:dyDescent="0.2">
      <c r="J532"/>
      <c r="K532"/>
      <c r="L532"/>
      <c r="M532"/>
      <c r="N532"/>
      <c r="O532" s="392"/>
      <c r="P532" s="2"/>
      <c r="R532"/>
      <c r="S532"/>
      <c r="U532"/>
    </row>
    <row r="533" spans="10:21" s="1" customFormat="1" x14ac:dyDescent="0.2">
      <c r="J533"/>
      <c r="K533"/>
      <c r="L533"/>
      <c r="M533"/>
      <c r="N533"/>
      <c r="O533" s="392"/>
      <c r="P533" s="2"/>
      <c r="R533"/>
      <c r="S533"/>
      <c r="U533"/>
    </row>
    <row r="534" spans="10:21" s="1" customFormat="1" x14ac:dyDescent="0.2">
      <c r="J534"/>
      <c r="K534"/>
      <c r="L534"/>
      <c r="M534"/>
      <c r="N534"/>
      <c r="O534" s="392"/>
      <c r="P534" s="2"/>
      <c r="R534"/>
      <c r="S534"/>
      <c r="U534"/>
    </row>
    <row r="535" spans="10:21" s="1" customFormat="1" x14ac:dyDescent="0.2">
      <c r="J535"/>
      <c r="K535"/>
      <c r="L535"/>
      <c r="M535"/>
      <c r="N535"/>
      <c r="O535" s="392"/>
      <c r="P535" s="2"/>
      <c r="R535"/>
      <c r="S535"/>
      <c r="U535"/>
    </row>
    <row r="536" spans="10:21" s="1" customFormat="1" x14ac:dyDescent="0.2">
      <c r="J536"/>
      <c r="K536"/>
      <c r="L536"/>
      <c r="M536"/>
      <c r="N536"/>
      <c r="O536" s="392"/>
      <c r="P536" s="2"/>
      <c r="R536"/>
      <c r="S536"/>
      <c r="U536"/>
    </row>
    <row r="537" spans="10:21" s="1" customFormat="1" x14ac:dyDescent="0.2">
      <c r="J537"/>
      <c r="K537"/>
      <c r="L537"/>
      <c r="M537"/>
      <c r="N537"/>
      <c r="O537" s="392"/>
      <c r="P537" s="2"/>
      <c r="R537"/>
      <c r="S537"/>
      <c r="U537"/>
    </row>
    <row r="538" spans="10:21" s="1" customFormat="1" x14ac:dyDescent="0.2">
      <c r="J538"/>
      <c r="K538"/>
      <c r="L538"/>
      <c r="M538"/>
      <c r="N538"/>
      <c r="O538" s="392"/>
      <c r="P538" s="2"/>
      <c r="R538"/>
      <c r="S538"/>
      <c r="U538"/>
    </row>
    <row r="539" spans="10:21" s="1" customFormat="1" x14ac:dyDescent="0.2">
      <c r="J539"/>
      <c r="K539"/>
      <c r="L539"/>
      <c r="M539"/>
      <c r="N539"/>
      <c r="O539" s="392"/>
      <c r="P539" s="2"/>
      <c r="R539"/>
      <c r="S539"/>
      <c r="U539"/>
    </row>
    <row r="540" spans="10:21" s="1" customFormat="1" x14ac:dyDescent="0.2">
      <c r="J540"/>
      <c r="K540"/>
      <c r="L540"/>
      <c r="M540"/>
      <c r="N540"/>
      <c r="O540" s="392"/>
      <c r="P540" s="2"/>
      <c r="R540"/>
      <c r="S540"/>
      <c r="U540"/>
    </row>
    <row r="541" spans="10:21" s="1" customFormat="1" x14ac:dyDescent="0.2">
      <c r="J541"/>
      <c r="K541"/>
      <c r="L541"/>
      <c r="M541"/>
      <c r="N541"/>
      <c r="O541" s="392"/>
      <c r="P541" s="2"/>
      <c r="R541"/>
      <c r="S541"/>
      <c r="U541"/>
    </row>
    <row r="542" spans="10:21" s="1" customFormat="1" x14ac:dyDescent="0.2">
      <c r="J542"/>
      <c r="K542"/>
      <c r="L542"/>
      <c r="M542"/>
      <c r="N542"/>
      <c r="O542" s="392"/>
      <c r="P542" s="2"/>
      <c r="R542"/>
      <c r="S542"/>
      <c r="U542"/>
    </row>
    <row r="543" spans="10:21" s="1" customFormat="1" x14ac:dyDescent="0.2">
      <c r="J543"/>
      <c r="K543"/>
      <c r="L543"/>
      <c r="M543"/>
      <c r="N543"/>
      <c r="O543" s="392"/>
      <c r="P543" s="2"/>
      <c r="R543"/>
      <c r="S543"/>
      <c r="U543"/>
    </row>
    <row r="544" spans="10:21" s="1" customFormat="1" x14ac:dyDescent="0.2">
      <c r="J544"/>
      <c r="K544"/>
      <c r="L544"/>
      <c r="M544"/>
      <c r="N544"/>
      <c r="O544" s="392"/>
      <c r="P544" s="2"/>
      <c r="R544"/>
      <c r="S544"/>
      <c r="U544"/>
    </row>
    <row r="545" spans="10:21" s="1" customFormat="1" x14ac:dyDescent="0.2">
      <c r="J545"/>
      <c r="K545"/>
      <c r="L545"/>
      <c r="M545"/>
      <c r="N545"/>
      <c r="O545" s="392"/>
      <c r="P545" s="2"/>
      <c r="R545"/>
      <c r="S545"/>
      <c r="U545"/>
    </row>
    <row r="546" spans="10:21" s="1" customFormat="1" x14ac:dyDescent="0.2">
      <c r="J546"/>
      <c r="K546"/>
      <c r="L546"/>
      <c r="M546"/>
      <c r="N546"/>
      <c r="O546" s="392"/>
      <c r="P546" s="2"/>
      <c r="R546"/>
      <c r="S546"/>
      <c r="U546"/>
    </row>
    <row r="547" spans="10:21" s="1" customFormat="1" x14ac:dyDescent="0.2">
      <c r="J547"/>
      <c r="K547"/>
      <c r="L547"/>
      <c r="M547"/>
      <c r="N547"/>
      <c r="O547" s="392"/>
      <c r="P547" s="2"/>
      <c r="R547"/>
      <c r="S547"/>
      <c r="U547"/>
    </row>
    <row r="548" spans="10:21" s="1" customFormat="1" x14ac:dyDescent="0.2">
      <c r="J548"/>
      <c r="K548"/>
      <c r="L548"/>
      <c r="M548"/>
      <c r="N548"/>
      <c r="O548" s="392"/>
      <c r="P548" s="2"/>
      <c r="R548"/>
      <c r="S548"/>
      <c r="U548"/>
    </row>
    <row r="549" spans="10:21" s="1" customFormat="1" x14ac:dyDescent="0.2">
      <c r="J549"/>
      <c r="K549"/>
      <c r="L549"/>
      <c r="M549"/>
      <c r="N549"/>
      <c r="O549" s="392"/>
      <c r="P549" s="2"/>
      <c r="R549"/>
      <c r="S549"/>
      <c r="U549"/>
    </row>
    <row r="550" spans="10:21" s="1" customFormat="1" x14ac:dyDescent="0.2">
      <c r="J550"/>
      <c r="K550"/>
      <c r="L550"/>
      <c r="M550"/>
      <c r="N550"/>
      <c r="O550" s="392"/>
      <c r="P550" s="2"/>
      <c r="R550"/>
      <c r="S550"/>
      <c r="U550"/>
    </row>
    <row r="551" spans="10:21" s="1" customFormat="1" x14ac:dyDescent="0.2">
      <c r="J551"/>
      <c r="K551"/>
      <c r="L551"/>
      <c r="M551"/>
      <c r="N551"/>
      <c r="O551" s="392"/>
      <c r="P551" s="2"/>
      <c r="R551"/>
      <c r="S551"/>
      <c r="U551"/>
    </row>
    <row r="552" spans="10:21" s="1" customFormat="1" x14ac:dyDescent="0.2">
      <c r="J552"/>
      <c r="K552"/>
      <c r="L552"/>
      <c r="M552"/>
      <c r="N552"/>
      <c r="O552" s="392"/>
      <c r="P552" s="2"/>
      <c r="R552"/>
      <c r="S552"/>
      <c r="U552"/>
    </row>
    <row r="553" spans="10:21" s="1" customFormat="1" x14ac:dyDescent="0.2">
      <c r="J553"/>
      <c r="K553"/>
      <c r="L553"/>
      <c r="M553"/>
      <c r="N553"/>
      <c r="O553" s="392"/>
      <c r="P553" s="2"/>
      <c r="R553"/>
      <c r="S553"/>
      <c r="U553"/>
    </row>
    <row r="554" spans="10:21" s="1" customFormat="1" x14ac:dyDescent="0.2">
      <c r="J554"/>
      <c r="K554"/>
      <c r="L554"/>
      <c r="M554"/>
      <c r="N554"/>
      <c r="O554" s="392"/>
      <c r="P554" s="2"/>
      <c r="R554"/>
      <c r="S554"/>
      <c r="U554"/>
    </row>
    <row r="555" spans="10:21" s="1" customFormat="1" x14ac:dyDescent="0.2">
      <c r="J555"/>
      <c r="K555"/>
      <c r="L555"/>
      <c r="M555"/>
      <c r="N555"/>
      <c r="O555" s="392"/>
      <c r="P555" s="2"/>
      <c r="R555"/>
      <c r="S555"/>
      <c r="U555"/>
    </row>
    <row r="556" spans="10:21" s="1" customFormat="1" x14ac:dyDescent="0.2">
      <c r="J556"/>
      <c r="K556"/>
      <c r="L556"/>
      <c r="M556"/>
      <c r="N556"/>
      <c r="O556" s="392"/>
      <c r="P556" s="2"/>
      <c r="R556"/>
      <c r="S556"/>
      <c r="U556"/>
    </row>
    <row r="557" spans="10:21" s="1" customFormat="1" x14ac:dyDescent="0.2">
      <c r="J557"/>
      <c r="K557"/>
      <c r="L557"/>
      <c r="M557"/>
      <c r="N557"/>
      <c r="O557" s="392"/>
      <c r="P557" s="2"/>
      <c r="R557"/>
      <c r="S557"/>
      <c r="U557"/>
    </row>
    <row r="558" spans="10:21" s="1" customFormat="1" x14ac:dyDescent="0.2">
      <c r="J558"/>
      <c r="K558"/>
      <c r="L558"/>
      <c r="M558"/>
      <c r="N558"/>
      <c r="O558" s="392"/>
      <c r="P558" s="2"/>
      <c r="R558"/>
      <c r="S558"/>
      <c r="U558"/>
    </row>
    <row r="559" spans="10:21" s="1" customFormat="1" x14ac:dyDescent="0.2">
      <c r="J559"/>
      <c r="K559"/>
      <c r="L559"/>
      <c r="M559"/>
      <c r="N559"/>
      <c r="O559" s="392"/>
      <c r="P559" s="2"/>
      <c r="R559"/>
      <c r="S559"/>
      <c r="U559"/>
    </row>
    <row r="560" spans="10:21" s="1" customFormat="1" x14ac:dyDescent="0.2">
      <c r="J560"/>
      <c r="K560"/>
      <c r="L560"/>
      <c r="M560"/>
      <c r="N560"/>
      <c r="O560" s="392"/>
      <c r="P560" s="2"/>
      <c r="R560"/>
      <c r="S560"/>
      <c r="U560"/>
    </row>
    <row r="561" spans="10:21" s="1" customFormat="1" x14ac:dyDescent="0.2">
      <c r="J561"/>
      <c r="K561"/>
      <c r="L561"/>
      <c r="M561"/>
      <c r="N561"/>
      <c r="O561" s="392"/>
      <c r="P561" s="2"/>
      <c r="R561"/>
      <c r="S561"/>
      <c r="U561"/>
    </row>
    <row r="562" spans="10:21" s="1" customFormat="1" x14ac:dyDescent="0.2">
      <c r="J562"/>
      <c r="K562"/>
      <c r="L562"/>
      <c r="M562"/>
      <c r="N562"/>
      <c r="O562" s="392"/>
      <c r="P562" s="2"/>
      <c r="R562"/>
      <c r="S562"/>
      <c r="U562"/>
    </row>
    <row r="563" spans="10:21" s="1" customFormat="1" x14ac:dyDescent="0.2">
      <c r="J563"/>
      <c r="K563"/>
      <c r="L563"/>
      <c r="M563"/>
      <c r="N563"/>
      <c r="O563" s="392"/>
      <c r="P563" s="2"/>
      <c r="R563"/>
      <c r="S563"/>
      <c r="U563"/>
    </row>
    <row r="564" spans="10:21" s="1" customFormat="1" x14ac:dyDescent="0.2">
      <c r="J564"/>
      <c r="K564"/>
      <c r="L564"/>
      <c r="M564"/>
      <c r="N564"/>
      <c r="O564" s="392"/>
      <c r="P564" s="2"/>
      <c r="R564"/>
      <c r="S564"/>
      <c r="U564"/>
    </row>
    <row r="565" spans="10:21" s="1" customFormat="1" x14ac:dyDescent="0.2">
      <c r="J565"/>
      <c r="K565"/>
      <c r="L565"/>
      <c r="M565"/>
      <c r="N565"/>
      <c r="O565" s="392"/>
      <c r="P565" s="2"/>
      <c r="R565"/>
      <c r="S565"/>
      <c r="U565"/>
    </row>
    <row r="566" spans="10:21" s="1" customFormat="1" x14ac:dyDescent="0.2">
      <c r="J566"/>
      <c r="K566"/>
      <c r="L566"/>
      <c r="M566"/>
      <c r="N566"/>
      <c r="O566" s="392"/>
      <c r="P566" s="2"/>
      <c r="R566"/>
      <c r="S566"/>
      <c r="U566"/>
    </row>
    <row r="567" spans="10:21" s="1" customFormat="1" x14ac:dyDescent="0.2">
      <c r="J567"/>
      <c r="K567"/>
      <c r="L567"/>
      <c r="M567"/>
      <c r="N567"/>
      <c r="O567" s="392"/>
      <c r="P567" s="2"/>
      <c r="R567"/>
      <c r="S567"/>
      <c r="U567"/>
    </row>
    <row r="568" spans="10:21" s="1" customFormat="1" x14ac:dyDescent="0.2">
      <c r="J568"/>
      <c r="K568"/>
      <c r="L568"/>
      <c r="M568"/>
      <c r="N568"/>
      <c r="O568" s="392"/>
      <c r="P568" s="2"/>
      <c r="R568"/>
      <c r="S568"/>
      <c r="U568"/>
    </row>
    <row r="569" spans="10:21" s="1" customFormat="1" x14ac:dyDescent="0.2">
      <c r="J569"/>
      <c r="K569"/>
      <c r="L569"/>
      <c r="M569"/>
      <c r="N569"/>
      <c r="O569" s="392"/>
      <c r="P569" s="2"/>
      <c r="R569"/>
      <c r="S569"/>
      <c r="U569"/>
    </row>
    <row r="570" spans="10:21" s="1" customFormat="1" x14ac:dyDescent="0.2">
      <c r="J570"/>
      <c r="K570"/>
      <c r="L570"/>
      <c r="M570"/>
      <c r="N570"/>
      <c r="O570" s="392"/>
      <c r="P570" s="2"/>
      <c r="R570"/>
      <c r="S570"/>
      <c r="U570"/>
    </row>
    <row r="571" spans="10:21" s="1" customFormat="1" x14ac:dyDescent="0.2">
      <c r="J571"/>
      <c r="K571"/>
      <c r="L571"/>
      <c r="M571"/>
      <c r="N571"/>
      <c r="O571" s="392"/>
      <c r="P571" s="2"/>
      <c r="R571"/>
      <c r="S571"/>
      <c r="U571"/>
    </row>
    <row r="572" spans="10:21" s="1" customFormat="1" x14ac:dyDescent="0.2">
      <c r="J572"/>
      <c r="K572"/>
      <c r="L572"/>
      <c r="M572"/>
      <c r="N572"/>
      <c r="O572" s="392"/>
      <c r="P572" s="2"/>
      <c r="R572"/>
      <c r="S572"/>
      <c r="U572"/>
    </row>
    <row r="573" spans="10:21" s="1" customFormat="1" x14ac:dyDescent="0.2">
      <c r="J573"/>
      <c r="K573"/>
      <c r="L573"/>
      <c r="M573"/>
      <c r="N573"/>
      <c r="O573" s="392"/>
      <c r="P573" s="2"/>
      <c r="R573"/>
      <c r="S573"/>
      <c r="U573"/>
    </row>
    <row r="574" spans="10:21" s="1" customFormat="1" x14ac:dyDescent="0.2">
      <c r="J574"/>
      <c r="K574"/>
      <c r="L574"/>
      <c r="M574"/>
      <c r="N574"/>
      <c r="O574" s="392"/>
      <c r="P574" s="2"/>
      <c r="R574"/>
      <c r="S574"/>
      <c r="U574"/>
    </row>
    <row r="575" spans="10:21" s="1" customFormat="1" x14ac:dyDescent="0.2">
      <c r="J575"/>
      <c r="K575"/>
      <c r="L575"/>
      <c r="M575"/>
      <c r="N575"/>
      <c r="O575" s="392"/>
      <c r="P575" s="2"/>
      <c r="R575"/>
      <c r="S575"/>
      <c r="U575"/>
    </row>
    <row r="576" spans="10:21" s="1" customFormat="1" x14ac:dyDescent="0.2">
      <c r="J576"/>
      <c r="K576"/>
      <c r="L576"/>
      <c r="M576"/>
      <c r="N576"/>
      <c r="O576" s="392"/>
      <c r="P576" s="2"/>
      <c r="R576"/>
      <c r="S576"/>
      <c r="U576"/>
    </row>
    <row r="577" spans="10:21" s="1" customFormat="1" x14ac:dyDescent="0.2">
      <c r="J577"/>
      <c r="K577"/>
      <c r="L577"/>
      <c r="M577"/>
      <c r="N577"/>
      <c r="O577" s="392"/>
      <c r="P577" s="2"/>
      <c r="R577"/>
      <c r="S577"/>
      <c r="U577"/>
    </row>
    <row r="578" spans="10:21" s="1" customFormat="1" x14ac:dyDescent="0.2">
      <c r="J578"/>
      <c r="K578"/>
      <c r="L578"/>
      <c r="M578"/>
      <c r="N578"/>
      <c r="O578" s="392"/>
      <c r="P578" s="2"/>
      <c r="R578"/>
      <c r="S578"/>
      <c r="U578"/>
    </row>
    <row r="579" spans="10:21" s="1" customFormat="1" x14ac:dyDescent="0.2">
      <c r="J579"/>
      <c r="K579"/>
      <c r="L579"/>
      <c r="M579"/>
      <c r="N579"/>
      <c r="O579" s="392"/>
      <c r="P579" s="2"/>
      <c r="R579"/>
      <c r="S579"/>
      <c r="U579"/>
    </row>
    <row r="580" spans="10:21" s="1" customFormat="1" x14ac:dyDescent="0.2">
      <c r="J580"/>
      <c r="K580"/>
      <c r="L580"/>
      <c r="M580"/>
      <c r="N580"/>
      <c r="O580" s="392"/>
      <c r="P580" s="2"/>
      <c r="R580"/>
      <c r="S580"/>
      <c r="U580"/>
    </row>
    <row r="581" spans="10:21" s="1" customFormat="1" x14ac:dyDescent="0.2">
      <c r="J581"/>
      <c r="K581"/>
      <c r="L581"/>
      <c r="M581"/>
      <c r="N581"/>
      <c r="O581" s="392"/>
      <c r="P581" s="2"/>
      <c r="R581"/>
      <c r="S581"/>
      <c r="U581"/>
    </row>
    <row r="582" spans="10:21" s="1" customFormat="1" x14ac:dyDescent="0.2">
      <c r="J582"/>
      <c r="K582"/>
      <c r="L582"/>
      <c r="M582"/>
      <c r="N582"/>
      <c r="O582" s="392"/>
      <c r="P582" s="2"/>
      <c r="R582"/>
      <c r="S582"/>
      <c r="U582"/>
    </row>
    <row r="583" spans="10:21" s="1" customFormat="1" x14ac:dyDescent="0.2">
      <c r="J583"/>
      <c r="K583"/>
      <c r="L583"/>
      <c r="M583"/>
      <c r="N583"/>
      <c r="O583" s="392"/>
      <c r="P583" s="2"/>
      <c r="R583"/>
      <c r="S583"/>
      <c r="U583"/>
    </row>
    <row r="584" spans="10:21" s="1" customFormat="1" x14ac:dyDescent="0.2">
      <c r="J584"/>
      <c r="K584"/>
      <c r="L584"/>
      <c r="M584"/>
      <c r="N584"/>
      <c r="O584" s="392"/>
      <c r="P584" s="2"/>
      <c r="R584"/>
      <c r="S584"/>
      <c r="U584"/>
    </row>
    <row r="585" spans="10:21" s="1" customFormat="1" x14ac:dyDescent="0.2">
      <c r="J585"/>
      <c r="K585"/>
      <c r="L585"/>
      <c r="M585"/>
      <c r="N585"/>
      <c r="O585" s="392"/>
      <c r="P585" s="2"/>
      <c r="R585"/>
      <c r="S585"/>
      <c r="U585"/>
    </row>
    <row r="586" spans="10:21" s="1" customFormat="1" x14ac:dyDescent="0.2">
      <c r="J586"/>
      <c r="K586"/>
      <c r="L586"/>
      <c r="M586"/>
      <c r="N586"/>
      <c r="O586" s="392"/>
      <c r="P586" s="2"/>
      <c r="R586"/>
      <c r="S586"/>
      <c r="U586"/>
    </row>
    <row r="587" spans="10:21" s="1" customFormat="1" x14ac:dyDescent="0.2">
      <c r="J587"/>
      <c r="K587"/>
      <c r="L587"/>
      <c r="M587"/>
      <c r="N587"/>
      <c r="O587" s="392"/>
      <c r="P587" s="2"/>
      <c r="R587"/>
      <c r="S587"/>
      <c r="U587"/>
    </row>
    <row r="588" spans="10:21" s="1" customFormat="1" x14ac:dyDescent="0.2">
      <c r="J588"/>
      <c r="K588"/>
      <c r="L588"/>
      <c r="M588"/>
      <c r="N588"/>
      <c r="O588" s="392"/>
      <c r="P588" s="2"/>
      <c r="R588"/>
      <c r="S588"/>
      <c r="U588"/>
    </row>
    <row r="589" spans="10:21" s="1" customFormat="1" x14ac:dyDescent="0.2">
      <c r="J589"/>
      <c r="K589"/>
      <c r="L589"/>
      <c r="M589"/>
      <c r="N589"/>
      <c r="O589" s="392"/>
      <c r="P589" s="2"/>
      <c r="R589"/>
      <c r="S589"/>
      <c r="U589"/>
    </row>
    <row r="590" spans="10:21" s="1" customFormat="1" x14ac:dyDescent="0.2">
      <c r="J590"/>
      <c r="K590"/>
      <c r="L590"/>
      <c r="M590"/>
      <c r="N590"/>
      <c r="O590" s="392"/>
      <c r="P590" s="2"/>
      <c r="R590"/>
      <c r="S590"/>
      <c r="U590"/>
    </row>
    <row r="591" spans="10:21" s="1" customFormat="1" x14ac:dyDescent="0.2">
      <c r="J591"/>
      <c r="K591"/>
      <c r="L591"/>
      <c r="M591"/>
      <c r="N591"/>
      <c r="O591" s="392"/>
      <c r="P591" s="2"/>
      <c r="R591"/>
      <c r="S591"/>
      <c r="U591"/>
    </row>
    <row r="592" spans="10:21" s="1" customFormat="1" x14ac:dyDescent="0.2">
      <c r="J592"/>
      <c r="K592"/>
      <c r="L592"/>
      <c r="M592"/>
      <c r="N592"/>
      <c r="O592" s="392"/>
      <c r="P592" s="2"/>
      <c r="R592"/>
      <c r="S592"/>
      <c r="U592"/>
    </row>
    <row r="593" spans="10:21" s="1" customFormat="1" x14ac:dyDescent="0.2">
      <c r="J593"/>
      <c r="K593"/>
      <c r="L593"/>
      <c r="M593"/>
      <c r="N593"/>
      <c r="O593" s="392"/>
      <c r="P593" s="2"/>
      <c r="R593"/>
      <c r="S593"/>
      <c r="U593"/>
    </row>
    <row r="594" spans="10:21" s="1" customFormat="1" x14ac:dyDescent="0.2">
      <c r="J594"/>
      <c r="K594"/>
      <c r="L594"/>
      <c r="M594"/>
      <c r="N594"/>
      <c r="O594" s="392"/>
      <c r="P594" s="2"/>
      <c r="R594"/>
      <c r="S594"/>
      <c r="U594"/>
    </row>
    <row r="595" spans="10:21" s="1" customFormat="1" x14ac:dyDescent="0.2">
      <c r="J595"/>
      <c r="K595"/>
      <c r="L595"/>
      <c r="M595"/>
      <c r="N595"/>
      <c r="O595" s="392"/>
      <c r="P595" s="2"/>
      <c r="R595"/>
      <c r="S595"/>
      <c r="U595"/>
    </row>
    <row r="596" spans="10:21" s="1" customFormat="1" x14ac:dyDescent="0.2">
      <c r="J596"/>
      <c r="K596"/>
      <c r="L596"/>
      <c r="M596"/>
      <c r="N596"/>
      <c r="O596" s="392"/>
      <c r="P596" s="2"/>
      <c r="R596"/>
      <c r="S596"/>
      <c r="U596"/>
    </row>
    <row r="597" spans="10:21" s="1" customFormat="1" x14ac:dyDescent="0.2">
      <c r="J597"/>
      <c r="K597"/>
      <c r="L597"/>
      <c r="M597"/>
      <c r="N597"/>
      <c r="O597" s="392"/>
      <c r="P597" s="2"/>
      <c r="R597"/>
      <c r="S597"/>
      <c r="U597"/>
    </row>
    <row r="598" spans="10:21" s="1" customFormat="1" x14ac:dyDescent="0.2">
      <c r="J598"/>
      <c r="K598"/>
      <c r="L598"/>
      <c r="M598"/>
      <c r="N598"/>
      <c r="O598" s="392"/>
      <c r="P598" s="2"/>
      <c r="R598"/>
      <c r="S598"/>
      <c r="U598"/>
    </row>
    <row r="599" spans="10:21" s="1" customFormat="1" x14ac:dyDescent="0.2">
      <c r="J599"/>
      <c r="K599"/>
      <c r="L599"/>
      <c r="M599"/>
      <c r="N599"/>
      <c r="O599" s="392"/>
      <c r="P599" s="2"/>
      <c r="R599"/>
      <c r="S599"/>
      <c r="U599"/>
    </row>
    <row r="600" spans="10:21" s="1" customFormat="1" x14ac:dyDescent="0.2">
      <c r="J600"/>
      <c r="K600"/>
      <c r="L600"/>
      <c r="M600"/>
      <c r="N600"/>
      <c r="O600" s="392"/>
      <c r="P600" s="2"/>
      <c r="R600"/>
      <c r="S600"/>
      <c r="U600"/>
    </row>
    <row r="601" spans="10:21" s="1" customFormat="1" x14ac:dyDescent="0.2">
      <c r="J601"/>
      <c r="K601"/>
      <c r="L601"/>
      <c r="M601"/>
      <c r="N601"/>
      <c r="O601" s="392"/>
      <c r="P601" s="2"/>
      <c r="R601"/>
      <c r="S601"/>
      <c r="U601"/>
    </row>
    <row r="602" spans="10:21" s="1" customFormat="1" x14ac:dyDescent="0.2">
      <c r="J602"/>
      <c r="K602"/>
      <c r="L602"/>
      <c r="M602"/>
      <c r="N602"/>
      <c r="O602" s="392"/>
      <c r="P602" s="2"/>
      <c r="R602"/>
      <c r="S602"/>
      <c r="U602"/>
    </row>
    <row r="603" spans="10:21" s="1" customFormat="1" x14ac:dyDescent="0.2">
      <c r="J603"/>
      <c r="K603"/>
      <c r="L603"/>
      <c r="M603"/>
      <c r="N603"/>
      <c r="O603" s="392"/>
      <c r="P603" s="2"/>
      <c r="R603"/>
      <c r="S603"/>
      <c r="U603"/>
    </row>
    <row r="604" spans="10:21" s="1" customFormat="1" x14ac:dyDescent="0.2">
      <c r="J604"/>
      <c r="K604"/>
      <c r="L604"/>
      <c r="M604"/>
      <c r="N604"/>
      <c r="O604" s="392"/>
      <c r="P604" s="2"/>
      <c r="R604"/>
      <c r="S604"/>
      <c r="U604"/>
    </row>
    <row r="605" spans="10:21" s="1" customFormat="1" x14ac:dyDescent="0.2">
      <c r="J605"/>
      <c r="K605"/>
      <c r="L605"/>
      <c r="M605"/>
      <c r="N605"/>
      <c r="O605" s="392"/>
      <c r="P605" s="2"/>
      <c r="R605"/>
      <c r="S605"/>
      <c r="U605"/>
    </row>
    <row r="606" spans="10:21" s="1" customFormat="1" x14ac:dyDescent="0.2">
      <c r="J606"/>
      <c r="K606"/>
      <c r="L606"/>
      <c r="M606"/>
      <c r="N606"/>
      <c r="O606" s="392"/>
      <c r="P606" s="2"/>
      <c r="R606"/>
      <c r="S606"/>
      <c r="U606"/>
    </row>
    <row r="607" spans="10:21" s="1" customFormat="1" x14ac:dyDescent="0.2">
      <c r="J607"/>
      <c r="K607"/>
      <c r="L607"/>
      <c r="M607"/>
      <c r="N607"/>
      <c r="O607" s="392"/>
      <c r="P607" s="2"/>
      <c r="R607"/>
      <c r="S607"/>
      <c r="U607"/>
    </row>
    <row r="65336" spans="13:13" x14ac:dyDescent="0.2">
      <c r="M65336">
        <v>4</v>
      </c>
    </row>
  </sheetData>
  <mergeCells count="123">
    <mergeCell ref="U14:AA14"/>
    <mergeCell ref="U23:AA23"/>
    <mergeCell ref="U28:AA29"/>
    <mergeCell ref="U30:AA31"/>
    <mergeCell ref="U36:AA36"/>
    <mergeCell ref="R35:R36"/>
    <mergeCell ref="T35:T36"/>
    <mergeCell ref="U35:AA35"/>
    <mergeCell ref="L22:L23"/>
    <mergeCell ref="T22:T23"/>
    <mergeCell ref="R24:R26"/>
    <mergeCell ref="T24:T26"/>
    <mergeCell ref="L27:L31"/>
    <mergeCell ref="M32:M33"/>
    <mergeCell ref="R32:R33"/>
    <mergeCell ref="T16:T17"/>
    <mergeCell ref="R16:R17"/>
    <mergeCell ref="T20:T21"/>
    <mergeCell ref="R20:R21"/>
    <mergeCell ref="L20:L21"/>
    <mergeCell ref="L18:L19"/>
    <mergeCell ref="B2:U2"/>
    <mergeCell ref="U3:AA3"/>
    <mergeCell ref="U12:AA12"/>
    <mergeCell ref="U4:AA4"/>
    <mergeCell ref="U5:AA5"/>
    <mergeCell ref="U10:AA10"/>
    <mergeCell ref="U11:AA11"/>
    <mergeCell ref="U6:AA6"/>
    <mergeCell ref="U7:AA7"/>
    <mergeCell ref="U8:AA8"/>
    <mergeCell ref="L4:L5"/>
    <mergeCell ref="T4:T5"/>
    <mergeCell ref="U9:AA9"/>
    <mergeCell ref="F6:F8"/>
    <mergeCell ref="L6:L8"/>
    <mergeCell ref="T6:T8"/>
    <mergeCell ref="H6:H8"/>
    <mergeCell ref="R6:R8"/>
    <mergeCell ref="R4:R5"/>
    <mergeCell ref="Q6:Q8"/>
    <mergeCell ref="L9:L11"/>
    <mergeCell ref="T9:T11"/>
    <mergeCell ref="R9:R11"/>
    <mergeCell ref="U52:AA52"/>
    <mergeCell ref="U48:AA48"/>
    <mergeCell ref="U51:AA51"/>
    <mergeCell ref="U42:AA42"/>
    <mergeCell ref="U50:AA50"/>
    <mergeCell ref="U49:AA49"/>
    <mergeCell ref="U43:AA43"/>
    <mergeCell ref="U13:AA13"/>
    <mergeCell ref="U18:AA18"/>
    <mergeCell ref="U19:AA19"/>
    <mergeCell ref="U17:AA17"/>
    <mergeCell ref="U20:AA20"/>
    <mergeCell ref="U21:AA21"/>
    <mergeCell ref="U24:AA24"/>
    <mergeCell ref="U46:AA46"/>
    <mergeCell ref="U33:AA33"/>
    <mergeCell ref="U25:AA25"/>
    <mergeCell ref="U26:AA26"/>
    <mergeCell ref="U32:AA32"/>
    <mergeCell ref="U27:AA27"/>
    <mergeCell ref="U44:AA44"/>
    <mergeCell ref="U15:AA15"/>
    <mergeCell ref="U16:AA16"/>
    <mergeCell ref="E77:F77"/>
    <mergeCell ref="E75:F75"/>
    <mergeCell ref="E76:F76"/>
    <mergeCell ref="U59:AA59"/>
    <mergeCell ref="U53:AA53"/>
    <mergeCell ref="U58:AA58"/>
    <mergeCell ref="U54:AA54"/>
    <mergeCell ref="U57:AA57"/>
    <mergeCell ref="U56:AA56"/>
    <mergeCell ref="U55:AA55"/>
    <mergeCell ref="R38:R39"/>
    <mergeCell ref="T38:T39"/>
    <mergeCell ref="U47:AA47"/>
    <mergeCell ref="U38:AA38"/>
    <mergeCell ref="U37:AA37"/>
    <mergeCell ref="U22:AA22"/>
    <mergeCell ref="L24:L26"/>
    <mergeCell ref="M28:M29"/>
    <mergeCell ref="M30:M31"/>
    <mergeCell ref="Q28:Q29"/>
    <mergeCell ref="R18:R19"/>
    <mergeCell ref="T18:T19"/>
    <mergeCell ref="L16:L17"/>
    <mergeCell ref="U34:AA34"/>
    <mergeCell ref="U45:AA45"/>
    <mergeCell ref="U39:AA39"/>
    <mergeCell ref="H32:H33"/>
    <mergeCell ref="F32:F33"/>
    <mergeCell ref="I32:I33"/>
    <mergeCell ref="Q30:Q31"/>
    <mergeCell ref="R22:R23"/>
    <mergeCell ref="S30:S31"/>
    <mergeCell ref="S28:S29"/>
    <mergeCell ref="R27:R31"/>
    <mergeCell ref="T27:T31"/>
    <mergeCell ref="N28:N29"/>
    <mergeCell ref="N30:N31"/>
    <mergeCell ref="T32:T33"/>
    <mergeCell ref="O28:O29"/>
    <mergeCell ref="O30:O31"/>
    <mergeCell ref="U40:AA40"/>
    <mergeCell ref="U41:AA41"/>
    <mergeCell ref="L38:L39"/>
    <mergeCell ref="L43:L44"/>
    <mergeCell ref="R43:R44"/>
    <mergeCell ref="T43:T44"/>
    <mergeCell ref="H28:H29"/>
    <mergeCell ref="H30:H31"/>
    <mergeCell ref="K28:K29"/>
    <mergeCell ref="K30:K31"/>
    <mergeCell ref="L41:L42"/>
    <mergeCell ref="R41:R42"/>
    <mergeCell ref="T41:T42"/>
    <mergeCell ref="L32:L33"/>
    <mergeCell ref="Q32:Q33"/>
    <mergeCell ref="L35:L36"/>
  </mergeCells>
  <conditionalFormatting sqref="B2">
    <cfRule type="cellIs" dxfId="813" priority="170" stopIfTrue="1" operator="lessThan">
      <formula>438</formula>
    </cfRule>
  </conditionalFormatting>
  <conditionalFormatting sqref="D64:D72">
    <cfRule type="cellIs" dxfId="812" priority="1252" stopIfTrue="1" operator="greaterThan">
      <formula>0.06</formula>
    </cfRule>
  </conditionalFormatting>
  <conditionalFormatting sqref="E64:F73">
    <cfRule type="cellIs" dxfId="811" priority="1255" operator="greaterThan">
      <formula>0.04</formula>
    </cfRule>
  </conditionalFormatting>
  <conditionalFormatting sqref="I62:I70">
    <cfRule type="cellIs" dxfId="810" priority="1791" stopIfTrue="1" operator="lessThan">
      <formula>462</formula>
    </cfRule>
    <cfRule type="cellIs" dxfId="809" priority="1792" stopIfTrue="1" operator="lessThan">
      <formula>438</formula>
    </cfRule>
  </conditionalFormatting>
  <conditionalFormatting sqref="I79:I85">
    <cfRule type="cellIs" dxfId="808" priority="1785" stopIfTrue="1" operator="greaterThan">
      <formula>1.5%</formula>
    </cfRule>
    <cfRule type="cellIs" dxfId="807" priority="1786" stopIfTrue="1" operator="lessThan">
      <formula>0%</formula>
    </cfRule>
  </conditionalFormatting>
  <conditionalFormatting sqref="I86">
    <cfRule type="cellIs" dxfId="806" priority="1776" stopIfTrue="1" operator="greaterThan">
      <formula>1.1</formula>
    </cfRule>
    <cfRule type="cellIs" dxfId="805" priority="1775" stopIfTrue="1" operator="greaterThan">
      <formula>0.011</formula>
    </cfRule>
  </conditionalFormatting>
  <conditionalFormatting sqref="J3">
    <cfRule type="cellIs" dxfId="804" priority="645" stopIfTrue="1" operator="lessThan">
      <formula>438</formula>
    </cfRule>
    <cfRule type="cellIs" dxfId="803" priority="643" stopIfTrue="1" operator="lessThan">
      <formula>456.25</formula>
    </cfRule>
  </conditionalFormatting>
  <conditionalFormatting sqref="J4:J59">
    <cfRule type="cellIs" dxfId="802" priority="961" stopIfTrue="1" operator="lessThan">
      <formula>350</formula>
    </cfRule>
  </conditionalFormatting>
  <conditionalFormatting sqref="J60:J74">
    <cfRule type="cellIs" dxfId="801" priority="651" stopIfTrue="1" operator="lessThan">
      <formula>462</formula>
    </cfRule>
  </conditionalFormatting>
  <conditionalFormatting sqref="J63:J74 J88:J91 J93:J65536">
    <cfRule type="cellIs" dxfId="800" priority="1903" stopIfTrue="1" operator="lessThan">
      <formula>438</formula>
    </cfRule>
  </conditionalFormatting>
  <conditionalFormatting sqref="J79:K87">
    <cfRule type="cellIs" dxfId="799" priority="1765" stopIfTrue="1" operator="lessThan">
      <formula>73%</formula>
    </cfRule>
  </conditionalFormatting>
  <conditionalFormatting sqref="K4:K28 K30 K45:L58 K32:K44">
    <cfRule type="cellIs" dxfId="798" priority="410" stopIfTrue="1" operator="lessThan">
      <formula>540</formula>
    </cfRule>
  </conditionalFormatting>
  <conditionalFormatting sqref="L4 L6 L9">
    <cfRule type="cellIs" dxfId="797" priority="24" stopIfTrue="1" operator="lessThan">
      <formula>540</formula>
    </cfRule>
  </conditionalFormatting>
  <conditionalFormatting sqref="L12:L16 L18 L20 L22 L24 L27 L32">
    <cfRule type="cellIs" dxfId="796" priority="22" stopIfTrue="1" operator="lessThan">
      <formula>540</formula>
    </cfRule>
  </conditionalFormatting>
  <conditionalFormatting sqref="L34:L35 L37:L38 L40:L41 L43">
    <cfRule type="cellIs" dxfId="795" priority="5" stopIfTrue="1" operator="lessThan">
      <formula>540</formula>
    </cfRule>
  </conditionalFormatting>
  <conditionalFormatting sqref="P62:P70">
    <cfRule type="cellIs" dxfId="794" priority="1894" stopIfTrue="1" operator="greaterThan">
      <formula>1.1</formula>
    </cfRule>
  </conditionalFormatting>
  <conditionalFormatting sqref="Q4:Q6 Q9:Q28 Q30 Q32 Q34:Q44">
    <cfRule type="cellIs" dxfId="793" priority="928" stopIfTrue="1" operator="greaterThan">
      <formula>1.8</formula>
    </cfRule>
  </conditionalFormatting>
  <conditionalFormatting sqref="Q45:Q59">
    <cfRule type="cellIs" dxfId="792" priority="15" stopIfTrue="1" operator="greaterThan">
      <formula>1.8</formula>
    </cfRule>
  </conditionalFormatting>
  <conditionalFormatting sqref="Q59">
    <cfRule type="cellIs" dxfId="791" priority="14" stopIfTrue="1" operator="greaterThan">
      <formula>0.018</formula>
    </cfRule>
  </conditionalFormatting>
  <conditionalFormatting sqref="Q60:Q75">
    <cfRule type="cellIs" dxfId="790" priority="202" stopIfTrue="1" operator="greaterThan">
      <formula>1.1</formula>
    </cfRule>
  </conditionalFormatting>
  <conditionalFormatting sqref="Q75:Q76 I87">
    <cfRule type="cellIs" dxfId="789" priority="1899" stopIfTrue="1" operator="greaterThan">
      <formula>1.5%</formula>
    </cfRule>
    <cfRule type="cellIs" dxfId="788" priority="1900" stopIfTrue="1" operator="lessThan">
      <formula>0%</formula>
    </cfRule>
  </conditionalFormatting>
  <conditionalFormatting sqref="Q79">
    <cfRule type="cellIs" dxfId="787" priority="1777" stopIfTrue="1" operator="greaterThan">
      <formula>0.011</formula>
    </cfRule>
    <cfRule type="cellIs" dxfId="786" priority="1778" stopIfTrue="1" operator="greaterThan">
      <formula>1.1</formula>
    </cfRule>
  </conditionalFormatting>
  <conditionalFormatting sqref="R4 R6 R9 R24 R27 R45:R46">
    <cfRule type="cellIs" dxfId="785" priority="36" stopIfTrue="1" operator="lessThan">
      <formula>0.95</formula>
    </cfRule>
    <cfRule type="cellIs" dxfId="784" priority="37" stopIfTrue="1" operator="lessThan">
      <formula>0.94</formula>
    </cfRule>
  </conditionalFormatting>
  <conditionalFormatting sqref="R12:R16 R18 R20 R22">
    <cfRule type="cellIs" dxfId="783" priority="11" stopIfTrue="1" operator="lessThan">
      <formula>0.67</formula>
    </cfRule>
  </conditionalFormatting>
  <conditionalFormatting sqref="R32">
    <cfRule type="cellIs" dxfId="782" priority="10" stopIfTrue="1" operator="lessThan">
      <formula>0.67</formula>
    </cfRule>
  </conditionalFormatting>
  <conditionalFormatting sqref="R34:R35">
    <cfRule type="cellIs" dxfId="781" priority="6" stopIfTrue="1" operator="lessThan">
      <formula>0.67</formula>
    </cfRule>
  </conditionalFormatting>
  <conditionalFormatting sqref="R37:R38">
    <cfRule type="cellIs" dxfId="780" priority="3" stopIfTrue="1" operator="lessThan">
      <formula>0.67</formula>
    </cfRule>
  </conditionalFormatting>
  <conditionalFormatting sqref="R40:R41 R43">
    <cfRule type="cellIs" dxfId="779" priority="1" stopIfTrue="1" operator="lessThan">
      <formula>0.67</formula>
    </cfRule>
  </conditionalFormatting>
  <conditionalFormatting sqref="R47:R58">
    <cfRule type="cellIs" dxfId="778" priority="968" stopIfTrue="1" operator="lessThan">
      <formula>0.67</formula>
    </cfRule>
  </conditionalFormatting>
  <conditionalFormatting sqref="R59">
    <cfRule type="cellIs" dxfId="777" priority="23" stopIfTrue="1" operator="lessThan">
      <formula>0.56</formula>
    </cfRule>
  </conditionalFormatting>
  <conditionalFormatting sqref="R60:R74">
    <cfRule type="cellIs" dxfId="776" priority="200" stopIfTrue="1" operator="lessThan">
      <formula>0.6</formula>
    </cfRule>
  </conditionalFormatting>
  <conditionalFormatting sqref="R62:R70">
    <cfRule type="cellIs" dxfId="775" priority="1897" stopIfTrue="1" operator="lessThan">
      <formula>0.74</formula>
    </cfRule>
  </conditionalFormatting>
  <conditionalFormatting sqref="R79:S79">
    <cfRule type="cellIs" dxfId="774" priority="1779" stopIfTrue="1" operator="lessThan">
      <formula>0.74</formula>
    </cfRule>
  </conditionalFormatting>
  <conditionalFormatting sqref="S3">
    <cfRule type="cellIs" dxfId="773" priority="646" stopIfTrue="1" operator="lessThan">
      <formula>0.65</formula>
    </cfRule>
  </conditionalFormatting>
  <conditionalFormatting sqref="S4:S11 S24:S28 S30 S32:S33 S45:S46">
    <cfRule type="cellIs" dxfId="772" priority="480" stopIfTrue="1" operator="lessThan">
      <formula>0.66</formula>
    </cfRule>
  </conditionalFormatting>
  <conditionalFormatting sqref="S12:S23">
    <cfRule type="cellIs" dxfId="771" priority="13" stopIfTrue="1" operator="lessThan">
      <formula>0.66</formula>
    </cfRule>
  </conditionalFormatting>
  <conditionalFormatting sqref="S34:S44">
    <cfRule type="cellIs" dxfId="770" priority="8" stopIfTrue="1" operator="lessThan">
      <formula>0.66</formula>
    </cfRule>
  </conditionalFormatting>
  <conditionalFormatting sqref="S47:S74">
    <cfRule type="cellIs" dxfId="769" priority="189" stopIfTrue="1" operator="lessThan">
      <formula>0.74</formula>
    </cfRule>
  </conditionalFormatting>
  <conditionalFormatting sqref="S88:S89">
    <cfRule type="cellIs" dxfId="768" priority="1824" stopIfTrue="1" operator="lessThan">
      <formula>0.74</formula>
    </cfRule>
  </conditionalFormatting>
  <conditionalFormatting sqref="S90">
    <cfRule type="cellIs" dxfId="767" priority="1823" stopIfTrue="1" operator="greaterThan">
      <formula>1.1</formula>
    </cfRule>
  </conditionalFormatting>
  <conditionalFormatting sqref="S75:T76">
    <cfRule type="cellIs" dxfId="766" priority="1902" stopIfTrue="1" operator="lessThan">
      <formula>75%</formula>
    </cfRule>
  </conditionalFormatting>
  <conditionalFormatting sqref="T4 T6 T9 T24 T27 T45:T46">
    <cfRule type="cellIs" dxfId="765" priority="34" stopIfTrue="1" operator="lessThan">
      <formula>0.8</formula>
    </cfRule>
  </conditionalFormatting>
  <conditionalFormatting sqref="T12:T16 T18 T20 T22">
    <cfRule type="cellIs" dxfId="764" priority="12" stopIfTrue="1" operator="lessThan">
      <formula>0.8</formula>
    </cfRule>
  </conditionalFormatting>
  <conditionalFormatting sqref="T32">
    <cfRule type="cellIs" dxfId="763" priority="9" stopIfTrue="1" operator="lessThan">
      <formula>0.8</formula>
    </cfRule>
  </conditionalFormatting>
  <conditionalFormatting sqref="T34:T35">
    <cfRule type="cellIs" dxfId="762" priority="7" stopIfTrue="1" operator="lessThan">
      <formula>0.8</formula>
    </cfRule>
  </conditionalFormatting>
  <conditionalFormatting sqref="T37:T38">
    <cfRule type="cellIs" dxfId="761" priority="4" stopIfTrue="1" operator="lessThan">
      <formula>0.8</formula>
    </cfRule>
  </conditionalFormatting>
  <conditionalFormatting sqref="T40:T41 T43">
    <cfRule type="cellIs" dxfId="760" priority="2" stopIfTrue="1" operator="lessThan">
      <formula>0.8</formula>
    </cfRule>
  </conditionalFormatting>
  <conditionalFormatting sqref="T47:T74">
    <cfRule type="cellIs" dxfId="759" priority="188" stopIfTrue="1" operator="lessThan">
      <formula>0.8</formula>
    </cfRule>
  </conditionalFormatting>
  <conditionalFormatting sqref="T78">
    <cfRule type="cellIs" dxfId="758" priority="1856" stopIfTrue="1" operator="lessThan">
      <formula>0.65</formula>
    </cfRule>
  </conditionalFormatting>
  <conditionalFormatting sqref="T79">
    <cfRule type="cellIs" dxfId="757" priority="1783" stopIfTrue="1" operator="lessThan">
      <formula>0.95</formula>
    </cfRule>
  </conditionalFormatting>
  <printOptions horizontalCentered="1"/>
  <pageMargins left="0.10312499999999999" right="0.5" top="0.25" bottom="0.27" header="0.25" footer="0.27"/>
  <pageSetup scale="23" fitToHeight="0" orientation="landscape" r:id="rId1"/>
  <headerFooter alignWithMargins="0"/>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0541C-FF3F-488F-A6A6-4E6A2840F976}">
  <sheetPr codeName="Sheet36">
    <pageSetUpPr fitToPage="1"/>
  </sheetPr>
  <dimension ref="B2:AC65422"/>
  <sheetViews>
    <sheetView showZeros="0" showWhiteSpace="0" zoomScale="50" zoomScaleNormal="50" zoomScaleSheetLayoutView="70" workbookViewId="0">
      <pane xSplit="3" ySplit="3" topLeftCell="D4" activePane="bottomRight" state="frozen"/>
      <selection pane="topRight" activeCell="D1" sqref="D1"/>
      <selection pane="bottomLeft" activeCell="A4" sqref="A4"/>
      <selection pane="bottomRight" activeCell="L88" sqref="L88"/>
    </sheetView>
  </sheetViews>
  <sheetFormatPr defaultColWidth="9.42578125" defaultRowHeight="12.75" outlineLevelCol="1" x14ac:dyDescent="0.2"/>
  <cols>
    <col min="1" max="1" width="3.42578125" customWidth="1"/>
    <col min="2" max="2" width="21.42578125" style="1" customWidth="1"/>
    <col min="3" max="3" width="58.5703125" style="1" customWidth="1"/>
    <col min="4" max="4" width="24.5703125" style="1" customWidth="1"/>
    <col min="5" max="5" width="17.140625" style="1" customWidth="1"/>
    <col min="6" max="6" width="21.5703125" style="1" customWidth="1" outlineLevel="1"/>
    <col min="7" max="7" width="17.140625" customWidth="1"/>
    <col min="8" max="8" width="20.42578125" customWidth="1" outlineLevel="1"/>
    <col min="9" max="9" width="25" style="1" customWidth="1" outlineLevel="1"/>
    <col min="10" max="10" width="16.42578125" customWidth="1"/>
    <col min="11" max="11" width="23.42578125" customWidth="1" outlineLevel="1"/>
    <col min="12" max="12" width="17.42578125" customWidth="1" outlineLevel="1"/>
    <col min="13" max="13" width="17" customWidth="1" outlineLevel="1"/>
    <col min="14" max="14" width="13.42578125" customWidth="1" outlineLevel="1"/>
    <col min="15" max="15" width="12.5703125" style="392" customWidth="1" outlineLevel="1"/>
    <col min="16" max="16" width="16.42578125" style="2" customWidth="1" outlineLevel="1"/>
    <col min="17" max="17" width="14.42578125" style="1" customWidth="1"/>
    <col min="18" max="18" width="20" bestFit="1" customWidth="1"/>
    <col min="19" max="19" width="19.42578125" bestFit="1" customWidth="1"/>
    <col min="20" max="20" width="28.5703125" style="1" customWidth="1"/>
    <col min="21" max="21" width="12" customWidth="1"/>
    <col min="22" max="22" width="17" customWidth="1"/>
    <col min="23" max="23" width="15.42578125" customWidth="1"/>
    <col min="24" max="24" width="15.5703125" customWidth="1"/>
    <col min="25" max="25" width="14" customWidth="1"/>
    <col min="26" max="26" width="5.42578125" customWidth="1"/>
    <col min="27" max="27" width="108.5703125" customWidth="1"/>
    <col min="28" max="28" width="68.5703125" customWidth="1"/>
    <col min="29" max="29" width="15.5703125" bestFit="1" customWidth="1"/>
  </cols>
  <sheetData>
    <row r="2" spans="2:29" ht="24" thickBot="1" x14ac:dyDescent="0.4">
      <c r="B2" s="1022" t="s">
        <v>964</v>
      </c>
      <c r="C2" s="1022"/>
      <c r="D2" s="1022"/>
      <c r="E2" s="1022"/>
      <c r="F2" s="1022"/>
      <c r="G2" s="1022"/>
      <c r="H2" s="1022"/>
      <c r="I2" s="1022"/>
      <c r="J2" s="1022"/>
      <c r="K2" s="1022"/>
      <c r="L2" s="1022"/>
      <c r="M2" s="1022"/>
      <c r="N2" s="1022"/>
      <c r="O2" s="1022"/>
      <c r="P2" s="1022"/>
      <c r="Q2" s="1022"/>
      <c r="R2" s="1022"/>
      <c r="S2" s="1022"/>
      <c r="T2" s="1022"/>
      <c r="U2" s="1022"/>
    </row>
    <row r="3" spans="2:29" ht="135.75" customHeight="1" thickTop="1" thickBot="1" x14ac:dyDescent="0.25">
      <c r="B3" s="564" t="s">
        <v>0</v>
      </c>
      <c r="C3" s="565" t="s">
        <v>2</v>
      </c>
      <c r="D3" s="565" t="s">
        <v>12</v>
      </c>
      <c r="E3" s="565" t="s">
        <v>11</v>
      </c>
      <c r="F3" s="38" t="s">
        <v>15</v>
      </c>
      <c r="G3" s="565" t="s">
        <v>9</v>
      </c>
      <c r="H3" s="38" t="s">
        <v>17</v>
      </c>
      <c r="I3" s="38" t="s">
        <v>5</v>
      </c>
      <c r="J3" s="565" t="s">
        <v>958</v>
      </c>
      <c r="K3" s="671" t="s">
        <v>4</v>
      </c>
      <c r="L3" s="663" t="s">
        <v>843</v>
      </c>
      <c r="M3" s="664" t="s">
        <v>161</v>
      </c>
      <c r="N3" s="664" t="s">
        <v>10</v>
      </c>
      <c r="O3" s="38" t="s">
        <v>622</v>
      </c>
      <c r="P3" s="294" t="s">
        <v>863</v>
      </c>
      <c r="Q3" s="566" t="s">
        <v>957</v>
      </c>
      <c r="R3" s="639" t="s">
        <v>473</v>
      </c>
      <c r="S3" s="547" t="s">
        <v>860</v>
      </c>
      <c r="T3" s="584" t="s">
        <v>862</v>
      </c>
      <c r="U3" s="1023" t="s">
        <v>1</v>
      </c>
      <c r="V3" s="1024"/>
      <c r="W3" s="1024"/>
      <c r="X3" s="1024"/>
      <c r="Y3" s="1024"/>
      <c r="Z3" s="1024"/>
      <c r="AA3" s="1025"/>
      <c r="AB3">
        <v>18000</v>
      </c>
      <c r="AC3">
        <v>17000</v>
      </c>
    </row>
    <row r="4" spans="2:29" s="19" customFormat="1" ht="78.75" customHeight="1" thickTop="1" thickBot="1" x14ac:dyDescent="0.25">
      <c r="B4" s="168">
        <f>[1]October_2026!$B8</f>
        <v>0</v>
      </c>
      <c r="C4" s="26">
        <f>[1]October_2026!$D8</f>
        <v>0</v>
      </c>
      <c r="D4" s="27"/>
      <c r="E4" s="972">
        <f>[2]Oct!$E8</f>
        <v>0</v>
      </c>
      <c r="F4" s="973">
        <f>[1]October_2026!$J8</f>
        <v>0</v>
      </c>
      <c r="G4" s="974">
        <f>[1]October_2026!$G8</f>
        <v>0</v>
      </c>
      <c r="H4" s="973">
        <f>[1]October_2026!$K8</f>
        <v>0</v>
      </c>
      <c r="I4" s="975">
        <f>[1]October_2026!$N8</f>
        <v>0</v>
      </c>
      <c r="J4" s="170" t="e">
        <f>[1]October_2026!$Q8</f>
        <v>#DIV/0!</v>
      </c>
      <c r="K4" s="32">
        <f>[1]October_2026!$F8</f>
        <v>0</v>
      </c>
      <c r="L4" s="938">
        <f>[1]October_2026!$E8</f>
        <v>0</v>
      </c>
      <c r="M4" s="169">
        <f>[2]Oct!$G8</f>
        <v>0</v>
      </c>
      <c r="N4" s="32">
        <f>[1]October_2026!$M8</f>
        <v>0</v>
      </c>
      <c r="O4" s="406">
        <f>[2]Oct!$I8</f>
        <v>0</v>
      </c>
      <c r="P4" s="32">
        <f>[1]October_2026!$I8</f>
        <v>0</v>
      </c>
      <c r="Q4" s="976" t="e">
        <f>[1]October_2026!$P8</f>
        <v>#DIV/0!</v>
      </c>
      <c r="R4" s="653" t="e">
        <f>($G4)/(($L4/60)*AC$3*(1/24))</f>
        <v>#DIV/0!</v>
      </c>
      <c r="S4" s="978" t="e">
        <f>($G4)*24/(($K4)/60)/$AC$3</f>
        <v>#DIV/0!</v>
      </c>
      <c r="T4" s="665" t="e">
        <f>(0-((N4)-0))/0</f>
        <v>#DIV/0!</v>
      </c>
      <c r="U4" s="1002"/>
      <c r="V4" s="1002"/>
      <c r="W4" s="1002"/>
      <c r="X4" s="1002"/>
      <c r="Y4" s="1002"/>
      <c r="Z4" s="1002"/>
      <c r="AA4" s="1003"/>
    </row>
    <row r="5" spans="2:29" s="19" customFormat="1" ht="43.5" customHeight="1" thickBot="1" x14ac:dyDescent="0.25">
      <c r="B5" s="168"/>
      <c r="C5" s="26"/>
      <c r="D5" s="27"/>
      <c r="E5" s="775"/>
      <c r="F5" s="773"/>
      <c r="G5" s="778"/>
      <c r="H5" s="773"/>
      <c r="I5" s="774">
        <f>[7]October_2025!$N9</f>
        <v>0</v>
      </c>
      <c r="J5" s="402"/>
      <c r="K5" s="402"/>
      <c r="L5" s="824"/>
      <c r="M5" s="169"/>
      <c r="N5" s="32"/>
      <c r="O5" s="406"/>
      <c r="P5" s="32"/>
      <c r="Q5" s="963"/>
      <c r="R5" s="653"/>
      <c r="S5" s="977"/>
      <c r="T5" s="859"/>
      <c r="U5" s="1002"/>
      <c r="V5" s="1002"/>
      <c r="W5" s="1002"/>
      <c r="X5" s="1002"/>
      <c r="Y5" s="1002"/>
      <c r="Z5" s="1002"/>
      <c r="AA5" s="1003"/>
    </row>
    <row r="6" spans="2:29" s="19" customFormat="1" ht="164.25" hidden="1" customHeight="1" thickBot="1" x14ac:dyDescent="0.25">
      <c r="B6" s="168"/>
      <c r="C6" s="26"/>
      <c r="D6" s="27"/>
      <c r="E6" s="28"/>
      <c r="F6" s="29"/>
      <c r="G6" s="30"/>
      <c r="H6" s="29"/>
      <c r="I6" s="31"/>
      <c r="J6" s="32"/>
      <c r="K6" s="32"/>
      <c r="L6" s="799"/>
      <c r="M6" s="169"/>
      <c r="N6" s="32"/>
      <c r="O6" s="406"/>
      <c r="P6" s="32"/>
      <c r="Q6" s="608"/>
      <c r="R6" s="924"/>
      <c r="S6" s="651" t="e">
        <f>($G6)*24/(($K6)/60)/$AC$3</f>
        <v>#DIV/0!</v>
      </c>
      <c r="T6" s="962"/>
      <c r="U6" s="1002"/>
      <c r="V6" s="1002"/>
      <c r="W6" s="1002"/>
      <c r="X6" s="1002"/>
      <c r="Y6" s="1002"/>
      <c r="Z6" s="1002"/>
      <c r="AA6" s="1003"/>
    </row>
    <row r="7" spans="2:29" s="19" customFormat="1" ht="37.5" hidden="1" customHeight="1" thickTop="1" thickBot="1" x14ac:dyDescent="0.25">
      <c r="B7" s="168"/>
      <c r="C7" s="26"/>
      <c r="D7" s="27"/>
      <c r="E7" s="28"/>
      <c r="F7" s="29"/>
      <c r="G7" s="30"/>
      <c r="H7" s="29"/>
      <c r="I7" s="31"/>
      <c r="J7" s="32"/>
      <c r="K7" s="32"/>
      <c r="L7" s="993"/>
      <c r="M7" s="169"/>
      <c r="N7" s="32"/>
      <c r="O7" s="406"/>
      <c r="P7" s="32"/>
      <c r="Q7" s="608"/>
      <c r="R7" s="995"/>
      <c r="S7" s="651"/>
      <c r="T7" s="1161"/>
      <c r="U7" s="1002"/>
      <c r="V7" s="1002"/>
      <c r="W7" s="1002"/>
      <c r="X7" s="1002"/>
      <c r="Y7" s="1002"/>
      <c r="Z7" s="1002"/>
      <c r="AA7" s="1003"/>
    </row>
    <row r="8" spans="2:29" s="19" customFormat="1" ht="78.75" hidden="1" customHeight="1" thickBot="1" x14ac:dyDescent="0.25">
      <c r="B8" s="168"/>
      <c r="C8" s="26"/>
      <c r="D8" s="27"/>
      <c r="E8" s="28"/>
      <c r="F8" s="29"/>
      <c r="G8" s="30"/>
      <c r="H8" s="29"/>
      <c r="I8" s="31"/>
      <c r="J8" s="32"/>
      <c r="K8" s="32"/>
      <c r="L8" s="1016"/>
      <c r="M8" s="169"/>
      <c r="N8" s="32"/>
      <c r="O8" s="406"/>
      <c r="P8" s="32"/>
      <c r="Q8" s="608"/>
      <c r="R8" s="996"/>
      <c r="S8" s="651"/>
      <c r="T8" s="1163"/>
      <c r="U8" s="1002"/>
      <c r="V8" s="1002"/>
      <c r="W8" s="1002"/>
      <c r="X8" s="1002"/>
      <c r="Y8" s="1002"/>
      <c r="Z8" s="1002"/>
      <c r="AA8" s="1003"/>
    </row>
    <row r="9" spans="2:29" s="19" customFormat="1" ht="60" hidden="1" customHeight="1" thickBot="1" x14ac:dyDescent="0.25">
      <c r="B9" s="168"/>
      <c r="C9" s="26"/>
      <c r="D9" s="27"/>
      <c r="E9" s="28"/>
      <c r="F9" s="29"/>
      <c r="G9" s="30"/>
      <c r="H9" s="29"/>
      <c r="I9" s="31"/>
      <c r="J9" s="32"/>
      <c r="K9" s="32"/>
      <c r="L9" s="999"/>
      <c r="M9" s="169"/>
      <c r="N9" s="32"/>
      <c r="O9" s="406"/>
      <c r="P9" s="32"/>
      <c r="Q9" s="608"/>
      <c r="R9" s="1020"/>
      <c r="S9" s="651"/>
      <c r="T9" s="1162"/>
      <c r="U9" s="1002"/>
      <c r="V9" s="1002"/>
      <c r="W9" s="1002"/>
      <c r="X9" s="1002"/>
      <c r="Y9" s="1002"/>
      <c r="Z9" s="1002"/>
      <c r="AA9" s="1003"/>
    </row>
    <row r="10" spans="2:29" s="19" customFormat="1" ht="58.5" hidden="1" customHeight="1" thickTop="1" thickBot="1" x14ac:dyDescent="0.25">
      <c r="B10" s="168"/>
      <c r="C10" s="26"/>
      <c r="D10" s="27"/>
      <c r="E10" s="28"/>
      <c r="F10" s="29"/>
      <c r="G10" s="30"/>
      <c r="H10" s="29"/>
      <c r="I10" s="31"/>
      <c r="J10" s="32"/>
      <c r="K10" s="32"/>
      <c r="L10" s="993"/>
      <c r="M10" s="169"/>
      <c r="N10" s="32"/>
      <c r="O10" s="406"/>
      <c r="P10" s="32"/>
      <c r="Q10" s="608"/>
      <c r="R10" s="995"/>
      <c r="S10" s="651"/>
      <c r="T10" s="1161"/>
      <c r="U10" s="1002"/>
      <c r="V10" s="1002"/>
      <c r="W10" s="1002"/>
      <c r="X10" s="1002"/>
      <c r="Y10" s="1002"/>
      <c r="Z10" s="1002"/>
      <c r="AA10" s="1003"/>
    </row>
    <row r="11" spans="2:29" s="19" customFormat="1" ht="81.75" hidden="1" customHeight="1" thickBot="1" x14ac:dyDescent="0.25">
      <c r="B11" s="168"/>
      <c r="C11" s="26"/>
      <c r="D11" s="27"/>
      <c r="E11" s="28"/>
      <c r="F11" s="29"/>
      <c r="G11" s="30"/>
      <c r="H11" s="29"/>
      <c r="I11" s="31"/>
      <c r="J11" s="32"/>
      <c r="K11" s="32"/>
      <c r="L11" s="1016"/>
      <c r="M11" s="169"/>
      <c r="N11" s="32"/>
      <c r="O11" s="406"/>
      <c r="P11" s="32"/>
      <c r="Q11" s="608"/>
      <c r="R11" s="996"/>
      <c r="S11" s="651"/>
      <c r="T11" s="1163"/>
      <c r="U11" s="1002"/>
      <c r="V11" s="1002"/>
      <c r="W11" s="1002"/>
      <c r="X11" s="1002"/>
      <c r="Y11" s="1002"/>
      <c r="Z11" s="1002"/>
      <c r="AA11" s="1003"/>
    </row>
    <row r="12" spans="2:29" s="19" customFormat="1" ht="86.25" hidden="1" customHeight="1" thickBot="1" x14ac:dyDescent="0.25">
      <c r="B12" s="168"/>
      <c r="C12" s="26"/>
      <c r="D12" s="27"/>
      <c r="E12" s="28"/>
      <c r="F12" s="29"/>
      <c r="G12" s="30"/>
      <c r="H12" s="29"/>
      <c r="I12" s="31"/>
      <c r="J12" s="32"/>
      <c r="K12" s="32"/>
      <c r="L12" s="999"/>
      <c r="M12" s="169"/>
      <c r="N12" s="32"/>
      <c r="O12" s="406"/>
      <c r="P12" s="32"/>
      <c r="Q12" s="608"/>
      <c r="R12" s="1020"/>
      <c r="S12" s="651"/>
      <c r="T12" s="1162"/>
      <c r="U12" s="1002"/>
      <c r="V12" s="1002"/>
      <c r="W12" s="1002"/>
      <c r="X12" s="1002"/>
      <c r="Y12" s="1002"/>
      <c r="Z12" s="1002"/>
      <c r="AA12" s="1003"/>
    </row>
    <row r="13" spans="2:29" s="19" customFormat="1" ht="105" hidden="1" customHeight="1" thickTop="1" thickBot="1" x14ac:dyDescent="0.25">
      <c r="B13" s="168"/>
      <c r="C13" s="26"/>
      <c r="D13" s="27"/>
      <c r="E13" s="28"/>
      <c r="F13" s="29"/>
      <c r="G13" s="30"/>
      <c r="H13" s="29"/>
      <c r="I13" s="31"/>
      <c r="J13" s="32"/>
      <c r="K13" s="32"/>
      <c r="L13" s="993"/>
      <c r="M13" s="169"/>
      <c r="N13" s="32"/>
      <c r="O13" s="406"/>
      <c r="P13" s="32"/>
      <c r="Q13" s="608"/>
      <c r="R13" s="995"/>
      <c r="S13" s="651"/>
      <c r="T13" s="1161"/>
      <c r="U13" s="1002"/>
      <c r="V13" s="1002"/>
      <c r="W13" s="1002"/>
      <c r="X13" s="1002"/>
      <c r="Y13" s="1002"/>
      <c r="Z13" s="1002"/>
      <c r="AA13" s="1003"/>
    </row>
    <row r="14" spans="2:29" s="19" customFormat="1" ht="42.75" hidden="1" customHeight="1" thickBot="1" x14ac:dyDescent="0.25">
      <c r="B14" s="168"/>
      <c r="C14" s="26"/>
      <c r="D14" s="27"/>
      <c r="E14" s="28"/>
      <c r="F14" s="29"/>
      <c r="G14" s="30"/>
      <c r="H14" s="29"/>
      <c r="I14" s="31"/>
      <c r="J14" s="32"/>
      <c r="K14" s="32"/>
      <c r="L14" s="999"/>
      <c r="M14" s="169"/>
      <c r="N14" s="32"/>
      <c r="O14" s="406"/>
      <c r="P14" s="32"/>
      <c r="Q14" s="608"/>
      <c r="R14" s="1020"/>
      <c r="S14" s="651"/>
      <c r="T14" s="1162"/>
      <c r="U14" s="1002"/>
      <c r="V14" s="1002"/>
      <c r="W14" s="1002"/>
      <c r="X14" s="1002"/>
      <c r="Y14" s="1002"/>
      <c r="Z14" s="1002"/>
      <c r="AA14" s="1003"/>
    </row>
    <row r="15" spans="2:29" s="19" customFormat="1" ht="51" hidden="1" customHeight="1" thickTop="1" thickBot="1" x14ac:dyDescent="0.25">
      <c r="B15" s="168"/>
      <c r="C15" s="26"/>
      <c r="D15" s="27"/>
      <c r="E15" s="28"/>
      <c r="F15" s="29"/>
      <c r="G15" s="30"/>
      <c r="H15" s="29"/>
      <c r="I15" s="31"/>
      <c r="J15" s="32"/>
      <c r="K15" s="32"/>
      <c r="L15" s="993"/>
      <c r="M15" s="169"/>
      <c r="N15" s="32"/>
      <c r="O15" s="406"/>
      <c r="P15" s="32"/>
      <c r="Q15" s="608"/>
      <c r="R15" s="995"/>
      <c r="S15" s="651"/>
      <c r="T15" s="1161"/>
      <c r="U15" s="1002"/>
      <c r="V15" s="1002"/>
      <c r="W15" s="1002"/>
      <c r="X15" s="1002"/>
      <c r="Y15" s="1002"/>
      <c r="Z15" s="1002"/>
      <c r="AA15" s="1003"/>
    </row>
    <row r="16" spans="2:29" s="19" customFormat="1" ht="106.5" hidden="1" customHeight="1" thickBot="1" x14ac:dyDescent="0.25">
      <c r="B16" s="168"/>
      <c r="C16" s="26"/>
      <c r="D16" s="27"/>
      <c r="E16" s="28"/>
      <c r="F16" s="29"/>
      <c r="G16" s="30"/>
      <c r="H16" s="29"/>
      <c r="I16" s="31"/>
      <c r="J16" s="32"/>
      <c r="K16" s="32"/>
      <c r="L16" s="999"/>
      <c r="M16" s="169"/>
      <c r="N16" s="32"/>
      <c r="O16" s="406"/>
      <c r="P16" s="32"/>
      <c r="Q16" s="608"/>
      <c r="R16" s="1020"/>
      <c r="S16" s="651"/>
      <c r="T16" s="1162"/>
      <c r="U16" s="1002"/>
      <c r="V16" s="1002"/>
      <c r="W16" s="1002"/>
      <c r="X16" s="1002"/>
      <c r="Y16" s="1002"/>
      <c r="Z16" s="1002"/>
      <c r="AA16" s="1003"/>
    </row>
    <row r="17" spans="2:27" s="19" customFormat="1" ht="55.5" hidden="1" customHeight="1" thickTop="1" thickBot="1" x14ac:dyDescent="0.25">
      <c r="B17" s="168"/>
      <c r="C17" s="26"/>
      <c r="D17" s="27"/>
      <c r="E17" s="28"/>
      <c r="F17" s="29"/>
      <c r="G17" s="30"/>
      <c r="H17" s="29"/>
      <c r="I17" s="31"/>
      <c r="J17" s="32"/>
      <c r="K17" s="32"/>
      <c r="L17" s="993"/>
      <c r="M17" s="169"/>
      <c r="N17" s="32"/>
      <c r="O17" s="406"/>
      <c r="P17" s="32"/>
      <c r="Q17" s="608"/>
      <c r="R17" s="995"/>
      <c r="S17" s="651"/>
      <c r="T17" s="1161"/>
      <c r="U17" s="1002"/>
      <c r="V17" s="1002"/>
      <c r="W17" s="1002"/>
      <c r="X17" s="1002"/>
      <c r="Y17" s="1002"/>
      <c r="Z17" s="1002"/>
      <c r="AA17" s="1003"/>
    </row>
    <row r="18" spans="2:27" s="19" customFormat="1" ht="63" hidden="1" customHeight="1" thickBot="1" x14ac:dyDescent="0.25">
      <c r="B18" s="168"/>
      <c r="C18" s="26"/>
      <c r="D18" s="27"/>
      <c r="E18" s="28"/>
      <c r="F18" s="29"/>
      <c r="G18" s="30"/>
      <c r="H18" s="29"/>
      <c r="I18" s="31"/>
      <c r="J18" s="32"/>
      <c r="K18" s="32"/>
      <c r="L18" s="999"/>
      <c r="M18" s="169"/>
      <c r="N18" s="32"/>
      <c r="O18" s="406"/>
      <c r="P18" s="32"/>
      <c r="Q18" s="608"/>
      <c r="R18" s="1020"/>
      <c r="S18" s="651"/>
      <c r="T18" s="1162"/>
      <c r="U18" s="1002"/>
      <c r="V18" s="1002"/>
      <c r="W18" s="1002"/>
      <c r="X18" s="1002"/>
      <c r="Y18" s="1002"/>
      <c r="Z18" s="1002"/>
      <c r="AA18" s="1003"/>
    </row>
    <row r="19" spans="2:27" s="19" customFormat="1" ht="90" hidden="1" customHeight="1" thickTop="1" thickBot="1" x14ac:dyDescent="0.25">
      <c r="B19" s="168"/>
      <c r="C19" s="26"/>
      <c r="D19" s="27"/>
      <c r="E19" s="28"/>
      <c r="F19" s="29"/>
      <c r="G19" s="30"/>
      <c r="H19" s="29"/>
      <c r="I19" s="31"/>
      <c r="J19" s="32"/>
      <c r="K19" s="32"/>
      <c r="L19" s="993"/>
      <c r="M19" s="169"/>
      <c r="N19" s="32"/>
      <c r="O19" s="406"/>
      <c r="P19" s="32"/>
      <c r="Q19" s="608"/>
      <c r="R19" s="995"/>
      <c r="S19" s="651"/>
      <c r="T19" s="1161"/>
      <c r="U19" s="1002"/>
      <c r="V19" s="1002"/>
      <c r="W19" s="1002"/>
      <c r="X19" s="1002"/>
      <c r="Y19" s="1002"/>
      <c r="Z19" s="1002"/>
      <c r="AA19" s="1003"/>
    </row>
    <row r="20" spans="2:27" s="19" customFormat="1" ht="136.5" hidden="1" customHeight="1" thickBot="1" x14ac:dyDescent="0.25">
      <c r="B20" s="168"/>
      <c r="C20" s="26"/>
      <c r="D20" s="27"/>
      <c r="E20" s="28"/>
      <c r="F20" s="29"/>
      <c r="G20" s="30"/>
      <c r="H20" s="29"/>
      <c r="I20" s="31"/>
      <c r="J20" s="32"/>
      <c r="K20" s="32"/>
      <c r="L20" s="999"/>
      <c r="M20" s="169"/>
      <c r="N20" s="32"/>
      <c r="O20" s="406"/>
      <c r="P20" s="32"/>
      <c r="Q20" s="608"/>
      <c r="R20" s="1020"/>
      <c r="S20" s="651"/>
      <c r="T20" s="1162"/>
      <c r="U20" s="1002"/>
      <c r="V20" s="1002"/>
      <c r="W20" s="1002"/>
      <c r="X20" s="1002"/>
      <c r="Y20" s="1002"/>
      <c r="Z20" s="1002"/>
      <c r="AA20" s="1003"/>
    </row>
    <row r="21" spans="2:27" s="19" customFormat="1" ht="81" hidden="1" customHeight="1" thickTop="1" thickBot="1" x14ac:dyDescent="0.25">
      <c r="B21" s="168"/>
      <c r="C21" s="26"/>
      <c r="D21" s="27"/>
      <c r="E21" s="28"/>
      <c r="F21" s="29"/>
      <c r="G21" s="30"/>
      <c r="H21" s="29"/>
      <c r="I21" s="31"/>
      <c r="J21" s="32"/>
      <c r="K21" s="32"/>
      <c r="L21" s="993"/>
      <c r="M21" s="169"/>
      <c r="N21" s="32"/>
      <c r="O21" s="406"/>
      <c r="P21" s="32"/>
      <c r="Q21" s="608"/>
      <c r="R21" s="995"/>
      <c r="S21" s="651"/>
      <c r="T21" s="1161"/>
      <c r="U21" s="1002"/>
      <c r="V21" s="1002"/>
      <c r="W21" s="1002"/>
      <c r="X21" s="1002"/>
      <c r="Y21" s="1002"/>
      <c r="Z21" s="1002"/>
      <c r="AA21" s="1003"/>
    </row>
    <row r="22" spans="2:27" s="19" customFormat="1" ht="56.25" hidden="1" customHeight="1" thickBot="1" x14ac:dyDescent="0.25">
      <c r="B22" s="168"/>
      <c r="C22" s="26"/>
      <c r="D22" s="27"/>
      <c r="E22" s="28"/>
      <c r="F22" s="29"/>
      <c r="G22" s="30"/>
      <c r="H22" s="29"/>
      <c r="I22" s="31"/>
      <c r="J22" s="32"/>
      <c r="K22" s="32"/>
      <c r="L22" s="999"/>
      <c r="M22" s="169"/>
      <c r="N22" s="32"/>
      <c r="O22" s="406"/>
      <c r="P22" s="32"/>
      <c r="Q22" s="608"/>
      <c r="R22" s="1020"/>
      <c r="S22" s="651"/>
      <c r="T22" s="1162"/>
      <c r="U22" s="1002"/>
      <c r="V22" s="1002"/>
      <c r="W22" s="1002"/>
      <c r="X22" s="1002"/>
      <c r="Y22" s="1002"/>
      <c r="Z22" s="1002"/>
      <c r="AA22" s="1003"/>
    </row>
    <row r="23" spans="2:27" s="19" customFormat="1" ht="54" hidden="1" customHeight="1" thickBot="1" x14ac:dyDescent="0.25">
      <c r="B23" s="168"/>
      <c r="C23" s="26"/>
      <c r="D23" s="27"/>
      <c r="E23" s="28"/>
      <c r="F23" s="29"/>
      <c r="G23" s="30"/>
      <c r="H23" s="29"/>
      <c r="I23" s="31"/>
      <c r="J23" s="32"/>
      <c r="K23" s="32"/>
      <c r="L23" s="464"/>
      <c r="M23" s="169"/>
      <c r="N23" s="32"/>
      <c r="O23" s="406"/>
      <c r="P23" s="32"/>
      <c r="Q23" s="608"/>
      <c r="R23" s="653"/>
      <c r="S23" s="652"/>
      <c r="T23" s="653"/>
      <c r="U23" s="1002"/>
      <c r="V23" s="1002"/>
      <c r="W23" s="1002"/>
      <c r="X23" s="1002"/>
      <c r="Y23" s="1002"/>
      <c r="Z23" s="1002"/>
      <c r="AA23" s="1003"/>
    </row>
    <row r="24" spans="2:27" s="19" customFormat="1" ht="42" hidden="1" customHeight="1" thickBot="1" x14ac:dyDescent="0.25">
      <c r="B24" s="168"/>
      <c r="C24" s="26"/>
      <c r="D24" s="27"/>
      <c r="E24" s="28"/>
      <c r="F24" s="29"/>
      <c r="G24" s="30"/>
      <c r="H24" s="29"/>
      <c r="I24" s="31"/>
      <c r="J24" s="32"/>
      <c r="K24" s="32"/>
      <c r="L24" s="1148"/>
      <c r="M24" s="169"/>
      <c r="N24" s="32"/>
      <c r="O24" s="406"/>
      <c r="P24" s="32"/>
      <c r="Q24" s="608"/>
      <c r="R24" s="995"/>
      <c r="S24" s="652"/>
      <c r="T24" s="995"/>
      <c r="U24" s="1002"/>
      <c r="V24" s="1002"/>
      <c r="W24" s="1002"/>
      <c r="X24" s="1002"/>
      <c r="Y24" s="1002"/>
      <c r="Z24" s="1002"/>
      <c r="AA24" s="1003"/>
    </row>
    <row r="25" spans="2:27" s="19" customFormat="1" ht="63" hidden="1" customHeight="1" thickBot="1" x14ac:dyDescent="0.25">
      <c r="B25" s="168"/>
      <c r="C25" s="26"/>
      <c r="D25" s="27"/>
      <c r="E25" s="28"/>
      <c r="F25" s="29"/>
      <c r="G25" s="30"/>
      <c r="H25" s="29"/>
      <c r="I25" s="31"/>
      <c r="J25" s="32"/>
      <c r="K25" s="32"/>
      <c r="L25" s="1016"/>
      <c r="M25" s="169"/>
      <c r="N25" s="32"/>
      <c r="O25" s="406"/>
      <c r="P25" s="32"/>
      <c r="Q25" s="608"/>
      <c r="R25" s="996"/>
      <c r="S25" s="652"/>
      <c r="T25" s="996"/>
      <c r="U25" s="1002"/>
      <c r="V25" s="1002"/>
      <c r="W25" s="1002"/>
      <c r="X25" s="1002"/>
      <c r="Y25" s="1002"/>
      <c r="Z25" s="1002"/>
      <c r="AA25" s="1003"/>
    </row>
    <row r="26" spans="2:27" s="19" customFormat="1" ht="177.6" hidden="1" customHeight="1" thickBot="1" x14ac:dyDescent="0.25">
      <c r="B26" s="168"/>
      <c r="C26" s="26"/>
      <c r="D26" s="27"/>
      <c r="E26" s="28"/>
      <c r="F26" s="29"/>
      <c r="G26" s="30"/>
      <c r="H26" s="29"/>
      <c r="I26" s="31"/>
      <c r="J26" s="32"/>
      <c r="K26" s="32"/>
      <c r="L26" s="999"/>
      <c r="M26" s="169"/>
      <c r="N26" s="32"/>
      <c r="O26" s="406"/>
      <c r="P26" s="32"/>
      <c r="Q26" s="608"/>
      <c r="R26" s="996"/>
      <c r="S26" s="652"/>
      <c r="T26" s="1020"/>
      <c r="U26" s="1002"/>
      <c r="V26" s="1002"/>
      <c r="W26" s="1002"/>
      <c r="X26" s="1002"/>
      <c r="Y26" s="1002"/>
      <c r="Z26" s="1002"/>
      <c r="AA26" s="1003"/>
    </row>
    <row r="27" spans="2:27" s="19" customFormat="1" ht="88.5" hidden="1" customHeight="1" thickBot="1" x14ac:dyDescent="0.25">
      <c r="B27" s="168"/>
      <c r="C27" s="26"/>
      <c r="D27" s="27"/>
      <c r="E27" s="28"/>
      <c r="F27" s="29"/>
      <c r="G27" s="30"/>
      <c r="H27" s="29"/>
      <c r="I27" s="31"/>
      <c r="J27" s="32"/>
      <c r="K27" s="32"/>
      <c r="L27" s="1148"/>
      <c r="M27" s="169"/>
      <c r="N27" s="32"/>
      <c r="O27" s="406"/>
      <c r="P27" s="32"/>
      <c r="Q27" s="608"/>
      <c r="R27" s="995"/>
      <c r="S27" s="652"/>
      <c r="T27" s="995"/>
      <c r="U27" s="1002"/>
      <c r="V27" s="1002"/>
      <c r="W27" s="1002"/>
      <c r="X27" s="1002"/>
      <c r="Y27" s="1002"/>
      <c r="Z27" s="1002"/>
      <c r="AA27" s="1003"/>
    </row>
    <row r="28" spans="2:27" s="19" customFormat="1" ht="82.5" hidden="1" customHeight="1" thickBot="1" x14ac:dyDescent="0.25">
      <c r="B28" s="168"/>
      <c r="C28" s="26"/>
      <c r="D28" s="27"/>
      <c r="E28" s="28"/>
      <c r="F28" s="29"/>
      <c r="G28" s="30"/>
      <c r="H28" s="29"/>
      <c r="I28" s="31"/>
      <c r="J28" s="32"/>
      <c r="K28" s="32"/>
      <c r="L28" s="999"/>
      <c r="M28" s="169"/>
      <c r="N28" s="32"/>
      <c r="O28" s="406"/>
      <c r="P28" s="32"/>
      <c r="Q28" s="608"/>
      <c r="R28" s="1020"/>
      <c r="S28" s="652"/>
      <c r="T28" s="1020"/>
      <c r="U28" s="1002"/>
      <c r="V28" s="1002"/>
      <c r="W28" s="1002"/>
      <c r="X28" s="1002"/>
      <c r="Y28" s="1002"/>
      <c r="Z28" s="1002"/>
      <c r="AA28" s="1003"/>
    </row>
    <row r="29" spans="2:27" s="19" customFormat="1" ht="109.5" hidden="1" customHeight="1" thickBot="1" x14ac:dyDescent="0.25">
      <c r="B29" s="168"/>
      <c r="C29" s="26"/>
      <c r="D29" s="27"/>
      <c r="E29" s="28"/>
      <c r="F29" s="29"/>
      <c r="G29" s="30"/>
      <c r="H29" s="29"/>
      <c r="I29" s="31"/>
      <c r="J29" s="32"/>
      <c r="K29" s="32"/>
      <c r="L29" s="1148"/>
      <c r="M29" s="169"/>
      <c r="N29" s="32"/>
      <c r="O29" s="406"/>
      <c r="P29" s="32"/>
      <c r="Q29" s="608"/>
      <c r="R29" s="995"/>
      <c r="S29" s="652"/>
      <c r="T29" s="995"/>
      <c r="U29" s="1002"/>
      <c r="V29" s="1002"/>
      <c r="W29" s="1002"/>
      <c r="X29" s="1002"/>
      <c r="Y29" s="1002"/>
      <c r="Z29" s="1002"/>
      <c r="AA29" s="1003"/>
    </row>
    <row r="30" spans="2:27" s="19" customFormat="1" ht="108.75" hidden="1" customHeight="1" thickBot="1" x14ac:dyDescent="0.25">
      <c r="B30" s="168"/>
      <c r="C30" s="26"/>
      <c r="D30" s="27"/>
      <c r="E30" s="28"/>
      <c r="F30" s="29"/>
      <c r="G30" s="30"/>
      <c r="H30" s="29"/>
      <c r="I30" s="31"/>
      <c r="J30" s="32"/>
      <c r="K30" s="32"/>
      <c r="L30" s="999"/>
      <c r="M30" s="169"/>
      <c r="N30" s="32"/>
      <c r="O30" s="406"/>
      <c r="P30" s="32"/>
      <c r="Q30" s="608"/>
      <c r="R30" s="1020"/>
      <c r="S30" s="652"/>
      <c r="T30" s="1020"/>
      <c r="U30" s="1002"/>
      <c r="V30" s="1002"/>
      <c r="W30" s="1002"/>
      <c r="X30" s="1002"/>
      <c r="Y30" s="1002"/>
      <c r="Z30" s="1002"/>
      <c r="AA30" s="1003"/>
    </row>
    <row r="31" spans="2:27" s="19" customFormat="1" ht="54.75" hidden="1" customHeight="1" thickBot="1" x14ac:dyDescent="0.25">
      <c r="B31" s="168"/>
      <c r="C31" s="26"/>
      <c r="D31" s="27"/>
      <c r="E31" s="28"/>
      <c r="F31" s="29"/>
      <c r="G31" s="30"/>
      <c r="H31" s="29"/>
      <c r="I31" s="31"/>
      <c r="J31" s="32"/>
      <c r="K31" s="32"/>
      <c r="L31" s="1148"/>
      <c r="M31" s="169"/>
      <c r="N31" s="32"/>
      <c r="O31" s="406"/>
      <c r="P31" s="32"/>
      <c r="Q31" s="608"/>
      <c r="R31" s="995"/>
      <c r="S31" s="651"/>
      <c r="T31" s="995"/>
      <c r="U31" s="1002"/>
      <c r="V31" s="1002"/>
      <c r="W31" s="1002"/>
      <c r="X31" s="1002"/>
      <c r="Y31" s="1002"/>
      <c r="Z31" s="1002"/>
      <c r="AA31" s="1003"/>
    </row>
    <row r="32" spans="2:27" s="19" customFormat="1" ht="112.5" hidden="1" customHeight="1" thickBot="1" x14ac:dyDescent="0.25">
      <c r="B32" s="168"/>
      <c r="C32" s="26"/>
      <c r="D32" s="27"/>
      <c r="E32" s="28"/>
      <c r="F32" s="989"/>
      <c r="G32" s="30"/>
      <c r="H32" s="989"/>
      <c r="I32" s="31"/>
      <c r="J32" s="32"/>
      <c r="K32" s="32"/>
      <c r="L32" s="1016"/>
      <c r="M32" s="169"/>
      <c r="N32" s="32"/>
      <c r="O32" s="406"/>
      <c r="P32" s="32"/>
      <c r="Q32" s="1192"/>
      <c r="R32" s="996"/>
      <c r="S32" s="651"/>
      <c r="T32" s="996"/>
      <c r="U32" s="1002"/>
      <c r="V32" s="1002"/>
      <c r="W32" s="1002"/>
      <c r="X32" s="1002"/>
      <c r="Y32" s="1002"/>
      <c r="Z32" s="1002"/>
      <c r="AA32" s="1003"/>
    </row>
    <row r="33" spans="2:27" s="19" customFormat="1" ht="88.5" hidden="1" customHeight="1" thickBot="1" x14ac:dyDescent="0.25">
      <c r="B33" s="168"/>
      <c r="C33" s="26"/>
      <c r="D33" s="27"/>
      <c r="E33" s="28"/>
      <c r="F33" s="1027"/>
      <c r="G33" s="30"/>
      <c r="H33" s="1027"/>
      <c r="I33" s="31"/>
      <c r="J33" s="32"/>
      <c r="K33" s="32"/>
      <c r="L33" s="1016"/>
      <c r="M33" s="169"/>
      <c r="N33" s="32"/>
      <c r="O33" s="406"/>
      <c r="P33" s="32"/>
      <c r="Q33" s="1194"/>
      <c r="R33" s="996"/>
      <c r="S33" s="651"/>
      <c r="T33" s="996"/>
      <c r="U33" s="1002"/>
      <c r="V33" s="1002"/>
      <c r="W33" s="1002"/>
      <c r="X33" s="1002"/>
      <c r="Y33" s="1002"/>
      <c r="Z33" s="1002"/>
      <c r="AA33" s="1003"/>
    </row>
    <row r="34" spans="2:27" s="19" customFormat="1" ht="56.25" hidden="1" customHeight="1" thickBot="1" x14ac:dyDescent="0.25">
      <c r="B34" s="168"/>
      <c r="C34" s="26"/>
      <c r="D34" s="27"/>
      <c r="E34" s="28"/>
      <c r="F34" s="990"/>
      <c r="G34" s="30"/>
      <c r="H34" s="990"/>
      <c r="I34" s="31"/>
      <c r="J34" s="32"/>
      <c r="K34" s="32"/>
      <c r="L34" s="999"/>
      <c r="M34" s="169"/>
      <c r="N34" s="32"/>
      <c r="O34" s="406"/>
      <c r="P34" s="32"/>
      <c r="Q34" s="1193"/>
      <c r="R34" s="1020"/>
      <c r="S34" s="651"/>
      <c r="T34" s="1020"/>
      <c r="U34" s="1002"/>
      <c r="V34" s="1002"/>
      <c r="W34" s="1002"/>
      <c r="X34" s="1002"/>
      <c r="Y34" s="1002"/>
      <c r="Z34" s="1002"/>
      <c r="AA34" s="1003"/>
    </row>
    <row r="35" spans="2:27" s="19" customFormat="1" ht="81.75" hidden="1" customHeight="1" thickBot="1" x14ac:dyDescent="0.25">
      <c r="B35" s="168"/>
      <c r="C35" s="26"/>
      <c r="D35" s="27"/>
      <c r="E35" s="28"/>
      <c r="F35" s="29"/>
      <c r="G35" s="30"/>
      <c r="H35" s="29"/>
      <c r="I35" s="31"/>
      <c r="J35" s="32"/>
      <c r="K35" s="32"/>
      <c r="L35" s="1148"/>
      <c r="M35" s="169"/>
      <c r="N35" s="32"/>
      <c r="O35" s="406"/>
      <c r="P35" s="32"/>
      <c r="Q35" s="608"/>
      <c r="R35" s="995"/>
      <c r="S35" s="652"/>
      <c r="T35" s="995"/>
      <c r="U35" s="1002"/>
      <c r="V35" s="1002"/>
      <c r="W35" s="1002"/>
      <c r="X35" s="1002"/>
      <c r="Y35" s="1002"/>
      <c r="Z35" s="1002"/>
      <c r="AA35" s="1003"/>
    </row>
    <row r="36" spans="2:27" s="19" customFormat="1" ht="66" hidden="1" customHeight="1" thickBot="1" x14ac:dyDescent="0.25">
      <c r="B36" s="168"/>
      <c r="C36" s="26"/>
      <c r="D36" s="27"/>
      <c r="E36" s="28"/>
      <c r="F36" s="29"/>
      <c r="G36" s="30"/>
      <c r="H36" s="29"/>
      <c r="I36" s="31"/>
      <c r="J36" s="32"/>
      <c r="K36" s="32"/>
      <c r="L36" s="999"/>
      <c r="M36" s="169"/>
      <c r="N36" s="32"/>
      <c r="O36" s="406"/>
      <c r="P36" s="32"/>
      <c r="Q36" s="608"/>
      <c r="R36" s="996"/>
      <c r="S36" s="652"/>
      <c r="T36" s="996"/>
      <c r="U36" s="1002"/>
      <c r="V36" s="1002"/>
      <c r="W36" s="1002"/>
      <c r="X36" s="1002"/>
      <c r="Y36" s="1002"/>
      <c r="Z36" s="1002"/>
      <c r="AA36" s="1003"/>
    </row>
    <row r="37" spans="2:27" s="19" customFormat="1" ht="120.75" hidden="1" customHeight="1" thickBot="1" x14ac:dyDescent="0.25">
      <c r="B37" s="168"/>
      <c r="C37" s="26"/>
      <c r="D37" s="27"/>
      <c r="E37" s="28"/>
      <c r="F37" s="29"/>
      <c r="G37" s="30"/>
      <c r="H37" s="29"/>
      <c r="I37" s="31"/>
      <c r="J37" s="32"/>
      <c r="K37" s="32"/>
      <c r="L37" s="1148"/>
      <c r="M37" s="169"/>
      <c r="N37" s="32"/>
      <c r="O37" s="406"/>
      <c r="P37" s="32"/>
      <c r="Q37" s="608"/>
      <c r="R37" s="995"/>
      <c r="S37" s="651"/>
      <c r="T37" s="995"/>
      <c r="U37" s="1002"/>
      <c r="V37" s="1002"/>
      <c r="W37" s="1002"/>
      <c r="X37" s="1002"/>
      <c r="Y37" s="1002"/>
      <c r="Z37" s="1002"/>
      <c r="AA37" s="1003"/>
    </row>
    <row r="38" spans="2:27" s="19" customFormat="1" ht="96" hidden="1" customHeight="1" thickBot="1" x14ac:dyDescent="0.25">
      <c r="B38" s="168"/>
      <c r="C38" s="26"/>
      <c r="D38" s="27"/>
      <c r="E38" s="28"/>
      <c r="F38" s="989"/>
      <c r="G38" s="30"/>
      <c r="H38" s="989"/>
      <c r="I38" s="31"/>
      <c r="J38" s="32"/>
      <c r="K38" s="32"/>
      <c r="L38" s="1016"/>
      <c r="M38" s="169"/>
      <c r="N38" s="32"/>
      <c r="O38" s="406"/>
      <c r="P38" s="32"/>
      <c r="Q38" s="1192"/>
      <c r="R38" s="996"/>
      <c r="S38" s="651"/>
      <c r="T38" s="996"/>
      <c r="U38" s="1002"/>
      <c r="V38" s="1002"/>
      <c r="W38" s="1002"/>
      <c r="X38" s="1002"/>
      <c r="Y38" s="1002"/>
      <c r="Z38" s="1002"/>
      <c r="AA38" s="1003"/>
    </row>
    <row r="39" spans="2:27" s="19" customFormat="1" ht="57" hidden="1" customHeight="1" thickBot="1" x14ac:dyDescent="0.25">
      <c r="B39" s="168"/>
      <c r="C39" s="26"/>
      <c r="D39" s="27"/>
      <c r="E39" s="28"/>
      <c r="F39" s="990"/>
      <c r="G39" s="30"/>
      <c r="H39" s="990"/>
      <c r="I39" s="31"/>
      <c r="J39" s="32"/>
      <c r="K39" s="32"/>
      <c r="L39" s="999"/>
      <c r="M39" s="169"/>
      <c r="N39" s="32"/>
      <c r="O39" s="406"/>
      <c r="P39" s="32"/>
      <c r="Q39" s="1193"/>
      <c r="R39" s="1020"/>
      <c r="S39" s="651"/>
      <c r="T39" s="1020"/>
      <c r="U39" s="1002"/>
      <c r="V39" s="1002"/>
      <c r="W39" s="1002"/>
      <c r="X39" s="1002"/>
      <c r="Y39" s="1002"/>
      <c r="Z39" s="1002"/>
      <c r="AA39" s="1003"/>
    </row>
    <row r="40" spans="2:27" s="19" customFormat="1" ht="174" hidden="1" customHeight="1" thickBot="1" x14ac:dyDescent="0.25">
      <c r="B40" s="168"/>
      <c r="C40" s="26"/>
      <c r="D40" s="27"/>
      <c r="E40" s="28"/>
      <c r="F40" s="29"/>
      <c r="G40" s="30"/>
      <c r="H40" s="29"/>
      <c r="I40" s="31"/>
      <c r="J40" s="32"/>
      <c r="K40" s="32"/>
      <c r="L40" s="464"/>
      <c r="M40" s="169"/>
      <c r="N40" s="32"/>
      <c r="O40" s="406"/>
      <c r="P40" s="32"/>
      <c r="Q40" s="608"/>
      <c r="R40" s="727"/>
      <c r="S40" s="652"/>
      <c r="T40" s="727"/>
      <c r="U40" s="1002"/>
      <c r="V40" s="1002"/>
      <c r="W40" s="1002"/>
      <c r="X40" s="1002"/>
      <c r="Y40" s="1002"/>
      <c r="Z40" s="1002"/>
      <c r="AA40" s="1003"/>
    </row>
    <row r="41" spans="2:27" s="19" customFormat="1" ht="83.25" hidden="1" customHeight="1" thickBot="1" x14ac:dyDescent="0.25">
      <c r="B41" s="168"/>
      <c r="C41" s="26"/>
      <c r="D41" s="27"/>
      <c r="E41" s="28"/>
      <c r="F41" s="29"/>
      <c r="G41" s="30"/>
      <c r="H41" s="29"/>
      <c r="I41" s="31"/>
      <c r="J41" s="32"/>
      <c r="K41" s="32"/>
      <c r="L41" s="1148"/>
      <c r="M41" s="169"/>
      <c r="N41" s="32"/>
      <c r="O41" s="406"/>
      <c r="P41" s="32"/>
      <c r="Q41" s="608"/>
      <c r="R41" s="995"/>
      <c r="S41" s="651"/>
      <c r="T41" s="995"/>
      <c r="U41" s="1002"/>
      <c r="V41" s="1002"/>
      <c r="W41" s="1002"/>
      <c r="X41" s="1002"/>
      <c r="Y41" s="1002"/>
      <c r="Z41" s="1002"/>
      <c r="AA41" s="1003"/>
    </row>
    <row r="42" spans="2:27" s="19" customFormat="1" ht="135.75" hidden="1" customHeight="1" thickBot="1" x14ac:dyDescent="0.25">
      <c r="B42" s="168"/>
      <c r="C42" s="26"/>
      <c r="D42" s="27"/>
      <c r="E42" s="28"/>
      <c r="F42" s="29"/>
      <c r="G42" s="30"/>
      <c r="H42" s="29"/>
      <c r="I42" s="31"/>
      <c r="J42" s="32"/>
      <c r="K42" s="32"/>
      <c r="L42" s="999"/>
      <c r="M42" s="169"/>
      <c r="N42" s="32"/>
      <c r="O42" s="406"/>
      <c r="P42" s="32"/>
      <c r="Q42" s="608"/>
      <c r="R42" s="1020"/>
      <c r="S42" s="651"/>
      <c r="T42" s="1020"/>
      <c r="U42" s="1002"/>
      <c r="V42" s="1002"/>
      <c r="W42" s="1002"/>
      <c r="X42" s="1002"/>
      <c r="Y42" s="1002"/>
      <c r="Z42" s="1002"/>
      <c r="AA42" s="1003"/>
    </row>
    <row r="43" spans="2:27" s="19" customFormat="1" ht="85.5" hidden="1" customHeight="1" thickBot="1" x14ac:dyDescent="0.25">
      <c r="B43" s="168"/>
      <c r="C43" s="26"/>
      <c r="D43" s="27"/>
      <c r="E43" s="28"/>
      <c r="F43" s="29"/>
      <c r="G43" s="30"/>
      <c r="H43" s="29"/>
      <c r="I43" s="31"/>
      <c r="J43" s="32"/>
      <c r="K43" s="32"/>
      <c r="L43" s="1148"/>
      <c r="M43" s="169"/>
      <c r="N43" s="32"/>
      <c r="O43" s="406"/>
      <c r="P43" s="32"/>
      <c r="Q43" s="608"/>
      <c r="R43" s="995"/>
      <c r="S43" s="651"/>
      <c r="T43" s="995"/>
      <c r="U43" s="1002"/>
      <c r="V43" s="1002"/>
      <c r="W43" s="1002"/>
      <c r="X43" s="1002"/>
      <c r="Y43" s="1002"/>
      <c r="Z43" s="1002"/>
      <c r="AA43" s="1003"/>
    </row>
    <row r="44" spans="2:27" s="19" customFormat="1" ht="75" hidden="1" customHeight="1" thickBot="1" x14ac:dyDescent="0.25">
      <c r="B44" s="168"/>
      <c r="C44" s="26"/>
      <c r="D44" s="27"/>
      <c r="E44" s="28"/>
      <c r="F44" s="29"/>
      <c r="G44" s="30"/>
      <c r="H44" s="29"/>
      <c r="I44" s="31"/>
      <c r="J44" s="32"/>
      <c r="K44" s="32"/>
      <c r="L44" s="1016"/>
      <c r="M44" s="169"/>
      <c r="N44" s="32"/>
      <c r="O44" s="406"/>
      <c r="P44" s="32"/>
      <c r="Q44" s="608"/>
      <c r="R44" s="996"/>
      <c r="S44" s="651"/>
      <c r="T44" s="996"/>
      <c r="U44" s="1002"/>
      <c r="V44" s="1002"/>
      <c r="W44" s="1002"/>
      <c r="X44" s="1002"/>
      <c r="Y44" s="1002"/>
      <c r="Z44" s="1002"/>
      <c r="AA44" s="1003"/>
    </row>
    <row r="45" spans="2:27" s="19" customFormat="1" ht="105.75" hidden="1" customHeight="1" thickBot="1" x14ac:dyDescent="0.25">
      <c r="B45" s="168"/>
      <c r="C45" s="26"/>
      <c r="D45" s="27"/>
      <c r="E45" s="28"/>
      <c r="F45" s="29"/>
      <c r="G45" s="30"/>
      <c r="H45" s="29"/>
      <c r="I45" s="31"/>
      <c r="J45" s="32"/>
      <c r="K45" s="32"/>
      <c r="L45" s="999"/>
      <c r="M45" s="169"/>
      <c r="N45" s="32"/>
      <c r="O45" s="406"/>
      <c r="P45" s="32"/>
      <c r="Q45" s="608"/>
      <c r="R45" s="1020"/>
      <c r="S45" s="651"/>
      <c r="T45" s="1020"/>
      <c r="U45" s="1002"/>
      <c r="V45" s="1002"/>
      <c r="W45" s="1002"/>
      <c r="X45" s="1002"/>
      <c r="Y45" s="1002"/>
      <c r="Z45" s="1002"/>
      <c r="AA45" s="1003"/>
    </row>
    <row r="46" spans="2:27" s="19" customFormat="1" ht="69" hidden="1" customHeight="1" thickBot="1" x14ac:dyDescent="0.25">
      <c r="B46" s="168"/>
      <c r="C46" s="26"/>
      <c r="D46" s="27"/>
      <c r="E46" s="28"/>
      <c r="F46" s="29"/>
      <c r="G46" s="30"/>
      <c r="H46" s="29"/>
      <c r="I46" s="31"/>
      <c r="J46" s="32"/>
      <c r="K46" s="32"/>
      <c r="L46" s="1148"/>
      <c r="M46" s="169"/>
      <c r="N46" s="32"/>
      <c r="O46" s="406"/>
      <c r="P46" s="32"/>
      <c r="Q46" s="608"/>
      <c r="R46" s="995"/>
      <c r="S46" s="651"/>
      <c r="T46" s="995"/>
      <c r="U46" s="1002"/>
      <c r="V46" s="1002"/>
      <c r="W46" s="1002"/>
      <c r="X46" s="1002"/>
      <c r="Y46" s="1002"/>
      <c r="Z46" s="1002"/>
      <c r="AA46" s="1003"/>
    </row>
    <row r="47" spans="2:27" s="19" customFormat="1" ht="66.75" hidden="1" customHeight="1" thickBot="1" x14ac:dyDescent="0.25">
      <c r="B47" s="168"/>
      <c r="C47" s="26"/>
      <c r="D47" s="27"/>
      <c r="E47" s="28"/>
      <c r="F47" s="29"/>
      <c r="G47" s="30"/>
      <c r="H47" s="29"/>
      <c r="I47" s="31"/>
      <c r="J47" s="32"/>
      <c r="K47" s="32"/>
      <c r="L47" s="1016"/>
      <c r="M47" s="169"/>
      <c r="N47" s="32"/>
      <c r="O47" s="406"/>
      <c r="P47" s="32"/>
      <c r="Q47" s="608"/>
      <c r="R47" s="996"/>
      <c r="S47" s="651"/>
      <c r="T47" s="996"/>
      <c r="U47" s="1002"/>
      <c r="V47" s="1002"/>
      <c r="W47" s="1002"/>
      <c r="X47" s="1002"/>
      <c r="Y47" s="1002"/>
      <c r="Z47" s="1002"/>
      <c r="AA47" s="1003"/>
    </row>
    <row r="48" spans="2:27" s="19" customFormat="1" ht="90" hidden="1" customHeight="1" thickBot="1" x14ac:dyDescent="0.25">
      <c r="B48" s="168"/>
      <c r="C48" s="26"/>
      <c r="D48" s="27"/>
      <c r="E48" s="28"/>
      <c r="F48" s="29"/>
      <c r="G48" s="30"/>
      <c r="H48" s="29"/>
      <c r="I48" s="31"/>
      <c r="J48" s="32"/>
      <c r="K48" s="32"/>
      <c r="L48" s="999"/>
      <c r="M48" s="169"/>
      <c r="N48" s="32"/>
      <c r="O48" s="406"/>
      <c r="P48" s="32"/>
      <c r="Q48" s="608"/>
      <c r="R48" s="1020"/>
      <c r="S48" s="651"/>
      <c r="T48" s="1020"/>
      <c r="U48" s="1002"/>
      <c r="V48" s="1002"/>
      <c r="W48" s="1002"/>
      <c r="X48" s="1002"/>
      <c r="Y48" s="1002"/>
      <c r="Z48" s="1002"/>
      <c r="AA48" s="1003"/>
    </row>
    <row r="49" spans="2:29" s="19" customFormat="1" ht="94.5" hidden="1" customHeight="1" thickBot="1" x14ac:dyDescent="0.25">
      <c r="B49" s="168"/>
      <c r="C49" s="26"/>
      <c r="D49" s="27"/>
      <c r="E49" s="28"/>
      <c r="F49" s="29"/>
      <c r="G49" s="30"/>
      <c r="H49" s="29"/>
      <c r="I49" s="31"/>
      <c r="J49" s="32"/>
      <c r="K49" s="32"/>
      <c r="L49" s="1148"/>
      <c r="M49" s="169"/>
      <c r="N49" s="32"/>
      <c r="O49" s="406"/>
      <c r="P49" s="32"/>
      <c r="Q49" s="608"/>
      <c r="R49" s="995"/>
      <c r="S49" s="651"/>
      <c r="T49" s="995"/>
      <c r="U49" s="1002"/>
      <c r="V49" s="1002"/>
      <c r="W49" s="1002"/>
      <c r="X49" s="1002"/>
      <c r="Y49" s="1002"/>
      <c r="Z49" s="1002"/>
      <c r="AA49" s="1003"/>
    </row>
    <row r="50" spans="2:29" s="19" customFormat="1" ht="96.75" hidden="1" customHeight="1" thickBot="1" x14ac:dyDescent="0.25">
      <c r="B50" s="168"/>
      <c r="C50" s="26"/>
      <c r="D50" s="27"/>
      <c r="E50" s="28"/>
      <c r="F50" s="29"/>
      <c r="G50" s="30"/>
      <c r="H50" s="29"/>
      <c r="I50" s="31"/>
      <c r="J50" s="32"/>
      <c r="K50" s="32"/>
      <c r="L50" s="999"/>
      <c r="M50" s="169"/>
      <c r="N50" s="32"/>
      <c r="O50" s="406"/>
      <c r="P50" s="32"/>
      <c r="Q50" s="608"/>
      <c r="R50" s="1020"/>
      <c r="S50" s="651"/>
      <c r="T50" s="1020"/>
      <c r="U50" s="1002"/>
      <c r="V50" s="1002"/>
      <c r="W50" s="1002"/>
      <c r="X50" s="1002"/>
      <c r="Y50" s="1002"/>
      <c r="Z50" s="1002"/>
      <c r="AA50" s="1003"/>
    </row>
    <row r="51" spans="2:29" s="19" customFormat="1" ht="88.5" hidden="1" customHeight="1" thickBot="1" x14ac:dyDescent="0.25">
      <c r="B51" s="168"/>
      <c r="C51" s="26"/>
      <c r="D51" s="27"/>
      <c r="E51" s="28"/>
      <c r="F51" s="29"/>
      <c r="G51" s="30"/>
      <c r="H51" s="29"/>
      <c r="I51" s="31"/>
      <c r="J51" s="32"/>
      <c r="K51" s="32"/>
      <c r="L51" s="1148"/>
      <c r="M51" s="169"/>
      <c r="N51" s="32"/>
      <c r="O51" s="406"/>
      <c r="P51" s="32"/>
      <c r="Q51" s="608"/>
      <c r="R51" s="995"/>
      <c r="S51" s="651"/>
      <c r="T51" s="995"/>
      <c r="U51" s="1002"/>
      <c r="V51" s="1002"/>
      <c r="W51" s="1002"/>
      <c r="X51" s="1002"/>
      <c r="Y51" s="1002"/>
      <c r="Z51" s="1002"/>
      <c r="AA51" s="1003"/>
    </row>
    <row r="52" spans="2:29" s="19" customFormat="1" ht="102" hidden="1" customHeight="1" thickBot="1" x14ac:dyDescent="0.25">
      <c r="B52" s="168"/>
      <c r="C52" s="26"/>
      <c r="D52" s="27"/>
      <c r="E52" s="28"/>
      <c r="F52" s="29"/>
      <c r="G52" s="30"/>
      <c r="H52" s="29"/>
      <c r="I52" s="31"/>
      <c r="J52" s="32"/>
      <c r="K52" s="32"/>
      <c r="L52" s="999"/>
      <c r="M52" s="169"/>
      <c r="N52" s="32"/>
      <c r="O52" s="406"/>
      <c r="P52" s="32"/>
      <c r="Q52" s="608"/>
      <c r="R52" s="1020"/>
      <c r="S52" s="651"/>
      <c r="T52" s="1020"/>
      <c r="U52" s="1002"/>
      <c r="V52" s="1002"/>
      <c r="W52" s="1002"/>
      <c r="X52" s="1002"/>
      <c r="Y52" s="1002"/>
      <c r="Z52" s="1002"/>
      <c r="AA52" s="1003"/>
    </row>
    <row r="53" spans="2:29" s="19" customFormat="1" ht="36" hidden="1" customHeight="1" thickBot="1" x14ac:dyDescent="0.25">
      <c r="B53" s="168"/>
      <c r="C53" s="26"/>
      <c r="D53" s="27"/>
      <c r="E53" s="28"/>
      <c r="F53" s="29"/>
      <c r="G53" s="30"/>
      <c r="H53" s="29"/>
      <c r="I53" s="31"/>
      <c r="J53" s="32"/>
      <c r="K53" s="32"/>
      <c r="L53" s="1148"/>
      <c r="M53" s="169"/>
      <c r="N53" s="32"/>
      <c r="O53" s="406"/>
      <c r="P53" s="32"/>
      <c r="Q53" s="608"/>
      <c r="R53" s="995"/>
      <c r="S53" s="651"/>
      <c r="T53" s="995"/>
      <c r="U53" s="1002"/>
      <c r="V53" s="1002"/>
      <c r="W53" s="1002"/>
      <c r="X53" s="1002"/>
      <c r="Y53" s="1002"/>
      <c r="Z53" s="1002"/>
      <c r="AA53" s="1003"/>
    </row>
    <row r="54" spans="2:29" s="19" customFormat="1" ht="125.25" hidden="1" customHeight="1" thickBot="1" x14ac:dyDescent="0.25">
      <c r="B54" s="168"/>
      <c r="C54" s="26"/>
      <c r="D54" s="27"/>
      <c r="E54" s="28"/>
      <c r="F54" s="29"/>
      <c r="G54" s="30"/>
      <c r="H54" s="29"/>
      <c r="I54" s="31"/>
      <c r="J54" s="32"/>
      <c r="K54" s="32"/>
      <c r="L54" s="1016"/>
      <c r="M54" s="169"/>
      <c r="N54" s="32"/>
      <c r="O54" s="406"/>
      <c r="P54" s="32"/>
      <c r="Q54" s="608"/>
      <c r="R54" s="996"/>
      <c r="S54" s="651"/>
      <c r="T54" s="996"/>
      <c r="U54" s="1002"/>
      <c r="V54" s="1002"/>
      <c r="W54" s="1002"/>
      <c r="X54" s="1002"/>
      <c r="Y54" s="1002"/>
      <c r="Z54" s="1002"/>
      <c r="AA54" s="1003"/>
    </row>
    <row r="55" spans="2:29" s="19" customFormat="1" ht="51" hidden="1" customHeight="1" thickBot="1" x14ac:dyDescent="0.25">
      <c r="B55" s="168"/>
      <c r="C55" s="26"/>
      <c r="D55" s="27"/>
      <c r="E55" s="28"/>
      <c r="F55" s="29"/>
      <c r="G55" s="30"/>
      <c r="H55" s="29"/>
      <c r="I55" s="31"/>
      <c r="J55" s="32"/>
      <c r="K55" s="32"/>
      <c r="L55" s="999"/>
      <c r="M55" s="169"/>
      <c r="N55" s="32"/>
      <c r="O55" s="406"/>
      <c r="P55" s="32"/>
      <c r="Q55" s="608"/>
      <c r="R55" s="996"/>
      <c r="S55" s="651"/>
      <c r="T55" s="1020"/>
      <c r="U55" s="1002"/>
      <c r="V55" s="1002"/>
      <c r="W55" s="1002"/>
      <c r="X55" s="1002"/>
      <c r="Y55" s="1002"/>
      <c r="Z55" s="1002"/>
      <c r="AA55" s="1003"/>
    </row>
    <row r="56" spans="2:29" s="19" customFormat="1" ht="26.25" hidden="1" thickBot="1" x14ac:dyDescent="0.25">
      <c r="B56" s="168"/>
      <c r="C56" s="26"/>
      <c r="D56" s="27"/>
      <c r="E56" s="28"/>
      <c r="F56" s="29"/>
      <c r="G56" s="30"/>
      <c r="H56" s="29"/>
      <c r="I56" s="31"/>
      <c r="J56" s="32"/>
      <c r="K56" s="32"/>
      <c r="L56" s="464"/>
      <c r="M56" s="169"/>
      <c r="N56" s="32"/>
      <c r="O56" s="406"/>
      <c r="P56" s="32"/>
      <c r="Q56" s="608"/>
      <c r="R56" s="862"/>
      <c r="S56" s="865"/>
      <c r="T56" s="866"/>
      <c r="U56" s="1002"/>
      <c r="V56" s="1002"/>
      <c r="W56" s="1002"/>
      <c r="X56" s="1002"/>
      <c r="Y56" s="1002"/>
      <c r="Z56" s="1002"/>
      <c r="AA56" s="1003"/>
    </row>
    <row r="57" spans="2:29" s="19" customFormat="1" ht="102" hidden="1" customHeight="1" x14ac:dyDescent="0.2">
      <c r="B57" s="168"/>
      <c r="C57" s="580"/>
      <c r="D57" s="27"/>
      <c r="E57" s="28"/>
      <c r="F57" s="29"/>
      <c r="G57" s="30"/>
      <c r="H57" s="29"/>
      <c r="I57" s="31"/>
      <c r="J57" s="32"/>
      <c r="K57" s="32"/>
      <c r="L57" s="799"/>
      <c r="M57" s="169"/>
      <c r="N57" s="32"/>
      <c r="O57" s="406"/>
      <c r="P57" s="32"/>
      <c r="Q57" s="608"/>
      <c r="R57" s="858"/>
      <c r="S57" s="800"/>
      <c r="T57" s="859"/>
      <c r="U57" s="1002"/>
      <c r="V57" s="1002"/>
      <c r="W57" s="1002"/>
      <c r="X57" s="1002"/>
      <c r="Y57" s="1002"/>
      <c r="Z57" s="1002"/>
      <c r="AA57" s="1003"/>
    </row>
    <row r="58" spans="2:29" s="19" customFormat="1" ht="35.25" hidden="1" customHeight="1" x14ac:dyDescent="0.2">
      <c r="B58" s="168"/>
      <c r="C58" s="26"/>
      <c r="D58" s="27"/>
      <c r="E58" s="28"/>
      <c r="F58" s="29"/>
      <c r="G58" s="30"/>
      <c r="H58" s="29"/>
      <c r="I58" s="31"/>
      <c r="J58" s="32"/>
      <c r="K58" s="32"/>
      <c r="L58" s="464"/>
      <c r="M58" s="169"/>
      <c r="N58" s="32"/>
      <c r="O58" s="406"/>
      <c r="P58" s="32"/>
      <c r="Q58" s="608"/>
      <c r="R58" s="860"/>
      <c r="S58" s="865"/>
      <c r="T58" s="867"/>
      <c r="U58" s="1002"/>
      <c r="V58" s="1002"/>
      <c r="W58" s="1002"/>
      <c r="X58" s="1002"/>
      <c r="Y58" s="1002"/>
      <c r="Z58" s="1002"/>
      <c r="AA58" s="1003"/>
    </row>
    <row r="59" spans="2:29" s="19" customFormat="1" ht="47.25" hidden="1" customHeight="1" x14ac:dyDescent="0.2">
      <c r="B59" s="168"/>
      <c r="C59" s="26"/>
      <c r="D59" s="27"/>
      <c r="E59" s="28"/>
      <c r="F59" s="29"/>
      <c r="G59" s="30"/>
      <c r="H59" s="29"/>
      <c r="I59" s="31"/>
      <c r="J59" s="32"/>
      <c r="K59" s="32"/>
      <c r="L59" s="464"/>
      <c r="M59" s="169"/>
      <c r="N59" s="32"/>
      <c r="O59" s="406"/>
      <c r="P59" s="32"/>
      <c r="Q59" s="608"/>
      <c r="R59" s="863"/>
      <c r="S59" s="865"/>
      <c r="T59" s="868"/>
      <c r="U59" s="1030"/>
      <c r="V59" s="1030"/>
      <c r="W59" s="1030"/>
      <c r="X59" s="1030"/>
      <c r="Y59" s="1030"/>
      <c r="Z59" s="1030"/>
      <c r="AA59" s="1031"/>
    </row>
    <row r="60" spans="2:29" s="19" customFormat="1" ht="21" hidden="1" customHeight="1" thickBot="1" x14ac:dyDescent="0.25">
      <c r="B60" s="168"/>
      <c r="C60" s="26"/>
      <c r="D60" s="27"/>
      <c r="E60" s="28"/>
      <c r="F60" s="29"/>
      <c r="G60" s="30"/>
      <c r="H60" s="29"/>
      <c r="I60" s="31"/>
      <c r="J60" s="32"/>
      <c r="K60" s="32"/>
      <c r="L60" s="464"/>
      <c r="M60" s="169"/>
      <c r="N60" s="32"/>
      <c r="O60" s="406"/>
      <c r="P60" s="32"/>
      <c r="Q60" s="608"/>
      <c r="R60" s="864"/>
      <c r="S60" s="865"/>
      <c r="T60" s="869"/>
      <c r="U60" s="1190"/>
      <c r="V60" s="1190"/>
      <c r="W60" s="1190"/>
      <c r="X60" s="1190"/>
      <c r="Y60" s="1190"/>
      <c r="Z60" s="1190"/>
      <c r="AA60" s="1191"/>
    </row>
    <row r="61" spans="2:29" s="19" customFormat="1" ht="60.75" customHeight="1" thickBot="1" x14ac:dyDescent="0.25">
      <c r="B61" s="240" t="s">
        <v>3</v>
      </c>
      <c r="C61" s="241"/>
      <c r="D61" s="242">
        <f>SUM(D4:D59)</f>
        <v>0</v>
      </c>
      <c r="E61" s="243">
        <f>AVERAGE(E4:E60)</f>
        <v>0</v>
      </c>
      <c r="F61" s="582">
        <f>SUM(F4:F60)</f>
        <v>0</v>
      </c>
      <c r="G61" s="242">
        <f>SUM(G4:G60)</f>
        <v>0</v>
      </c>
      <c r="H61" s="244">
        <f>SUM(H4:H60)</f>
        <v>0</v>
      </c>
      <c r="I61" s="245">
        <f>SUM(I4:I60)</f>
        <v>0</v>
      </c>
      <c r="J61" s="245" t="e">
        <f>G61/(K61/60)</f>
        <v>#DIV/0!</v>
      </c>
      <c r="K61" s="242">
        <f>SUM(K4:K60)</f>
        <v>0</v>
      </c>
      <c r="L61" s="466">
        <f>SUM(L4:L60)</f>
        <v>0</v>
      </c>
      <c r="M61" s="246">
        <f>AVERAGE(M4:M60)</f>
        <v>0</v>
      </c>
      <c r="N61" s="242">
        <f>SUM(N4:N60)</f>
        <v>0</v>
      </c>
      <c r="O61" s="245">
        <f>SUM(O4:O60)</f>
        <v>0</v>
      </c>
      <c r="P61" s="245">
        <f>SUM(P4:P60)</f>
        <v>0</v>
      </c>
      <c r="Q61" s="292" t="e">
        <f>(F61-H61)/F61</f>
        <v>#DIV/0!</v>
      </c>
      <c r="R61" s="861" t="e">
        <f>($G61)/(($L61/60)*AC$3*(1/24))</f>
        <v>#DIV/0!</v>
      </c>
      <c r="S61" s="556" t="e">
        <f>(G61)*24/((K61)/60)/$AC$3</f>
        <v>#DIV/0!</v>
      </c>
      <c r="T61" s="559" t="e">
        <f>(0-((N61)-[2]Oct!$H$71-[2]Oct!$I$71-[2]Oct!$J$71-[2]Oct!$K$71-[2]Oct!$L$71-[2]Oct!$M$71-[2]Oct!$N$71-[2]Oct!$Z$71-[2]Oct!$AA$71-[2]Oct!$AB$71-[2]Oct!$AC$71))/0</f>
        <v>#DIV/0!</v>
      </c>
      <c r="U61" s="1033"/>
      <c r="V61" s="1033"/>
      <c r="W61" s="1033"/>
      <c r="X61" s="1033"/>
      <c r="Y61" s="1033"/>
      <c r="Z61" s="1033"/>
      <c r="AA61" s="1034"/>
    </row>
    <row r="62" spans="2:29" s="784" customFormat="1" ht="65.099999999999994" customHeight="1" thickTop="1" x14ac:dyDescent="0.2">
      <c r="B62" s="785" t="s">
        <v>861</v>
      </c>
      <c r="C62" s="786"/>
      <c r="D62" s="787"/>
      <c r="E62" s="788"/>
      <c r="F62" s="789"/>
      <c r="G62" s="787"/>
      <c r="H62" s="789"/>
      <c r="I62" s="790"/>
      <c r="J62" s="790">
        <v>350</v>
      </c>
      <c r="K62" s="787"/>
      <c r="L62" s="787"/>
      <c r="M62" s="791"/>
      <c r="N62" s="787"/>
      <c r="O62" s="792"/>
      <c r="P62" s="793"/>
      <c r="Q62" s="794">
        <v>1.7999999999999999E-2</v>
      </c>
      <c r="R62" s="795">
        <v>0.56000000000000005</v>
      </c>
      <c r="S62" s="795">
        <v>0.66</v>
      </c>
      <c r="T62" s="796">
        <v>0.8</v>
      </c>
      <c r="U62" s="797"/>
      <c r="V62" s="797"/>
      <c r="W62" s="797"/>
      <c r="X62" s="797"/>
      <c r="Y62" s="797"/>
      <c r="Z62" s="797"/>
      <c r="AA62" s="797"/>
    </row>
    <row r="63" spans="2:29" s="271" customFormat="1" ht="58.5" customHeight="1" x14ac:dyDescent="0.3">
      <c r="B63" s="609"/>
      <c r="C63" s="609"/>
      <c r="D63" s="610"/>
      <c r="E63" s="611"/>
      <c r="F63" s="612"/>
      <c r="G63" s="610"/>
      <c r="H63" s="612"/>
      <c r="I63" s="613"/>
      <c r="J63" s="613"/>
      <c r="K63" s="610"/>
      <c r="L63" s="610"/>
      <c r="M63" s="614"/>
      <c r="N63" s="610"/>
      <c r="O63" s="615"/>
      <c r="P63" s="613"/>
      <c r="Q63" s="616"/>
      <c r="R63" s="607"/>
      <c r="S63" s="607"/>
      <c r="T63" s="617"/>
      <c r="U63" s="270"/>
      <c r="V63" s="270"/>
      <c r="W63" s="270"/>
      <c r="X63" s="270"/>
      <c r="Y63" s="270"/>
      <c r="Z63" s="270"/>
      <c r="AA63" s="270"/>
    </row>
    <row r="64" spans="2:29" s="484" customFormat="1" ht="20.25" hidden="1" x14ac:dyDescent="0.3">
      <c r="B64" s="467"/>
      <c r="C64" s="485"/>
      <c r="D64" s="486"/>
      <c r="E64" s="487"/>
      <c r="F64" s="488"/>
      <c r="G64" s="467"/>
      <c r="H64" s="467"/>
      <c r="I64" s="271"/>
      <c r="J64" s="271"/>
      <c r="K64" s="271"/>
      <c r="L64" s="271"/>
      <c r="M64" s="271"/>
      <c r="N64" s="271"/>
      <c r="O64" s="468"/>
      <c r="P64" s="467"/>
      <c r="Q64" s="467"/>
      <c r="R64" s="271"/>
      <c r="S64" s="271"/>
      <c r="T64" s="617"/>
      <c r="U64" s="270"/>
      <c r="V64" s="270"/>
      <c r="W64" s="270"/>
      <c r="X64" s="270"/>
      <c r="Y64" s="270"/>
      <c r="Z64" s="270"/>
      <c r="AA64" s="270"/>
      <c r="AB64" s="467"/>
      <c r="AC64" s="467"/>
    </row>
    <row r="65" spans="2:21" s="467" customFormat="1" ht="90.75" hidden="1" thickBot="1" x14ac:dyDescent="0.35">
      <c r="C65" s="587" t="s">
        <v>375</v>
      </c>
      <c r="D65" s="588" t="s">
        <v>376</v>
      </c>
      <c r="E65" s="588" t="s">
        <v>377</v>
      </c>
      <c r="F65" s="589" t="s">
        <v>378</v>
      </c>
      <c r="I65" s="271"/>
      <c r="J65" s="271"/>
      <c r="K65" s="271"/>
      <c r="L65" s="271"/>
      <c r="M65" s="271"/>
      <c r="N65" s="271"/>
      <c r="O65" s="563"/>
      <c r="R65" s="271"/>
      <c r="S65" s="271"/>
      <c r="T65" s="271"/>
    </row>
    <row r="66" spans="2:21" s="467" customFormat="1" ht="33" hidden="1" customHeight="1" x14ac:dyDescent="0.4">
      <c r="C66" s="516" t="s">
        <v>370</v>
      </c>
      <c r="D66" s="603"/>
      <c r="E66" s="536"/>
      <c r="F66" s="592"/>
      <c r="I66" s="271"/>
      <c r="J66" s="567"/>
      <c r="K66" s="271"/>
      <c r="L66" s="271"/>
      <c r="M66" s="271"/>
      <c r="N66" s="271"/>
      <c r="O66" s="468"/>
      <c r="R66" s="271"/>
      <c r="S66" s="271"/>
      <c r="T66" s="271"/>
    </row>
    <row r="67" spans="2:21" s="467" customFormat="1" ht="33" hidden="1" customHeight="1" x14ac:dyDescent="0.4">
      <c r="C67" s="517" t="s">
        <v>371</v>
      </c>
      <c r="D67" s="603"/>
      <c r="E67" s="536"/>
      <c r="F67" s="593"/>
      <c r="I67" s="271"/>
      <c r="J67" s="567"/>
      <c r="K67" s="271"/>
      <c r="L67" s="271"/>
      <c r="M67" s="271"/>
      <c r="N67" s="271"/>
      <c r="O67" s="468"/>
      <c r="R67" s="271"/>
      <c r="S67" s="271"/>
      <c r="T67" s="271"/>
    </row>
    <row r="68" spans="2:21" s="467" customFormat="1" ht="33" hidden="1" customHeight="1" x14ac:dyDescent="0.4">
      <c r="C68" s="518" t="s">
        <v>372</v>
      </c>
      <c r="D68" s="603"/>
      <c r="E68" s="536"/>
      <c r="F68" s="593"/>
      <c r="I68" s="271"/>
      <c r="J68" s="567"/>
      <c r="K68" s="271"/>
      <c r="L68" s="271"/>
      <c r="M68" s="271"/>
      <c r="N68" s="271"/>
      <c r="O68" s="468"/>
      <c r="R68" s="271"/>
      <c r="S68" s="271"/>
      <c r="T68" s="271"/>
    </row>
    <row r="69" spans="2:21" s="467" customFormat="1" ht="33" hidden="1" customHeight="1" x14ac:dyDescent="0.4">
      <c r="C69" s="517" t="s">
        <v>373</v>
      </c>
      <c r="D69" s="520"/>
      <c r="E69" s="536"/>
      <c r="F69" s="593"/>
      <c r="I69" s="271"/>
      <c r="J69" s="567"/>
      <c r="K69" s="271"/>
      <c r="L69" s="271"/>
      <c r="M69" s="271"/>
      <c r="N69" s="271"/>
      <c r="O69" s="468"/>
      <c r="R69" s="271"/>
      <c r="S69" s="271"/>
      <c r="T69" s="271"/>
    </row>
    <row r="70" spans="2:21" s="467" customFormat="1" ht="33" hidden="1" customHeight="1" x14ac:dyDescent="0.4">
      <c r="C70" s="518" t="s">
        <v>374</v>
      </c>
      <c r="D70" s="519"/>
      <c r="E70" s="536"/>
      <c r="F70" s="593"/>
      <c r="I70" s="271"/>
      <c r="J70" s="567"/>
      <c r="K70" s="271"/>
      <c r="L70" s="271"/>
      <c r="M70" s="271"/>
      <c r="N70" s="271"/>
      <c r="O70" s="468"/>
      <c r="R70" s="271"/>
      <c r="S70" s="271"/>
      <c r="T70" s="271"/>
    </row>
    <row r="71" spans="2:21" s="467" customFormat="1" ht="33" hidden="1" customHeight="1" x14ac:dyDescent="0.4">
      <c r="C71" s="521" t="s">
        <v>850</v>
      </c>
      <c r="D71" s="585"/>
      <c r="E71" s="536"/>
      <c r="F71" s="593"/>
      <c r="I71" s="271"/>
      <c r="J71" s="271"/>
      <c r="K71" s="271"/>
      <c r="L71" s="271"/>
      <c r="M71" s="271"/>
      <c r="N71" s="271"/>
      <c r="O71" s="468"/>
      <c r="R71" s="271"/>
      <c r="S71" s="271"/>
      <c r="T71" s="271"/>
    </row>
    <row r="72" spans="2:21" s="467" customFormat="1" ht="33" hidden="1" customHeight="1" x14ac:dyDescent="0.4">
      <c r="C72" s="518" t="s">
        <v>853</v>
      </c>
      <c r="D72" s="603"/>
      <c r="E72" s="536"/>
      <c r="F72" s="593"/>
      <c r="I72" s="271"/>
      <c r="J72" s="271"/>
      <c r="K72" s="271"/>
      <c r="L72" s="271"/>
      <c r="M72" s="271"/>
      <c r="N72" s="271"/>
      <c r="O72" s="468"/>
      <c r="R72" s="271"/>
      <c r="S72" s="271"/>
      <c r="T72" s="271"/>
    </row>
    <row r="73" spans="2:21" s="467" customFormat="1" ht="33" hidden="1" customHeight="1" x14ac:dyDescent="0.4">
      <c r="C73" s="590" t="s">
        <v>854</v>
      </c>
      <c r="D73" s="603"/>
      <c r="E73" s="536"/>
      <c r="F73" s="594"/>
      <c r="J73" s="271"/>
      <c r="K73" s="271"/>
      <c r="L73" s="271"/>
      <c r="M73" s="271"/>
      <c r="N73" s="271"/>
      <c r="O73" s="271"/>
      <c r="P73" s="468"/>
      <c r="R73" s="271"/>
      <c r="S73" s="271"/>
      <c r="U73" s="271"/>
    </row>
    <row r="74" spans="2:21" s="467" customFormat="1" ht="30.75" hidden="1" thickBot="1" x14ac:dyDescent="0.45">
      <c r="C74" s="590" t="s">
        <v>855</v>
      </c>
      <c r="D74" s="591"/>
      <c r="E74" s="536"/>
      <c r="F74" s="594"/>
      <c r="J74" s="271"/>
      <c r="K74" s="271"/>
      <c r="L74" s="271"/>
      <c r="M74" s="271"/>
      <c r="N74" s="271"/>
      <c r="O74" s="271"/>
      <c r="P74" s="468"/>
      <c r="R74" s="271"/>
      <c r="S74" s="271"/>
      <c r="U74" s="271"/>
    </row>
    <row r="75" spans="2:21" s="1" customFormat="1" ht="31.5" hidden="1" thickTop="1" thickBot="1" x14ac:dyDescent="0.45">
      <c r="C75" s="522" t="s">
        <v>379</v>
      </c>
      <c r="D75" s="523"/>
      <c r="E75" s="557"/>
      <c r="F75" s="595"/>
      <c r="G75" s="467"/>
      <c r="H75" s="467"/>
      <c r="J75" s="581"/>
      <c r="K75"/>
      <c r="L75"/>
      <c r="M75"/>
      <c r="N75"/>
      <c r="O75" s="392"/>
      <c r="P75" s="2"/>
      <c r="R75"/>
      <c r="S75"/>
      <c r="U75"/>
    </row>
    <row r="76" spans="2:21" s="1" customFormat="1" ht="23.25" x14ac:dyDescent="0.3">
      <c r="G76" s="470"/>
      <c r="H76" s="467"/>
      <c r="J76"/>
      <c r="K76"/>
      <c r="L76"/>
      <c r="M76"/>
      <c r="N76"/>
      <c r="O76" s="392"/>
      <c r="P76" s="2"/>
      <c r="R76"/>
      <c r="S76"/>
      <c r="U76"/>
    </row>
    <row r="77" spans="2:21" s="478" customFormat="1" ht="24.75" customHeight="1" x14ac:dyDescent="0.35">
      <c r="B77" s="489"/>
      <c r="C77" s="469" t="s">
        <v>849</v>
      </c>
      <c r="D77" s="818">
        <v>123950</v>
      </c>
      <c r="E77" s="1010" t="s">
        <v>710</v>
      </c>
      <c r="F77" s="1010"/>
      <c r="G77" s="470">
        <f>D77-G61</f>
        <v>123950</v>
      </c>
      <c r="H77" s="469" t="s">
        <v>327</v>
      </c>
      <c r="I77" s="471">
        <f>G61/D77</f>
        <v>0</v>
      </c>
      <c r="J77" s="472">
        <v>0</v>
      </c>
      <c r="K77" s="473"/>
      <c r="L77" s="473"/>
      <c r="M77" s="473"/>
      <c r="N77" s="473"/>
      <c r="O77" s="473"/>
      <c r="P77" s="490"/>
      <c r="Q77" s="491"/>
      <c r="R77" s="492"/>
      <c r="S77" s="493"/>
      <c r="T77" s="493"/>
      <c r="U77" s="494" t="s">
        <v>48</v>
      </c>
    </row>
    <row r="78" spans="2:21" s="478" customFormat="1" ht="23.25" x14ac:dyDescent="0.35">
      <c r="B78" s="489"/>
      <c r="C78" s="469" t="s">
        <v>37</v>
      </c>
      <c r="D78" s="470">
        <f>'September_26 '!D76+D77</f>
        <v>1102664</v>
      </c>
      <c r="E78" s="1010" t="s">
        <v>36</v>
      </c>
      <c r="F78" s="1010"/>
      <c r="G78" s="470">
        <f>'September_26 '!G76+G61</f>
        <v>1009764</v>
      </c>
      <c r="H78" s="469" t="s">
        <v>326</v>
      </c>
      <c r="I78" s="474">
        <v>0</v>
      </c>
      <c r="J78" s="472"/>
      <c r="K78" s="473">
        <v>0</v>
      </c>
      <c r="L78" s="473"/>
      <c r="M78" s="473"/>
      <c r="N78" s="473"/>
      <c r="O78" s="473"/>
      <c r="P78" s="490"/>
      <c r="Q78" s="491"/>
      <c r="R78" s="492"/>
      <c r="S78" s="493"/>
      <c r="T78" s="493"/>
      <c r="U78" s="494"/>
    </row>
    <row r="79" spans="2:21" ht="24" thickBot="1" x14ac:dyDescent="0.4">
      <c r="C79" s="475"/>
      <c r="D79" s="470"/>
      <c r="E79" s="1010"/>
      <c r="F79" s="1010"/>
      <c r="G79" s="470"/>
      <c r="H79" s="476"/>
      <c r="I79" s="476"/>
      <c r="J79" s="477"/>
      <c r="K79" s="478"/>
      <c r="P79"/>
      <c r="U79" s="17"/>
    </row>
    <row r="80" spans="2:21" ht="109.5" thickTop="1" thickBot="1" x14ac:dyDescent="0.25">
      <c r="B80" s="7"/>
      <c r="C80" s="495" t="s">
        <v>19</v>
      </c>
      <c r="D80" s="496" t="s">
        <v>14</v>
      </c>
      <c r="E80" s="496" t="s">
        <v>23</v>
      </c>
      <c r="F80" s="496" t="s">
        <v>24</v>
      </c>
      <c r="G80" s="497" t="s">
        <v>15</v>
      </c>
      <c r="H80" s="496" t="s">
        <v>17</v>
      </c>
      <c r="I80" s="496" t="s">
        <v>16</v>
      </c>
      <c r="J80" s="498" t="s">
        <v>600</v>
      </c>
      <c r="K80" s="499" t="s">
        <v>599</v>
      </c>
      <c r="L80" s="473"/>
      <c r="M80" s="535"/>
      <c r="P80" s="459"/>
      <c r="Q80" s="537" t="s">
        <v>325</v>
      </c>
      <c r="R80" s="538" t="s">
        <v>467</v>
      </c>
      <c r="S80" s="539" t="s">
        <v>324</v>
      </c>
      <c r="T80" s="524" t="s">
        <v>576</v>
      </c>
    </row>
    <row r="81" spans="2:26" ht="36" customHeight="1" thickBot="1" x14ac:dyDescent="0.45">
      <c r="B81" s="8"/>
      <c r="C81" s="500">
        <v>1</v>
      </c>
      <c r="D81" s="501" t="s">
        <v>20</v>
      </c>
      <c r="E81" s="502"/>
      <c r="F81" s="502"/>
      <c r="G81" s="502">
        <f>SUM(F6,F9:F11,F14:F17,F26:F27,F32:F41,F44:F46,F48:F49,F52:F54)</f>
        <v>0</v>
      </c>
      <c r="H81" s="502">
        <f>SUM(H6,H9:H11,H14:H17,H26:H27,H32:H41,H44:H46,H48:H49,H52:H54)</f>
        <v>0</v>
      </c>
      <c r="I81" s="552" t="e">
        <f>(G81-H81)/G81</f>
        <v>#DIV/0!</v>
      </c>
      <c r="J81" s="543" t="e">
        <f t="shared" ref="J81:J87" si="0">(E81)*24/(F81/60)/17000</f>
        <v>#DIV/0!</v>
      </c>
      <c r="K81" s="544" t="e">
        <f>AVERAGE(January_26!K111,February_26!J68,March_26!J66,April_26!J67,May_26!J68,June_26!J61,July_26!J82,,August_26!J76,J81)</f>
        <v>#DIV/0!</v>
      </c>
      <c r="L81" s="473"/>
      <c r="P81"/>
      <c r="Q81" s="540">
        <f>S92</f>
        <v>1.8939536839923013E-2</v>
      </c>
      <c r="R81" s="558" t="e">
        <f>(((January_26!R103*January_26!G103))+(February_26!R60*(February_26!G60))+(March_26!R58*(March_26!G58))+(April_26!R57*(April_26!$G$57))+(May_26!R59*(May_26!G59))+(June_26!R52*(June_26!G52))+(July_26!R61*(July_26!G61))+(August_26!R56*(August_26!G56))+('September_26 '!R59*('September_26 '!G59))+(October_26!R61*(October_26!G61)))/G78</f>
        <v>#DIV/0!</v>
      </c>
      <c r="S81" s="558">
        <f>S91</f>
        <v>0.5124618083725887</v>
      </c>
      <c r="T81" s="568" t="e">
        <f>AVERAGE(January_26!T103,February_26!T60,March_26!T58,April_26!T57,May_26!T59,June_26!T52,July_26!T61,August_26!T56,'September_26 '!T59,T61)</f>
        <v>#DIV/0!</v>
      </c>
    </row>
    <row r="82" spans="2:26" s="1" customFormat="1" ht="27.75" x14ac:dyDescent="0.4">
      <c r="B82" s="8"/>
      <c r="C82" s="505">
        <v>2</v>
      </c>
      <c r="D82" s="506" t="s">
        <v>21</v>
      </c>
      <c r="E82" s="502"/>
      <c r="F82" s="502"/>
      <c r="G82" s="502">
        <f>SUM(F18:F19,F42:F43,F47)</f>
        <v>0</v>
      </c>
      <c r="H82" s="502">
        <f>SUM(H18:H19,H42:H43,H47)</f>
        <v>0</v>
      </c>
      <c r="I82" s="552" t="e">
        <f t="shared" ref="I82:I87" si="1">(G82-H82)/G82</f>
        <v>#DIV/0!</v>
      </c>
      <c r="J82" s="543" t="e">
        <f t="shared" si="0"/>
        <v>#DIV/0!</v>
      </c>
      <c r="K82" s="544" t="e">
        <f>AVERAGE(January_26!K112,February_26!J69,March_26!J67,April_26!J68,May_26!J69,June_26!J62,July_26!J83,,August_26!J77,'September_26 '!K80,J82)</f>
        <v>#DIV/0!</v>
      </c>
      <c r="L82" s="473"/>
      <c r="M82"/>
      <c r="N82" s="461"/>
      <c r="O82" s="392"/>
      <c r="P82" s="2"/>
      <c r="R82"/>
      <c r="S82"/>
      <c r="U82"/>
      <c r="Z82"/>
    </row>
    <row r="83" spans="2:26" s="1" customFormat="1" ht="27.75" x14ac:dyDescent="0.4">
      <c r="B83" s="8"/>
      <c r="C83" s="500">
        <v>3</v>
      </c>
      <c r="D83" s="506" t="s">
        <v>846</v>
      </c>
      <c r="E83" s="502"/>
      <c r="F83" s="502"/>
      <c r="G83" s="502"/>
      <c r="H83" s="502"/>
      <c r="I83" s="552" t="e">
        <f t="shared" si="1"/>
        <v>#DIV/0!</v>
      </c>
      <c r="J83" s="543" t="e">
        <f t="shared" si="0"/>
        <v>#DIV/0!</v>
      </c>
      <c r="K83" s="544" t="e">
        <f>AVERAGE(January_26!K113,February_26!J70,March_26!J68,April_26!J69,May_26!J70,June_26!J63,July_26!J84,,August_26!J78,J83)</f>
        <v>#DIV/0!</v>
      </c>
      <c r="L83" s="473"/>
      <c r="M83"/>
      <c r="N83"/>
      <c r="O83" s="392"/>
      <c r="P83" s="2"/>
      <c r="R83"/>
      <c r="S83"/>
      <c r="U83"/>
      <c r="Z83"/>
    </row>
    <row r="84" spans="2:26" s="1" customFormat="1" ht="27.75" x14ac:dyDescent="0.4">
      <c r="B84" s="8"/>
      <c r="C84" s="505">
        <v>4</v>
      </c>
      <c r="D84" s="506" t="s">
        <v>18</v>
      </c>
      <c r="E84" s="510"/>
      <c r="F84" s="510"/>
      <c r="G84" s="510">
        <f>SUM(F8,F50:F51,)</f>
        <v>0</v>
      </c>
      <c r="H84" s="510">
        <f>SUM(H8,H50:H51,)</f>
        <v>0</v>
      </c>
      <c r="I84" s="552" t="e">
        <f t="shared" si="1"/>
        <v>#DIV/0!</v>
      </c>
      <c r="J84" s="543" t="e">
        <f t="shared" si="0"/>
        <v>#DIV/0!</v>
      </c>
      <c r="K84" s="544" t="e">
        <f>AVERAGE(January_26!K114,February_26!J71,March_26!J69,April_26!J70,May_26!J71,June_26!J64,July_26!J85,,August_26!J79,J84)</f>
        <v>#DIV/0!</v>
      </c>
      <c r="L84" s="473"/>
      <c r="M84"/>
      <c r="N84"/>
      <c r="O84" s="392"/>
      <c r="P84" s="2"/>
      <c r="Q84" s="159"/>
      <c r="R84" s="160"/>
      <c r="S84" s="161"/>
      <c r="T84" s="234"/>
      <c r="U84"/>
    </row>
    <row r="85" spans="2:26" s="1" customFormat="1" ht="27.75" x14ac:dyDescent="0.4">
      <c r="B85" s="8"/>
      <c r="C85" s="500">
        <v>5</v>
      </c>
      <c r="D85" s="509" t="s">
        <v>26</v>
      </c>
      <c r="E85" s="510"/>
      <c r="F85" s="510"/>
      <c r="G85" s="510">
        <f>SUM(F4,F12:F13,F55)</f>
        <v>0</v>
      </c>
      <c r="H85" s="510">
        <f>SUM(H4,H12:H13,H55)</f>
        <v>0</v>
      </c>
      <c r="I85" s="552" t="e">
        <f t="shared" si="1"/>
        <v>#DIV/0!</v>
      </c>
      <c r="J85" s="543" t="e">
        <f t="shared" si="0"/>
        <v>#DIV/0!</v>
      </c>
      <c r="K85" s="544" t="e">
        <f>AVERAGE(January_26!K115,February_26!J72,March_26!J70,April_26!J71,May_26!J72,June_26!J65,July_26!J86,,August_26!J80,J85)</f>
        <v>#DIV/0!</v>
      </c>
      <c r="L85" s="473"/>
      <c r="M85"/>
      <c r="O85" s="392"/>
      <c r="P85" s="2"/>
      <c r="Q85" s="159"/>
      <c r="R85"/>
      <c r="S85" s="6"/>
      <c r="T85" s="10"/>
      <c r="U85"/>
    </row>
    <row r="86" spans="2:26" s="1" customFormat="1" ht="27.75" x14ac:dyDescent="0.4">
      <c r="B86" s="8"/>
      <c r="C86" s="505">
        <v>6</v>
      </c>
      <c r="D86" s="506" t="s">
        <v>25</v>
      </c>
      <c r="E86" s="510"/>
      <c r="F86" s="510"/>
      <c r="G86" s="510">
        <f>SUM(F20:F25)</f>
        <v>0</v>
      </c>
      <c r="H86" s="510">
        <f>SUM(H20:H25)</f>
        <v>0</v>
      </c>
      <c r="I86" s="552" t="e">
        <f t="shared" si="1"/>
        <v>#DIV/0!</v>
      </c>
      <c r="J86" s="543" t="e">
        <f t="shared" si="0"/>
        <v>#DIV/0!</v>
      </c>
      <c r="K86" s="544" t="e">
        <f>AVERAGE(January_26!K116,February_26!J73,March_26!J71,April_26!J72,May_26!J73,June_26!J66,July_26!J87,,August_26!J81,J86)</f>
        <v>#DIV/0!</v>
      </c>
      <c r="L86" s="473"/>
      <c r="M86"/>
      <c r="N86"/>
      <c r="O86" s="392"/>
      <c r="P86" s="2"/>
      <c r="Q86" s="159"/>
      <c r="R86" s="465"/>
      <c r="S86" s="139"/>
      <c r="U86"/>
    </row>
    <row r="87" spans="2:26" s="1" customFormat="1" ht="28.5" thickBot="1" x14ac:dyDescent="0.45">
      <c r="B87" s="8"/>
      <c r="C87" s="526">
        <v>7</v>
      </c>
      <c r="D87" s="509" t="s">
        <v>847</v>
      </c>
      <c r="E87" s="510"/>
      <c r="F87" s="510"/>
      <c r="G87" s="510">
        <f>SUM(F28:F31)</f>
        <v>0</v>
      </c>
      <c r="H87" s="510">
        <f>SUM(H28:H31)</f>
        <v>0</v>
      </c>
      <c r="I87" s="552" t="e">
        <f t="shared" si="1"/>
        <v>#DIV/0!</v>
      </c>
      <c r="J87" s="543" t="e">
        <f t="shared" si="0"/>
        <v>#DIV/0!</v>
      </c>
      <c r="K87" s="544" t="e">
        <f>AVERAGE(January_26!K117,February_26!J74,March_26!J72,April_26!J73,May_26!J74,June_26!J67,July_26!J88,,August_26!J82,J87)</f>
        <v>#DIV/0!</v>
      </c>
      <c r="L87" s="473"/>
      <c r="M87"/>
      <c r="N87"/>
      <c r="O87" s="392"/>
      <c r="P87" s="2"/>
      <c r="Q87" s="159"/>
      <c r="R87" s="465"/>
      <c r="S87" s="139"/>
      <c r="U87"/>
    </row>
    <row r="88" spans="2:26" s="1" customFormat="1" ht="28.5" thickBot="1" x14ac:dyDescent="0.45">
      <c r="C88" s="511"/>
      <c r="D88" s="512" t="s">
        <v>22</v>
      </c>
      <c r="E88" s="513">
        <f>SUM(E81:E87)</f>
        <v>0</v>
      </c>
      <c r="F88" s="513">
        <f>SUM(F81:F87)</f>
        <v>0</v>
      </c>
      <c r="G88" s="513">
        <f>SUM(G81:G87)</f>
        <v>0</v>
      </c>
      <c r="H88" s="513">
        <f>SUM(H81:H87)</f>
        <v>0</v>
      </c>
      <c r="I88" s="551" t="e">
        <f>((G88)-(H88))/(G88)</f>
        <v>#DIV/0!</v>
      </c>
      <c r="J88" s="514" t="e">
        <f>E88*24/((F88)/60)/17000</f>
        <v>#DIV/0!</v>
      </c>
      <c r="K88" s="515">
        <f>S81</f>
        <v>0.5124618083725887</v>
      </c>
      <c r="L88" s="473"/>
      <c r="M88"/>
      <c r="N88"/>
      <c r="O88" s="392"/>
      <c r="P88" s="139" t="s">
        <v>845</v>
      </c>
      <c r="Q88" s="159"/>
      <c r="R88"/>
      <c r="S88" s="465"/>
      <c r="U88"/>
    </row>
    <row r="89" spans="2:26" s="1" customFormat="1" ht="24.75" thickTop="1" thickBot="1" x14ac:dyDescent="0.4">
      <c r="C89" s="479"/>
      <c r="D89" s="469"/>
      <c r="E89" s="480"/>
      <c r="F89" s="481"/>
      <c r="G89" s="482"/>
      <c r="H89" s="482"/>
      <c r="I89" s="483"/>
      <c r="J89" s="483"/>
      <c r="K89" s="483"/>
      <c r="L89" s="473"/>
      <c r="M89"/>
      <c r="N89"/>
      <c r="O89" s="392"/>
      <c r="P89" s="139"/>
      <c r="Q89" s="159"/>
      <c r="R89"/>
      <c r="S89"/>
      <c r="U89"/>
      <c r="V89" s="316"/>
      <c r="W89" s="317"/>
      <c r="X89" s="317"/>
      <c r="Y89" s="317"/>
    </row>
    <row r="90" spans="2:26" s="1" customFormat="1" ht="27.75" customHeight="1" thickBot="1" x14ac:dyDescent="0.4">
      <c r="C90" s="528"/>
      <c r="D90" s="528"/>
      <c r="E90" s="528"/>
      <c r="F90" s="528" t="s">
        <v>963</v>
      </c>
      <c r="G90" s="532">
        <f>SUM(F8)</f>
        <v>0</v>
      </c>
      <c r="H90" s="532">
        <f>SUM(H8)</f>
        <v>0</v>
      </c>
      <c r="I90" s="870" t="e">
        <f t="shared" ref="I90:I93" si="2">(G90-H90)/G90</f>
        <v>#DIV/0!</v>
      </c>
      <c r="J90" s="529"/>
      <c r="K90" s="529"/>
      <c r="L90" s="529"/>
      <c r="M90" s="529"/>
      <c r="N90" s="529"/>
      <c r="O90" s="570"/>
      <c r="P90" s="571"/>
      <c r="Q90" s="572"/>
      <c r="R90" s="573"/>
      <c r="S90" s="574">
        <f>($P$91)*24/($Q$91/60)/17000</f>
        <v>0.5124618083725887</v>
      </c>
      <c r="T90" s="575"/>
      <c r="U90" s="9"/>
    </row>
    <row r="91" spans="2:26" s="1" customFormat="1" ht="30" customHeight="1" thickTop="1" thickBot="1" x14ac:dyDescent="0.4">
      <c r="C91" s="528"/>
      <c r="D91" s="528"/>
      <c r="E91" s="528"/>
      <c r="F91" s="528" t="s">
        <v>960</v>
      </c>
      <c r="G91" s="532">
        <f>SUM(F50:F51)</f>
        <v>0</v>
      </c>
      <c r="H91" s="532">
        <f>SUM(H50:H51)</f>
        <v>0</v>
      </c>
      <c r="I91" s="870" t="e">
        <f t="shared" si="2"/>
        <v>#DIV/0!</v>
      </c>
      <c r="J91" s="529"/>
      <c r="K91" s="529"/>
      <c r="L91" s="529"/>
      <c r="M91" s="529"/>
      <c r="N91" s="529"/>
      <c r="O91" s="570"/>
      <c r="P91" s="571">
        <f>G78</f>
        <v>1009764</v>
      </c>
      <c r="Q91" s="576">
        <f>'September_26 '!K59+August_26!K56+July_26!K61+June_26!K52+May_26!K59+April_26!K57+March_26!K58+February_26!K60+January_26!K103+K61</f>
        <v>166906</v>
      </c>
      <c r="R91" s="573"/>
      <c r="S91" s="574">
        <f>($P$91)*24/($Q$91/60)/17000</f>
        <v>0.5124618083725887</v>
      </c>
      <c r="T91" s="575"/>
      <c r="U91" s="9"/>
    </row>
    <row r="92" spans="2:26" s="1" customFormat="1" ht="21" customHeight="1" thickTop="1" thickBot="1" x14ac:dyDescent="0.4">
      <c r="C92" s="528"/>
      <c r="D92" s="528"/>
      <c r="E92" s="528"/>
      <c r="F92" s="528" t="s">
        <v>961</v>
      </c>
      <c r="G92" s="532">
        <f>SUM(F6:F7,F14:F15,F26:F27,F36:F37,F44,F48:F49)</f>
        <v>0</v>
      </c>
      <c r="H92" s="532">
        <f>SUM(H6:H7,H14:H15,H26:H27,H36:H37,H44,H48:H49)</f>
        <v>0</v>
      </c>
      <c r="I92" s="870" t="e">
        <f t="shared" si="2"/>
        <v>#DIV/0!</v>
      </c>
      <c r="J92" s="529"/>
      <c r="K92" s="529"/>
      <c r="L92" s="529"/>
      <c r="M92" s="529"/>
      <c r="N92" s="529"/>
      <c r="O92" s="570"/>
      <c r="P92" s="571">
        <f>SUM(January_26!F103,February_26!F60,March_26!F58,April_26!F57,May_26!F59,June_26!F52,July_26!F61,August_26!F56,'September_26 '!F59,October_26!F61)</f>
        <v>68381.959440000006</v>
      </c>
      <c r="Q92" s="577">
        <f>'September_26 '!H59+August_26!H56+July_26!H61+June_26!H52+May_26!H59+April_26!H57+March_26!H58+February_26!H60+January_26!H103+H61</f>
        <v>67086.836800000005</v>
      </c>
      <c r="R92" s="573"/>
      <c r="S92" s="578">
        <f>(P92-Q92)/P92</f>
        <v>1.8939536839923013E-2</v>
      </c>
      <c r="T92" s="579"/>
      <c r="U92" s="9"/>
    </row>
    <row r="93" spans="2:26" s="1" customFormat="1" ht="21" customHeight="1" thickTop="1" x14ac:dyDescent="0.35">
      <c r="C93" s="528"/>
      <c r="D93" s="528"/>
      <c r="E93" s="528"/>
      <c r="F93" s="528" t="s">
        <v>962</v>
      </c>
      <c r="G93" s="532">
        <f>SUM(F9:F11,F16:F17,F32:F35,F38:F41,F45:F46,F52:F54)</f>
        <v>0</v>
      </c>
      <c r="H93" s="532">
        <f>SUM(H9:H11,H16:H17,H32:H35,H38:H41,H45:H46,H52:H54)</f>
        <v>0</v>
      </c>
      <c r="I93" s="870" t="e">
        <f t="shared" si="2"/>
        <v>#DIV/0!</v>
      </c>
      <c r="J93" s="529"/>
      <c r="K93" s="529"/>
      <c r="L93" s="529"/>
      <c r="M93" s="529"/>
      <c r="N93" s="529"/>
      <c r="O93" s="570"/>
      <c r="P93" s="2"/>
      <c r="Q93" s="572"/>
      <c r="R93" s="573"/>
      <c r="S93" s="573"/>
      <c r="T93" s="575"/>
      <c r="U93" s="9"/>
    </row>
    <row r="94" spans="2:26" s="1" customFormat="1" x14ac:dyDescent="0.2">
      <c r="J94"/>
      <c r="K94"/>
      <c r="L94"/>
      <c r="M94"/>
      <c r="N94"/>
      <c r="O94" s="392"/>
      <c r="R94"/>
      <c r="S94"/>
      <c r="U94"/>
    </row>
    <row r="95" spans="2:26" s="1" customFormat="1" x14ac:dyDescent="0.2">
      <c r="J95"/>
      <c r="K95"/>
      <c r="L95"/>
      <c r="M95"/>
      <c r="N95"/>
      <c r="O95" s="392"/>
      <c r="P95" s="2"/>
      <c r="R95"/>
      <c r="S95"/>
      <c r="U95"/>
    </row>
    <row r="96" spans="2:26" s="1" customFormat="1" x14ac:dyDescent="0.2">
      <c r="J96"/>
      <c r="K96"/>
      <c r="L96"/>
      <c r="M96"/>
      <c r="N96"/>
      <c r="O96" s="392"/>
      <c r="P96" s="2"/>
      <c r="R96"/>
      <c r="S96"/>
      <c r="U96"/>
    </row>
    <row r="97" spans="10:21" s="1" customFormat="1" x14ac:dyDescent="0.2">
      <c r="J97"/>
      <c r="K97"/>
      <c r="L97"/>
      <c r="M97"/>
      <c r="N97"/>
      <c r="O97" s="392"/>
      <c r="P97" s="2"/>
      <c r="R97"/>
      <c r="S97"/>
      <c r="U97"/>
    </row>
    <row r="98" spans="10:21" s="1" customFormat="1" x14ac:dyDescent="0.2">
      <c r="J98"/>
      <c r="K98"/>
      <c r="L98"/>
      <c r="M98"/>
      <c r="N98"/>
      <c r="O98" s="392"/>
      <c r="P98" s="2"/>
      <c r="R98"/>
      <c r="S98"/>
      <c r="U98"/>
    </row>
    <row r="99" spans="10:21" s="1" customFormat="1" x14ac:dyDescent="0.2">
      <c r="J99"/>
      <c r="K99"/>
      <c r="L99"/>
      <c r="M99"/>
      <c r="N99"/>
      <c r="O99" s="392"/>
      <c r="P99" s="2"/>
      <c r="R99"/>
      <c r="S99"/>
      <c r="U99"/>
    </row>
    <row r="100" spans="10:21" s="1" customFormat="1" x14ac:dyDescent="0.2">
      <c r="J100"/>
      <c r="K100"/>
      <c r="L100"/>
      <c r="M100"/>
      <c r="N100"/>
      <c r="O100" s="392"/>
      <c r="P100" s="2"/>
      <c r="R100"/>
      <c r="S100"/>
      <c r="U100"/>
    </row>
    <row r="101" spans="10:21" s="1" customFormat="1" x14ac:dyDescent="0.2">
      <c r="J101"/>
      <c r="K101"/>
      <c r="L101"/>
      <c r="M101"/>
      <c r="N101"/>
      <c r="O101" s="392"/>
      <c r="P101" s="2"/>
      <c r="R101"/>
      <c r="S101"/>
      <c r="U101"/>
    </row>
    <row r="102" spans="10:21" s="1" customFormat="1" x14ac:dyDescent="0.2">
      <c r="J102"/>
      <c r="K102"/>
      <c r="L102"/>
      <c r="M102"/>
      <c r="N102"/>
      <c r="O102" s="392"/>
      <c r="P102" s="2"/>
      <c r="R102"/>
      <c r="S102"/>
      <c r="U102"/>
    </row>
    <row r="103" spans="10:21" s="1" customFormat="1" x14ac:dyDescent="0.2">
      <c r="J103"/>
      <c r="K103"/>
      <c r="L103"/>
      <c r="M103"/>
      <c r="N103"/>
      <c r="O103" s="392"/>
      <c r="P103" s="2"/>
      <c r="R103"/>
      <c r="S103"/>
      <c r="U103"/>
    </row>
    <row r="104" spans="10:21" s="1" customFormat="1" x14ac:dyDescent="0.2">
      <c r="J104"/>
      <c r="K104"/>
      <c r="L104"/>
      <c r="M104"/>
      <c r="N104"/>
      <c r="O104" s="392"/>
      <c r="P104" s="2"/>
      <c r="R104"/>
      <c r="S104"/>
      <c r="U104"/>
    </row>
    <row r="105" spans="10:21" s="1" customFormat="1" x14ac:dyDescent="0.2">
      <c r="J105"/>
      <c r="K105"/>
      <c r="L105"/>
      <c r="M105"/>
      <c r="N105"/>
      <c r="O105" s="392"/>
      <c r="P105" s="2"/>
      <c r="R105"/>
      <c r="S105"/>
      <c r="U105"/>
    </row>
    <row r="106" spans="10:21" s="1" customFormat="1" x14ac:dyDescent="0.2">
      <c r="J106"/>
      <c r="K106"/>
      <c r="L106"/>
      <c r="M106"/>
      <c r="N106"/>
      <c r="O106" s="392"/>
      <c r="P106" s="2"/>
      <c r="R106"/>
      <c r="S106"/>
      <c r="U106"/>
    </row>
    <row r="107" spans="10:21" s="1" customFormat="1" x14ac:dyDescent="0.2">
      <c r="J107"/>
      <c r="K107"/>
      <c r="L107"/>
      <c r="M107"/>
      <c r="N107"/>
      <c r="O107" s="392"/>
      <c r="P107" s="2"/>
      <c r="R107"/>
      <c r="S107"/>
      <c r="U107"/>
    </row>
    <row r="108" spans="10:21" s="1" customFormat="1" x14ac:dyDescent="0.2">
      <c r="J108"/>
      <c r="K108"/>
      <c r="L108"/>
      <c r="M108"/>
      <c r="N108"/>
      <c r="O108" s="392"/>
      <c r="P108" s="2"/>
      <c r="R108"/>
      <c r="S108"/>
      <c r="U108"/>
    </row>
    <row r="109" spans="10:21" s="1" customFormat="1" x14ac:dyDescent="0.2">
      <c r="J109"/>
      <c r="K109"/>
      <c r="L109"/>
      <c r="M109"/>
      <c r="N109"/>
      <c r="O109" s="392"/>
      <c r="P109" s="2"/>
      <c r="R109"/>
      <c r="S109"/>
      <c r="U109"/>
    </row>
    <row r="110" spans="10:21" s="1" customFormat="1" x14ac:dyDescent="0.2">
      <c r="J110"/>
      <c r="K110"/>
      <c r="L110"/>
      <c r="M110"/>
      <c r="N110"/>
      <c r="O110" s="392"/>
      <c r="P110" s="2"/>
      <c r="R110"/>
      <c r="S110"/>
      <c r="U110"/>
    </row>
    <row r="111" spans="10:21" s="1" customFormat="1" x14ac:dyDescent="0.2">
      <c r="J111"/>
      <c r="K111"/>
      <c r="L111"/>
      <c r="M111"/>
      <c r="N111"/>
      <c r="O111" s="392"/>
      <c r="P111" s="2"/>
      <c r="R111"/>
      <c r="S111"/>
      <c r="U111"/>
    </row>
    <row r="112" spans="10:21" s="1" customFormat="1" x14ac:dyDescent="0.2">
      <c r="J112"/>
      <c r="K112"/>
      <c r="L112"/>
      <c r="M112"/>
      <c r="N112"/>
      <c r="O112" s="392"/>
      <c r="P112" s="2"/>
      <c r="R112"/>
      <c r="S112"/>
      <c r="U112"/>
    </row>
    <row r="113" spans="10:21" s="1" customFormat="1" x14ac:dyDescent="0.2">
      <c r="J113"/>
      <c r="K113"/>
      <c r="L113"/>
      <c r="M113"/>
      <c r="N113"/>
      <c r="O113" s="392"/>
      <c r="P113" s="2"/>
      <c r="R113"/>
      <c r="S113"/>
      <c r="U113"/>
    </row>
    <row r="114" spans="10:21" s="1" customFormat="1" x14ac:dyDescent="0.2">
      <c r="J114"/>
      <c r="K114"/>
      <c r="L114"/>
      <c r="M114"/>
      <c r="N114"/>
      <c r="O114" s="392"/>
      <c r="P114" s="2"/>
      <c r="R114"/>
      <c r="S114"/>
      <c r="U114"/>
    </row>
    <row r="115" spans="10:21" s="1" customFormat="1" x14ac:dyDescent="0.2">
      <c r="J115"/>
      <c r="K115"/>
      <c r="L115"/>
      <c r="M115"/>
      <c r="N115"/>
      <c r="O115" s="392"/>
      <c r="P115" s="2"/>
      <c r="R115"/>
      <c r="S115"/>
      <c r="U115"/>
    </row>
    <row r="116" spans="10:21" s="1" customFormat="1" x14ac:dyDescent="0.2">
      <c r="J116"/>
      <c r="K116"/>
      <c r="L116"/>
      <c r="M116"/>
      <c r="N116"/>
      <c r="O116" s="392"/>
      <c r="P116" s="2"/>
      <c r="R116"/>
      <c r="S116"/>
      <c r="U116"/>
    </row>
    <row r="117" spans="10:21" s="1" customFormat="1" x14ac:dyDescent="0.2">
      <c r="J117"/>
      <c r="K117"/>
      <c r="L117"/>
      <c r="M117"/>
      <c r="N117"/>
      <c r="O117" s="392"/>
      <c r="P117" s="2"/>
      <c r="R117"/>
      <c r="S117"/>
      <c r="U117"/>
    </row>
    <row r="118" spans="10:21" s="1" customFormat="1" x14ac:dyDescent="0.2">
      <c r="J118"/>
      <c r="K118"/>
      <c r="L118"/>
      <c r="M118"/>
      <c r="N118"/>
      <c r="O118" s="392"/>
      <c r="P118" s="2"/>
      <c r="R118"/>
      <c r="S118"/>
      <c r="U118"/>
    </row>
    <row r="119" spans="10:21" s="1" customFormat="1" x14ac:dyDescent="0.2">
      <c r="J119"/>
      <c r="K119"/>
      <c r="L119"/>
      <c r="M119"/>
      <c r="N119"/>
      <c r="O119" s="392"/>
      <c r="P119" s="2"/>
      <c r="R119"/>
      <c r="S119"/>
      <c r="U119"/>
    </row>
    <row r="120" spans="10:21" s="1" customFormat="1" x14ac:dyDescent="0.2">
      <c r="J120"/>
      <c r="K120"/>
      <c r="L120"/>
      <c r="M120"/>
      <c r="N120"/>
      <c r="O120" s="392"/>
      <c r="P120" s="2"/>
      <c r="R120"/>
      <c r="S120"/>
      <c r="U120"/>
    </row>
    <row r="121" spans="10:21" s="1" customFormat="1" x14ac:dyDescent="0.2">
      <c r="J121"/>
      <c r="K121"/>
      <c r="L121"/>
      <c r="M121"/>
      <c r="N121"/>
      <c r="O121" s="392"/>
      <c r="P121" s="2"/>
      <c r="R121"/>
      <c r="S121"/>
      <c r="U121"/>
    </row>
    <row r="122" spans="10:21" s="1" customFormat="1" x14ac:dyDescent="0.2">
      <c r="J122"/>
      <c r="K122"/>
      <c r="L122"/>
      <c r="M122"/>
      <c r="N122"/>
      <c r="O122" s="392"/>
      <c r="P122" s="2"/>
      <c r="R122"/>
      <c r="S122"/>
      <c r="U122"/>
    </row>
    <row r="123" spans="10:21" s="1" customFormat="1" x14ac:dyDescent="0.2">
      <c r="J123"/>
      <c r="K123"/>
      <c r="L123"/>
      <c r="M123"/>
      <c r="N123"/>
      <c r="O123" s="392"/>
      <c r="P123" s="2"/>
      <c r="R123"/>
      <c r="S123"/>
      <c r="U123"/>
    </row>
    <row r="124" spans="10:21" s="1" customFormat="1" x14ac:dyDescent="0.2">
      <c r="J124"/>
      <c r="K124"/>
      <c r="L124"/>
      <c r="M124"/>
      <c r="N124"/>
      <c r="O124" s="392"/>
      <c r="P124" s="2"/>
      <c r="R124"/>
      <c r="S124"/>
      <c r="U124"/>
    </row>
    <row r="125" spans="10:21" s="1" customFormat="1" x14ac:dyDescent="0.2">
      <c r="J125"/>
      <c r="K125"/>
      <c r="L125"/>
      <c r="M125"/>
      <c r="N125"/>
      <c r="O125" s="392"/>
      <c r="P125" s="2"/>
      <c r="R125"/>
      <c r="S125"/>
      <c r="U125"/>
    </row>
    <row r="126" spans="10:21" s="1" customFormat="1" x14ac:dyDescent="0.2">
      <c r="J126"/>
      <c r="K126"/>
      <c r="L126"/>
      <c r="M126"/>
      <c r="N126"/>
      <c r="O126" s="392"/>
      <c r="P126" s="2"/>
      <c r="R126"/>
      <c r="S126"/>
      <c r="U126"/>
    </row>
    <row r="127" spans="10:21" s="1" customFormat="1" x14ac:dyDescent="0.2">
      <c r="J127"/>
      <c r="K127"/>
      <c r="L127"/>
      <c r="M127"/>
      <c r="N127"/>
      <c r="O127" s="392"/>
      <c r="P127" s="2"/>
      <c r="R127"/>
      <c r="S127"/>
      <c r="U127"/>
    </row>
    <row r="128" spans="10:21" s="1" customFormat="1" x14ac:dyDescent="0.2">
      <c r="J128"/>
      <c r="K128"/>
      <c r="L128"/>
      <c r="M128"/>
      <c r="N128"/>
      <c r="O128" s="392"/>
      <c r="P128" s="2"/>
      <c r="R128"/>
      <c r="S128"/>
      <c r="U128"/>
    </row>
    <row r="129" spans="10:21" s="1" customFormat="1" x14ac:dyDescent="0.2">
      <c r="J129"/>
      <c r="K129"/>
      <c r="L129"/>
      <c r="M129"/>
      <c r="N129"/>
      <c r="O129" s="392"/>
      <c r="P129" s="2"/>
      <c r="R129"/>
      <c r="S129"/>
      <c r="U129"/>
    </row>
    <row r="130" spans="10:21" s="1" customFormat="1" x14ac:dyDescent="0.2">
      <c r="J130"/>
      <c r="K130"/>
      <c r="L130"/>
      <c r="M130"/>
      <c r="N130"/>
      <c r="O130" s="392"/>
      <c r="P130" s="2"/>
      <c r="R130"/>
      <c r="S130"/>
      <c r="U130"/>
    </row>
    <row r="131" spans="10:21" s="1" customFormat="1" x14ac:dyDescent="0.2">
      <c r="J131"/>
      <c r="K131"/>
      <c r="L131"/>
      <c r="M131"/>
      <c r="N131"/>
      <c r="O131" s="392"/>
      <c r="P131" s="2"/>
      <c r="R131"/>
      <c r="S131"/>
      <c r="U131"/>
    </row>
    <row r="132" spans="10:21" s="1" customFormat="1" x14ac:dyDescent="0.2">
      <c r="J132"/>
      <c r="K132"/>
      <c r="L132"/>
      <c r="M132"/>
      <c r="N132"/>
      <c r="O132" s="392"/>
      <c r="P132" s="2"/>
      <c r="R132"/>
      <c r="S132"/>
      <c r="U132"/>
    </row>
    <row r="133" spans="10:21" s="1" customFormat="1" x14ac:dyDescent="0.2">
      <c r="J133"/>
      <c r="K133"/>
      <c r="L133"/>
      <c r="M133"/>
      <c r="N133"/>
      <c r="O133" s="392"/>
      <c r="P133" s="2"/>
      <c r="R133"/>
      <c r="S133"/>
      <c r="U133"/>
    </row>
    <row r="134" spans="10:21" s="1" customFormat="1" x14ac:dyDescent="0.2">
      <c r="J134"/>
      <c r="K134"/>
      <c r="L134"/>
      <c r="M134"/>
      <c r="N134"/>
      <c r="O134" s="392"/>
      <c r="P134" s="2"/>
      <c r="R134"/>
      <c r="S134"/>
      <c r="U134"/>
    </row>
    <row r="135" spans="10:21" s="1" customFormat="1" x14ac:dyDescent="0.2">
      <c r="J135"/>
      <c r="K135"/>
      <c r="L135"/>
      <c r="M135"/>
      <c r="N135"/>
      <c r="O135" s="392"/>
      <c r="P135" s="2"/>
      <c r="R135"/>
      <c r="S135"/>
      <c r="U135"/>
    </row>
    <row r="136" spans="10:21" s="1" customFormat="1" x14ac:dyDescent="0.2">
      <c r="J136"/>
      <c r="K136"/>
      <c r="L136"/>
      <c r="M136"/>
      <c r="N136"/>
      <c r="O136" s="392"/>
      <c r="P136" s="2"/>
      <c r="R136"/>
      <c r="S136"/>
      <c r="U136"/>
    </row>
    <row r="137" spans="10:21" s="1" customFormat="1" x14ac:dyDescent="0.2">
      <c r="J137"/>
      <c r="K137"/>
      <c r="L137"/>
      <c r="M137"/>
      <c r="N137"/>
      <c r="O137" s="392"/>
      <c r="P137" s="2"/>
      <c r="R137"/>
      <c r="S137"/>
      <c r="U137"/>
    </row>
    <row r="138" spans="10:21" s="1" customFormat="1" x14ac:dyDescent="0.2">
      <c r="J138"/>
      <c r="K138"/>
      <c r="L138"/>
      <c r="M138"/>
      <c r="N138"/>
      <c r="O138" s="392"/>
      <c r="P138" s="2"/>
      <c r="R138"/>
      <c r="S138"/>
      <c r="U138"/>
    </row>
    <row r="139" spans="10:21" s="1" customFormat="1" x14ac:dyDescent="0.2">
      <c r="J139"/>
      <c r="K139"/>
      <c r="L139"/>
      <c r="M139"/>
      <c r="N139"/>
      <c r="O139" s="392"/>
      <c r="P139" s="2"/>
      <c r="R139"/>
      <c r="S139"/>
      <c r="U139"/>
    </row>
    <row r="140" spans="10:21" s="1" customFormat="1" x14ac:dyDescent="0.2">
      <c r="J140"/>
      <c r="K140"/>
      <c r="L140"/>
      <c r="M140"/>
      <c r="N140"/>
      <c r="O140" s="392"/>
      <c r="P140" s="2"/>
      <c r="R140"/>
      <c r="S140"/>
      <c r="U140"/>
    </row>
    <row r="141" spans="10:21" s="1" customFormat="1" x14ac:dyDescent="0.2">
      <c r="J141"/>
      <c r="K141"/>
      <c r="L141"/>
      <c r="M141"/>
      <c r="N141"/>
      <c r="O141" s="392"/>
      <c r="P141" s="2"/>
      <c r="R141"/>
      <c r="S141"/>
      <c r="U141"/>
    </row>
    <row r="142" spans="10:21" s="1" customFormat="1" x14ac:dyDescent="0.2">
      <c r="J142"/>
      <c r="K142"/>
      <c r="L142"/>
      <c r="M142"/>
      <c r="N142"/>
      <c r="O142" s="392"/>
      <c r="P142" s="2"/>
      <c r="R142"/>
      <c r="S142"/>
      <c r="U142"/>
    </row>
    <row r="143" spans="10:21" s="1" customFormat="1" x14ac:dyDescent="0.2">
      <c r="J143"/>
      <c r="K143"/>
      <c r="L143"/>
      <c r="M143"/>
      <c r="N143"/>
      <c r="O143" s="392"/>
      <c r="P143" s="2"/>
      <c r="R143"/>
      <c r="S143"/>
      <c r="U143"/>
    </row>
    <row r="144" spans="10:21" s="1" customFormat="1" x14ac:dyDescent="0.2">
      <c r="J144"/>
      <c r="K144"/>
      <c r="L144"/>
      <c r="M144"/>
      <c r="N144"/>
      <c r="O144" s="392"/>
      <c r="P144" s="2"/>
      <c r="R144"/>
      <c r="S144"/>
      <c r="U144"/>
    </row>
    <row r="145" spans="10:21" s="1" customFormat="1" x14ac:dyDescent="0.2">
      <c r="J145"/>
      <c r="K145"/>
      <c r="L145"/>
      <c r="M145"/>
      <c r="N145"/>
      <c r="O145" s="392"/>
      <c r="P145" s="2"/>
      <c r="R145"/>
      <c r="S145"/>
      <c r="U145"/>
    </row>
    <row r="146" spans="10:21" s="1" customFormat="1" x14ac:dyDescent="0.2">
      <c r="J146"/>
      <c r="K146"/>
      <c r="L146"/>
      <c r="M146"/>
      <c r="N146"/>
      <c r="O146" s="392"/>
      <c r="P146" s="2"/>
      <c r="R146"/>
      <c r="S146"/>
      <c r="U146"/>
    </row>
    <row r="147" spans="10:21" s="1" customFormat="1" x14ac:dyDescent="0.2">
      <c r="J147"/>
      <c r="K147"/>
      <c r="L147"/>
      <c r="M147"/>
      <c r="N147"/>
      <c r="O147" s="392"/>
      <c r="P147" s="2"/>
      <c r="R147"/>
      <c r="S147"/>
      <c r="U147"/>
    </row>
    <row r="148" spans="10:21" s="1" customFormat="1" x14ac:dyDescent="0.2">
      <c r="J148"/>
      <c r="K148"/>
      <c r="L148"/>
      <c r="M148"/>
      <c r="N148"/>
      <c r="O148" s="392"/>
      <c r="P148" s="2"/>
      <c r="R148"/>
      <c r="S148"/>
      <c r="U148"/>
    </row>
    <row r="149" spans="10:21" s="1" customFormat="1" x14ac:dyDescent="0.2">
      <c r="J149"/>
      <c r="K149"/>
      <c r="L149"/>
      <c r="M149"/>
      <c r="N149"/>
      <c r="O149" s="392"/>
      <c r="P149" s="2"/>
      <c r="R149"/>
      <c r="S149"/>
      <c r="U149"/>
    </row>
    <row r="150" spans="10:21" s="1" customFormat="1" x14ac:dyDescent="0.2">
      <c r="J150"/>
      <c r="K150"/>
      <c r="L150"/>
      <c r="M150"/>
      <c r="N150"/>
      <c r="O150" s="392"/>
      <c r="P150" s="2"/>
      <c r="R150"/>
      <c r="S150"/>
      <c r="U150"/>
    </row>
    <row r="151" spans="10:21" s="1" customFormat="1" x14ac:dyDescent="0.2">
      <c r="J151"/>
      <c r="K151"/>
      <c r="L151"/>
      <c r="M151"/>
      <c r="N151"/>
      <c r="O151" s="392"/>
      <c r="P151" s="2"/>
      <c r="R151"/>
      <c r="S151"/>
      <c r="U151"/>
    </row>
    <row r="152" spans="10:21" s="1" customFormat="1" x14ac:dyDescent="0.2">
      <c r="J152"/>
      <c r="K152"/>
      <c r="L152"/>
      <c r="M152"/>
      <c r="N152"/>
      <c r="O152" s="392"/>
      <c r="P152" s="2"/>
      <c r="R152"/>
      <c r="S152"/>
      <c r="U152"/>
    </row>
    <row r="153" spans="10:21" s="1" customFormat="1" x14ac:dyDescent="0.2">
      <c r="J153"/>
      <c r="K153"/>
      <c r="L153"/>
      <c r="M153"/>
      <c r="N153"/>
      <c r="O153" s="392"/>
      <c r="P153" s="2"/>
      <c r="R153"/>
      <c r="S153"/>
      <c r="U153"/>
    </row>
    <row r="154" spans="10:21" s="1" customFormat="1" x14ac:dyDescent="0.2">
      <c r="J154"/>
      <c r="K154"/>
      <c r="L154"/>
      <c r="M154"/>
      <c r="N154"/>
      <c r="O154" s="392"/>
      <c r="P154" s="2"/>
      <c r="R154"/>
      <c r="S154"/>
      <c r="U154"/>
    </row>
    <row r="155" spans="10:21" s="1" customFormat="1" x14ac:dyDescent="0.2">
      <c r="J155"/>
      <c r="K155"/>
      <c r="L155"/>
      <c r="M155"/>
      <c r="N155"/>
      <c r="O155" s="392"/>
      <c r="P155" s="2"/>
      <c r="R155"/>
      <c r="S155"/>
      <c r="U155"/>
    </row>
    <row r="156" spans="10:21" s="1" customFormat="1" x14ac:dyDescent="0.2">
      <c r="J156"/>
      <c r="K156"/>
      <c r="L156"/>
      <c r="M156"/>
      <c r="N156"/>
      <c r="O156" s="392"/>
      <c r="P156" s="2"/>
      <c r="R156"/>
      <c r="S156"/>
      <c r="U156"/>
    </row>
    <row r="157" spans="10:21" s="1" customFormat="1" x14ac:dyDescent="0.2">
      <c r="J157"/>
      <c r="K157"/>
      <c r="L157"/>
      <c r="M157"/>
      <c r="N157"/>
      <c r="O157" s="392"/>
      <c r="P157" s="2"/>
      <c r="R157"/>
      <c r="S157"/>
      <c r="U157"/>
    </row>
    <row r="158" spans="10:21" s="1" customFormat="1" x14ac:dyDescent="0.2">
      <c r="J158"/>
      <c r="K158"/>
      <c r="L158"/>
      <c r="M158"/>
      <c r="N158"/>
      <c r="O158" s="392"/>
      <c r="P158" s="2"/>
      <c r="R158"/>
      <c r="S158"/>
      <c r="U158"/>
    </row>
    <row r="159" spans="10:21" s="1" customFormat="1" x14ac:dyDescent="0.2">
      <c r="J159"/>
      <c r="K159"/>
      <c r="L159"/>
      <c r="M159"/>
      <c r="N159"/>
      <c r="O159" s="392"/>
      <c r="P159" s="2"/>
      <c r="R159"/>
      <c r="S159"/>
      <c r="U159"/>
    </row>
    <row r="160" spans="10:21" s="1" customFormat="1" x14ac:dyDescent="0.2">
      <c r="J160"/>
      <c r="K160"/>
      <c r="L160"/>
      <c r="M160"/>
      <c r="N160"/>
      <c r="O160" s="392"/>
      <c r="P160" s="2"/>
      <c r="R160"/>
      <c r="S160"/>
      <c r="U160"/>
    </row>
    <row r="161" spans="10:21" s="1" customFormat="1" x14ac:dyDescent="0.2">
      <c r="J161"/>
      <c r="K161"/>
      <c r="L161"/>
      <c r="M161"/>
      <c r="N161"/>
      <c r="O161" s="392"/>
      <c r="P161" s="2"/>
      <c r="R161"/>
      <c r="S161"/>
      <c r="U161"/>
    </row>
    <row r="162" spans="10:21" s="1" customFormat="1" x14ac:dyDescent="0.2">
      <c r="J162"/>
      <c r="K162"/>
      <c r="L162"/>
      <c r="M162"/>
      <c r="N162"/>
      <c r="O162" s="392"/>
      <c r="P162" s="2"/>
      <c r="R162"/>
      <c r="S162"/>
      <c r="U162"/>
    </row>
    <row r="163" spans="10:21" s="1" customFormat="1" x14ac:dyDescent="0.2">
      <c r="J163"/>
      <c r="K163"/>
      <c r="L163"/>
      <c r="M163"/>
      <c r="N163"/>
      <c r="O163" s="392"/>
      <c r="P163" s="2"/>
      <c r="R163"/>
      <c r="S163"/>
      <c r="U163"/>
    </row>
    <row r="164" spans="10:21" s="1" customFormat="1" x14ac:dyDescent="0.2">
      <c r="J164"/>
      <c r="K164"/>
      <c r="L164"/>
      <c r="M164"/>
      <c r="N164"/>
      <c r="O164" s="392"/>
      <c r="P164" s="2"/>
      <c r="R164"/>
      <c r="S164"/>
      <c r="U164"/>
    </row>
    <row r="165" spans="10:21" s="1" customFormat="1" x14ac:dyDescent="0.2">
      <c r="J165"/>
      <c r="K165"/>
      <c r="L165"/>
      <c r="M165"/>
      <c r="N165"/>
      <c r="O165" s="392"/>
      <c r="P165" s="2"/>
      <c r="R165"/>
      <c r="S165"/>
      <c r="U165"/>
    </row>
    <row r="166" spans="10:21" s="1" customFormat="1" x14ac:dyDescent="0.2">
      <c r="J166"/>
      <c r="K166"/>
      <c r="L166"/>
      <c r="M166"/>
      <c r="N166"/>
      <c r="O166" s="392"/>
      <c r="P166" s="2"/>
      <c r="R166"/>
      <c r="S166"/>
      <c r="U166"/>
    </row>
    <row r="167" spans="10:21" s="1" customFormat="1" x14ac:dyDescent="0.2">
      <c r="J167"/>
      <c r="K167"/>
      <c r="L167"/>
      <c r="M167"/>
      <c r="N167"/>
      <c r="O167" s="392"/>
      <c r="P167" s="2"/>
      <c r="R167"/>
      <c r="S167"/>
      <c r="U167"/>
    </row>
    <row r="168" spans="10:21" s="1" customFormat="1" x14ac:dyDescent="0.2">
      <c r="J168"/>
      <c r="K168"/>
      <c r="L168"/>
      <c r="M168"/>
      <c r="N168"/>
      <c r="O168" s="392"/>
      <c r="P168" s="2"/>
      <c r="R168"/>
      <c r="S168"/>
      <c r="U168"/>
    </row>
    <row r="169" spans="10:21" s="1" customFormat="1" x14ac:dyDescent="0.2">
      <c r="J169"/>
      <c r="K169"/>
      <c r="L169"/>
      <c r="M169"/>
      <c r="N169"/>
      <c r="O169" s="392"/>
      <c r="P169" s="2"/>
      <c r="R169"/>
      <c r="S169"/>
      <c r="U169"/>
    </row>
    <row r="170" spans="10:21" s="1" customFormat="1" x14ac:dyDescent="0.2">
      <c r="J170"/>
      <c r="K170"/>
      <c r="L170"/>
      <c r="M170"/>
      <c r="N170"/>
      <c r="O170" s="392"/>
      <c r="P170" s="2"/>
      <c r="R170"/>
      <c r="S170"/>
      <c r="U170"/>
    </row>
    <row r="171" spans="10:21" s="1" customFormat="1" x14ac:dyDescent="0.2">
      <c r="J171"/>
      <c r="K171"/>
      <c r="L171"/>
      <c r="M171"/>
      <c r="N171"/>
      <c r="O171" s="392"/>
      <c r="P171" s="2"/>
      <c r="R171"/>
      <c r="S171"/>
      <c r="U171"/>
    </row>
    <row r="172" spans="10:21" s="1" customFormat="1" x14ac:dyDescent="0.2">
      <c r="J172"/>
      <c r="K172"/>
      <c r="L172"/>
      <c r="M172"/>
      <c r="N172"/>
      <c r="O172" s="392"/>
      <c r="P172" s="2"/>
      <c r="R172"/>
      <c r="S172"/>
      <c r="U172"/>
    </row>
    <row r="173" spans="10:21" s="1" customFormat="1" x14ac:dyDescent="0.2">
      <c r="J173"/>
      <c r="K173"/>
      <c r="L173"/>
      <c r="M173"/>
      <c r="N173"/>
      <c r="O173" s="392"/>
      <c r="P173" s="2"/>
      <c r="R173"/>
      <c r="S173"/>
      <c r="U173"/>
    </row>
    <row r="174" spans="10:21" s="1" customFormat="1" x14ac:dyDescent="0.2">
      <c r="J174"/>
      <c r="K174"/>
      <c r="L174"/>
      <c r="M174"/>
      <c r="N174"/>
      <c r="O174" s="392"/>
      <c r="P174" s="2"/>
      <c r="R174"/>
      <c r="S174"/>
      <c r="U174"/>
    </row>
    <row r="175" spans="10:21" s="1" customFormat="1" x14ac:dyDescent="0.2">
      <c r="J175"/>
      <c r="K175"/>
      <c r="L175"/>
      <c r="M175"/>
      <c r="N175"/>
      <c r="O175" s="392"/>
      <c r="P175" s="2"/>
      <c r="R175"/>
      <c r="S175"/>
      <c r="U175"/>
    </row>
    <row r="176" spans="10:21" s="1" customFormat="1" x14ac:dyDescent="0.2">
      <c r="J176"/>
      <c r="K176"/>
      <c r="L176"/>
      <c r="M176"/>
      <c r="N176"/>
      <c r="O176" s="392"/>
      <c r="P176" s="2"/>
      <c r="R176"/>
      <c r="S176"/>
      <c r="U176"/>
    </row>
    <row r="177" spans="10:21" s="1" customFormat="1" x14ac:dyDescent="0.2">
      <c r="J177"/>
      <c r="K177"/>
      <c r="L177"/>
      <c r="M177"/>
      <c r="N177"/>
      <c r="O177" s="392"/>
      <c r="P177" s="2"/>
      <c r="R177"/>
      <c r="S177"/>
      <c r="U177"/>
    </row>
    <row r="178" spans="10:21" s="1" customFormat="1" x14ac:dyDescent="0.2">
      <c r="J178"/>
      <c r="K178"/>
      <c r="L178"/>
      <c r="M178"/>
      <c r="N178"/>
      <c r="O178" s="392"/>
      <c r="P178" s="2"/>
      <c r="R178"/>
      <c r="S178"/>
      <c r="U178"/>
    </row>
    <row r="179" spans="10:21" s="1" customFormat="1" x14ac:dyDescent="0.2">
      <c r="J179"/>
      <c r="K179"/>
      <c r="L179"/>
      <c r="M179"/>
      <c r="N179"/>
      <c r="O179" s="392"/>
      <c r="P179" s="2"/>
      <c r="R179"/>
      <c r="S179"/>
      <c r="U179"/>
    </row>
    <row r="180" spans="10:21" s="1" customFormat="1" x14ac:dyDescent="0.2">
      <c r="J180"/>
      <c r="K180"/>
      <c r="L180"/>
      <c r="M180"/>
      <c r="N180"/>
      <c r="O180" s="392"/>
      <c r="P180" s="2"/>
      <c r="R180"/>
      <c r="S180"/>
      <c r="U180"/>
    </row>
    <row r="181" spans="10:21" s="1" customFormat="1" x14ac:dyDescent="0.2">
      <c r="J181"/>
      <c r="K181"/>
      <c r="L181"/>
      <c r="M181"/>
      <c r="N181"/>
      <c r="O181" s="392"/>
      <c r="P181" s="2"/>
      <c r="R181"/>
      <c r="S181"/>
      <c r="U181"/>
    </row>
    <row r="182" spans="10:21" s="1" customFormat="1" x14ac:dyDescent="0.2">
      <c r="J182"/>
      <c r="K182"/>
      <c r="L182"/>
      <c r="M182"/>
      <c r="N182"/>
      <c r="O182" s="392"/>
      <c r="P182" s="2"/>
      <c r="R182"/>
      <c r="S182"/>
      <c r="U182"/>
    </row>
    <row r="183" spans="10:21" s="1" customFormat="1" x14ac:dyDescent="0.2">
      <c r="J183"/>
      <c r="K183"/>
      <c r="L183"/>
      <c r="M183"/>
      <c r="N183"/>
      <c r="O183" s="392"/>
      <c r="P183" s="2"/>
      <c r="R183"/>
      <c r="S183"/>
      <c r="U183"/>
    </row>
    <row r="184" spans="10:21" s="1" customFormat="1" x14ac:dyDescent="0.2">
      <c r="J184"/>
      <c r="K184"/>
      <c r="L184"/>
      <c r="M184"/>
      <c r="N184"/>
      <c r="O184" s="392"/>
      <c r="P184" s="2"/>
      <c r="R184"/>
      <c r="S184"/>
      <c r="U184"/>
    </row>
    <row r="185" spans="10:21" s="1" customFormat="1" x14ac:dyDescent="0.2">
      <c r="J185"/>
      <c r="K185"/>
      <c r="L185"/>
      <c r="M185"/>
      <c r="N185"/>
      <c r="O185" s="392"/>
      <c r="P185" s="2"/>
      <c r="R185"/>
      <c r="S185"/>
      <c r="U185"/>
    </row>
    <row r="186" spans="10:21" s="1" customFormat="1" x14ac:dyDescent="0.2">
      <c r="J186"/>
      <c r="K186"/>
      <c r="L186"/>
      <c r="M186"/>
      <c r="N186"/>
      <c r="O186" s="392"/>
      <c r="P186" s="2"/>
      <c r="R186"/>
      <c r="S186"/>
      <c r="U186"/>
    </row>
    <row r="187" spans="10:21" s="1" customFormat="1" x14ac:dyDescent="0.2">
      <c r="J187"/>
      <c r="K187"/>
      <c r="L187"/>
      <c r="M187"/>
      <c r="N187"/>
      <c r="O187" s="392"/>
      <c r="P187" s="2"/>
      <c r="R187"/>
      <c r="S187"/>
      <c r="U187"/>
    </row>
    <row r="188" spans="10:21" s="1" customFormat="1" x14ac:dyDescent="0.2">
      <c r="J188"/>
      <c r="K188"/>
      <c r="L188"/>
      <c r="M188"/>
      <c r="N188"/>
      <c r="O188" s="392"/>
      <c r="P188" s="2"/>
      <c r="R188"/>
      <c r="S188"/>
      <c r="U188"/>
    </row>
    <row r="189" spans="10:21" s="1" customFormat="1" x14ac:dyDescent="0.2">
      <c r="J189"/>
      <c r="K189"/>
      <c r="L189"/>
      <c r="M189"/>
      <c r="N189"/>
      <c r="O189" s="392"/>
      <c r="P189" s="2"/>
      <c r="R189"/>
      <c r="S189"/>
      <c r="U189"/>
    </row>
    <row r="190" spans="10:21" s="1" customFormat="1" x14ac:dyDescent="0.2">
      <c r="J190"/>
      <c r="K190"/>
      <c r="L190"/>
      <c r="M190"/>
      <c r="N190"/>
      <c r="O190" s="392"/>
      <c r="P190" s="2"/>
      <c r="R190"/>
      <c r="S190"/>
      <c r="U190"/>
    </row>
    <row r="191" spans="10:21" s="1" customFormat="1" x14ac:dyDescent="0.2">
      <c r="J191"/>
      <c r="K191"/>
      <c r="L191"/>
      <c r="M191"/>
      <c r="N191"/>
      <c r="O191" s="392"/>
      <c r="P191" s="2"/>
      <c r="R191"/>
      <c r="S191"/>
      <c r="U191"/>
    </row>
    <row r="192" spans="10:21" s="1" customFormat="1" x14ac:dyDescent="0.2">
      <c r="J192"/>
      <c r="K192"/>
      <c r="L192"/>
      <c r="M192"/>
      <c r="N192"/>
      <c r="O192" s="392"/>
      <c r="P192" s="2"/>
      <c r="R192"/>
      <c r="S192"/>
      <c r="U192"/>
    </row>
    <row r="193" spans="10:21" s="1" customFormat="1" x14ac:dyDescent="0.2">
      <c r="J193"/>
      <c r="K193"/>
      <c r="L193"/>
      <c r="M193"/>
      <c r="N193"/>
      <c r="O193" s="392"/>
      <c r="P193" s="2"/>
      <c r="R193"/>
      <c r="S193"/>
      <c r="U193"/>
    </row>
    <row r="194" spans="10:21" s="1" customFormat="1" x14ac:dyDescent="0.2">
      <c r="J194"/>
      <c r="K194"/>
      <c r="L194"/>
      <c r="M194"/>
      <c r="N194"/>
      <c r="O194" s="392"/>
      <c r="P194" s="2"/>
      <c r="R194"/>
      <c r="S194"/>
      <c r="U194"/>
    </row>
    <row r="195" spans="10:21" s="1" customFormat="1" x14ac:dyDescent="0.2">
      <c r="J195"/>
      <c r="K195"/>
      <c r="L195"/>
      <c r="M195"/>
      <c r="N195"/>
      <c r="O195" s="392"/>
      <c r="P195" s="2"/>
      <c r="R195"/>
      <c r="S195"/>
      <c r="U195"/>
    </row>
    <row r="196" spans="10:21" s="1" customFormat="1" x14ac:dyDescent="0.2">
      <c r="J196"/>
      <c r="K196"/>
      <c r="L196"/>
      <c r="M196"/>
      <c r="N196"/>
      <c r="O196" s="392"/>
      <c r="P196" s="2"/>
      <c r="R196"/>
      <c r="S196"/>
      <c r="U196"/>
    </row>
    <row r="197" spans="10:21" s="1" customFormat="1" x14ac:dyDescent="0.2">
      <c r="J197"/>
      <c r="K197"/>
      <c r="L197"/>
      <c r="M197"/>
      <c r="N197"/>
      <c r="O197" s="392"/>
      <c r="P197" s="2"/>
      <c r="R197"/>
      <c r="S197"/>
      <c r="U197"/>
    </row>
    <row r="198" spans="10:21" s="1" customFormat="1" x14ac:dyDescent="0.2">
      <c r="J198"/>
      <c r="K198"/>
      <c r="L198"/>
      <c r="M198"/>
      <c r="N198"/>
      <c r="O198" s="392"/>
      <c r="P198" s="2"/>
      <c r="R198"/>
      <c r="S198"/>
      <c r="U198"/>
    </row>
    <row r="199" spans="10:21" s="1" customFormat="1" x14ac:dyDescent="0.2">
      <c r="J199"/>
      <c r="K199"/>
      <c r="L199"/>
      <c r="M199"/>
      <c r="N199"/>
      <c r="O199" s="392"/>
      <c r="P199" s="2"/>
      <c r="R199"/>
      <c r="S199"/>
      <c r="U199"/>
    </row>
    <row r="200" spans="10:21" s="1" customFormat="1" x14ac:dyDescent="0.2">
      <c r="J200"/>
      <c r="K200"/>
      <c r="L200"/>
      <c r="M200"/>
      <c r="N200"/>
      <c r="O200" s="392"/>
      <c r="P200" s="2"/>
      <c r="R200"/>
      <c r="S200"/>
      <c r="U200"/>
    </row>
    <row r="201" spans="10:21" s="1" customFormat="1" x14ac:dyDescent="0.2">
      <c r="J201"/>
      <c r="K201"/>
      <c r="L201"/>
      <c r="M201"/>
      <c r="N201"/>
      <c r="O201" s="392"/>
      <c r="P201" s="2"/>
      <c r="R201"/>
      <c r="S201"/>
      <c r="U201"/>
    </row>
    <row r="202" spans="10:21" s="1" customFormat="1" x14ac:dyDescent="0.2">
      <c r="J202"/>
      <c r="K202"/>
      <c r="L202"/>
      <c r="M202"/>
      <c r="N202"/>
      <c r="O202" s="392"/>
      <c r="P202" s="2"/>
      <c r="R202"/>
      <c r="S202"/>
      <c r="U202"/>
    </row>
    <row r="203" spans="10:21" s="1" customFormat="1" x14ac:dyDescent="0.2">
      <c r="J203"/>
      <c r="K203"/>
      <c r="L203"/>
      <c r="M203"/>
      <c r="N203"/>
      <c r="O203" s="392"/>
      <c r="P203" s="2"/>
      <c r="R203"/>
      <c r="S203"/>
      <c r="U203"/>
    </row>
    <row r="204" spans="10:21" s="1" customFormat="1" x14ac:dyDescent="0.2">
      <c r="J204"/>
      <c r="K204"/>
      <c r="L204"/>
      <c r="M204"/>
      <c r="N204"/>
      <c r="O204" s="392"/>
      <c r="P204" s="2"/>
      <c r="R204"/>
      <c r="S204"/>
      <c r="U204"/>
    </row>
    <row r="205" spans="10:21" s="1" customFormat="1" x14ac:dyDescent="0.2">
      <c r="J205"/>
      <c r="K205"/>
      <c r="L205"/>
      <c r="M205"/>
      <c r="N205"/>
      <c r="O205" s="392"/>
      <c r="P205" s="2"/>
      <c r="R205"/>
      <c r="S205"/>
      <c r="U205"/>
    </row>
    <row r="206" spans="10:21" s="1" customFormat="1" x14ac:dyDescent="0.2">
      <c r="J206"/>
      <c r="K206"/>
      <c r="L206"/>
      <c r="M206"/>
      <c r="N206"/>
      <c r="O206" s="392"/>
      <c r="P206" s="2"/>
      <c r="R206"/>
      <c r="S206"/>
      <c r="U206"/>
    </row>
    <row r="207" spans="10:21" s="1" customFormat="1" x14ac:dyDescent="0.2">
      <c r="J207"/>
      <c r="K207"/>
      <c r="L207"/>
      <c r="M207"/>
      <c r="N207"/>
      <c r="O207" s="392"/>
      <c r="P207" s="2"/>
      <c r="R207"/>
      <c r="S207"/>
      <c r="U207"/>
    </row>
    <row r="208" spans="10:21" s="1" customFormat="1" x14ac:dyDescent="0.2">
      <c r="J208"/>
      <c r="K208"/>
      <c r="L208"/>
      <c r="M208"/>
      <c r="N208"/>
      <c r="O208" s="392"/>
      <c r="P208" s="2"/>
      <c r="R208"/>
      <c r="S208"/>
      <c r="U208"/>
    </row>
    <row r="209" spans="10:21" s="1" customFormat="1" x14ac:dyDescent="0.2">
      <c r="J209"/>
      <c r="K209"/>
      <c r="L209"/>
      <c r="M209"/>
      <c r="N209"/>
      <c r="O209" s="392"/>
      <c r="P209" s="2"/>
      <c r="R209"/>
      <c r="S209"/>
      <c r="U209"/>
    </row>
    <row r="210" spans="10:21" s="1" customFormat="1" x14ac:dyDescent="0.2">
      <c r="J210"/>
      <c r="K210"/>
      <c r="L210"/>
      <c r="M210"/>
      <c r="N210"/>
      <c r="O210" s="392"/>
      <c r="P210" s="2"/>
      <c r="R210"/>
      <c r="S210"/>
      <c r="U210"/>
    </row>
    <row r="211" spans="10:21" s="1" customFormat="1" x14ac:dyDescent="0.2">
      <c r="J211"/>
      <c r="K211"/>
      <c r="L211"/>
      <c r="M211"/>
      <c r="N211"/>
      <c r="O211" s="392"/>
      <c r="P211" s="2"/>
      <c r="R211"/>
      <c r="S211"/>
      <c r="U211"/>
    </row>
    <row r="212" spans="10:21" s="1" customFormat="1" x14ac:dyDescent="0.2">
      <c r="J212"/>
      <c r="K212"/>
      <c r="L212"/>
      <c r="M212"/>
      <c r="N212"/>
      <c r="O212" s="392"/>
      <c r="P212" s="2"/>
      <c r="R212"/>
      <c r="S212"/>
      <c r="U212"/>
    </row>
    <row r="213" spans="10:21" s="1" customFormat="1" x14ac:dyDescent="0.2">
      <c r="J213"/>
      <c r="K213"/>
      <c r="L213"/>
      <c r="M213"/>
      <c r="N213"/>
      <c r="O213" s="392"/>
      <c r="P213" s="2"/>
      <c r="R213"/>
      <c r="S213"/>
      <c r="U213"/>
    </row>
    <row r="214" spans="10:21" s="1" customFormat="1" x14ac:dyDescent="0.2">
      <c r="J214"/>
      <c r="K214"/>
      <c r="L214"/>
      <c r="M214"/>
      <c r="N214"/>
      <c r="O214" s="392"/>
      <c r="P214" s="2"/>
      <c r="R214"/>
      <c r="S214"/>
      <c r="U214"/>
    </row>
    <row r="215" spans="10:21" s="1" customFormat="1" x14ac:dyDescent="0.2">
      <c r="J215"/>
      <c r="K215"/>
      <c r="L215"/>
      <c r="M215"/>
      <c r="N215"/>
      <c r="O215" s="392"/>
      <c r="P215" s="2"/>
      <c r="R215"/>
      <c r="S215"/>
      <c r="U215"/>
    </row>
    <row r="216" spans="10:21" s="1" customFormat="1" x14ac:dyDescent="0.2">
      <c r="J216"/>
      <c r="K216"/>
      <c r="L216"/>
      <c r="M216"/>
      <c r="N216"/>
      <c r="O216" s="392"/>
      <c r="P216" s="2"/>
      <c r="R216"/>
      <c r="S216"/>
      <c r="U216"/>
    </row>
    <row r="217" spans="10:21" s="1" customFormat="1" x14ac:dyDescent="0.2">
      <c r="J217"/>
      <c r="K217"/>
      <c r="L217"/>
      <c r="M217"/>
      <c r="N217"/>
      <c r="O217" s="392"/>
      <c r="P217" s="2"/>
      <c r="R217"/>
      <c r="S217"/>
      <c r="U217"/>
    </row>
    <row r="218" spans="10:21" s="1" customFormat="1" x14ac:dyDescent="0.2">
      <c r="J218"/>
      <c r="K218"/>
      <c r="L218"/>
      <c r="M218"/>
      <c r="N218"/>
      <c r="O218" s="392"/>
      <c r="P218" s="2"/>
      <c r="R218"/>
      <c r="S218"/>
      <c r="U218"/>
    </row>
    <row r="219" spans="10:21" s="1" customFormat="1" x14ac:dyDescent="0.2">
      <c r="J219"/>
      <c r="K219"/>
      <c r="L219"/>
      <c r="M219"/>
      <c r="N219"/>
      <c r="O219" s="392"/>
      <c r="P219" s="2"/>
      <c r="R219"/>
      <c r="S219"/>
      <c r="U219"/>
    </row>
    <row r="220" spans="10:21" s="1" customFormat="1" x14ac:dyDescent="0.2">
      <c r="J220"/>
      <c r="K220"/>
      <c r="L220"/>
      <c r="M220"/>
      <c r="N220"/>
      <c r="O220" s="392"/>
      <c r="P220" s="2"/>
      <c r="R220"/>
      <c r="S220"/>
      <c r="U220"/>
    </row>
    <row r="221" spans="10:21" s="1" customFormat="1" x14ac:dyDescent="0.2">
      <c r="J221"/>
      <c r="K221"/>
      <c r="L221"/>
      <c r="M221"/>
      <c r="N221"/>
      <c r="O221" s="392"/>
      <c r="P221" s="2"/>
      <c r="R221"/>
      <c r="S221"/>
      <c r="U221"/>
    </row>
    <row r="222" spans="10:21" s="1" customFormat="1" x14ac:dyDescent="0.2">
      <c r="J222"/>
      <c r="K222"/>
      <c r="L222"/>
      <c r="M222"/>
      <c r="N222"/>
      <c r="O222" s="392"/>
      <c r="P222" s="2"/>
      <c r="R222"/>
      <c r="S222"/>
      <c r="U222"/>
    </row>
    <row r="223" spans="10:21" s="1" customFormat="1" x14ac:dyDescent="0.2">
      <c r="J223"/>
      <c r="K223"/>
      <c r="L223"/>
      <c r="M223"/>
      <c r="N223"/>
      <c r="O223" s="392"/>
      <c r="P223" s="2"/>
      <c r="R223"/>
      <c r="S223"/>
      <c r="U223"/>
    </row>
    <row r="224" spans="10:21" s="1" customFormat="1" x14ac:dyDescent="0.2">
      <c r="J224"/>
      <c r="K224"/>
      <c r="L224"/>
      <c r="M224"/>
      <c r="N224"/>
      <c r="O224" s="392"/>
      <c r="P224" s="2"/>
      <c r="R224"/>
      <c r="S224"/>
      <c r="U224"/>
    </row>
    <row r="225" spans="10:21" s="1" customFormat="1" x14ac:dyDescent="0.2">
      <c r="J225"/>
      <c r="K225"/>
      <c r="L225"/>
      <c r="M225"/>
      <c r="N225"/>
      <c r="O225" s="392"/>
      <c r="P225" s="2"/>
      <c r="R225"/>
      <c r="S225"/>
      <c r="U225"/>
    </row>
    <row r="226" spans="10:21" s="1" customFormat="1" x14ac:dyDescent="0.2">
      <c r="J226"/>
      <c r="K226"/>
      <c r="L226"/>
      <c r="M226"/>
      <c r="N226"/>
      <c r="O226" s="392"/>
      <c r="P226" s="2"/>
      <c r="R226"/>
      <c r="S226"/>
      <c r="U226"/>
    </row>
    <row r="227" spans="10:21" s="1" customFormat="1" x14ac:dyDescent="0.2">
      <c r="J227"/>
      <c r="K227"/>
      <c r="L227"/>
      <c r="M227"/>
      <c r="N227"/>
      <c r="O227" s="392"/>
      <c r="P227" s="2"/>
      <c r="R227"/>
      <c r="S227"/>
      <c r="U227"/>
    </row>
    <row r="228" spans="10:21" s="1" customFormat="1" x14ac:dyDescent="0.2">
      <c r="J228"/>
      <c r="K228"/>
      <c r="L228"/>
      <c r="M228"/>
      <c r="N228"/>
      <c r="O228" s="392"/>
      <c r="P228" s="2"/>
      <c r="R228"/>
      <c r="S228"/>
      <c r="U228"/>
    </row>
    <row r="229" spans="10:21" s="1" customFormat="1" x14ac:dyDescent="0.2">
      <c r="J229"/>
      <c r="K229"/>
      <c r="L229"/>
      <c r="M229"/>
      <c r="N229"/>
      <c r="O229" s="392"/>
      <c r="P229" s="2"/>
      <c r="R229"/>
      <c r="S229"/>
      <c r="U229"/>
    </row>
    <row r="230" spans="10:21" s="1" customFormat="1" x14ac:dyDescent="0.2">
      <c r="J230"/>
      <c r="K230"/>
      <c r="L230"/>
      <c r="M230"/>
      <c r="N230"/>
      <c r="O230" s="392"/>
      <c r="P230" s="2"/>
      <c r="R230"/>
      <c r="S230"/>
      <c r="U230"/>
    </row>
    <row r="231" spans="10:21" s="1" customFormat="1" x14ac:dyDescent="0.2">
      <c r="J231"/>
      <c r="K231"/>
      <c r="L231"/>
      <c r="M231"/>
      <c r="N231"/>
      <c r="O231" s="392"/>
      <c r="P231" s="2"/>
      <c r="R231"/>
      <c r="S231"/>
      <c r="U231"/>
    </row>
    <row r="232" spans="10:21" s="1" customFormat="1" x14ac:dyDescent="0.2">
      <c r="J232"/>
      <c r="K232"/>
      <c r="L232"/>
      <c r="M232"/>
      <c r="N232"/>
      <c r="O232" s="392"/>
      <c r="P232" s="2"/>
      <c r="R232"/>
      <c r="S232"/>
      <c r="U232"/>
    </row>
    <row r="233" spans="10:21" s="1" customFormat="1" x14ac:dyDescent="0.2">
      <c r="J233"/>
      <c r="K233"/>
      <c r="L233"/>
      <c r="M233"/>
      <c r="N233"/>
      <c r="O233" s="392"/>
      <c r="P233" s="2"/>
      <c r="R233"/>
      <c r="S233"/>
      <c r="U233"/>
    </row>
    <row r="234" spans="10:21" s="1" customFormat="1" x14ac:dyDescent="0.2">
      <c r="J234"/>
      <c r="K234"/>
      <c r="L234"/>
      <c r="M234"/>
      <c r="N234"/>
      <c r="O234" s="392"/>
      <c r="P234" s="2"/>
      <c r="R234"/>
      <c r="S234"/>
      <c r="U234"/>
    </row>
    <row r="235" spans="10:21" s="1" customFormat="1" x14ac:dyDescent="0.2">
      <c r="J235"/>
      <c r="K235"/>
      <c r="L235"/>
      <c r="M235"/>
      <c r="N235"/>
      <c r="O235" s="392"/>
      <c r="P235" s="2"/>
      <c r="R235"/>
      <c r="S235"/>
      <c r="U235"/>
    </row>
    <row r="236" spans="10:21" s="1" customFormat="1" x14ac:dyDescent="0.2">
      <c r="J236"/>
      <c r="K236"/>
      <c r="L236"/>
      <c r="M236"/>
      <c r="N236"/>
      <c r="O236" s="392"/>
      <c r="P236" s="2"/>
      <c r="R236"/>
      <c r="S236"/>
      <c r="U236"/>
    </row>
    <row r="237" spans="10:21" s="1" customFormat="1" x14ac:dyDescent="0.2">
      <c r="J237"/>
      <c r="K237"/>
      <c r="L237"/>
      <c r="M237"/>
      <c r="N237"/>
      <c r="O237" s="392"/>
      <c r="P237" s="2"/>
      <c r="R237"/>
      <c r="S237"/>
      <c r="U237"/>
    </row>
    <row r="238" spans="10:21" s="1" customFormat="1" x14ac:dyDescent="0.2">
      <c r="J238"/>
      <c r="K238"/>
      <c r="L238"/>
      <c r="M238"/>
      <c r="N238"/>
      <c r="O238" s="392"/>
      <c r="P238" s="2"/>
      <c r="R238"/>
      <c r="S238"/>
      <c r="U238"/>
    </row>
    <row r="239" spans="10:21" s="1" customFormat="1" x14ac:dyDescent="0.2">
      <c r="J239"/>
      <c r="K239"/>
      <c r="L239"/>
      <c r="M239"/>
      <c r="N239"/>
      <c r="O239" s="392"/>
      <c r="P239" s="2"/>
      <c r="R239"/>
      <c r="S239"/>
      <c r="U239"/>
    </row>
    <row r="240" spans="10:21" s="1" customFormat="1" x14ac:dyDescent="0.2">
      <c r="J240"/>
      <c r="K240"/>
      <c r="L240"/>
      <c r="M240"/>
      <c r="N240"/>
      <c r="O240" s="392"/>
      <c r="P240" s="2"/>
      <c r="R240"/>
      <c r="S240"/>
      <c r="U240"/>
    </row>
    <row r="241" spans="10:21" s="1" customFormat="1" x14ac:dyDescent="0.2">
      <c r="J241"/>
      <c r="K241"/>
      <c r="L241"/>
      <c r="M241"/>
      <c r="N241"/>
      <c r="O241" s="392"/>
      <c r="P241" s="2"/>
      <c r="R241"/>
      <c r="S241"/>
      <c r="U241"/>
    </row>
    <row r="242" spans="10:21" s="1" customFormat="1" x14ac:dyDescent="0.2">
      <c r="J242"/>
      <c r="K242"/>
      <c r="L242"/>
      <c r="M242"/>
      <c r="N242"/>
      <c r="O242" s="392"/>
      <c r="P242" s="2"/>
      <c r="R242"/>
      <c r="S242"/>
      <c r="U242"/>
    </row>
    <row r="243" spans="10:21" s="1" customFormat="1" x14ac:dyDescent="0.2">
      <c r="J243"/>
      <c r="K243"/>
      <c r="L243"/>
      <c r="M243"/>
      <c r="N243"/>
      <c r="O243" s="392"/>
      <c r="P243" s="2"/>
      <c r="R243"/>
      <c r="S243"/>
      <c r="U243"/>
    </row>
    <row r="244" spans="10:21" s="1" customFormat="1" x14ac:dyDescent="0.2">
      <c r="J244"/>
      <c r="K244"/>
      <c r="L244"/>
      <c r="M244"/>
      <c r="N244"/>
      <c r="O244" s="392"/>
      <c r="P244" s="2"/>
      <c r="R244"/>
      <c r="S244"/>
      <c r="U244"/>
    </row>
    <row r="245" spans="10:21" s="1" customFormat="1" x14ac:dyDescent="0.2">
      <c r="J245"/>
      <c r="K245"/>
      <c r="L245"/>
      <c r="M245"/>
      <c r="N245"/>
      <c r="O245" s="392"/>
      <c r="P245" s="2"/>
      <c r="R245"/>
      <c r="S245"/>
      <c r="U245"/>
    </row>
    <row r="246" spans="10:21" s="1" customFormat="1" x14ac:dyDescent="0.2">
      <c r="J246"/>
      <c r="K246"/>
      <c r="L246"/>
      <c r="M246"/>
      <c r="N246"/>
      <c r="O246" s="392"/>
      <c r="P246" s="2"/>
      <c r="R246"/>
      <c r="S246"/>
      <c r="U246"/>
    </row>
    <row r="247" spans="10:21" s="1" customFormat="1" x14ac:dyDescent="0.2">
      <c r="J247"/>
      <c r="K247"/>
      <c r="L247"/>
      <c r="M247"/>
      <c r="N247"/>
      <c r="O247" s="392"/>
      <c r="P247" s="2"/>
      <c r="R247"/>
      <c r="S247"/>
      <c r="U247"/>
    </row>
    <row r="248" spans="10:21" s="1" customFormat="1" x14ac:dyDescent="0.2">
      <c r="J248"/>
      <c r="K248"/>
      <c r="L248"/>
      <c r="M248"/>
      <c r="N248"/>
      <c r="O248" s="392"/>
      <c r="P248" s="2"/>
      <c r="R248"/>
      <c r="S248"/>
      <c r="U248"/>
    </row>
    <row r="249" spans="10:21" s="1" customFormat="1" x14ac:dyDescent="0.2">
      <c r="J249"/>
      <c r="K249"/>
      <c r="L249"/>
      <c r="M249"/>
      <c r="N249"/>
      <c r="O249" s="392"/>
      <c r="P249" s="2"/>
      <c r="R249"/>
      <c r="S249"/>
      <c r="U249"/>
    </row>
    <row r="250" spans="10:21" s="1" customFormat="1" x14ac:dyDescent="0.2">
      <c r="J250"/>
      <c r="K250"/>
      <c r="L250"/>
      <c r="M250"/>
      <c r="N250"/>
      <c r="O250" s="392"/>
      <c r="P250" s="2"/>
      <c r="R250"/>
      <c r="S250"/>
      <c r="U250"/>
    </row>
    <row r="251" spans="10:21" s="1" customFormat="1" x14ac:dyDescent="0.2">
      <c r="J251"/>
      <c r="K251"/>
      <c r="L251"/>
      <c r="M251"/>
      <c r="N251"/>
      <c r="O251" s="392"/>
      <c r="P251" s="2"/>
      <c r="R251"/>
      <c r="S251"/>
      <c r="U251"/>
    </row>
    <row r="252" spans="10:21" s="1" customFormat="1" x14ac:dyDescent="0.2">
      <c r="J252"/>
      <c r="K252"/>
      <c r="L252"/>
      <c r="M252"/>
      <c r="N252"/>
      <c r="O252" s="392"/>
      <c r="P252" s="2"/>
      <c r="R252"/>
      <c r="S252"/>
      <c r="U252"/>
    </row>
    <row r="253" spans="10:21" s="1" customFormat="1" x14ac:dyDescent="0.2">
      <c r="J253"/>
      <c r="K253"/>
      <c r="L253"/>
      <c r="M253"/>
      <c r="N253"/>
      <c r="O253" s="392"/>
      <c r="P253" s="2"/>
      <c r="R253"/>
      <c r="S253"/>
      <c r="U253"/>
    </row>
    <row r="254" spans="10:21" s="1" customFormat="1" x14ac:dyDescent="0.2">
      <c r="J254"/>
      <c r="K254"/>
      <c r="L254"/>
      <c r="M254"/>
      <c r="N254"/>
      <c r="O254" s="392"/>
      <c r="P254" s="2"/>
      <c r="R254"/>
      <c r="S254"/>
      <c r="U254"/>
    </row>
    <row r="255" spans="10:21" s="1" customFormat="1" x14ac:dyDescent="0.2">
      <c r="J255"/>
      <c r="K255"/>
      <c r="L255"/>
      <c r="M255"/>
      <c r="N255"/>
      <c r="O255" s="392"/>
      <c r="P255" s="2"/>
      <c r="R255"/>
      <c r="S255"/>
      <c r="U255"/>
    </row>
    <row r="256" spans="10:21" s="1" customFormat="1" x14ac:dyDescent="0.2">
      <c r="J256"/>
      <c r="K256"/>
      <c r="L256"/>
      <c r="M256"/>
      <c r="N256"/>
      <c r="O256" s="392"/>
      <c r="P256" s="2"/>
      <c r="R256"/>
      <c r="S256"/>
      <c r="U256"/>
    </row>
    <row r="257" spans="10:21" s="1" customFormat="1" x14ac:dyDescent="0.2">
      <c r="J257"/>
      <c r="K257"/>
      <c r="L257"/>
      <c r="M257"/>
      <c r="N257"/>
      <c r="O257" s="392"/>
      <c r="P257" s="2"/>
      <c r="R257"/>
      <c r="S257"/>
      <c r="U257"/>
    </row>
    <row r="258" spans="10:21" s="1" customFormat="1" x14ac:dyDescent="0.2">
      <c r="J258"/>
      <c r="K258"/>
      <c r="L258"/>
      <c r="M258"/>
      <c r="N258"/>
      <c r="O258" s="392"/>
      <c r="P258" s="2"/>
      <c r="R258"/>
      <c r="S258"/>
      <c r="U258"/>
    </row>
    <row r="259" spans="10:21" s="1" customFormat="1" x14ac:dyDescent="0.2">
      <c r="J259"/>
      <c r="K259"/>
      <c r="L259"/>
      <c r="M259"/>
      <c r="N259"/>
      <c r="O259" s="392"/>
      <c r="P259" s="2"/>
      <c r="R259"/>
      <c r="S259"/>
      <c r="U259"/>
    </row>
    <row r="260" spans="10:21" s="1" customFormat="1" x14ac:dyDescent="0.2">
      <c r="J260"/>
      <c r="K260"/>
      <c r="L260"/>
      <c r="M260"/>
      <c r="N260"/>
      <c r="O260" s="392"/>
      <c r="P260" s="2"/>
      <c r="R260"/>
      <c r="S260"/>
      <c r="U260"/>
    </row>
    <row r="261" spans="10:21" s="1" customFormat="1" x14ac:dyDescent="0.2">
      <c r="J261"/>
      <c r="K261"/>
      <c r="L261"/>
      <c r="M261"/>
      <c r="N261"/>
      <c r="O261" s="392"/>
      <c r="P261" s="2"/>
      <c r="R261"/>
      <c r="S261"/>
      <c r="U261"/>
    </row>
    <row r="262" spans="10:21" s="1" customFormat="1" x14ac:dyDescent="0.2">
      <c r="J262"/>
      <c r="K262"/>
      <c r="L262"/>
      <c r="M262"/>
      <c r="N262"/>
      <c r="O262" s="392"/>
      <c r="P262" s="2"/>
      <c r="R262"/>
      <c r="S262"/>
      <c r="U262"/>
    </row>
    <row r="263" spans="10:21" s="1" customFormat="1" x14ac:dyDescent="0.2">
      <c r="J263"/>
      <c r="K263"/>
      <c r="L263"/>
      <c r="M263"/>
      <c r="N263"/>
      <c r="O263" s="392"/>
      <c r="P263" s="2"/>
      <c r="R263"/>
      <c r="S263"/>
      <c r="U263"/>
    </row>
    <row r="264" spans="10:21" s="1" customFormat="1" x14ac:dyDescent="0.2">
      <c r="J264"/>
      <c r="K264"/>
      <c r="L264"/>
      <c r="M264"/>
      <c r="N264"/>
      <c r="O264" s="392"/>
      <c r="P264" s="2"/>
      <c r="R264"/>
      <c r="S264"/>
      <c r="U264"/>
    </row>
    <row r="265" spans="10:21" s="1" customFormat="1" x14ac:dyDescent="0.2">
      <c r="J265"/>
      <c r="K265"/>
      <c r="L265"/>
      <c r="M265"/>
      <c r="N265"/>
      <c r="O265" s="392"/>
      <c r="P265" s="2"/>
      <c r="R265"/>
      <c r="S265"/>
      <c r="U265"/>
    </row>
    <row r="266" spans="10:21" s="1" customFormat="1" x14ac:dyDescent="0.2">
      <c r="J266"/>
      <c r="K266"/>
      <c r="L266"/>
      <c r="M266"/>
      <c r="N266"/>
      <c r="O266" s="392"/>
      <c r="P266" s="2"/>
      <c r="R266"/>
      <c r="S266"/>
      <c r="U266"/>
    </row>
    <row r="267" spans="10:21" s="1" customFormat="1" x14ac:dyDescent="0.2">
      <c r="J267"/>
      <c r="K267"/>
      <c r="L267"/>
      <c r="M267"/>
      <c r="N267"/>
      <c r="O267" s="392"/>
      <c r="P267" s="2"/>
      <c r="R267"/>
      <c r="S267"/>
      <c r="U267"/>
    </row>
    <row r="268" spans="10:21" s="1" customFormat="1" x14ac:dyDescent="0.2">
      <c r="J268"/>
      <c r="K268"/>
      <c r="L268"/>
      <c r="M268"/>
      <c r="N268"/>
      <c r="O268" s="392"/>
      <c r="P268" s="2"/>
      <c r="R268"/>
      <c r="S268"/>
      <c r="U268"/>
    </row>
    <row r="269" spans="10:21" s="1" customFormat="1" x14ac:dyDescent="0.2">
      <c r="J269"/>
      <c r="K269"/>
      <c r="L269"/>
      <c r="M269"/>
      <c r="N269"/>
      <c r="O269" s="392"/>
      <c r="P269" s="2"/>
      <c r="R269"/>
      <c r="S269"/>
      <c r="U269"/>
    </row>
    <row r="270" spans="10:21" s="1" customFormat="1" x14ac:dyDescent="0.2">
      <c r="J270"/>
      <c r="K270"/>
      <c r="L270"/>
      <c r="M270"/>
      <c r="N270"/>
      <c r="O270" s="392"/>
      <c r="P270" s="2"/>
      <c r="R270"/>
      <c r="S270"/>
      <c r="U270"/>
    </row>
    <row r="271" spans="10:21" s="1" customFormat="1" x14ac:dyDescent="0.2">
      <c r="J271"/>
      <c r="K271"/>
      <c r="L271"/>
      <c r="M271"/>
      <c r="N271"/>
      <c r="O271" s="392"/>
      <c r="P271" s="2"/>
      <c r="R271"/>
      <c r="S271"/>
      <c r="U271"/>
    </row>
    <row r="272" spans="10:21" s="1" customFormat="1" x14ac:dyDescent="0.2">
      <c r="J272"/>
      <c r="K272"/>
      <c r="L272"/>
      <c r="M272"/>
      <c r="N272"/>
      <c r="O272" s="392"/>
      <c r="P272" s="2"/>
      <c r="R272"/>
      <c r="S272"/>
      <c r="U272"/>
    </row>
    <row r="273" spans="10:21" s="1" customFormat="1" x14ac:dyDescent="0.2">
      <c r="J273"/>
      <c r="K273"/>
      <c r="L273"/>
      <c r="M273"/>
      <c r="N273"/>
      <c r="O273" s="392"/>
      <c r="P273" s="2"/>
      <c r="R273"/>
      <c r="S273"/>
      <c r="U273"/>
    </row>
    <row r="274" spans="10:21" s="1" customFormat="1" x14ac:dyDescent="0.2">
      <c r="J274"/>
      <c r="K274"/>
      <c r="L274"/>
      <c r="M274"/>
      <c r="N274"/>
      <c r="O274" s="392"/>
      <c r="P274" s="2"/>
      <c r="R274"/>
      <c r="S274"/>
      <c r="U274"/>
    </row>
    <row r="275" spans="10:21" s="1" customFormat="1" x14ac:dyDescent="0.2">
      <c r="J275"/>
      <c r="K275"/>
      <c r="L275"/>
      <c r="M275"/>
      <c r="N275"/>
      <c r="O275" s="392"/>
      <c r="P275" s="2"/>
      <c r="R275"/>
      <c r="S275"/>
      <c r="U275"/>
    </row>
    <row r="276" spans="10:21" s="1" customFormat="1" x14ac:dyDescent="0.2">
      <c r="J276"/>
      <c r="K276"/>
      <c r="L276"/>
      <c r="M276"/>
      <c r="N276"/>
      <c r="O276" s="392"/>
      <c r="P276" s="2"/>
      <c r="R276"/>
      <c r="S276"/>
      <c r="U276"/>
    </row>
    <row r="277" spans="10:21" s="1" customFormat="1" x14ac:dyDescent="0.2">
      <c r="J277"/>
      <c r="K277"/>
      <c r="L277"/>
      <c r="M277"/>
      <c r="N277"/>
      <c r="O277" s="392"/>
      <c r="P277" s="2"/>
      <c r="R277"/>
      <c r="S277"/>
      <c r="U277"/>
    </row>
    <row r="278" spans="10:21" s="1" customFormat="1" x14ac:dyDescent="0.2">
      <c r="J278"/>
      <c r="K278"/>
      <c r="L278"/>
      <c r="M278"/>
      <c r="N278"/>
      <c r="O278" s="392"/>
      <c r="P278" s="2"/>
      <c r="R278"/>
      <c r="S278"/>
      <c r="U278"/>
    </row>
    <row r="279" spans="10:21" s="1" customFormat="1" x14ac:dyDescent="0.2">
      <c r="J279"/>
      <c r="K279"/>
      <c r="L279"/>
      <c r="M279"/>
      <c r="N279"/>
      <c r="O279" s="392"/>
      <c r="P279" s="2"/>
      <c r="R279"/>
      <c r="S279"/>
      <c r="U279"/>
    </row>
    <row r="280" spans="10:21" s="1" customFormat="1" x14ac:dyDescent="0.2">
      <c r="J280"/>
      <c r="K280"/>
      <c r="L280"/>
      <c r="M280"/>
      <c r="N280"/>
      <c r="O280" s="392"/>
      <c r="P280" s="2"/>
      <c r="R280"/>
      <c r="S280"/>
      <c r="U280"/>
    </row>
    <row r="281" spans="10:21" s="1" customFormat="1" x14ac:dyDescent="0.2">
      <c r="J281"/>
      <c r="K281"/>
      <c r="L281"/>
      <c r="M281"/>
      <c r="N281"/>
      <c r="O281" s="392"/>
      <c r="P281" s="2"/>
      <c r="R281"/>
      <c r="S281"/>
      <c r="U281"/>
    </row>
    <row r="282" spans="10:21" s="1" customFormat="1" x14ac:dyDescent="0.2">
      <c r="J282"/>
      <c r="K282"/>
      <c r="L282"/>
      <c r="M282"/>
      <c r="N282"/>
      <c r="O282" s="392"/>
      <c r="P282" s="2"/>
      <c r="R282"/>
      <c r="S282"/>
      <c r="U282"/>
    </row>
    <row r="283" spans="10:21" s="1" customFormat="1" x14ac:dyDescent="0.2">
      <c r="J283"/>
      <c r="K283"/>
      <c r="L283"/>
      <c r="M283"/>
      <c r="N283"/>
      <c r="O283" s="392"/>
      <c r="P283" s="2"/>
      <c r="R283"/>
      <c r="S283"/>
      <c r="U283"/>
    </row>
    <row r="284" spans="10:21" s="1" customFormat="1" x14ac:dyDescent="0.2">
      <c r="J284"/>
      <c r="K284"/>
      <c r="L284"/>
      <c r="M284"/>
      <c r="N284"/>
      <c r="O284" s="392"/>
      <c r="P284" s="2"/>
      <c r="R284"/>
      <c r="S284"/>
      <c r="U284"/>
    </row>
    <row r="285" spans="10:21" s="1" customFormat="1" x14ac:dyDescent="0.2">
      <c r="J285"/>
      <c r="K285"/>
      <c r="L285"/>
      <c r="M285"/>
      <c r="N285"/>
      <c r="O285" s="392"/>
      <c r="P285" s="2"/>
      <c r="R285"/>
      <c r="S285"/>
      <c r="U285"/>
    </row>
    <row r="286" spans="10:21" s="1" customFormat="1" x14ac:dyDescent="0.2">
      <c r="J286"/>
      <c r="K286"/>
      <c r="L286"/>
      <c r="M286"/>
      <c r="N286"/>
      <c r="O286" s="392"/>
      <c r="P286" s="2"/>
      <c r="R286"/>
      <c r="S286"/>
      <c r="U286"/>
    </row>
    <row r="287" spans="10:21" s="1" customFormat="1" x14ac:dyDescent="0.2">
      <c r="J287"/>
      <c r="K287"/>
      <c r="L287"/>
      <c r="M287"/>
      <c r="N287"/>
      <c r="O287" s="392"/>
      <c r="P287" s="2"/>
      <c r="R287"/>
      <c r="S287"/>
      <c r="U287"/>
    </row>
    <row r="288" spans="10:21" s="1" customFormat="1" x14ac:dyDescent="0.2">
      <c r="J288"/>
      <c r="K288"/>
      <c r="L288"/>
      <c r="M288"/>
      <c r="N288"/>
      <c r="O288" s="392"/>
      <c r="P288" s="2"/>
      <c r="R288"/>
      <c r="S288"/>
      <c r="U288"/>
    </row>
    <row r="289" spans="10:21" s="1" customFormat="1" x14ac:dyDescent="0.2">
      <c r="J289"/>
      <c r="K289"/>
      <c r="L289"/>
      <c r="M289"/>
      <c r="N289"/>
      <c r="O289" s="392"/>
      <c r="P289" s="2"/>
      <c r="R289"/>
      <c r="S289"/>
      <c r="U289"/>
    </row>
    <row r="290" spans="10:21" s="1" customFormat="1" x14ac:dyDescent="0.2">
      <c r="J290"/>
      <c r="K290"/>
      <c r="L290"/>
      <c r="M290"/>
      <c r="N290"/>
      <c r="O290" s="392"/>
      <c r="P290" s="2"/>
      <c r="R290"/>
      <c r="S290"/>
      <c r="U290"/>
    </row>
    <row r="291" spans="10:21" s="1" customFormat="1" x14ac:dyDescent="0.2">
      <c r="J291"/>
      <c r="K291"/>
      <c r="L291"/>
      <c r="M291"/>
      <c r="N291"/>
      <c r="O291" s="392"/>
      <c r="P291" s="2"/>
      <c r="R291"/>
      <c r="S291"/>
      <c r="U291"/>
    </row>
    <row r="292" spans="10:21" s="1" customFormat="1" x14ac:dyDescent="0.2">
      <c r="J292"/>
      <c r="K292"/>
      <c r="L292"/>
      <c r="M292"/>
      <c r="N292"/>
      <c r="O292" s="392"/>
      <c r="P292" s="2"/>
      <c r="R292"/>
      <c r="S292"/>
      <c r="U292"/>
    </row>
    <row r="293" spans="10:21" s="1" customFormat="1" x14ac:dyDescent="0.2">
      <c r="J293"/>
      <c r="K293"/>
      <c r="L293"/>
      <c r="M293"/>
      <c r="N293"/>
      <c r="O293" s="392"/>
      <c r="P293" s="2"/>
      <c r="R293"/>
      <c r="S293"/>
      <c r="U293"/>
    </row>
    <row r="294" spans="10:21" s="1" customFormat="1" x14ac:dyDescent="0.2">
      <c r="J294"/>
      <c r="K294"/>
      <c r="L294"/>
      <c r="M294"/>
      <c r="N294"/>
      <c r="O294" s="392"/>
      <c r="P294" s="2"/>
      <c r="R294"/>
      <c r="S294"/>
      <c r="U294"/>
    </row>
    <row r="295" spans="10:21" s="1" customFormat="1" x14ac:dyDescent="0.2">
      <c r="J295"/>
      <c r="K295"/>
      <c r="L295"/>
      <c r="M295"/>
      <c r="N295"/>
      <c r="O295" s="392"/>
      <c r="P295" s="2"/>
      <c r="R295"/>
      <c r="S295"/>
      <c r="U295"/>
    </row>
    <row r="296" spans="10:21" s="1" customFormat="1" x14ac:dyDescent="0.2">
      <c r="J296"/>
      <c r="K296"/>
      <c r="L296"/>
      <c r="M296"/>
      <c r="N296"/>
      <c r="O296" s="392"/>
      <c r="P296" s="2"/>
      <c r="R296"/>
      <c r="S296"/>
      <c r="U296"/>
    </row>
    <row r="297" spans="10:21" s="1" customFormat="1" x14ac:dyDescent="0.2">
      <c r="J297"/>
      <c r="K297"/>
      <c r="L297"/>
      <c r="M297"/>
      <c r="N297"/>
      <c r="O297" s="392"/>
      <c r="P297" s="2"/>
      <c r="R297"/>
      <c r="S297"/>
      <c r="U297"/>
    </row>
    <row r="298" spans="10:21" s="1" customFormat="1" x14ac:dyDescent="0.2">
      <c r="J298"/>
      <c r="K298"/>
      <c r="L298"/>
      <c r="M298"/>
      <c r="N298"/>
      <c r="O298" s="392"/>
      <c r="P298" s="2"/>
      <c r="R298"/>
      <c r="S298"/>
      <c r="U298"/>
    </row>
    <row r="299" spans="10:21" s="1" customFormat="1" x14ac:dyDescent="0.2">
      <c r="J299"/>
      <c r="K299"/>
      <c r="L299"/>
      <c r="M299"/>
      <c r="N299"/>
      <c r="O299" s="392"/>
      <c r="P299" s="2"/>
      <c r="R299"/>
      <c r="S299"/>
      <c r="U299"/>
    </row>
    <row r="300" spans="10:21" s="1" customFormat="1" x14ac:dyDescent="0.2">
      <c r="J300"/>
      <c r="K300"/>
      <c r="L300"/>
      <c r="M300"/>
      <c r="N300"/>
      <c r="O300" s="392"/>
      <c r="P300" s="2"/>
      <c r="R300"/>
      <c r="S300"/>
      <c r="U300"/>
    </row>
    <row r="301" spans="10:21" s="1" customFormat="1" x14ac:dyDescent="0.2">
      <c r="J301"/>
      <c r="K301"/>
      <c r="L301"/>
      <c r="M301"/>
      <c r="N301"/>
      <c r="O301" s="392"/>
      <c r="P301" s="2"/>
      <c r="R301"/>
      <c r="S301"/>
      <c r="U301"/>
    </row>
    <row r="302" spans="10:21" s="1" customFormat="1" x14ac:dyDescent="0.2">
      <c r="J302"/>
      <c r="K302"/>
      <c r="L302"/>
      <c r="M302"/>
      <c r="N302"/>
      <c r="O302" s="392"/>
      <c r="P302" s="2"/>
      <c r="R302"/>
      <c r="S302"/>
      <c r="U302"/>
    </row>
    <row r="303" spans="10:21" s="1" customFormat="1" x14ac:dyDescent="0.2">
      <c r="J303"/>
      <c r="K303"/>
      <c r="L303"/>
      <c r="M303"/>
      <c r="N303"/>
      <c r="O303" s="392"/>
      <c r="P303" s="2"/>
      <c r="R303"/>
      <c r="S303"/>
      <c r="U303"/>
    </row>
    <row r="304" spans="10:21" s="1" customFormat="1" x14ac:dyDescent="0.2">
      <c r="J304"/>
      <c r="K304"/>
      <c r="L304"/>
      <c r="M304"/>
      <c r="N304"/>
      <c r="O304" s="392"/>
      <c r="P304" s="2"/>
      <c r="R304"/>
      <c r="S304"/>
      <c r="U304"/>
    </row>
    <row r="305" spans="10:21" s="1" customFormat="1" x14ac:dyDescent="0.2">
      <c r="J305"/>
      <c r="K305"/>
      <c r="L305"/>
      <c r="M305"/>
      <c r="N305"/>
      <c r="O305" s="392"/>
      <c r="P305" s="2"/>
      <c r="R305"/>
      <c r="S305"/>
      <c r="U305"/>
    </row>
    <row r="306" spans="10:21" s="1" customFormat="1" x14ac:dyDescent="0.2">
      <c r="J306"/>
      <c r="K306"/>
      <c r="L306"/>
      <c r="M306"/>
      <c r="N306"/>
      <c r="O306" s="392"/>
      <c r="P306" s="2"/>
      <c r="R306"/>
      <c r="S306"/>
      <c r="U306"/>
    </row>
    <row r="307" spans="10:21" s="1" customFormat="1" x14ac:dyDescent="0.2">
      <c r="J307"/>
      <c r="K307"/>
      <c r="L307"/>
      <c r="M307"/>
      <c r="N307"/>
      <c r="O307" s="392"/>
      <c r="P307" s="2"/>
      <c r="R307"/>
      <c r="S307"/>
      <c r="U307"/>
    </row>
    <row r="308" spans="10:21" s="1" customFormat="1" x14ac:dyDescent="0.2">
      <c r="J308"/>
      <c r="K308"/>
      <c r="L308"/>
      <c r="M308"/>
      <c r="N308"/>
      <c r="O308" s="392"/>
      <c r="P308" s="2"/>
      <c r="R308"/>
      <c r="S308"/>
      <c r="U308"/>
    </row>
    <row r="309" spans="10:21" s="1" customFormat="1" x14ac:dyDescent="0.2">
      <c r="J309"/>
      <c r="K309"/>
      <c r="L309"/>
      <c r="M309"/>
      <c r="N309"/>
      <c r="O309" s="392"/>
      <c r="P309" s="2"/>
      <c r="R309"/>
      <c r="S309"/>
      <c r="U309"/>
    </row>
    <row r="310" spans="10:21" s="1" customFormat="1" x14ac:dyDescent="0.2">
      <c r="J310"/>
      <c r="K310"/>
      <c r="L310"/>
      <c r="M310"/>
      <c r="N310"/>
      <c r="O310" s="392"/>
      <c r="P310" s="2"/>
      <c r="R310"/>
      <c r="S310"/>
      <c r="U310"/>
    </row>
    <row r="311" spans="10:21" s="1" customFormat="1" x14ac:dyDescent="0.2">
      <c r="J311"/>
      <c r="K311"/>
      <c r="L311"/>
      <c r="M311"/>
      <c r="N311"/>
      <c r="O311" s="392"/>
      <c r="P311" s="2"/>
      <c r="R311"/>
      <c r="S311"/>
      <c r="U311"/>
    </row>
    <row r="312" spans="10:21" s="1" customFormat="1" x14ac:dyDescent="0.2">
      <c r="J312"/>
      <c r="K312"/>
      <c r="L312"/>
      <c r="M312"/>
      <c r="N312"/>
      <c r="O312" s="392"/>
      <c r="P312" s="2"/>
      <c r="R312"/>
      <c r="S312"/>
      <c r="U312"/>
    </row>
    <row r="313" spans="10:21" s="1" customFormat="1" x14ac:dyDescent="0.2">
      <c r="J313"/>
      <c r="K313"/>
      <c r="L313"/>
      <c r="M313"/>
      <c r="N313"/>
      <c r="O313" s="392"/>
      <c r="P313" s="2"/>
      <c r="R313"/>
      <c r="S313"/>
      <c r="U313"/>
    </row>
    <row r="314" spans="10:21" s="1" customFormat="1" x14ac:dyDescent="0.2">
      <c r="J314"/>
      <c r="K314"/>
      <c r="L314"/>
      <c r="M314"/>
      <c r="N314"/>
      <c r="O314" s="392"/>
      <c r="P314" s="2"/>
      <c r="R314"/>
      <c r="S314"/>
      <c r="U314"/>
    </row>
    <row r="315" spans="10:21" s="1" customFormat="1" x14ac:dyDescent="0.2">
      <c r="J315"/>
      <c r="K315"/>
      <c r="L315"/>
      <c r="M315"/>
      <c r="N315"/>
      <c r="O315" s="392"/>
      <c r="P315" s="2"/>
      <c r="R315"/>
      <c r="S315"/>
      <c r="U315"/>
    </row>
    <row r="316" spans="10:21" s="1" customFormat="1" x14ac:dyDescent="0.2">
      <c r="J316"/>
      <c r="K316"/>
      <c r="L316"/>
      <c r="M316"/>
      <c r="N316"/>
      <c r="O316" s="392"/>
      <c r="P316" s="2"/>
      <c r="R316"/>
      <c r="S316"/>
      <c r="U316"/>
    </row>
    <row r="317" spans="10:21" s="1" customFormat="1" x14ac:dyDescent="0.2">
      <c r="J317"/>
      <c r="K317"/>
      <c r="L317"/>
      <c r="M317"/>
      <c r="N317"/>
      <c r="O317" s="392"/>
      <c r="P317" s="2"/>
      <c r="R317"/>
      <c r="S317"/>
      <c r="U317"/>
    </row>
    <row r="318" spans="10:21" s="1" customFormat="1" x14ac:dyDescent="0.2">
      <c r="J318"/>
      <c r="K318"/>
      <c r="L318"/>
      <c r="M318"/>
      <c r="N318"/>
      <c r="O318" s="392"/>
      <c r="P318" s="2"/>
      <c r="R318"/>
      <c r="S318"/>
      <c r="U318"/>
    </row>
    <row r="319" spans="10:21" s="1" customFormat="1" x14ac:dyDescent="0.2">
      <c r="J319"/>
      <c r="K319"/>
      <c r="L319"/>
      <c r="M319"/>
      <c r="N319"/>
      <c r="O319" s="392"/>
      <c r="P319" s="2"/>
      <c r="R319"/>
      <c r="S319"/>
      <c r="U319"/>
    </row>
    <row r="320" spans="10:21" s="1" customFormat="1" x14ac:dyDescent="0.2">
      <c r="J320"/>
      <c r="K320"/>
      <c r="L320"/>
      <c r="M320"/>
      <c r="N320"/>
      <c r="O320" s="392"/>
      <c r="P320" s="2"/>
      <c r="R320"/>
      <c r="S320"/>
      <c r="U320"/>
    </row>
    <row r="321" spans="10:21" s="1" customFormat="1" x14ac:dyDescent="0.2">
      <c r="J321"/>
      <c r="K321"/>
      <c r="L321"/>
      <c r="M321"/>
      <c r="N321"/>
      <c r="O321" s="392"/>
      <c r="P321" s="2"/>
      <c r="R321"/>
      <c r="S321"/>
      <c r="U321"/>
    </row>
    <row r="322" spans="10:21" s="1" customFormat="1" x14ac:dyDescent="0.2">
      <c r="J322"/>
      <c r="K322"/>
      <c r="L322"/>
      <c r="M322"/>
      <c r="N322"/>
      <c r="O322" s="392"/>
      <c r="P322" s="2"/>
      <c r="R322"/>
      <c r="S322"/>
      <c r="U322"/>
    </row>
    <row r="323" spans="10:21" s="1" customFormat="1" x14ac:dyDescent="0.2">
      <c r="J323"/>
      <c r="K323"/>
      <c r="L323"/>
      <c r="M323"/>
      <c r="N323"/>
      <c r="O323" s="392"/>
      <c r="P323" s="2"/>
      <c r="R323"/>
      <c r="S323"/>
      <c r="U323"/>
    </row>
    <row r="324" spans="10:21" s="1" customFormat="1" x14ac:dyDescent="0.2">
      <c r="J324"/>
      <c r="K324"/>
      <c r="L324"/>
      <c r="M324"/>
      <c r="N324"/>
      <c r="O324" s="392"/>
      <c r="P324" s="2"/>
      <c r="R324"/>
      <c r="S324"/>
      <c r="U324"/>
    </row>
    <row r="325" spans="10:21" s="1" customFormat="1" x14ac:dyDescent="0.2">
      <c r="J325"/>
      <c r="K325"/>
      <c r="L325"/>
      <c r="M325"/>
      <c r="N325"/>
      <c r="O325" s="392"/>
      <c r="P325" s="2"/>
      <c r="R325"/>
      <c r="S325"/>
      <c r="U325"/>
    </row>
    <row r="326" spans="10:21" s="1" customFormat="1" x14ac:dyDescent="0.2">
      <c r="J326"/>
      <c r="K326"/>
      <c r="L326"/>
      <c r="M326"/>
      <c r="N326"/>
      <c r="O326" s="392"/>
      <c r="P326" s="2"/>
      <c r="R326"/>
      <c r="S326"/>
      <c r="U326"/>
    </row>
    <row r="327" spans="10:21" s="1" customFormat="1" x14ac:dyDescent="0.2">
      <c r="J327"/>
      <c r="K327"/>
      <c r="L327"/>
      <c r="M327"/>
      <c r="N327"/>
      <c r="O327" s="392"/>
      <c r="P327" s="2"/>
      <c r="R327"/>
      <c r="S327"/>
      <c r="U327"/>
    </row>
    <row r="328" spans="10:21" s="1" customFormat="1" x14ac:dyDescent="0.2">
      <c r="J328"/>
      <c r="K328"/>
      <c r="L328"/>
      <c r="M328"/>
      <c r="N328"/>
      <c r="O328" s="392"/>
      <c r="P328" s="2"/>
      <c r="R328"/>
      <c r="S328"/>
      <c r="U328"/>
    </row>
    <row r="329" spans="10:21" s="1" customFormat="1" x14ac:dyDescent="0.2">
      <c r="J329"/>
      <c r="K329"/>
      <c r="L329"/>
      <c r="M329"/>
      <c r="N329"/>
      <c r="O329" s="392"/>
      <c r="P329" s="2"/>
      <c r="R329"/>
      <c r="S329"/>
      <c r="U329"/>
    </row>
    <row r="330" spans="10:21" s="1" customFormat="1" x14ac:dyDescent="0.2">
      <c r="J330"/>
      <c r="K330"/>
      <c r="L330"/>
      <c r="M330"/>
      <c r="N330"/>
      <c r="O330" s="392"/>
      <c r="P330" s="2"/>
      <c r="R330"/>
      <c r="S330"/>
      <c r="U330"/>
    </row>
    <row r="331" spans="10:21" s="1" customFormat="1" x14ac:dyDescent="0.2">
      <c r="J331"/>
      <c r="K331"/>
      <c r="L331"/>
      <c r="M331"/>
      <c r="N331"/>
      <c r="O331" s="392"/>
      <c r="P331" s="2"/>
      <c r="R331"/>
      <c r="S331"/>
      <c r="U331"/>
    </row>
    <row r="332" spans="10:21" s="1" customFormat="1" x14ac:dyDescent="0.2">
      <c r="J332"/>
      <c r="K332"/>
      <c r="L332"/>
      <c r="M332"/>
      <c r="N332"/>
      <c r="O332" s="392"/>
      <c r="P332" s="2"/>
      <c r="R332"/>
      <c r="S332"/>
      <c r="U332"/>
    </row>
    <row r="333" spans="10:21" s="1" customFormat="1" x14ac:dyDescent="0.2">
      <c r="J333"/>
      <c r="K333"/>
      <c r="L333"/>
      <c r="M333"/>
      <c r="N333"/>
      <c r="O333" s="392"/>
      <c r="P333" s="2"/>
      <c r="R333"/>
      <c r="S333"/>
      <c r="U333"/>
    </row>
    <row r="334" spans="10:21" s="1" customFormat="1" x14ac:dyDescent="0.2">
      <c r="J334"/>
      <c r="K334"/>
      <c r="L334"/>
      <c r="M334"/>
      <c r="N334"/>
      <c r="O334" s="392"/>
      <c r="P334" s="2"/>
      <c r="R334"/>
      <c r="S334"/>
      <c r="U334"/>
    </row>
    <row r="335" spans="10:21" s="1" customFormat="1" x14ac:dyDescent="0.2">
      <c r="J335"/>
      <c r="K335"/>
      <c r="L335"/>
      <c r="M335"/>
      <c r="N335"/>
      <c r="O335" s="392"/>
      <c r="P335" s="2"/>
      <c r="R335"/>
      <c r="S335"/>
      <c r="U335"/>
    </row>
    <row r="336" spans="10:21" s="1" customFormat="1" x14ac:dyDescent="0.2">
      <c r="J336"/>
      <c r="K336"/>
      <c r="L336"/>
      <c r="M336"/>
      <c r="N336"/>
      <c r="O336" s="392"/>
      <c r="P336" s="2"/>
      <c r="R336"/>
      <c r="S336"/>
      <c r="U336"/>
    </row>
    <row r="337" spans="10:21" s="1" customFormat="1" x14ac:dyDescent="0.2">
      <c r="J337"/>
      <c r="K337"/>
      <c r="L337"/>
      <c r="M337"/>
      <c r="N337"/>
      <c r="O337" s="392"/>
      <c r="P337" s="2"/>
      <c r="R337"/>
      <c r="S337"/>
      <c r="U337"/>
    </row>
    <row r="338" spans="10:21" s="1" customFormat="1" x14ac:dyDescent="0.2">
      <c r="J338"/>
      <c r="K338"/>
      <c r="L338"/>
      <c r="M338"/>
      <c r="N338"/>
      <c r="O338" s="392"/>
      <c r="P338" s="2"/>
      <c r="R338"/>
      <c r="S338"/>
      <c r="U338"/>
    </row>
    <row r="339" spans="10:21" s="1" customFormat="1" x14ac:dyDescent="0.2">
      <c r="J339"/>
      <c r="K339"/>
      <c r="L339"/>
      <c r="M339"/>
      <c r="N339"/>
      <c r="O339" s="392"/>
      <c r="P339" s="2"/>
      <c r="R339"/>
      <c r="S339"/>
      <c r="U339"/>
    </row>
    <row r="340" spans="10:21" s="1" customFormat="1" x14ac:dyDescent="0.2">
      <c r="J340"/>
      <c r="K340"/>
      <c r="L340"/>
      <c r="M340"/>
      <c r="N340"/>
      <c r="O340" s="392"/>
      <c r="P340" s="2"/>
      <c r="R340"/>
      <c r="S340"/>
      <c r="U340"/>
    </row>
    <row r="341" spans="10:21" s="1" customFormat="1" x14ac:dyDescent="0.2">
      <c r="J341"/>
      <c r="K341"/>
      <c r="L341"/>
      <c r="M341"/>
      <c r="N341"/>
      <c r="O341" s="392"/>
      <c r="P341" s="2"/>
      <c r="R341"/>
      <c r="S341"/>
      <c r="U341"/>
    </row>
    <row r="342" spans="10:21" s="1" customFormat="1" x14ac:dyDescent="0.2">
      <c r="J342"/>
      <c r="K342"/>
      <c r="L342"/>
      <c r="M342"/>
      <c r="N342"/>
      <c r="O342" s="392"/>
      <c r="P342" s="2"/>
      <c r="R342"/>
      <c r="S342"/>
      <c r="U342"/>
    </row>
    <row r="343" spans="10:21" s="1" customFormat="1" x14ac:dyDescent="0.2">
      <c r="J343"/>
      <c r="K343"/>
      <c r="L343"/>
      <c r="M343"/>
      <c r="N343"/>
      <c r="O343" s="392"/>
      <c r="P343" s="2"/>
      <c r="R343"/>
      <c r="S343"/>
      <c r="U343"/>
    </row>
    <row r="344" spans="10:21" s="1" customFormat="1" x14ac:dyDescent="0.2">
      <c r="J344"/>
      <c r="K344"/>
      <c r="L344"/>
      <c r="M344"/>
      <c r="N344"/>
      <c r="O344" s="392"/>
      <c r="P344" s="2"/>
      <c r="R344"/>
      <c r="S344"/>
      <c r="U344"/>
    </row>
    <row r="345" spans="10:21" s="1" customFormat="1" x14ac:dyDescent="0.2">
      <c r="J345"/>
      <c r="K345"/>
      <c r="L345"/>
      <c r="M345"/>
      <c r="N345"/>
      <c r="O345" s="392"/>
      <c r="P345" s="2"/>
      <c r="R345"/>
      <c r="S345"/>
      <c r="U345"/>
    </row>
    <row r="346" spans="10:21" s="1" customFormat="1" x14ac:dyDescent="0.2">
      <c r="J346"/>
      <c r="K346"/>
      <c r="L346"/>
      <c r="M346"/>
      <c r="N346"/>
      <c r="O346" s="392"/>
      <c r="P346" s="2"/>
      <c r="R346"/>
      <c r="S346"/>
      <c r="U346"/>
    </row>
    <row r="347" spans="10:21" s="1" customFormat="1" x14ac:dyDescent="0.2">
      <c r="J347"/>
      <c r="K347"/>
      <c r="L347"/>
      <c r="M347"/>
      <c r="N347"/>
      <c r="O347" s="392"/>
      <c r="P347" s="2"/>
      <c r="R347"/>
      <c r="S347"/>
      <c r="U347"/>
    </row>
    <row r="348" spans="10:21" s="1" customFormat="1" x14ac:dyDescent="0.2">
      <c r="J348"/>
      <c r="K348"/>
      <c r="L348"/>
      <c r="M348"/>
      <c r="N348"/>
      <c r="O348" s="392"/>
      <c r="P348" s="2"/>
      <c r="R348"/>
      <c r="S348"/>
      <c r="U348"/>
    </row>
    <row r="349" spans="10:21" s="1" customFormat="1" x14ac:dyDescent="0.2">
      <c r="J349"/>
      <c r="K349"/>
      <c r="L349"/>
      <c r="M349"/>
      <c r="N349"/>
      <c r="O349" s="392"/>
      <c r="P349" s="2"/>
      <c r="R349"/>
      <c r="S349"/>
      <c r="U349"/>
    </row>
    <row r="350" spans="10:21" s="1" customFormat="1" x14ac:dyDescent="0.2">
      <c r="J350"/>
      <c r="K350"/>
      <c r="L350"/>
      <c r="M350"/>
      <c r="N350"/>
      <c r="O350" s="392"/>
      <c r="P350" s="2"/>
      <c r="R350"/>
      <c r="S350"/>
      <c r="U350"/>
    </row>
    <row r="351" spans="10:21" s="1" customFormat="1" x14ac:dyDescent="0.2">
      <c r="J351"/>
      <c r="K351"/>
      <c r="L351"/>
      <c r="M351"/>
      <c r="N351"/>
      <c r="O351" s="392"/>
      <c r="P351" s="2"/>
      <c r="R351"/>
      <c r="S351"/>
      <c r="U351"/>
    </row>
    <row r="352" spans="10:21" s="1" customFormat="1" x14ac:dyDescent="0.2">
      <c r="J352"/>
      <c r="K352"/>
      <c r="L352"/>
      <c r="M352"/>
      <c r="N352"/>
      <c r="O352" s="392"/>
      <c r="P352" s="2"/>
      <c r="R352"/>
      <c r="S352"/>
      <c r="U352"/>
    </row>
    <row r="353" spans="10:21" s="1" customFormat="1" x14ac:dyDescent="0.2">
      <c r="J353"/>
      <c r="K353"/>
      <c r="L353"/>
      <c r="M353"/>
      <c r="N353"/>
      <c r="O353" s="392"/>
      <c r="P353" s="2"/>
      <c r="R353"/>
      <c r="S353"/>
      <c r="U353"/>
    </row>
    <row r="354" spans="10:21" s="1" customFormat="1" x14ac:dyDescent="0.2">
      <c r="J354"/>
      <c r="K354"/>
      <c r="L354"/>
      <c r="M354"/>
      <c r="N354"/>
      <c r="O354" s="392"/>
      <c r="P354" s="2"/>
      <c r="R354"/>
      <c r="S354"/>
      <c r="U354"/>
    </row>
    <row r="355" spans="10:21" s="1" customFormat="1" x14ac:dyDescent="0.2">
      <c r="J355"/>
      <c r="K355"/>
      <c r="L355"/>
      <c r="M355"/>
      <c r="N355"/>
      <c r="O355" s="392"/>
      <c r="P355" s="2"/>
      <c r="R355"/>
      <c r="S355"/>
      <c r="U355"/>
    </row>
    <row r="356" spans="10:21" s="1" customFormat="1" x14ac:dyDescent="0.2">
      <c r="J356"/>
      <c r="K356"/>
      <c r="L356"/>
      <c r="M356"/>
      <c r="N356"/>
      <c r="O356" s="392"/>
      <c r="P356" s="2"/>
      <c r="R356"/>
      <c r="S356"/>
      <c r="U356"/>
    </row>
    <row r="357" spans="10:21" s="1" customFormat="1" x14ac:dyDescent="0.2">
      <c r="J357"/>
      <c r="K357"/>
      <c r="L357"/>
      <c r="M357"/>
      <c r="N357"/>
      <c r="O357" s="392"/>
      <c r="P357" s="2"/>
      <c r="R357"/>
      <c r="S357"/>
      <c r="U357"/>
    </row>
    <row r="358" spans="10:21" s="1" customFormat="1" x14ac:dyDescent="0.2">
      <c r="J358"/>
      <c r="K358"/>
      <c r="L358"/>
      <c r="M358"/>
      <c r="N358"/>
      <c r="O358" s="392"/>
      <c r="P358" s="2"/>
      <c r="R358"/>
      <c r="S358"/>
      <c r="U358"/>
    </row>
    <row r="359" spans="10:21" s="1" customFormat="1" x14ac:dyDescent="0.2">
      <c r="J359"/>
      <c r="K359"/>
      <c r="L359"/>
      <c r="M359"/>
      <c r="N359"/>
      <c r="O359" s="392"/>
      <c r="P359" s="2"/>
      <c r="R359"/>
      <c r="S359"/>
      <c r="U359"/>
    </row>
    <row r="360" spans="10:21" s="1" customFormat="1" x14ac:dyDescent="0.2">
      <c r="J360"/>
      <c r="K360"/>
      <c r="L360"/>
      <c r="M360"/>
      <c r="N360"/>
      <c r="O360" s="392"/>
      <c r="P360" s="2"/>
      <c r="R360"/>
      <c r="S360"/>
      <c r="U360"/>
    </row>
    <row r="361" spans="10:21" s="1" customFormat="1" x14ac:dyDescent="0.2">
      <c r="J361"/>
      <c r="K361"/>
      <c r="L361"/>
      <c r="M361"/>
      <c r="N361"/>
      <c r="O361" s="392"/>
      <c r="P361" s="2"/>
      <c r="R361"/>
      <c r="S361"/>
      <c r="U361"/>
    </row>
    <row r="362" spans="10:21" s="1" customFormat="1" x14ac:dyDescent="0.2">
      <c r="J362"/>
      <c r="K362"/>
      <c r="L362"/>
      <c r="M362"/>
      <c r="N362"/>
      <c r="O362" s="392"/>
      <c r="P362" s="2"/>
      <c r="R362"/>
      <c r="S362"/>
      <c r="U362"/>
    </row>
    <row r="363" spans="10:21" s="1" customFormat="1" x14ac:dyDescent="0.2">
      <c r="J363"/>
      <c r="K363"/>
      <c r="L363"/>
      <c r="M363"/>
      <c r="N363"/>
      <c r="O363" s="392"/>
      <c r="P363" s="2"/>
      <c r="R363"/>
      <c r="S363"/>
      <c r="U363"/>
    </row>
    <row r="364" spans="10:21" s="1" customFormat="1" x14ac:dyDescent="0.2">
      <c r="J364"/>
      <c r="K364"/>
      <c r="L364"/>
      <c r="M364"/>
      <c r="N364"/>
      <c r="O364" s="392"/>
      <c r="P364" s="2"/>
      <c r="R364"/>
      <c r="S364"/>
      <c r="U364"/>
    </row>
    <row r="365" spans="10:21" s="1" customFormat="1" x14ac:dyDescent="0.2">
      <c r="J365"/>
      <c r="K365"/>
      <c r="L365"/>
      <c r="M365"/>
      <c r="N365"/>
      <c r="O365" s="392"/>
      <c r="P365" s="2"/>
      <c r="R365"/>
      <c r="S365"/>
      <c r="U365"/>
    </row>
    <row r="366" spans="10:21" s="1" customFormat="1" x14ac:dyDescent="0.2">
      <c r="J366"/>
      <c r="K366"/>
      <c r="L366"/>
      <c r="M366"/>
      <c r="N366"/>
      <c r="O366" s="392"/>
      <c r="P366" s="2"/>
      <c r="R366"/>
      <c r="S366"/>
      <c r="U366"/>
    </row>
    <row r="367" spans="10:21" s="1" customFormat="1" x14ac:dyDescent="0.2">
      <c r="J367"/>
      <c r="K367"/>
      <c r="L367"/>
      <c r="M367"/>
      <c r="N367"/>
      <c r="O367" s="392"/>
      <c r="P367" s="2"/>
      <c r="R367"/>
      <c r="S367"/>
      <c r="U367"/>
    </row>
    <row r="368" spans="10:21" s="1" customFormat="1" x14ac:dyDescent="0.2">
      <c r="J368"/>
      <c r="K368"/>
      <c r="L368"/>
      <c r="M368"/>
      <c r="N368"/>
      <c r="O368" s="392"/>
      <c r="P368" s="2"/>
      <c r="R368"/>
      <c r="S368"/>
      <c r="U368"/>
    </row>
    <row r="369" spans="10:21" s="1" customFormat="1" x14ac:dyDescent="0.2">
      <c r="J369"/>
      <c r="K369"/>
      <c r="L369"/>
      <c r="M369"/>
      <c r="N369"/>
      <c r="O369" s="392"/>
      <c r="P369" s="2"/>
      <c r="R369"/>
      <c r="S369"/>
      <c r="U369"/>
    </row>
    <row r="370" spans="10:21" s="1" customFormat="1" x14ac:dyDescent="0.2">
      <c r="J370"/>
      <c r="K370"/>
      <c r="L370"/>
      <c r="M370"/>
      <c r="N370"/>
      <c r="O370" s="392"/>
      <c r="P370" s="2"/>
      <c r="R370"/>
      <c r="S370"/>
      <c r="U370"/>
    </row>
    <row r="371" spans="10:21" s="1" customFormat="1" x14ac:dyDescent="0.2">
      <c r="J371"/>
      <c r="K371"/>
      <c r="L371"/>
      <c r="M371"/>
      <c r="N371"/>
      <c r="O371" s="392"/>
      <c r="P371" s="2"/>
      <c r="R371"/>
      <c r="S371"/>
      <c r="U371"/>
    </row>
    <row r="372" spans="10:21" s="1" customFormat="1" x14ac:dyDescent="0.2">
      <c r="J372"/>
      <c r="K372"/>
      <c r="L372"/>
      <c r="M372"/>
      <c r="N372"/>
      <c r="O372" s="392"/>
      <c r="P372" s="2"/>
      <c r="R372"/>
      <c r="S372"/>
      <c r="U372"/>
    </row>
    <row r="373" spans="10:21" s="1" customFormat="1" x14ac:dyDescent="0.2">
      <c r="J373"/>
      <c r="K373"/>
      <c r="L373"/>
      <c r="M373"/>
      <c r="N373"/>
      <c r="O373" s="392"/>
      <c r="P373" s="2"/>
      <c r="R373"/>
      <c r="S373"/>
      <c r="U373"/>
    </row>
    <row r="374" spans="10:21" s="1" customFormat="1" x14ac:dyDescent="0.2">
      <c r="J374"/>
      <c r="K374"/>
      <c r="L374"/>
      <c r="M374"/>
      <c r="N374"/>
      <c r="O374" s="392"/>
      <c r="P374" s="2"/>
      <c r="R374"/>
      <c r="S374"/>
      <c r="U374"/>
    </row>
    <row r="375" spans="10:21" s="1" customFormat="1" x14ac:dyDescent="0.2">
      <c r="J375"/>
      <c r="K375"/>
      <c r="L375"/>
      <c r="M375"/>
      <c r="N375"/>
      <c r="O375" s="392"/>
      <c r="P375" s="2"/>
      <c r="R375"/>
      <c r="S375"/>
      <c r="U375"/>
    </row>
    <row r="376" spans="10:21" s="1" customFormat="1" x14ac:dyDescent="0.2">
      <c r="J376"/>
      <c r="K376"/>
      <c r="L376"/>
      <c r="M376"/>
      <c r="N376"/>
      <c r="O376" s="392"/>
      <c r="P376" s="2"/>
      <c r="R376"/>
      <c r="S376"/>
      <c r="U376"/>
    </row>
    <row r="377" spans="10:21" s="1" customFormat="1" x14ac:dyDescent="0.2">
      <c r="J377"/>
      <c r="K377"/>
      <c r="L377"/>
      <c r="M377"/>
      <c r="N377"/>
      <c r="O377" s="392"/>
      <c r="P377" s="2"/>
      <c r="R377"/>
      <c r="S377"/>
      <c r="U377"/>
    </row>
    <row r="378" spans="10:21" s="1" customFormat="1" x14ac:dyDescent="0.2">
      <c r="J378"/>
      <c r="K378"/>
      <c r="L378"/>
      <c r="M378"/>
      <c r="N378"/>
      <c r="O378" s="392"/>
      <c r="P378" s="2"/>
      <c r="R378"/>
      <c r="S378"/>
      <c r="U378"/>
    </row>
    <row r="379" spans="10:21" s="1" customFormat="1" x14ac:dyDescent="0.2">
      <c r="J379"/>
      <c r="K379"/>
      <c r="L379"/>
      <c r="M379"/>
      <c r="N379"/>
      <c r="O379" s="392"/>
      <c r="P379" s="2"/>
      <c r="R379"/>
      <c r="S379"/>
      <c r="U379"/>
    </row>
    <row r="380" spans="10:21" s="1" customFormat="1" x14ac:dyDescent="0.2">
      <c r="J380"/>
      <c r="K380"/>
      <c r="L380"/>
      <c r="M380"/>
      <c r="N380"/>
      <c r="O380" s="392"/>
      <c r="P380" s="2"/>
      <c r="R380"/>
      <c r="S380"/>
      <c r="U380"/>
    </row>
    <row r="381" spans="10:21" s="1" customFormat="1" x14ac:dyDescent="0.2">
      <c r="J381"/>
      <c r="K381"/>
      <c r="L381"/>
      <c r="M381"/>
      <c r="N381"/>
      <c r="O381" s="392"/>
      <c r="P381" s="2"/>
      <c r="R381"/>
      <c r="S381"/>
      <c r="U381"/>
    </row>
    <row r="382" spans="10:21" s="1" customFormat="1" x14ac:dyDescent="0.2">
      <c r="J382"/>
      <c r="K382"/>
      <c r="L382"/>
      <c r="M382"/>
      <c r="N382"/>
      <c r="O382" s="392"/>
      <c r="P382" s="2"/>
      <c r="R382"/>
      <c r="S382"/>
      <c r="U382"/>
    </row>
    <row r="383" spans="10:21" s="1" customFormat="1" x14ac:dyDescent="0.2">
      <c r="J383"/>
      <c r="K383"/>
      <c r="L383"/>
      <c r="M383"/>
      <c r="N383"/>
      <c r="O383" s="392"/>
      <c r="P383" s="2"/>
      <c r="R383"/>
      <c r="S383"/>
      <c r="U383"/>
    </row>
    <row r="384" spans="10:21" s="1" customFormat="1" x14ac:dyDescent="0.2">
      <c r="J384"/>
      <c r="K384"/>
      <c r="L384"/>
      <c r="M384"/>
      <c r="N384"/>
      <c r="O384" s="392"/>
      <c r="P384" s="2"/>
      <c r="R384"/>
      <c r="S384"/>
      <c r="U384"/>
    </row>
    <row r="385" spans="10:21" s="1" customFormat="1" x14ac:dyDescent="0.2">
      <c r="J385"/>
      <c r="K385"/>
      <c r="L385"/>
      <c r="M385"/>
      <c r="N385"/>
      <c r="O385" s="392"/>
      <c r="P385" s="2"/>
      <c r="R385"/>
      <c r="S385"/>
      <c r="U385"/>
    </row>
    <row r="386" spans="10:21" s="1" customFormat="1" x14ac:dyDescent="0.2">
      <c r="J386"/>
      <c r="K386"/>
      <c r="L386"/>
      <c r="M386"/>
      <c r="N386"/>
      <c r="O386" s="392"/>
      <c r="P386" s="2"/>
      <c r="R386"/>
      <c r="S386"/>
      <c r="U386"/>
    </row>
    <row r="387" spans="10:21" s="1" customFormat="1" x14ac:dyDescent="0.2">
      <c r="J387"/>
      <c r="K387"/>
      <c r="L387"/>
      <c r="M387"/>
      <c r="N387"/>
      <c r="O387" s="392"/>
      <c r="P387" s="2"/>
      <c r="R387"/>
      <c r="S387"/>
      <c r="U387"/>
    </row>
    <row r="388" spans="10:21" s="1" customFormat="1" x14ac:dyDescent="0.2">
      <c r="J388"/>
      <c r="K388"/>
      <c r="L388"/>
      <c r="M388"/>
      <c r="N388"/>
      <c r="O388" s="392"/>
      <c r="P388" s="2"/>
      <c r="R388"/>
      <c r="S388"/>
      <c r="U388"/>
    </row>
    <row r="389" spans="10:21" s="1" customFormat="1" x14ac:dyDescent="0.2">
      <c r="J389"/>
      <c r="K389"/>
      <c r="L389"/>
      <c r="M389"/>
      <c r="N389"/>
      <c r="O389" s="392"/>
      <c r="P389" s="2"/>
      <c r="R389"/>
      <c r="S389"/>
      <c r="U389"/>
    </row>
    <row r="390" spans="10:21" s="1" customFormat="1" x14ac:dyDescent="0.2">
      <c r="J390"/>
      <c r="K390"/>
      <c r="L390"/>
      <c r="M390"/>
      <c r="N390"/>
      <c r="O390" s="392"/>
      <c r="P390" s="2"/>
      <c r="R390"/>
      <c r="S390"/>
      <c r="U390"/>
    </row>
    <row r="391" spans="10:21" s="1" customFormat="1" x14ac:dyDescent="0.2">
      <c r="J391"/>
      <c r="K391"/>
      <c r="L391"/>
      <c r="M391"/>
      <c r="N391"/>
      <c r="O391" s="392"/>
      <c r="P391" s="2"/>
      <c r="R391"/>
      <c r="S391"/>
      <c r="U391"/>
    </row>
    <row r="392" spans="10:21" s="1" customFormat="1" x14ac:dyDescent="0.2">
      <c r="J392"/>
      <c r="K392"/>
      <c r="L392"/>
      <c r="M392"/>
      <c r="N392"/>
      <c r="O392" s="392"/>
      <c r="P392" s="2"/>
      <c r="R392"/>
      <c r="S392"/>
      <c r="U392"/>
    </row>
    <row r="393" spans="10:21" s="1" customFormat="1" x14ac:dyDescent="0.2">
      <c r="J393"/>
      <c r="K393"/>
      <c r="L393"/>
      <c r="M393"/>
      <c r="N393"/>
      <c r="O393" s="392"/>
      <c r="P393" s="2"/>
      <c r="R393"/>
      <c r="S393"/>
      <c r="U393"/>
    </row>
    <row r="394" spans="10:21" s="1" customFormat="1" x14ac:dyDescent="0.2">
      <c r="J394"/>
      <c r="K394"/>
      <c r="L394"/>
      <c r="M394"/>
      <c r="N394"/>
      <c r="O394" s="392"/>
      <c r="P394" s="2"/>
      <c r="R394"/>
      <c r="S394"/>
      <c r="U394"/>
    </row>
    <row r="395" spans="10:21" s="1" customFormat="1" x14ac:dyDescent="0.2">
      <c r="J395"/>
      <c r="K395"/>
      <c r="L395"/>
      <c r="M395"/>
      <c r="N395"/>
      <c r="O395" s="392"/>
      <c r="P395" s="2"/>
      <c r="R395"/>
      <c r="S395"/>
      <c r="U395"/>
    </row>
    <row r="396" spans="10:21" s="1" customFormat="1" x14ac:dyDescent="0.2">
      <c r="J396"/>
      <c r="K396"/>
      <c r="L396"/>
      <c r="M396"/>
      <c r="N396"/>
      <c r="O396" s="392"/>
      <c r="P396" s="2"/>
      <c r="R396"/>
      <c r="S396"/>
      <c r="U396"/>
    </row>
    <row r="397" spans="10:21" s="1" customFormat="1" x14ac:dyDescent="0.2">
      <c r="J397"/>
      <c r="K397"/>
      <c r="L397"/>
      <c r="M397"/>
      <c r="N397"/>
      <c r="O397" s="392"/>
      <c r="P397" s="2"/>
      <c r="R397"/>
      <c r="S397"/>
      <c r="U397"/>
    </row>
    <row r="398" spans="10:21" s="1" customFormat="1" x14ac:dyDescent="0.2">
      <c r="J398"/>
      <c r="K398"/>
      <c r="L398"/>
      <c r="M398"/>
      <c r="N398"/>
      <c r="O398" s="392"/>
      <c r="P398" s="2"/>
      <c r="R398"/>
      <c r="S398"/>
      <c r="U398"/>
    </row>
    <row r="399" spans="10:21" s="1" customFormat="1" x14ac:dyDescent="0.2">
      <c r="J399"/>
      <c r="K399"/>
      <c r="L399"/>
      <c r="M399"/>
      <c r="N399"/>
      <c r="O399" s="392"/>
      <c r="P399" s="2"/>
      <c r="R399"/>
      <c r="S399"/>
      <c r="U399"/>
    </row>
    <row r="400" spans="10:21" s="1" customFormat="1" x14ac:dyDescent="0.2">
      <c r="J400"/>
      <c r="K400"/>
      <c r="L400"/>
      <c r="M400"/>
      <c r="N400"/>
      <c r="O400" s="392"/>
      <c r="P400" s="2"/>
      <c r="R400"/>
      <c r="S400"/>
      <c r="U400"/>
    </row>
    <row r="401" spans="10:21" s="1" customFormat="1" x14ac:dyDescent="0.2">
      <c r="J401"/>
      <c r="K401"/>
      <c r="L401"/>
      <c r="M401"/>
      <c r="N401"/>
      <c r="O401" s="392"/>
      <c r="P401" s="2"/>
      <c r="R401"/>
      <c r="S401"/>
      <c r="U401"/>
    </row>
    <row r="402" spans="10:21" s="1" customFormat="1" x14ac:dyDescent="0.2">
      <c r="J402"/>
      <c r="K402"/>
      <c r="L402"/>
      <c r="M402"/>
      <c r="N402"/>
      <c r="O402" s="392"/>
      <c r="P402" s="2"/>
      <c r="R402"/>
      <c r="S402"/>
      <c r="U402"/>
    </row>
    <row r="403" spans="10:21" s="1" customFormat="1" x14ac:dyDescent="0.2">
      <c r="J403"/>
      <c r="K403"/>
      <c r="L403"/>
      <c r="M403"/>
      <c r="N403"/>
      <c r="O403" s="392"/>
      <c r="P403" s="2"/>
      <c r="R403"/>
      <c r="S403"/>
      <c r="U403"/>
    </row>
    <row r="404" spans="10:21" s="1" customFormat="1" x14ac:dyDescent="0.2">
      <c r="J404"/>
      <c r="K404"/>
      <c r="L404"/>
      <c r="M404"/>
      <c r="N404"/>
      <c r="O404" s="392"/>
      <c r="P404" s="2"/>
      <c r="R404"/>
      <c r="S404"/>
      <c r="U404"/>
    </row>
    <row r="405" spans="10:21" s="1" customFormat="1" x14ac:dyDescent="0.2">
      <c r="J405"/>
      <c r="K405"/>
      <c r="L405"/>
      <c r="M405"/>
      <c r="N405"/>
      <c r="O405" s="392"/>
      <c r="P405" s="2"/>
      <c r="R405"/>
      <c r="S405"/>
      <c r="U405"/>
    </row>
    <row r="406" spans="10:21" s="1" customFormat="1" x14ac:dyDescent="0.2">
      <c r="J406"/>
      <c r="K406"/>
      <c r="L406"/>
      <c r="M406"/>
      <c r="N406"/>
      <c r="O406" s="392"/>
      <c r="P406" s="2"/>
      <c r="R406"/>
      <c r="S406"/>
      <c r="U406"/>
    </row>
    <row r="407" spans="10:21" s="1" customFormat="1" x14ac:dyDescent="0.2">
      <c r="J407"/>
      <c r="K407"/>
      <c r="L407"/>
      <c r="M407"/>
      <c r="N407"/>
      <c r="O407" s="392"/>
      <c r="P407" s="2"/>
      <c r="R407"/>
      <c r="S407"/>
      <c r="U407"/>
    </row>
    <row r="408" spans="10:21" s="1" customFormat="1" x14ac:dyDescent="0.2">
      <c r="J408"/>
      <c r="K408"/>
      <c r="L408"/>
      <c r="M408"/>
      <c r="N408"/>
      <c r="O408" s="392"/>
      <c r="P408" s="2"/>
      <c r="R408"/>
      <c r="S408"/>
      <c r="U408"/>
    </row>
    <row r="409" spans="10:21" s="1" customFormat="1" x14ac:dyDescent="0.2">
      <c r="J409"/>
      <c r="K409"/>
      <c r="L409"/>
      <c r="M409"/>
      <c r="N409"/>
      <c r="O409" s="392"/>
      <c r="P409" s="2"/>
      <c r="R409"/>
      <c r="S409"/>
      <c r="U409"/>
    </row>
    <row r="410" spans="10:21" s="1" customFormat="1" x14ac:dyDescent="0.2">
      <c r="J410"/>
      <c r="K410"/>
      <c r="L410"/>
      <c r="M410"/>
      <c r="N410"/>
      <c r="O410" s="392"/>
      <c r="P410" s="2"/>
      <c r="R410"/>
      <c r="S410"/>
      <c r="U410"/>
    </row>
    <row r="411" spans="10:21" s="1" customFormat="1" x14ac:dyDescent="0.2">
      <c r="J411"/>
      <c r="K411"/>
      <c r="L411"/>
      <c r="M411"/>
      <c r="N411"/>
      <c r="O411" s="392"/>
      <c r="P411" s="2"/>
      <c r="R411"/>
      <c r="S411"/>
      <c r="U411"/>
    </row>
    <row r="412" spans="10:21" s="1" customFormat="1" x14ac:dyDescent="0.2">
      <c r="J412"/>
      <c r="K412"/>
      <c r="L412"/>
      <c r="M412"/>
      <c r="N412"/>
      <c r="O412" s="392"/>
      <c r="P412" s="2"/>
      <c r="R412"/>
      <c r="S412"/>
      <c r="U412"/>
    </row>
    <row r="413" spans="10:21" s="1" customFormat="1" x14ac:dyDescent="0.2">
      <c r="J413"/>
      <c r="K413"/>
      <c r="L413"/>
      <c r="M413"/>
      <c r="N413"/>
      <c r="O413" s="392"/>
      <c r="P413" s="2"/>
      <c r="R413"/>
      <c r="S413"/>
      <c r="U413"/>
    </row>
    <row r="414" spans="10:21" s="1" customFormat="1" x14ac:dyDescent="0.2">
      <c r="J414"/>
      <c r="K414"/>
      <c r="L414"/>
      <c r="M414"/>
      <c r="N414"/>
      <c r="O414" s="392"/>
      <c r="P414" s="2"/>
      <c r="R414"/>
      <c r="S414"/>
      <c r="U414"/>
    </row>
    <row r="415" spans="10:21" s="1" customFormat="1" x14ac:dyDescent="0.2">
      <c r="J415"/>
      <c r="K415"/>
      <c r="L415"/>
      <c r="M415"/>
      <c r="N415"/>
      <c r="O415" s="392"/>
      <c r="P415" s="2"/>
      <c r="R415"/>
      <c r="S415"/>
      <c r="U415"/>
    </row>
    <row r="416" spans="10:21" s="1" customFormat="1" x14ac:dyDescent="0.2">
      <c r="J416"/>
      <c r="K416"/>
      <c r="L416"/>
      <c r="M416"/>
      <c r="N416"/>
      <c r="O416" s="392"/>
      <c r="P416" s="2"/>
      <c r="R416"/>
      <c r="S416"/>
      <c r="U416"/>
    </row>
    <row r="417" spans="10:21" s="1" customFormat="1" x14ac:dyDescent="0.2">
      <c r="J417"/>
      <c r="K417"/>
      <c r="L417"/>
      <c r="M417"/>
      <c r="N417"/>
      <c r="O417" s="392"/>
      <c r="P417" s="2"/>
      <c r="R417"/>
      <c r="S417"/>
      <c r="U417"/>
    </row>
    <row r="418" spans="10:21" s="1" customFormat="1" x14ac:dyDescent="0.2">
      <c r="J418"/>
      <c r="K418"/>
      <c r="L418"/>
      <c r="M418"/>
      <c r="N418"/>
      <c r="O418" s="392"/>
      <c r="P418" s="2"/>
      <c r="R418"/>
      <c r="S418"/>
      <c r="U418"/>
    </row>
    <row r="419" spans="10:21" s="1" customFormat="1" x14ac:dyDescent="0.2">
      <c r="J419"/>
      <c r="K419"/>
      <c r="L419"/>
      <c r="M419"/>
      <c r="N419"/>
      <c r="O419" s="392"/>
      <c r="P419" s="2"/>
      <c r="R419"/>
      <c r="S419"/>
      <c r="U419"/>
    </row>
    <row r="420" spans="10:21" s="1" customFormat="1" x14ac:dyDescent="0.2">
      <c r="J420"/>
      <c r="K420"/>
      <c r="L420"/>
      <c r="M420"/>
      <c r="N420"/>
      <c r="O420" s="392"/>
      <c r="P420" s="2"/>
      <c r="R420"/>
      <c r="S420"/>
      <c r="U420"/>
    </row>
    <row r="421" spans="10:21" s="1" customFormat="1" x14ac:dyDescent="0.2">
      <c r="J421"/>
      <c r="K421"/>
      <c r="L421"/>
      <c r="M421"/>
      <c r="N421"/>
      <c r="O421" s="392"/>
      <c r="P421" s="2"/>
      <c r="R421"/>
      <c r="S421"/>
      <c r="U421"/>
    </row>
    <row r="422" spans="10:21" s="1" customFormat="1" x14ac:dyDescent="0.2">
      <c r="J422"/>
      <c r="K422"/>
      <c r="L422"/>
      <c r="M422"/>
      <c r="N422"/>
      <c r="O422" s="392"/>
      <c r="P422" s="2"/>
      <c r="R422"/>
      <c r="S422"/>
      <c r="U422"/>
    </row>
    <row r="423" spans="10:21" s="1" customFormat="1" x14ac:dyDescent="0.2">
      <c r="J423"/>
      <c r="K423"/>
      <c r="L423"/>
      <c r="M423"/>
      <c r="N423"/>
      <c r="O423" s="392"/>
      <c r="P423" s="2"/>
      <c r="R423"/>
      <c r="S423"/>
      <c r="U423"/>
    </row>
    <row r="424" spans="10:21" s="1" customFormat="1" x14ac:dyDescent="0.2">
      <c r="J424"/>
      <c r="K424"/>
      <c r="L424"/>
      <c r="M424"/>
      <c r="N424"/>
      <c r="O424" s="392"/>
      <c r="P424" s="2"/>
      <c r="R424"/>
      <c r="S424"/>
      <c r="U424"/>
    </row>
    <row r="425" spans="10:21" s="1" customFormat="1" x14ac:dyDescent="0.2">
      <c r="J425"/>
      <c r="K425"/>
      <c r="L425"/>
      <c r="M425"/>
      <c r="N425"/>
      <c r="O425" s="392"/>
      <c r="P425" s="2"/>
      <c r="R425"/>
      <c r="S425"/>
      <c r="U425"/>
    </row>
    <row r="426" spans="10:21" s="1" customFormat="1" x14ac:dyDescent="0.2">
      <c r="J426"/>
      <c r="K426"/>
      <c r="L426"/>
      <c r="M426"/>
      <c r="N426"/>
      <c r="O426" s="392"/>
      <c r="P426" s="2"/>
      <c r="R426"/>
      <c r="S426"/>
      <c r="U426"/>
    </row>
    <row r="427" spans="10:21" s="1" customFormat="1" x14ac:dyDescent="0.2">
      <c r="J427"/>
      <c r="K427"/>
      <c r="L427"/>
      <c r="M427"/>
      <c r="N427"/>
      <c r="O427" s="392"/>
      <c r="P427" s="2"/>
      <c r="R427"/>
      <c r="S427"/>
      <c r="U427"/>
    </row>
    <row r="428" spans="10:21" s="1" customFormat="1" x14ac:dyDescent="0.2">
      <c r="J428"/>
      <c r="K428"/>
      <c r="L428"/>
      <c r="M428"/>
      <c r="N428"/>
      <c r="O428" s="392"/>
      <c r="P428" s="2"/>
      <c r="R428"/>
      <c r="S428"/>
      <c r="U428"/>
    </row>
    <row r="429" spans="10:21" s="1" customFormat="1" x14ac:dyDescent="0.2">
      <c r="J429"/>
      <c r="K429"/>
      <c r="L429"/>
      <c r="M429"/>
      <c r="N429"/>
      <c r="O429" s="392"/>
      <c r="P429" s="2"/>
      <c r="R429"/>
      <c r="S429"/>
      <c r="U429"/>
    </row>
    <row r="430" spans="10:21" s="1" customFormat="1" x14ac:dyDescent="0.2">
      <c r="J430"/>
      <c r="K430"/>
      <c r="L430"/>
      <c r="M430"/>
      <c r="N430"/>
      <c r="O430" s="392"/>
      <c r="P430" s="2"/>
      <c r="R430"/>
      <c r="S430"/>
      <c r="U430"/>
    </row>
    <row r="431" spans="10:21" s="1" customFormat="1" x14ac:dyDescent="0.2">
      <c r="J431"/>
      <c r="K431"/>
      <c r="L431"/>
      <c r="M431"/>
      <c r="N431"/>
      <c r="O431" s="392"/>
      <c r="P431" s="2"/>
      <c r="R431"/>
      <c r="S431"/>
      <c r="U431"/>
    </row>
    <row r="432" spans="10:21" s="1" customFormat="1" x14ac:dyDescent="0.2">
      <c r="J432"/>
      <c r="K432"/>
      <c r="L432"/>
      <c r="M432"/>
      <c r="N432"/>
      <c r="O432" s="392"/>
      <c r="P432" s="2"/>
      <c r="R432"/>
      <c r="S432"/>
      <c r="U432"/>
    </row>
    <row r="433" spans="10:21" s="1" customFormat="1" x14ac:dyDescent="0.2">
      <c r="J433"/>
      <c r="K433"/>
      <c r="L433"/>
      <c r="M433"/>
      <c r="N433"/>
      <c r="O433" s="392"/>
      <c r="P433" s="2"/>
      <c r="R433"/>
      <c r="S433"/>
      <c r="U433"/>
    </row>
    <row r="434" spans="10:21" s="1" customFormat="1" x14ac:dyDescent="0.2">
      <c r="J434"/>
      <c r="K434"/>
      <c r="L434"/>
      <c r="M434"/>
      <c r="N434"/>
      <c r="O434" s="392"/>
      <c r="P434" s="2"/>
      <c r="R434"/>
      <c r="S434"/>
      <c r="U434"/>
    </row>
    <row r="435" spans="10:21" s="1" customFormat="1" x14ac:dyDescent="0.2">
      <c r="J435"/>
      <c r="K435"/>
      <c r="L435"/>
      <c r="M435"/>
      <c r="N435"/>
      <c r="O435" s="392"/>
      <c r="P435" s="2"/>
      <c r="R435"/>
      <c r="S435"/>
      <c r="U435"/>
    </row>
    <row r="436" spans="10:21" s="1" customFormat="1" x14ac:dyDescent="0.2">
      <c r="J436"/>
      <c r="K436"/>
      <c r="L436"/>
      <c r="M436"/>
      <c r="N436"/>
      <c r="O436" s="392"/>
      <c r="P436" s="2"/>
      <c r="R436"/>
      <c r="S436"/>
      <c r="U436"/>
    </row>
    <row r="437" spans="10:21" s="1" customFormat="1" x14ac:dyDescent="0.2">
      <c r="J437"/>
      <c r="K437"/>
      <c r="L437"/>
      <c r="M437"/>
      <c r="N437"/>
      <c r="O437" s="392"/>
      <c r="P437" s="2"/>
      <c r="R437"/>
      <c r="S437"/>
      <c r="U437"/>
    </row>
    <row r="438" spans="10:21" s="1" customFormat="1" x14ac:dyDescent="0.2">
      <c r="J438"/>
      <c r="K438"/>
      <c r="L438"/>
      <c r="M438"/>
      <c r="N438"/>
      <c r="O438" s="392"/>
      <c r="P438" s="2"/>
      <c r="R438"/>
      <c r="S438"/>
      <c r="U438"/>
    </row>
    <row r="439" spans="10:21" s="1" customFormat="1" x14ac:dyDescent="0.2">
      <c r="J439"/>
      <c r="K439"/>
      <c r="L439"/>
      <c r="M439"/>
      <c r="N439"/>
      <c r="O439" s="392"/>
      <c r="P439" s="2"/>
      <c r="R439"/>
      <c r="S439"/>
      <c r="U439"/>
    </row>
    <row r="440" spans="10:21" s="1" customFormat="1" x14ac:dyDescent="0.2">
      <c r="J440"/>
      <c r="K440"/>
      <c r="L440"/>
      <c r="M440"/>
      <c r="N440"/>
      <c r="O440" s="392"/>
      <c r="P440" s="2"/>
      <c r="R440"/>
      <c r="S440"/>
      <c r="U440"/>
    </row>
    <row r="441" spans="10:21" s="1" customFormat="1" x14ac:dyDescent="0.2">
      <c r="J441"/>
      <c r="K441"/>
      <c r="L441"/>
      <c r="M441"/>
      <c r="N441"/>
      <c r="O441" s="392"/>
      <c r="P441" s="2"/>
      <c r="R441"/>
      <c r="S441"/>
      <c r="U441"/>
    </row>
    <row r="442" spans="10:21" s="1" customFormat="1" x14ac:dyDescent="0.2">
      <c r="J442"/>
      <c r="K442"/>
      <c r="L442"/>
      <c r="M442"/>
      <c r="N442"/>
      <c r="O442" s="392"/>
      <c r="P442" s="2"/>
      <c r="R442"/>
      <c r="S442"/>
      <c r="U442"/>
    </row>
    <row r="443" spans="10:21" s="1" customFormat="1" x14ac:dyDescent="0.2">
      <c r="J443"/>
      <c r="K443"/>
      <c r="L443"/>
      <c r="M443"/>
      <c r="N443"/>
      <c r="O443" s="392"/>
      <c r="P443" s="2"/>
      <c r="R443"/>
      <c r="S443"/>
      <c r="U443"/>
    </row>
    <row r="444" spans="10:21" s="1" customFormat="1" x14ac:dyDescent="0.2">
      <c r="J444"/>
      <c r="K444"/>
      <c r="L444"/>
      <c r="M444"/>
      <c r="N444"/>
      <c r="O444" s="392"/>
      <c r="P444" s="2"/>
      <c r="R444"/>
      <c r="S444"/>
      <c r="U444"/>
    </row>
    <row r="445" spans="10:21" s="1" customFormat="1" x14ac:dyDescent="0.2">
      <c r="J445"/>
      <c r="K445"/>
      <c r="L445"/>
      <c r="M445"/>
      <c r="N445"/>
      <c r="O445" s="392"/>
      <c r="P445" s="2"/>
      <c r="R445"/>
      <c r="S445"/>
      <c r="U445"/>
    </row>
    <row r="446" spans="10:21" s="1" customFormat="1" x14ac:dyDescent="0.2">
      <c r="J446"/>
      <c r="K446"/>
      <c r="L446"/>
      <c r="M446"/>
      <c r="N446"/>
      <c r="O446" s="392"/>
      <c r="P446" s="2"/>
      <c r="R446"/>
      <c r="S446"/>
      <c r="U446"/>
    </row>
    <row r="447" spans="10:21" s="1" customFormat="1" x14ac:dyDescent="0.2">
      <c r="J447"/>
      <c r="K447"/>
      <c r="L447"/>
      <c r="M447"/>
      <c r="N447"/>
      <c r="O447" s="392"/>
      <c r="P447" s="2"/>
      <c r="R447"/>
      <c r="S447"/>
      <c r="U447"/>
    </row>
    <row r="448" spans="10:21" s="1" customFormat="1" x14ac:dyDescent="0.2">
      <c r="J448"/>
      <c r="K448"/>
      <c r="L448"/>
      <c r="M448"/>
      <c r="N448"/>
      <c r="O448" s="392"/>
      <c r="P448" s="2"/>
      <c r="R448"/>
      <c r="S448"/>
      <c r="U448"/>
    </row>
    <row r="449" spans="10:21" s="1" customFormat="1" x14ac:dyDescent="0.2">
      <c r="J449"/>
      <c r="K449"/>
      <c r="L449"/>
      <c r="M449"/>
      <c r="N449"/>
      <c r="O449" s="392"/>
      <c r="P449" s="2"/>
      <c r="R449"/>
      <c r="S449"/>
      <c r="U449"/>
    </row>
    <row r="450" spans="10:21" s="1" customFormat="1" x14ac:dyDescent="0.2">
      <c r="J450"/>
      <c r="K450"/>
      <c r="L450"/>
      <c r="M450"/>
      <c r="N450"/>
      <c r="O450" s="392"/>
      <c r="P450" s="2"/>
      <c r="R450"/>
      <c r="S450"/>
      <c r="U450"/>
    </row>
    <row r="451" spans="10:21" s="1" customFormat="1" x14ac:dyDescent="0.2">
      <c r="J451"/>
      <c r="K451"/>
      <c r="L451"/>
      <c r="M451"/>
      <c r="N451"/>
      <c r="O451" s="392"/>
      <c r="P451" s="2"/>
      <c r="R451"/>
      <c r="S451"/>
      <c r="U451"/>
    </row>
    <row r="452" spans="10:21" s="1" customFormat="1" x14ac:dyDescent="0.2">
      <c r="J452"/>
      <c r="K452"/>
      <c r="L452"/>
      <c r="M452"/>
      <c r="N452"/>
      <c r="O452" s="392"/>
      <c r="P452" s="2"/>
      <c r="R452"/>
      <c r="S452"/>
      <c r="U452"/>
    </row>
    <row r="453" spans="10:21" s="1" customFormat="1" x14ac:dyDescent="0.2">
      <c r="J453"/>
      <c r="K453"/>
      <c r="L453"/>
      <c r="M453"/>
      <c r="N453"/>
      <c r="O453" s="392"/>
      <c r="P453" s="2"/>
      <c r="R453"/>
      <c r="S453"/>
      <c r="U453"/>
    </row>
    <row r="454" spans="10:21" s="1" customFormat="1" x14ac:dyDescent="0.2">
      <c r="J454"/>
      <c r="K454"/>
      <c r="L454"/>
      <c r="M454"/>
      <c r="N454"/>
      <c r="O454" s="392"/>
      <c r="P454" s="2"/>
      <c r="R454"/>
      <c r="S454"/>
      <c r="U454"/>
    </row>
    <row r="455" spans="10:21" s="1" customFormat="1" x14ac:dyDescent="0.2">
      <c r="J455"/>
      <c r="K455"/>
      <c r="L455"/>
      <c r="M455"/>
      <c r="N455"/>
      <c r="O455" s="392"/>
      <c r="P455" s="2"/>
      <c r="R455"/>
      <c r="S455"/>
      <c r="U455"/>
    </row>
    <row r="456" spans="10:21" s="1" customFormat="1" x14ac:dyDescent="0.2">
      <c r="J456"/>
      <c r="K456"/>
      <c r="L456"/>
      <c r="M456"/>
      <c r="N456"/>
      <c r="O456" s="392"/>
      <c r="P456" s="2"/>
      <c r="R456"/>
      <c r="S456"/>
      <c r="U456"/>
    </row>
    <row r="457" spans="10:21" s="1" customFormat="1" x14ac:dyDescent="0.2">
      <c r="J457"/>
      <c r="K457"/>
      <c r="L457"/>
      <c r="M457"/>
      <c r="N457"/>
      <c r="O457" s="392"/>
      <c r="P457" s="2"/>
      <c r="R457"/>
      <c r="S457"/>
      <c r="U457"/>
    </row>
    <row r="458" spans="10:21" s="1" customFormat="1" x14ac:dyDescent="0.2">
      <c r="J458"/>
      <c r="K458"/>
      <c r="L458"/>
      <c r="M458"/>
      <c r="N458"/>
      <c r="O458" s="392"/>
      <c r="P458" s="2"/>
      <c r="R458"/>
      <c r="S458"/>
      <c r="U458"/>
    </row>
    <row r="459" spans="10:21" s="1" customFormat="1" x14ac:dyDescent="0.2">
      <c r="J459"/>
      <c r="K459"/>
      <c r="L459"/>
      <c r="M459"/>
      <c r="N459"/>
      <c r="O459" s="392"/>
      <c r="P459" s="2"/>
      <c r="R459"/>
      <c r="S459"/>
      <c r="U459"/>
    </row>
    <row r="460" spans="10:21" s="1" customFormat="1" x14ac:dyDescent="0.2">
      <c r="J460"/>
      <c r="K460"/>
      <c r="L460"/>
      <c r="M460"/>
      <c r="N460"/>
      <c r="O460" s="392"/>
      <c r="P460" s="2"/>
      <c r="R460"/>
      <c r="S460"/>
      <c r="U460"/>
    </row>
    <row r="461" spans="10:21" s="1" customFormat="1" x14ac:dyDescent="0.2">
      <c r="J461"/>
      <c r="K461"/>
      <c r="L461"/>
      <c r="M461"/>
      <c r="N461"/>
      <c r="O461" s="392"/>
      <c r="P461" s="2"/>
      <c r="R461"/>
      <c r="S461"/>
      <c r="U461"/>
    </row>
    <row r="462" spans="10:21" s="1" customFormat="1" x14ac:dyDescent="0.2">
      <c r="J462"/>
      <c r="K462"/>
      <c r="L462"/>
      <c r="M462"/>
      <c r="N462"/>
      <c r="O462" s="392"/>
      <c r="P462" s="2"/>
      <c r="R462"/>
      <c r="S462"/>
      <c r="U462"/>
    </row>
    <row r="463" spans="10:21" s="1" customFormat="1" x14ac:dyDescent="0.2">
      <c r="J463"/>
      <c r="K463"/>
      <c r="L463"/>
      <c r="M463"/>
      <c r="N463"/>
      <c r="O463" s="392"/>
      <c r="P463" s="2"/>
      <c r="R463"/>
      <c r="S463"/>
      <c r="U463"/>
    </row>
    <row r="464" spans="10:21" s="1" customFormat="1" x14ac:dyDescent="0.2">
      <c r="J464"/>
      <c r="K464"/>
      <c r="L464"/>
      <c r="M464"/>
      <c r="N464"/>
      <c r="O464" s="392"/>
      <c r="P464" s="2"/>
      <c r="R464"/>
      <c r="S464"/>
      <c r="U464"/>
    </row>
    <row r="465" spans="10:21" s="1" customFormat="1" x14ac:dyDescent="0.2">
      <c r="J465"/>
      <c r="K465"/>
      <c r="L465"/>
      <c r="M465"/>
      <c r="N465"/>
      <c r="O465" s="392"/>
      <c r="P465" s="2"/>
      <c r="R465"/>
      <c r="S465"/>
      <c r="U465"/>
    </row>
    <row r="466" spans="10:21" s="1" customFormat="1" x14ac:dyDescent="0.2">
      <c r="J466"/>
      <c r="K466"/>
      <c r="L466"/>
      <c r="M466"/>
      <c r="N466"/>
      <c r="O466" s="392"/>
      <c r="P466" s="2"/>
      <c r="R466"/>
      <c r="S466"/>
      <c r="U466"/>
    </row>
    <row r="467" spans="10:21" s="1" customFormat="1" x14ac:dyDescent="0.2">
      <c r="J467"/>
      <c r="K467"/>
      <c r="L467"/>
      <c r="M467"/>
      <c r="N467"/>
      <c r="O467" s="392"/>
      <c r="P467" s="2"/>
      <c r="R467"/>
      <c r="S467"/>
      <c r="U467"/>
    </row>
    <row r="468" spans="10:21" s="1" customFormat="1" x14ac:dyDescent="0.2">
      <c r="J468"/>
      <c r="K468"/>
      <c r="L468"/>
      <c r="M468"/>
      <c r="N468"/>
      <c r="O468" s="392"/>
      <c r="P468" s="2"/>
      <c r="R468"/>
      <c r="S468"/>
      <c r="U468"/>
    </row>
    <row r="469" spans="10:21" s="1" customFormat="1" x14ac:dyDescent="0.2">
      <c r="J469"/>
      <c r="K469"/>
      <c r="L469"/>
      <c r="M469"/>
      <c r="N469"/>
      <c r="O469" s="392"/>
      <c r="P469" s="2"/>
      <c r="R469"/>
      <c r="S469"/>
      <c r="U469"/>
    </row>
    <row r="470" spans="10:21" s="1" customFormat="1" x14ac:dyDescent="0.2">
      <c r="J470"/>
      <c r="K470"/>
      <c r="L470"/>
      <c r="M470"/>
      <c r="N470"/>
      <c r="O470" s="392"/>
      <c r="P470" s="2"/>
      <c r="R470"/>
      <c r="S470"/>
      <c r="U470"/>
    </row>
    <row r="471" spans="10:21" s="1" customFormat="1" x14ac:dyDescent="0.2">
      <c r="J471"/>
      <c r="K471"/>
      <c r="L471"/>
      <c r="M471"/>
      <c r="N471"/>
      <c r="O471" s="392"/>
      <c r="P471" s="2"/>
      <c r="R471"/>
      <c r="S471"/>
      <c r="U471"/>
    </row>
    <row r="472" spans="10:21" s="1" customFormat="1" x14ac:dyDescent="0.2">
      <c r="J472"/>
      <c r="K472"/>
      <c r="L472"/>
      <c r="M472"/>
      <c r="N472"/>
      <c r="O472" s="392"/>
      <c r="P472" s="2"/>
      <c r="R472"/>
      <c r="S472"/>
      <c r="U472"/>
    </row>
    <row r="473" spans="10:21" s="1" customFormat="1" x14ac:dyDescent="0.2">
      <c r="J473"/>
      <c r="K473"/>
      <c r="L473"/>
      <c r="M473"/>
      <c r="N473"/>
      <c r="O473" s="392"/>
      <c r="P473" s="2"/>
      <c r="R473"/>
      <c r="S473"/>
      <c r="U473"/>
    </row>
    <row r="474" spans="10:21" s="1" customFormat="1" x14ac:dyDescent="0.2">
      <c r="J474"/>
      <c r="K474"/>
      <c r="L474"/>
      <c r="M474"/>
      <c r="N474"/>
      <c r="O474" s="392"/>
      <c r="P474" s="2"/>
      <c r="R474"/>
      <c r="S474"/>
      <c r="U474"/>
    </row>
    <row r="475" spans="10:21" s="1" customFormat="1" x14ac:dyDescent="0.2">
      <c r="J475"/>
      <c r="K475"/>
      <c r="L475"/>
      <c r="M475"/>
      <c r="N475"/>
      <c r="O475" s="392"/>
      <c r="P475" s="2"/>
      <c r="R475"/>
      <c r="S475"/>
      <c r="U475"/>
    </row>
    <row r="476" spans="10:21" s="1" customFormat="1" x14ac:dyDescent="0.2">
      <c r="J476"/>
      <c r="K476"/>
      <c r="L476"/>
      <c r="M476"/>
      <c r="N476"/>
      <c r="O476" s="392"/>
      <c r="P476" s="2"/>
      <c r="R476"/>
      <c r="S476"/>
      <c r="U476"/>
    </row>
    <row r="477" spans="10:21" s="1" customFormat="1" x14ac:dyDescent="0.2">
      <c r="J477"/>
      <c r="K477"/>
      <c r="L477"/>
      <c r="M477"/>
      <c r="N477"/>
      <c r="O477" s="392"/>
      <c r="P477" s="2"/>
      <c r="R477"/>
      <c r="S477"/>
      <c r="U477"/>
    </row>
    <row r="478" spans="10:21" s="1" customFormat="1" x14ac:dyDescent="0.2">
      <c r="J478"/>
      <c r="K478"/>
      <c r="L478"/>
      <c r="M478"/>
      <c r="N478"/>
      <c r="O478" s="392"/>
      <c r="P478" s="2"/>
      <c r="R478"/>
      <c r="S478"/>
      <c r="U478"/>
    </row>
    <row r="479" spans="10:21" s="1" customFormat="1" x14ac:dyDescent="0.2">
      <c r="J479"/>
      <c r="K479"/>
      <c r="L479"/>
      <c r="M479"/>
      <c r="N479"/>
      <c r="O479" s="392"/>
      <c r="P479" s="2"/>
      <c r="R479"/>
      <c r="S479"/>
      <c r="U479"/>
    </row>
    <row r="480" spans="10:21" s="1" customFormat="1" x14ac:dyDescent="0.2">
      <c r="J480"/>
      <c r="K480"/>
      <c r="L480"/>
      <c r="M480"/>
      <c r="N480"/>
      <c r="O480" s="392"/>
      <c r="P480" s="2"/>
      <c r="R480"/>
      <c r="S480"/>
      <c r="U480"/>
    </row>
    <row r="481" spans="10:21" s="1" customFormat="1" x14ac:dyDescent="0.2">
      <c r="J481"/>
      <c r="K481"/>
      <c r="L481"/>
      <c r="M481"/>
      <c r="N481"/>
      <c r="O481" s="392"/>
      <c r="P481" s="2"/>
      <c r="R481"/>
      <c r="S481"/>
      <c r="U481"/>
    </row>
    <row r="482" spans="10:21" s="1" customFormat="1" x14ac:dyDescent="0.2">
      <c r="J482"/>
      <c r="K482"/>
      <c r="L482"/>
      <c r="M482"/>
      <c r="N482"/>
      <c r="O482" s="392"/>
      <c r="P482" s="2"/>
      <c r="R482"/>
      <c r="S482"/>
      <c r="U482"/>
    </row>
    <row r="483" spans="10:21" s="1" customFormat="1" x14ac:dyDescent="0.2">
      <c r="J483"/>
      <c r="K483"/>
      <c r="L483"/>
      <c r="M483"/>
      <c r="N483"/>
      <c r="O483" s="392"/>
      <c r="P483" s="2"/>
      <c r="R483"/>
      <c r="S483"/>
      <c r="U483"/>
    </row>
    <row r="484" spans="10:21" s="1" customFormat="1" x14ac:dyDescent="0.2">
      <c r="J484"/>
      <c r="K484"/>
      <c r="L484"/>
      <c r="M484"/>
      <c r="N484"/>
      <c r="O484" s="392"/>
      <c r="P484" s="2"/>
      <c r="R484"/>
      <c r="S484"/>
      <c r="U484"/>
    </row>
    <row r="485" spans="10:21" s="1" customFormat="1" x14ac:dyDescent="0.2">
      <c r="J485"/>
      <c r="K485"/>
      <c r="L485"/>
      <c r="M485"/>
      <c r="N485"/>
      <c r="O485" s="392"/>
      <c r="P485" s="2"/>
      <c r="R485"/>
      <c r="S485"/>
      <c r="U485"/>
    </row>
    <row r="486" spans="10:21" s="1" customFormat="1" x14ac:dyDescent="0.2">
      <c r="J486"/>
      <c r="K486"/>
      <c r="L486"/>
      <c r="M486"/>
      <c r="N486"/>
      <c r="O486" s="392"/>
      <c r="P486" s="2"/>
      <c r="R486"/>
      <c r="S486"/>
      <c r="U486"/>
    </row>
    <row r="487" spans="10:21" s="1" customFormat="1" x14ac:dyDescent="0.2">
      <c r="J487"/>
      <c r="K487"/>
      <c r="L487"/>
      <c r="M487"/>
      <c r="N487"/>
      <c r="O487" s="392"/>
      <c r="P487" s="2"/>
      <c r="R487"/>
      <c r="S487"/>
      <c r="U487"/>
    </row>
    <row r="488" spans="10:21" s="1" customFormat="1" x14ac:dyDescent="0.2">
      <c r="J488"/>
      <c r="K488"/>
      <c r="L488"/>
      <c r="M488"/>
      <c r="N488"/>
      <c r="O488" s="392"/>
      <c r="P488" s="2"/>
      <c r="R488"/>
      <c r="S488"/>
      <c r="U488"/>
    </row>
    <row r="489" spans="10:21" s="1" customFormat="1" x14ac:dyDescent="0.2">
      <c r="J489"/>
      <c r="K489"/>
      <c r="L489"/>
      <c r="M489"/>
      <c r="N489"/>
      <c r="O489" s="392"/>
      <c r="P489" s="2"/>
      <c r="R489"/>
      <c r="S489"/>
      <c r="U489"/>
    </row>
    <row r="490" spans="10:21" s="1" customFormat="1" x14ac:dyDescent="0.2">
      <c r="J490"/>
      <c r="K490"/>
      <c r="L490"/>
      <c r="M490"/>
      <c r="N490"/>
      <c r="O490" s="392"/>
      <c r="P490" s="2"/>
      <c r="R490"/>
      <c r="S490"/>
      <c r="U490"/>
    </row>
    <row r="491" spans="10:21" s="1" customFormat="1" x14ac:dyDescent="0.2">
      <c r="J491"/>
      <c r="K491"/>
      <c r="L491"/>
      <c r="M491"/>
      <c r="N491"/>
      <c r="O491" s="392"/>
      <c r="P491" s="2"/>
      <c r="R491"/>
      <c r="S491"/>
      <c r="U491"/>
    </row>
    <row r="492" spans="10:21" s="1" customFormat="1" x14ac:dyDescent="0.2">
      <c r="J492"/>
      <c r="K492"/>
      <c r="L492"/>
      <c r="M492"/>
      <c r="N492"/>
      <c r="O492" s="392"/>
      <c r="P492" s="2"/>
      <c r="R492"/>
      <c r="S492"/>
      <c r="U492"/>
    </row>
    <row r="493" spans="10:21" s="1" customFormat="1" x14ac:dyDescent="0.2">
      <c r="J493"/>
      <c r="K493"/>
      <c r="L493"/>
      <c r="M493"/>
      <c r="N493"/>
      <c r="O493" s="392"/>
      <c r="P493" s="2"/>
      <c r="R493"/>
      <c r="S493"/>
      <c r="U493"/>
    </row>
    <row r="494" spans="10:21" s="1" customFormat="1" x14ac:dyDescent="0.2">
      <c r="J494"/>
      <c r="K494"/>
      <c r="L494"/>
      <c r="M494"/>
      <c r="N494"/>
      <c r="O494" s="392"/>
      <c r="P494" s="2"/>
      <c r="R494"/>
      <c r="S494"/>
      <c r="U494"/>
    </row>
    <row r="495" spans="10:21" s="1" customFormat="1" x14ac:dyDescent="0.2">
      <c r="J495"/>
      <c r="K495"/>
      <c r="L495"/>
      <c r="M495"/>
      <c r="N495"/>
      <c r="O495" s="392"/>
      <c r="P495" s="2"/>
      <c r="R495"/>
      <c r="S495"/>
      <c r="U495"/>
    </row>
    <row r="496" spans="10:21" s="1" customFormat="1" x14ac:dyDescent="0.2">
      <c r="J496"/>
      <c r="K496"/>
      <c r="L496"/>
      <c r="M496"/>
      <c r="N496"/>
      <c r="O496" s="392"/>
      <c r="P496" s="2"/>
      <c r="R496"/>
      <c r="S496"/>
      <c r="U496"/>
    </row>
    <row r="497" spans="10:21" s="1" customFormat="1" x14ac:dyDescent="0.2">
      <c r="J497"/>
      <c r="K497"/>
      <c r="L497"/>
      <c r="M497"/>
      <c r="N497"/>
      <c r="O497" s="392"/>
      <c r="P497" s="2"/>
      <c r="R497"/>
      <c r="S497"/>
      <c r="U497"/>
    </row>
    <row r="498" spans="10:21" s="1" customFormat="1" x14ac:dyDescent="0.2">
      <c r="J498"/>
      <c r="K498"/>
      <c r="L498"/>
      <c r="M498"/>
      <c r="N498"/>
      <c r="O498" s="392"/>
      <c r="P498" s="2"/>
      <c r="R498"/>
      <c r="S498"/>
      <c r="U498"/>
    </row>
    <row r="499" spans="10:21" s="1" customFormat="1" x14ac:dyDescent="0.2">
      <c r="J499"/>
      <c r="K499"/>
      <c r="L499"/>
      <c r="M499"/>
      <c r="N499"/>
      <c r="O499" s="392"/>
      <c r="P499" s="2"/>
      <c r="R499"/>
      <c r="S499"/>
      <c r="U499"/>
    </row>
    <row r="500" spans="10:21" s="1" customFormat="1" x14ac:dyDescent="0.2">
      <c r="J500"/>
      <c r="K500"/>
      <c r="L500"/>
      <c r="M500"/>
      <c r="N500"/>
      <c r="O500" s="392"/>
      <c r="P500" s="2"/>
      <c r="R500"/>
      <c r="S500"/>
      <c r="U500"/>
    </row>
    <row r="501" spans="10:21" s="1" customFormat="1" x14ac:dyDescent="0.2">
      <c r="J501"/>
      <c r="K501"/>
      <c r="L501"/>
      <c r="M501"/>
      <c r="N501"/>
      <c r="O501" s="392"/>
      <c r="P501" s="2"/>
      <c r="R501"/>
      <c r="S501"/>
      <c r="U501"/>
    </row>
    <row r="502" spans="10:21" s="1" customFormat="1" x14ac:dyDescent="0.2">
      <c r="J502"/>
      <c r="K502"/>
      <c r="L502"/>
      <c r="M502"/>
      <c r="N502"/>
      <c r="O502" s="392"/>
      <c r="P502" s="2"/>
      <c r="R502"/>
      <c r="S502"/>
      <c r="U502"/>
    </row>
    <row r="503" spans="10:21" s="1" customFormat="1" x14ac:dyDescent="0.2">
      <c r="J503"/>
      <c r="K503"/>
      <c r="L503"/>
      <c r="M503"/>
      <c r="N503"/>
      <c r="O503" s="392"/>
      <c r="P503" s="2"/>
      <c r="R503"/>
      <c r="S503"/>
      <c r="U503"/>
    </row>
    <row r="504" spans="10:21" s="1" customFormat="1" x14ac:dyDescent="0.2">
      <c r="J504"/>
      <c r="K504"/>
      <c r="L504"/>
      <c r="M504"/>
      <c r="N504"/>
      <c r="O504" s="392"/>
      <c r="P504" s="2"/>
      <c r="R504"/>
      <c r="S504"/>
      <c r="U504"/>
    </row>
    <row r="505" spans="10:21" s="1" customFormat="1" x14ac:dyDescent="0.2">
      <c r="J505"/>
      <c r="K505"/>
      <c r="L505"/>
      <c r="M505"/>
      <c r="N505"/>
      <c r="O505" s="392"/>
      <c r="P505" s="2"/>
      <c r="R505"/>
      <c r="S505"/>
      <c r="U505"/>
    </row>
    <row r="506" spans="10:21" s="1" customFormat="1" x14ac:dyDescent="0.2">
      <c r="J506"/>
      <c r="K506"/>
      <c r="L506"/>
      <c r="M506"/>
      <c r="N506"/>
      <c r="O506" s="392"/>
      <c r="P506" s="2"/>
      <c r="R506"/>
      <c r="S506"/>
      <c r="U506"/>
    </row>
    <row r="507" spans="10:21" s="1" customFormat="1" x14ac:dyDescent="0.2">
      <c r="J507"/>
      <c r="K507"/>
      <c r="L507"/>
      <c r="M507"/>
      <c r="N507"/>
      <c r="O507" s="392"/>
      <c r="P507" s="2"/>
      <c r="R507"/>
      <c r="S507"/>
      <c r="U507"/>
    </row>
    <row r="508" spans="10:21" s="1" customFormat="1" x14ac:dyDescent="0.2">
      <c r="J508"/>
      <c r="K508"/>
      <c r="L508"/>
      <c r="M508"/>
      <c r="N508"/>
      <c r="O508" s="392"/>
      <c r="P508" s="2"/>
      <c r="R508"/>
      <c r="S508"/>
      <c r="U508"/>
    </row>
    <row r="509" spans="10:21" s="1" customFormat="1" x14ac:dyDescent="0.2">
      <c r="J509"/>
      <c r="K509"/>
      <c r="L509"/>
      <c r="M509"/>
      <c r="N509"/>
      <c r="O509" s="392"/>
      <c r="P509" s="2"/>
      <c r="R509"/>
      <c r="S509"/>
      <c r="U509"/>
    </row>
    <row r="510" spans="10:21" s="1" customFormat="1" x14ac:dyDescent="0.2">
      <c r="J510"/>
      <c r="K510"/>
      <c r="L510"/>
      <c r="M510"/>
      <c r="N510"/>
      <c r="O510" s="392"/>
      <c r="P510" s="2"/>
      <c r="R510"/>
      <c r="S510"/>
      <c r="U510"/>
    </row>
    <row r="511" spans="10:21" s="1" customFormat="1" x14ac:dyDescent="0.2">
      <c r="J511"/>
      <c r="K511"/>
      <c r="L511"/>
      <c r="M511"/>
      <c r="N511"/>
      <c r="O511" s="392"/>
      <c r="P511" s="2"/>
      <c r="R511"/>
      <c r="S511"/>
      <c r="U511"/>
    </row>
    <row r="512" spans="10:21" s="1" customFormat="1" x14ac:dyDescent="0.2">
      <c r="J512"/>
      <c r="K512"/>
      <c r="L512"/>
      <c r="M512"/>
      <c r="N512"/>
      <c r="O512" s="392"/>
      <c r="P512" s="2"/>
      <c r="R512"/>
      <c r="S512"/>
      <c r="U512"/>
    </row>
    <row r="513" spans="10:21" s="1" customFormat="1" x14ac:dyDescent="0.2">
      <c r="J513"/>
      <c r="K513"/>
      <c r="L513"/>
      <c r="M513"/>
      <c r="N513"/>
      <c r="O513" s="392"/>
      <c r="P513" s="2"/>
      <c r="R513"/>
      <c r="S513"/>
      <c r="U513"/>
    </row>
    <row r="514" spans="10:21" s="1" customFormat="1" x14ac:dyDescent="0.2">
      <c r="J514"/>
      <c r="K514"/>
      <c r="L514"/>
      <c r="M514"/>
      <c r="N514"/>
      <c r="O514" s="392"/>
      <c r="P514" s="2"/>
      <c r="R514"/>
      <c r="S514"/>
      <c r="U514"/>
    </row>
    <row r="515" spans="10:21" s="1" customFormat="1" x14ac:dyDescent="0.2">
      <c r="J515"/>
      <c r="K515"/>
      <c r="L515"/>
      <c r="M515"/>
      <c r="N515"/>
      <c r="O515" s="392"/>
      <c r="P515" s="2"/>
      <c r="R515"/>
      <c r="S515"/>
      <c r="U515"/>
    </row>
    <row r="516" spans="10:21" s="1" customFormat="1" x14ac:dyDescent="0.2">
      <c r="J516"/>
      <c r="K516"/>
      <c r="L516"/>
      <c r="M516"/>
      <c r="N516"/>
      <c r="O516" s="392"/>
      <c r="P516" s="2"/>
      <c r="R516"/>
      <c r="S516"/>
      <c r="U516"/>
    </row>
    <row r="517" spans="10:21" s="1" customFormat="1" x14ac:dyDescent="0.2">
      <c r="J517"/>
      <c r="K517"/>
      <c r="L517"/>
      <c r="M517"/>
      <c r="N517"/>
      <c r="O517" s="392"/>
      <c r="P517" s="2"/>
      <c r="R517"/>
      <c r="S517"/>
      <c r="U517"/>
    </row>
    <row r="518" spans="10:21" s="1" customFormat="1" x14ac:dyDescent="0.2">
      <c r="J518"/>
      <c r="K518"/>
      <c r="L518"/>
      <c r="M518"/>
      <c r="N518"/>
      <c r="O518" s="392"/>
      <c r="P518" s="2"/>
      <c r="R518"/>
      <c r="S518"/>
      <c r="U518"/>
    </row>
    <row r="519" spans="10:21" s="1" customFormat="1" x14ac:dyDescent="0.2">
      <c r="J519"/>
      <c r="K519"/>
      <c r="L519"/>
      <c r="M519"/>
      <c r="N519"/>
      <c r="O519" s="392"/>
      <c r="P519" s="2"/>
      <c r="R519"/>
      <c r="S519"/>
      <c r="U519"/>
    </row>
    <row r="520" spans="10:21" s="1" customFormat="1" x14ac:dyDescent="0.2">
      <c r="J520"/>
      <c r="K520"/>
      <c r="L520"/>
      <c r="M520"/>
      <c r="N520"/>
      <c r="O520" s="392"/>
      <c r="P520" s="2"/>
      <c r="R520"/>
      <c r="S520"/>
      <c r="U520"/>
    </row>
    <row r="521" spans="10:21" s="1" customFormat="1" x14ac:dyDescent="0.2">
      <c r="J521"/>
      <c r="K521"/>
      <c r="L521"/>
      <c r="M521"/>
      <c r="N521"/>
      <c r="O521" s="392"/>
      <c r="P521" s="2"/>
      <c r="R521"/>
      <c r="S521"/>
      <c r="U521"/>
    </row>
    <row r="522" spans="10:21" s="1" customFormat="1" x14ac:dyDescent="0.2">
      <c r="J522"/>
      <c r="K522"/>
      <c r="L522"/>
      <c r="M522"/>
      <c r="N522"/>
      <c r="O522" s="392"/>
      <c r="P522" s="2"/>
      <c r="R522"/>
      <c r="S522"/>
      <c r="U522"/>
    </row>
    <row r="523" spans="10:21" s="1" customFormat="1" x14ac:dyDescent="0.2">
      <c r="J523"/>
      <c r="K523"/>
      <c r="L523"/>
      <c r="M523"/>
      <c r="N523"/>
      <c r="O523" s="392"/>
      <c r="P523" s="2"/>
      <c r="R523"/>
      <c r="S523"/>
      <c r="U523"/>
    </row>
    <row r="524" spans="10:21" s="1" customFormat="1" x14ac:dyDescent="0.2">
      <c r="J524"/>
      <c r="K524"/>
      <c r="L524"/>
      <c r="M524"/>
      <c r="N524"/>
      <c r="O524" s="392"/>
      <c r="P524" s="2"/>
      <c r="R524"/>
      <c r="S524"/>
      <c r="U524"/>
    </row>
    <row r="525" spans="10:21" s="1" customFormat="1" x14ac:dyDescent="0.2">
      <c r="J525"/>
      <c r="K525"/>
      <c r="L525"/>
      <c r="M525"/>
      <c r="N525"/>
      <c r="O525" s="392"/>
      <c r="P525" s="2"/>
      <c r="R525"/>
      <c r="S525"/>
      <c r="U525"/>
    </row>
    <row r="526" spans="10:21" s="1" customFormat="1" x14ac:dyDescent="0.2">
      <c r="J526"/>
      <c r="K526"/>
      <c r="L526"/>
      <c r="M526"/>
      <c r="N526"/>
      <c r="O526" s="392"/>
      <c r="P526" s="2"/>
      <c r="R526"/>
      <c r="S526"/>
      <c r="U526"/>
    </row>
    <row r="527" spans="10:21" s="1" customFormat="1" x14ac:dyDescent="0.2">
      <c r="J527"/>
      <c r="K527"/>
      <c r="L527"/>
      <c r="M527"/>
      <c r="N527"/>
      <c r="O527" s="392"/>
      <c r="P527" s="2"/>
      <c r="R527"/>
      <c r="S527"/>
      <c r="U527"/>
    </row>
    <row r="528" spans="10:21" s="1" customFormat="1" x14ac:dyDescent="0.2">
      <c r="J528"/>
      <c r="K528"/>
      <c r="L528"/>
      <c r="M528"/>
      <c r="N528"/>
      <c r="O528" s="392"/>
      <c r="P528" s="2"/>
      <c r="R528"/>
      <c r="S528"/>
      <c r="U528"/>
    </row>
    <row r="529" spans="10:21" s="1" customFormat="1" x14ac:dyDescent="0.2">
      <c r="J529"/>
      <c r="K529"/>
      <c r="L529"/>
      <c r="M529"/>
      <c r="N529"/>
      <c r="O529" s="392"/>
      <c r="P529" s="2"/>
      <c r="R529"/>
      <c r="S529"/>
      <c r="U529"/>
    </row>
    <row r="530" spans="10:21" s="1" customFormat="1" x14ac:dyDescent="0.2">
      <c r="J530"/>
      <c r="K530"/>
      <c r="L530"/>
      <c r="M530"/>
      <c r="N530"/>
      <c r="O530" s="392"/>
      <c r="P530" s="2"/>
      <c r="R530"/>
      <c r="S530"/>
      <c r="U530"/>
    </row>
    <row r="531" spans="10:21" s="1" customFormat="1" x14ac:dyDescent="0.2">
      <c r="J531"/>
      <c r="K531"/>
      <c r="L531"/>
      <c r="M531"/>
      <c r="N531"/>
      <c r="O531" s="392"/>
      <c r="P531" s="2"/>
      <c r="R531"/>
      <c r="S531"/>
      <c r="U531"/>
    </row>
    <row r="532" spans="10:21" s="1" customFormat="1" x14ac:dyDescent="0.2">
      <c r="J532"/>
      <c r="K532"/>
      <c r="L532"/>
      <c r="M532"/>
      <c r="N532"/>
      <c r="O532" s="392"/>
      <c r="P532" s="2"/>
      <c r="R532"/>
      <c r="S532"/>
      <c r="U532"/>
    </row>
    <row r="533" spans="10:21" s="1" customFormat="1" x14ac:dyDescent="0.2">
      <c r="J533"/>
      <c r="K533"/>
      <c r="L533"/>
      <c r="M533"/>
      <c r="N533"/>
      <c r="O533" s="392"/>
      <c r="P533" s="2"/>
      <c r="R533"/>
      <c r="S533"/>
      <c r="U533"/>
    </row>
    <row r="534" spans="10:21" s="1" customFormat="1" x14ac:dyDescent="0.2">
      <c r="J534"/>
      <c r="K534"/>
      <c r="L534"/>
      <c r="M534"/>
      <c r="N534"/>
      <c r="O534" s="392"/>
      <c r="P534" s="2"/>
      <c r="R534"/>
      <c r="S534"/>
      <c r="U534"/>
    </row>
    <row r="535" spans="10:21" s="1" customFormat="1" x14ac:dyDescent="0.2">
      <c r="J535"/>
      <c r="K535"/>
      <c r="L535"/>
      <c r="M535"/>
      <c r="N535"/>
      <c r="O535" s="392"/>
      <c r="P535" s="2"/>
      <c r="R535"/>
      <c r="S535"/>
      <c r="U535"/>
    </row>
    <row r="536" spans="10:21" s="1" customFormat="1" x14ac:dyDescent="0.2">
      <c r="J536"/>
      <c r="K536"/>
      <c r="L536"/>
      <c r="M536"/>
      <c r="N536"/>
      <c r="O536" s="392"/>
      <c r="P536" s="2"/>
      <c r="R536"/>
      <c r="S536"/>
      <c r="U536"/>
    </row>
    <row r="537" spans="10:21" s="1" customFormat="1" x14ac:dyDescent="0.2">
      <c r="J537"/>
      <c r="K537"/>
      <c r="L537"/>
      <c r="M537"/>
      <c r="N537"/>
      <c r="O537" s="392"/>
      <c r="P537" s="2"/>
      <c r="R537"/>
      <c r="S537"/>
      <c r="U537"/>
    </row>
    <row r="538" spans="10:21" s="1" customFormat="1" x14ac:dyDescent="0.2">
      <c r="J538"/>
      <c r="K538"/>
      <c r="L538"/>
      <c r="M538"/>
      <c r="N538"/>
      <c r="O538" s="392"/>
      <c r="P538" s="2"/>
      <c r="R538"/>
      <c r="S538"/>
      <c r="U538"/>
    </row>
    <row r="539" spans="10:21" s="1" customFormat="1" x14ac:dyDescent="0.2">
      <c r="J539"/>
      <c r="K539"/>
      <c r="L539"/>
      <c r="M539"/>
      <c r="N539"/>
      <c r="O539" s="392"/>
      <c r="P539" s="2"/>
      <c r="R539"/>
      <c r="S539"/>
      <c r="U539"/>
    </row>
    <row r="540" spans="10:21" s="1" customFormat="1" x14ac:dyDescent="0.2">
      <c r="J540"/>
      <c r="K540"/>
      <c r="L540"/>
      <c r="M540"/>
      <c r="N540"/>
      <c r="O540" s="392"/>
      <c r="P540" s="2"/>
      <c r="R540"/>
      <c r="S540"/>
      <c r="U540"/>
    </row>
    <row r="541" spans="10:21" s="1" customFormat="1" x14ac:dyDescent="0.2">
      <c r="J541"/>
      <c r="K541"/>
      <c r="L541"/>
      <c r="M541"/>
      <c r="N541"/>
      <c r="O541" s="392"/>
      <c r="P541" s="2"/>
      <c r="R541"/>
      <c r="S541"/>
      <c r="U541"/>
    </row>
    <row r="542" spans="10:21" s="1" customFormat="1" x14ac:dyDescent="0.2">
      <c r="J542"/>
      <c r="K542"/>
      <c r="L542"/>
      <c r="M542"/>
      <c r="N542"/>
      <c r="O542" s="392"/>
      <c r="P542" s="2"/>
      <c r="R542"/>
      <c r="S542"/>
      <c r="U542"/>
    </row>
    <row r="543" spans="10:21" s="1" customFormat="1" x14ac:dyDescent="0.2">
      <c r="J543"/>
      <c r="K543"/>
      <c r="L543"/>
      <c r="M543"/>
      <c r="N543"/>
      <c r="O543" s="392"/>
      <c r="P543" s="2"/>
      <c r="R543"/>
      <c r="S543"/>
      <c r="U543"/>
    </row>
    <row r="544" spans="10:21" s="1" customFormat="1" x14ac:dyDescent="0.2">
      <c r="J544"/>
      <c r="K544"/>
      <c r="L544"/>
      <c r="M544"/>
      <c r="N544"/>
      <c r="O544" s="392"/>
      <c r="P544" s="2"/>
      <c r="R544"/>
      <c r="S544"/>
      <c r="U544"/>
    </row>
    <row r="545" spans="10:21" s="1" customFormat="1" x14ac:dyDescent="0.2">
      <c r="J545"/>
      <c r="K545"/>
      <c r="L545"/>
      <c r="M545"/>
      <c r="N545"/>
      <c r="O545" s="392"/>
      <c r="P545" s="2"/>
      <c r="R545"/>
      <c r="S545"/>
      <c r="U545"/>
    </row>
    <row r="546" spans="10:21" s="1" customFormat="1" x14ac:dyDescent="0.2">
      <c r="J546"/>
      <c r="K546"/>
      <c r="L546"/>
      <c r="M546"/>
      <c r="N546"/>
      <c r="O546" s="392"/>
      <c r="P546" s="2"/>
      <c r="R546"/>
      <c r="S546"/>
      <c r="U546"/>
    </row>
    <row r="547" spans="10:21" s="1" customFormat="1" x14ac:dyDescent="0.2">
      <c r="J547"/>
      <c r="K547"/>
      <c r="L547"/>
      <c r="M547"/>
      <c r="N547"/>
      <c r="O547" s="392"/>
      <c r="P547" s="2"/>
      <c r="R547"/>
      <c r="S547"/>
      <c r="U547"/>
    </row>
    <row r="548" spans="10:21" s="1" customFormat="1" x14ac:dyDescent="0.2">
      <c r="J548"/>
      <c r="K548"/>
      <c r="L548"/>
      <c r="M548"/>
      <c r="N548"/>
      <c r="O548" s="392"/>
      <c r="P548" s="2"/>
      <c r="R548"/>
      <c r="S548"/>
      <c r="U548"/>
    </row>
    <row r="549" spans="10:21" s="1" customFormat="1" x14ac:dyDescent="0.2">
      <c r="J549"/>
      <c r="K549"/>
      <c r="L549"/>
      <c r="M549"/>
      <c r="N549"/>
      <c r="O549" s="392"/>
      <c r="P549" s="2"/>
      <c r="R549"/>
      <c r="S549"/>
      <c r="U549"/>
    </row>
    <row r="550" spans="10:21" s="1" customFormat="1" x14ac:dyDescent="0.2">
      <c r="J550"/>
      <c r="K550"/>
      <c r="L550"/>
      <c r="M550"/>
      <c r="N550"/>
      <c r="O550" s="392"/>
      <c r="P550" s="2"/>
      <c r="R550"/>
      <c r="S550"/>
      <c r="U550"/>
    </row>
    <row r="551" spans="10:21" s="1" customFormat="1" x14ac:dyDescent="0.2">
      <c r="J551"/>
      <c r="K551"/>
      <c r="L551"/>
      <c r="M551"/>
      <c r="N551"/>
      <c r="O551" s="392"/>
      <c r="P551" s="2"/>
      <c r="R551"/>
      <c r="S551"/>
      <c r="U551"/>
    </row>
    <row r="552" spans="10:21" s="1" customFormat="1" x14ac:dyDescent="0.2">
      <c r="J552"/>
      <c r="K552"/>
      <c r="L552"/>
      <c r="M552"/>
      <c r="N552"/>
      <c r="O552" s="392"/>
      <c r="P552" s="2"/>
      <c r="R552"/>
      <c r="S552"/>
      <c r="U552"/>
    </row>
    <row r="553" spans="10:21" s="1" customFormat="1" x14ac:dyDescent="0.2">
      <c r="J553"/>
      <c r="K553"/>
      <c r="L553"/>
      <c r="M553"/>
      <c r="N553"/>
      <c r="O553" s="392"/>
      <c r="P553" s="2"/>
      <c r="R553"/>
      <c r="S553"/>
      <c r="U553"/>
    </row>
    <row r="554" spans="10:21" s="1" customFormat="1" x14ac:dyDescent="0.2">
      <c r="J554"/>
      <c r="K554"/>
      <c r="L554"/>
      <c r="M554"/>
      <c r="N554"/>
      <c r="O554" s="392"/>
      <c r="P554" s="2"/>
      <c r="R554"/>
      <c r="S554"/>
      <c r="U554"/>
    </row>
    <row r="555" spans="10:21" s="1" customFormat="1" x14ac:dyDescent="0.2">
      <c r="J555"/>
      <c r="K555"/>
      <c r="L555"/>
      <c r="M555"/>
      <c r="N555"/>
      <c r="O555" s="392"/>
      <c r="P555" s="2"/>
      <c r="R555"/>
      <c r="S555"/>
      <c r="U555"/>
    </row>
    <row r="556" spans="10:21" s="1" customFormat="1" x14ac:dyDescent="0.2">
      <c r="J556"/>
      <c r="K556"/>
      <c r="L556"/>
      <c r="M556"/>
      <c r="N556"/>
      <c r="O556" s="392"/>
      <c r="P556" s="2"/>
      <c r="R556"/>
      <c r="S556"/>
      <c r="U556"/>
    </row>
    <row r="557" spans="10:21" s="1" customFormat="1" x14ac:dyDescent="0.2">
      <c r="J557"/>
      <c r="K557"/>
      <c r="L557"/>
      <c r="M557"/>
      <c r="N557"/>
      <c r="O557" s="392"/>
      <c r="P557" s="2"/>
      <c r="R557"/>
      <c r="S557"/>
      <c r="U557"/>
    </row>
    <row r="558" spans="10:21" s="1" customFormat="1" x14ac:dyDescent="0.2">
      <c r="J558"/>
      <c r="K558"/>
      <c r="L558"/>
      <c r="M558"/>
      <c r="N558"/>
      <c r="O558" s="392"/>
      <c r="P558" s="2"/>
      <c r="R558"/>
      <c r="S558"/>
      <c r="U558"/>
    </row>
    <row r="559" spans="10:21" s="1" customFormat="1" x14ac:dyDescent="0.2">
      <c r="J559"/>
      <c r="K559"/>
      <c r="L559"/>
      <c r="M559"/>
      <c r="N559"/>
      <c r="O559" s="392"/>
      <c r="P559" s="2"/>
      <c r="R559"/>
      <c r="S559"/>
      <c r="U559"/>
    </row>
    <row r="560" spans="10:21" s="1" customFormat="1" x14ac:dyDescent="0.2">
      <c r="J560"/>
      <c r="K560"/>
      <c r="L560"/>
      <c r="M560"/>
      <c r="N560"/>
      <c r="O560" s="392"/>
      <c r="P560" s="2"/>
      <c r="R560"/>
      <c r="S560"/>
      <c r="U560"/>
    </row>
    <row r="561" spans="10:21" s="1" customFormat="1" x14ac:dyDescent="0.2">
      <c r="J561"/>
      <c r="K561"/>
      <c r="L561"/>
      <c r="M561"/>
      <c r="N561"/>
      <c r="O561" s="392"/>
      <c r="P561" s="2"/>
      <c r="R561"/>
      <c r="S561"/>
      <c r="U561"/>
    </row>
    <row r="562" spans="10:21" s="1" customFormat="1" x14ac:dyDescent="0.2">
      <c r="J562"/>
      <c r="K562"/>
      <c r="L562"/>
      <c r="M562"/>
      <c r="N562"/>
      <c r="O562" s="392"/>
      <c r="P562" s="2"/>
      <c r="R562"/>
      <c r="S562"/>
      <c r="U562"/>
    </row>
    <row r="563" spans="10:21" s="1" customFormat="1" x14ac:dyDescent="0.2">
      <c r="J563"/>
      <c r="K563"/>
      <c r="L563"/>
      <c r="M563"/>
      <c r="N563"/>
      <c r="O563" s="392"/>
      <c r="P563" s="2"/>
      <c r="R563"/>
      <c r="S563"/>
      <c r="U563"/>
    </row>
    <row r="564" spans="10:21" s="1" customFormat="1" x14ac:dyDescent="0.2">
      <c r="J564"/>
      <c r="K564"/>
      <c r="L564"/>
      <c r="M564"/>
      <c r="N564"/>
      <c r="O564" s="392"/>
      <c r="P564" s="2"/>
      <c r="R564"/>
      <c r="S564"/>
      <c r="U564"/>
    </row>
    <row r="565" spans="10:21" s="1" customFormat="1" x14ac:dyDescent="0.2">
      <c r="J565"/>
      <c r="K565"/>
      <c r="L565"/>
      <c r="M565"/>
      <c r="N565"/>
      <c r="O565" s="392"/>
      <c r="P565" s="2"/>
      <c r="R565"/>
      <c r="S565"/>
      <c r="U565"/>
    </row>
    <row r="566" spans="10:21" s="1" customFormat="1" x14ac:dyDescent="0.2">
      <c r="J566"/>
      <c r="K566"/>
      <c r="L566"/>
      <c r="M566"/>
      <c r="N566"/>
      <c r="O566" s="392"/>
      <c r="P566" s="2"/>
      <c r="R566"/>
      <c r="S566"/>
      <c r="U566"/>
    </row>
    <row r="567" spans="10:21" s="1" customFormat="1" x14ac:dyDescent="0.2">
      <c r="J567"/>
      <c r="K567"/>
      <c r="L567"/>
      <c r="M567"/>
      <c r="N567"/>
      <c r="O567" s="392"/>
      <c r="P567" s="2"/>
      <c r="R567"/>
      <c r="S567"/>
      <c r="U567"/>
    </row>
    <row r="568" spans="10:21" s="1" customFormat="1" x14ac:dyDescent="0.2">
      <c r="J568"/>
      <c r="K568"/>
      <c r="L568"/>
      <c r="M568"/>
      <c r="N568"/>
      <c r="O568" s="392"/>
      <c r="P568" s="2"/>
      <c r="R568"/>
      <c r="S568"/>
      <c r="U568"/>
    </row>
    <row r="569" spans="10:21" s="1" customFormat="1" x14ac:dyDescent="0.2">
      <c r="J569"/>
      <c r="K569"/>
      <c r="L569"/>
      <c r="M569"/>
      <c r="N569"/>
      <c r="O569" s="392"/>
      <c r="P569" s="2"/>
      <c r="R569"/>
      <c r="S569"/>
      <c r="U569"/>
    </row>
    <row r="570" spans="10:21" s="1" customFormat="1" x14ac:dyDescent="0.2">
      <c r="J570"/>
      <c r="K570"/>
      <c r="L570"/>
      <c r="M570"/>
      <c r="N570"/>
      <c r="O570" s="392"/>
      <c r="P570" s="2"/>
      <c r="R570"/>
      <c r="S570"/>
      <c r="U570"/>
    </row>
    <row r="571" spans="10:21" s="1" customFormat="1" x14ac:dyDescent="0.2">
      <c r="J571"/>
      <c r="K571"/>
      <c r="L571"/>
      <c r="M571"/>
      <c r="N571"/>
      <c r="O571" s="392"/>
      <c r="P571" s="2"/>
      <c r="R571"/>
      <c r="S571"/>
      <c r="U571"/>
    </row>
    <row r="572" spans="10:21" s="1" customFormat="1" x14ac:dyDescent="0.2">
      <c r="J572"/>
      <c r="K572"/>
      <c r="L572"/>
      <c r="M572"/>
      <c r="N572"/>
      <c r="O572" s="392"/>
      <c r="P572" s="2"/>
      <c r="R572"/>
      <c r="S572"/>
      <c r="U572"/>
    </row>
    <row r="573" spans="10:21" s="1" customFormat="1" x14ac:dyDescent="0.2">
      <c r="J573"/>
      <c r="K573"/>
      <c r="L573"/>
      <c r="M573"/>
      <c r="N573"/>
      <c r="O573" s="392"/>
      <c r="P573" s="2"/>
      <c r="R573"/>
      <c r="S573"/>
      <c r="U573"/>
    </row>
    <row r="574" spans="10:21" s="1" customFormat="1" x14ac:dyDescent="0.2">
      <c r="J574"/>
      <c r="K574"/>
      <c r="L574"/>
      <c r="M574"/>
      <c r="N574"/>
      <c r="O574" s="392"/>
      <c r="P574" s="2"/>
      <c r="R574"/>
      <c r="S574"/>
      <c r="U574"/>
    </row>
    <row r="575" spans="10:21" s="1" customFormat="1" x14ac:dyDescent="0.2">
      <c r="J575"/>
      <c r="K575"/>
      <c r="L575"/>
      <c r="M575"/>
      <c r="N575"/>
      <c r="O575" s="392"/>
      <c r="P575" s="2"/>
      <c r="R575"/>
      <c r="S575"/>
      <c r="U575"/>
    </row>
    <row r="576" spans="10:21" s="1" customFormat="1" x14ac:dyDescent="0.2">
      <c r="J576"/>
      <c r="K576"/>
      <c r="L576"/>
      <c r="M576"/>
      <c r="N576"/>
      <c r="O576" s="392"/>
      <c r="P576" s="2"/>
      <c r="R576"/>
      <c r="S576"/>
      <c r="U576"/>
    </row>
    <row r="577" spans="10:21" s="1" customFormat="1" x14ac:dyDescent="0.2">
      <c r="J577"/>
      <c r="K577"/>
      <c r="L577"/>
      <c r="M577"/>
      <c r="N577"/>
      <c r="O577" s="392"/>
      <c r="P577" s="2"/>
      <c r="R577"/>
      <c r="S577"/>
      <c r="U577"/>
    </row>
    <row r="578" spans="10:21" s="1" customFormat="1" x14ac:dyDescent="0.2">
      <c r="J578"/>
      <c r="K578"/>
      <c r="L578"/>
      <c r="M578"/>
      <c r="N578"/>
      <c r="O578" s="392"/>
      <c r="P578" s="2"/>
      <c r="R578"/>
      <c r="S578"/>
      <c r="U578"/>
    </row>
    <row r="579" spans="10:21" s="1" customFormat="1" x14ac:dyDescent="0.2">
      <c r="J579"/>
      <c r="K579"/>
      <c r="L579"/>
      <c r="M579"/>
      <c r="N579"/>
      <c r="O579" s="392"/>
      <c r="P579" s="2"/>
      <c r="R579"/>
      <c r="S579"/>
      <c r="U579"/>
    </row>
    <row r="580" spans="10:21" s="1" customFormat="1" x14ac:dyDescent="0.2">
      <c r="J580"/>
      <c r="K580"/>
      <c r="L580"/>
      <c r="M580"/>
      <c r="N580"/>
      <c r="O580" s="392"/>
      <c r="P580" s="2"/>
      <c r="R580"/>
      <c r="S580"/>
      <c r="U580"/>
    </row>
    <row r="581" spans="10:21" s="1" customFormat="1" x14ac:dyDescent="0.2">
      <c r="J581"/>
      <c r="K581"/>
      <c r="L581"/>
      <c r="M581"/>
      <c r="N581"/>
      <c r="O581" s="392"/>
      <c r="P581" s="2"/>
      <c r="R581"/>
      <c r="S581"/>
      <c r="U581"/>
    </row>
    <row r="582" spans="10:21" s="1" customFormat="1" x14ac:dyDescent="0.2">
      <c r="J582"/>
      <c r="K582"/>
      <c r="L582"/>
      <c r="M582"/>
      <c r="N582"/>
      <c r="O582" s="392"/>
      <c r="P582" s="2"/>
      <c r="R582"/>
      <c r="S582"/>
      <c r="U582"/>
    </row>
    <row r="583" spans="10:21" s="1" customFormat="1" x14ac:dyDescent="0.2">
      <c r="J583"/>
      <c r="K583"/>
      <c r="L583"/>
      <c r="M583"/>
      <c r="N583"/>
      <c r="O583" s="392"/>
      <c r="P583" s="2"/>
      <c r="R583"/>
      <c r="S583"/>
      <c r="U583"/>
    </row>
    <row r="584" spans="10:21" s="1" customFormat="1" x14ac:dyDescent="0.2">
      <c r="J584"/>
      <c r="K584"/>
      <c r="L584"/>
      <c r="M584"/>
      <c r="N584"/>
      <c r="O584" s="392"/>
      <c r="P584" s="2"/>
      <c r="R584"/>
      <c r="S584"/>
      <c r="U584"/>
    </row>
    <row r="585" spans="10:21" s="1" customFormat="1" x14ac:dyDescent="0.2">
      <c r="J585"/>
      <c r="K585"/>
      <c r="L585"/>
      <c r="M585"/>
      <c r="N585"/>
      <c r="O585" s="392"/>
      <c r="P585" s="2"/>
      <c r="R585"/>
      <c r="S585"/>
      <c r="U585"/>
    </row>
    <row r="586" spans="10:21" s="1" customFormat="1" x14ac:dyDescent="0.2">
      <c r="J586"/>
      <c r="K586"/>
      <c r="L586"/>
      <c r="M586"/>
      <c r="N586"/>
      <c r="O586" s="392"/>
      <c r="P586" s="2"/>
      <c r="R586"/>
      <c r="S586"/>
      <c r="U586"/>
    </row>
    <row r="587" spans="10:21" s="1" customFormat="1" x14ac:dyDescent="0.2">
      <c r="J587"/>
      <c r="K587"/>
      <c r="L587"/>
      <c r="M587"/>
      <c r="N587"/>
      <c r="O587" s="392"/>
      <c r="P587" s="2"/>
      <c r="R587"/>
      <c r="S587"/>
      <c r="U587"/>
    </row>
    <row r="588" spans="10:21" s="1" customFormat="1" x14ac:dyDescent="0.2">
      <c r="J588"/>
      <c r="K588"/>
      <c r="L588"/>
      <c r="M588"/>
      <c r="N588"/>
      <c r="O588" s="392"/>
      <c r="P588" s="2"/>
      <c r="R588"/>
      <c r="S588"/>
      <c r="U588"/>
    </row>
    <row r="589" spans="10:21" s="1" customFormat="1" x14ac:dyDescent="0.2">
      <c r="J589"/>
      <c r="K589"/>
      <c r="L589"/>
      <c r="M589"/>
      <c r="N589"/>
      <c r="O589" s="392"/>
      <c r="P589" s="2"/>
      <c r="R589"/>
      <c r="S589"/>
      <c r="U589"/>
    </row>
    <row r="590" spans="10:21" s="1" customFormat="1" x14ac:dyDescent="0.2">
      <c r="J590"/>
      <c r="K590"/>
      <c r="L590"/>
      <c r="M590"/>
      <c r="N590"/>
      <c r="O590" s="392"/>
      <c r="P590" s="2"/>
      <c r="R590"/>
      <c r="S590"/>
      <c r="U590"/>
    </row>
    <row r="591" spans="10:21" s="1" customFormat="1" x14ac:dyDescent="0.2">
      <c r="J591"/>
      <c r="K591"/>
      <c r="L591"/>
      <c r="M591"/>
      <c r="N591"/>
      <c r="O591" s="392"/>
      <c r="P591" s="2"/>
      <c r="R591"/>
      <c r="S591"/>
      <c r="U591"/>
    </row>
    <row r="592" spans="10:21" s="1" customFormat="1" x14ac:dyDescent="0.2">
      <c r="J592"/>
      <c r="K592"/>
      <c r="L592"/>
      <c r="M592"/>
      <c r="N592"/>
      <c r="O592" s="392"/>
      <c r="P592" s="2"/>
      <c r="R592"/>
      <c r="S592"/>
      <c r="U592"/>
    </row>
    <row r="593" spans="10:21" s="1" customFormat="1" x14ac:dyDescent="0.2">
      <c r="J593"/>
      <c r="K593"/>
      <c r="L593"/>
      <c r="M593"/>
      <c r="N593"/>
      <c r="O593" s="392"/>
      <c r="P593" s="2"/>
      <c r="R593"/>
      <c r="S593"/>
      <c r="U593"/>
    </row>
    <row r="594" spans="10:21" s="1" customFormat="1" x14ac:dyDescent="0.2">
      <c r="J594"/>
      <c r="K594"/>
      <c r="L594"/>
      <c r="M594"/>
      <c r="N594"/>
      <c r="O594" s="392"/>
      <c r="P594" s="2"/>
      <c r="R594"/>
      <c r="S594"/>
      <c r="U594"/>
    </row>
    <row r="595" spans="10:21" s="1" customFormat="1" x14ac:dyDescent="0.2">
      <c r="J595"/>
      <c r="K595"/>
      <c r="L595"/>
      <c r="M595"/>
      <c r="N595"/>
      <c r="O595" s="392"/>
      <c r="P595" s="2"/>
      <c r="R595"/>
      <c r="S595"/>
      <c r="U595"/>
    </row>
    <row r="596" spans="10:21" s="1" customFormat="1" x14ac:dyDescent="0.2">
      <c r="J596"/>
      <c r="K596"/>
      <c r="L596"/>
      <c r="M596"/>
      <c r="N596"/>
      <c r="O596" s="392"/>
      <c r="P596" s="2"/>
      <c r="R596"/>
      <c r="S596"/>
      <c r="U596"/>
    </row>
    <row r="597" spans="10:21" s="1" customFormat="1" x14ac:dyDescent="0.2">
      <c r="J597"/>
      <c r="K597"/>
      <c r="L597"/>
      <c r="M597"/>
      <c r="N597"/>
      <c r="O597" s="392"/>
      <c r="P597" s="2"/>
      <c r="R597"/>
      <c r="S597"/>
      <c r="U597"/>
    </row>
    <row r="598" spans="10:21" s="1" customFormat="1" x14ac:dyDescent="0.2">
      <c r="J598"/>
      <c r="K598"/>
      <c r="L598"/>
      <c r="M598"/>
      <c r="N598"/>
      <c r="O598" s="392"/>
      <c r="P598" s="2"/>
      <c r="R598"/>
      <c r="S598"/>
      <c r="U598"/>
    </row>
    <row r="599" spans="10:21" s="1" customFormat="1" x14ac:dyDescent="0.2">
      <c r="J599"/>
      <c r="K599"/>
      <c r="L599"/>
      <c r="M599"/>
      <c r="N599"/>
      <c r="O599" s="392"/>
      <c r="P599" s="2"/>
      <c r="R599"/>
      <c r="S599"/>
      <c r="U599"/>
    </row>
    <row r="600" spans="10:21" s="1" customFormat="1" x14ac:dyDescent="0.2">
      <c r="J600"/>
      <c r="K600"/>
      <c r="L600"/>
      <c r="M600"/>
      <c r="N600"/>
      <c r="O600" s="392"/>
      <c r="P600" s="2"/>
      <c r="R600"/>
      <c r="S600"/>
      <c r="U600"/>
    </row>
    <row r="601" spans="10:21" s="1" customFormat="1" x14ac:dyDescent="0.2">
      <c r="J601"/>
      <c r="K601"/>
      <c r="L601"/>
      <c r="M601"/>
      <c r="N601"/>
      <c r="O601" s="392"/>
      <c r="P601" s="2"/>
      <c r="R601"/>
      <c r="S601"/>
      <c r="U601"/>
    </row>
    <row r="602" spans="10:21" s="1" customFormat="1" x14ac:dyDescent="0.2">
      <c r="J602"/>
      <c r="K602"/>
      <c r="L602"/>
      <c r="M602"/>
      <c r="N602"/>
      <c r="O602" s="392"/>
      <c r="P602" s="2"/>
      <c r="R602"/>
      <c r="S602"/>
      <c r="U602"/>
    </row>
    <row r="603" spans="10:21" s="1" customFormat="1" x14ac:dyDescent="0.2">
      <c r="J603"/>
      <c r="K603"/>
      <c r="L603"/>
      <c r="M603"/>
      <c r="N603"/>
      <c r="O603" s="392"/>
      <c r="P603" s="2"/>
      <c r="R603"/>
      <c r="S603"/>
      <c r="U603"/>
    </row>
    <row r="604" spans="10:21" s="1" customFormat="1" x14ac:dyDescent="0.2">
      <c r="J604"/>
      <c r="K604"/>
      <c r="L604"/>
      <c r="M604"/>
      <c r="N604"/>
      <c r="O604" s="392"/>
      <c r="P604" s="2"/>
      <c r="R604"/>
      <c r="S604"/>
      <c r="U604"/>
    </row>
    <row r="605" spans="10:21" s="1" customFormat="1" x14ac:dyDescent="0.2">
      <c r="J605"/>
      <c r="K605"/>
      <c r="L605"/>
      <c r="M605"/>
      <c r="N605"/>
      <c r="O605" s="392"/>
      <c r="P605" s="2"/>
      <c r="R605"/>
      <c r="S605"/>
      <c r="U605"/>
    </row>
    <row r="606" spans="10:21" s="1" customFormat="1" x14ac:dyDescent="0.2">
      <c r="J606"/>
      <c r="K606"/>
      <c r="L606"/>
      <c r="M606"/>
      <c r="N606"/>
      <c r="O606" s="392"/>
      <c r="P606" s="2"/>
      <c r="R606"/>
      <c r="S606"/>
      <c r="U606"/>
    </row>
    <row r="607" spans="10:21" s="1" customFormat="1" x14ac:dyDescent="0.2">
      <c r="J607"/>
      <c r="K607"/>
      <c r="L607"/>
      <c r="M607"/>
      <c r="N607"/>
      <c r="O607" s="392"/>
      <c r="P607" s="2"/>
      <c r="R607"/>
      <c r="S607"/>
      <c r="U607"/>
    </row>
    <row r="608" spans="10:21" s="1" customFormat="1" x14ac:dyDescent="0.2">
      <c r="J608"/>
      <c r="K608"/>
      <c r="L608"/>
      <c r="M608"/>
      <c r="N608"/>
      <c r="O608" s="392"/>
      <c r="P608" s="2"/>
      <c r="R608"/>
      <c r="S608"/>
      <c r="U608"/>
    </row>
    <row r="609" spans="10:21" s="1" customFormat="1" x14ac:dyDescent="0.2">
      <c r="J609"/>
      <c r="K609"/>
      <c r="L609"/>
      <c r="M609"/>
      <c r="N609"/>
      <c r="O609" s="392"/>
      <c r="P609" s="2"/>
      <c r="R609"/>
      <c r="S609"/>
      <c r="U609"/>
    </row>
    <row r="610" spans="10:21" s="1" customFormat="1" x14ac:dyDescent="0.2">
      <c r="J610"/>
      <c r="K610"/>
      <c r="L610"/>
      <c r="M610"/>
      <c r="N610"/>
      <c r="O610" s="392"/>
      <c r="P610" s="2"/>
      <c r="R610"/>
      <c r="S610"/>
      <c r="U610"/>
    </row>
    <row r="611" spans="10:21" s="1" customFormat="1" x14ac:dyDescent="0.2">
      <c r="J611"/>
      <c r="K611"/>
      <c r="L611"/>
      <c r="M611"/>
      <c r="N611"/>
      <c r="O611" s="392"/>
      <c r="P611" s="2"/>
      <c r="R611"/>
      <c r="S611"/>
      <c r="U611"/>
    </row>
    <row r="612" spans="10:21" s="1" customFormat="1" x14ac:dyDescent="0.2">
      <c r="J612"/>
      <c r="K612"/>
      <c r="L612"/>
      <c r="M612"/>
      <c r="N612"/>
      <c r="O612" s="392"/>
      <c r="P612" s="2"/>
      <c r="R612"/>
      <c r="S612"/>
      <c r="U612"/>
    </row>
    <row r="613" spans="10:21" s="1" customFormat="1" x14ac:dyDescent="0.2">
      <c r="J613"/>
      <c r="K613"/>
      <c r="L613"/>
      <c r="M613"/>
      <c r="N613"/>
      <c r="O613" s="392"/>
      <c r="P613" s="2"/>
      <c r="R613"/>
      <c r="S613"/>
      <c r="U613"/>
    </row>
    <row r="614" spans="10:21" s="1" customFormat="1" x14ac:dyDescent="0.2">
      <c r="J614"/>
      <c r="K614"/>
      <c r="L614"/>
      <c r="M614"/>
      <c r="N614"/>
      <c r="O614" s="392"/>
      <c r="P614" s="2"/>
      <c r="R614"/>
      <c r="S614"/>
      <c r="U614"/>
    </row>
    <row r="615" spans="10:21" s="1" customFormat="1" x14ac:dyDescent="0.2">
      <c r="J615"/>
      <c r="K615"/>
      <c r="L615"/>
      <c r="M615"/>
      <c r="N615"/>
      <c r="O615" s="392"/>
      <c r="P615" s="2"/>
      <c r="R615"/>
      <c r="S615"/>
      <c r="U615"/>
    </row>
    <row r="616" spans="10:21" s="1" customFormat="1" x14ac:dyDescent="0.2">
      <c r="J616"/>
      <c r="K616"/>
      <c r="L616"/>
      <c r="M616"/>
      <c r="N616"/>
      <c r="O616" s="392"/>
      <c r="P616" s="2"/>
      <c r="R616"/>
      <c r="S616"/>
      <c r="U616"/>
    </row>
    <row r="617" spans="10:21" s="1" customFormat="1" x14ac:dyDescent="0.2">
      <c r="J617"/>
      <c r="K617"/>
      <c r="L617"/>
      <c r="M617"/>
      <c r="N617"/>
      <c r="O617" s="392"/>
      <c r="P617" s="2"/>
      <c r="R617"/>
      <c r="S617"/>
      <c r="U617"/>
    </row>
    <row r="618" spans="10:21" s="1" customFormat="1" x14ac:dyDescent="0.2">
      <c r="J618"/>
      <c r="K618"/>
      <c r="L618"/>
      <c r="M618"/>
      <c r="N618"/>
      <c r="O618" s="392"/>
      <c r="P618" s="2"/>
      <c r="R618"/>
      <c r="S618"/>
      <c r="U618"/>
    </row>
    <row r="619" spans="10:21" s="1" customFormat="1" x14ac:dyDescent="0.2">
      <c r="J619"/>
      <c r="K619"/>
      <c r="L619"/>
      <c r="M619"/>
      <c r="N619"/>
      <c r="O619" s="392"/>
      <c r="P619" s="2"/>
      <c r="R619"/>
      <c r="S619"/>
      <c r="U619"/>
    </row>
    <row r="620" spans="10:21" s="1" customFormat="1" x14ac:dyDescent="0.2">
      <c r="J620"/>
      <c r="K620"/>
      <c r="L620"/>
      <c r="M620"/>
      <c r="N620"/>
      <c r="O620" s="392"/>
      <c r="P620" s="2"/>
      <c r="R620"/>
      <c r="S620"/>
      <c r="U620"/>
    </row>
    <row r="621" spans="10:21" s="1" customFormat="1" x14ac:dyDescent="0.2">
      <c r="J621"/>
      <c r="K621"/>
      <c r="L621"/>
      <c r="M621"/>
      <c r="N621"/>
      <c r="O621" s="392"/>
      <c r="P621" s="2"/>
      <c r="R621"/>
      <c r="S621"/>
      <c r="U621"/>
    </row>
    <row r="622" spans="10:21" s="1" customFormat="1" x14ac:dyDescent="0.2">
      <c r="J622"/>
      <c r="K622"/>
      <c r="L622"/>
      <c r="M622"/>
      <c r="N622"/>
      <c r="O622" s="392"/>
      <c r="P622" s="2"/>
      <c r="R622"/>
      <c r="S622"/>
      <c r="U622"/>
    </row>
    <row r="623" spans="10:21" s="1" customFormat="1" x14ac:dyDescent="0.2">
      <c r="J623"/>
      <c r="K623"/>
      <c r="L623"/>
      <c r="M623"/>
      <c r="N623"/>
      <c r="O623" s="392"/>
      <c r="P623" s="2"/>
      <c r="R623"/>
      <c r="S623"/>
      <c r="U623"/>
    </row>
    <row r="624" spans="10:21" s="1" customFormat="1" x14ac:dyDescent="0.2">
      <c r="J624"/>
      <c r="K624"/>
      <c r="L624"/>
      <c r="M624"/>
      <c r="N624"/>
      <c r="O624" s="392"/>
      <c r="P624" s="2"/>
      <c r="R624"/>
      <c r="S624"/>
      <c r="U624"/>
    </row>
    <row r="625" spans="10:21" s="1" customFormat="1" x14ac:dyDescent="0.2">
      <c r="J625"/>
      <c r="K625"/>
      <c r="L625"/>
      <c r="M625"/>
      <c r="N625"/>
      <c r="O625" s="392"/>
      <c r="P625" s="2"/>
      <c r="R625"/>
      <c r="S625"/>
      <c r="U625"/>
    </row>
    <row r="626" spans="10:21" s="1" customFormat="1" x14ac:dyDescent="0.2">
      <c r="J626"/>
      <c r="K626"/>
      <c r="L626"/>
      <c r="M626"/>
      <c r="N626"/>
      <c r="O626" s="392"/>
      <c r="P626" s="2"/>
      <c r="R626"/>
      <c r="S626"/>
      <c r="U626"/>
    </row>
    <row r="627" spans="10:21" s="1" customFormat="1" x14ac:dyDescent="0.2">
      <c r="J627"/>
      <c r="K627"/>
      <c r="L627"/>
      <c r="M627"/>
      <c r="N627"/>
      <c r="O627" s="392"/>
      <c r="P627" s="2"/>
      <c r="R627"/>
      <c r="S627"/>
      <c r="U627"/>
    </row>
    <row r="628" spans="10:21" s="1" customFormat="1" x14ac:dyDescent="0.2">
      <c r="J628"/>
      <c r="K628"/>
      <c r="L628"/>
      <c r="M628"/>
      <c r="N628"/>
      <c r="O628" s="392"/>
      <c r="P628" s="2"/>
      <c r="R628"/>
      <c r="S628"/>
      <c r="U628"/>
    </row>
    <row r="629" spans="10:21" s="1" customFormat="1" x14ac:dyDescent="0.2">
      <c r="J629"/>
      <c r="K629"/>
      <c r="L629"/>
      <c r="M629"/>
      <c r="N629"/>
      <c r="O629" s="392"/>
      <c r="P629" s="2"/>
      <c r="R629"/>
      <c r="S629"/>
      <c r="U629"/>
    </row>
    <row r="630" spans="10:21" s="1" customFormat="1" x14ac:dyDescent="0.2">
      <c r="J630"/>
      <c r="K630"/>
      <c r="L630"/>
      <c r="M630"/>
      <c r="N630"/>
      <c r="O630" s="392"/>
      <c r="P630" s="2"/>
      <c r="R630"/>
      <c r="S630"/>
      <c r="U630"/>
    </row>
    <row r="631" spans="10:21" s="1" customFormat="1" x14ac:dyDescent="0.2">
      <c r="J631"/>
      <c r="K631"/>
      <c r="L631"/>
      <c r="M631"/>
      <c r="N631"/>
      <c r="O631" s="392"/>
      <c r="P631" s="2"/>
      <c r="R631"/>
      <c r="S631"/>
      <c r="U631"/>
    </row>
    <row r="632" spans="10:21" s="1" customFormat="1" x14ac:dyDescent="0.2">
      <c r="J632"/>
      <c r="K632"/>
      <c r="L632"/>
      <c r="M632"/>
      <c r="N632"/>
      <c r="O632" s="392"/>
      <c r="P632" s="2"/>
      <c r="R632"/>
      <c r="S632"/>
      <c r="U632"/>
    </row>
    <row r="633" spans="10:21" s="1" customFormat="1" x14ac:dyDescent="0.2">
      <c r="J633"/>
      <c r="K633"/>
      <c r="L633"/>
      <c r="M633"/>
      <c r="N633"/>
      <c r="O633" s="392"/>
      <c r="P633" s="2"/>
      <c r="R633"/>
      <c r="S633"/>
      <c r="U633"/>
    </row>
    <row r="634" spans="10:21" s="1" customFormat="1" x14ac:dyDescent="0.2">
      <c r="J634"/>
      <c r="K634"/>
      <c r="L634"/>
      <c r="M634"/>
      <c r="N634"/>
      <c r="O634" s="392"/>
      <c r="P634" s="2"/>
      <c r="R634"/>
      <c r="S634"/>
      <c r="U634"/>
    </row>
    <row r="635" spans="10:21" s="1" customFormat="1" x14ac:dyDescent="0.2">
      <c r="J635"/>
      <c r="K635"/>
      <c r="L635"/>
      <c r="M635"/>
      <c r="N635"/>
      <c r="O635" s="392"/>
      <c r="P635" s="2"/>
      <c r="R635"/>
      <c r="S635"/>
      <c r="U635"/>
    </row>
    <row r="636" spans="10:21" s="1" customFormat="1" x14ac:dyDescent="0.2">
      <c r="J636"/>
      <c r="K636"/>
      <c r="L636"/>
      <c r="M636"/>
      <c r="N636"/>
      <c r="O636" s="392"/>
      <c r="P636" s="2"/>
      <c r="R636"/>
      <c r="S636"/>
      <c r="U636"/>
    </row>
    <row r="637" spans="10:21" s="1" customFormat="1" x14ac:dyDescent="0.2">
      <c r="J637"/>
      <c r="K637"/>
      <c r="L637"/>
      <c r="M637"/>
      <c r="N637"/>
      <c r="O637" s="392"/>
      <c r="P637" s="2"/>
      <c r="R637"/>
      <c r="S637"/>
      <c r="U637"/>
    </row>
    <row r="638" spans="10:21" s="1" customFormat="1" x14ac:dyDescent="0.2">
      <c r="J638"/>
      <c r="K638"/>
      <c r="L638"/>
      <c r="M638"/>
      <c r="N638"/>
      <c r="O638" s="392"/>
      <c r="P638" s="2"/>
      <c r="R638"/>
      <c r="S638"/>
      <c r="U638"/>
    </row>
    <row r="639" spans="10:21" s="1" customFormat="1" x14ac:dyDescent="0.2">
      <c r="J639"/>
      <c r="K639"/>
      <c r="L639"/>
      <c r="M639"/>
      <c r="N639"/>
      <c r="O639" s="392"/>
      <c r="P639" s="2"/>
      <c r="R639"/>
      <c r="S639"/>
      <c r="U639"/>
    </row>
    <row r="640" spans="10:21" s="1" customFormat="1" x14ac:dyDescent="0.2">
      <c r="J640"/>
      <c r="K640"/>
      <c r="L640"/>
      <c r="M640"/>
      <c r="N640"/>
      <c r="O640" s="392"/>
      <c r="P640" s="2"/>
      <c r="R640"/>
      <c r="S640"/>
      <c r="U640"/>
    </row>
    <row r="641" spans="10:21" s="1" customFormat="1" x14ac:dyDescent="0.2">
      <c r="J641"/>
      <c r="K641"/>
      <c r="L641"/>
      <c r="M641"/>
      <c r="N641"/>
      <c r="O641" s="392"/>
      <c r="P641" s="2"/>
      <c r="R641"/>
      <c r="S641"/>
      <c r="U641"/>
    </row>
    <row r="642" spans="10:21" s="1" customFormat="1" x14ac:dyDescent="0.2">
      <c r="J642"/>
      <c r="K642"/>
      <c r="L642"/>
      <c r="M642"/>
      <c r="N642"/>
      <c r="O642" s="392"/>
      <c r="P642" s="2"/>
      <c r="R642"/>
      <c r="S642"/>
      <c r="U642"/>
    </row>
    <row r="643" spans="10:21" s="1" customFormat="1" x14ac:dyDescent="0.2">
      <c r="J643"/>
      <c r="K643"/>
      <c r="L643"/>
      <c r="M643"/>
      <c r="N643"/>
      <c r="O643" s="392"/>
      <c r="P643" s="2"/>
      <c r="R643"/>
      <c r="S643"/>
      <c r="U643"/>
    </row>
    <row r="644" spans="10:21" s="1" customFormat="1" x14ac:dyDescent="0.2">
      <c r="J644"/>
      <c r="K644"/>
      <c r="L644"/>
      <c r="M644"/>
      <c r="N644"/>
      <c r="O644" s="392"/>
      <c r="P644" s="2"/>
      <c r="R644"/>
      <c r="S644"/>
      <c r="U644"/>
    </row>
    <row r="645" spans="10:21" s="1" customFormat="1" x14ac:dyDescent="0.2">
      <c r="J645"/>
      <c r="K645"/>
      <c r="L645"/>
      <c r="M645"/>
      <c r="N645"/>
      <c r="O645" s="392"/>
      <c r="P645" s="2"/>
      <c r="R645"/>
      <c r="S645"/>
      <c r="U645"/>
    </row>
    <row r="646" spans="10:21" s="1" customFormat="1" x14ac:dyDescent="0.2">
      <c r="J646"/>
      <c r="K646"/>
      <c r="L646"/>
      <c r="M646"/>
      <c r="N646"/>
      <c r="O646" s="392"/>
      <c r="P646" s="2"/>
      <c r="R646"/>
      <c r="S646"/>
      <c r="U646"/>
    </row>
    <row r="647" spans="10:21" s="1" customFormat="1" x14ac:dyDescent="0.2">
      <c r="J647"/>
      <c r="K647"/>
      <c r="L647"/>
      <c r="M647"/>
      <c r="N647"/>
      <c r="O647" s="392"/>
      <c r="P647" s="2"/>
      <c r="R647"/>
      <c r="S647"/>
      <c r="U647"/>
    </row>
    <row r="648" spans="10:21" s="1" customFormat="1" x14ac:dyDescent="0.2">
      <c r="J648"/>
      <c r="K648"/>
      <c r="L648"/>
      <c r="M648"/>
      <c r="N648"/>
      <c r="O648" s="392"/>
      <c r="P648" s="2"/>
      <c r="R648"/>
      <c r="S648"/>
      <c r="U648"/>
    </row>
    <row r="649" spans="10:21" s="1" customFormat="1" x14ac:dyDescent="0.2">
      <c r="J649"/>
      <c r="K649"/>
      <c r="L649"/>
      <c r="M649"/>
      <c r="N649"/>
      <c r="O649" s="392"/>
      <c r="P649" s="2"/>
      <c r="R649"/>
      <c r="S649"/>
      <c r="U649"/>
    </row>
    <row r="650" spans="10:21" s="1" customFormat="1" x14ac:dyDescent="0.2">
      <c r="J650"/>
      <c r="K650"/>
      <c r="L650"/>
      <c r="M650"/>
      <c r="N650"/>
      <c r="O650" s="392"/>
      <c r="P650" s="2"/>
      <c r="R650"/>
      <c r="S650"/>
      <c r="U650"/>
    </row>
    <row r="651" spans="10:21" s="1" customFormat="1" x14ac:dyDescent="0.2">
      <c r="J651"/>
      <c r="K651"/>
      <c r="L651"/>
      <c r="M651"/>
      <c r="N651"/>
      <c r="O651" s="392"/>
      <c r="P651" s="2"/>
      <c r="R651"/>
      <c r="S651"/>
      <c r="U651"/>
    </row>
    <row r="652" spans="10:21" s="1" customFormat="1" x14ac:dyDescent="0.2">
      <c r="J652"/>
      <c r="K652"/>
      <c r="L652"/>
      <c r="M652"/>
      <c r="N652"/>
      <c r="O652" s="392"/>
      <c r="P652" s="2"/>
      <c r="R652"/>
      <c r="S652"/>
      <c r="U652"/>
    </row>
    <row r="653" spans="10:21" s="1" customFormat="1" x14ac:dyDescent="0.2">
      <c r="J653"/>
      <c r="K653"/>
      <c r="L653"/>
      <c r="M653"/>
      <c r="N653"/>
      <c r="O653" s="392"/>
      <c r="P653" s="2"/>
      <c r="R653"/>
      <c r="S653"/>
      <c r="U653"/>
    </row>
    <row r="654" spans="10:21" s="1" customFormat="1" x14ac:dyDescent="0.2">
      <c r="J654"/>
      <c r="K654"/>
      <c r="L654"/>
      <c r="M654"/>
      <c r="N654"/>
      <c r="O654" s="392"/>
      <c r="P654" s="2"/>
      <c r="R654"/>
      <c r="S654"/>
      <c r="U654"/>
    </row>
    <row r="655" spans="10:21" s="1" customFormat="1" x14ac:dyDescent="0.2">
      <c r="J655"/>
      <c r="K655"/>
      <c r="L655"/>
      <c r="M655"/>
      <c r="N655"/>
      <c r="O655" s="392"/>
      <c r="P655" s="2"/>
      <c r="R655"/>
      <c r="S655"/>
      <c r="U655"/>
    </row>
    <row r="656" spans="10:21" s="1" customFormat="1" x14ac:dyDescent="0.2">
      <c r="J656"/>
      <c r="K656"/>
      <c r="L656"/>
      <c r="M656"/>
      <c r="N656"/>
      <c r="O656" s="392"/>
      <c r="P656" s="2"/>
      <c r="R656"/>
      <c r="S656"/>
      <c r="U656"/>
    </row>
    <row r="657" spans="10:21" s="1" customFormat="1" x14ac:dyDescent="0.2">
      <c r="J657"/>
      <c r="K657"/>
      <c r="L657"/>
      <c r="M657"/>
      <c r="N657"/>
      <c r="O657" s="392"/>
      <c r="P657" s="2"/>
      <c r="R657"/>
      <c r="S657"/>
      <c r="U657"/>
    </row>
    <row r="658" spans="10:21" s="1" customFormat="1" x14ac:dyDescent="0.2">
      <c r="J658"/>
      <c r="K658"/>
      <c r="L658"/>
      <c r="M658"/>
      <c r="N658"/>
      <c r="O658" s="392"/>
      <c r="P658" s="2"/>
      <c r="R658"/>
      <c r="S658"/>
      <c r="U658"/>
    </row>
    <row r="659" spans="10:21" s="1" customFormat="1" x14ac:dyDescent="0.2">
      <c r="J659"/>
      <c r="K659"/>
      <c r="L659"/>
      <c r="M659"/>
      <c r="N659"/>
      <c r="O659" s="392"/>
      <c r="P659" s="2"/>
      <c r="R659"/>
      <c r="S659"/>
      <c r="U659"/>
    </row>
    <row r="660" spans="10:21" s="1" customFormat="1" x14ac:dyDescent="0.2">
      <c r="J660"/>
      <c r="K660"/>
      <c r="L660"/>
      <c r="M660"/>
      <c r="N660"/>
      <c r="O660" s="392"/>
      <c r="P660" s="2"/>
      <c r="R660"/>
      <c r="S660"/>
      <c r="U660"/>
    </row>
    <row r="661" spans="10:21" s="1" customFormat="1" x14ac:dyDescent="0.2">
      <c r="J661"/>
      <c r="K661"/>
      <c r="L661"/>
      <c r="M661"/>
      <c r="N661"/>
      <c r="O661" s="392"/>
      <c r="P661" s="2"/>
      <c r="R661"/>
      <c r="S661"/>
      <c r="U661"/>
    </row>
    <row r="662" spans="10:21" s="1" customFormat="1" x14ac:dyDescent="0.2">
      <c r="J662"/>
      <c r="K662"/>
      <c r="L662"/>
      <c r="M662"/>
      <c r="N662"/>
      <c r="O662" s="392"/>
      <c r="P662" s="2"/>
      <c r="R662"/>
      <c r="S662"/>
      <c r="U662"/>
    </row>
    <row r="663" spans="10:21" s="1" customFormat="1" x14ac:dyDescent="0.2">
      <c r="J663"/>
      <c r="K663"/>
      <c r="L663"/>
      <c r="M663"/>
      <c r="N663"/>
      <c r="O663" s="392"/>
      <c r="P663" s="2"/>
      <c r="R663"/>
      <c r="S663"/>
      <c r="U663"/>
    </row>
    <row r="664" spans="10:21" s="1" customFormat="1" x14ac:dyDescent="0.2">
      <c r="J664"/>
      <c r="K664"/>
      <c r="L664"/>
      <c r="M664"/>
      <c r="N664"/>
      <c r="O664" s="392"/>
      <c r="P664" s="2"/>
      <c r="R664"/>
      <c r="S664"/>
      <c r="U664"/>
    </row>
    <row r="665" spans="10:21" s="1" customFormat="1" x14ac:dyDescent="0.2">
      <c r="J665"/>
      <c r="K665"/>
      <c r="L665"/>
      <c r="M665"/>
      <c r="N665"/>
      <c r="O665" s="392"/>
      <c r="P665" s="2"/>
      <c r="R665"/>
      <c r="S665"/>
      <c r="U665"/>
    </row>
    <row r="666" spans="10:21" s="1" customFormat="1" x14ac:dyDescent="0.2">
      <c r="J666"/>
      <c r="K666"/>
      <c r="L666"/>
      <c r="M666"/>
      <c r="N666"/>
      <c r="O666" s="392"/>
      <c r="P666" s="2"/>
      <c r="R666"/>
      <c r="S666"/>
      <c r="U666"/>
    </row>
    <row r="667" spans="10:21" s="1" customFormat="1" x14ac:dyDescent="0.2">
      <c r="J667"/>
      <c r="K667"/>
      <c r="L667"/>
      <c r="M667"/>
      <c r="N667"/>
      <c r="O667" s="392"/>
      <c r="P667" s="2"/>
      <c r="R667"/>
      <c r="S667"/>
      <c r="U667"/>
    </row>
    <row r="668" spans="10:21" s="1" customFormat="1" x14ac:dyDescent="0.2">
      <c r="J668"/>
      <c r="K668"/>
      <c r="L668"/>
      <c r="M668"/>
      <c r="N668"/>
      <c r="O668" s="392"/>
      <c r="P668" s="2"/>
      <c r="R668"/>
      <c r="S668"/>
      <c r="U668"/>
    </row>
    <row r="669" spans="10:21" s="1" customFormat="1" x14ac:dyDescent="0.2">
      <c r="J669"/>
      <c r="K669"/>
      <c r="L669"/>
      <c r="M669"/>
      <c r="N669"/>
      <c r="O669" s="392"/>
      <c r="P669" s="2"/>
      <c r="R669"/>
      <c r="S669"/>
      <c r="U669"/>
    </row>
    <row r="670" spans="10:21" s="1" customFormat="1" x14ac:dyDescent="0.2">
      <c r="J670"/>
      <c r="K670"/>
      <c r="L670"/>
      <c r="M670"/>
      <c r="N670"/>
      <c r="O670" s="392"/>
      <c r="P670" s="2"/>
      <c r="R670"/>
      <c r="S670"/>
      <c r="U670"/>
    </row>
    <row r="671" spans="10:21" s="1" customFormat="1" x14ac:dyDescent="0.2">
      <c r="J671"/>
      <c r="K671"/>
      <c r="L671"/>
      <c r="M671"/>
      <c r="N671"/>
      <c r="O671" s="392"/>
      <c r="P671" s="2"/>
      <c r="R671"/>
      <c r="S671"/>
      <c r="U671"/>
    </row>
    <row r="672" spans="10:21" s="1" customFormat="1" x14ac:dyDescent="0.2">
      <c r="J672"/>
      <c r="K672"/>
      <c r="L672"/>
      <c r="M672"/>
      <c r="N672"/>
      <c r="O672" s="392"/>
      <c r="P672" s="2"/>
      <c r="R672"/>
      <c r="S672"/>
      <c r="U672"/>
    </row>
    <row r="673" spans="10:21" s="1" customFormat="1" x14ac:dyDescent="0.2">
      <c r="J673"/>
      <c r="K673"/>
      <c r="L673"/>
      <c r="M673"/>
      <c r="N673"/>
      <c r="O673" s="392"/>
      <c r="P673" s="2"/>
      <c r="R673"/>
      <c r="S673"/>
      <c r="U673"/>
    </row>
    <row r="674" spans="10:21" s="1" customFormat="1" x14ac:dyDescent="0.2">
      <c r="J674"/>
      <c r="K674"/>
      <c r="L674"/>
      <c r="M674"/>
      <c r="N674"/>
      <c r="O674" s="392"/>
      <c r="P674" s="2"/>
      <c r="R674"/>
      <c r="S674"/>
      <c r="U674"/>
    </row>
    <row r="675" spans="10:21" s="1" customFormat="1" x14ac:dyDescent="0.2">
      <c r="J675"/>
      <c r="K675"/>
      <c r="L675"/>
      <c r="M675"/>
      <c r="N675"/>
      <c r="O675" s="392"/>
      <c r="P675" s="2"/>
      <c r="R675"/>
      <c r="S675"/>
      <c r="U675"/>
    </row>
    <row r="676" spans="10:21" s="1" customFormat="1" x14ac:dyDescent="0.2">
      <c r="J676"/>
      <c r="K676"/>
      <c r="L676"/>
      <c r="M676"/>
      <c r="N676"/>
      <c r="O676" s="392"/>
      <c r="P676" s="2"/>
      <c r="R676"/>
      <c r="S676"/>
      <c r="U676"/>
    </row>
    <row r="677" spans="10:21" s="1" customFormat="1" x14ac:dyDescent="0.2">
      <c r="J677"/>
      <c r="K677"/>
      <c r="L677"/>
      <c r="M677"/>
      <c r="N677"/>
      <c r="O677" s="392"/>
      <c r="P677" s="2"/>
      <c r="R677"/>
      <c r="S677"/>
      <c r="U677"/>
    </row>
    <row r="678" spans="10:21" s="1" customFormat="1" x14ac:dyDescent="0.2">
      <c r="J678"/>
      <c r="K678"/>
      <c r="L678"/>
      <c r="M678"/>
      <c r="N678"/>
      <c r="O678" s="392"/>
      <c r="P678" s="2"/>
      <c r="R678"/>
      <c r="S678"/>
      <c r="U678"/>
    </row>
    <row r="679" spans="10:21" s="1" customFormat="1" x14ac:dyDescent="0.2">
      <c r="J679"/>
      <c r="K679"/>
      <c r="L679"/>
      <c r="M679"/>
      <c r="N679"/>
      <c r="O679" s="392"/>
      <c r="P679" s="2"/>
      <c r="R679"/>
      <c r="S679"/>
      <c r="U679"/>
    </row>
    <row r="680" spans="10:21" s="1" customFormat="1" x14ac:dyDescent="0.2">
      <c r="J680"/>
      <c r="K680"/>
      <c r="L680"/>
      <c r="M680"/>
      <c r="N680"/>
      <c r="O680" s="392"/>
      <c r="P680" s="2"/>
      <c r="R680"/>
      <c r="S680"/>
      <c r="U680"/>
    </row>
    <row r="681" spans="10:21" s="1" customFormat="1" x14ac:dyDescent="0.2">
      <c r="J681"/>
      <c r="K681"/>
      <c r="L681"/>
      <c r="M681"/>
      <c r="N681"/>
      <c r="O681" s="392"/>
      <c r="P681" s="2"/>
      <c r="R681"/>
      <c r="S681"/>
      <c r="U681"/>
    </row>
    <row r="682" spans="10:21" s="1" customFormat="1" x14ac:dyDescent="0.2">
      <c r="J682"/>
      <c r="K682"/>
      <c r="L682"/>
      <c r="M682"/>
      <c r="N682"/>
      <c r="O682" s="392"/>
      <c r="P682" s="2"/>
      <c r="R682"/>
      <c r="S682"/>
      <c r="U682"/>
    </row>
    <row r="683" spans="10:21" s="1" customFormat="1" x14ac:dyDescent="0.2">
      <c r="J683"/>
      <c r="K683"/>
      <c r="L683"/>
      <c r="M683"/>
      <c r="N683"/>
      <c r="O683" s="392"/>
      <c r="P683" s="2"/>
      <c r="R683"/>
      <c r="S683"/>
      <c r="U683"/>
    </row>
    <row r="684" spans="10:21" s="1" customFormat="1" x14ac:dyDescent="0.2">
      <c r="J684"/>
      <c r="K684"/>
      <c r="L684"/>
      <c r="M684"/>
      <c r="N684"/>
      <c r="O684" s="392"/>
      <c r="P684" s="2"/>
      <c r="R684"/>
      <c r="S684"/>
      <c r="U684"/>
    </row>
    <row r="685" spans="10:21" s="1" customFormat="1" x14ac:dyDescent="0.2">
      <c r="J685"/>
      <c r="K685"/>
      <c r="L685"/>
      <c r="M685"/>
      <c r="N685"/>
      <c r="O685" s="392"/>
      <c r="P685" s="2"/>
      <c r="R685"/>
      <c r="S685"/>
      <c r="U685"/>
    </row>
    <row r="686" spans="10:21" s="1" customFormat="1" x14ac:dyDescent="0.2">
      <c r="J686"/>
      <c r="K686"/>
      <c r="L686"/>
      <c r="M686"/>
      <c r="N686"/>
      <c r="O686" s="392"/>
      <c r="P686" s="2"/>
      <c r="R686"/>
      <c r="S686"/>
      <c r="U686"/>
    </row>
    <row r="687" spans="10:21" s="1" customFormat="1" x14ac:dyDescent="0.2">
      <c r="J687"/>
      <c r="K687"/>
      <c r="L687"/>
      <c r="M687"/>
      <c r="N687"/>
      <c r="O687" s="392"/>
      <c r="P687" s="2"/>
      <c r="R687"/>
      <c r="S687"/>
      <c r="U687"/>
    </row>
    <row r="688" spans="10:21" s="1" customFormat="1" x14ac:dyDescent="0.2">
      <c r="J688"/>
      <c r="K688"/>
      <c r="L688"/>
      <c r="M688"/>
      <c r="N688"/>
      <c r="O688" s="392"/>
      <c r="P688" s="2"/>
      <c r="R688"/>
      <c r="S688"/>
      <c r="U688"/>
    </row>
    <row r="689" spans="10:21" s="1" customFormat="1" x14ac:dyDescent="0.2">
      <c r="J689"/>
      <c r="K689"/>
      <c r="L689"/>
      <c r="M689"/>
      <c r="N689"/>
      <c r="O689" s="392"/>
      <c r="P689" s="2"/>
      <c r="R689"/>
      <c r="S689"/>
      <c r="U689"/>
    </row>
    <row r="690" spans="10:21" s="1" customFormat="1" x14ac:dyDescent="0.2">
      <c r="J690"/>
      <c r="K690"/>
      <c r="L690"/>
      <c r="M690"/>
      <c r="N690"/>
      <c r="O690" s="392"/>
      <c r="P690" s="2"/>
      <c r="R690"/>
      <c r="S690"/>
      <c r="U690"/>
    </row>
    <row r="691" spans="10:21" s="1" customFormat="1" x14ac:dyDescent="0.2">
      <c r="J691"/>
      <c r="K691"/>
      <c r="L691"/>
      <c r="M691"/>
      <c r="N691"/>
      <c r="O691" s="392"/>
      <c r="P691" s="2"/>
      <c r="R691"/>
      <c r="S691"/>
      <c r="U691"/>
    </row>
    <row r="692" spans="10:21" s="1" customFormat="1" x14ac:dyDescent="0.2">
      <c r="J692"/>
      <c r="K692"/>
      <c r="L692"/>
      <c r="M692"/>
      <c r="N692"/>
      <c r="O692" s="392"/>
      <c r="P692" s="2"/>
      <c r="R692"/>
      <c r="S692"/>
      <c r="U692"/>
    </row>
    <row r="693" spans="10:21" s="1" customFormat="1" x14ac:dyDescent="0.2">
      <c r="J693"/>
      <c r="K693"/>
      <c r="L693"/>
      <c r="M693"/>
      <c r="N693"/>
      <c r="O693" s="392"/>
      <c r="P693" s="2"/>
      <c r="R693"/>
      <c r="S693"/>
      <c r="U693"/>
    </row>
    <row r="65422" spans="13:13" x14ac:dyDescent="0.2">
      <c r="M65422">
        <v>4</v>
      </c>
    </row>
  </sheetData>
  <mergeCells count="126">
    <mergeCell ref="H38:H39"/>
    <mergeCell ref="F38:F39"/>
    <mergeCell ref="L31:L34"/>
    <mergeCell ref="Q32:Q34"/>
    <mergeCell ref="T31:T34"/>
    <mergeCell ref="R31:R34"/>
    <mergeCell ref="F32:F34"/>
    <mergeCell ref="H32:H34"/>
    <mergeCell ref="L41:L42"/>
    <mergeCell ref="R41:R42"/>
    <mergeCell ref="T41:T42"/>
    <mergeCell ref="U30:AA30"/>
    <mergeCell ref="L19:L20"/>
    <mergeCell ref="R17:R18"/>
    <mergeCell ref="T17:T18"/>
    <mergeCell ref="L17:L18"/>
    <mergeCell ref="U17:AA17"/>
    <mergeCell ref="L49:L50"/>
    <mergeCell ref="T49:T50"/>
    <mergeCell ref="R49:R50"/>
    <mergeCell ref="U43:AA43"/>
    <mergeCell ref="U41:AA41"/>
    <mergeCell ref="U44:AA44"/>
    <mergeCell ref="U47:AA47"/>
    <mergeCell ref="U32:AA32"/>
    <mergeCell ref="U29:AA29"/>
    <mergeCell ref="U28:AA28"/>
    <mergeCell ref="U46:AA46"/>
    <mergeCell ref="U49:AA49"/>
    <mergeCell ref="U50:AA50"/>
    <mergeCell ref="L29:L30"/>
    <mergeCell ref="L27:L28"/>
    <mergeCell ref="R27:R28"/>
    <mergeCell ref="T27:T28"/>
    <mergeCell ref="L43:L45"/>
    <mergeCell ref="L15:L16"/>
    <mergeCell ref="U22:AA22"/>
    <mergeCell ref="U25:AA25"/>
    <mergeCell ref="U23:AA23"/>
    <mergeCell ref="U24:AA24"/>
    <mergeCell ref="U27:AA27"/>
    <mergeCell ref="L37:L39"/>
    <mergeCell ref="Q38:Q39"/>
    <mergeCell ref="R37:R39"/>
    <mergeCell ref="T37:T39"/>
    <mergeCell ref="U31:AA31"/>
    <mergeCell ref="U36:AA36"/>
    <mergeCell ref="U38:AA38"/>
    <mergeCell ref="U39:AA39"/>
    <mergeCell ref="U34:AA34"/>
    <mergeCell ref="U33:AA33"/>
    <mergeCell ref="U26:AA26"/>
    <mergeCell ref="U37:AA37"/>
    <mergeCell ref="U35:AA35"/>
    <mergeCell ref="L35:L36"/>
    <mergeCell ref="R35:R36"/>
    <mergeCell ref="T35:T36"/>
    <mergeCell ref="T29:T30"/>
    <mergeCell ref="R29:R30"/>
    <mergeCell ref="B2:U2"/>
    <mergeCell ref="U3:AA3"/>
    <mergeCell ref="U4:AA4"/>
    <mergeCell ref="U5:AA5"/>
    <mergeCell ref="U6:AA6"/>
    <mergeCell ref="E78:F78"/>
    <mergeCell ref="U52:AA52"/>
    <mergeCell ref="U61:AA61"/>
    <mergeCell ref="E79:F79"/>
    <mergeCell ref="U53:AA53"/>
    <mergeCell ref="U58:AA58"/>
    <mergeCell ref="U59:AA59"/>
    <mergeCell ref="U60:AA60"/>
    <mergeCell ref="E77:F77"/>
    <mergeCell ref="U57:AA57"/>
    <mergeCell ref="U55:AA55"/>
    <mergeCell ref="U56:AA56"/>
    <mergeCell ref="U54:AA54"/>
    <mergeCell ref="L51:L52"/>
    <mergeCell ref="R51:R52"/>
    <mergeCell ref="T51:T52"/>
    <mergeCell ref="U51:AA51"/>
    <mergeCell ref="L53:L55"/>
    <mergeCell ref="R53:R55"/>
    <mergeCell ref="T53:T55"/>
    <mergeCell ref="R43:R45"/>
    <mergeCell ref="T43:T45"/>
    <mergeCell ref="L46:L48"/>
    <mergeCell ref="R46:R48"/>
    <mergeCell ref="T46:T48"/>
    <mergeCell ref="U40:AA40"/>
    <mergeCell ref="U48:AA48"/>
    <mergeCell ref="U42:AA42"/>
    <mergeCell ref="U45:AA45"/>
    <mergeCell ref="U14:AA14"/>
    <mergeCell ref="U18:AA18"/>
    <mergeCell ref="U21:AA21"/>
    <mergeCell ref="U20:AA20"/>
    <mergeCell ref="U19:AA19"/>
    <mergeCell ref="U15:AA15"/>
    <mergeCell ref="U16:AA16"/>
    <mergeCell ref="T19:T20"/>
    <mergeCell ref="R19:R20"/>
    <mergeCell ref="L10:L12"/>
    <mergeCell ref="R10:R12"/>
    <mergeCell ref="T10:T12"/>
    <mergeCell ref="U11:AA11"/>
    <mergeCell ref="U12:AA12"/>
    <mergeCell ref="L7:L9"/>
    <mergeCell ref="R7:R9"/>
    <mergeCell ref="T7:T9"/>
    <mergeCell ref="T24:T26"/>
    <mergeCell ref="R24:R26"/>
    <mergeCell ref="L24:L26"/>
    <mergeCell ref="L21:L22"/>
    <mergeCell ref="T21:T22"/>
    <mergeCell ref="R21:R22"/>
    <mergeCell ref="L13:L14"/>
    <mergeCell ref="R13:R14"/>
    <mergeCell ref="T13:T14"/>
    <mergeCell ref="U8:AA8"/>
    <mergeCell ref="U10:AA10"/>
    <mergeCell ref="U7:AA7"/>
    <mergeCell ref="U9:AA9"/>
    <mergeCell ref="R15:R16"/>
    <mergeCell ref="T15:T16"/>
    <mergeCell ref="U13:AA13"/>
  </mergeCells>
  <conditionalFormatting sqref="B2">
    <cfRule type="cellIs" dxfId="756" priority="129" stopIfTrue="1" operator="lessThan">
      <formula>438</formula>
    </cfRule>
  </conditionalFormatting>
  <conditionalFormatting sqref="D66:D74">
    <cfRule type="cellIs" dxfId="755" priority="1256" stopIfTrue="1" operator="greaterThan">
      <formula>0.06</formula>
    </cfRule>
  </conditionalFormatting>
  <conditionalFormatting sqref="E66:F75">
    <cfRule type="cellIs" dxfId="754" priority="1259" operator="greaterThan">
      <formula>0.04</formula>
    </cfRule>
  </conditionalFormatting>
  <conditionalFormatting sqref="I64:I72">
    <cfRule type="cellIs" dxfId="753" priority="1807" stopIfTrue="1" operator="lessThan">
      <formula>438</formula>
    </cfRule>
    <cfRule type="cellIs" dxfId="752" priority="1806" stopIfTrue="1" operator="lessThan">
      <formula>462</formula>
    </cfRule>
  </conditionalFormatting>
  <conditionalFormatting sqref="I81:I87">
    <cfRule type="cellIs" dxfId="751" priority="1801" stopIfTrue="1" operator="lessThan">
      <formula>0%</formula>
    </cfRule>
    <cfRule type="cellIs" dxfId="750" priority="1800" stopIfTrue="1" operator="greaterThan">
      <formula>1.5%</formula>
    </cfRule>
  </conditionalFormatting>
  <conditionalFormatting sqref="I88">
    <cfRule type="cellIs" dxfId="749" priority="1791" stopIfTrue="1" operator="greaterThan">
      <formula>1.1</formula>
    </cfRule>
    <cfRule type="cellIs" dxfId="748" priority="1790" stopIfTrue="1" operator="greaterThan">
      <formula>0.011</formula>
    </cfRule>
  </conditionalFormatting>
  <conditionalFormatting sqref="I89:I93">
    <cfRule type="cellIs" dxfId="747" priority="1" stopIfTrue="1" operator="greaterThan">
      <formula>1.5%</formula>
    </cfRule>
    <cfRule type="cellIs" dxfId="746" priority="2" stopIfTrue="1" operator="lessThan">
      <formula>0%</formula>
    </cfRule>
  </conditionalFormatting>
  <conditionalFormatting sqref="J3">
    <cfRule type="cellIs" dxfId="745" priority="503" stopIfTrue="1" operator="lessThan">
      <formula>438</formula>
    </cfRule>
    <cfRule type="cellIs" dxfId="744" priority="501" stopIfTrue="1" operator="lessThan">
      <formula>456.25</formula>
    </cfRule>
  </conditionalFormatting>
  <conditionalFormatting sqref="J4 J6:J61">
    <cfRule type="cellIs" dxfId="743" priority="238" stopIfTrue="1" operator="lessThan">
      <formula>350</formula>
    </cfRule>
  </conditionalFormatting>
  <conditionalFormatting sqref="J63:J76">
    <cfRule type="cellIs" dxfId="742" priority="1913" stopIfTrue="1" operator="lessThan">
      <formula>462</formula>
    </cfRule>
  </conditionalFormatting>
  <conditionalFormatting sqref="J65:J76 J90:J65536">
    <cfRule type="cellIs" dxfId="741" priority="1918" stopIfTrue="1" operator="lessThan">
      <formula>438</formula>
    </cfRule>
  </conditionalFormatting>
  <conditionalFormatting sqref="J81:K89">
    <cfRule type="cellIs" dxfId="740" priority="1780" stopIfTrue="1" operator="lessThan">
      <formula>73%</formula>
    </cfRule>
  </conditionalFormatting>
  <conditionalFormatting sqref="K57">
    <cfRule type="cellIs" dxfId="739" priority="214" stopIfTrue="1" operator="lessThan">
      <formula>540</formula>
    </cfRule>
  </conditionalFormatting>
  <conditionalFormatting sqref="K4:L4 K6:K22 L7 L10 L13 L15 L17 L19 L21 K23:L24 K25:K55 L27 L29 L31 L35 L37 L40:L41 L43 L46 L49 L51 L53 K56:L56">
    <cfRule type="cellIs" dxfId="738" priority="19" stopIfTrue="1" operator="lessThan">
      <formula>540</formula>
    </cfRule>
  </conditionalFormatting>
  <conditionalFormatting sqref="K58:L60">
    <cfRule type="cellIs" dxfId="737" priority="1353" stopIfTrue="1" operator="lessThan">
      <formula>540</formula>
    </cfRule>
  </conditionalFormatting>
  <conditionalFormatting sqref="Q4 Q6:Q32 Q35:Q38 Q40:Q59">
    <cfRule type="cellIs" dxfId="736" priority="204" stopIfTrue="1" operator="greaterThan">
      <formula>1.8</formula>
    </cfRule>
  </conditionalFormatting>
  <conditionalFormatting sqref="Q60:Q61">
    <cfRule type="cellIs" dxfId="735" priority="1875" stopIfTrue="1" operator="greaterThan">
      <formula>1.8</formula>
    </cfRule>
  </conditionalFormatting>
  <conditionalFormatting sqref="Q61">
    <cfRule type="cellIs" dxfId="734" priority="1797" stopIfTrue="1" operator="greaterThan">
      <formula>0.018</formula>
    </cfRule>
  </conditionalFormatting>
  <conditionalFormatting sqref="Q63:Q77 P64:P72">
    <cfRule type="cellIs" dxfId="733" priority="1909" stopIfTrue="1" operator="greaterThan">
      <formula>1.1</formula>
    </cfRule>
  </conditionalFormatting>
  <conditionalFormatting sqref="Q77:Q78">
    <cfRule type="cellIs" dxfId="732" priority="1914" stopIfTrue="1" operator="greaterThan">
      <formula>1.5%</formula>
    </cfRule>
    <cfRule type="cellIs" dxfId="731" priority="1915" stopIfTrue="1" operator="lessThan">
      <formula>0%</formula>
    </cfRule>
  </conditionalFormatting>
  <conditionalFormatting sqref="Q81">
    <cfRule type="cellIs" dxfId="730" priority="1792" stopIfTrue="1" operator="greaterThan">
      <formula>0.011</formula>
    </cfRule>
    <cfRule type="cellIs" dxfId="729" priority="1793" stopIfTrue="1" operator="greaterThan">
      <formula>1.1</formula>
    </cfRule>
  </conditionalFormatting>
  <conditionalFormatting sqref="R4 R7 R10 R13 R15 R17 R19 R21">
    <cfRule type="cellIs" dxfId="728" priority="113" stopIfTrue="1" operator="lessThan">
      <formula>0.56</formula>
    </cfRule>
  </conditionalFormatting>
  <conditionalFormatting sqref="R23:R24">
    <cfRule type="cellIs" dxfId="727" priority="14" stopIfTrue="1" operator="lessThan">
      <formula>0.94</formula>
    </cfRule>
    <cfRule type="cellIs" dxfId="726" priority="13" stopIfTrue="1" operator="lessThan">
      <formula>0.95</formula>
    </cfRule>
  </conditionalFormatting>
  <conditionalFormatting sqref="R27 R29 R31">
    <cfRule type="cellIs" dxfId="725" priority="11" stopIfTrue="1" operator="lessThan">
      <formula>0.94</formula>
    </cfRule>
    <cfRule type="cellIs" dxfId="724" priority="10" stopIfTrue="1" operator="lessThan">
      <formula>0.95</formula>
    </cfRule>
  </conditionalFormatting>
  <conditionalFormatting sqref="R35 R37">
    <cfRule type="cellIs" dxfId="723" priority="8" stopIfTrue="1" operator="lessThan">
      <formula>0.94</formula>
    </cfRule>
    <cfRule type="cellIs" dxfId="722" priority="7" stopIfTrue="1" operator="lessThan">
      <formula>0.95</formula>
    </cfRule>
  </conditionalFormatting>
  <conditionalFormatting sqref="R40:R41 R43 R46 R49 R51 R53">
    <cfRule type="cellIs" dxfId="721" priority="5" stopIfTrue="1" operator="lessThan">
      <formula>0.94</formula>
    </cfRule>
    <cfRule type="cellIs" dxfId="720" priority="4" stopIfTrue="1" operator="lessThan">
      <formula>0.95</formula>
    </cfRule>
  </conditionalFormatting>
  <conditionalFormatting sqref="R56">
    <cfRule type="cellIs" dxfId="719" priority="20" stopIfTrue="1" operator="lessThan">
      <formula>0.56</formula>
    </cfRule>
  </conditionalFormatting>
  <conditionalFormatting sqref="R58:R61">
    <cfRule type="cellIs" dxfId="718" priority="16" stopIfTrue="1" operator="lessThan">
      <formula>0.56</formula>
    </cfRule>
  </conditionalFormatting>
  <conditionalFormatting sqref="R63:R76">
    <cfRule type="cellIs" dxfId="717" priority="1877" stopIfTrue="1" operator="lessThan">
      <formula>0.6</formula>
    </cfRule>
  </conditionalFormatting>
  <conditionalFormatting sqref="R64:R72 S63:S76">
    <cfRule type="cellIs" dxfId="716" priority="1912" stopIfTrue="1" operator="lessThan">
      <formula>0.74</formula>
    </cfRule>
  </conditionalFormatting>
  <conditionalFormatting sqref="R3:S3">
    <cfRule type="cellIs" dxfId="715" priority="504" stopIfTrue="1" operator="lessThan">
      <formula>0.65</formula>
    </cfRule>
  </conditionalFormatting>
  <conditionalFormatting sqref="R81:S81">
    <cfRule type="cellIs" dxfId="714" priority="1794" stopIfTrue="1" operator="lessThan">
      <formula>0.74</formula>
    </cfRule>
  </conditionalFormatting>
  <conditionalFormatting sqref="S4">
    <cfRule type="cellIs" dxfId="713" priority="41" stopIfTrue="1" operator="lessThan">
      <formula>0.66</formula>
    </cfRule>
  </conditionalFormatting>
  <conditionalFormatting sqref="S6:S61">
    <cfRule type="cellIs" dxfId="712" priority="15" stopIfTrue="1" operator="lessThan">
      <formula>0.66</formula>
    </cfRule>
  </conditionalFormatting>
  <conditionalFormatting sqref="S90:S91">
    <cfRule type="cellIs" dxfId="711" priority="1839" stopIfTrue="1" operator="lessThan">
      <formula>0.74</formula>
    </cfRule>
  </conditionalFormatting>
  <conditionalFormatting sqref="S92">
    <cfRule type="cellIs" dxfId="710" priority="1838" stopIfTrue="1" operator="greaterThan">
      <formula>1.1</formula>
    </cfRule>
  </conditionalFormatting>
  <conditionalFormatting sqref="S77:T78">
    <cfRule type="cellIs" dxfId="709" priority="1917" stopIfTrue="1" operator="lessThan">
      <formula>75%</formula>
    </cfRule>
  </conditionalFormatting>
  <conditionalFormatting sqref="T4 T7 T10 T13 T15 T17 T19 T21">
    <cfRule type="cellIs" dxfId="708" priority="118" stopIfTrue="1" operator="lessThan">
      <formula>0.8</formula>
    </cfRule>
    <cfRule type="cellIs" dxfId="707" priority="116" stopIfTrue="1" operator="lessThan">
      <formula>0.8</formula>
    </cfRule>
  </conditionalFormatting>
  <conditionalFormatting sqref="T23:T24">
    <cfRule type="cellIs" dxfId="706" priority="12" stopIfTrue="1" operator="lessThan">
      <formula>0.8</formula>
    </cfRule>
  </conditionalFormatting>
  <conditionalFormatting sqref="T27 T29 T31">
    <cfRule type="cellIs" dxfId="705" priority="9" stopIfTrue="1" operator="lessThan">
      <formula>0.8</formula>
    </cfRule>
  </conditionalFormatting>
  <conditionalFormatting sqref="T35 T37">
    <cfRule type="cellIs" dxfId="704" priority="6" stopIfTrue="1" operator="lessThan">
      <formula>0.8</formula>
    </cfRule>
  </conditionalFormatting>
  <conditionalFormatting sqref="T40:T41 T43 T46 T49 T51 T53">
    <cfRule type="cellIs" dxfId="703" priority="3" stopIfTrue="1" operator="lessThan">
      <formula>0.8</formula>
    </cfRule>
  </conditionalFormatting>
  <conditionalFormatting sqref="T56">
    <cfRule type="cellIs" dxfId="702" priority="18" stopIfTrue="1" operator="lessThan">
      <formula>0.95</formula>
    </cfRule>
  </conditionalFormatting>
  <conditionalFormatting sqref="T58:T61">
    <cfRule type="cellIs" dxfId="701" priority="1250" stopIfTrue="1" operator="lessThan">
      <formula>0.8</formula>
    </cfRule>
  </conditionalFormatting>
  <conditionalFormatting sqref="T63:T76">
    <cfRule type="cellIs" dxfId="700" priority="1878" stopIfTrue="1" operator="lessThan">
      <formula>0.95</formula>
    </cfRule>
  </conditionalFormatting>
  <conditionalFormatting sqref="T80">
    <cfRule type="cellIs" dxfId="699" priority="1871" stopIfTrue="1" operator="lessThan">
      <formula>0.65</formula>
    </cfRule>
  </conditionalFormatting>
  <conditionalFormatting sqref="T81">
    <cfRule type="cellIs" dxfId="698" priority="1798" stopIfTrue="1" operator="lessThan">
      <formula>0.95</formula>
    </cfRule>
  </conditionalFormatting>
  <printOptions horizontalCentered="1"/>
  <pageMargins left="0.10312499999999999" right="0.5" top="0.25" bottom="0.27" header="0.25" footer="0.27"/>
  <pageSetup scale="22" fitToHeight="0" orientation="landscape" r:id="rId1"/>
  <headerFooter alignWithMargins="0"/>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F9EBF-2BAE-4B9B-9DAC-A9B6930F2666}">
  <sheetPr codeName="Sheet37">
    <pageSetUpPr fitToPage="1"/>
  </sheetPr>
  <dimension ref="A2:AC65415"/>
  <sheetViews>
    <sheetView showZeros="0" showWhiteSpace="0" zoomScale="50" zoomScaleNormal="50" zoomScaleSheetLayoutView="70" workbookViewId="0">
      <pane xSplit="3" ySplit="3" topLeftCell="D4" activePane="bottomRight" state="frozen"/>
      <selection pane="topRight" activeCell="D1" sqref="D1"/>
      <selection pane="bottomLeft" activeCell="A4" sqref="A4"/>
      <selection pane="bottomRight" activeCell="U73" sqref="U73"/>
    </sheetView>
  </sheetViews>
  <sheetFormatPr defaultColWidth="9.42578125" defaultRowHeight="12.75" outlineLevelCol="1" x14ac:dyDescent="0.2"/>
  <cols>
    <col min="1" max="1" width="3.42578125" customWidth="1"/>
    <col min="2" max="2" width="21.42578125" style="1" customWidth="1"/>
    <col min="3" max="3" width="52.5703125" style="1" customWidth="1"/>
    <col min="4" max="4" width="21.5703125" style="1" customWidth="1"/>
    <col min="5" max="5" width="22.140625" style="1" customWidth="1"/>
    <col min="6" max="6" width="21.5703125" style="1" customWidth="1" outlineLevel="1"/>
    <col min="7" max="7" width="23.85546875" customWidth="1"/>
    <col min="8" max="8" width="20.42578125" customWidth="1" outlineLevel="1"/>
    <col min="9" max="9" width="22.42578125" style="1" customWidth="1" outlineLevel="1"/>
    <col min="10" max="10" width="18.42578125" customWidth="1"/>
    <col min="11" max="11" width="23.42578125" customWidth="1" outlineLevel="1"/>
    <col min="12" max="12" width="17.42578125" customWidth="1" outlineLevel="1"/>
    <col min="13" max="13" width="17" customWidth="1" outlineLevel="1"/>
    <col min="14" max="14" width="13.42578125" customWidth="1" outlineLevel="1"/>
    <col min="15" max="15" width="12.5703125" style="392" customWidth="1" outlineLevel="1"/>
    <col min="16" max="16" width="17.85546875" style="2" customWidth="1" outlineLevel="1"/>
    <col min="17" max="17" width="17.42578125" style="686" customWidth="1"/>
    <col min="18" max="18" width="19.42578125" customWidth="1"/>
    <col min="19" max="19" width="16.42578125" customWidth="1"/>
    <col min="20" max="20" width="16.5703125" style="686" customWidth="1"/>
    <col min="21" max="21" width="12" customWidth="1"/>
    <col min="22" max="22" width="18.28515625" bestFit="1" customWidth="1"/>
    <col min="23" max="25" width="22.85546875" bestFit="1" customWidth="1"/>
    <col min="26" max="26" width="25.5703125" customWidth="1"/>
    <col min="27" max="27" width="62.85546875" customWidth="1"/>
    <col min="28" max="28" width="68.5703125" customWidth="1"/>
    <col min="29" max="29" width="15.5703125" bestFit="1" customWidth="1"/>
  </cols>
  <sheetData>
    <row r="2" spans="1:29" ht="24" thickBot="1" x14ac:dyDescent="0.4">
      <c r="B2" s="1022"/>
      <c r="C2" s="1022"/>
      <c r="D2" s="1022"/>
      <c r="E2" s="1022"/>
      <c r="F2" s="1022"/>
      <c r="G2" s="1022"/>
      <c r="H2" s="1022"/>
      <c r="I2" s="1022"/>
      <c r="J2" s="1022"/>
      <c r="K2" s="1022"/>
      <c r="L2" s="1022"/>
      <c r="M2" s="1022"/>
      <c r="N2" s="1022"/>
      <c r="O2" s="1022"/>
      <c r="P2" s="1022"/>
      <c r="Q2" s="1022"/>
      <c r="R2" s="1022"/>
      <c r="S2" s="1022"/>
      <c r="T2" s="1065"/>
      <c r="U2" s="1065"/>
    </row>
    <row r="3" spans="1:29" ht="135.75" customHeight="1" thickTop="1" thickBot="1" x14ac:dyDescent="0.25">
      <c r="B3" s="564" t="s">
        <v>0</v>
      </c>
      <c r="C3" s="565" t="s">
        <v>2</v>
      </c>
      <c r="D3" s="565" t="s">
        <v>12</v>
      </c>
      <c r="E3" s="565" t="s">
        <v>11</v>
      </c>
      <c r="F3" s="38" t="s">
        <v>15</v>
      </c>
      <c r="G3" s="565" t="s">
        <v>9</v>
      </c>
      <c r="H3" s="38" t="s">
        <v>17</v>
      </c>
      <c r="I3" s="38" t="s">
        <v>5</v>
      </c>
      <c r="J3" s="565" t="s">
        <v>958</v>
      </c>
      <c r="K3" s="38" t="s">
        <v>4</v>
      </c>
      <c r="L3" s="663" t="s">
        <v>843</v>
      </c>
      <c r="M3" s="664" t="s">
        <v>161</v>
      </c>
      <c r="N3" s="664" t="s">
        <v>10</v>
      </c>
      <c r="O3" s="38" t="s">
        <v>622</v>
      </c>
      <c r="P3" s="294" t="s">
        <v>34</v>
      </c>
      <c r="Q3" s="566" t="s">
        <v>957</v>
      </c>
      <c r="R3" s="584" t="s">
        <v>473</v>
      </c>
      <c r="S3" s="639" t="s">
        <v>860</v>
      </c>
      <c r="T3" s="584" t="s">
        <v>862</v>
      </c>
      <c r="U3" s="1023" t="s">
        <v>1</v>
      </c>
      <c r="V3" s="1024"/>
      <c r="W3" s="1024"/>
      <c r="X3" s="1024"/>
      <c r="Y3" s="1024"/>
      <c r="Z3" s="1024"/>
      <c r="AA3" s="1025"/>
      <c r="AB3">
        <v>18000</v>
      </c>
      <c r="AC3">
        <v>17000</v>
      </c>
    </row>
    <row r="4" spans="1:29" s="19" customFormat="1" ht="105" customHeight="1" thickTop="1" thickBot="1" x14ac:dyDescent="0.25">
      <c r="A4" s="655"/>
      <c r="B4" s="168">
        <f>[1]November_2026!$B8</f>
        <v>0</v>
      </c>
      <c r="C4" s="26">
        <f>[1]November_2026!$D8</f>
        <v>0</v>
      </c>
      <c r="D4" s="27"/>
      <c r="E4" s="28">
        <f>[2]Nov!$E8</f>
        <v>0</v>
      </c>
      <c r="F4" s="29">
        <f>[1]November_2026!$J8</f>
        <v>0</v>
      </c>
      <c r="G4" s="30">
        <f>[1]November_2026!$G8</f>
        <v>0</v>
      </c>
      <c r="H4" s="29">
        <f>[1]November_2026!$K8</f>
        <v>0</v>
      </c>
      <c r="I4" s="31">
        <f>[1]November_2026!$N8</f>
        <v>0</v>
      </c>
      <c r="J4" s="32" t="e">
        <f>[1]November_2026!$Q8</f>
        <v>#DIV/0!</v>
      </c>
      <c r="K4" s="32">
        <f>[1]November_2026!$F8</f>
        <v>0</v>
      </c>
      <c r="L4" s="970">
        <f>[1]November_2026!$E8</f>
        <v>0</v>
      </c>
      <c r="M4" s="169">
        <f>[2]Nov!$G8</f>
        <v>0</v>
      </c>
      <c r="N4" s="32">
        <f>[1]November_2026!$M8</f>
        <v>0</v>
      </c>
      <c r="O4" s="406">
        <f>[1]November_2026!$N8</f>
        <v>0</v>
      </c>
      <c r="P4" s="32">
        <f>[1]November_2026!$I8</f>
        <v>0</v>
      </c>
      <c r="Q4" s="608" t="e">
        <f>[1]November_2026!$P8</f>
        <v>#DIV/0!</v>
      </c>
      <c r="R4" s="653" t="e">
        <f>($G5+G6+G4)/(($L4/60)*AC$3*(1/24))</f>
        <v>#DIV/0!</v>
      </c>
      <c r="S4" s="651" t="e">
        <f>($G4)*24/(($K4)/60)/$AC$3</f>
        <v>#DIV/0!</v>
      </c>
      <c r="T4" s="665" t="e">
        <f>(0-((N4)-0))/0</f>
        <v>#DIV/0!</v>
      </c>
      <c r="U4" s="1002"/>
      <c r="V4" s="1002"/>
      <c r="W4" s="1002"/>
      <c r="X4" s="1002"/>
      <c r="Y4" s="1002"/>
      <c r="Z4" s="1002"/>
      <c r="AA4" s="1003"/>
    </row>
    <row r="5" spans="1:29" s="19" customFormat="1" ht="129.75" hidden="1" customHeight="1" thickBot="1" x14ac:dyDescent="0.25">
      <c r="A5" s="655"/>
      <c r="B5" s="168"/>
      <c r="C5" s="26"/>
      <c r="D5" s="27"/>
      <c r="E5" s="28"/>
      <c r="F5" s="964"/>
      <c r="G5" s="30"/>
      <c r="H5" s="369"/>
      <c r="I5" s="31"/>
      <c r="J5" s="32"/>
      <c r="K5" s="32"/>
      <c r="L5" s="824"/>
      <c r="M5" s="169"/>
      <c r="N5" s="32"/>
      <c r="O5" s="406"/>
      <c r="P5" s="32"/>
      <c r="Q5" s="842"/>
      <c r="R5" s="653"/>
      <c r="S5" s="979"/>
      <c r="T5" s="859"/>
      <c r="U5" s="1002"/>
      <c r="V5" s="1002"/>
      <c r="W5" s="1002"/>
      <c r="X5" s="1002"/>
      <c r="Y5" s="1002"/>
      <c r="Z5" s="1002"/>
      <c r="AA5" s="1003"/>
    </row>
    <row r="6" spans="1:29" s="19" customFormat="1" ht="100.5" hidden="1" customHeight="1" thickBot="1" x14ac:dyDescent="0.25">
      <c r="A6" s="655"/>
      <c r="B6" s="168"/>
      <c r="C6" s="26"/>
      <c r="D6" s="27"/>
      <c r="E6" s="28"/>
      <c r="F6" s="871"/>
      <c r="G6" s="30"/>
      <c r="H6" s="773"/>
      <c r="I6" s="31"/>
      <c r="J6" s="32"/>
      <c r="K6" s="32"/>
      <c r="L6" s="799"/>
      <c r="M6" s="169"/>
      <c r="N6" s="32"/>
      <c r="O6" s="406"/>
      <c r="P6" s="32"/>
      <c r="Q6" s="968"/>
      <c r="R6" s="924"/>
      <c r="S6" s="651"/>
      <c r="T6" s="962"/>
      <c r="U6" s="1002"/>
      <c r="V6" s="1002"/>
      <c r="W6" s="1002"/>
      <c r="X6" s="1002"/>
      <c r="Y6" s="1002"/>
      <c r="Z6" s="1002"/>
      <c r="AA6" s="1003"/>
    </row>
    <row r="7" spans="1:29" s="19" customFormat="1" ht="63.6" hidden="1" customHeight="1" thickBot="1" x14ac:dyDescent="0.25">
      <c r="A7" s="655"/>
      <c r="B7" s="168"/>
      <c r="C7" s="26"/>
      <c r="D7" s="27"/>
      <c r="E7" s="28"/>
      <c r="F7" s="29"/>
      <c r="G7" s="30"/>
      <c r="H7" s="29"/>
      <c r="I7" s="31"/>
      <c r="J7" s="32"/>
      <c r="K7" s="32"/>
      <c r="L7" s="1148"/>
      <c r="M7" s="169"/>
      <c r="N7" s="32"/>
      <c r="O7" s="406"/>
      <c r="P7" s="32"/>
      <c r="Q7" s="1000"/>
      <c r="R7" s="995"/>
      <c r="S7" s="652"/>
      <c r="T7" s="995"/>
      <c r="U7" s="1002"/>
      <c r="V7" s="1002"/>
      <c r="W7" s="1002"/>
      <c r="X7" s="1002"/>
      <c r="Y7" s="1002"/>
      <c r="Z7" s="1002"/>
      <c r="AA7" s="1003"/>
    </row>
    <row r="8" spans="1:29" s="19" customFormat="1" ht="112.9" hidden="1" customHeight="1" thickBot="1" x14ac:dyDescent="0.25">
      <c r="A8" s="655"/>
      <c r="B8" s="168"/>
      <c r="C8" s="26"/>
      <c r="D8" s="27"/>
      <c r="E8" s="28"/>
      <c r="F8" s="29"/>
      <c r="G8" s="30"/>
      <c r="H8" s="29"/>
      <c r="I8" s="31"/>
      <c r="J8" s="32"/>
      <c r="K8" s="32"/>
      <c r="L8" s="999"/>
      <c r="M8" s="169"/>
      <c r="N8" s="32"/>
      <c r="O8" s="406"/>
      <c r="P8" s="32"/>
      <c r="Q8" s="1001"/>
      <c r="R8" s="996"/>
      <c r="S8" s="652"/>
      <c r="T8" s="996"/>
      <c r="U8" s="1002"/>
      <c r="V8" s="1002"/>
      <c r="W8" s="1002"/>
      <c r="X8" s="1002"/>
      <c r="Y8" s="1002"/>
      <c r="Z8" s="1002"/>
      <c r="AA8" s="1003"/>
    </row>
    <row r="9" spans="1:29" s="19" customFormat="1" ht="39.950000000000003" hidden="1" customHeight="1" thickBot="1" x14ac:dyDescent="0.25">
      <c r="A9" s="655"/>
      <c r="B9" s="168"/>
      <c r="C9" s="26"/>
      <c r="D9" s="27"/>
      <c r="E9" s="28"/>
      <c r="F9" s="29"/>
      <c r="G9" s="30"/>
      <c r="H9" s="29"/>
      <c r="I9" s="31"/>
      <c r="J9" s="32"/>
      <c r="K9" s="32"/>
      <c r="L9" s="1148"/>
      <c r="M9" s="169"/>
      <c r="N9" s="32"/>
      <c r="O9" s="406"/>
      <c r="P9" s="32"/>
      <c r="Q9" s="608"/>
      <c r="R9" s="995"/>
      <c r="S9" s="652"/>
      <c r="T9" s="995"/>
      <c r="U9" s="1002"/>
      <c r="V9" s="1002"/>
      <c r="W9" s="1002"/>
      <c r="X9" s="1002"/>
      <c r="Y9" s="1002"/>
      <c r="Z9" s="1002"/>
      <c r="AA9" s="1003"/>
    </row>
    <row r="10" spans="1:29" s="19" customFormat="1" ht="77.25" hidden="1" customHeight="1" thickBot="1" x14ac:dyDescent="0.25">
      <c r="A10" s="655"/>
      <c r="B10" s="168"/>
      <c r="C10" s="26"/>
      <c r="D10" s="27"/>
      <c r="E10" s="28"/>
      <c r="F10" s="29"/>
      <c r="G10" s="30"/>
      <c r="H10" s="29"/>
      <c r="I10" s="31"/>
      <c r="J10" s="32"/>
      <c r="K10" s="32"/>
      <c r="L10" s="1016"/>
      <c r="M10" s="169"/>
      <c r="N10" s="32"/>
      <c r="O10" s="406"/>
      <c r="P10" s="32"/>
      <c r="Q10" s="608"/>
      <c r="R10" s="996"/>
      <c r="S10" s="652"/>
      <c r="T10" s="996"/>
      <c r="U10" s="1002"/>
      <c r="V10" s="1002"/>
      <c r="W10" s="1002"/>
      <c r="X10" s="1002"/>
      <c r="Y10" s="1002"/>
      <c r="Z10" s="1002"/>
      <c r="AA10" s="1003"/>
    </row>
    <row r="11" spans="1:29" s="19" customFormat="1" ht="110.25" hidden="1" customHeight="1" thickBot="1" x14ac:dyDescent="0.25">
      <c r="A11" s="655"/>
      <c r="B11" s="168"/>
      <c r="C11" s="26"/>
      <c r="D11" s="27"/>
      <c r="E11" s="28"/>
      <c r="F11" s="29"/>
      <c r="G11" s="30"/>
      <c r="H11" s="29"/>
      <c r="I11" s="31"/>
      <c r="J11" s="32"/>
      <c r="K11" s="32"/>
      <c r="L11" s="999"/>
      <c r="M11" s="169"/>
      <c r="N11" s="32"/>
      <c r="O11" s="406"/>
      <c r="P11" s="32"/>
      <c r="Q11" s="608"/>
      <c r="R11" s="1020"/>
      <c r="S11" s="652"/>
      <c r="T11" s="1020"/>
      <c r="U11" s="1002"/>
      <c r="V11" s="1002"/>
      <c r="W11" s="1002"/>
      <c r="X11" s="1002"/>
      <c r="Y11" s="1002"/>
      <c r="Z11" s="1002"/>
      <c r="AA11" s="1003"/>
    </row>
    <row r="12" spans="1:29" s="19" customFormat="1" ht="83.25" hidden="1" customHeight="1" thickBot="1" x14ac:dyDescent="0.25">
      <c r="A12" s="655"/>
      <c r="B12" s="168"/>
      <c r="C12" s="26"/>
      <c r="D12" s="27"/>
      <c r="E12" s="28"/>
      <c r="F12" s="29"/>
      <c r="G12" s="30"/>
      <c r="H12" s="29"/>
      <c r="I12" s="31"/>
      <c r="J12" s="32"/>
      <c r="K12" s="32"/>
      <c r="L12" s="1148"/>
      <c r="M12" s="169"/>
      <c r="N12" s="32"/>
      <c r="O12" s="406"/>
      <c r="P12" s="32"/>
      <c r="Q12" s="608"/>
      <c r="R12" s="995"/>
      <c r="S12" s="652"/>
      <c r="T12" s="995"/>
      <c r="U12" s="1002"/>
      <c r="V12" s="1002"/>
      <c r="W12" s="1002"/>
      <c r="X12" s="1002"/>
      <c r="Y12" s="1002"/>
      <c r="Z12" s="1002"/>
      <c r="AA12" s="1003"/>
    </row>
    <row r="13" spans="1:29" s="19" customFormat="1" ht="114.75" hidden="1" customHeight="1" thickBot="1" x14ac:dyDescent="0.25">
      <c r="A13" s="655"/>
      <c r="B13" s="168"/>
      <c r="C13" s="26"/>
      <c r="D13" s="27"/>
      <c r="E13" s="28"/>
      <c r="F13" s="29"/>
      <c r="G13" s="30"/>
      <c r="H13" s="29"/>
      <c r="I13" s="31"/>
      <c r="J13" s="32"/>
      <c r="K13" s="32"/>
      <c r="L13" s="999"/>
      <c r="M13" s="169"/>
      <c r="N13" s="32"/>
      <c r="O13" s="406"/>
      <c r="P13" s="32"/>
      <c r="Q13" s="608"/>
      <c r="R13" s="996"/>
      <c r="S13" s="652"/>
      <c r="T13" s="996"/>
      <c r="U13" s="1002"/>
      <c r="V13" s="1002"/>
      <c r="W13" s="1002"/>
      <c r="X13" s="1002"/>
      <c r="Y13" s="1002"/>
      <c r="Z13" s="1002"/>
      <c r="AA13" s="1003"/>
    </row>
    <row r="14" spans="1:29" s="19" customFormat="1" ht="80.25" hidden="1" customHeight="1" thickBot="1" x14ac:dyDescent="0.25">
      <c r="A14" s="655"/>
      <c r="B14" s="168"/>
      <c r="C14" s="26"/>
      <c r="D14" s="27"/>
      <c r="E14" s="28"/>
      <c r="F14" s="29"/>
      <c r="G14" s="30"/>
      <c r="H14" s="29"/>
      <c r="I14" s="31"/>
      <c r="J14" s="32"/>
      <c r="K14" s="32"/>
      <c r="L14" s="1148"/>
      <c r="M14" s="169"/>
      <c r="N14" s="32"/>
      <c r="O14" s="406"/>
      <c r="P14" s="32"/>
      <c r="Q14" s="608"/>
      <c r="R14" s="995"/>
      <c r="S14" s="651"/>
      <c r="T14" s="995"/>
      <c r="U14" s="1002"/>
      <c r="V14" s="1002"/>
      <c r="W14" s="1002"/>
      <c r="X14" s="1002"/>
      <c r="Y14" s="1002"/>
      <c r="Z14" s="1002"/>
      <c r="AA14" s="1003"/>
    </row>
    <row r="15" spans="1:29" s="19" customFormat="1" ht="63.75" hidden="1" customHeight="1" thickBot="1" x14ac:dyDescent="0.25">
      <c r="A15" s="655"/>
      <c r="B15" s="168"/>
      <c r="C15" s="26"/>
      <c r="D15" s="27"/>
      <c r="E15" s="28"/>
      <c r="F15" s="29"/>
      <c r="G15" s="30"/>
      <c r="H15" s="29"/>
      <c r="I15" s="31"/>
      <c r="J15" s="32"/>
      <c r="K15" s="32"/>
      <c r="L15" s="1016"/>
      <c r="M15" s="169"/>
      <c r="N15" s="32"/>
      <c r="O15" s="406"/>
      <c r="P15" s="32"/>
      <c r="Q15" s="608"/>
      <c r="R15" s="996"/>
      <c r="S15" s="651"/>
      <c r="T15" s="996"/>
      <c r="U15" s="1002"/>
      <c r="V15" s="1002"/>
      <c r="W15" s="1002"/>
      <c r="X15" s="1002"/>
      <c r="Y15" s="1002"/>
      <c r="Z15" s="1002"/>
      <c r="AA15" s="1003"/>
    </row>
    <row r="16" spans="1:29" s="19" customFormat="1" ht="69.75" hidden="1" customHeight="1" thickBot="1" x14ac:dyDescent="0.25">
      <c r="A16" s="655"/>
      <c r="B16" s="168"/>
      <c r="C16" s="26"/>
      <c r="D16" s="27"/>
      <c r="E16" s="28"/>
      <c r="F16" s="29"/>
      <c r="G16" s="30"/>
      <c r="H16" s="29"/>
      <c r="I16" s="31"/>
      <c r="J16" s="32"/>
      <c r="K16" s="32"/>
      <c r="L16" s="999"/>
      <c r="M16" s="169"/>
      <c r="N16" s="32"/>
      <c r="O16" s="406"/>
      <c r="P16" s="32"/>
      <c r="Q16" s="608"/>
      <c r="R16" s="1020"/>
      <c r="S16" s="651"/>
      <c r="T16" s="1020"/>
      <c r="U16" s="1002"/>
      <c r="V16" s="1002"/>
      <c r="W16" s="1002"/>
      <c r="X16" s="1002"/>
      <c r="Y16" s="1002"/>
      <c r="Z16" s="1002"/>
      <c r="AA16" s="1003"/>
    </row>
    <row r="17" spans="1:27" s="19" customFormat="1" ht="101.25" hidden="1" customHeight="1" thickBot="1" x14ac:dyDescent="0.25">
      <c r="A17" s="655"/>
      <c r="B17" s="168"/>
      <c r="C17" s="26"/>
      <c r="D17" s="27"/>
      <c r="E17" s="28"/>
      <c r="F17" s="29"/>
      <c r="G17" s="30"/>
      <c r="H17" s="29"/>
      <c r="I17" s="31"/>
      <c r="J17" s="32"/>
      <c r="K17" s="32"/>
      <c r="L17" s="464"/>
      <c r="M17" s="169"/>
      <c r="N17" s="32"/>
      <c r="O17" s="406"/>
      <c r="P17" s="32"/>
      <c r="Q17" s="608"/>
      <c r="R17" s="653"/>
      <c r="S17" s="651"/>
      <c r="T17" s="653"/>
      <c r="U17" s="1002"/>
      <c r="V17" s="1002"/>
      <c r="W17" s="1002"/>
      <c r="X17" s="1002"/>
      <c r="Y17" s="1002"/>
      <c r="Z17" s="1002"/>
      <c r="AA17" s="1003"/>
    </row>
    <row r="18" spans="1:27" s="19" customFormat="1" ht="93.75" hidden="1" customHeight="1" thickBot="1" x14ac:dyDescent="0.25">
      <c r="A18" s="655"/>
      <c r="B18" s="168"/>
      <c r="C18" s="26"/>
      <c r="D18" s="27"/>
      <c r="E18" s="28"/>
      <c r="F18" s="989"/>
      <c r="G18" s="30"/>
      <c r="H18" s="989"/>
      <c r="I18" s="1004"/>
      <c r="J18" s="32"/>
      <c r="K18" s="32"/>
      <c r="L18" s="1148"/>
      <c r="M18" s="169"/>
      <c r="N18" s="32"/>
      <c r="O18" s="406"/>
      <c r="P18" s="32"/>
      <c r="Q18" s="1000"/>
      <c r="R18" s="995"/>
      <c r="S18" s="651"/>
      <c r="T18" s="995"/>
      <c r="U18" s="1002"/>
      <c r="V18" s="1002"/>
      <c r="W18" s="1002"/>
      <c r="X18" s="1002"/>
      <c r="Y18" s="1002"/>
      <c r="Z18" s="1002"/>
      <c r="AA18" s="1003"/>
    </row>
    <row r="19" spans="1:27" s="19" customFormat="1" ht="39.950000000000003" hidden="1" customHeight="1" thickBot="1" x14ac:dyDescent="0.25">
      <c r="A19" s="655"/>
      <c r="B19" s="168"/>
      <c r="C19" s="26"/>
      <c r="D19" s="27"/>
      <c r="E19" s="28"/>
      <c r="F19" s="990"/>
      <c r="G19" s="30"/>
      <c r="H19" s="990"/>
      <c r="I19" s="1005"/>
      <c r="J19" s="32"/>
      <c r="K19" s="32"/>
      <c r="L19" s="999"/>
      <c r="M19" s="169"/>
      <c r="N19" s="32"/>
      <c r="O19" s="406"/>
      <c r="P19" s="32"/>
      <c r="Q19" s="1001"/>
      <c r="R19" s="1020"/>
      <c r="S19" s="651"/>
      <c r="T19" s="1020"/>
      <c r="U19" s="1002"/>
      <c r="V19" s="1002"/>
      <c r="W19" s="1002"/>
      <c r="X19" s="1002"/>
      <c r="Y19" s="1002"/>
      <c r="Z19" s="1002"/>
      <c r="AA19" s="1003"/>
    </row>
    <row r="20" spans="1:27" s="19" customFormat="1" ht="85.15" hidden="1" customHeight="1" thickBot="1" x14ac:dyDescent="0.25">
      <c r="A20" s="655"/>
      <c r="B20" s="168"/>
      <c r="C20" s="26"/>
      <c r="D20" s="27"/>
      <c r="E20" s="28"/>
      <c r="F20" s="989"/>
      <c r="G20" s="30"/>
      <c r="H20" s="989"/>
      <c r="I20" s="370"/>
      <c r="J20" s="32"/>
      <c r="K20" s="32"/>
      <c r="L20" s="1148"/>
      <c r="M20" s="169"/>
      <c r="N20" s="32"/>
      <c r="O20" s="406"/>
      <c r="P20" s="32"/>
      <c r="Q20" s="1000"/>
      <c r="R20" s="995"/>
      <c r="S20" s="651"/>
      <c r="T20" s="995"/>
      <c r="U20" s="1002"/>
      <c r="V20" s="1002"/>
      <c r="W20" s="1002"/>
      <c r="X20" s="1002"/>
      <c r="Y20" s="1002"/>
      <c r="Z20" s="1002"/>
      <c r="AA20" s="1003"/>
    </row>
    <row r="21" spans="1:27" s="19" customFormat="1" ht="60" hidden="1" customHeight="1" thickBot="1" x14ac:dyDescent="0.25">
      <c r="A21" s="655"/>
      <c r="B21" s="168"/>
      <c r="C21" s="26"/>
      <c r="D21" s="27"/>
      <c r="E21" s="28"/>
      <c r="F21" s="990"/>
      <c r="G21" s="30"/>
      <c r="H21" s="990"/>
      <c r="I21" s="370"/>
      <c r="J21" s="32"/>
      <c r="K21" s="32"/>
      <c r="L21" s="999"/>
      <c r="M21" s="169"/>
      <c r="N21" s="32"/>
      <c r="O21" s="406"/>
      <c r="P21" s="32"/>
      <c r="Q21" s="1001"/>
      <c r="R21" s="1020"/>
      <c r="S21" s="651"/>
      <c r="T21" s="1020"/>
      <c r="U21" s="1002"/>
      <c r="V21" s="1002"/>
      <c r="W21" s="1002"/>
      <c r="X21" s="1002"/>
      <c r="Y21" s="1002"/>
      <c r="Z21" s="1002"/>
      <c r="AA21" s="1003"/>
    </row>
    <row r="22" spans="1:27" s="19" customFormat="1" ht="66.75" hidden="1" customHeight="1" thickBot="1" x14ac:dyDescent="0.25">
      <c r="A22" s="655"/>
      <c r="B22" s="168"/>
      <c r="C22" s="26"/>
      <c r="D22" s="27"/>
      <c r="E22" s="28"/>
      <c r="F22" s="989"/>
      <c r="G22" s="30"/>
      <c r="H22" s="989"/>
      <c r="I22" s="370"/>
      <c r="J22" s="32"/>
      <c r="K22" s="32"/>
      <c r="L22" s="1148"/>
      <c r="M22" s="169"/>
      <c r="N22" s="32"/>
      <c r="O22" s="406"/>
      <c r="P22" s="32"/>
      <c r="Q22" s="1000"/>
      <c r="R22" s="995"/>
      <c r="S22" s="651"/>
      <c r="T22" s="995"/>
      <c r="U22" s="1002"/>
      <c r="V22" s="1002"/>
      <c r="W22" s="1002"/>
      <c r="X22" s="1002"/>
      <c r="Y22" s="1002"/>
      <c r="Z22" s="1002"/>
      <c r="AA22" s="1003"/>
    </row>
    <row r="23" spans="1:27" s="19" customFormat="1" ht="75.75" hidden="1" customHeight="1" thickBot="1" x14ac:dyDescent="0.25">
      <c r="A23" s="655"/>
      <c r="B23" s="168"/>
      <c r="C23" s="26"/>
      <c r="D23" s="27"/>
      <c r="E23" s="28"/>
      <c r="F23" s="990"/>
      <c r="G23" s="30"/>
      <c r="H23" s="990"/>
      <c r="I23" s="370"/>
      <c r="J23" s="32"/>
      <c r="K23" s="32"/>
      <c r="L23" s="999"/>
      <c r="M23" s="169"/>
      <c r="N23" s="32"/>
      <c r="O23" s="406"/>
      <c r="P23" s="32"/>
      <c r="Q23" s="1001"/>
      <c r="R23" s="1020"/>
      <c r="S23" s="651"/>
      <c r="T23" s="1020"/>
      <c r="U23" s="1002"/>
      <c r="V23" s="1002"/>
      <c r="W23" s="1002"/>
      <c r="X23" s="1002"/>
      <c r="Y23" s="1002"/>
      <c r="Z23" s="1002"/>
      <c r="AA23" s="1003"/>
    </row>
    <row r="24" spans="1:27" s="19" customFormat="1" ht="89.25" hidden="1" customHeight="1" thickBot="1" x14ac:dyDescent="0.25">
      <c r="A24" s="655"/>
      <c r="B24" s="168"/>
      <c r="C24" s="26"/>
      <c r="D24" s="27"/>
      <c r="E24" s="28"/>
      <c r="F24" s="29"/>
      <c r="G24" s="30"/>
      <c r="H24" s="29"/>
      <c r="I24" s="31"/>
      <c r="J24" s="32"/>
      <c r="K24" s="32"/>
      <c r="L24" s="464"/>
      <c r="M24" s="169"/>
      <c r="N24" s="32"/>
      <c r="O24" s="406"/>
      <c r="P24" s="32"/>
      <c r="Q24" s="608"/>
      <c r="R24" s="653"/>
      <c r="S24" s="651"/>
      <c r="T24" s="653"/>
      <c r="U24" s="1002"/>
      <c r="V24" s="1002"/>
      <c r="W24" s="1002"/>
      <c r="X24" s="1002"/>
      <c r="Y24" s="1002"/>
      <c r="Z24" s="1002"/>
      <c r="AA24" s="1003"/>
    </row>
    <row r="25" spans="1:27" s="19" customFormat="1" ht="74.25" hidden="1" customHeight="1" thickBot="1" x14ac:dyDescent="0.25">
      <c r="A25" s="655"/>
      <c r="B25" s="168"/>
      <c r="C25" s="26"/>
      <c r="D25" s="27"/>
      <c r="E25" s="28"/>
      <c r="F25" s="29"/>
      <c r="G25" s="30"/>
      <c r="H25" s="29"/>
      <c r="I25" s="31"/>
      <c r="J25" s="32"/>
      <c r="K25" s="32"/>
      <c r="L25" s="464"/>
      <c r="M25" s="169"/>
      <c r="N25" s="32"/>
      <c r="O25" s="406"/>
      <c r="P25" s="32"/>
      <c r="Q25" s="608"/>
      <c r="R25" s="653"/>
      <c r="S25" s="651"/>
      <c r="T25" s="727"/>
      <c r="U25" s="1002"/>
      <c r="V25" s="1002"/>
      <c r="W25" s="1002"/>
      <c r="X25" s="1002"/>
      <c r="Y25" s="1002"/>
      <c r="Z25" s="1002"/>
      <c r="AA25" s="1003"/>
    </row>
    <row r="26" spans="1:27" s="19" customFormat="1" ht="98.25" hidden="1" customHeight="1" thickBot="1" x14ac:dyDescent="0.25">
      <c r="A26" s="655"/>
      <c r="B26" s="168"/>
      <c r="C26" s="26"/>
      <c r="D26" s="27"/>
      <c r="E26" s="28"/>
      <c r="F26" s="29"/>
      <c r="G26" s="30"/>
      <c r="H26" s="29"/>
      <c r="I26" s="31"/>
      <c r="J26" s="32"/>
      <c r="K26" s="32"/>
      <c r="L26" s="1148"/>
      <c r="M26" s="169"/>
      <c r="N26" s="32"/>
      <c r="O26" s="406"/>
      <c r="P26" s="32"/>
      <c r="Q26" s="608"/>
      <c r="R26" s="995"/>
      <c r="S26" s="651"/>
      <c r="T26" s="1195"/>
      <c r="U26" s="1002"/>
      <c r="V26" s="1002"/>
      <c r="W26" s="1002"/>
      <c r="X26" s="1002"/>
      <c r="Y26" s="1002"/>
      <c r="Z26" s="1002"/>
      <c r="AA26" s="1003"/>
    </row>
    <row r="27" spans="1:27" s="19" customFormat="1" ht="80.25" hidden="1" customHeight="1" thickBot="1" x14ac:dyDescent="0.25">
      <c r="A27" s="655"/>
      <c r="B27" s="168"/>
      <c r="C27" s="26"/>
      <c r="D27" s="27"/>
      <c r="E27" s="28"/>
      <c r="F27" s="29"/>
      <c r="G27" s="30"/>
      <c r="H27" s="29"/>
      <c r="I27" s="31"/>
      <c r="J27" s="32"/>
      <c r="K27" s="32"/>
      <c r="L27" s="999"/>
      <c r="M27" s="169"/>
      <c r="N27" s="32"/>
      <c r="O27" s="406"/>
      <c r="P27" s="32"/>
      <c r="Q27" s="608"/>
      <c r="R27" s="1020"/>
      <c r="S27" s="651"/>
      <c r="T27" s="1196"/>
      <c r="U27" s="1002"/>
      <c r="V27" s="1002"/>
      <c r="W27" s="1002"/>
      <c r="X27" s="1002"/>
      <c r="Y27" s="1002"/>
      <c r="Z27" s="1002"/>
      <c r="AA27" s="1003"/>
    </row>
    <row r="28" spans="1:27" s="19" customFormat="1" ht="111.75" hidden="1" customHeight="1" thickBot="1" x14ac:dyDescent="0.25">
      <c r="A28" s="655"/>
      <c r="B28" s="168"/>
      <c r="C28" s="26"/>
      <c r="D28" s="27"/>
      <c r="E28" s="28"/>
      <c r="F28" s="29"/>
      <c r="G28" s="30"/>
      <c r="H28" s="29"/>
      <c r="I28" s="31"/>
      <c r="J28" s="32"/>
      <c r="K28" s="32"/>
      <c r="L28" s="1148"/>
      <c r="M28" s="169"/>
      <c r="N28" s="32"/>
      <c r="O28" s="406"/>
      <c r="P28" s="32"/>
      <c r="Q28" s="608"/>
      <c r="R28" s="995"/>
      <c r="S28" s="651"/>
      <c r="T28" s="1195"/>
      <c r="U28" s="1002"/>
      <c r="V28" s="1002"/>
      <c r="W28" s="1002"/>
      <c r="X28" s="1002"/>
      <c r="Y28" s="1002"/>
      <c r="Z28" s="1002"/>
      <c r="AA28" s="1003"/>
    </row>
    <row r="29" spans="1:27" s="19" customFormat="1" ht="105.75" hidden="1" customHeight="1" thickBot="1" x14ac:dyDescent="0.25">
      <c r="A29" s="655"/>
      <c r="B29" s="168"/>
      <c r="C29" s="26"/>
      <c r="D29" s="27"/>
      <c r="E29" s="28"/>
      <c r="F29" s="29"/>
      <c r="G29" s="30"/>
      <c r="H29" s="29"/>
      <c r="I29" s="31"/>
      <c r="J29" s="32"/>
      <c r="K29" s="32"/>
      <c r="L29" s="999"/>
      <c r="M29" s="169"/>
      <c r="N29" s="32"/>
      <c r="O29" s="406"/>
      <c r="P29" s="32"/>
      <c r="Q29" s="608"/>
      <c r="R29" s="1020"/>
      <c r="S29" s="651"/>
      <c r="T29" s="1196"/>
      <c r="U29" s="1002"/>
      <c r="V29" s="1002"/>
      <c r="W29" s="1002"/>
      <c r="X29" s="1002"/>
      <c r="Y29" s="1002"/>
      <c r="Z29" s="1002"/>
      <c r="AA29" s="1003"/>
    </row>
    <row r="30" spans="1:27" s="19" customFormat="1" ht="114.75" hidden="1" customHeight="1" thickBot="1" x14ac:dyDescent="0.25">
      <c r="A30" s="655"/>
      <c r="B30" s="168"/>
      <c r="C30" s="26"/>
      <c r="D30" s="27"/>
      <c r="E30" s="28"/>
      <c r="F30" s="29"/>
      <c r="G30" s="30"/>
      <c r="H30" s="29"/>
      <c r="I30" s="31"/>
      <c r="J30" s="32"/>
      <c r="K30" s="32"/>
      <c r="L30" s="1148"/>
      <c r="M30" s="169"/>
      <c r="N30" s="32"/>
      <c r="O30" s="406"/>
      <c r="P30" s="32"/>
      <c r="Q30" s="608"/>
      <c r="R30" s="995"/>
      <c r="S30" s="651"/>
      <c r="T30" s="1195"/>
      <c r="U30" s="1002"/>
      <c r="V30" s="1002"/>
      <c r="W30" s="1002"/>
      <c r="X30" s="1002"/>
      <c r="Y30" s="1002"/>
      <c r="Z30" s="1002"/>
      <c r="AA30" s="1003"/>
    </row>
    <row r="31" spans="1:27" s="19" customFormat="1" ht="138.75" hidden="1" customHeight="1" thickBot="1" x14ac:dyDescent="0.25">
      <c r="A31" s="655"/>
      <c r="B31" s="168"/>
      <c r="C31" s="26"/>
      <c r="D31" s="27"/>
      <c r="E31" s="28"/>
      <c r="F31" s="29"/>
      <c r="G31" s="30"/>
      <c r="H31" s="29"/>
      <c r="I31" s="31"/>
      <c r="J31" s="32"/>
      <c r="K31" s="32"/>
      <c r="L31" s="999"/>
      <c r="M31" s="169"/>
      <c r="N31" s="32"/>
      <c r="O31" s="406"/>
      <c r="P31" s="32"/>
      <c r="Q31" s="608"/>
      <c r="R31" s="1020"/>
      <c r="S31" s="651"/>
      <c r="T31" s="1196"/>
      <c r="U31" s="1002"/>
      <c r="V31" s="1002"/>
      <c r="W31" s="1002"/>
      <c r="X31" s="1002"/>
      <c r="Y31" s="1002"/>
      <c r="Z31" s="1002"/>
      <c r="AA31" s="1003"/>
    </row>
    <row r="32" spans="1:27" s="19" customFormat="1" ht="33.75" hidden="1" customHeight="1" thickBot="1" x14ac:dyDescent="0.25">
      <c r="A32" s="655"/>
      <c r="B32" s="168"/>
      <c r="C32" s="26"/>
      <c r="D32" s="27"/>
      <c r="E32" s="28"/>
      <c r="F32" s="29"/>
      <c r="G32" s="30"/>
      <c r="H32" s="29"/>
      <c r="I32" s="31"/>
      <c r="J32" s="32"/>
      <c r="K32" s="32"/>
      <c r="L32" s="1148"/>
      <c r="M32" s="169"/>
      <c r="N32" s="32"/>
      <c r="O32" s="406"/>
      <c r="P32" s="32"/>
      <c r="Q32" s="608"/>
      <c r="R32" s="995"/>
      <c r="S32" s="651"/>
      <c r="T32" s="1195"/>
      <c r="U32" s="1002"/>
      <c r="V32" s="1002"/>
      <c r="W32" s="1002"/>
      <c r="X32" s="1002"/>
      <c r="Y32" s="1002"/>
      <c r="Z32" s="1002"/>
      <c r="AA32" s="1003"/>
    </row>
    <row r="33" spans="1:27" s="19" customFormat="1" ht="89.25" hidden="1" customHeight="1" thickBot="1" x14ac:dyDescent="0.25">
      <c r="A33" s="655"/>
      <c r="B33" s="168"/>
      <c r="C33" s="26"/>
      <c r="D33" s="27"/>
      <c r="E33" s="28"/>
      <c r="F33" s="29"/>
      <c r="G33" s="30"/>
      <c r="H33" s="29"/>
      <c r="I33" s="31"/>
      <c r="J33" s="32"/>
      <c r="K33" s="32"/>
      <c r="L33" s="999"/>
      <c r="M33" s="169"/>
      <c r="N33" s="32"/>
      <c r="O33" s="406"/>
      <c r="P33" s="32"/>
      <c r="Q33" s="608"/>
      <c r="R33" s="1020"/>
      <c r="S33" s="651"/>
      <c r="T33" s="1196"/>
      <c r="U33" s="1002"/>
      <c r="V33" s="1002"/>
      <c r="W33" s="1002"/>
      <c r="X33" s="1002"/>
      <c r="Y33" s="1002"/>
      <c r="Z33" s="1002"/>
      <c r="AA33" s="1003"/>
    </row>
    <row r="34" spans="1:27" s="19" customFormat="1" ht="84.75" hidden="1" customHeight="1" thickBot="1" x14ac:dyDescent="0.25">
      <c r="A34" s="655"/>
      <c r="B34" s="168"/>
      <c r="C34" s="26"/>
      <c r="D34" s="27"/>
      <c r="E34" s="28"/>
      <c r="F34" s="29"/>
      <c r="G34" s="30"/>
      <c r="H34" s="29"/>
      <c r="I34" s="31"/>
      <c r="J34" s="32"/>
      <c r="K34" s="32"/>
      <c r="L34" s="464"/>
      <c r="M34" s="169"/>
      <c r="N34" s="32"/>
      <c r="O34" s="406"/>
      <c r="P34" s="32"/>
      <c r="Q34" s="608"/>
      <c r="R34" s="653"/>
      <c r="S34" s="651"/>
      <c r="T34" s="727"/>
      <c r="U34" s="1002"/>
      <c r="V34" s="1002"/>
      <c r="W34" s="1002"/>
      <c r="X34" s="1002"/>
      <c r="Y34" s="1002"/>
      <c r="Z34" s="1002"/>
      <c r="AA34" s="1003"/>
    </row>
    <row r="35" spans="1:27" s="19" customFormat="1" ht="170.25" hidden="1" customHeight="1" thickBot="1" x14ac:dyDescent="0.25">
      <c r="A35" s="655"/>
      <c r="B35" s="168"/>
      <c r="C35" s="26"/>
      <c r="D35" s="27"/>
      <c r="E35" s="28"/>
      <c r="F35" s="29"/>
      <c r="G35" s="30"/>
      <c r="H35" s="29"/>
      <c r="I35" s="31"/>
      <c r="J35" s="32"/>
      <c r="K35" s="32"/>
      <c r="L35" s="464"/>
      <c r="M35" s="169"/>
      <c r="N35" s="32"/>
      <c r="O35" s="406"/>
      <c r="P35" s="32"/>
      <c r="Q35" s="608"/>
      <c r="R35" s="653"/>
      <c r="S35" s="651"/>
      <c r="T35" s="727"/>
      <c r="U35" s="1002"/>
      <c r="V35" s="1002"/>
      <c r="W35" s="1002"/>
      <c r="X35" s="1002"/>
      <c r="Y35" s="1002"/>
      <c r="Z35" s="1002"/>
      <c r="AA35" s="1003"/>
    </row>
    <row r="36" spans="1:27" s="19" customFormat="1" ht="80.25" hidden="1" customHeight="1" thickBot="1" x14ac:dyDescent="0.25">
      <c r="A36" s="655"/>
      <c r="B36" s="168"/>
      <c r="C36" s="26"/>
      <c r="D36" s="27"/>
      <c r="E36" s="28"/>
      <c r="F36" s="989"/>
      <c r="G36" s="30"/>
      <c r="H36" s="989"/>
      <c r="I36" s="31"/>
      <c r="J36" s="32"/>
      <c r="K36" s="32"/>
      <c r="L36" s="1148"/>
      <c r="M36" s="169"/>
      <c r="N36" s="32"/>
      <c r="O36" s="406"/>
      <c r="P36" s="32"/>
      <c r="Q36" s="1000"/>
      <c r="R36" s="995"/>
      <c r="S36" s="651"/>
      <c r="T36" s="995"/>
      <c r="U36" s="1002"/>
      <c r="V36" s="1002"/>
      <c r="W36" s="1002"/>
      <c r="X36" s="1002"/>
      <c r="Y36" s="1002"/>
      <c r="Z36" s="1002"/>
      <c r="AA36" s="1003"/>
    </row>
    <row r="37" spans="1:27" s="19" customFormat="1" ht="66.75" hidden="1" customHeight="1" thickBot="1" x14ac:dyDescent="0.25">
      <c r="A37" s="655"/>
      <c r="B37" s="168"/>
      <c r="C37" s="26"/>
      <c r="D37" s="27"/>
      <c r="E37" s="28"/>
      <c r="F37" s="1027"/>
      <c r="G37" s="30"/>
      <c r="H37" s="1027"/>
      <c r="I37" s="31"/>
      <c r="J37" s="32"/>
      <c r="K37" s="32"/>
      <c r="L37" s="1016"/>
      <c r="M37" s="169"/>
      <c r="N37" s="32"/>
      <c r="O37" s="406"/>
      <c r="P37" s="32"/>
      <c r="Q37" s="1028"/>
      <c r="R37" s="996"/>
      <c r="S37" s="651"/>
      <c r="T37" s="996"/>
      <c r="U37" s="1002"/>
      <c r="V37" s="1002"/>
      <c r="W37" s="1002"/>
      <c r="X37" s="1002"/>
      <c r="Y37" s="1002"/>
      <c r="Z37" s="1002"/>
      <c r="AA37" s="1003"/>
    </row>
    <row r="38" spans="1:27" s="19" customFormat="1" ht="72.75" hidden="1" customHeight="1" thickBot="1" x14ac:dyDescent="0.25">
      <c r="A38" s="655"/>
      <c r="B38" s="168"/>
      <c r="C38" s="26"/>
      <c r="D38" s="27"/>
      <c r="E38" s="28"/>
      <c r="F38" s="990"/>
      <c r="G38" s="30"/>
      <c r="H38" s="990"/>
      <c r="I38" s="31"/>
      <c r="J38" s="32"/>
      <c r="K38" s="32"/>
      <c r="L38" s="999"/>
      <c r="M38" s="169"/>
      <c r="N38" s="32"/>
      <c r="O38" s="406"/>
      <c r="P38" s="32"/>
      <c r="Q38" s="1001"/>
      <c r="R38" s="1020"/>
      <c r="S38" s="651"/>
      <c r="T38" s="1020"/>
      <c r="U38" s="1002"/>
      <c r="V38" s="1002"/>
      <c r="W38" s="1002"/>
      <c r="X38" s="1002"/>
      <c r="Y38" s="1002"/>
      <c r="Z38" s="1002"/>
      <c r="AA38" s="1003"/>
    </row>
    <row r="39" spans="1:27" s="19" customFormat="1" ht="59.25" hidden="1" customHeight="1" thickBot="1" x14ac:dyDescent="0.25">
      <c r="A39" s="655"/>
      <c r="B39" s="168"/>
      <c r="C39" s="26"/>
      <c r="D39" s="27"/>
      <c r="E39" s="28"/>
      <c r="F39" s="29"/>
      <c r="G39" s="30"/>
      <c r="H39" s="29"/>
      <c r="I39" s="31"/>
      <c r="J39" s="32"/>
      <c r="K39" s="32"/>
      <c r="L39" s="1148"/>
      <c r="M39" s="169"/>
      <c r="N39" s="32"/>
      <c r="O39" s="406"/>
      <c r="P39" s="32"/>
      <c r="Q39" s="608"/>
      <c r="R39" s="995"/>
      <c r="S39" s="651"/>
      <c r="T39" s="995"/>
      <c r="U39" s="1002"/>
      <c r="V39" s="1002"/>
      <c r="W39" s="1002"/>
      <c r="X39" s="1002"/>
      <c r="Y39" s="1002"/>
      <c r="Z39" s="1002"/>
      <c r="AA39" s="1003"/>
    </row>
    <row r="40" spans="1:27" s="19" customFormat="1" ht="120.75" hidden="1" customHeight="1" thickBot="1" x14ac:dyDescent="0.25">
      <c r="A40" s="655"/>
      <c r="B40" s="168"/>
      <c r="C40" s="26"/>
      <c r="D40" s="27"/>
      <c r="E40" s="28"/>
      <c r="F40" s="29"/>
      <c r="G40" s="30"/>
      <c r="H40" s="29"/>
      <c r="I40" s="31"/>
      <c r="J40" s="32"/>
      <c r="K40" s="32"/>
      <c r="L40" s="999"/>
      <c r="M40" s="169"/>
      <c r="N40" s="32"/>
      <c r="O40" s="406"/>
      <c r="P40" s="32"/>
      <c r="Q40" s="608"/>
      <c r="R40" s="1020"/>
      <c r="S40" s="651"/>
      <c r="T40" s="1020"/>
      <c r="U40" s="1002"/>
      <c r="V40" s="1002"/>
      <c r="W40" s="1002"/>
      <c r="X40" s="1002"/>
      <c r="Y40" s="1002"/>
      <c r="Z40" s="1002"/>
      <c r="AA40" s="1003"/>
    </row>
    <row r="41" spans="1:27" s="19" customFormat="1" ht="79.150000000000006" hidden="1" customHeight="1" thickBot="1" x14ac:dyDescent="0.25">
      <c r="A41" s="655"/>
      <c r="B41" s="168"/>
      <c r="C41" s="26"/>
      <c r="D41" s="27"/>
      <c r="E41" s="28"/>
      <c r="F41" s="29"/>
      <c r="G41" s="30"/>
      <c r="H41" s="29"/>
      <c r="I41" s="31"/>
      <c r="J41" s="32"/>
      <c r="K41" s="32"/>
      <c r="L41" s="1148"/>
      <c r="M41" s="169"/>
      <c r="N41" s="32"/>
      <c r="O41" s="406"/>
      <c r="P41" s="32"/>
      <c r="Q41" s="608"/>
      <c r="R41" s="995"/>
      <c r="S41" s="651"/>
      <c r="T41" s="995"/>
      <c r="U41" s="1002"/>
      <c r="V41" s="1002"/>
      <c r="W41" s="1002"/>
      <c r="X41" s="1002"/>
      <c r="Y41" s="1002"/>
      <c r="Z41" s="1002"/>
      <c r="AA41" s="1003"/>
    </row>
    <row r="42" spans="1:27" s="19" customFormat="1" ht="70.900000000000006" hidden="1" customHeight="1" thickBot="1" x14ac:dyDescent="0.25">
      <c r="A42" s="655"/>
      <c r="B42" s="168"/>
      <c r="C42" s="26"/>
      <c r="D42" s="27"/>
      <c r="E42" s="28"/>
      <c r="F42" s="29"/>
      <c r="G42" s="30"/>
      <c r="H42" s="29"/>
      <c r="I42" s="31"/>
      <c r="J42" s="32"/>
      <c r="K42" s="32"/>
      <c r="L42" s="999"/>
      <c r="M42" s="169"/>
      <c r="N42" s="32"/>
      <c r="O42" s="406"/>
      <c r="P42" s="32"/>
      <c r="Q42" s="608"/>
      <c r="R42" s="1020"/>
      <c r="S42" s="651"/>
      <c r="T42" s="1020"/>
      <c r="U42" s="1002"/>
      <c r="V42" s="1002"/>
      <c r="W42" s="1002"/>
      <c r="X42" s="1002"/>
      <c r="Y42" s="1002"/>
      <c r="Z42" s="1002"/>
      <c r="AA42" s="1003"/>
    </row>
    <row r="43" spans="1:27" s="19" customFormat="1" ht="77.25" hidden="1" customHeight="1" thickBot="1" x14ac:dyDescent="0.25">
      <c r="A43" s="655"/>
      <c r="B43" s="168"/>
      <c r="C43" s="26"/>
      <c r="D43" s="27"/>
      <c r="E43" s="28"/>
      <c r="F43" s="29"/>
      <c r="G43" s="30"/>
      <c r="H43" s="29"/>
      <c r="I43" s="31"/>
      <c r="J43" s="32"/>
      <c r="K43" s="32"/>
      <c r="L43" s="1148"/>
      <c r="M43" s="169"/>
      <c r="N43" s="32"/>
      <c r="O43" s="406"/>
      <c r="P43" s="32"/>
      <c r="Q43" s="608"/>
      <c r="R43" s="995"/>
      <c r="S43" s="651"/>
      <c r="T43" s="995"/>
      <c r="U43" s="1002"/>
      <c r="V43" s="1002"/>
      <c r="W43" s="1002"/>
      <c r="X43" s="1002"/>
      <c r="Y43" s="1002"/>
      <c r="Z43" s="1002"/>
      <c r="AA43" s="1003"/>
    </row>
    <row r="44" spans="1:27" s="19" customFormat="1" ht="156.75" hidden="1" customHeight="1" thickBot="1" x14ac:dyDescent="0.25">
      <c r="A44" s="655"/>
      <c r="B44" s="168"/>
      <c r="C44" s="26"/>
      <c r="D44" s="27"/>
      <c r="E44" s="28"/>
      <c r="F44" s="29"/>
      <c r="G44" s="30"/>
      <c r="H44" s="29"/>
      <c r="I44" s="31"/>
      <c r="J44" s="32"/>
      <c r="K44" s="32"/>
      <c r="L44" s="999"/>
      <c r="M44" s="169"/>
      <c r="N44" s="32"/>
      <c r="O44" s="406"/>
      <c r="P44" s="32"/>
      <c r="Q44" s="608"/>
      <c r="R44" s="1020"/>
      <c r="S44" s="651"/>
      <c r="T44" s="1020"/>
      <c r="U44" s="1002"/>
      <c r="V44" s="1002"/>
      <c r="W44" s="1002"/>
      <c r="X44" s="1002"/>
      <c r="Y44" s="1002"/>
      <c r="Z44" s="1002"/>
      <c r="AA44" s="1003"/>
    </row>
    <row r="45" spans="1:27" s="19" customFormat="1" ht="39.950000000000003" hidden="1" customHeight="1" thickBot="1" x14ac:dyDescent="0.25">
      <c r="A45" s="655"/>
      <c r="B45" s="168"/>
      <c r="C45" s="26"/>
      <c r="D45" s="27"/>
      <c r="E45" s="28"/>
      <c r="F45" s="871"/>
      <c r="G45" s="30"/>
      <c r="H45" s="29"/>
      <c r="I45" s="31"/>
      <c r="J45" s="32"/>
      <c r="K45" s="32">
        <f>[7]November_2025!$F49</f>
        <v>0</v>
      </c>
      <c r="L45" s="464"/>
      <c r="M45" s="169"/>
      <c r="N45" s="32"/>
      <c r="O45" s="406"/>
      <c r="P45" s="32"/>
      <c r="Q45" s="33"/>
      <c r="R45" s="872"/>
      <c r="S45" s="651" t="e">
        <f>($G45)*24/(($K45)/60)/$AC$3</f>
        <v>#DIV/0!</v>
      </c>
      <c r="T45" s="678"/>
      <c r="U45" s="1002"/>
      <c r="V45" s="1002"/>
      <c r="W45" s="1002"/>
      <c r="X45" s="1002"/>
      <c r="Y45" s="1002"/>
      <c r="Z45" s="1002"/>
      <c r="AA45" s="1003"/>
    </row>
    <row r="46" spans="1:27" s="19" customFormat="1" ht="39.950000000000003" hidden="1" customHeight="1" thickBot="1" x14ac:dyDescent="0.25">
      <c r="A46" s="655"/>
      <c r="B46" s="168"/>
      <c r="C46" s="26"/>
      <c r="D46" s="27"/>
      <c r="E46" s="28"/>
      <c r="F46" s="989">
        <f>[7]November_2025!$J50</f>
        <v>0</v>
      </c>
      <c r="G46" s="30"/>
      <c r="H46" s="29"/>
      <c r="I46" s="31"/>
      <c r="J46" s="32"/>
      <c r="K46" s="32">
        <f>[7]November_2025!$F50</f>
        <v>0</v>
      </c>
      <c r="L46" s="464"/>
      <c r="M46" s="169"/>
      <c r="N46" s="32"/>
      <c r="O46" s="406"/>
      <c r="P46" s="32"/>
      <c r="Q46" s="33"/>
      <c r="R46" s="841"/>
      <c r="S46" s="651" t="e">
        <f t="shared" ref="S46:S55" si="0">($G46)*24/(($K46)/60)/$AC$3</f>
        <v>#DIV/0!</v>
      </c>
      <c r="T46" s="678"/>
      <c r="U46" s="1002"/>
      <c r="V46" s="1002"/>
      <c r="W46" s="1002"/>
      <c r="X46" s="1002"/>
      <c r="Y46" s="1002"/>
      <c r="Z46" s="1002"/>
      <c r="AA46" s="1003"/>
    </row>
    <row r="47" spans="1:27" s="19" customFormat="1" ht="39.950000000000003" hidden="1" customHeight="1" thickBot="1" x14ac:dyDescent="0.25">
      <c r="A47" s="655"/>
      <c r="B47" s="168"/>
      <c r="C47" s="26"/>
      <c r="D47" s="27"/>
      <c r="E47" s="28"/>
      <c r="F47" s="990"/>
      <c r="G47" s="30"/>
      <c r="H47" s="29"/>
      <c r="I47" s="31"/>
      <c r="J47" s="32"/>
      <c r="K47" s="32">
        <f>[7]November_2025!$F51</f>
        <v>0</v>
      </c>
      <c r="L47" s="464"/>
      <c r="M47" s="169"/>
      <c r="N47" s="32"/>
      <c r="O47" s="406"/>
      <c r="P47" s="32"/>
      <c r="Q47" s="33"/>
      <c r="R47" s="995"/>
      <c r="S47" s="651" t="e">
        <f t="shared" si="0"/>
        <v>#DIV/0!</v>
      </c>
      <c r="T47" s="678"/>
      <c r="U47" s="1002"/>
      <c r="V47" s="1002"/>
      <c r="W47" s="1002"/>
      <c r="X47" s="1002"/>
      <c r="Y47" s="1002"/>
      <c r="Z47" s="1002"/>
      <c r="AA47" s="1003"/>
    </row>
    <row r="48" spans="1:27" s="19" customFormat="1" ht="39.950000000000003" hidden="1" customHeight="1" thickBot="1" x14ac:dyDescent="0.25">
      <c r="A48" s="655"/>
      <c r="B48" s="168"/>
      <c r="C48" s="26"/>
      <c r="D48" s="27"/>
      <c r="E48" s="28"/>
      <c r="F48" s="989">
        <f>[7]November_2025!$J52</f>
        <v>0</v>
      </c>
      <c r="G48" s="30"/>
      <c r="H48" s="29"/>
      <c r="I48" s="31"/>
      <c r="J48" s="32"/>
      <c r="K48" s="32">
        <f>[7]November_2025!$F52</f>
        <v>0</v>
      </c>
      <c r="L48" s="464"/>
      <c r="M48" s="169"/>
      <c r="N48" s="32"/>
      <c r="O48" s="406"/>
      <c r="P48" s="32"/>
      <c r="Q48" s="33"/>
      <c r="R48" s="996"/>
      <c r="S48" s="651" t="e">
        <f t="shared" si="0"/>
        <v>#DIV/0!</v>
      </c>
      <c r="T48" s="678"/>
      <c r="U48" s="1002"/>
      <c r="V48" s="1002"/>
      <c r="W48" s="1002"/>
      <c r="X48" s="1002"/>
      <c r="Y48" s="1002"/>
      <c r="Z48" s="1002"/>
      <c r="AA48" s="1003"/>
    </row>
    <row r="49" spans="1:29" s="19" customFormat="1" ht="39.950000000000003" hidden="1" customHeight="1" thickBot="1" x14ac:dyDescent="0.25">
      <c r="A49" s="655"/>
      <c r="B49" s="168"/>
      <c r="C49" s="26"/>
      <c r="D49" s="27"/>
      <c r="E49" s="28"/>
      <c r="F49" s="990"/>
      <c r="G49" s="30"/>
      <c r="H49" s="29"/>
      <c r="I49" s="31"/>
      <c r="J49" s="32"/>
      <c r="K49" s="32">
        <f>[7]November_2025!$F53</f>
        <v>0</v>
      </c>
      <c r="L49" s="464"/>
      <c r="M49" s="169"/>
      <c r="N49" s="32"/>
      <c r="O49" s="406"/>
      <c r="P49" s="32"/>
      <c r="Q49" s="33"/>
      <c r="R49" s="1020"/>
      <c r="S49" s="651" t="e">
        <f t="shared" si="0"/>
        <v>#DIV/0!</v>
      </c>
      <c r="T49" s="678"/>
      <c r="U49" s="1002"/>
      <c r="V49" s="1002"/>
      <c r="W49" s="1002"/>
      <c r="X49" s="1002"/>
      <c r="Y49" s="1002"/>
      <c r="Z49" s="1002"/>
      <c r="AA49" s="1003"/>
    </row>
    <row r="50" spans="1:29" s="19" customFormat="1" ht="39.950000000000003" hidden="1" customHeight="1" thickBot="1" x14ac:dyDescent="0.25">
      <c r="A50" s="655"/>
      <c r="B50" s="168"/>
      <c r="C50" s="26"/>
      <c r="D50" s="27"/>
      <c r="E50" s="28"/>
      <c r="F50" s="989">
        <f>[7]November_2025!$J54</f>
        <v>0</v>
      </c>
      <c r="G50" s="30"/>
      <c r="H50" s="29"/>
      <c r="I50" s="31"/>
      <c r="J50" s="32"/>
      <c r="K50" s="32">
        <f>[7]November_2025!$F54</f>
        <v>0</v>
      </c>
      <c r="L50" s="464"/>
      <c r="M50" s="169"/>
      <c r="N50" s="32"/>
      <c r="O50" s="406"/>
      <c r="P50" s="32"/>
      <c r="Q50" s="33"/>
      <c r="R50" s="995"/>
      <c r="S50" s="651" t="e">
        <f t="shared" si="0"/>
        <v>#DIV/0!</v>
      </c>
      <c r="T50" s="678"/>
      <c r="U50" s="1002"/>
      <c r="V50" s="1002"/>
      <c r="W50" s="1002"/>
      <c r="X50" s="1002"/>
      <c r="Y50" s="1002"/>
      <c r="Z50" s="1002"/>
      <c r="AA50" s="1003"/>
    </row>
    <row r="51" spans="1:29" s="19" customFormat="1" ht="39.950000000000003" hidden="1" customHeight="1" thickBot="1" x14ac:dyDescent="0.25">
      <c r="A51" s="655"/>
      <c r="B51" s="168"/>
      <c r="C51" s="26"/>
      <c r="D51" s="27"/>
      <c r="E51" s="28"/>
      <c r="F51" s="990"/>
      <c r="G51" s="30"/>
      <c r="H51" s="29"/>
      <c r="I51" s="31"/>
      <c r="J51" s="32"/>
      <c r="K51" s="32">
        <f>[7]November_2025!$F55</f>
        <v>0</v>
      </c>
      <c r="L51" s="464"/>
      <c r="M51" s="169"/>
      <c r="N51" s="32"/>
      <c r="O51" s="406"/>
      <c r="P51" s="32"/>
      <c r="Q51" s="33"/>
      <c r="R51" s="996"/>
      <c r="S51" s="651" t="e">
        <f t="shared" si="0"/>
        <v>#DIV/0!</v>
      </c>
      <c r="T51" s="678"/>
      <c r="U51" s="1002"/>
      <c r="V51" s="1002"/>
      <c r="W51" s="1002"/>
      <c r="X51" s="1002"/>
      <c r="Y51" s="1002"/>
      <c r="Z51" s="1002"/>
      <c r="AA51" s="1003"/>
    </row>
    <row r="52" spans="1:29" s="19" customFormat="1" ht="39.950000000000003" hidden="1" customHeight="1" thickBot="1" x14ac:dyDescent="0.25">
      <c r="A52" s="655"/>
      <c r="B52" s="168">
        <f>[10]Nov!B56</f>
        <v>0</v>
      </c>
      <c r="C52" s="26"/>
      <c r="D52" s="27"/>
      <c r="E52" s="28"/>
      <c r="F52" s="989">
        <f>[7]November_2025!$J56</f>
        <v>0</v>
      </c>
      <c r="G52" s="30"/>
      <c r="H52" s="29"/>
      <c r="I52" s="31"/>
      <c r="J52" s="32"/>
      <c r="K52" s="32">
        <f>[7]November_2025!$F56</f>
        <v>0</v>
      </c>
      <c r="L52" s="464"/>
      <c r="M52" s="169"/>
      <c r="N52" s="32"/>
      <c r="O52" s="406"/>
      <c r="P52" s="32"/>
      <c r="Q52" s="33"/>
      <c r="R52" s="1020"/>
      <c r="S52" s="651" t="e">
        <f t="shared" si="0"/>
        <v>#DIV/0!</v>
      </c>
      <c r="T52" s="678"/>
      <c r="U52" s="1002"/>
      <c r="V52" s="1002"/>
      <c r="W52" s="1002"/>
      <c r="X52" s="1002"/>
      <c r="Y52" s="1002"/>
      <c r="Z52" s="1002"/>
      <c r="AA52" s="1003"/>
    </row>
    <row r="53" spans="1:29" s="19" customFormat="1" ht="39.950000000000003" hidden="1" customHeight="1" thickBot="1" x14ac:dyDescent="0.25">
      <c r="A53" s="655"/>
      <c r="B53" s="168"/>
      <c r="C53" s="26"/>
      <c r="D53" s="27"/>
      <c r="E53" s="28"/>
      <c r="F53" s="990"/>
      <c r="G53" s="30"/>
      <c r="H53" s="29"/>
      <c r="I53" s="31"/>
      <c r="J53" s="32"/>
      <c r="K53" s="32">
        <f>[7]November_2025!$F57</f>
        <v>0</v>
      </c>
      <c r="L53" s="464"/>
      <c r="M53" s="169"/>
      <c r="N53" s="32"/>
      <c r="O53" s="406"/>
      <c r="P53" s="32"/>
      <c r="Q53" s="33"/>
      <c r="R53" s="995"/>
      <c r="S53" s="651" t="e">
        <f t="shared" si="0"/>
        <v>#DIV/0!</v>
      </c>
      <c r="T53" s="678"/>
      <c r="U53" s="1002"/>
      <c r="V53" s="1002"/>
      <c r="W53" s="1002"/>
      <c r="X53" s="1002"/>
      <c r="Y53" s="1002"/>
      <c r="Z53" s="1002"/>
      <c r="AA53" s="1003"/>
    </row>
    <row r="54" spans="1:29" s="19" customFormat="1" ht="57" hidden="1" customHeight="1" thickBot="1" x14ac:dyDescent="0.25">
      <c r="A54" s="655"/>
      <c r="B54" s="168"/>
      <c r="C54" s="26"/>
      <c r="D54" s="27"/>
      <c r="E54" s="28"/>
      <c r="F54" s="989">
        <f>[7]November_2025!$J58</f>
        <v>0</v>
      </c>
      <c r="G54" s="30"/>
      <c r="H54" s="29"/>
      <c r="I54" s="31"/>
      <c r="J54" s="32"/>
      <c r="K54" s="32">
        <f>[7]November_2025!$F58</f>
        <v>0</v>
      </c>
      <c r="L54" s="464"/>
      <c r="M54" s="169"/>
      <c r="N54" s="32"/>
      <c r="O54" s="406"/>
      <c r="P54" s="32"/>
      <c r="Q54" s="33"/>
      <c r="R54" s="996"/>
      <c r="S54" s="651" t="e">
        <f t="shared" si="0"/>
        <v>#DIV/0!</v>
      </c>
      <c r="T54" s="678"/>
      <c r="U54" s="1002"/>
      <c r="V54" s="1002"/>
      <c r="W54" s="1002"/>
      <c r="X54" s="1002"/>
      <c r="Y54" s="1002"/>
      <c r="Z54" s="1002"/>
      <c r="AA54" s="1003"/>
    </row>
    <row r="55" spans="1:29" s="19" customFormat="1" ht="57" hidden="1" customHeight="1" thickBot="1" x14ac:dyDescent="0.25">
      <c r="A55" s="655"/>
      <c r="B55" s="168"/>
      <c r="C55" s="26"/>
      <c r="D55" s="27"/>
      <c r="E55" s="28"/>
      <c r="F55" s="990"/>
      <c r="G55" s="30"/>
      <c r="H55" s="29"/>
      <c r="I55" s="31"/>
      <c r="J55" s="32"/>
      <c r="K55" s="32">
        <f>[7]November_2025!$F59</f>
        <v>0</v>
      </c>
      <c r="L55" s="464"/>
      <c r="M55" s="169"/>
      <c r="N55" s="32"/>
      <c r="O55" s="406"/>
      <c r="P55" s="32"/>
      <c r="Q55" s="33"/>
      <c r="R55" s="1020"/>
      <c r="S55" s="651" t="e">
        <f t="shared" si="0"/>
        <v>#DIV/0!</v>
      </c>
      <c r="T55" s="653"/>
      <c r="U55" s="1002"/>
      <c r="V55" s="1002"/>
      <c r="W55" s="1002"/>
      <c r="X55" s="1002"/>
      <c r="Y55" s="1002"/>
      <c r="Z55" s="1002"/>
      <c r="AA55" s="1003"/>
    </row>
    <row r="56" spans="1:29" s="19" customFormat="1" ht="57" hidden="1" customHeight="1" thickBot="1" x14ac:dyDescent="0.25">
      <c r="A56" s="655"/>
      <c r="B56" s="168"/>
      <c r="C56" s="26"/>
      <c r="D56" s="27"/>
      <c r="E56" s="28"/>
      <c r="F56" s="29"/>
      <c r="G56" s="30"/>
      <c r="H56" s="29"/>
      <c r="I56" s="31"/>
      <c r="J56" s="32"/>
      <c r="K56" s="32"/>
      <c r="L56" s="464"/>
      <c r="M56" s="169"/>
      <c r="N56" s="32"/>
      <c r="O56" s="406"/>
      <c r="P56" s="32"/>
      <c r="Q56" s="33"/>
      <c r="R56" s="676"/>
      <c r="S56" s="677"/>
      <c r="T56" s="678"/>
      <c r="U56" s="1126"/>
      <c r="V56" s="1127"/>
      <c r="W56" s="1127"/>
      <c r="X56" s="1127"/>
      <c r="Y56" s="1127"/>
      <c r="Z56" s="1127"/>
      <c r="AA56" s="1128"/>
    </row>
    <row r="57" spans="1:29" s="19" customFormat="1" ht="51" customHeight="1" thickBot="1" x14ac:dyDescent="0.25">
      <c r="A57" s="655"/>
      <c r="B57" s="240" t="s">
        <v>3</v>
      </c>
      <c r="C57" s="241"/>
      <c r="D57" s="242">
        <f>SUM(D4:D55)</f>
        <v>0</v>
      </c>
      <c r="E57" s="243">
        <f>AVERAGE(E4:E55)</f>
        <v>0</v>
      </c>
      <c r="F57" s="244">
        <f>SUM(F4:F56)</f>
        <v>0</v>
      </c>
      <c r="G57" s="242">
        <f>SUM(G4:G56)</f>
        <v>0</v>
      </c>
      <c r="H57" s="582">
        <f>SUM(H4:H56)</f>
        <v>0</v>
      </c>
      <c r="I57" s="245">
        <f>SUM(I4:I55)</f>
        <v>0</v>
      </c>
      <c r="J57" s="245" t="e">
        <f>G57/(K57/60)</f>
        <v>#DIV/0!</v>
      </c>
      <c r="K57" s="242">
        <f>SUM(K4:K55)</f>
        <v>0</v>
      </c>
      <c r="L57" s="466">
        <f>SUM(L4:L55)</f>
        <v>0</v>
      </c>
      <c r="M57" s="246">
        <f>AVERAGE(M4:M56)</f>
        <v>0</v>
      </c>
      <c r="N57" s="242">
        <f>SUM(N4:N55)</f>
        <v>0</v>
      </c>
      <c r="O57" s="245">
        <f>SUM(O4:O56)</f>
        <v>0</v>
      </c>
      <c r="P57" s="245">
        <f>SUM(P4:P56)</f>
        <v>0</v>
      </c>
      <c r="Q57" s="292" t="e">
        <f>(F57-H57)/F57</f>
        <v>#DIV/0!</v>
      </c>
      <c r="R57" s="861" t="e">
        <f>($G57)/(($L57/60)*AC$3*(1/24))</f>
        <v>#DIV/0!</v>
      </c>
      <c r="S57" s="556" t="e">
        <f>(G57)*24/((K57)/60)/$AC$3</f>
        <v>#DIV/0!</v>
      </c>
      <c r="T57" s="559" t="e">
        <f>(0-((N57)-0))/0</f>
        <v>#DIV/0!</v>
      </c>
      <c r="U57" s="1198"/>
      <c r="V57" s="1198"/>
      <c r="W57" s="1198"/>
      <c r="X57" s="1198"/>
      <c r="Y57" s="1198"/>
      <c r="Z57" s="1198"/>
      <c r="AA57" s="1199"/>
    </row>
    <row r="58" spans="1:29" s="801" customFormat="1" ht="65.099999999999994" customHeight="1" thickTop="1" x14ac:dyDescent="0.2">
      <c r="B58" s="802" t="s">
        <v>861</v>
      </c>
      <c r="C58" s="803"/>
      <c r="D58" s="804"/>
      <c r="E58" s="805"/>
      <c r="F58" s="806"/>
      <c r="G58" s="804"/>
      <c r="H58" s="806"/>
      <c r="I58" s="807"/>
      <c r="J58" s="807">
        <v>350</v>
      </c>
      <c r="K58" s="804"/>
      <c r="L58" s="804"/>
      <c r="M58" s="808"/>
      <c r="N58" s="804"/>
      <c r="O58" s="809"/>
      <c r="P58" s="810"/>
      <c r="Q58" s="811">
        <v>1.7999999999999999E-2</v>
      </c>
      <c r="R58" s="812">
        <v>0.56000000000000005</v>
      </c>
      <c r="S58" s="812">
        <v>0.66</v>
      </c>
      <c r="T58" s="813">
        <v>0.8</v>
      </c>
      <c r="U58" s="803"/>
      <c r="V58" s="803"/>
      <c r="W58" s="803"/>
      <c r="X58" s="803"/>
      <c r="Y58" s="803"/>
      <c r="Z58" s="803"/>
      <c r="AA58" s="803"/>
    </row>
    <row r="59" spans="1:29" s="271" customFormat="1" ht="20.25" x14ac:dyDescent="0.3">
      <c r="B59" s="609"/>
      <c r="C59" s="609"/>
      <c r="D59" s="610"/>
      <c r="E59" s="611"/>
      <c r="F59" s="612"/>
      <c r="G59" s="610"/>
      <c r="H59" s="612"/>
      <c r="I59" s="613"/>
      <c r="J59" s="613"/>
      <c r="K59" s="610"/>
      <c r="L59" s="610"/>
      <c r="M59" s="614"/>
      <c r="N59" s="610"/>
      <c r="O59" s="615"/>
      <c r="P59" s="613"/>
      <c r="Q59" s="814"/>
      <c r="R59" s="607"/>
      <c r="S59" s="607"/>
      <c r="T59" s="617"/>
      <c r="U59" s="270"/>
      <c r="V59" s="270"/>
      <c r="W59" s="270"/>
      <c r="X59" s="270"/>
      <c r="Y59" s="270"/>
      <c r="Z59" s="270"/>
      <c r="AA59" s="270"/>
    </row>
    <row r="60" spans="1:29" s="484" customFormat="1" ht="20.25" hidden="1" x14ac:dyDescent="0.3">
      <c r="B60" s="467"/>
      <c r="C60" s="485"/>
      <c r="D60" s="486"/>
      <c r="E60" s="487"/>
      <c r="F60" s="488"/>
      <c r="G60" s="467"/>
      <c r="H60" s="467"/>
      <c r="I60" s="467"/>
      <c r="J60" s="271"/>
      <c r="K60" s="271"/>
      <c r="L60" s="271"/>
      <c r="M60" s="271"/>
      <c r="N60" s="271"/>
      <c r="O60" s="468"/>
      <c r="P60" s="467"/>
      <c r="Q60" s="685"/>
      <c r="R60" s="271"/>
      <c r="S60" s="271"/>
      <c r="T60" s="685"/>
      <c r="U60" s="271"/>
      <c r="V60" s="270"/>
      <c r="W60" s="270"/>
      <c r="X60" s="270"/>
      <c r="Y60" s="270"/>
      <c r="Z60" s="270"/>
      <c r="AA60" s="270"/>
      <c r="AB60" s="467"/>
      <c r="AC60" s="467"/>
    </row>
    <row r="61" spans="1:29" s="467" customFormat="1" ht="60.75" hidden="1" thickBot="1" x14ac:dyDescent="0.35">
      <c r="C61" s="587" t="s">
        <v>375</v>
      </c>
      <c r="D61" s="588" t="s">
        <v>376</v>
      </c>
      <c r="E61" s="588" t="s">
        <v>377</v>
      </c>
      <c r="F61" s="589" t="s">
        <v>378</v>
      </c>
      <c r="J61" s="271"/>
      <c r="K61" s="271"/>
      <c r="L61" s="271"/>
      <c r="M61" s="271"/>
      <c r="N61" s="271"/>
      <c r="O61" s="563"/>
      <c r="Q61" s="685"/>
      <c r="R61" s="271"/>
      <c r="S61" s="271"/>
      <c r="T61" s="685"/>
    </row>
    <row r="62" spans="1:29" s="467" customFormat="1" ht="33" hidden="1" customHeight="1" x14ac:dyDescent="0.4">
      <c r="C62" s="516" t="s">
        <v>370</v>
      </c>
      <c r="D62" s="603"/>
      <c r="E62" s="536"/>
      <c r="F62" s="592"/>
      <c r="J62" s="567"/>
      <c r="K62" s="271"/>
      <c r="L62" s="271"/>
      <c r="M62" s="271"/>
      <c r="N62" s="271"/>
      <c r="O62" s="468"/>
      <c r="Q62" s="685"/>
      <c r="R62" s="271"/>
      <c r="S62" s="271"/>
      <c r="T62" s="685"/>
    </row>
    <row r="63" spans="1:29" s="467" customFormat="1" ht="33" hidden="1" customHeight="1" x14ac:dyDescent="0.4">
      <c r="C63" s="517" t="s">
        <v>371</v>
      </c>
      <c r="D63" s="603"/>
      <c r="E63" s="536"/>
      <c r="F63" s="593"/>
      <c r="J63" s="567"/>
      <c r="K63" s="271"/>
      <c r="L63" s="271"/>
      <c r="M63" s="271"/>
      <c r="N63" s="271"/>
      <c r="O63" s="468"/>
      <c r="Q63" s="685"/>
      <c r="R63" s="271"/>
      <c r="S63" s="271"/>
      <c r="T63" s="685"/>
    </row>
    <row r="64" spans="1:29" s="467" customFormat="1" ht="33" hidden="1" customHeight="1" x14ac:dyDescent="0.4">
      <c r="C64" s="518" t="s">
        <v>372</v>
      </c>
      <c r="D64" s="603"/>
      <c r="E64" s="536"/>
      <c r="F64" s="593"/>
      <c r="J64" s="567"/>
      <c r="K64" s="271"/>
      <c r="L64" s="271"/>
      <c r="M64" s="271"/>
      <c r="N64" s="271"/>
      <c r="O64" s="468"/>
      <c r="Q64" s="685"/>
      <c r="R64" s="271"/>
      <c r="S64" s="271"/>
      <c r="T64" s="685"/>
    </row>
    <row r="65" spans="2:26" s="467" customFormat="1" ht="33" hidden="1" customHeight="1" x14ac:dyDescent="0.4">
      <c r="C65" s="517" t="s">
        <v>373</v>
      </c>
      <c r="D65" s="520"/>
      <c r="E65" s="536"/>
      <c r="F65" s="593"/>
      <c r="J65" s="567"/>
      <c r="K65" s="271"/>
      <c r="L65" s="271"/>
      <c r="M65" s="271"/>
      <c r="N65" s="271"/>
      <c r="O65" s="468"/>
      <c r="Q65" s="685"/>
      <c r="R65" s="271"/>
      <c r="S65" s="271"/>
      <c r="T65" s="685"/>
    </row>
    <row r="66" spans="2:26" s="467" customFormat="1" ht="33" hidden="1" customHeight="1" x14ac:dyDescent="0.4">
      <c r="C66" s="518" t="s">
        <v>374</v>
      </c>
      <c r="D66" s="519"/>
      <c r="E66" s="536"/>
      <c r="F66" s="593"/>
      <c r="J66" s="567"/>
      <c r="K66" s="271"/>
      <c r="L66" s="271"/>
      <c r="M66" s="271"/>
      <c r="N66" s="271"/>
      <c r="O66" s="468"/>
      <c r="Q66" s="685"/>
      <c r="R66" s="271"/>
      <c r="S66" s="271"/>
      <c r="T66" s="685"/>
    </row>
    <row r="67" spans="2:26" s="467" customFormat="1" ht="33" hidden="1" customHeight="1" x14ac:dyDescent="0.4">
      <c r="C67" s="521" t="s">
        <v>850</v>
      </c>
      <c r="D67" s="585"/>
      <c r="E67" s="536"/>
      <c r="F67" s="593"/>
      <c r="J67" s="271"/>
      <c r="K67" s="271"/>
      <c r="L67" s="271"/>
      <c r="M67" s="271"/>
      <c r="N67" s="271"/>
      <c r="O67" s="468"/>
      <c r="Q67" s="685"/>
      <c r="R67" s="271"/>
      <c r="S67" s="271"/>
      <c r="T67" s="685"/>
    </row>
    <row r="68" spans="2:26" s="467" customFormat="1" ht="33" hidden="1" customHeight="1" x14ac:dyDescent="0.4">
      <c r="C68" s="518" t="s">
        <v>853</v>
      </c>
      <c r="D68" s="603"/>
      <c r="E68" s="536"/>
      <c r="F68" s="593"/>
      <c r="J68" s="271"/>
      <c r="K68" s="271"/>
      <c r="L68" s="271"/>
      <c r="M68" s="271"/>
      <c r="N68" s="271"/>
      <c r="O68" s="468"/>
      <c r="Q68" s="685"/>
      <c r="R68" s="271"/>
      <c r="S68" s="271"/>
      <c r="T68" s="685"/>
    </row>
    <row r="69" spans="2:26" s="467" customFormat="1" ht="33" hidden="1" customHeight="1" x14ac:dyDescent="0.4">
      <c r="C69" s="590" t="s">
        <v>854</v>
      </c>
      <c r="D69" s="603"/>
      <c r="E69" s="536"/>
      <c r="F69" s="594"/>
      <c r="J69" s="271"/>
      <c r="K69" s="271"/>
      <c r="L69" s="271"/>
      <c r="M69" s="271"/>
      <c r="N69" s="271"/>
      <c r="O69" s="271"/>
      <c r="P69" s="468"/>
      <c r="Q69" s="685"/>
      <c r="R69" s="271"/>
      <c r="S69" s="271"/>
      <c r="T69" s="685"/>
      <c r="U69" s="271"/>
    </row>
    <row r="70" spans="2:26" s="467" customFormat="1" ht="30.75" hidden="1" thickBot="1" x14ac:dyDescent="0.45">
      <c r="C70" s="590" t="s">
        <v>855</v>
      </c>
      <c r="D70" s="591"/>
      <c r="E70" s="536"/>
      <c r="F70" s="594"/>
      <c r="J70" s="271"/>
      <c r="K70" s="271"/>
      <c r="L70" s="271"/>
      <c r="M70" s="271"/>
      <c r="N70" s="271"/>
      <c r="O70" s="271"/>
      <c r="P70" s="468"/>
      <c r="Q70" s="685"/>
      <c r="R70" s="271"/>
      <c r="S70" s="271"/>
      <c r="T70" s="685"/>
      <c r="U70" s="271"/>
    </row>
    <row r="71" spans="2:26" s="1" customFormat="1" ht="31.5" hidden="1" thickTop="1" thickBot="1" x14ac:dyDescent="0.45">
      <c r="C71" s="522" t="s">
        <v>379</v>
      </c>
      <c r="D71" s="523"/>
      <c r="E71" s="557"/>
      <c r="F71" s="595"/>
      <c r="G71" s="467"/>
      <c r="H71" s="467"/>
      <c r="J71" s="581"/>
      <c r="K71"/>
      <c r="L71"/>
      <c r="M71"/>
      <c r="N71"/>
      <c r="O71" s="392"/>
      <c r="P71" s="2"/>
      <c r="Q71" s="686"/>
      <c r="R71"/>
      <c r="S71"/>
      <c r="T71" s="686"/>
      <c r="U71"/>
    </row>
    <row r="72" spans="2:26" s="1" customFormat="1" ht="23.25" x14ac:dyDescent="0.3">
      <c r="G72" s="470"/>
      <c r="H72" s="467"/>
      <c r="J72"/>
      <c r="K72"/>
      <c r="L72"/>
      <c r="M72"/>
      <c r="N72"/>
      <c r="O72" s="392"/>
      <c r="P72" s="2"/>
      <c r="Q72" s="686"/>
      <c r="R72"/>
      <c r="S72"/>
      <c r="T72" s="686"/>
      <c r="U72"/>
    </row>
    <row r="73" spans="2:26" s="478" customFormat="1" ht="41.25" customHeight="1" x14ac:dyDescent="0.35">
      <c r="B73" s="489"/>
      <c r="C73" s="469" t="s">
        <v>849</v>
      </c>
      <c r="D73" s="819">
        <v>152650</v>
      </c>
      <c r="E73" s="1197" t="s">
        <v>743</v>
      </c>
      <c r="F73" s="1197"/>
      <c r="G73" s="470">
        <f>D73-G57</f>
        <v>152650</v>
      </c>
      <c r="H73" s="469" t="s">
        <v>327</v>
      </c>
      <c r="I73" s="679">
        <f>G57/D73</f>
        <v>0</v>
      </c>
      <c r="J73" s="472">
        <v>0</v>
      </c>
      <c r="K73" s="473"/>
      <c r="L73" s="473"/>
      <c r="M73" s="473"/>
      <c r="N73" s="473"/>
      <c r="O73" s="473"/>
      <c r="P73" s="490"/>
      <c r="Q73" s="491"/>
      <c r="R73" s="492"/>
      <c r="S73" s="493"/>
      <c r="T73" s="493"/>
      <c r="U73" s="494" t="s">
        <v>48</v>
      </c>
    </row>
    <row r="74" spans="2:26" s="478" customFormat="1" ht="23.25" x14ac:dyDescent="0.35">
      <c r="B74" s="489"/>
      <c r="C74" s="469" t="s">
        <v>37</v>
      </c>
      <c r="D74" s="470">
        <f>October_26!D78+D73</f>
        <v>1255314</v>
      </c>
      <c r="E74" s="1010" t="s">
        <v>36</v>
      </c>
      <c r="F74" s="1010"/>
      <c r="G74" s="470">
        <f>October_26!G78+G57</f>
        <v>1009764</v>
      </c>
      <c r="H74" s="815" t="s">
        <v>326</v>
      </c>
      <c r="I74" s="816">
        <v>0</v>
      </c>
      <c r="J74" s="472"/>
      <c r="K74" s="473">
        <v>0</v>
      </c>
      <c r="L74" s="473"/>
      <c r="M74" s="473"/>
      <c r="N74" s="473"/>
      <c r="O74" s="473"/>
      <c r="P74" s="490"/>
      <c r="Q74" s="491"/>
      <c r="R74" s="492"/>
      <c r="S74" s="493"/>
      <c r="T74" s="493"/>
      <c r="U74" s="494"/>
    </row>
    <row r="75" spans="2:26" ht="24" thickBot="1" x14ac:dyDescent="0.4">
      <c r="C75" s="475"/>
      <c r="D75" s="470"/>
      <c r="E75" s="1010"/>
      <c r="F75" s="1010"/>
      <c r="G75" s="470"/>
      <c r="H75" s="476"/>
      <c r="I75" s="680"/>
      <c r="J75" s="477"/>
      <c r="K75" s="478"/>
      <c r="P75"/>
      <c r="U75" s="17"/>
    </row>
    <row r="76" spans="2:26" ht="129" thickTop="1" thickBot="1" x14ac:dyDescent="0.45">
      <c r="B76" s="7"/>
      <c r="C76" s="495" t="s">
        <v>19</v>
      </c>
      <c r="D76" s="496" t="s">
        <v>14</v>
      </c>
      <c r="E76" s="496" t="s">
        <v>23</v>
      </c>
      <c r="F76" s="496" t="s">
        <v>24</v>
      </c>
      <c r="G76" s="497" t="s">
        <v>15</v>
      </c>
      <c r="H76" s="496" t="s">
        <v>17</v>
      </c>
      <c r="I76" s="496" t="s">
        <v>16</v>
      </c>
      <c r="J76" s="498" t="s">
        <v>600</v>
      </c>
      <c r="K76" s="499" t="s">
        <v>599</v>
      </c>
      <c r="L76" s="473"/>
      <c r="M76" s="535"/>
      <c r="P76" s="459"/>
      <c r="Q76" s="537" t="s">
        <v>325</v>
      </c>
      <c r="R76" s="538" t="s">
        <v>467</v>
      </c>
      <c r="S76" s="539" t="s">
        <v>324</v>
      </c>
      <c r="T76" s="524" t="s">
        <v>576</v>
      </c>
      <c r="V76" s="821" t="e">
        <f>AVERAGE(January_26!T103,February_26!T60,March_26!T58,April_26!T57,May_26!T59,'September_26 '!T59,October_26!T61,November_26!T57,W76,X76,Y76)</f>
        <v>#DIV/0!</v>
      </c>
      <c r="W76" s="821">
        <v>0.69199999999999995</v>
      </c>
      <c r="X76" s="821">
        <v>0.69199999999999995</v>
      </c>
      <c r="Y76" s="821">
        <v>0.69199999999999995</v>
      </c>
    </row>
    <row r="77" spans="2:26" ht="36" customHeight="1" thickBot="1" x14ac:dyDescent="0.45">
      <c r="B77" s="8"/>
      <c r="C77" s="500">
        <v>1</v>
      </c>
      <c r="D77" s="501" t="s">
        <v>20</v>
      </c>
      <c r="E77" s="502"/>
      <c r="F77" s="502"/>
      <c r="G77" s="502"/>
      <c r="H77" s="502"/>
      <c r="I77" s="681" t="e">
        <f>(G77-H77)/G77</f>
        <v>#DIV/0!</v>
      </c>
      <c r="J77" s="543" t="e">
        <f t="shared" ref="J77:J83" si="1">(E77)*24/(F77/60)/17000</f>
        <v>#DIV/0!</v>
      </c>
      <c r="K77" s="544" t="e">
        <f>AVERAGE(January_26!K111,February_26!J68,March_26!J66,April_26!J67,May_26!J68,June_26!J61,July_26!J82,,August_26!J76,J77)</f>
        <v>#DIV/0!</v>
      </c>
      <c r="L77" s="473"/>
      <c r="P77"/>
      <c r="Q77" s="540">
        <f>S90</f>
        <v>1.8939536839923013E-2</v>
      </c>
      <c r="R77" s="558" t="e">
        <f>(((January_26!R103*January_26!G103))+(February_26!R60*(February_26!G60))+(March_26!R58*(March_26!G58))+(April_26!R57*(April_26!$G$57))+(May_26!R59*(May_26!G59))+(June_26!R52*(June_26!G52))+(July_26!R61*(July_26!G61))+(August_26!R56*(August_26!G56))+('September_26 '!R59*('September_26 '!G59))+(October_26!R61*(October_26!G61))+(R57*(G57)))/G74</f>
        <v>#DIV/0!</v>
      </c>
      <c r="S77" s="541">
        <f>S89</f>
        <v>0.5124618083725887</v>
      </c>
      <c r="T77" s="542" t="e">
        <f>AVERAGE(January_26!T103,February_26!T60,March_26!T58,April_26!T57,May_26!T59,June_26!T52,July_26!T61,August_26!T56,'September_26 '!T59,October_26!T61,T57)</f>
        <v>#DIV/0!</v>
      </c>
    </row>
    <row r="78" spans="2:26" s="1" customFormat="1" ht="27.75" x14ac:dyDescent="0.4">
      <c r="B78" s="8"/>
      <c r="C78" s="505">
        <v>2</v>
      </c>
      <c r="D78" s="506" t="s">
        <v>21</v>
      </c>
      <c r="E78" s="502"/>
      <c r="F78" s="502"/>
      <c r="G78" s="502"/>
      <c r="H78" s="502"/>
      <c r="I78" s="681" t="e">
        <f t="shared" ref="I78:I83" si="2">(G78-H78)/G78</f>
        <v>#DIV/0!</v>
      </c>
      <c r="J78" s="543" t="e">
        <f t="shared" si="1"/>
        <v>#DIV/0!</v>
      </c>
      <c r="K78" s="544" t="e">
        <f>AVERAGE(January_26!K112,February_26!J69,March_26!J67,April_26!J68,May_26!J69,June_26!J62,July_26!J83,,August_26!J77,J78)</f>
        <v>#DIV/0!</v>
      </c>
      <c r="L78" s="473"/>
      <c r="M78"/>
      <c r="N78" s="461"/>
      <c r="O78" s="392"/>
      <c r="P78" s="2"/>
      <c r="Q78" s="686"/>
      <c r="R78"/>
      <c r="S78"/>
      <c r="T78" s="686"/>
      <c r="U78"/>
      <c r="Z78"/>
    </row>
    <row r="79" spans="2:26" s="1" customFormat="1" ht="27.75" x14ac:dyDescent="0.4">
      <c r="B79" s="8"/>
      <c r="C79" s="500">
        <v>3</v>
      </c>
      <c r="D79" s="506" t="s">
        <v>846</v>
      </c>
      <c r="E79" s="502"/>
      <c r="F79" s="502"/>
      <c r="G79" s="502"/>
      <c r="H79" s="502"/>
      <c r="I79" s="681" t="e">
        <f t="shared" si="2"/>
        <v>#DIV/0!</v>
      </c>
      <c r="J79" s="543" t="e">
        <f t="shared" si="1"/>
        <v>#DIV/0!</v>
      </c>
      <c r="K79" s="544" t="e">
        <f>AVERAGE(January_26!K113,February_26!J70,March_26!J68,April_26!J69,May_26!J70,June_26!J63,July_26!J84,,August_26!J78,J79)</f>
        <v>#DIV/0!</v>
      </c>
      <c r="L79" s="473"/>
      <c r="M79"/>
      <c r="N79"/>
      <c r="O79" s="392"/>
      <c r="P79" s="2"/>
      <c r="Q79" s="686"/>
      <c r="R79"/>
      <c r="S79"/>
      <c r="T79" s="686"/>
      <c r="U79"/>
      <c r="Z79"/>
    </row>
    <row r="80" spans="2:26" s="1" customFormat="1" ht="27.75" x14ac:dyDescent="0.4">
      <c r="B80" s="8"/>
      <c r="C80" s="505">
        <v>4</v>
      </c>
      <c r="D80" s="506" t="s">
        <v>18</v>
      </c>
      <c r="E80" s="510"/>
      <c r="F80" s="510"/>
      <c r="G80" s="510"/>
      <c r="H80" s="510"/>
      <c r="I80" s="681" t="e">
        <f t="shared" si="2"/>
        <v>#DIV/0!</v>
      </c>
      <c r="J80" s="543" t="e">
        <f t="shared" si="1"/>
        <v>#DIV/0!</v>
      </c>
      <c r="K80" s="544" t="e">
        <f>AVERAGE(January_26!K114,February_26!J71,March_26!J69,April_26!J70,May_26!J71,June_26!J64,July_26!J85,,August_26!J79,J80)</f>
        <v>#DIV/0!</v>
      </c>
      <c r="L80" s="473"/>
      <c r="M80"/>
      <c r="N80"/>
      <c r="O80" s="392"/>
      <c r="P80" s="2"/>
      <c r="Q80" s="687"/>
      <c r="R80" s="160"/>
      <c r="S80" s="161"/>
      <c r="T80" s="691"/>
      <c r="U80"/>
    </row>
    <row r="81" spans="2:25" s="1" customFormat="1" ht="27.75" x14ac:dyDescent="0.4">
      <c r="B81" s="8"/>
      <c r="C81" s="500">
        <v>5</v>
      </c>
      <c r="D81" s="509" t="s">
        <v>26</v>
      </c>
      <c r="E81" s="510"/>
      <c r="F81" s="510"/>
      <c r="G81" s="510"/>
      <c r="H81" s="510"/>
      <c r="I81" s="681" t="e">
        <f t="shared" si="2"/>
        <v>#DIV/0!</v>
      </c>
      <c r="J81" s="543" t="e">
        <f t="shared" si="1"/>
        <v>#DIV/0!</v>
      </c>
      <c r="K81" s="544" t="e">
        <f>AVERAGE(January_26!K115,February_26!J72,March_26!J70,April_26!J71,May_26!J72,June_26!J65,July_26!J86,,August_26!J80,J81)</f>
        <v>#DIV/0!</v>
      </c>
      <c r="L81" s="473"/>
      <c r="M81"/>
      <c r="O81" s="392"/>
      <c r="P81" s="2"/>
      <c r="Q81" s="687"/>
      <c r="R81"/>
      <c r="S81" s="6"/>
      <c r="T81" s="692"/>
      <c r="U81"/>
    </row>
    <row r="82" spans="2:25" s="1" customFormat="1" ht="27.75" x14ac:dyDescent="0.4">
      <c r="B82" s="8"/>
      <c r="C82" s="505">
        <v>6</v>
      </c>
      <c r="D82" s="506" t="s">
        <v>25</v>
      </c>
      <c r="E82" s="510"/>
      <c r="F82" s="510"/>
      <c r="G82" s="510"/>
      <c r="H82" s="510"/>
      <c r="I82" s="681" t="e">
        <f t="shared" si="2"/>
        <v>#DIV/0!</v>
      </c>
      <c r="J82" s="543" t="e">
        <f t="shared" si="1"/>
        <v>#DIV/0!</v>
      </c>
      <c r="K82" s="544" t="e">
        <f>AVERAGE(January_26!K116,February_26!J73,March_26!J71,April_26!J72,May_26!J73,June_26!J66,July_26!J87,,August_26!J81,J82)</f>
        <v>#DIV/0!</v>
      </c>
      <c r="L82" s="473"/>
      <c r="M82"/>
      <c r="N82"/>
      <c r="O82" s="392"/>
      <c r="P82" s="2"/>
      <c r="Q82" s="687"/>
      <c r="R82" s="465"/>
      <c r="S82" s="139"/>
      <c r="T82" s="686"/>
      <c r="U82"/>
    </row>
    <row r="83" spans="2:25" s="1" customFormat="1" ht="28.5" thickBot="1" x14ac:dyDescent="0.45">
      <c r="B83" s="8"/>
      <c r="C83" s="526">
        <v>7</v>
      </c>
      <c r="D83" s="509" t="s">
        <v>847</v>
      </c>
      <c r="E83" s="510"/>
      <c r="F83" s="510"/>
      <c r="G83" s="510"/>
      <c r="H83" s="510"/>
      <c r="I83" s="681" t="e">
        <f t="shared" si="2"/>
        <v>#DIV/0!</v>
      </c>
      <c r="J83" s="543" t="e">
        <f t="shared" si="1"/>
        <v>#DIV/0!</v>
      </c>
      <c r="K83" s="544" t="e">
        <f>AVERAGE(January_26!K117,February_26!J74,March_26!J72,April_26!J73,May_26!J74,June_26!J67,July_26!J88,,August_26!J82,J83)</f>
        <v>#DIV/0!</v>
      </c>
      <c r="L83" s="473"/>
      <c r="M83"/>
      <c r="N83"/>
      <c r="O83" s="392"/>
      <c r="P83" s="2"/>
      <c r="Q83" s="687"/>
      <c r="R83" s="465"/>
      <c r="S83" s="139"/>
      <c r="T83" s="686"/>
      <c r="U83"/>
    </row>
    <row r="84" spans="2:25" s="1" customFormat="1" ht="28.5" thickBot="1" x14ac:dyDescent="0.45">
      <c r="C84" s="511"/>
      <c r="D84" s="512" t="s">
        <v>22</v>
      </c>
      <c r="E84" s="626">
        <f>SUM(E77:E83)</f>
        <v>0</v>
      </c>
      <c r="F84" s="626">
        <f>SUM(F77:F83)</f>
        <v>0</v>
      </c>
      <c r="G84" s="626">
        <f>SUM(G77:G83)</f>
        <v>0</v>
      </c>
      <c r="H84" s="626">
        <f>SUM(H77:H83)</f>
        <v>0</v>
      </c>
      <c r="I84" s="682" t="e">
        <f>((G84)-(H84))/(G84)</f>
        <v>#DIV/0!</v>
      </c>
      <c r="J84" s="636" t="e">
        <f>E84*24/((F84)/60)/17000</f>
        <v>#DIV/0!</v>
      </c>
      <c r="K84" s="637">
        <f>S77</f>
        <v>0.5124618083725887</v>
      </c>
      <c r="L84" s="473"/>
      <c r="M84"/>
      <c r="N84"/>
      <c r="O84" s="392"/>
      <c r="P84" s="139" t="s">
        <v>845</v>
      </c>
      <c r="Q84" s="687"/>
      <c r="R84"/>
      <c r="S84" s="465"/>
      <c r="T84" s="686"/>
      <c r="U84"/>
    </row>
    <row r="85" spans="2:25" s="1" customFormat="1" ht="24" thickTop="1" x14ac:dyDescent="0.35">
      <c r="C85" s="479"/>
      <c r="D85" s="469"/>
      <c r="E85" s="480"/>
      <c r="F85" s="481"/>
      <c r="G85" s="482"/>
      <c r="H85" s="482"/>
      <c r="I85" s="683"/>
      <c r="J85" s="483"/>
      <c r="K85" s="483"/>
      <c r="L85" s="473"/>
      <c r="M85"/>
      <c r="N85"/>
      <c r="O85" s="392"/>
      <c r="P85" s="139"/>
      <c r="Q85" s="687"/>
      <c r="R85"/>
      <c r="S85"/>
      <c r="T85" s="686"/>
      <c r="U85"/>
      <c r="V85" s="316"/>
      <c r="W85" s="317"/>
      <c r="X85" s="317"/>
      <c r="Y85" s="317"/>
    </row>
    <row r="86" spans="2:25" s="1" customFormat="1" ht="18" x14ac:dyDescent="0.25">
      <c r="C86" s="311"/>
      <c r="D86" s="153"/>
      <c r="E86" s="312"/>
      <c r="F86" s="313"/>
      <c r="G86" s="314"/>
      <c r="H86" s="314"/>
      <c r="I86" s="684"/>
      <c r="J86" s="315"/>
      <c r="K86" s="315"/>
      <c r="L86" s="315"/>
      <c r="M86"/>
      <c r="N86"/>
      <c r="O86" s="392"/>
      <c r="P86" s="139"/>
      <c r="Q86" s="687"/>
      <c r="R86"/>
      <c r="S86"/>
      <c r="T86" s="686"/>
      <c r="U86"/>
      <c r="V86" s="316"/>
      <c r="W86" s="317"/>
      <c r="X86" s="317"/>
      <c r="Y86" s="317"/>
    </row>
    <row r="87" spans="2:25" s="1" customFormat="1" ht="12.75" customHeight="1" thickBot="1" x14ac:dyDescent="0.25">
      <c r="J87"/>
      <c r="K87"/>
      <c r="L87"/>
      <c r="M87"/>
      <c r="N87"/>
      <c r="O87" s="392"/>
      <c r="P87" s="2"/>
      <c r="Q87" s="686"/>
      <c r="T87" s="686"/>
      <c r="U87" s="9"/>
    </row>
    <row r="88" spans="2:25" s="1" customFormat="1" ht="27.75" customHeight="1" thickBot="1" x14ac:dyDescent="0.3">
      <c r="C88" s="528"/>
      <c r="D88" s="528"/>
      <c r="E88" s="528"/>
      <c r="F88" s="528"/>
      <c r="G88" s="528"/>
      <c r="H88" s="528"/>
      <c r="I88" s="528"/>
      <c r="J88" s="529"/>
      <c r="K88" s="529"/>
      <c r="L88" s="529"/>
      <c r="M88" s="529"/>
      <c r="N88" s="529"/>
      <c r="O88" s="570"/>
      <c r="P88" s="571"/>
      <c r="Q88" s="688"/>
      <c r="R88" s="573"/>
      <c r="S88" s="574">
        <f>($P$89)*24/($Q$89/60)/17000</f>
        <v>0.5124618083725887</v>
      </c>
      <c r="T88" s="693"/>
      <c r="U88" s="9"/>
    </row>
    <row r="89" spans="2:25" s="1" customFormat="1" ht="21" customHeight="1" thickTop="1" thickBot="1" x14ac:dyDescent="0.3">
      <c r="C89" s="528"/>
      <c r="D89" s="528"/>
      <c r="E89" s="528"/>
      <c r="F89" s="528"/>
      <c r="G89" s="528"/>
      <c r="H89" s="528"/>
      <c r="I89" s="528"/>
      <c r="J89" s="529"/>
      <c r="K89" s="529"/>
      <c r="L89" s="529"/>
      <c r="M89" s="529"/>
      <c r="N89" s="529"/>
      <c r="O89" s="570"/>
      <c r="P89" s="571">
        <f>G74</f>
        <v>1009764</v>
      </c>
      <c r="Q89" s="689">
        <f>October_26!K61+'September_26 '!K59+August_26!K56+July_26!K61+June_26!K52+May_26!K59+April_26!K57+March_26!K58+February_26!K60+January_26!K103+K57</f>
        <v>166906</v>
      </c>
      <c r="R89" s="573"/>
      <c r="S89" s="574">
        <f>($P$89)*24/($Q$89/60)/17000</f>
        <v>0.5124618083725887</v>
      </c>
      <c r="T89" s="693"/>
      <c r="U89" s="9"/>
    </row>
    <row r="90" spans="2:25" s="1" customFormat="1" ht="21" customHeight="1" thickTop="1" thickBot="1" x14ac:dyDescent="0.35">
      <c r="C90" s="528"/>
      <c r="D90" s="528"/>
      <c r="E90" s="528"/>
      <c r="F90" s="528"/>
      <c r="G90" s="528"/>
      <c r="H90" s="528"/>
      <c r="I90" s="528"/>
      <c r="J90" s="529"/>
      <c r="K90" s="529"/>
      <c r="L90" s="529"/>
      <c r="M90" s="529"/>
      <c r="N90" s="529"/>
      <c r="O90" s="570"/>
      <c r="P90" s="571">
        <f>October_26!F61+'September_26 '!F59+August_26!F56+July_26!F61+June_26!F52+May_26!F59+April_26!F57+March_26!F58+February_26!F60+January_26!F103+F57</f>
        <v>68381.959440000006</v>
      </c>
      <c r="Q90" s="690">
        <f>October_26!H61+'September_26 '!H59+August_26!H56+July_26!H61+June_26!H52+May_26!H59+April_26!H57+March_26!H58+February_26!H60+January_26!H103+H57</f>
        <v>67086.836800000005</v>
      </c>
      <c r="R90" s="573"/>
      <c r="S90" s="578">
        <f>(P90-Q90)/P90</f>
        <v>1.8939536839923013E-2</v>
      </c>
      <c r="T90" s="694"/>
      <c r="U90" s="9"/>
    </row>
    <row r="91" spans="2:25" s="1" customFormat="1" ht="13.5" customHeight="1" thickTop="1" x14ac:dyDescent="0.25">
      <c r="C91" s="528"/>
      <c r="D91" s="528"/>
      <c r="E91" s="528"/>
      <c r="F91" s="528"/>
      <c r="G91" s="528"/>
      <c r="H91" s="528"/>
      <c r="I91" s="528"/>
      <c r="J91" s="529"/>
      <c r="K91" s="529"/>
      <c r="L91" s="529"/>
      <c r="M91" s="529"/>
      <c r="N91" s="529"/>
      <c r="O91" s="570"/>
      <c r="P91" s="571"/>
      <c r="Q91" s="688"/>
      <c r="R91" s="573"/>
      <c r="S91" s="573"/>
      <c r="T91" s="693"/>
      <c r="U91" s="9"/>
    </row>
    <row r="92" spans="2:25" s="1" customFormat="1" x14ac:dyDescent="0.2">
      <c r="J92"/>
      <c r="K92"/>
      <c r="L92"/>
      <c r="M92"/>
      <c r="N92"/>
      <c r="O92" s="392"/>
      <c r="P92" s="2"/>
      <c r="Q92" s="686"/>
      <c r="R92"/>
      <c r="S92"/>
      <c r="T92" s="686"/>
      <c r="U92"/>
    </row>
    <row r="93" spans="2:25" s="1" customFormat="1" x14ac:dyDescent="0.2">
      <c r="J93"/>
      <c r="K93"/>
      <c r="L93"/>
      <c r="M93"/>
      <c r="N93"/>
      <c r="O93" s="392"/>
      <c r="P93" s="2"/>
      <c r="Q93" s="686"/>
      <c r="R93"/>
      <c r="S93"/>
      <c r="T93" s="686"/>
      <c r="U93"/>
    </row>
    <row r="94" spans="2:25" s="1" customFormat="1" x14ac:dyDescent="0.2">
      <c r="J94"/>
      <c r="K94"/>
      <c r="L94"/>
      <c r="M94"/>
      <c r="N94"/>
      <c r="O94" s="392"/>
      <c r="P94" s="2"/>
      <c r="Q94" s="686"/>
      <c r="R94"/>
      <c r="S94"/>
      <c r="T94" s="686"/>
      <c r="U94"/>
    </row>
    <row r="95" spans="2:25" s="1" customFormat="1" x14ac:dyDescent="0.2">
      <c r="J95"/>
      <c r="K95"/>
      <c r="L95"/>
      <c r="M95"/>
      <c r="N95"/>
      <c r="O95" s="392"/>
      <c r="P95" s="2"/>
      <c r="Q95" s="686"/>
      <c r="R95"/>
      <c r="S95"/>
      <c r="T95" s="686"/>
      <c r="U95"/>
    </row>
    <row r="96" spans="2:25" s="1" customFormat="1" x14ac:dyDescent="0.2">
      <c r="J96"/>
      <c r="K96"/>
      <c r="L96"/>
      <c r="M96"/>
      <c r="N96"/>
      <c r="O96" s="392"/>
      <c r="P96" s="2"/>
      <c r="Q96" s="686"/>
      <c r="R96"/>
      <c r="S96"/>
      <c r="T96" s="686"/>
      <c r="U96"/>
    </row>
    <row r="97" spans="10:21" s="1" customFormat="1" x14ac:dyDescent="0.2">
      <c r="J97"/>
      <c r="K97"/>
      <c r="L97"/>
      <c r="M97"/>
      <c r="N97"/>
      <c r="O97" s="392"/>
      <c r="P97" s="2"/>
      <c r="Q97" s="686"/>
      <c r="R97"/>
      <c r="S97"/>
      <c r="T97" s="686"/>
      <c r="U97"/>
    </row>
    <row r="98" spans="10:21" s="1" customFormat="1" x14ac:dyDescent="0.2">
      <c r="J98"/>
      <c r="K98"/>
      <c r="L98"/>
      <c r="M98"/>
      <c r="N98"/>
      <c r="O98" s="392"/>
      <c r="P98" s="2"/>
      <c r="Q98" s="686"/>
      <c r="R98"/>
      <c r="S98"/>
      <c r="T98" s="686"/>
      <c r="U98"/>
    </row>
    <row r="99" spans="10:21" s="1" customFormat="1" x14ac:dyDescent="0.2">
      <c r="J99"/>
      <c r="K99"/>
      <c r="L99"/>
      <c r="M99"/>
      <c r="N99"/>
      <c r="O99" s="392"/>
      <c r="P99" s="2"/>
      <c r="Q99" s="686"/>
      <c r="R99"/>
      <c r="S99"/>
      <c r="T99" s="686"/>
      <c r="U99"/>
    </row>
    <row r="100" spans="10:21" s="1" customFormat="1" x14ac:dyDescent="0.2">
      <c r="J100"/>
      <c r="K100"/>
      <c r="L100"/>
      <c r="M100"/>
      <c r="N100"/>
      <c r="O100" s="392"/>
      <c r="P100" s="2"/>
      <c r="Q100" s="686"/>
      <c r="R100"/>
      <c r="S100"/>
      <c r="T100" s="686"/>
      <c r="U100"/>
    </row>
    <row r="101" spans="10:21" s="1" customFormat="1" x14ac:dyDescent="0.2">
      <c r="J101"/>
      <c r="K101"/>
      <c r="L101"/>
      <c r="M101"/>
      <c r="N101"/>
      <c r="O101" s="392"/>
      <c r="P101" s="2"/>
      <c r="Q101" s="686"/>
      <c r="R101"/>
      <c r="S101"/>
      <c r="T101" s="686"/>
      <c r="U101"/>
    </row>
    <row r="102" spans="10:21" s="1" customFormat="1" x14ac:dyDescent="0.2">
      <c r="J102"/>
      <c r="K102"/>
      <c r="L102"/>
      <c r="M102"/>
      <c r="N102"/>
      <c r="O102" s="392"/>
      <c r="P102" s="2"/>
      <c r="Q102" s="686"/>
      <c r="R102"/>
      <c r="S102"/>
      <c r="T102" s="686"/>
      <c r="U102"/>
    </row>
    <row r="103" spans="10:21" s="1" customFormat="1" x14ac:dyDescent="0.2">
      <c r="J103"/>
      <c r="K103"/>
      <c r="L103"/>
      <c r="M103"/>
      <c r="N103"/>
      <c r="O103" s="392"/>
      <c r="P103" s="2"/>
      <c r="Q103" s="686"/>
      <c r="R103"/>
      <c r="S103"/>
      <c r="T103" s="686"/>
      <c r="U103"/>
    </row>
    <row r="104" spans="10:21" s="1" customFormat="1" x14ac:dyDescent="0.2">
      <c r="J104"/>
      <c r="K104"/>
      <c r="L104"/>
      <c r="M104"/>
      <c r="N104"/>
      <c r="O104" s="392"/>
      <c r="P104" s="2"/>
      <c r="Q104" s="686"/>
      <c r="R104"/>
      <c r="S104"/>
      <c r="T104" s="686"/>
      <c r="U104"/>
    </row>
    <row r="105" spans="10:21" s="1" customFormat="1" x14ac:dyDescent="0.2">
      <c r="J105"/>
      <c r="K105"/>
      <c r="L105"/>
      <c r="M105"/>
      <c r="N105"/>
      <c r="O105" s="392"/>
      <c r="P105" s="2"/>
      <c r="Q105" s="686"/>
      <c r="R105"/>
      <c r="S105"/>
      <c r="T105" s="686"/>
      <c r="U105"/>
    </row>
    <row r="106" spans="10:21" s="1" customFormat="1" x14ac:dyDescent="0.2">
      <c r="J106"/>
      <c r="K106"/>
      <c r="L106"/>
      <c r="M106"/>
      <c r="N106"/>
      <c r="O106" s="392"/>
      <c r="P106" s="2"/>
      <c r="Q106" s="686"/>
      <c r="R106"/>
      <c r="S106"/>
      <c r="T106" s="686"/>
      <c r="U106"/>
    </row>
    <row r="107" spans="10:21" s="1" customFormat="1" x14ac:dyDescent="0.2">
      <c r="J107"/>
      <c r="K107"/>
      <c r="L107"/>
      <c r="M107"/>
      <c r="N107"/>
      <c r="O107" s="392"/>
      <c r="P107" s="2"/>
      <c r="Q107" s="686"/>
      <c r="R107"/>
      <c r="S107"/>
      <c r="T107" s="686"/>
      <c r="U107"/>
    </row>
    <row r="108" spans="10:21" s="1" customFormat="1" x14ac:dyDescent="0.2">
      <c r="J108"/>
      <c r="K108"/>
      <c r="L108"/>
      <c r="M108"/>
      <c r="N108"/>
      <c r="O108" s="392"/>
      <c r="P108" s="2"/>
      <c r="Q108" s="686"/>
      <c r="R108"/>
      <c r="S108"/>
      <c r="T108" s="686"/>
      <c r="U108"/>
    </row>
    <row r="109" spans="10:21" s="1" customFormat="1" x14ac:dyDescent="0.2">
      <c r="J109"/>
      <c r="K109"/>
      <c r="L109"/>
      <c r="M109"/>
      <c r="N109"/>
      <c r="O109" s="392"/>
      <c r="P109" s="2"/>
      <c r="Q109" s="686"/>
      <c r="R109"/>
      <c r="S109"/>
      <c r="T109" s="686"/>
      <c r="U109"/>
    </row>
    <row r="110" spans="10:21" s="1" customFormat="1" x14ac:dyDescent="0.2">
      <c r="J110"/>
      <c r="K110"/>
      <c r="L110"/>
      <c r="M110"/>
      <c r="N110"/>
      <c r="O110" s="392"/>
      <c r="P110" s="2"/>
      <c r="Q110" s="686"/>
      <c r="R110"/>
      <c r="S110"/>
      <c r="T110" s="686"/>
      <c r="U110"/>
    </row>
    <row r="111" spans="10:21" s="1" customFormat="1" x14ac:dyDescent="0.2">
      <c r="J111"/>
      <c r="K111"/>
      <c r="L111"/>
      <c r="M111"/>
      <c r="N111"/>
      <c r="O111" s="392"/>
      <c r="P111" s="2"/>
      <c r="Q111" s="686"/>
      <c r="R111"/>
      <c r="S111"/>
      <c r="T111" s="686"/>
      <c r="U111"/>
    </row>
    <row r="112" spans="10:21" s="1" customFormat="1" x14ac:dyDescent="0.2">
      <c r="J112"/>
      <c r="K112"/>
      <c r="L112"/>
      <c r="M112"/>
      <c r="N112"/>
      <c r="O112" s="392"/>
      <c r="P112" s="2"/>
      <c r="Q112" s="686"/>
      <c r="R112"/>
      <c r="S112"/>
      <c r="T112" s="686"/>
      <c r="U112"/>
    </row>
    <row r="113" spans="10:21" s="1" customFormat="1" x14ac:dyDescent="0.2">
      <c r="J113"/>
      <c r="K113"/>
      <c r="L113"/>
      <c r="M113"/>
      <c r="N113"/>
      <c r="O113" s="392"/>
      <c r="P113" s="2"/>
      <c r="Q113" s="686"/>
      <c r="R113"/>
      <c r="S113"/>
      <c r="T113" s="686"/>
      <c r="U113"/>
    </row>
    <row r="114" spans="10:21" s="1" customFormat="1" x14ac:dyDescent="0.2">
      <c r="J114"/>
      <c r="K114"/>
      <c r="L114"/>
      <c r="M114"/>
      <c r="N114"/>
      <c r="O114" s="392"/>
      <c r="P114" s="2"/>
      <c r="Q114" s="686"/>
      <c r="R114"/>
      <c r="S114"/>
      <c r="T114" s="686"/>
      <c r="U114"/>
    </row>
    <row r="115" spans="10:21" s="1" customFormat="1" x14ac:dyDescent="0.2">
      <c r="J115"/>
      <c r="K115"/>
      <c r="L115"/>
      <c r="M115"/>
      <c r="N115"/>
      <c r="O115" s="392"/>
      <c r="P115" s="2"/>
      <c r="Q115" s="686"/>
      <c r="R115"/>
      <c r="S115"/>
      <c r="T115" s="686"/>
      <c r="U115"/>
    </row>
    <row r="116" spans="10:21" s="1" customFormat="1" x14ac:dyDescent="0.2">
      <c r="J116"/>
      <c r="K116"/>
      <c r="L116"/>
      <c r="M116"/>
      <c r="N116"/>
      <c r="O116" s="392"/>
      <c r="P116" s="2"/>
      <c r="Q116" s="686"/>
      <c r="R116"/>
      <c r="S116"/>
      <c r="T116" s="686"/>
      <c r="U116"/>
    </row>
    <row r="117" spans="10:21" s="1" customFormat="1" x14ac:dyDescent="0.2">
      <c r="J117"/>
      <c r="K117"/>
      <c r="L117"/>
      <c r="M117"/>
      <c r="N117"/>
      <c r="O117" s="392"/>
      <c r="P117" s="2"/>
      <c r="Q117" s="686"/>
      <c r="R117"/>
      <c r="S117"/>
      <c r="T117" s="686"/>
      <c r="U117"/>
    </row>
    <row r="118" spans="10:21" s="1" customFormat="1" x14ac:dyDescent="0.2">
      <c r="J118"/>
      <c r="K118"/>
      <c r="L118"/>
      <c r="M118"/>
      <c r="N118"/>
      <c r="O118" s="392"/>
      <c r="P118" s="2"/>
      <c r="Q118" s="686"/>
      <c r="R118"/>
      <c r="S118"/>
      <c r="T118" s="686"/>
      <c r="U118"/>
    </row>
    <row r="119" spans="10:21" s="1" customFormat="1" x14ac:dyDescent="0.2">
      <c r="J119"/>
      <c r="K119"/>
      <c r="L119"/>
      <c r="M119"/>
      <c r="N119"/>
      <c r="O119" s="392"/>
      <c r="P119" s="2"/>
      <c r="Q119" s="686"/>
      <c r="R119"/>
      <c r="S119"/>
      <c r="T119" s="686"/>
      <c r="U119"/>
    </row>
    <row r="120" spans="10:21" s="1" customFormat="1" ht="13.5" thickBot="1" x14ac:dyDescent="0.25">
      <c r="J120"/>
      <c r="K120"/>
      <c r="L120"/>
      <c r="M120"/>
      <c r="N120"/>
      <c r="O120" s="392"/>
      <c r="P120" s="2"/>
      <c r="Q120" s="686"/>
      <c r="R120"/>
      <c r="S120"/>
      <c r="T120" s="686"/>
      <c r="U120"/>
    </row>
    <row r="121" spans="10:21" s="1" customFormat="1" ht="12.75" customHeight="1" x14ac:dyDescent="0.2">
      <c r="J121"/>
      <c r="K121"/>
      <c r="L121"/>
      <c r="M121"/>
      <c r="N121"/>
      <c r="O121" s="392"/>
      <c r="P121" s="2"/>
      <c r="Q121" s="686"/>
      <c r="R121"/>
      <c r="S121" s="995"/>
      <c r="T121" s="686"/>
      <c r="U121"/>
    </row>
    <row r="122" spans="10:21" s="1" customFormat="1" ht="12.75" customHeight="1" x14ac:dyDescent="0.2">
      <c r="J122"/>
      <c r="K122"/>
      <c r="L122"/>
      <c r="M122"/>
      <c r="N122"/>
      <c r="O122" s="392"/>
      <c r="P122" s="2"/>
      <c r="Q122" s="686"/>
      <c r="R122"/>
      <c r="S122" s="996"/>
      <c r="T122" s="686"/>
      <c r="U122"/>
    </row>
    <row r="123" spans="10:21" s="1" customFormat="1" ht="13.5" customHeight="1" thickBot="1" x14ac:dyDescent="0.25">
      <c r="J123"/>
      <c r="K123"/>
      <c r="L123"/>
      <c r="M123"/>
      <c r="N123"/>
      <c r="O123" s="392"/>
      <c r="P123" s="2"/>
      <c r="Q123" s="686"/>
      <c r="R123"/>
      <c r="S123" s="1020"/>
      <c r="T123" s="686"/>
      <c r="U123"/>
    </row>
    <row r="124" spans="10:21" s="1" customFormat="1" x14ac:dyDescent="0.2">
      <c r="J124"/>
      <c r="K124"/>
      <c r="L124"/>
      <c r="M124"/>
      <c r="N124"/>
      <c r="O124" s="392"/>
      <c r="P124" s="2"/>
      <c r="Q124" s="686"/>
      <c r="R124"/>
      <c r="S124"/>
      <c r="T124" s="686"/>
      <c r="U124"/>
    </row>
    <row r="125" spans="10:21" s="1" customFormat="1" x14ac:dyDescent="0.2">
      <c r="J125"/>
      <c r="K125"/>
      <c r="L125"/>
      <c r="M125"/>
      <c r="N125"/>
      <c r="O125" s="392"/>
      <c r="P125" s="2"/>
      <c r="Q125" s="686"/>
      <c r="R125"/>
      <c r="S125"/>
      <c r="T125" s="686"/>
      <c r="U125"/>
    </row>
    <row r="126" spans="10:21" s="1" customFormat="1" x14ac:dyDescent="0.2">
      <c r="J126"/>
      <c r="K126"/>
      <c r="L126"/>
      <c r="M126"/>
      <c r="N126"/>
      <c r="O126" s="392"/>
      <c r="P126" s="2"/>
      <c r="Q126" s="686"/>
      <c r="R126"/>
      <c r="S126"/>
      <c r="T126" s="686"/>
      <c r="U126"/>
    </row>
    <row r="127" spans="10:21" s="1" customFormat="1" x14ac:dyDescent="0.2">
      <c r="J127"/>
      <c r="K127"/>
      <c r="L127"/>
      <c r="M127"/>
      <c r="N127"/>
      <c r="O127" s="392"/>
      <c r="P127" s="2"/>
      <c r="Q127" s="686"/>
      <c r="R127"/>
      <c r="S127"/>
      <c r="T127" s="686"/>
      <c r="U127"/>
    </row>
    <row r="128" spans="10:21" s="1" customFormat="1" x14ac:dyDescent="0.2">
      <c r="J128"/>
      <c r="K128"/>
      <c r="L128"/>
      <c r="M128"/>
      <c r="N128"/>
      <c r="O128" s="392"/>
      <c r="P128" s="2"/>
      <c r="Q128" s="686"/>
      <c r="R128"/>
      <c r="S128"/>
      <c r="T128" s="686"/>
      <c r="U128"/>
    </row>
    <row r="129" spans="10:21" s="1" customFormat="1" x14ac:dyDescent="0.2">
      <c r="J129"/>
      <c r="K129"/>
      <c r="L129"/>
      <c r="M129"/>
      <c r="N129"/>
      <c r="O129" s="392"/>
      <c r="P129" s="2"/>
      <c r="Q129" s="686"/>
      <c r="R129"/>
      <c r="S129"/>
      <c r="T129" s="686"/>
      <c r="U129"/>
    </row>
    <row r="130" spans="10:21" s="1" customFormat="1" x14ac:dyDescent="0.2">
      <c r="J130"/>
      <c r="K130"/>
      <c r="L130"/>
      <c r="M130"/>
      <c r="N130"/>
      <c r="O130" s="392"/>
      <c r="P130" s="2"/>
      <c r="Q130" s="686"/>
      <c r="R130"/>
      <c r="S130"/>
      <c r="T130" s="686"/>
      <c r="U130"/>
    </row>
    <row r="131" spans="10:21" s="1" customFormat="1" x14ac:dyDescent="0.2">
      <c r="J131"/>
      <c r="K131"/>
      <c r="L131"/>
      <c r="M131"/>
      <c r="N131"/>
      <c r="O131" s="392"/>
      <c r="P131" s="2"/>
      <c r="Q131" s="686"/>
      <c r="R131"/>
      <c r="S131"/>
      <c r="T131" s="686"/>
      <c r="U131"/>
    </row>
    <row r="132" spans="10:21" s="1" customFormat="1" x14ac:dyDescent="0.2">
      <c r="J132"/>
      <c r="K132"/>
      <c r="L132"/>
      <c r="M132"/>
      <c r="N132"/>
      <c r="O132" s="392"/>
      <c r="P132" s="2"/>
      <c r="Q132" s="686"/>
      <c r="R132"/>
      <c r="S132"/>
      <c r="T132" s="686"/>
      <c r="U132"/>
    </row>
    <row r="133" spans="10:21" s="1" customFormat="1" x14ac:dyDescent="0.2">
      <c r="J133"/>
      <c r="K133"/>
      <c r="L133"/>
      <c r="M133"/>
      <c r="N133"/>
      <c r="O133" s="392"/>
      <c r="P133" s="2"/>
      <c r="Q133" s="686"/>
      <c r="R133"/>
      <c r="S133"/>
      <c r="T133" s="686"/>
      <c r="U133"/>
    </row>
    <row r="134" spans="10:21" s="1" customFormat="1" x14ac:dyDescent="0.2">
      <c r="J134"/>
      <c r="K134"/>
      <c r="L134"/>
      <c r="M134"/>
      <c r="N134"/>
      <c r="O134" s="392"/>
      <c r="P134" s="2"/>
      <c r="Q134" s="686"/>
      <c r="R134"/>
      <c r="S134"/>
      <c r="T134" s="686"/>
      <c r="U134"/>
    </row>
    <row r="135" spans="10:21" s="1" customFormat="1" x14ac:dyDescent="0.2">
      <c r="J135"/>
      <c r="K135"/>
      <c r="L135"/>
      <c r="M135"/>
      <c r="N135"/>
      <c r="O135" s="392"/>
      <c r="P135" s="2"/>
      <c r="Q135" s="686"/>
      <c r="R135"/>
      <c r="S135"/>
      <c r="T135" s="686"/>
      <c r="U135"/>
    </row>
    <row r="136" spans="10:21" s="1" customFormat="1" x14ac:dyDescent="0.2">
      <c r="J136"/>
      <c r="K136"/>
      <c r="L136"/>
      <c r="M136"/>
      <c r="N136"/>
      <c r="O136" s="392"/>
      <c r="P136" s="2"/>
      <c r="Q136" s="686"/>
      <c r="R136"/>
      <c r="S136"/>
      <c r="T136" s="686"/>
      <c r="U136"/>
    </row>
    <row r="137" spans="10:21" s="1" customFormat="1" x14ac:dyDescent="0.2">
      <c r="J137"/>
      <c r="K137"/>
      <c r="L137"/>
      <c r="M137"/>
      <c r="N137"/>
      <c r="O137" s="392"/>
      <c r="P137" s="2"/>
      <c r="Q137" s="686"/>
      <c r="R137"/>
      <c r="S137"/>
      <c r="T137" s="686"/>
      <c r="U137"/>
    </row>
    <row r="138" spans="10:21" s="1" customFormat="1" x14ac:dyDescent="0.2">
      <c r="J138"/>
      <c r="K138"/>
      <c r="L138"/>
      <c r="M138"/>
      <c r="N138"/>
      <c r="O138" s="392"/>
      <c r="P138" s="2"/>
      <c r="Q138" s="686"/>
      <c r="R138"/>
      <c r="S138"/>
      <c r="T138" s="686"/>
      <c r="U138"/>
    </row>
    <row r="139" spans="10:21" s="1" customFormat="1" x14ac:dyDescent="0.2">
      <c r="J139"/>
      <c r="K139"/>
      <c r="L139"/>
      <c r="M139"/>
      <c r="N139"/>
      <c r="O139" s="392"/>
      <c r="P139" s="2"/>
      <c r="Q139" s="686"/>
      <c r="R139"/>
      <c r="S139"/>
      <c r="T139" s="686"/>
      <c r="U139"/>
    </row>
    <row r="140" spans="10:21" s="1" customFormat="1" x14ac:dyDescent="0.2">
      <c r="J140"/>
      <c r="K140"/>
      <c r="L140"/>
      <c r="M140"/>
      <c r="N140"/>
      <c r="O140" s="392"/>
      <c r="P140" s="2"/>
      <c r="Q140" s="686"/>
      <c r="R140"/>
      <c r="S140"/>
      <c r="T140" s="686"/>
      <c r="U140"/>
    </row>
    <row r="141" spans="10:21" s="1" customFormat="1" x14ac:dyDescent="0.2">
      <c r="J141"/>
      <c r="K141"/>
      <c r="L141"/>
      <c r="M141"/>
      <c r="N141"/>
      <c r="O141" s="392"/>
      <c r="P141" s="2"/>
      <c r="Q141" s="686"/>
      <c r="R141"/>
      <c r="S141"/>
      <c r="T141" s="686"/>
      <c r="U141"/>
    </row>
    <row r="142" spans="10:21" s="1" customFormat="1" x14ac:dyDescent="0.2">
      <c r="J142"/>
      <c r="K142"/>
      <c r="L142"/>
      <c r="M142"/>
      <c r="N142"/>
      <c r="O142" s="392"/>
      <c r="P142" s="2"/>
      <c r="Q142" s="686"/>
      <c r="R142"/>
      <c r="S142"/>
      <c r="T142" s="686"/>
      <c r="U142"/>
    </row>
    <row r="143" spans="10:21" s="1" customFormat="1" x14ac:dyDescent="0.2">
      <c r="J143"/>
      <c r="K143"/>
      <c r="L143"/>
      <c r="M143"/>
      <c r="N143"/>
      <c r="O143" s="392"/>
      <c r="P143" s="2"/>
      <c r="Q143" s="686"/>
      <c r="R143"/>
      <c r="S143"/>
      <c r="T143" s="686"/>
      <c r="U143"/>
    </row>
    <row r="144" spans="10:21" s="1" customFormat="1" x14ac:dyDescent="0.2">
      <c r="J144"/>
      <c r="K144"/>
      <c r="L144"/>
      <c r="M144"/>
      <c r="N144"/>
      <c r="O144" s="392"/>
      <c r="P144" s="2"/>
      <c r="Q144" s="686"/>
      <c r="R144"/>
      <c r="S144"/>
      <c r="T144" s="686"/>
      <c r="U144"/>
    </row>
    <row r="145" spans="10:21" s="1" customFormat="1" x14ac:dyDescent="0.2">
      <c r="J145"/>
      <c r="K145"/>
      <c r="L145"/>
      <c r="M145"/>
      <c r="N145"/>
      <c r="O145" s="392"/>
      <c r="P145" s="2"/>
      <c r="Q145" s="686"/>
      <c r="R145"/>
      <c r="S145"/>
      <c r="T145" s="686"/>
      <c r="U145"/>
    </row>
    <row r="146" spans="10:21" s="1" customFormat="1" x14ac:dyDescent="0.2">
      <c r="J146"/>
      <c r="K146"/>
      <c r="L146"/>
      <c r="M146"/>
      <c r="N146"/>
      <c r="O146" s="392"/>
      <c r="P146" s="2"/>
      <c r="Q146" s="686"/>
      <c r="R146"/>
      <c r="S146"/>
      <c r="T146" s="686"/>
      <c r="U146"/>
    </row>
    <row r="147" spans="10:21" s="1" customFormat="1" x14ac:dyDescent="0.2">
      <c r="J147"/>
      <c r="K147"/>
      <c r="L147"/>
      <c r="M147"/>
      <c r="N147"/>
      <c r="O147" s="392"/>
      <c r="P147" s="2"/>
      <c r="Q147" s="686"/>
      <c r="R147"/>
      <c r="S147"/>
      <c r="T147" s="686"/>
      <c r="U147"/>
    </row>
    <row r="148" spans="10:21" s="1" customFormat="1" x14ac:dyDescent="0.2">
      <c r="J148"/>
      <c r="K148"/>
      <c r="L148"/>
      <c r="M148"/>
      <c r="N148"/>
      <c r="O148" s="392"/>
      <c r="P148" s="2"/>
      <c r="Q148" s="686"/>
      <c r="R148"/>
      <c r="S148"/>
      <c r="T148" s="686"/>
      <c r="U148"/>
    </row>
    <row r="149" spans="10:21" s="1" customFormat="1" x14ac:dyDescent="0.2">
      <c r="J149"/>
      <c r="K149"/>
      <c r="L149"/>
      <c r="M149"/>
      <c r="N149"/>
      <c r="O149" s="392"/>
      <c r="P149" s="2"/>
      <c r="Q149" s="686"/>
      <c r="R149"/>
      <c r="S149"/>
      <c r="T149" s="686"/>
      <c r="U149"/>
    </row>
    <row r="150" spans="10:21" s="1" customFormat="1" x14ac:dyDescent="0.2">
      <c r="J150"/>
      <c r="K150"/>
      <c r="L150"/>
      <c r="M150"/>
      <c r="N150"/>
      <c r="O150" s="392"/>
      <c r="P150" s="2"/>
      <c r="Q150" s="686"/>
      <c r="R150"/>
      <c r="S150"/>
      <c r="T150" s="686"/>
      <c r="U150"/>
    </row>
    <row r="151" spans="10:21" s="1" customFormat="1" x14ac:dyDescent="0.2">
      <c r="J151"/>
      <c r="K151"/>
      <c r="L151"/>
      <c r="M151"/>
      <c r="N151"/>
      <c r="O151" s="392"/>
      <c r="P151" s="2"/>
      <c r="Q151" s="686"/>
      <c r="R151"/>
      <c r="S151"/>
      <c r="T151" s="686"/>
      <c r="U151"/>
    </row>
    <row r="152" spans="10:21" s="1" customFormat="1" x14ac:dyDescent="0.2">
      <c r="J152"/>
      <c r="K152"/>
      <c r="L152"/>
      <c r="M152"/>
      <c r="N152"/>
      <c r="O152" s="392"/>
      <c r="P152" s="2"/>
      <c r="Q152" s="686"/>
      <c r="R152"/>
      <c r="S152"/>
      <c r="T152" s="686"/>
      <c r="U152"/>
    </row>
    <row r="153" spans="10:21" s="1" customFormat="1" x14ac:dyDescent="0.2">
      <c r="J153"/>
      <c r="K153"/>
      <c r="L153"/>
      <c r="M153"/>
      <c r="N153"/>
      <c r="O153" s="392"/>
      <c r="P153" s="2"/>
      <c r="Q153" s="686"/>
      <c r="R153"/>
      <c r="S153"/>
      <c r="T153" s="686"/>
      <c r="U153"/>
    </row>
    <row r="154" spans="10:21" s="1" customFormat="1" x14ac:dyDescent="0.2">
      <c r="J154"/>
      <c r="K154"/>
      <c r="L154"/>
      <c r="M154"/>
      <c r="N154"/>
      <c r="O154" s="392"/>
      <c r="P154" s="2"/>
      <c r="Q154" s="686"/>
      <c r="R154"/>
      <c r="S154"/>
      <c r="T154" s="686"/>
      <c r="U154"/>
    </row>
    <row r="155" spans="10:21" s="1" customFormat="1" x14ac:dyDescent="0.2">
      <c r="J155"/>
      <c r="K155"/>
      <c r="L155"/>
      <c r="M155"/>
      <c r="N155"/>
      <c r="O155" s="392"/>
      <c r="P155" s="2"/>
      <c r="Q155" s="686"/>
      <c r="R155"/>
      <c r="S155"/>
      <c r="T155" s="686"/>
      <c r="U155"/>
    </row>
    <row r="156" spans="10:21" s="1" customFormat="1" x14ac:dyDescent="0.2">
      <c r="J156"/>
      <c r="K156"/>
      <c r="L156"/>
      <c r="M156"/>
      <c r="N156"/>
      <c r="O156" s="392"/>
      <c r="P156" s="2"/>
      <c r="Q156" s="686"/>
      <c r="R156"/>
      <c r="S156"/>
      <c r="T156" s="686"/>
      <c r="U156"/>
    </row>
    <row r="157" spans="10:21" s="1" customFormat="1" x14ac:dyDescent="0.2">
      <c r="J157"/>
      <c r="K157"/>
      <c r="L157"/>
      <c r="M157"/>
      <c r="N157"/>
      <c r="O157" s="392"/>
      <c r="P157" s="2"/>
      <c r="Q157" s="686"/>
      <c r="R157"/>
      <c r="S157"/>
      <c r="T157" s="686"/>
      <c r="U157"/>
    </row>
    <row r="158" spans="10:21" s="1" customFormat="1" x14ac:dyDescent="0.2">
      <c r="J158"/>
      <c r="K158"/>
      <c r="L158"/>
      <c r="M158"/>
      <c r="N158"/>
      <c r="O158" s="392"/>
      <c r="P158" s="2"/>
      <c r="Q158" s="686"/>
      <c r="R158"/>
      <c r="S158"/>
      <c r="T158" s="686"/>
      <c r="U158"/>
    </row>
    <row r="159" spans="10:21" s="1" customFormat="1" x14ac:dyDescent="0.2">
      <c r="J159"/>
      <c r="K159"/>
      <c r="L159"/>
      <c r="M159"/>
      <c r="N159"/>
      <c r="O159" s="392"/>
      <c r="P159" s="2"/>
      <c r="Q159" s="686"/>
      <c r="R159"/>
      <c r="S159"/>
      <c r="T159" s="686"/>
      <c r="U159"/>
    </row>
    <row r="160" spans="10:21" s="1" customFormat="1" x14ac:dyDescent="0.2">
      <c r="J160"/>
      <c r="K160"/>
      <c r="L160"/>
      <c r="M160"/>
      <c r="N160"/>
      <c r="O160" s="392"/>
      <c r="P160" s="2"/>
      <c r="Q160" s="686"/>
      <c r="R160"/>
      <c r="S160"/>
      <c r="T160" s="686"/>
      <c r="U160"/>
    </row>
    <row r="161" spans="10:21" s="1" customFormat="1" x14ac:dyDescent="0.2">
      <c r="J161"/>
      <c r="K161"/>
      <c r="L161"/>
      <c r="M161"/>
      <c r="N161"/>
      <c r="O161" s="392"/>
      <c r="P161" s="2"/>
      <c r="Q161" s="686"/>
      <c r="R161"/>
      <c r="S161"/>
      <c r="T161" s="686"/>
      <c r="U161"/>
    </row>
    <row r="162" spans="10:21" s="1" customFormat="1" x14ac:dyDescent="0.2">
      <c r="J162"/>
      <c r="K162"/>
      <c r="L162"/>
      <c r="M162"/>
      <c r="N162"/>
      <c r="O162" s="392"/>
      <c r="P162" s="2"/>
      <c r="Q162" s="686"/>
      <c r="R162"/>
      <c r="S162"/>
      <c r="T162" s="686"/>
      <c r="U162"/>
    </row>
    <row r="163" spans="10:21" s="1" customFormat="1" x14ac:dyDescent="0.2">
      <c r="J163"/>
      <c r="K163"/>
      <c r="L163"/>
      <c r="M163"/>
      <c r="N163"/>
      <c r="O163" s="392"/>
      <c r="P163" s="2"/>
      <c r="Q163" s="686"/>
      <c r="R163"/>
      <c r="S163"/>
      <c r="T163" s="686"/>
      <c r="U163"/>
    </row>
    <row r="164" spans="10:21" s="1" customFormat="1" x14ac:dyDescent="0.2">
      <c r="J164"/>
      <c r="K164"/>
      <c r="L164"/>
      <c r="M164"/>
      <c r="N164"/>
      <c r="O164" s="392"/>
      <c r="P164" s="2"/>
      <c r="Q164" s="686"/>
      <c r="R164"/>
      <c r="S164"/>
      <c r="T164" s="686"/>
      <c r="U164"/>
    </row>
    <row r="165" spans="10:21" s="1" customFormat="1" x14ac:dyDescent="0.2">
      <c r="J165"/>
      <c r="K165"/>
      <c r="L165"/>
      <c r="M165"/>
      <c r="N165"/>
      <c r="O165" s="392"/>
      <c r="P165" s="2"/>
      <c r="Q165" s="686"/>
      <c r="R165"/>
      <c r="S165"/>
      <c r="T165" s="686"/>
      <c r="U165"/>
    </row>
    <row r="166" spans="10:21" s="1" customFormat="1" x14ac:dyDescent="0.2">
      <c r="J166"/>
      <c r="K166"/>
      <c r="L166"/>
      <c r="M166"/>
      <c r="N166"/>
      <c r="O166" s="392"/>
      <c r="P166" s="2"/>
      <c r="Q166" s="686"/>
      <c r="R166"/>
      <c r="S166"/>
      <c r="T166" s="686"/>
      <c r="U166"/>
    </row>
    <row r="167" spans="10:21" s="1" customFormat="1" x14ac:dyDescent="0.2">
      <c r="J167"/>
      <c r="K167"/>
      <c r="L167"/>
      <c r="M167"/>
      <c r="N167"/>
      <c r="O167" s="392"/>
      <c r="P167" s="2"/>
      <c r="Q167" s="686"/>
      <c r="R167"/>
      <c r="S167"/>
      <c r="T167" s="686"/>
      <c r="U167"/>
    </row>
    <row r="168" spans="10:21" s="1" customFormat="1" x14ac:dyDescent="0.2">
      <c r="J168"/>
      <c r="K168"/>
      <c r="L168"/>
      <c r="M168"/>
      <c r="N168"/>
      <c r="O168" s="392"/>
      <c r="P168" s="2"/>
      <c r="Q168" s="686"/>
      <c r="R168"/>
      <c r="S168"/>
      <c r="T168" s="686"/>
      <c r="U168"/>
    </row>
    <row r="169" spans="10:21" s="1" customFormat="1" x14ac:dyDescent="0.2">
      <c r="J169"/>
      <c r="K169"/>
      <c r="L169"/>
      <c r="M169"/>
      <c r="N169"/>
      <c r="O169" s="392"/>
      <c r="P169" s="2"/>
      <c r="Q169" s="686"/>
      <c r="R169"/>
      <c r="S169"/>
      <c r="T169" s="686"/>
      <c r="U169"/>
    </row>
    <row r="170" spans="10:21" s="1" customFormat="1" x14ac:dyDescent="0.2">
      <c r="J170"/>
      <c r="K170"/>
      <c r="L170"/>
      <c r="M170"/>
      <c r="N170"/>
      <c r="O170" s="392"/>
      <c r="P170" s="2"/>
      <c r="Q170" s="686"/>
      <c r="R170"/>
      <c r="S170"/>
      <c r="T170" s="686"/>
      <c r="U170"/>
    </row>
    <row r="171" spans="10:21" s="1" customFormat="1" x14ac:dyDescent="0.2">
      <c r="J171"/>
      <c r="K171"/>
      <c r="L171"/>
      <c r="M171"/>
      <c r="N171"/>
      <c r="O171" s="392"/>
      <c r="P171" s="2"/>
      <c r="Q171" s="686"/>
      <c r="R171"/>
      <c r="S171"/>
      <c r="T171" s="686"/>
      <c r="U171"/>
    </row>
    <row r="172" spans="10:21" s="1" customFormat="1" x14ac:dyDescent="0.2">
      <c r="J172"/>
      <c r="K172"/>
      <c r="L172"/>
      <c r="M172"/>
      <c r="N172"/>
      <c r="O172" s="392"/>
      <c r="P172" s="2"/>
      <c r="Q172" s="686"/>
      <c r="R172"/>
      <c r="S172"/>
      <c r="T172" s="686"/>
      <c r="U172"/>
    </row>
    <row r="173" spans="10:21" s="1" customFormat="1" x14ac:dyDescent="0.2">
      <c r="J173"/>
      <c r="K173"/>
      <c r="L173"/>
      <c r="M173"/>
      <c r="N173"/>
      <c r="O173" s="392"/>
      <c r="P173" s="2"/>
      <c r="Q173" s="686"/>
      <c r="R173"/>
      <c r="S173"/>
      <c r="T173" s="686"/>
      <c r="U173"/>
    </row>
    <row r="174" spans="10:21" s="1" customFormat="1" x14ac:dyDescent="0.2">
      <c r="J174"/>
      <c r="K174"/>
      <c r="L174"/>
      <c r="M174"/>
      <c r="N174"/>
      <c r="O174" s="392"/>
      <c r="P174" s="2"/>
      <c r="Q174" s="686"/>
      <c r="R174"/>
      <c r="S174"/>
      <c r="T174" s="686"/>
      <c r="U174"/>
    </row>
    <row r="175" spans="10:21" s="1" customFormat="1" x14ac:dyDescent="0.2">
      <c r="J175"/>
      <c r="K175"/>
      <c r="L175"/>
      <c r="M175"/>
      <c r="N175"/>
      <c r="O175" s="392"/>
      <c r="P175" s="2"/>
      <c r="Q175" s="686"/>
      <c r="R175"/>
      <c r="S175"/>
      <c r="T175" s="686"/>
      <c r="U175"/>
    </row>
    <row r="176" spans="10:21" s="1" customFormat="1" x14ac:dyDescent="0.2">
      <c r="J176"/>
      <c r="K176"/>
      <c r="L176"/>
      <c r="M176"/>
      <c r="N176"/>
      <c r="O176" s="392"/>
      <c r="P176" s="2"/>
      <c r="Q176" s="686"/>
      <c r="R176"/>
      <c r="S176"/>
      <c r="T176" s="686"/>
      <c r="U176"/>
    </row>
    <row r="177" spans="10:21" s="1" customFormat="1" x14ac:dyDescent="0.2">
      <c r="J177"/>
      <c r="K177"/>
      <c r="L177"/>
      <c r="M177"/>
      <c r="N177"/>
      <c r="O177" s="392"/>
      <c r="P177" s="2"/>
      <c r="Q177" s="686"/>
      <c r="R177"/>
      <c r="S177"/>
      <c r="T177" s="686"/>
      <c r="U177"/>
    </row>
    <row r="178" spans="10:21" s="1" customFormat="1" x14ac:dyDescent="0.2">
      <c r="J178"/>
      <c r="K178"/>
      <c r="L178"/>
      <c r="M178"/>
      <c r="N178"/>
      <c r="O178" s="392"/>
      <c r="P178" s="2"/>
      <c r="Q178" s="686"/>
      <c r="R178"/>
      <c r="S178"/>
      <c r="T178" s="686"/>
      <c r="U178"/>
    </row>
    <row r="179" spans="10:21" s="1" customFormat="1" x14ac:dyDescent="0.2">
      <c r="J179"/>
      <c r="K179"/>
      <c r="L179"/>
      <c r="M179"/>
      <c r="N179"/>
      <c r="O179" s="392"/>
      <c r="P179" s="2"/>
      <c r="Q179" s="686"/>
      <c r="R179"/>
      <c r="S179"/>
      <c r="T179" s="686"/>
      <c r="U179"/>
    </row>
    <row r="180" spans="10:21" s="1" customFormat="1" x14ac:dyDescent="0.2">
      <c r="J180"/>
      <c r="K180"/>
      <c r="L180"/>
      <c r="M180"/>
      <c r="N180"/>
      <c r="O180" s="392"/>
      <c r="P180" s="2"/>
      <c r="Q180" s="686"/>
      <c r="R180"/>
      <c r="S180"/>
      <c r="T180" s="686"/>
      <c r="U180"/>
    </row>
    <row r="181" spans="10:21" s="1" customFormat="1" x14ac:dyDescent="0.2">
      <c r="J181"/>
      <c r="K181"/>
      <c r="L181"/>
      <c r="M181"/>
      <c r="N181"/>
      <c r="O181" s="392"/>
      <c r="P181" s="2"/>
      <c r="Q181" s="686"/>
      <c r="R181"/>
      <c r="S181"/>
      <c r="T181" s="686"/>
      <c r="U181"/>
    </row>
    <row r="182" spans="10:21" s="1" customFormat="1" x14ac:dyDescent="0.2">
      <c r="J182"/>
      <c r="K182"/>
      <c r="L182"/>
      <c r="M182"/>
      <c r="N182"/>
      <c r="O182" s="392"/>
      <c r="P182" s="2"/>
      <c r="Q182" s="686"/>
      <c r="R182"/>
      <c r="S182"/>
      <c r="T182" s="686"/>
      <c r="U182"/>
    </row>
    <row r="183" spans="10:21" s="1" customFormat="1" x14ac:dyDescent="0.2">
      <c r="J183"/>
      <c r="K183"/>
      <c r="L183"/>
      <c r="M183"/>
      <c r="N183"/>
      <c r="O183" s="392"/>
      <c r="P183" s="2"/>
      <c r="Q183" s="686"/>
      <c r="R183"/>
      <c r="S183"/>
      <c r="T183" s="686"/>
      <c r="U183"/>
    </row>
    <row r="184" spans="10:21" s="1" customFormat="1" x14ac:dyDescent="0.2">
      <c r="J184"/>
      <c r="K184"/>
      <c r="L184"/>
      <c r="M184"/>
      <c r="N184"/>
      <c r="O184" s="392"/>
      <c r="P184" s="2"/>
      <c r="Q184" s="686"/>
      <c r="R184"/>
      <c r="S184"/>
      <c r="T184" s="686"/>
      <c r="U184"/>
    </row>
    <row r="185" spans="10:21" s="1" customFormat="1" x14ac:dyDescent="0.2">
      <c r="J185"/>
      <c r="K185"/>
      <c r="L185"/>
      <c r="M185"/>
      <c r="N185"/>
      <c r="O185" s="392"/>
      <c r="P185" s="2"/>
      <c r="Q185" s="686"/>
      <c r="R185"/>
      <c r="S185"/>
      <c r="T185" s="686"/>
      <c r="U185"/>
    </row>
    <row r="186" spans="10:21" s="1" customFormat="1" x14ac:dyDescent="0.2">
      <c r="J186"/>
      <c r="K186"/>
      <c r="L186"/>
      <c r="M186"/>
      <c r="N186"/>
      <c r="O186" s="392"/>
      <c r="P186" s="2"/>
      <c r="Q186" s="686"/>
      <c r="R186"/>
      <c r="S186"/>
      <c r="T186" s="686"/>
      <c r="U186"/>
    </row>
    <row r="187" spans="10:21" s="1" customFormat="1" x14ac:dyDescent="0.2">
      <c r="J187"/>
      <c r="K187"/>
      <c r="L187"/>
      <c r="M187"/>
      <c r="N187"/>
      <c r="O187" s="392"/>
      <c r="P187" s="2"/>
      <c r="Q187" s="686"/>
      <c r="R187"/>
      <c r="S187"/>
      <c r="T187" s="686"/>
      <c r="U187"/>
    </row>
    <row r="188" spans="10:21" s="1" customFormat="1" x14ac:dyDescent="0.2">
      <c r="J188"/>
      <c r="K188"/>
      <c r="L188"/>
      <c r="M188"/>
      <c r="N188"/>
      <c r="O188" s="392"/>
      <c r="P188" s="2"/>
      <c r="Q188" s="686"/>
      <c r="R188"/>
      <c r="S188"/>
      <c r="T188" s="686"/>
      <c r="U188"/>
    </row>
    <row r="189" spans="10:21" s="1" customFormat="1" x14ac:dyDescent="0.2">
      <c r="J189"/>
      <c r="K189"/>
      <c r="L189"/>
      <c r="M189"/>
      <c r="N189"/>
      <c r="O189" s="392"/>
      <c r="P189" s="2"/>
      <c r="Q189" s="686"/>
      <c r="R189"/>
      <c r="S189"/>
      <c r="T189" s="686"/>
      <c r="U189"/>
    </row>
    <row r="190" spans="10:21" s="1" customFormat="1" x14ac:dyDescent="0.2">
      <c r="J190"/>
      <c r="K190"/>
      <c r="L190"/>
      <c r="M190"/>
      <c r="N190"/>
      <c r="O190" s="392"/>
      <c r="P190" s="2"/>
      <c r="Q190" s="686"/>
      <c r="R190"/>
      <c r="S190"/>
      <c r="T190" s="686"/>
      <c r="U190"/>
    </row>
    <row r="191" spans="10:21" s="1" customFormat="1" x14ac:dyDescent="0.2">
      <c r="J191"/>
      <c r="K191"/>
      <c r="L191"/>
      <c r="M191"/>
      <c r="N191"/>
      <c r="O191" s="392"/>
      <c r="P191" s="2"/>
      <c r="Q191" s="686"/>
      <c r="R191"/>
      <c r="S191"/>
      <c r="T191" s="686"/>
      <c r="U191"/>
    </row>
    <row r="192" spans="10:21" s="1" customFormat="1" x14ac:dyDescent="0.2">
      <c r="J192"/>
      <c r="K192"/>
      <c r="L192"/>
      <c r="M192"/>
      <c r="N192"/>
      <c r="O192" s="392"/>
      <c r="P192" s="2"/>
      <c r="Q192" s="686"/>
      <c r="R192"/>
      <c r="S192"/>
      <c r="T192" s="686"/>
      <c r="U192"/>
    </row>
    <row r="193" spans="10:21" s="1" customFormat="1" x14ac:dyDescent="0.2">
      <c r="J193"/>
      <c r="K193"/>
      <c r="L193"/>
      <c r="M193"/>
      <c r="N193"/>
      <c r="O193" s="392"/>
      <c r="P193" s="2"/>
      <c r="Q193" s="686"/>
      <c r="R193"/>
      <c r="S193"/>
      <c r="T193" s="686"/>
      <c r="U193"/>
    </row>
    <row r="194" spans="10:21" s="1" customFormat="1" x14ac:dyDescent="0.2">
      <c r="J194"/>
      <c r="K194"/>
      <c r="L194"/>
      <c r="M194"/>
      <c r="N194"/>
      <c r="O194" s="392"/>
      <c r="P194" s="2"/>
      <c r="Q194" s="686"/>
      <c r="R194"/>
      <c r="S194"/>
      <c r="T194" s="686"/>
      <c r="U194"/>
    </row>
    <row r="195" spans="10:21" s="1" customFormat="1" x14ac:dyDescent="0.2">
      <c r="J195"/>
      <c r="K195"/>
      <c r="L195"/>
      <c r="M195"/>
      <c r="N195"/>
      <c r="O195" s="392"/>
      <c r="P195" s="2"/>
      <c r="Q195" s="686"/>
      <c r="R195"/>
      <c r="S195"/>
      <c r="T195" s="686"/>
      <c r="U195"/>
    </row>
    <row r="196" spans="10:21" s="1" customFormat="1" x14ac:dyDescent="0.2">
      <c r="J196"/>
      <c r="K196"/>
      <c r="L196"/>
      <c r="M196"/>
      <c r="N196"/>
      <c r="O196" s="392"/>
      <c r="P196" s="2"/>
      <c r="Q196" s="686"/>
      <c r="R196"/>
      <c r="S196"/>
      <c r="T196" s="686"/>
      <c r="U196"/>
    </row>
    <row r="197" spans="10:21" s="1" customFormat="1" x14ac:dyDescent="0.2">
      <c r="J197"/>
      <c r="K197"/>
      <c r="L197"/>
      <c r="M197"/>
      <c r="N197"/>
      <c r="O197" s="392"/>
      <c r="P197" s="2"/>
      <c r="Q197" s="686"/>
      <c r="R197"/>
      <c r="S197"/>
      <c r="T197" s="686"/>
      <c r="U197"/>
    </row>
    <row r="198" spans="10:21" s="1" customFormat="1" x14ac:dyDescent="0.2">
      <c r="J198"/>
      <c r="K198"/>
      <c r="L198"/>
      <c r="M198"/>
      <c r="N198"/>
      <c r="O198" s="392"/>
      <c r="P198" s="2"/>
      <c r="Q198" s="686"/>
      <c r="R198"/>
      <c r="S198"/>
      <c r="T198" s="686"/>
      <c r="U198"/>
    </row>
    <row r="199" spans="10:21" s="1" customFormat="1" x14ac:dyDescent="0.2">
      <c r="J199"/>
      <c r="K199"/>
      <c r="L199"/>
      <c r="M199"/>
      <c r="N199"/>
      <c r="O199" s="392"/>
      <c r="P199" s="2"/>
      <c r="Q199" s="686"/>
      <c r="R199"/>
      <c r="S199"/>
      <c r="T199" s="686"/>
      <c r="U199"/>
    </row>
    <row r="200" spans="10:21" s="1" customFormat="1" x14ac:dyDescent="0.2">
      <c r="J200"/>
      <c r="K200"/>
      <c r="L200"/>
      <c r="M200"/>
      <c r="N200"/>
      <c r="O200" s="392"/>
      <c r="P200" s="2"/>
      <c r="Q200" s="686"/>
      <c r="R200"/>
      <c r="S200"/>
      <c r="T200" s="686"/>
      <c r="U200"/>
    </row>
    <row r="201" spans="10:21" s="1" customFormat="1" x14ac:dyDescent="0.2">
      <c r="J201"/>
      <c r="K201"/>
      <c r="L201"/>
      <c r="M201"/>
      <c r="N201"/>
      <c r="O201" s="392"/>
      <c r="P201" s="2"/>
      <c r="Q201" s="686"/>
      <c r="R201"/>
      <c r="S201"/>
      <c r="T201" s="686"/>
      <c r="U201"/>
    </row>
    <row r="202" spans="10:21" s="1" customFormat="1" x14ac:dyDescent="0.2">
      <c r="J202"/>
      <c r="K202"/>
      <c r="L202"/>
      <c r="M202"/>
      <c r="N202"/>
      <c r="O202" s="392"/>
      <c r="P202" s="2"/>
      <c r="Q202" s="686"/>
      <c r="R202"/>
      <c r="S202"/>
      <c r="T202" s="686"/>
      <c r="U202"/>
    </row>
    <row r="203" spans="10:21" s="1" customFormat="1" x14ac:dyDescent="0.2">
      <c r="J203"/>
      <c r="K203"/>
      <c r="L203"/>
      <c r="M203"/>
      <c r="N203"/>
      <c r="O203" s="392"/>
      <c r="P203" s="2"/>
      <c r="Q203" s="686"/>
      <c r="R203"/>
      <c r="S203"/>
      <c r="T203" s="686"/>
      <c r="U203"/>
    </row>
    <row r="204" spans="10:21" s="1" customFormat="1" x14ac:dyDescent="0.2">
      <c r="J204"/>
      <c r="K204"/>
      <c r="L204"/>
      <c r="M204"/>
      <c r="N204"/>
      <c r="O204" s="392"/>
      <c r="P204" s="2"/>
      <c r="Q204" s="686"/>
      <c r="R204"/>
      <c r="S204"/>
      <c r="T204" s="686"/>
      <c r="U204"/>
    </row>
    <row r="205" spans="10:21" s="1" customFormat="1" x14ac:dyDescent="0.2">
      <c r="J205"/>
      <c r="K205"/>
      <c r="L205"/>
      <c r="M205"/>
      <c r="N205"/>
      <c r="O205" s="392"/>
      <c r="P205" s="2"/>
      <c r="Q205" s="686"/>
      <c r="R205"/>
      <c r="S205"/>
      <c r="T205" s="686"/>
      <c r="U205"/>
    </row>
    <row r="206" spans="10:21" s="1" customFormat="1" x14ac:dyDescent="0.2">
      <c r="J206"/>
      <c r="K206"/>
      <c r="L206"/>
      <c r="M206"/>
      <c r="N206"/>
      <c r="O206" s="392"/>
      <c r="P206" s="2"/>
      <c r="Q206" s="686"/>
      <c r="R206"/>
      <c r="S206"/>
      <c r="T206" s="686"/>
      <c r="U206"/>
    </row>
    <row r="207" spans="10:21" s="1" customFormat="1" x14ac:dyDescent="0.2">
      <c r="J207"/>
      <c r="K207"/>
      <c r="L207"/>
      <c r="M207"/>
      <c r="N207"/>
      <c r="O207" s="392"/>
      <c r="P207" s="2"/>
      <c r="Q207" s="686"/>
      <c r="R207"/>
      <c r="S207"/>
      <c r="T207" s="686"/>
      <c r="U207"/>
    </row>
    <row r="208" spans="10:21" s="1" customFormat="1" x14ac:dyDescent="0.2">
      <c r="J208"/>
      <c r="K208"/>
      <c r="L208"/>
      <c r="M208"/>
      <c r="N208"/>
      <c r="O208" s="392"/>
      <c r="P208" s="2"/>
      <c r="Q208" s="686"/>
      <c r="R208"/>
      <c r="S208"/>
      <c r="T208" s="686"/>
      <c r="U208"/>
    </row>
    <row r="209" spans="10:21" s="1" customFormat="1" x14ac:dyDescent="0.2">
      <c r="J209"/>
      <c r="K209"/>
      <c r="L209"/>
      <c r="M209"/>
      <c r="N209"/>
      <c r="O209" s="392"/>
      <c r="P209" s="2"/>
      <c r="Q209" s="686"/>
      <c r="R209"/>
      <c r="S209"/>
      <c r="T209" s="686"/>
      <c r="U209"/>
    </row>
    <row r="210" spans="10:21" s="1" customFormat="1" x14ac:dyDescent="0.2">
      <c r="J210"/>
      <c r="K210"/>
      <c r="L210"/>
      <c r="M210"/>
      <c r="N210"/>
      <c r="O210" s="392"/>
      <c r="P210" s="2"/>
      <c r="Q210" s="686"/>
      <c r="R210"/>
      <c r="S210"/>
      <c r="T210" s="686"/>
      <c r="U210"/>
    </row>
    <row r="211" spans="10:21" s="1" customFormat="1" x14ac:dyDescent="0.2">
      <c r="J211"/>
      <c r="K211"/>
      <c r="L211"/>
      <c r="M211"/>
      <c r="N211"/>
      <c r="O211" s="392"/>
      <c r="P211" s="2"/>
      <c r="Q211" s="686"/>
      <c r="R211"/>
      <c r="S211"/>
      <c r="T211" s="686"/>
      <c r="U211"/>
    </row>
    <row r="212" spans="10:21" s="1" customFormat="1" x14ac:dyDescent="0.2">
      <c r="J212"/>
      <c r="K212"/>
      <c r="L212"/>
      <c r="M212"/>
      <c r="N212"/>
      <c r="O212" s="392"/>
      <c r="P212" s="2"/>
      <c r="Q212" s="686"/>
      <c r="R212"/>
      <c r="S212"/>
      <c r="T212" s="686"/>
      <c r="U212"/>
    </row>
    <row r="213" spans="10:21" s="1" customFormat="1" x14ac:dyDescent="0.2">
      <c r="J213"/>
      <c r="K213"/>
      <c r="L213"/>
      <c r="M213"/>
      <c r="N213"/>
      <c r="O213" s="392"/>
      <c r="P213" s="2"/>
      <c r="Q213" s="686"/>
      <c r="R213"/>
      <c r="S213"/>
      <c r="T213" s="686"/>
      <c r="U213"/>
    </row>
    <row r="214" spans="10:21" s="1" customFormat="1" x14ac:dyDescent="0.2">
      <c r="J214"/>
      <c r="K214"/>
      <c r="L214"/>
      <c r="M214"/>
      <c r="N214"/>
      <c r="O214" s="392"/>
      <c r="P214" s="2"/>
      <c r="Q214" s="686"/>
      <c r="R214"/>
      <c r="S214"/>
      <c r="T214" s="686"/>
      <c r="U214"/>
    </row>
    <row r="215" spans="10:21" s="1" customFormat="1" x14ac:dyDescent="0.2">
      <c r="J215"/>
      <c r="K215"/>
      <c r="L215"/>
      <c r="M215"/>
      <c r="N215"/>
      <c r="O215" s="392"/>
      <c r="P215" s="2"/>
      <c r="Q215" s="686"/>
      <c r="R215"/>
      <c r="S215"/>
      <c r="T215" s="686"/>
      <c r="U215"/>
    </row>
    <row r="216" spans="10:21" s="1" customFormat="1" x14ac:dyDescent="0.2">
      <c r="J216"/>
      <c r="K216"/>
      <c r="L216"/>
      <c r="M216"/>
      <c r="N216"/>
      <c r="O216" s="392"/>
      <c r="P216" s="2"/>
      <c r="Q216" s="686"/>
      <c r="R216"/>
      <c r="S216"/>
      <c r="T216" s="686"/>
      <c r="U216"/>
    </row>
    <row r="217" spans="10:21" s="1" customFormat="1" x14ac:dyDescent="0.2">
      <c r="J217"/>
      <c r="K217"/>
      <c r="L217"/>
      <c r="M217"/>
      <c r="N217"/>
      <c r="O217" s="392"/>
      <c r="P217" s="2"/>
      <c r="Q217" s="686"/>
      <c r="R217"/>
      <c r="S217"/>
      <c r="T217" s="686"/>
      <c r="U217"/>
    </row>
    <row r="218" spans="10:21" s="1" customFormat="1" x14ac:dyDescent="0.2">
      <c r="J218"/>
      <c r="K218"/>
      <c r="L218"/>
      <c r="M218"/>
      <c r="N218"/>
      <c r="O218" s="392"/>
      <c r="P218" s="2"/>
      <c r="Q218" s="686"/>
      <c r="R218"/>
      <c r="S218"/>
      <c r="T218" s="686"/>
      <c r="U218"/>
    </row>
    <row r="219" spans="10:21" s="1" customFormat="1" x14ac:dyDescent="0.2">
      <c r="J219"/>
      <c r="K219"/>
      <c r="L219"/>
      <c r="M219"/>
      <c r="N219"/>
      <c r="O219" s="392"/>
      <c r="P219" s="2"/>
      <c r="Q219" s="686"/>
      <c r="R219"/>
      <c r="S219"/>
      <c r="T219" s="686"/>
      <c r="U219"/>
    </row>
    <row r="220" spans="10:21" s="1" customFormat="1" x14ac:dyDescent="0.2">
      <c r="J220"/>
      <c r="K220"/>
      <c r="L220"/>
      <c r="M220"/>
      <c r="N220"/>
      <c r="O220" s="392"/>
      <c r="P220" s="2"/>
      <c r="Q220" s="686"/>
      <c r="R220"/>
      <c r="S220"/>
      <c r="T220" s="686"/>
      <c r="U220"/>
    </row>
    <row r="221" spans="10:21" s="1" customFormat="1" x14ac:dyDescent="0.2">
      <c r="J221"/>
      <c r="K221"/>
      <c r="L221"/>
      <c r="M221"/>
      <c r="N221"/>
      <c r="O221" s="392"/>
      <c r="P221" s="2"/>
      <c r="Q221" s="686"/>
      <c r="R221"/>
      <c r="S221"/>
      <c r="T221" s="686"/>
      <c r="U221"/>
    </row>
    <row r="222" spans="10:21" s="1" customFormat="1" x14ac:dyDescent="0.2">
      <c r="J222"/>
      <c r="K222"/>
      <c r="L222"/>
      <c r="M222"/>
      <c r="N222"/>
      <c r="O222" s="392"/>
      <c r="P222" s="2"/>
      <c r="Q222" s="686"/>
      <c r="R222"/>
      <c r="S222"/>
      <c r="T222" s="686"/>
      <c r="U222"/>
    </row>
    <row r="223" spans="10:21" s="1" customFormat="1" x14ac:dyDescent="0.2">
      <c r="J223"/>
      <c r="K223"/>
      <c r="L223"/>
      <c r="M223"/>
      <c r="N223"/>
      <c r="O223" s="392"/>
      <c r="P223" s="2"/>
      <c r="Q223" s="686"/>
      <c r="R223"/>
      <c r="S223"/>
      <c r="T223" s="686"/>
      <c r="U223"/>
    </row>
    <row r="224" spans="10:21" s="1" customFormat="1" x14ac:dyDescent="0.2">
      <c r="J224"/>
      <c r="K224"/>
      <c r="L224"/>
      <c r="M224"/>
      <c r="N224"/>
      <c r="O224" s="392"/>
      <c r="P224" s="2"/>
      <c r="Q224" s="686"/>
      <c r="R224"/>
      <c r="S224"/>
      <c r="T224" s="686"/>
      <c r="U224"/>
    </row>
    <row r="225" spans="10:21" s="1" customFormat="1" x14ac:dyDescent="0.2">
      <c r="J225"/>
      <c r="K225"/>
      <c r="L225"/>
      <c r="M225"/>
      <c r="N225"/>
      <c r="O225" s="392"/>
      <c r="P225" s="2"/>
      <c r="Q225" s="686"/>
      <c r="R225"/>
      <c r="S225"/>
      <c r="T225" s="686"/>
      <c r="U225"/>
    </row>
    <row r="226" spans="10:21" s="1" customFormat="1" x14ac:dyDescent="0.2">
      <c r="J226"/>
      <c r="K226"/>
      <c r="L226"/>
      <c r="M226"/>
      <c r="N226"/>
      <c r="O226" s="392"/>
      <c r="P226" s="2"/>
      <c r="Q226" s="686"/>
      <c r="R226"/>
      <c r="S226"/>
      <c r="T226" s="686"/>
      <c r="U226"/>
    </row>
    <row r="227" spans="10:21" s="1" customFormat="1" x14ac:dyDescent="0.2">
      <c r="J227"/>
      <c r="K227"/>
      <c r="L227"/>
      <c r="M227"/>
      <c r="N227"/>
      <c r="O227" s="392"/>
      <c r="P227" s="2"/>
      <c r="Q227" s="686"/>
      <c r="R227"/>
      <c r="S227"/>
      <c r="T227" s="686"/>
      <c r="U227"/>
    </row>
    <row r="228" spans="10:21" s="1" customFormat="1" x14ac:dyDescent="0.2">
      <c r="J228"/>
      <c r="K228"/>
      <c r="L228"/>
      <c r="M228"/>
      <c r="N228"/>
      <c r="O228" s="392"/>
      <c r="P228" s="2"/>
      <c r="Q228" s="686"/>
      <c r="R228"/>
      <c r="S228"/>
      <c r="T228" s="686"/>
      <c r="U228"/>
    </row>
    <row r="229" spans="10:21" s="1" customFormat="1" x14ac:dyDescent="0.2">
      <c r="J229"/>
      <c r="K229"/>
      <c r="L229"/>
      <c r="M229"/>
      <c r="N229"/>
      <c r="O229" s="392"/>
      <c r="P229" s="2"/>
      <c r="Q229" s="686"/>
      <c r="R229"/>
      <c r="S229"/>
      <c r="T229" s="686"/>
      <c r="U229"/>
    </row>
    <row r="230" spans="10:21" s="1" customFormat="1" x14ac:dyDescent="0.2">
      <c r="J230"/>
      <c r="K230"/>
      <c r="L230"/>
      <c r="M230"/>
      <c r="N230"/>
      <c r="O230" s="392"/>
      <c r="P230" s="2"/>
      <c r="Q230" s="686"/>
      <c r="R230"/>
      <c r="S230"/>
      <c r="T230" s="686"/>
      <c r="U230"/>
    </row>
    <row r="231" spans="10:21" s="1" customFormat="1" x14ac:dyDescent="0.2">
      <c r="J231"/>
      <c r="K231"/>
      <c r="L231"/>
      <c r="M231"/>
      <c r="N231"/>
      <c r="O231" s="392"/>
      <c r="P231" s="2"/>
      <c r="Q231" s="686"/>
      <c r="R231"/>
      <c r="S231"/>
      <c r="T231" s="686"/>
      <c r="U231"/>
    </row>
    <row r="232" spans="10:21" s="1" customFormat="1" x14ac:dyDescent="0.2">
      <c r="J232"/>
      <c r="K232"/>
      <c r="L232"/>
      <c r="M232"/>
      <c r="N232"/>
      <c r="O232" s="392"/>
      <c r="P232" s="2"/>
      <c r="Q232" s="686"/>
      <c r="R232"/>
      <c r="S232"/>
      <c r="T232" s="686"/>
      <c r="U232"/>
    </row>
    <row r="233" spans="10:21" s="1" customFormat="1" x14ac:dyDescent="0.2">
      <c r="J233"/>
      <c r="K233"/>
      <c r="L233"/>
      <c r="M233"/>
      <c r="N233"/>
      <c r="O233" s="392"/>
      <c r="P233" s="2"/>
      <c r="Q233" s="686"/>
      <c r="R233"/>
      <c r="S233"/>
      <c r="T233" s="686"/>
      <c r="U233"/>
    </row>
    <row r="234" spans="10:21" s="1" customFormat="1" x14ac:dyDescent="0.2">
      <c r="J234"/>
      <c r="K234"/>
      <c r="L234"/>
      <c r="M234"/>
      <c r="N234"/>
      <c r="O234" s="392"/>
      <c r="P234" s="2"/>
      <c r="Q234" s="686"/>
      <c r="R234"/>
      <c r="S234"/>
      <c r="T234" s="686"/>
      <c r="U234"/>
    </row>
    <row r="235" spans="10:21" s="1" customFormat="1" x14ac:dyDescent="0.2">
      <c r="J235"/>
      <c r="K235"/>
      <c r="L235"/>
      <c r="M235"/>
      <c r="N235"/>
      <c r="O235" s="392"/>
      <c r="P235" s="2"/>
      <c r="Q235" s="686"/>
      <c r="R235"/>
      <c r="S235"/>
      <c r="T235" s="686"/>
      <c r="U235"/>
    </row>
    <row r="236" spans="10:21" s="1" customFormat="1" x14ac:dyDescent="0.2">
      <c r="J236"/>
      <c r="K236"/>
      <c r="L236"/>
      <c r="M236"/>
      <c r="N236"/>
      <c r="O236" s="392"/>
      <c r="P236" s="2"/>
      <c r="Q236" s="686"/>
      <c r="R236"/>
      <c r="S236"/>
      <c r="T236" s="686"/>
      <c r="U236"/>
    </row>
    <row r="237" spans="10:21" s="1" customFormat="1" x14ac:dyDescent="0.2">
      <c r="J237"/>
      <c r="K237"/>
      <c r="L237"/>
      <c r="M237"/>
      <c r="N237"/>
      <c r="O237" s="392"/>
      <c r="P237" s="2"/>
      <c r="Q237" s="686"/>
      <c r="R237"/>
      <c r="S237"/>
      <c r="T237" s="686"/>
      <c r="U237"/>
    </row>
    <row r="238" spans="10:21" s="1" customFormat="1" x14ac:dyDescent="0.2">
      <c r="J238"/>
      <c r="K238"/>
      <c r="L238"/>
      <c r="M238"/>
      <c r="N238"/>
      <c r="O238" s="392"/>
      <c r="P238" s="2"/>
      <c r="Q238" s="686"/>
      <c r="R238"/>
      <c r="S238"/>
      <c r="T238" s="686"/>
      <c r="U238"/>
    </row>
    <row r="239" spans="10:21" s="1" customFormat="1" x14ac:dyDescent="0.2">
      <c r="J239"/>
      <c r="K239"/>
      <c r="L239"/>
      <c r="M239"/>
      <c r="N239"/>
      <c r="O239" s="392"/>
      <c r="P239" s="2"/>
      <c r="Q239" s="686"/>
      <c r="R239"/>
      <c r="S239"/>
      <c r="T239" s="686"/>
      <c r="U239"/>
    </row>
    <row r="240" spans="10:21" s="1" customFormat="1" x14ac:dyDescent="0.2">
      <c r="J240"/>
      <c r="K240"/>
      <c r="L240"/>
      <c r="M240"/>
      <c r="N240"/>
      <c r="O240" s="392"/>
      <c r="P240" s="2"/>
      <c r="Q240" s="686"/>
      <c r="R240"/>
      <c r="S240"/>
      <c r="T240" s="686"/>
      <c r="U240"/>
    </row>
    <row r="241" spans="10:21" s="1" customFormat="1" x14ac:dyDescent="0.2">
      <c r="J241"/>
      <c r="K241"/>
      <c r="L241"/>
      <c r="M241"/>
      <c r="N241"/>
      <c r="O241" s="392"/>
      <c r="P241" s="2"/>
      <c r="Q241" s="686"/>
      <c r="R241"/>
      <c r="S241"/>
      <c r="T241" s="686"/>
      <c r="U241"/>
    </row>
    <row r="242" spans="10:21" s="1" customFormat="1" x14ac:dyDescent="0.2">
      <c r="J242"/>
      <c r="K242"/>
      <c r="L242"/>
      <c r="M242"/>
      <c r="N242"/>
      <c r="O242" s="392"/>
      <c r="P242" s="2"/>
      <c r="Q242" s="686"/>
      <c r="R242"/>
      <c r="S242"/>
      <c r="T242" s="686"/>
      <c r="U242"/>
    </row>
    <row r="243" spans="10:21" s="1" customFormat="1" x14ac:dyDescent="0.2">
      <c r="J243"/>
      <c r="K243"/>
      <c r="L243"/>
      <c r="M243"/>
      <c r="N243"/>
      <c r="O243" s="392"/>
      <c r="P243" s="2"/>
      <c r="Q243" s="686"/>
      <c r="R243"/>
      <c r="S243"/>
      <c r="T243" s="686"/>
      <c r="U243"/>
    </row>
    <row r="244" spans="10:21" s="1" customFormat="1" x14ac:dyDescent="0.2">
      <c r="J244"/>
      <c r="K244"/>
      <c r="L244"/>
      <c r="M244"/>
      <c r="N244"/>
      <c r="O244" s="392"/>
      <c r="P244" s="2"/>
      <c r="Q244" s="686"/>
      <c r="R244"/>
      <c r="S244"/>
      <c r="T244" s="686"/>
      <c r="U244"/>
    </row>
    <row r="245" spans="10:21" s="1" customFormat="1" x14ac:dyDescent="0.2">
      <c r="J245"/>
      <c r="K245"/>
      <c r="L245"/>
      <c r="M245"/>
      <c r="N245"/>
      <c r="O245" s="392"/>
      <c r="P245" s="2"/>
      <c r="Q245" s="686"/>
      <c r="R245"/>
      <c r="S245"/>
      <c r="T245" s="686"/>
      <c r="U245"/>
    </row>
    <row r="246" spans="10:21" s="1" customFormat="1" x14ac:dyDescent="0.2">
      <c r="J246"/>
      <c r="K246"/>
      <c r="L246"/>
      <c r="M246"/>
      <c r="N246"/>
      <c r="O246" s="392"/>
      <c r="P246" s="2"/>
      <c r="Q246" s="686"/>
      <c r="R246"/>
      <c r="S246"/>
      <c r="T246" s="686"/>
      <c r="U246"/>
    </row>
    <row r="247" spans="10:21" s="1" customFormat="1" x14ac:dyDescent="0.2">
      <c r="J247"/>
      <c r="K247"/>
      <c r="L247"/>
      <c r="M247"/>
      <c r="N247"/>
      <c r="O247" s="392"/>
      <c r="P247" s="2"/>
      <c r="Q247" s="686"/>
      <c r="R247"/>
      <c r="S247"/>
      <c r="T247" s="686"/>
      <c r="U247"/>
    </row>
    <row r="248" spans="10:21" s="1" customFormat="1" x14ac:dyDescent="0.2">
      <c r="J248"/>
      <c r="K248"/>
      <c r="L248"/>
      <c r="M248"/>
      <c r="N248"/>
      <c r="O248" s="392"/>
      <c r="P248" s="2"/>
      <c r="Q248" s="686"/>
      <c r="R248"/>
      <c r="S248"/>
      <c r="T248" s="686"/>
      <c r="U248"/>
    </row>
    <row r="249" spans="10:21" s="1" customFormat="1" x14ac:dyDescent="0.2">
      <c r="J249"/>
      <c r="K249"/>
      <c r="L249"/>
      <c r="M249"/>
      <c r="N249"/>
      <c r="O249" s="392"/>
      <c r="P249" s="2"/>
      <c r="Q249" s="686"/>
      <c r="R249"/>
      <c r="S249"/>
      <c r="T249" s="686"/>
      <c r="U249"/>
    </row>
    <row r="250" spans="10:21" s="1" customFormat="1" x14ac:dyDescent="0.2">
      <c r="J250"/>
      <c r="K250"/>
      <c r="L250"/>
      <c r="M250"/>
      <c r="N250"/>
      <c r="O250" s="392"/>
      <c r="P250" s="2"/>
      <c r="Q250" s="686"/>
      <c r="R250"/>
      <c r="S250"/>
      <c r="T250" s="686"/>
      <c r="U250"/>
    </row>
    <row r="251" spans="10:21" s="1" customFormat="1" x14ac:dyDescent="0.2">
      <c r="J251"/>
      <c r="K251"/>
      <c r="L251"/>
      <c r="M251"/>
      <c r="N251"/>
      <c r="O251" s="392"/>
      <c r="P251" s="2"/>
      <c r="Q251" s="686"/>
      <c r="R251"/>
      <c r="S251"/>
      <c r="T251" s="686"/>
      <c r="U251"/>
    </row>
    <row r="252" spans="10:21" s="1" customFormat="1" x14ac:dyDescent="0.2">
      <c r="J252"/>
      <c r="K252"/>
      <c r="L252"/>
      <c r="M252"/>
      <c r="N252"/>
      <c r="O252" s="392"/>
      <c r="P252" s="2"/>
      <c r="Q252" s="686"/>
      <c r="R252"/>
      <c r="S252"/>
      <c r="T252" s="686"/>
      <c r="U252"/>
    </row>
    <row r="253" spans="10:21" s="1" customFormat="1" x14ac:dyDescent="0.2">
      <c r="J253"/>
      <c r="K253"/>
      <c r="L253"/>
      <c r="M253"/>
      <c r="N253"/>
      <c r="O253" s="392"/>
      <c r="P253" s="2"/>
      <c r="Q253" s="686"/>
      <c r="R253"/>
      <c r="S253"/>
      <c r="T253" s="686"/>
      <c r="U253"/>
    </row>
    <row r="254" spans="10:21" s="1" customFormat="1" x14ac:dyDescent="0.2">
      <c r="J254"/>
      <c r="K254"/>
      <c r="L254"/>
      <c r="M254"/>
      <c r="N254"/>
      <c r="O254" s="392"/>
      <c r="P254" s="2"/>
      <c r="Q254" s="686"/>
      <c r="R254"/>
      <c r="S254"/>
      <c r="T254" s="686"/>
      <c r="U254"/>
    </row>
    <row r="255" spans="10:21" s="1" customFormat="1" x14ac:dyDescent="0.2">
      <c r="J255"/>
      <c r="K255"/>
      <c r="L255"/>
      <c r="M255"/>
      <c r="N255"/>
      <c r="O255" s="392"/>
      <c r="P255" s="2"/>
      <c r="Q255" s="686"/>
      <c r="R255"/>
      <c r="S255"/>
      <c r="T255" s="686"/>
      <c r="U255"/>
    </row>
    <row r="256" spans="10:21" s="1" customFormat="1" x14ac:dyDescent="0.2">
      <c r="J256"/>
      <c r="K256"/>
      <c r="L256"/>
      <c r="M256"/>
      <c r="N256"/>
      <c r="O256" s="392"/>
      <c r="P256" s="2"/>
      <c r="Q256" s="686"/>
      <c r="R256"/>
      <c r="S256"/>
      <c r="T256" s="686"/>
      <c r="U256"/>
    </row>
    <row r="257" spans="10:21" s="1" customFormat="1" x14ac:dyDescent="0.2">
      <c r="J257"/>
      <c r="K257"/>
      <c r="L257"/>
      <c r="M257"/>
      <c r="N257"/>
      <c r="O257" s="392"/>
      <c r="P257" s="2"/>
      <c r="Q257" s="686"/>
      <c r="R257"/>
      <c r="S257"/>
      <c r="T257" s="686"/>
      <c r="U257"/>
    </row>
    <row r="258" spans="10:21" s="1" customFormat="1" x14ac:dyDescent="0.2">
      <c r="J258"/>
      <c r="K258"/>
      <c r="L258"/>
      <c r="M258"/>
      <c r="N258"/>
      <c r="O258" s="392"/>
      <c r="P258" s="2"/>
      <c r="Q258" s="686"/>
      <c r="R258"/>
      <c r="S258"/>
      <c r="T258" s="686"/>
      <c r="U258"/>
    </row>
    <row r="259" spans="10:21" s="1" customFormat="1" x14ac:dyDescent="0.2">
      <c r="J259"/>
      <c r="K259"/>
      <c r="L259"/>
      <c r="M259"/>
      <c r="N259"/>
      <c r="O259" s="392"/>
      <c r="P259" s="2"/>
      <c r="Q259" s="686"/>
      <c r="R259"/>
      <c r="S259"/>
      <c r="T259" s="686"/>
      <c r="U259"/>
    </row>
    <row r="260" spans="10:21" s="1" customFormat="1" x14ac:dyDescent="0.2">
      <c r="J260"/>
      <c r="K260"/>
      <c r="L260"/>
      <c r="M260"/>
      <c r="N260"/>
      <c r="O260" s="392"/>
      <c r="P260" s="2"/>
      <c r="Q260" s="686"/>
      <c r="R260"/>
      <c r="S260"/>
      <c r="T260" s="686"/>
      <c r="U260"/>
    </row>
    <row r="261" spans="10:21" s="1" customFormat="1" x14ac:dyDescent="0.2">
      <c r="J261"/>
      <c r="K261"/>
      <c r="L261"/>
      <c r="M261"/>
      <c r="N261"/>
      <c r="O261" s="392"/>
      <c r="P261" s="2"/>
      <c r="Q261" s="686"/>
      <c r="R261"/>
      <c r="S261"/>
      <c r="T261" s="686"/>
      <c r="U261"/>
    </row>
    <row r="262" spans="10:21" s="1" customFormat="1" x14ac:dyDescent="0.2">
      <c r="J262"/>
      <c r="K262"/>
      <c r="L262"/>
      <c r="M262"/>
      <c r="N262"/>
      <c r="O262" s="392"/>
      <c r="P262" s="2"/>
      <c r="Q262" s="686"/>
      <c r="R262"/>
      <c r="S262"/>
      <c r="T262" s="686"/>
      <c r="U262"/>
    </row>
    <row r="263" spans="10:21" s="1" customFormat="1" x14ac:dyDescent="0.2">
      <c r="J263"/>
      <c r="K263"/>
      <c r="L263"/>
      <c r="M263"/>
      <c r="N263"/>
      <c r="O263" s="392"/>
      <c r="P263" s="2"/>
      <c r="Q263" s="686"/>
      <c r="R263"/>
      <c r="S263"/>
      <c r="T263" s="686"/>
      <c r="U263"/>
    </row>
    <row r="264" spans="10:21" s="1" customFormat="1" x14ac:dyDescent="0.2">
      <c r="J264"/>
      <c r="K264"/>
      <c r="L264"/>
      <c r="M264"/>
      <c r="N264"/>
      <c r="O264" s="392"/>
      <c r="P264" s="2"/>
      <c r="Q264" s="686"/>
      <c r="R264"/>
      <c r="S264"/>
      <c r="T264" s="686"/>
      <c r="U264"/>
    </row>
    <row r="265" spans="10:21" s="1" customFormat="1" x14ac:dyDescent="0.2">
      <c r="J265"/>
      <c r="K265"/>
      <c r="L265"/>
      <c r="M265"/>
      <c r="N265"/>
      <c r="O265" s="392"/>
      <c r="P265" s="2"/>
      <c r="Q265" s="686"/>
      <c r="R265"/>
      <c r="S265"/>
      <c r="T265" s="686"/>
      <c r="U265"/>
    </row>
    <row r="266" spans="10:21" s="1" customFormat="1" x14ac:dyDescent="0.2">
      <c r="J266"/>
      <c r="K266"/>
      <c r="L266"/>
      <c r="M266"/>
      <c r="N266"/>
      <c r="O266" s="392"/>
      <c r="P266" s="2"/>
      <c r="Q266" s="686"/>
      <c r="R266"/>
      <c r="S266"/>
      <c r="T266" s="686"/>
      <c r="U266"/>
    </row>
    <row r="267" spans="10:21" s="1" customFormat="1" x14ac:dyDescent="0.2">
      <c r="J267"/>
      <c r="K267"/>
      <c r="L267"/>
      <c r="M267"/>
      <c r="N267"/>
      <c r="O267" s="392"/>
      <c r="P267" s="2"/>
      <c r="Q267" s="686"/>
      <c r="R267"/>
      <c r="S267"/>
      <c r="T267" s="686"/>
      <c r="U267"/>
    </row>
    <row r="268" spans="10:21" s="1" customFormat="1" x14ac:dyDescent="0.2">
      <c r="J268"/>
      <c r="K268"/>
      <c r="L268"/>
      <c r="M268"/>
      <c r="N268"/>
      <c r="O268" s="392"/>
      <c r="P268" s="2"/>
      <c r="Q268" s="686"/>
      <c r="R268"/>
      <c r="S268"/>
      <c r="T268" s="686"/>
      <c r="U268"/>
    </row>
    <row r="269" spans="10:21" s="1" customFormat="1" x14ac:dyDescent="0.2">
      <c r="J269"/>
      <c r="K269"/>
      <c r="L269"/>
      <c r="M269"/>
      <c r="N269"/>
      <c r="O269" s="392"/>
      <c r="P269" s="2"/>
      <c r="Q269" s="686"/>
      <c r="R269"/>
      <c r="S269"/>
      <c r="T269" s="686"/>
      <c r="U269"/>
    </row>
    <row r="270" spans="10:21" s="1" customFormat="1" x14ac:dyDescent="0.2">
      <c r="J270"/>
      <c r="K270"/>
      <c r="L270"/>
      <c r="M270"/>
      <c r="N270"/>
      <c r="O270" s="392"/>
      <c r="P270" s="2"/>
      <c r="Q270" s="686"/>
      <c r="R270"/>
      <c r="S270"/>
      <c r="T270" s="686"/>
      <c r="U270"/>
    </row>
    <row r="271" spans="10:21" s="1" customFormat="1" x14ac:dyDescent="0.2">
      <c r="J271"/>
      <c r="K271"/>
      <c r="L271"/>
      <c r="M271"/>
      <c r="N271"/>
      <c r="O271" s="392"/>
      <c r="P271" s="2"/>
      <c r="Q271" s="686"/>
      <c r="R271"/>
      <c r="S271"/>
      <c r="T271" s="686"/>
      <c r="U271"/>
    </row>
    <row r="272" spans="10:21" s="1" customFormat="1" x14ac:dyDescent="0.2">
      <c r="J272"/>
      <c r="K272"/>
      <c r="L272"/>
      <c r="M272"/>
      <c r="N272"/>
      <c r="O272" s="392"/>
      <c r="P272" s="2"/>
      <c r="Q272" s="686"/>
      <c r="R272"/>
      <c r="S272"/>
      <c r="T272" s="686"/>
      <c r="U272"/>
    </row>
    <row r="273" spans="10:21" s="1" customFormat="1" x14ac:dyDescent="0.2">
      <c r="J273"/>
      <c r="K273"/>
      <c r="L273"/>
      <c r="M273"/>
      <c r="N273"/>
      <c r="O273" s="392"/>
      <c r="P273" s="2"/>
      <c r="Q273" s="686"/>
      <c r="R273"/>
      <c r="S273"/>
      <c r="T273" s="686"/>
      <c r="U273"/>
    </row>
    <row r="274" spans="10:21" s="1" customFormat="1" x14ac:dyDescent="0.2">
      <c r="J274"/>
      <c r="K274"/>
      <c r="L274"/>
      <c r="M274"/>
      <c r="N274"/>
      <c r="O274" s="392"/>
      <c r="P274" s="2"/>
      <c r="Q274" s="686"/>
      <c r="R274"/>
      <c r="S274"/>
      <c r="T274" s="686"/>
      <c r="U274"/>
    </row>
    <row r="275" spans="10:21" s="1" customFormat="1" x14ac:dyDescent="0.2">
      <c r="J275"/>
      <c r="K275"/>
      <c r="L275"/>
      <c r="M275"/>
      <c r="N275"/>
      <c r="O275" s="392"/>
      <c r="P275" s="2"/>
      <c r="Q275" s="686"/>
      <c r="R275"/>
      <c r="S275"/>
      <c r="T275" s="686"/>
      <c r="U275"/>
    </row>
    <row r="276" spans="10:21" s="1" customFormat="1" x14ac:dyDescent="0.2">
      <c r="J276"/>
      <c r="K276"/>
      <c r="L276"/>
      <c r="M276"/>
      <c r="N276"/>
      <c r="O276" s="392"/>
      <c r="P276" s="2"/>
      <c r="Q276" s="686"/>
      <c r="R276"/>
      <c r="S276"/>
      <c r="T276" s="686"/>
      <c r="U276"/>
    </row>
    <row r="277" spans="10:21" s="1" customFormat="1" x14ac:dyDescent="0.2">
      <c r="J277"/>
      <c r="K277"/>
      <c r="L277"/>
      <c r="M277"/>
      <c r="N277"/>
      <c r="O277" s="392"/>
      <c r="P277" s="2"/>
      <c r="Q277" s="686"/>
      <c r="R277"/>
      <c r="S277"/>
      <c r="T277" s="686"/>
      <c r="U277"/>
    </row>
    <row r="278" spans="10:21" s="1" customFormat="1" x14ac:dyDescent="0.2">
      <c r="J278"/>
      <c r="K278"/>
      <c r="L278"/>
      <c r="M278"/>
      <c r="N278"/>
      <c r="O278" s="392"/>
      <c r="P278" s="2"/>
      <c r="Q278" s="686"/>
      <c r="R278"/>
      <c r="S278"/>
      <c r="T278" s="686"/>
      <c r="U278"/>
    </row>
    <row r="279" spans="10:21" s="1" customFormat="1" x14ac:dyDescent="0.2">
      <c r="J279"/>
      <c r="K279"/>
      <c r="L279"/>
      <c r="M279"/>
      <c r="N279"/>
      <c r="O279" s="392"/>
      <c r="P279" s="2"/>
      <c r="Q279" s="686"/>
      <c r="R279"/>
      <c r="S279"/>
      <c r="T279" s="686"/>
      <c r="U279"/>
    </row>
    <row r="280" spans="10:21" s="1" customFormat="1" x14ac:dyDescent="0.2">
      <c r="J280"/>
      <c r="K280"/>
      <c r="L280"/>
      <c r="M280"/>
      <c r="N280"/>
      <c r="O280" s="392"/>
      <c r="P280" s="2"/>
      <c r="Q280" s="686"/>
      <c r="R280"/>
      <c r="S280"/>
      <c r="T280" s="686"/>
      <c r="U280"/>
    </row>
    <row r="281" spans="10:21" s="1" customFormat="1" x14ac:dyDescent="0.2">
      <c r="J281"/>
      <c r="K281"/>
      <c r="L281"/>
      <c r="M281"/>
      <c r="N281"/>
      <c r="O281" s="392"/>
      <c r="P281" s="2"/>
      <c r="Q281" s="686"/>
      <c r="R281"/>
      <c r="S281"/>
      <c r="T281" s="686"/>
      <c r="U281"/>
    </row>
    <row r="282" spans="10:21" s="1" customFormat="1" x14ac:dyDescent="0.2">
      <c r="J282"/>
      <c r="K282"/>
      <c r="L282"/>
      <c r="M282"/>
      <c r="N282"/>
      <c r="O282" s="392"/>
      <c r="P282" s="2"/>
      <c r="Q282" s="686"/>
      <c r="R282"/>
      <c r="S282"/>
      <c r="T282" s="686"/>
      <c r="U282"/>
    </row>
    <row r="283" spans="10:21" s="1" customFormat="1" x14ac:dyDescent="0.2">
      <c r="J283"/>
      <c r="K283"/>
      <c r="L283"/>
      <c r="M283"/>
      <c r="N283"/>
      <c r="O283" s="392"/>
      <c r="P283" s="2"/>
      <c r="Q283" s="686"/>
      <c r="R283"/>
      <c r="S283"/>
      <c r="T283" s="686"/>
      <c r="U283"/>
    </row>
    <row r="284" spans="10:21" s="1" customFormat="1" x14ac:dyDescent="0.2">
      <c r="J284"/>
      <c r="K284"/>
      <c r="L284"/>
      <c r="M284"/>
      <c r="N284"/>
      <c r="O284" s="392"/>
      <c r="P284" s="2"/>
      <c r="Q284" s="686"/>
      <c r="R284"/>
      <c r="S284"/>
      <c r="T284" s="686"/>
      <c r="U284"/>
    </row>
    <row r="285" spans="10:21" s="1" customFormat="1" x14ac:dyDescent="0.2">
      <c r="J285"/>
      <c r="K285"/>
      <c r="L285"/>
      <c r="M285"/>
      <c r="N285"/>
      <c r="O285" s="392"/>
      <c r="P285" s="2"/>
      <c r="Q285" s="686"/>
      <c r="R285"/>
      <c r="S285"/>
      <c r="T285" s="686"/>
      <c r="U285"/>
    </row>
    <row r="286" spans="10:21" s="1" customFormat="1" x14ac:dyDescent="0.2">
      <c r="J286"/>
      <c r="K286"/>
      <c r="L286"/>
      <c r="M286"/>
      <c r="N286"/>
      <c r="O286" s="392"/>
      <c r="P286" s="2"/>
      <c r="Q286" s="686"/>
      <c r="R286"/>
      <c r="S286"/>
      <c r="T286" s="686"/>
      <c r="U286"/>
    </row>
    <row r="287" spans="10:21" s="1" customFormat="1" x14ac:dyDescent="0.2">
      <c r="J287"/>
      <c r="K287"/>
      <c r="L287"/>
      <c r="M287"/>
      <c r="N287"/>
      <c r="O287" s="392"/>
      <c r="P287" s="2"/>
      <c r="Q287" s="686"/>
      <c r="R287"/>
      <c r="S287"/>
      <c r="T287" s="686"/>
      <c r="U287"/>
    </row>
    <row r="288" spans="10:21" s="1" customFormat="1" x14ac:dyDescent="0.2">
      <c r="J288"/>
      <c r="K288"/>
      <c r="L288"/>
      <c r="M288"/>
      <c r="N288"/>
      <c r="O288" s="392"/>
      <c r="P288" s="2"/>
      <c r="Q288" s="686"/>
      <c r="R288"/>
      <c r="S288"/>
      <c r="T288" s="686"/>
      <c r="U288"/>
    </row>
    <row r="289" spans="10:21" s="1" customFormat="1" x14ac:dyDescent="0.2">
      <c r="J289"/>
      <c r="K289"/>
      <c r="L289"/>
      <c r="M289"/>
      <c r="N289"/>
      <c r="O289" s="392"/>
      <c r="P289" s="2"/>
      <c r="Q289" s="686"/>
      <c r="R289"/>
      <c r="S289"/>
      <c r="T289" s="686"/>
      <c r="U289"/>
    </row>
    <row r="290" spans="10:21" s="1" customFormat="1" x14ac:dyDescent="0.2">
      <c r="J290"/>
      <c r="K290"/>
      <c r="L290"/>
      <c r="M290"/>
      <c r="N290"/>
      <c r="O290" s="392"/>
      <c r="P290" s="2"/>
      <c r="Q290" s="686"/>
      <c r="R290"/>
      <c r="S290"/>
      <c r="T290" s="686"/>
      <c r="U290"/>
    </row>
    <row r="291" spans="10:21" s="1" customFormat="1" x14ac:dyDescent="0.2">
      <c r="J291"/>
      <c r="K291"/>
      <c r="L291"/>
      <c r="M291"/>
      <c r="N291"/>
      <c r="O291" s="392"/>
      <c r="P291" s="2"/>
      <c r="Q291" s="686"/>
      <c r="R291"/>
      <c r="S291"/>
      <c r="T291" s="686"/>
      <c r="U291"/>
    </row>
    <row r="292" spans="10:21" s="1" customFormat="1" x14ac:dyDescent="0.2">
      <c r="J292"/>
      <c r="K292"/>
      <c r="L292"/>
      <c r="M292"/>
      <c r="N292"/>
      <c r="O292" s="392"/>
      <c r="P292" s="2"/>
      <c r="Q292" s="686"/>
      <c r="R292"/>
      <c r="S292"/>
      <c r="T292" s="686"/>
      <c r="U292"/>
    </row>
    <row r="293" spans="10:21" s="1" customFormat="1" x14ac:dyDescent="0.2">
      <c r="J293"/>
      <c r="K293"/>
      <c r="L293"/>
      <c r="M293"/>
      <c r="N293"/>
      <c r="O293" s="392"/>
      <c r="P293" s="2"/>
      <c r="Q293" s="686"/>
      <c r="R293"/>
      <c r="S293"/>
      <c r="T293" s="686"/>
      <c r="U293"/>
    </row>
    <row r="294" spans="10:21" s="1" customFormat="1" x14ac:dyDescent="0.2">
      <c r="J294"/>
      <c r="K294"/>
      <c r="L294"/>
      <c r="M294"/>
      <c r="N294"/>
      <c r="O294" s="392"/>
      <c r="P294" s="2"/>
      <c r="Q294" s="686"/>
      <c r="R294"/>
      <c r="S294"/>
      <c r="T294" s="686"/>
      <c r="U294"/>
    </row>
    <row r="295" spans="10:21" s="1" customFormat="1" x14ac:dyDescent="0.2">
      <c r="J295"/>
      <c r="K295"/>
      <c r="L295"/>
      <c r="M295"/>
      <c r="N295"/>
      <c r="O295" s="392"/>
      <c r="P295" s="2"/>
      <c r="Q295" s="686"/>
      <c r="R295"/>
      <c r="S295"/>
      <c r="T295" s="686"/>
      <c r="U295"/>
    </row>
    <row r="296" spans="10:21" s="1" customFormat="1" x14ac:dyDescent="0.2">
      <c r="J296"/>
      <c r="K296"/>
      <c r="L296"/>
      <c r="M296"/>
      <c r="N296"/>
      <c r="O296" s="392"/>
      <c r="P296" s="2"/>
      <c r="Q296" s="686"/>
      <c r="R296"/>
      <c r="S296"/>
      <c r="T296" s="686"/>
      <c r="U296"/>
    </row>
    <row r="297" spans="10:21" s="1" customFormat="1" x14ac:dyDescent="0.2">
      <c r="J297"/>
      <c r="K297"/>
      <c r="L297"/>
      <c r="M297"/>
      <c r="N297"/>
      <c r="O297" s="392"/>
      <c r="P297" s="2"/>
      <c r="Q297" s="686"/>
      <c r="R297"/>
      <c r="S297"/>
      <c r="T297" s="686"/>
      <c r="U297"/>
    </row>
    <row r="298" spans="10:21" s="1" customFormat="1" x14ac:dyDescent="0.2">
      <c r="J298"/>
      <c r="K298"/>
      <c r="L298"/>
      <c r="M298"/>
      <c r="N298"/>
      <c r="O298" s="392"/>
      <c r="P298" s="2"/>
      <c r="Q298" s="686"/>
      <c r="R298"/>
      <c r="S298"/>
      <c r="T298" s="686"/>
      <c r="U298"/>
    </row>
    <row r="299" spans="10:21" s="1" customFormat="1" x14ac:dyDescent="0.2">
      <c r="J299"/>
      <c r="K299"/>
      <c r="L299"/>
      <c r="M299"/>
      <c r="N299"/>
      <c r="O299" s="392"/>
      <c r="P299" s="2"/>
      <c r="Q299" s="686"/>
      <c r="R299"/>
      <c r="S299"/>
      <c r="T299" s="686"/>
      <c r="U299"/>
    </row>
    <row r="300" spans="10:21" s="1" customFormat="1" x14ac:dyDescent="0.2">
      <c r="J300"/>
      <c r="K300"/>
      <c r="L300"/>
      <c r="M300"/>
      <c r="N300"/>
      <c r="O300" s="392"/>
      <c r="P300" s="2"/>
      <c r="Q300" s="686"/>
      <c r="R300"/>
      <c r="S300"/>
      <c r="T300" s="686"/>
      <c r="U300"/>
    </row>
    <row r="301" spans="10:21" s="1" customFormat="1" x14ac:dyDescent="0.2">
      <c r="J301"/>
      <c r="K301"/>
      <c r="L301"/>
      <c r="M301"/>
      <c r="N301"/>
      <c r="O301" s="392"/>
      <c r="P301" s="2"/>
      <c r="Q301" s="686"/>
      <c r="R301"/>
      <c r="S301"/>
      <c r="T301" s="686"/>
      <c r="U301"/>
    </row>
    <row r="302" spans="10:21" s="1" customFormat="1" x14ac:dyDescent="0.2">
      <c r="J302"/>
      <c r="K302"/>
      <c r="L302"/>
      <c r="M302"/>
      <c r="N302"/>
      <c r="O302" s="392"/>
      <c r="P302" s="2"/>
      <c r="Q302" s="686"/>
      <c r="R302"/>
      <c r="S302"/>
      <c r="T302" s="686"/>
      <c r="U302"/>
    </row>
    <row r="303" spans="10:21" s="1" customFormat="1" x14ac:dyDescent="0.2">
      <c r="J303"/>
      <c r="K303"/>
      <c r="L303"/>
      <c r="M303"/>
      <c r="N303"/>
      <c r="O303" s="392"/>
      <c r="P303" s="2"/>
      <c r="Q303" s="686"/>
      <c r="R303"/>
      <c r="S303"/>
      <c r="T303" s="686"/>
      <c r="U303"/>
    </row>
    <row r="304" spans="10:21" s="1" customFormat="1" x14ac:dyDescent="0.2">
      <c r="J304"/>
      <c r="K304"/>
      <c r="L304"/>
      <c r="M304"/>
      <c r="N304"/>
      <c r="O304" s="392"/>
      <c r="P304" s="2"/>
      <c r="Q304" s="686"/>
      <c r="R304"/>
      <c r="S304"/>
      <c r="T304" s="686"/>
      <c r="U304"/>
    </row>
    <row r="305" spans="10:21" s="1" customFormat="1" x14ac:dyDescent="0.2">
      <c r="J305"/>
      <c r="K305"/>
      <c r="L305"/>
      <c r="M305"/>
      <c r="N305"/>
      <c r="O305" s="392"/>
      <c r="P305" s="2"/>
      <c r="Q305" s="686"/>
      <c r="R305"/>
      <c r="S305"/>
      <c r="T305" s="686"/>
      <c r="U305"/>
    </row>
    <row r="306" spans="10:21" s="1" customFormat="1" x14ac:dyDescent="0.2">
      <c r="J306"/>
      <c r="K306"/>
      <c r="L306"/>
      <c r="M306"/>
      <c r="N306"/>
      <c r="O306" s="392"/>
      <c r="P306" s="2"/>
      <c r="Q306" s="686"/>
      <c r="R306"/>
      <c r="S306"/>
      <c r="T306" s="686"/>
      <c r="U306"/>
    </row>
    <row r="307" spans="10:21" s="1" customFormat="1" x14ac:dyDescent="0.2">
      <c r="J307"/>
      <c r="K307"/>
      <c r="L307"/>
      <c r="M307"/>
      <c r="N307"/>
      <c r="O307" s="392"/>
      <c r="P307" s="2"/>
      <c r="Q307" s="686"/>
      <c r="R307"/>
      <c r="S307"/>
      <c r="T307" s="686"/>
      <c r="U307"/>
    </row>
    <row r="308" spans="10:21" s="1" customFormat="1" x14ac:dyDescent="0.2">
      <c r="J308"/>
      <c r="K308"/>
      <c r="L308"/>
      <c r="M308"/>
      <c r="N308"/>
      <c r="O308" s="392"/>
      <c r="P308" s="2"/>
      <c r="Q308" s="686"/>
      <c r="R308"/>
      <c r="S308"/>
      <c r="T308" s="686"/>
      <c r="U308"/>
    </row>
    <row r="309" spans="10:21" s="1" customFormat="1" x14ac:dyDescent="0.2">
      <c r="J309"/>
      <c r="K309"/>
      <c r="L309"/>
      <c r="M309"/>
      <c r="N309"/>
      <c r="O309" s="392"/>
      <c r="P309" s="2"/>
      <c r="Q309" s="686"/>
      <c r="R309"/>
      <c r="S309"/>
      <c r="T309" s="686"/>
      <c r="U309"/>
    </row>
    <row r="310" spans="10:21" s="1" customFormat="1" x14ac:dyDescent="0.2">
      <c r="J310"/>
      <c r="K310"/>
      <c r="L310"/>
      <c r="M310"/>
      <c r="N310"/>
      <c r="O310" s="392"/>
      <c r="P310" s="2"/>
      <c r="Q310" s="686"/>
      <c r="R310"/>
      <c r="S310"/>
      <c r="T310" s="686"/>
      <c r="U310"/>
    </row>
    <row r="311" spans="10:21" s="1" customFormat="1" x14ac:dyDescent="0.2">
      <c r="J311"/>
      <c r="K311"/>
      <c r="L311"/>
      <c r="M311"/>
      <c r="N311"/>
      <c r="O311" s="392"/>
      <c r="P311" s="2"/>
      <c r="Q311" s="686"/>
      <c r="R311"/>
      <c r="S311"/>
      <c r="T311" s="686"/>
      <c r="U311"/>
    </row>
    <row r="312" spans="10:21" s="1" customFormat="1" x14ac:dyDescent="0.2">
      <c r="J312"/>
      <c r="K312"/>
      <c r="L312"/>
      <c r="M312"/>
      <c r="N312"/>
      <c r="O312" s="392"/>
      <c r="P312" s="2"/>
      <c r="Q312" s="686"/>
      <c r="R312"/>
      <c r="S312"/>
      <c r="T312" s="686"/>
      <c r="U312"/>
    </row>
    <row r="313" spans="10:21" s="1" customFormat="1" x14ac:dyDescent="0.2">
      <c r="J313"/>
      <c r="K313"/>
      <c r="L313"/>
      <c r="M313"/>
      <c r="N313"/>
      <c r="O313" s="392"/>
      <c r="P313" s="2"/>
      <c r="Q313" s="686"/>
      <c r="R313"/>
      <c r="S313"/>
      <c r="T313" s="686"/>
      <c r="U313"/>
    </row>
    <row r="314" spans="10:21" s="1" customFormat="1" x14ac:dyDescent="0.2">
      <c r="J314"/>
      <c r="K314"/>
      <c r="L314"/>
      <c r="M314"/>
      <c r="N314"/>
      <c r="O314" s="392"/>
      <c r="P314" s="2"/>
      <c r="Q314" s="686"/>
      <c r="R314"/>
      <c r="S314"/>
      <c r="T314" s="686"/>
      <c r="U314"/>
    </row>
    <row r="315" spans="10:21" s="1" customFormat="1" x14ac:dyDescent="0.2">
      <c r="J315"/>
      <c r="K315"/>
      <c r="L315"/>
      <c r="M315"/>
      <c r="N315"/>
      <c r="O315" s="392"/>
      <c r="P315" s="2"/>
      <c r="Q315" s="686"/>
      <c r="R315"/>
      <c r="S315"/>
      <c r="T315" s="686"/>
      <c r="U315"/>
    </row>
    <row r="316" spans="10:21" s="1" customFormat="1" x14ac:dyDescent="0.2">
      <c r="J316"/>
      <c r="K316"/>
      <c r="L316"/>
      <c r="M316"/>
      <c r="N316"/>
      <c r="O316" s="392"/>
      <c r="P316" s="2"/>
      <c r="Q316" s="686"/>
      <c r="R316"/>
      <c r="S316"/>
      <c r="T316" s="686"/>
      <c r="U316"/>
    </row>
    <row r="317" spans="10:21" s="1" customFormat="1" x14ac:dyDescent="0.2">
      <c r="J317"/>
      <c r="K317"/>
      <c r="L317"/>
      <c r="M317"/>
      <c r="N317"/>
      <c r="O317" s="392"/>
      <c r="P317" s="2"/>
      <c r="Q317" s="686"/>
      <c r="R317"/>
      <c r="S317"/>
      <c r="T317" s="686"/>
      <c r="U317"/>
    </row>
    <row r="318" spans="10:21" s="1" customFormat="1" x14ac:dyDescent="0.2">
      <c r="J318"/>
      <c r="K318"/>
      <c r="L318"/>
      <c r="M318"/>
      <c r="N318"/>
      <c r="O318" s="392"/>
      <c r="P318" s="2"/>
      <c r="Q318" s="686"/>
      <c r="R318"/>
      <c r="S318"/>
      <c r="T318" s="686"/>
      <c r="U318"/>
    </row>
    <row r="319" spans="10:21" s="1" customFormat="1" x14ac:dyDescent="0.2">
      <c r="J319"/>
      <c r="K319"/>
      <c r="L319"/>
      <c r="M319"/>
      <c r="N319"/>
      <c r="O319" s="392"/>
      <c r="P319" s="2"/>
      <c r="Q319" s="686"/>
      <c r="R319"/>
      <c r="S319"/>
      <c r="T319" s="686"/>
      <c r="U319"/>
    </row>
    <row r="320" spans="10:21" s="1" customFormat="1" x14ac:dyDescent="0.2">
      <c r="J320"/>
      <c r="K320"/>
      <c r="L320"/>
      <c r="M320"/>
      <c r="N320"/>
      <c r="O320" s="392"/>
      <c r="P320" s="2"/>
      <c r="Q320" s="686"/>
      <c r="R320"/>
      <c r="S320"/>
      <c r="T320" s="686"/>
      <c r="U320"/>
    </row>
    <row r="321" spans="10:21" s="1" customFormat="1" x14ac:dyDescent="0.2">
      <c r="J321"/>
      <c r="K321"/>
      <c r="L321"/>
      <c r="M321"/>
      <c r="N321"/>
      <c r="O321" s="392"/>
      <c r="P321" s="2"/>
      <c r="Q321" s="686"/>
      <c r="R321"/>
      <c r="S321"/>
      <c r="T321" s="686"/>
      <c r="U321"/>
    </row>
    <row r="322" spans="10:21" s="1" customFormat="1" x14ac:dyDescent="0.2">
      <c r="J322"/>
      <c r="K322"/>
      <c r="L322"/>
      <c r="M322"/>
      <c r="N322"/>
      <c r="O322" s="392"/>
      <c r="P322" s="2"/>
      <c r="Q322" s="686"/>
      <c r="R322"/>
      <c r="S322"/>
      <c r="T322" s="686"/>
      <c r="U322"/>
    </row>
    <row r="323" spans="10:21" s="1" customFormat="1" x14ac:dyDescent="0.2">
      <c r="J323"/>
      <c r="K323"/>
      <c r="L323"/>
      <c r="M323"/>
      <c r="N323"/>
      <c r="O323" s="392"/>
      <c r="P323" s="2"/>
      <c r="Q323" s="686"/>
      <c r="R323"/>
      <c r="S323"/>
      <c r="T323" s="686"/>
      <c r="U323"/>
    </row>
    <row r="324" spans="10:21" s="1" customFormat="1" x14ac:dyDescent="0.2">
      <c r="J324"/>
      <c r="K324"/>
      <c r="L324"/>
      <c r="M324"/>
      <c r="N324"/>
      <c r="O324" s="392"/>
      <c r="P324" s="2"/>
      <c r="Q324" s="686"/>
      <c r="R324"/>
      <c r="S324"/>
      <c r="T324" s="686"/>
      <c r="U324"/>
    </row>
    <row r="325" spans="10:21" s="1" customFormat="1" x14ac:dyDescent="0.2">
      <c r="J325"/>
      <c r="K325"/>
      <c r="L325"/>
      <c r="M325"/>
      <c r="N325"/>
      <c r="O325" s="392"/>
      <c r="P325" s="2"/>
      <c r="Q325" s="686"/>
      <c r="R325"/>
      <c r="S325"/>
      <c r="T325" s="686"/>
      <c r="U325"/>
    </row>
    <row r="326" spans="10:21" s="1" customFormat="1" x14ac:dyDescent="0.2">
      <c r="J326"/>
      <c r="K326"/>
      <c r="L326"/>
      <c r="M326"/>
      <c r="N326"/>
      <c r="O326" s="392"/>
      <c r="P326" s="2"/>
      <c r="Q326" s="686"/>
      <c r="R326"/>
      <c r="S326"/>
      <c r="T326" s="686"/>
      <c r="U326"/>
    </row>
    <row r="327" spans="10:21" s="1" customFormat="1" x14ac:dyDescent="0.2">
      <c r="J327"/>
      <c r="K327"/>
      <c r="L327"/>
      <c r="M327"/>
      <c r="N327"/>
      <c r="O327" s="392"/>
      <c r="P327" s="2"/>
      <c r="Q327" s="686"/>
      <c r="R327"/>
      <c r="S327"/>
      <c r="T327" s="686"/>
      <c r="U327"/>
    </row>
    <row r="328" spans="10:21" s="1" customFormat="1" x14ac:dyDescent="0.2">
      <c r="J328"/>
      <c r="K328"/>
      <c r="L328"/>
      <c r="M328"/>
      <c r="N328"/>
      <c r="O328" s="392"/>
      <c r="P328" s="2"/>
      <c r="Q328" s="686"/>
      <c r="R328"/>
      <c r="S328"/>
      <c r="T328" s="686"/>
      <c r="U328"/>
    </row>
    <row r="329" spans="10:21" s="1" customFormat="1" x14ac:dyDescent="0.2">
      <c r="J329"/>
      <c r="K329"/>
      <c r="L329"/>
      <c r="M329"/>
      <c r="N329"/>
      <c r="O329" s="392"/>
      <c r="P329" s="2"/>
      <c r="Q329" s="686"/>
      <c r="R329"/>
      <c r="S329"/>
      <c r="T329" s="686"/>
      <c r="U329"/>
    </row>
    <row r="330" spans="10:21" s="1" customFormat="1" x14ac:dyDescent="0.2">
      <c r="J330"/>
      <c r="K330"/>
      <c r="L330"/>
      <c r="M330"/>
      <c r="N330"/>
      <c r="O330" s="392"/>
      <c r="P330" s="2"/>
      <c r="Q330" s="686"/>
      <c r="R330"/>
      <c r="S330"/>
      <c r="T330" s="686"/>
      <c r="U330"/>
    </row>
    <row r="331" spans="10:21" s="1" customFormat="1" x14ac:dyDescent="0.2">
      <c r="J331"/>
      <c r="K331"/>
      <c r="L331"/>
      <c r="M331"/>
      <c r="N331"/>
      <c r="O331" s="392"/>
      <c r="P331" s="2"/>
      <c r="Q331" s="686"/>
      <c r="R331"/>
      <c r="S331"/>
      <c r="T331" s="686"/>
      <c r="U331"/>
    </row>
    <row r="332" spans="10:21" s="1" customFormat="1" x14ac:dyDescent="0.2">
      <c r="J332"/>
      <c r="K332"/>
      <c r="L332"/>
      <c r="M332"/>
      <c r="N332"/>
      <c r="O332" s="392"/>
      <c r="P332" s="2"/>
      <c r="Q332" s="686"/>
      <c r="R332"/>
      <c r="S332"/>
      <c r="T332" s="686"/>
      <c r="U332"/>
    </row>
    <row r="333" spans="10:21" s="1" customFormat="1" x14ac:dyDescent="0.2">
      <c r="J333"/>
      <c r="K333"/>
      <c r="L333"/>
      <c r="M333"/>
      <c r="N333"/>
      <c r="O333" s="392"/>
      <c r="P333" s="2"/>
      <c r="Q333" s="686"/>
      <c r="R333"/>
      <c r="S333"/>
      <c r="T333" s="686"/>
      <c r="U333"/>
    </row>
    <row r="334" spans="10:21" s="1" customFormat="1" x14ac:dyDescent="0.2">
      <c r="J334"/>
      <c r="K334"/>
      <c r="L334"/>
      <c r="M334"/>
      <c r="N334"/>
      <c r="O334" s="392"/>
      <c r="P334" s="2"/>
      <c r="Q334" s="686"/>
      <c r="R334"/>
      <c r="S334"/>
      <c r="T334" s="686"/>
      <c r="U334"/>
    </row>
    <row r="335" spans="10:21" s="1" customFormat="1" x14ac:dyDescent="0.2">
      <c r="J335"/>
      <c r="K335"/>
      <c r="L335"/>
      <c r="M335"/>
      <c r="N335"/>
      <c r="O335" s="392"/>
      <c r="P335" s="2"/>
      <c r="Q335" s="686"/>
      <c r="R335"/>
      <c r="S335"/>
      <c r="T335" s="686"/>
      <c r="U335"/>
    </row>
    <row r="336" spans="10:21" s="1" customFormat="1" x14ac:dyDescent="0.2">
      <c r="J336"/>
      <c r="K336"/>
      <c r="L336"/>
      <c r="M336"/>
      <c r="N336"/>
      <c r="O336" s="392"/>
      <c r="P336" s="2"/>
      <c r="Q336" s="686"/>
      <c r="R336"/>
      <c r="S336"/>
      <c r="T336" s="686"/>
      <c r="U336"/>
    </row>
    <row r="337" spans="10:21" s="1" customFormat="1" x14ac:dyDescent="0.2">
      <c r="J337"/>
      <c r="K337"/>
      <c r="L337"/>
      <c r="M337"/>
      <c r="N337"/>
      <c r="O337" s="392"/>
      <c r="P337" s="2"/>
      <c r="Q337" s="686"/>
      <c r="R337"/>
      <c r="S337"/>
      <c r="T337" s="686"/>
      <c r="U337"/>
    </row>
    <row r="338" spans="10:21" s="1" customFormat="1" x14ac:dyDescent="0.2">
      <c r="J338"/>
      <c r="K338"/>
      <c r="L338"/>
      <c r="M338"/>
      <c r="N338"/>
      <c r="O338" s="392"/>
      <c r="P338" s="2"/>
      <c r="Q338" s="686"/>
      <c r="R338"/>
      <c r="S338"/>
      <c r="T338" s="686"/>
      <c r="U338"/>
    </row>
    <row r="339" spans="10:21" s="1" customFormat="1" x14ac:dyDescent="0.2">
      <c r="J339"/>
      <c r="K339"/>
      <c r="L339"/>
      <c r="M339"/>
      <c r="N339"/>
      <c r="O339" s="392"/>
      <c r="P339" s="2"/>
      <c r="Q339" s="686"/>
      <c r="R339"/>
      <c r="S339"/>
      <c r="T339" s="686"/>
      <c r="U339"/>
    </row>
    <row r="340" spans="10:21" s="1" customFormat="1" x14ac:dyDescent="0.2">
      <c r="J340"/>
      <c r="K340"/>
      <c r="L340"/>
      <c r="M340"/>
      <c r="N340"/>
      <c r="O340" s="392"/>
      <c r="P340" s="2"/>
      <c r="Q340" s="686"/>
      <c r="R340"/>
      <c r="S340"/>
      <c r="T340" s="686"/>
      <c r="U340"/>
    </row>
    <row r="341" spans="10:21" s="1" customFormat="1" x14ac:dyDescent="0.2">
      <c r="J341"/>
      <c r="K341"/>
      <c r="L341"/>
      <c r="M341"/>
      <c r="N341"/>
      <c r="O341" s="392"/>
      <c r="P341" s="2"/>
      <c r="Q341" s="686"/>
      <c r="R341"/>
      <c r="S341"/>
      <c r="T341" s="686"/>
      <c r="U341"/>
    </row>
    <row r="342" spans="10:21" s="1" customFormat="1" x14ac:dyDescent="0.2">
      <c r="J342"/>
      <c r="K342"/>
      <c r="L342"/>
      <c r="M342"/>
      <c r="N342"/>
      <c r="O342" s="392"/>
      <c r="P342" s="2"/>
      <c r="Q342" s="686"/>
      <c r="R342"/>
      <c r="S342"/>
      <c r="T342" s="686"/>
      <c r="U342"/>
    </row>
    <row r="343" spans="10:21" s="1" customFormat="1" x14ac:dyDescent="0.2">
      <c r="J343"/>
      <c r="K343"/>
      <c r="L343"/>
      <c r="M343"/>
      <c r="N343"/>
      <c r="O343" s="392"/>
      <c r="P343" s="2"/>
      <c r="Q343" s="686"/>
      <c r="R343"/>
      <c r="S343"/>
      <c r="T343" s="686"/>
      <c r="U343"/>
    </row>
    <row r="344" spans="10:21" s="1" customFormat="1" x14ac:dyDescent="0.2">
      <c r="J344"/>
      <c r="K344"/>
      <c r="L344"/>
      <c r="M344"/>
      <c r="N344"/>
      <c r="O344" s="392"/>
      <c r="P344" s="2"/>
      <c r="Q344" s="686"/>
      <c r="R344"/>
      <c r="S344"/>
      <c r="T344" s="686"/>
      <c r="U344"/>
    </row>
    <row r="345" spans="10:21" s="1" customFormat="1" x14ac:dyDescent="0.2">
      <c r="J345"/>
      <c r="K345"/>
      <c r="L345"/>
      <c r="M345"/>
      <c r="N345"/>
      <c r="O345" s="392"/>
      <c r="P345" s="2"/>
      <c r="Q345" s="686"/>
      <c r="R345"/>
      <c r="S345"/>
      <c r="T345" s="686"/>
      <c r="U345"/>
    </row>
    <row r="346" spans="10:21" s="1" customFormat="1" x14ac:dyDescent="0.2">
      <c r="J346"/>
      <c r="K346"/>
      <c r="L346"/>
      <c r="M346"/>
      <c r="N346"/>
      <c r="O346" s="392"/>
      <c r="P346" s="2"/>
      <c r="Q346" s="686"/>
      <c r="R346"/>
      <c r="S346"/>
      <c r="T346" s="686"/>
      <c r="U346"/>
    </row>
    <row r="347" spans="10:21" s="1" customFormat="1" x14ac:dyDescent="0.2">
      <c r="J347"/>
      <c r="K347"/>
      <c r="L347"/>
      <c r="M347"/>
      <c r="N347"/>
      <c r="O347" s="392"/>
      <c r="P347" s="2"/>
      <c r="Q347" s="686"/>
      <c r="R347"/>
      <c r="S347"/>
      <c r="T347" s="686"/>
      <c r="U347"/>
    </row>
    <row r="348" spans="10:21" s="1" customFormat="1" x14ac:dyDescent="0.2">
      <c r="J348"/>
      <c r="K348"/>
      <c r="L348"/>
      <c r="M348"/>
      <c r="N348"/>
      <c r="O348" s="392"/>
      <c r="P348" s="2"/>
      <c r="Q348" s="686"/>
      <c r="R348"/>
      <c r="S348"/>
      <c r="T348" s="686"/>
      <c r="U348"/>
    </row>
    <row r="349" spans="10:21" s="1" customFormat="1" x14ac:dyDescent="0.2">
      <c r="J349"/>
      <c r="K349"/>
      <c r="L349"/>
      <c r="M349"/>
      <c r="N349"/>
      <c r="O349" s="392"/>
      <c r="P349" s="2"/>
      <c r="Q349" s="686"/>
      <c r="R349"/>
      <c r="S349"/>
      <c r="T349" s="686"/>
      <c r="U349"/>
    </row>
    <row r="350" spans="10:21" s="1" customFormat="1" x14ac:dyDescent="0.2">
      <c r="J350"/>
      <c r="K350"/>
      <c r="L350"/>
      <c r="M350"/>
      <c r="N350"/>
      <c r="O350" s="392"/>
      <c r="P350" s="2"/>
      <c r="Q350" s="686"/>
      <c r="R350"/>
      <c r="S350"/>
      <c r="T350" s="686"/>
      <c r="U350"/>
    </row>
    <row r="351" spans="10:21" s="1" customFormat="1" x14ac:dyDescent="0.2">
      <c r="J351"/>
      <c r="K351"/>
      <c r="L351"/>
      <c r="M351"/>
      <c r="N351"/>
      <c r="O351" s="392"/>
      <c r="P351" s="2"/>
      <c r="Q351" s="686"/>
      <c r="R351"/>
      <c r="S351"/>
      <c r="T351" s="686"/>
      <c r="U351"/>
    </row>
    <row r="352" spans="10:21" s="1" customFormat="1" x14ac:dyDescent="0.2">
      <c r="J352"/>
      <c r="K352"/>
      <c r="L352"/>
      <c r="M352"/>
      <c r="N352"/>
      <c r="O352" s="392"/>
      <c r="P352" s="2"/>
      <c r="Q352" s="686"/>
      <c r="R352"/>
      <c r="S352"/>
      <c r="T352" s="686"/>
      <c r="U352"/>
    </row>
    <row r="353" spans="10:21" s="1" customFormat="1" x14ac:dyDescent="0.2">
      <c r="J353"/>
      <c r="K353"/>
      <c r="L353"/>
      <c r="M353"/>
      <c r="N353"/>
      <c r="O353" s="392"/>
      <c r="P353" s="2"/>
      <c r="Q353" s="686"/>
      <c r="R353"/>
      <c r="S353"/>
      <c r="T353" s="686"/>
      <c r="U353"/>
    </row>
    <row r="354" spans="10:21" s="1" customFormat="1" x14ac:dyDescent="0.2">
      <c r="J354"/>
      <c r="K354"/>
      <c r="L354"/>
      <c r="M354"/>
      <c r="N354"/>
      <c r="O354" s="392"/>
      <c r="P354" s="2"/>
      <c r="Q354" s="686"/>
      <c r="R354"/>
      <c r="S354"/>
      <c r="T354" s="686"/>
      <c r="U354"/>
    </row>
    <row r="355" spans="10:21" s="1" customFormat="1" x14ac:dyDescent="0.2">
      <c r="J355"/>
      <c r="K355"/>
      <c r="L355"/>
      <c r="M355"/>
      <c r="N355"/>
      <c r="O355" s="392"/>
      <c r="P355" s="2"/>
      <c r="Q355" s="686"/>
      <c r="R355"/>
      <c r="S355"/>
      <c r="T355" s="686"/>
      <c r="U355"/>
    </row>
    <row r="356" spans="10:21" s="1" customFormat="1" x14ac:dyDescent="0.2">
      <c r="J356"/>
      <c r="K356"/>
      <c r="L356"/>
      <c r="M356"/>
      <c r="N356"/>
      <c r="O356" s="392"/>
      <c r="P356" s="2"/>
      <c r="Q356" s="686"/>
      <c r="R356"/>
      <c r="S356"/>
      <c r="T356" s="686"/>
      <c r="U356"/>
    </row>
    <row r="357" spans="10:21" s="1" customFormat="1" x14ac:dyDescent="0.2">
      <c r="J357"/>
      <c r="K357"/>
      <c r="L357"/>
      <c r="M357"/>
      <c r="N357"/>
      <c r="O357" s="392"/>
      <c r="P357" s="2"/>
      <c r="Q357" s="686"/>
      <c r="R357"/>
      <c r="S357"/>
      <c r="T357" s="686"/>
      <c r="U357"/>
    </row>
    <row r="358" spans="10:21" s="1" customFormat="1" x14ac:dyDescent="0.2">
      <c r="J358"/>
      <c r="K358"/>
      <c r="L358"/>
      <c r="M358"/>
      <c r="N358"/>
      <c r="O358" s="392"/>
      <c r="P358" s="2"/>
      <c r="Q358" s="686"/>
      <c r="R358"/>
      <c r="S358"/>
      <c r="T358" s="686"/>
      <c r="U358"/>
    </row>
    <row r="359" spans="10:21" s="1" customFormat="1" x14ac:dyDescent="0.2">
      <c r="J359"/>
      <c r="K359"/>
      <c r="L359"/>
      <c r="M359"/>
      <c r="N359"/>
      <c r="O359" s="392"/>
      <c r="P359" s="2"/>
      <c r="Q359" s="686"/>
      <c r="R359"/>
      <c r="S359"/>
      <c r="T359" s="686"/>
      <c r="U359"/>
    </row>
    <row r="360" spans="10:21" s="1" customFormat="1" x14ac:dyDescent="0.2">
      <c r="J360"/>
      <c r="K360"/>
      <c r="L360"/>
      <c r="M360"/>
      <c r="N360"/>
      <c r="O360" s="392"/>
      <c r="P360" s="2"/>
      <c r="Q360" s="686"/>
      <c r="R360"/>
      <c r="S360"/>
      <c r="T360" s="686"/>
      <c r="U360"/>
    </row>
    <row r="361" spans="10:21" s="1" customFormat="1" x14ac:dyDescent="0.2">
      <c r="J361"/>
      <c r="K361"/>
      <c r="L361"/>
      <c r="M361"/>
      <c r="N361"/>
      <c r="O361" s="392"/>
      <c r="P361" s="2"/>
      <c r="Q361" s="686"/>
      <c r="R361"/>
      <c r="S361"/>
      <c r="T361" s="686"/>
      <c r="U361"/>
    </row>
    <row r="362" spans="10:21" s="1" customFormat="1" x14ac:dyDescent="0.2">
      <c r="J362"/>
      <c r="K362"/>
      <c r="L362"/>
      <c r="M362"/>
      <c r="N362"/>
      <c r="O362" s="392"/>
      <c r="P362" s="2"/>
      <c r="Q362" s="686"/>
      <c r="R362"/>
      <c r="S362"/>
      <c r="T362" s="686"/>
      <c r="U362"/>
    </row>
    <row r="363" spans="10:21" s="1" customFormat="1" x14ac:dyDescent="0.2">
      <c r="J363"/>
      <c r="K363"/>
      <c r="L363"/>
      <c r="M363"/>
      <c r="N363"/>
      <c r="O363" s="392"/>
      <c r="P363" s="2"/>
      <c r="Q363" s="686"/>
      <c r="R363"/>
      <c r="S363"/>
      <c r="T363" s="686"/>
      <c r="U363"/>
    </row>
    <row r="364" spans="10:21" s="1" customFormat="1" x14ac:dyDescent="0.2">
      <c r="J364"/>
      <c r="K364"/>
      <c r="L364"/>
      <c r="M364"/>
      <c r="N364"/>
      <c r="O364" s="392"/>
      <c r="P364" s="2"/>
      <c r="Q364" s="686"/>
      <c r="R364"/>
      <c r="S364"/>
      <c r="T364" s="686"/>
      <c r="U364"/>
    </row>
    <row r="365" spans="10:21" s="1" customFormat="1" x14ac:dyDescent="0.2">
      <c r="J365"/>
      <c r="K365"/>
      <c r="L365"/>
      <c r="M365"/>
      <c r="N365"/>
      <c r="O365" s="392"/>
      <c r="P365" s="2"/>
      <c r="Q365" s="686"/>
      <c r="R365"/>
      <c r="S365"/>
      <c r="T365" s="686"/>
      <c r="U365"/>
    </row>
    <row r="366" spans="10:21" s="1" customFormat="1" x14ac:dyDescent="0.2">
      <c r="J366"/>
      <c r="K366"/>
      <c r="L366"/>
      <c r="M366"/>
      <c r="N366"/>
      <c r="O366" s="392"/>
      <c r="P366" s="2"/>
      <c r="Q366" s="686"/>
      <c r="R366"/>
      <c r="S366"/>
      <c r="T366" s="686"/>
      <c r="U366"/>
    </row>
    <row r="367" spans="10:21" s="1" customFormat="1" x14ac:dyDescent="0.2">
      <c r="J367"/>
      <c r="K367"/>
      <c r="L367"/>
      <c r="M367"/>
      <c r="N367"/>
      <c r="O367" s="392"/>
      <c r="P367" s="2"/>
      <c r="Q367" s="686"/>
      <c r="R367"/>
      <c r="S367"/>
      <c r="T367" s="686"/>
      <c r="U367"/>
    </row>
    <row r="368" spans="10:21" s="1" customFormat="1" x14ac:dyDescent="0.2">
      <c r="J368"/>
      <c r="K368"/>
      <c r="L368"/>
      <c r="M368"/>
      <c r="N368"/>
      <c r="O368" s="392"/>
      <c r="P368" s="2"/>
      <c r="Q368" s="686"/>
      <c r="R368"/>
      <c r="S368"/>
      <c r="T368" s="686"/>
      <c r="U368"/>
    </row>
    <row r="369" spans="10:21" s="1" customFormat="1" x14ac:dyDescent="0.2">
      <c r="J369"/>
      <c r="K369"/>
      <c r="L369"/>
      <c r="M369"/>
      <c r="N369"/>
      <c r="O369" s="392"/>
      <c r="P369" s="2"/>
      <c r="Q369" s="686"/>
      <c r="R369"/>
      <c r="S369"/>
      <c r="T369" s="686"/>
      <c r="U369"/>
    </row>
    <row r="370" spans="10:21" s="1" customFormat="1" x14ac:dyDescent="0.2">
      <c r="J370"/>
      <c r="K370"/>
      <c r="L370"/>
      <c r="M370"/>
      <c r="N370"/>
      <c r="O370" s="392"/>
      <c r="P370" s="2"/>
      <c r="Q370" s="686"/>
      <c r="R370"/>
      <c r="S370"/>
      <c r="T370" s="686"/>
      <c r="U370"/>
    </row>
    <row r="371" spans="10:21" s="1" customFormat="1" x14ac:dyDescent="0.2">
      <c r="J371"/>
      <c r="K371"/>
      <c r="L371"/>
      <c r="M371"/>
      <c r="N371"/>
      <c r="O371" s="392"/>
      <c r="P371" s="2"/>
      <c r="Q371" s="686"/>
      <c r="R371"/>
      <c r="S371"/>
      <c r="T371" s="686"/>
      <c r="U371"/>
    </row>
    <row r="372" spans="10:21" s="1" customFormat="1" x14ac:dyDescent="0.2">
      <c r="J372"/>
      <c r="K372"/>
      <c r="L372"/>
      <c r="M372"/>
      <c r="N372"/>
      <c r="O372" s="392"/>
      <c r="P372" s="2"/>
      <c r="Q372" s="686"/>
      <c r="R372"/>
      <c r="S372"/>
      <c r="T372" s="686"/>
      <c r="U372"/>
    </row>
    <row r="373" spans="10:21" s="1" customFormat="1" x14ac:dyDescent="0.2">
      <c r="J373"/>
      <c r="K373"/>
      <c r="L373"/>
      <c r="M373"/>
      <c r="N373"/>
      <c r="O373" s="392"/>
      <c r="P373" s="2"/>
      <c r="Q373" s="686"/>
      <c r="R373"/>
      <c r="S373"/>
      <c r="T373" s="686"/>
      <c r="U373"/>
    </row>
    <row r="374" spans="10:21" s="1" customFormat="1" x14ac:dyDescent="0.2">
      <c r="J374"/>
      <c r="K374"/>
      <c r="L374"/>
      <c r="M374"/>
      <c r="N374"/>
      <c r="O374" s="392"/>
      <c r="P374" s="2"/>
      <c r="Q374" s="686"/>
      <c r="R374"/>
      <c r="S374"/>
      <c r="T374" s="686"/>
      <c r="U374"/>
    </row>
    <row r="375" spans="10:21" s="1" customFormat="1" x14ac:dyDescent="0.2">
      <c r="J375"/>
      <c r="K375"/>
      <c r="L375"/>
      <c r="M375"/>
      <c r="N375"/>
      <c r="O375" s="392"/>
      <c r="P375" s="2"/>
      <c r="Q375" s="686"/>
      <c r="R375"/>
      <c r="S375"/>
      <c r="T375" s="686"/>
      <c r="U375"/>
    </row>
    <row r="376" spans="10:21" s="1" customFormat="1" x14ac:dyDescent="0.2">
      <c r="J376"/>
      <c r="K376"/>
      <c r="L376"/>
      <c r="M376"/>
      <c r="N376"/>
      <c r="O376" s="392"/>
      <c r="P376" s="2"/>
      <c r="Q376" s="686"/>
      <c r="R376"/>
      <c r="S376"/>
      <c r="T376" s="686"/>
      <c r="U376"/>
    </row>
    <row r="377" spans="10:21" s="1" customFormat="1" x14ac:dyDescent="0.2">
      <c r="J377"/>
      <c r="K377"/>
      <c r="L377"/>
      <c r="M377"/>
      <c r="N377"/>
      <c r="O377" s="392"/>
      <c r="P377" s="2"/>
      <c r="Q377" s="686"/>
      <c r="R377"/>
      <c r="S377"/>
      <c r="T377" s="686"/>
      <c r="U377"/>
    </row>
    <row r="378" spans="10:21" s="1" customFormat="1" x14ac:dyDescent="0.2">
      <c r="J378"/>
      <c r="K378"/>
      <c r="L378"/>
      <c r="M378"/>
      <c r="N378"/>
      <c r="O378" s="392"/>
      <c r="P378" s="2"/>
      <c r="Q378" s="686"/>
      <c r="R378"/>
      <c r="S378"/>
      <c r="T378" s="686"/>
      <c r="U378"/>
    </row>
    <row r="379" spans="10:21" s="1" customFormat="1" x14ac:dyDescent="0.2">
      <c r="J379"/>
      <c r="K379"/>
      <c r="L379"/>
      <c r="M379"/>
      <c r="N379"/>
      <c r="O379" s="392"/>
      <c r="P379" s="2"/>
      <c r="Q379" s="686"/>
      <c r="R379"/>
      <c r="S379"/>
      <c r="T379" s="686"/>
      <c r="U379"/>
    </row>
    <row r="380" spans="10:21" s="1" customFormat="1" x14ac:dyDescent="0.2">
      <c r="J380"/>
      <c r="K380"/>
      <c r="L380"/>
      <c r="M380"/>
      <c r="N380"/>
      <c r="O380" s="392"/>
      <c r="P380" s="2"/>
      <c r="Q380" s="686"/>
      <c r="R380"/>
      <c r="S380"/>
      <c r="T380" s="686"/>
      <c r="U380"/>
    </row>
    <row r="381" spans="10:21" s="1" customFormat="1" x14ac:dyDescent="0.2">
      <c r="J381"/>
      <c r="K381"/>
      <c r="L381"/>
      <c r="M381"/>
      <c r="N381"/>
      <c r="O381" s="392"/>
      <c r="P381" s="2"/>
      <c r="Q381" s="686"/>
      <c r="R381"/>
      <c r="S381"/>
      <c r="T381" s="686"/>
      <c r="U381"/>
    </row>
    <row r="382" spans="10:21" s="1" customFormat="1" x14ac:dyDescent="0.2">
      <c r="J382"/>
      <c r="K382"/>
      <c r="L382"/>
      <c r="M382"/>
      <c r="N382"/>
      <c r="O382" s="392"/>
      <c r="P382" s="2"/>
      <c r="Q382" s="686"/>
      <c r="R382"/>
      <c r="S382"/>
      <c r="T382" s="686"/>
      <c r="U382"/>
    </row>
    <row r="383" spans="10:21" s="1" customFormat="1" x14ac:dyDescent="0.2">
      <c r="J383"/>
      <c r="K383"/>
      <c r="L383"/>
      <c r="M383"/>
      <c r="N383"/>
      <c r="O383" s="392"/>
      <c r="P383" s="2"/>
      <c r="Q383" s="686"/>
      <c r="R383"/>
      <c r="S383"/>
      <c r="T383" s="686"/>
      <c r="U383"/>
    </row>
    <row r="384" spans="10:21" s="1" customFormat="1" x14ac:dyDescent="0.2">
      <c r="J384"/>
      <c r="K384"/>
      <c r="L384"/>
      <c r="M384"/>
      <c r="N384"/>
      <c r="O384" s="392"/>
      <c r="P384" s="2"/>
      <c r="Q384" s="686"/>
      <c r="R384"/>
      <c r="S384"/>
      <c r="T384" s="686"/>
      <c r="U384"/>
    </row>
    <row r="385" spans="10:21" s="1" customFormat="1" x14ac:dyDescent="0.2">
      <c r="J385"/>
      <c r="K385"/>
      <c r="L385"/>
      <c r="M385"/>
      <c r="N385"/>
      <c r="O385" s="392"/>
      <c r="P385" s="2"/>
      <c r="Q385" s="686"/>
      <c r="R385"/>
      <c r="S385"/>
      <c r="T385" s="686"/>
      <c r="U385"/>
    </row>
    <row r="386" spans="10:21" s="1" customFormat="1" x14ac:dyDescent="0.2">
      <c r="J386"/>
      <c r="K386"/>
      <c r="L386"/>
      <c r="M386"/>
      <c r="N386"/>
      <c r="O386" s="392"/>
      <c r="P386" s="2"/>
      <c r="Q386" s="686"/>
      <c r="R386"/>
      <c r="S386"/>
      <c r="T386" s="686"/>
      <c r="U386"/>
    </row>
    <row r="387" spans="10:21" s="1" customFormat="1" x14ac:dyDescent="0.2">
      <c r="J387"/>
      <c r="K387"/>
      <c r="L387"/>
      <c r="M387"/>
      <c r="N387"/>
      <c r="O387" s="392"/>
      <c r="P387" s="2"/>
      <c r="Q387" s="686"/>
      <c r="R387"/>
      <c r="S387"/>
      <c r="T387" s="686"/>
      <c r="U387"/>
    </row>
    <row r="388" spans="10:21" s="1" customFormat="1" x14ac:dyDescent="0.2">
      <c r="J388"/>
      <c r="K388"/>
      <c r="L388"/>
      <c r="M388"/>
      <c r="N388"/>
      <c r="O388" s="392"/>
      <c r="P388" s="2"/>
      <c r="Q388" s="686"/>
      <c r="R388"/>
      <c r="S388"/>
      <c r="T388" s="686"/>
      <c r="U388"/>
    </row>
    <row r="389" spans="10:21" s="1" customFormat="1" x14ac:dyDescent="0.2">
      <c r="J389"/>
      <c r="K389"/>
      <c r="L389"/>
      <c r="M389"/>
      <c r="N389"/>
      <c r="O389" s="392"/>
      <c r="P389" s="2"/>
      <c r="Q389" s="686"/>
      <c r="R389"/>
      <c r="S389"/>
      <c r="T389" s="686"/>
      <c r="U389"/>
    </row>
    <row r="390" spans="10:21" s="1" customFormat="1" x14ac:dyDescent="0.2">
      <c r="J390"/>
      <c r="K390"/>
      <c r="L390"/>
      <c r="M390"/>
      <c r="N390"/>
      <c r="O390" s="392"/>
      <c r="P390" s="2"/>
      <c r="Q390" s="686"/>
      <c r="R390"/>
      <c r="S390"/>
      <c r="T390" s="686"/>
      <c r="U390"/>
    </row>
    <row r="391" spans="10:21" s="1" customFormat="1" x14ac:dyDescent="0.2">
      <c r="J391"/>
      <c r="K391"/>
      <c r="L391"/>
      <c r="M391"/>
      <c r="N391"/>
      <c r="O391" s="392"/>
      <c r="P391" s="2"/>
      <c r="Q391" s="686"/>
      <c r="R391"/>
      <c r="S391"/>
      <c r="T391" s="686"/>
      <c r="U391"/>
    </row>
    <row r="392" spans="10:21" s="1" customFormat="1" x14ac:dyDescent="0.2">
      <c r="J392"/>
      <c r="K392"/>
      <c r="L392"/>
      <c r="M392"/>
      <c r="N392"/>
      <c r="O392" s="392"/>
      <c r="P392" s="2"/>
      <c r="Q392" s="686"/>
      <c r="R392"/>
      <c r="S392"/>
      <c r="T392" s="686"/>
      <c r="U392"/>
    </row>
    <row r="393" spans="10:21" s="1" customFormat="1" x14ac:dyDescent="0.2">
      <c r="J393"/>
      <c r="K393"/>
      <c r="L393"/>
      <c r="M393"/>
      <c r="N393"/>
      <c r="O393" s="392"/>
      <c r="P393" s="2"/>
      <c r="Q393" s="686"/>
      <c r="R393"/>
      <c r="S393"/>
      <c r="T393" s="686"/>
      <c r="U393"/>
    </row>
    <row r="394" spans="10:21" s="1" customFormat="1" x14ac:dyDescent="0.2">
      <c r="J394"/>
      <c r="K394"/>
      <c r="L394"/>
      <c r="M394"/>
      <c r="N394"/>
      <c r="O394" s="392"/>
      <c r="P394" s="2"/>
      <c r="Q394" s="686"/>
      <c r="R394"/>
      <c r="S394"/>
      <c r="T394" s="686"/>
      <c r="U394"/>
    </row>
    <row r="395" spans="10:21" s="1" customFormat="1" x14ac:dyDescent="0.2">
      <c r="J395"/>
      <c r="K395"/>
      <c r="L395"/>
      <c r="M395"/>
      <c r="N395"/>
      <c r="O395" s="392"/>
      <c r="P395" s="2"/>
      <c r="Q395" s="686"/>
      <c r="R395"/>
      <c r="S395"/>
      <c r="T395" s="686"/>
      <c r="U395"/>
    </row>
    <row r="396" spans="10:21" s="1" customFormat="1" x14ac:dyDescent="0.2">
      <c r="J396"/>
      <c r="K396"/>
      <c r="L396"/>
      <c r="M396"/>
      <c r="N396"/>
      <c r="O396" s="392"/>
      <c r="P396" s="2"/>
      <c r="Q396" s="686"/>
      <c r="R396"/>
      <c r="S396"/>
      <c r="T396" s="686"/>
      <c r="U396"/>
    </row>
    <row r="397" spans="10:21" s="1" customFormat="1" x14ac:dyDescent="0.2">
      <c r="J397"/>
      <c r="K397"/>
      <c r="L397"/>
      <c r="M397"/>
      <c r="N397"/>
      <c r="O397" s="392"/>
      <c r="P397" s="2"/>
      <c r="Q397" s="686"/>
      <c r="R397"/>
      <c r="S397"/>
      <c r="T397" s="686"/>
      <c r="U397"/>
    </row>
    <row r="398" spans="10:21" s="1" customFormat="1" x14ac:dyDescent="0.2">
      <c r="J398"/>
      <c r="K398"/>
      <c r="L398"/>
      <c r="M398"/>
      <c r="N398"/>
      <c r="O398" s="392"/>
      <c r="P398" s="2"/>
      <c r="Q398" s="686"/>
      <c r="R398"/>
      <c r="S398"/>
      <c r="T398" s="686"/>
      <c r="U398"/>
    </row>
    <row r="399" spans="10:21" s="1" customFormat="1" x14ac:dyDescent="0.2">
      <c r="J399"/>
      <c r="K399"/>
      <c r="L399"/>
      <c r="M399"/>
      <c r="N399"/>
      <c r="O399" s="392"/>
      <c r="P399" s="2"/>
      <c r="Q399" s="686"/>
      <c r="R399"/>
      <c r="S399"/>
      <c r="T399" s="686"/>
      <c r="U399"/>
    </row>
    <row r="400" spans="10:21" s="1" customFormat="1" x14ac:dyDescent="0.2">
      <c r="J400"/>
      <c r="K400"/>
      <c r="L400"/>
      <c r="M400"/>
      <c r="N400"/>
      <c r="O400" s="392"/>
      <c r="P400" s="2"/>
      <c r="Q400" s="686"/>
      <c r="R400"/>
      <c r="S400"/>
      <c r="T400" s="686"/>
      <c r="U400"/>
    </row>
    <row r="401" spans="10:21" s="1" customFormat="1" x14ac:dyDescent="0.2">
      <c r="J401"/>
      <c r="K401"/>
      <c r="L401"/>
      <c r="M401"/>
      <c r="N401"/>
      <c r="O401" s="392"/>
      <c r="P401" s="2"/>
      <c r="Q401" s="686"/>
      <c r="R401"/>
      <c r="S401"/>
      <c r="T401" s="686"/>
      <c r="U401"/>
    </row>
    <row r="402" spans="10:21" s="1" customFormat="1" x14ac:dyDescent="0.2">
      <c r="J402"/>
      <c r="K402"/>
      <c r="L402"/>
      <c r="M402"/>
      <c r="N402"/>
      <c r="O402" s="392"/>
      <c r="P402" s="2"/>
      <c r="Q402" s="686"/>
      <c r="R402"/>
      <c r="S402"/>
      <c r="T402" s="686"/>
      <c r="U402"/>
    </row>
    <row r="403" spans="10:21" s="1" customFormat="1" x14ac:dyDescent="0.2">
      <c r="J403"/>
      <c r="K403"/>
      <c r="L403"/>
      <c r="M403"/>
      <c r="N403"/>
      <c r="O403" s="392"/>
      <c r="P403" s="2"/>
      <c r="Q403" s="686"/>
      <c r="R403"/>
      <c r="S403"/>
      <c r="T403" s="686"/>
      <c r="U403"/>
    </row>
    <row r="404" spans="10:21" s="1" customFormat="1" x14ac:dyDescent="0.2">
      <c r="J404"/>
      <c r="K404"/>
      <c r="L404"/>
      <c r="M404"/>
      <c r="N404"/>
      <c r="O404" s="392"/>
      <c r="P404" s="2"/>
      <c r="Q404" s="686"/>
      <c r="R404"/>
      <c r="S404"/>
      <c r="T404" s="686"/>
      <c r="U404"/>
    </row>
    <row r="405" spans="10:21" s="1" customFormat="1" x14ac:dyDescent="0.2">
      <c r="J405"/>
      <c r="K405"/>
      <c r="L405"/>
      <c r="M405"/>
      <c r="N405"/>
      <c r="O405" s="392"/>
      <c r="P405" s="2"/>
      <c r="Q405" s="686"/>
      <c r="R405"/>
      <c r="S405"/>
      <c r="T405" s="686"/>
      <c r="U405"/>
    </row>
    <row r="406" spans="10:21" s="1" customFormat="1" x14ac:dyDescent="0.2">
      <c r="J406"/>
      <c r="K406"/>
      <c r="L406"/>
      <c r="M406"/>
      <c r="N406"/>
      <c r="O406" s="392"/>
      <c r="P406" s="2"/>
      <c r="Q406" s="686"/>
      <c r="R406"/>
      <c r="S406"/>
      <c r="T406" s="686"/>
      <c r="U406"/>
    </row>
    <row r="407" spans="10:21" s="1" customFormat="1" x14ac:dyDescent="0.2">
      <c r="J407"/>
      <c r="K407"/>
      <c r="L407"/>
      <c r="M407"/>
      <c r="N407"/>
      <c r="O407" s="392"/>
      <c r="P407" s="2"/>
      <c r="Q407" s="686"/>
      <c r="R407"/>
      <c r="S407"/>
      <c r="T407" s="686"/>
      <c r="U407"/>
    </row>
    <row r="408" spans="10:21" s="1" customFormat="1" x14ac:dyDescent="0.2">
      <c r="J408"/>
      <c r="K408"/>
      <c r="L408"/>
      <c r="M408"/>
      <c r="N408"/>
      <c r="O408" s="392"/>
      <c r="P408" s="2"/>
      <c r="Q408" s="686"/>
      <c r="R408"/>
      <c r="S408"/>
      <c r="T408" s="686"/>
      <c r="U408"/>
    </row>
    <row r="409" spans="10:21" s="1" customFormat="1" x14ac:dyDescent="0.2">
      <c r="J409"/>
      <c r="K409"/>
      <c r="L409"/>
      <c r="M409"/>
      <c r="N409"/>
      <c r="O409" s="392"/>
      <c r="P409" s="2"/>
      <c r="Q409" s="686"/>
      <c r="R409"/>
      <c r="S409"/>
      <c r="T409" s="686"/>
      <c r="U409"/>
    </row>
    <row r="410" spans="10:21" s="1" customFormat="1" x14ac:dyDescent="0.2">
      <c r="J410"/>
      <c r="K410"/>
      <c r="L410"/>
      <c r="M410"/>
      <c r="N410"/>
      <c r="O410" s="392"/>
      <c r="P410" s="2"/>
      <c r="Q410" s="686"/>
      <c r="R410"/>
      <c r="S410"/>
      <c r="T410" s="686"/>
      <c r="U410"/>
    </row>
    <row r="411" spans="10:21" s="1" customFormat="1" x14ac:dyDescent="0.2">
      <c r="J411"/>
      <c r="K411"/>
      <c r="L411"/>
      <c r="M411"/>
      <c r="N411"/>
      <c r="O411" s="392"/>
      <c r="P411" s="2"/>
      <c r="Q411" s="686"/>
      <c r="R411"/>
      <c r="S411"/>
      <c r="T411" s="686"/>
      <c r="U411"/>
    </row>
    <row r="412" spans="10:21" s="1" customFormat="1" x14ac:dyDescent="0.2">
      <c r="J412"/>
      <c r="K412"/>
      <c r="L412"/>
      <c r="M412"/>
      <c r="N412"/>
      <c r="O412" s="392"/>
      <c r="P412" s="2"/>
      <c r="Q412" s="686"/>
      <c r="R412"/>
      <c r="S412"/>
      <c r="T412" s="686"/>
      <c r="U412"/>
    </row>
    <row r="413" spans="10:21" s="1" customFormat="1" x14ac:dyDescent="0.2">
      <c r="J413"/>
      <c r="K413"/>
      <c r="L413"/>
      <c r="M413"/>
      <c r="N413"/>
      <c r="O413" s="392"/>
      <c r="P413" s="2"/>
      <c r="Q413" s="686"/>
      <c r="R413"/>
      <c r="S413"/>
      <c r="T413" s="686"/>
      <c r="U413"/>
    </row>
    <row r="414" spans="10:21" s="1" customFormat="1" x14ac:dyDescent="0.2">
      <c r="J414"/>
      <c r="K414"/>
      <c r="L414"/>
      <c r="M414"/>
      <c r="N414"/>
      <c r="O414" s="392"/>
      <c r="P414" s="2"/>
      <c r="Q414" s="686"/>
      <c r="R414"/>
      <c r="S414"/>
      <c r="T414" s="686"/>
      <c r="U414"/>
    </row>
    <row r="415" spans="10:21" s="1" customFormat="1" x14ac:dyDescent="0.2">
      <c r="J415"/>
      <c r="K415"/>
      <c r="L415"/>
      <c r="M415"/>
      <c r="N415"/>
      <c r="O415" s="392"/>
      <c r="P415" s="2"/>
      <c r="Q415" s="686"/>
      <c r="R415"/>
      <c r="S415"/>
      <c r="T415" s="686"/>
      <c r="U415"/>
    </row>
    <row r="416" spans="10:21" s="1" customFormat="1" x14ac:dyDescent="0.2">
      <c r="J416"/>
      <c r="K416"/>
      <c r="L416"/>
      <c r="M416"/>
      <c r="N416"/>
      <c r="O416" s="392"/>
      <c r="P416" s="2"/>
      <c r="Q416" s="686"/>
      <c r="R416"/>
      <c r="S416"/>
      <c r="T416" s="686"/>
      <c r="U416"/>
    </row>
    <row r="417" spans="10:21" s="1" customFormat="1" x14ac:dyDescent="0.2">
      <c r="J417"/>
      <c r="K417"/>
      <c r="L417"/>
      <c r="M417"/>
      <c r="N417"/>
      <c r="O417" s="392"/>
      <c r="P417" s="2"/>
      <c r="Q417" s="686"/>
      <c r="R417"/>
      <c r="S417"/>
      <c r="T417" s="686"/>
      <c r="U417"/>
    </row>
    <row r="418" spans="10:21" s="1" customFormat="1" x14ac:dyDescent="0.2">
      <c r="J418"/>
      <c r="K418"/>
      <c r="L418"/>
      <c r="M418"/>
      <c r="N418"/>
      <c r="O418" s="392"/>
      <c r="P418" s="2"/>
      <c r="Q418" s="686"/>
      <c r="R418"/>
      <c r="S418"/>
      <c r="T418" s="686"/>
      <c r="U418"/>
    </row>
    <row r="419" spans="10:21" s="1" customFormat="1" x14ac:dyDescent="0.2">
      <c r="J419"/>
      <c r="K419"/>
      <c r="L419"/>
      <c r="M419"/>
      <c r="N419"/>
      <c r="O419" s="392"/>
      <c r="P419" s="2"/>
      <c r="Q419" s="686"/>
      <c r="R419"/>
      <c r="S419"/>
      <c r="T419" s="686"/>
      <c r="U419"/>
    </row>
    <row r="420" spans="10:21" s="1" customFormat="1" x14ac:dyDescent="0.2">
      <c r="J420"/>
      <c r="K420"/>
      <c r="L420"/>
      <c r="M420"/>
      <c r="N420"/>
      <c r="O420" s="392"/>
      <c r="P420" s="2"/>
      <c r="Q420" s="686"/>
      <c r="R420"/>
      <c r="S420"/>
      <c r="T420" s="686"/>
      <c r="U420"/>
    </row>
    <row r="421" spans="10:21" s="1" customFormat="1" x14ac:dyDescent="0.2">
      <c r="J421"/>
      <c r="K421"/>
      <c r="L421"/>
      <c r="M421"/>
      <c r="N421"/>
      <c r="O421" s="392"/>
      <c r="P421" s="2"/>
      <c r="Q421" s="686"/>
      <c r="R421"/>
      <c r="S421"/>
      <c r="T421" s="686"/>
      <c r="U421"/>
    </row>
    <row r="422" spans="10:21" s="1" customFormat="1" x14ac:dyDescent="0.2">
      <c r="J422"/>
      <c r="K422"/>
      <c r="L422"/>
      <c r="M422"/>
      <c r="N422"/>
      <c r="O422" s="392"/>
      <c r="P422" s="2"/>
      <c r="Q422" s="686"/>
      <c r="R422"/>
      <c r="S422"/>
      <c r="T422" s="686"/>
      <c r="U422"/>
    </row>
    <row r="423" spans="10:21" s="1" customFormat="1" x14ac:dyDescent="0.2">
      <c r="J423"/>
      <c r="K423"/>
      <c r="L423"/>
      <c r="M423"/>
      <c r="N423"/>
      <c r="O423" s="392"/>
      <c r="P423" s="2"/>
      <c r="Q423" s="686"/>
      <c r="R423"/>
      <c r="S423"/>
      <c r="T423" s="686"/>
      <c r="U423"/>
    </row>
    <row r="424" spans="10:21" s="1" customFormat="1" x14ac:dyDescent="0.2">
      <c r="J424"/>
      <c r="K424"/>
      <c r="L424"/>
      <c r="M424"/>
      <c r="N424"/>
      <c r="O424" s="392"/>
      <c r="P424" s="2"/>
      <c r="Q424" s="686"/>
      <c r="R424"/>
      <c r="S424"/>
      <c r="T424" s="686"/>
      <c r="U424"/>
    </row>
    <row r="425" spans="10:21" s="1" customFormat="1" x14ac:dyDescent="0.2">
      <c r="J425"/>
      <c r="K425"/>
      <c r="L425"/>
      <c r="M425"/>
      <c r="N425"/>
      <c r="O425" s="392"/>
      <c r="P425" s="2"/>
      <c r="Q425" s="686"/>
      <c r="R425"/>
      <c r="S425"/>
      <c r="T425" s="686"/>
      <c r="U425"/>
    </row>
    <row r="426" spans="10:21" s="1" customFormat="1" x14ac:dyDescent="0.2">
      <c r="J426"/>
      <c r="K426"/>
      <c r="L426"/>
      <c r="M426"/>
      <c r="N426"/>
      <c r="O426" s="392"/>
      <c r="P426" s="2"/>
      <c r="Q426" s="686"/>
      <c r="R426"/>
      <c r="S426"/>
      <c r="T426" s="686"/>
      <c r="U426"/>
    </row>
    <row r="427" spans="10:21" s="1" customFormat="1" x14ac:dyDescent="0.2">
      <c r="J427"/>
      <c r="K427"/>
      <c r="L427"/>
      <c r="M427"/>
      <c r="N427"/>
      <c r="O427" s="392"/>
      <c r="P427" s="2"/>
      <c r="Q427" s="686"/>
      <c r="R427"/>
      <c r="S427"/>
      <c r="T427" s="686"/>
      <c r="U427"/>
    </row>
    <row r="428" spans="10:21" s="1" customFormat="1" x14ac:dyDescent="0.2">
      <c r="J428"/>
      <c r="K428"/>
      <c r="L428"/>
      <c r="M428"/>
      <c r="N428"/>
      <c r="O428" s="392"/>
      <c r="P428" s="2"/>
      <c r="Q428" s="686"/>
      <c r="R428"/>
      <c r="S428"/>
      <c r="T428" s="686"/>
      <c r="U428"/>
    </row>
    <row r="429" spans="10:21" s="1" customFormat="1" x14ac:dyDescent="0.2">
      <c r="J429"/>
      <c r="K429"/>
      <c r="L429"/>
      <c r="M429"/>
      <c r="N429"/>
      <c r="O429" s="392"/>
      <c r="P429" s="2"/>
      <c r="Q429" s="686"/>
      <c r="R429"/>
      <c r="S429"/>
      <c r="T429" s="686"/>
      <c r="U429"/>
    </row>
    <row r="430" spans="10:21" s="1" customFormat="1" x14ac:dyDescent="0.2">
      <c r="J430"/>
      <c r="K430"/>
      <c r="L430"/>
      <c r="M430"/>
      <c r="N430"/>
      <c r="O430" s="392"/>
      <c r="P430" s="2"/>
      <c r="Q430" s="686"/>
      <c r="R430"/>
      <c r="S430"/>
      <c r="T430" s="686"/>
      <c r="U430"/>
    </row>
    <row r="431" spans="10:21" s="1" customFormat="1" x14ac:dyDescent="0.2">
      <c r="J431"/>
      <c r="K431"/>
      <c r="L431"/>
      <c r="M431"/>
      <c r="N431"/>
      <c r="O431" s="392"/>
      <c r="P431" s="2"/>
      <c r="Q431" s="686"/>
      <c r="R431"/>
      <c r="S431"/>
      <c r="T431" s="686"/>
      <c r="U431"/>
    </row>
    <row r="432" spans="10:21" s="1" customFormat="1" x14ac:dyDescent="0.2">
      <c r="J432"/>
      <c r="K432"/>
      <c r="L432"/>
      <c r="M432"/>
      <c r="N432"/>
      <c r="O432" s="392"/>
      <c r="P432" s="2"/>
      <c r="Q432" s="686"/>
      <c r="R432"/>
      <c r="S432"/>
      <c r="T432" s="686"/>
      <c r="U432"/>
    </row>
    <row r="433" spans="10:21" s="1" customFormat="1" x14ac:dyDescent="0.2">
      <c r="J433"/>
      <c r="K433"/>
      <c r="L433"/>
      <c r="M433"/>
      <c r="N433"/>
      <c r="O433" s="392"/>
      <c r="P433" s="2"/>
      <c r="Q433" s="686"/>
      <c r="R433"/>
      <c r="S433"/>
      <c r="T433" s="686"/>
      <c r="U433"/>
    </row>
    <row r="434" spans="10:21" s="1" customFormat="1" x14ac:dyDescent="0.2">
      <c r="J434"/>
      <c r="K434"/>
      <c r="L434"/>
      <c r="M434"/>
      <c r="N434"/>
      <c r="O434" s="392"/>
      <c r="P434" s="2"/>
      <c r="Q434" s="686"/>
      <c r="R434"/>
      <c r="S434"/>
      <c r="T434" s="686"/>
      <c r="U434"/>
    </row>
    <row r="435" spans="10:21" s="1" customFormat="1" x14ac:dyDescent="0.2">
      <c r="J435"/>
      <c r="K435"/>
      <c r="L435"/>
      <c r="M435"/>
      <c r="N435"/>
      <c r="O435" s="392"/>
      <c r="P435" s="2"/>
      <c r="Q435" s="686"/>
      <c r="R435"/>
      <c r="S435"/>
      <c r="T435" s="686"/>
      <c r="U435"/>
    </row>
    <row r="436" spans="10:21" s="1" customFormat="1" x14ac:dyDescent="0.2">
      <c r="J436"/>
      <c r="K436"/>
      <c r="L436"/>
      <c r="M436"/>
      <c r="N436"/>
      <c r="O436" s="392"/>
      <c r="P436" s="2"/>
      <c r="Q436" s="686"/>
      <c r="R436"/>
      <c r="S436"/>
      <c r="T436" s="686"/>
      <c r="U436"/>
    </row>
    <row r="437" spans="10:21" s="1" customFormat="1" x14ac:dyDescent="0.2">
      <c r="J437"/>
      <c r="K437"/>
      <c r="L437"/>
      <c r="M437"/>
      <c r="N437"/>
      <c r="O437" s="392"/>
      <c r="P437" s="2"/>
      <c r="Q437" s="686"/>
      <c r="R437"/>
      <c r="S437"/>
      <c r="T437" s="686"/>
      <c r="U437"/>
    </row>
    <row r="438" spans="10:21" s="1" customFormat="1" x14ac:dyDescent="0.2">
      <c r="J438"/>
      <c r="K438"/>
      <c r="L438"/>
      <c r="M438"/>
      <c r="N438"/>
      <c r="O438" s="392"/>
      <c r="P438" s="2"/>
      <c r="Q438" s="686"/>
      <c r="R438"/>
      <c r="S438"/>
      <c r="T438" s="686"/>
      <c r="U438"/>
    </row>
    <row r="439" spans="10:21" s="1" customFormat="1" x14ac:dyDescent="0.2">
      <c r="J439"/>
      <c r="K439"/>
      <c r="L439"/>
      <c r="M439"/>
      <c r="N439"/>
      <c r="O439" s="392"/>
      <c r="P439" s="2"/>
      <c r="Q439" s="686"/>
      <c r="R439"/>
      <c r="S439"/>
      <c r="T439" s="686"/>
      <c r="U439"/>
    </row>
    <row r="440" spans="10:21" s="1" customFormat="1" x14ac:dyDescent="0.2">
      <c r="J440"/>
      <c r="K440"/>
      <c r="L440"/>
      <c r="M440"/>
      <c r="N440"/>
      <c r="O440" s="392"/>
      <c r="P440" s="2"/>
      <c r="Q440" s="686"/>
      <c r="R440"/>
      <c r="S440"/>
      <c r="T440" s="686"/>
      <c r="U440"/>
    </row>
    <row r="441" spans="10:21" s="1" customFormat="1" x14ac:dyDescent="0.2">
      <c r="J441"/>
      <c r="K441"/>
      <c r="L441"/>
      <c r="M441"/>
      <c r="N441"/>
      <c r="O441" s="392"/>
      <c r="P441" s="2"/>
      <c r="Q441" s="686"/>
      <c r="R441"/>
      <c r="S441"/>
      <c r="T441" s="686"/>
      <c r="U441"/>
    </row>
    <row r="442" spans="10:21" s="1" customFormat="1" x14ac:dyDescent="0.2">
      <c r="J442"/>
      <c r="K442"/>
      <c r="L442"/>
      <c r="M442"/>
      <c r="N442"/>
      <c r="O442" s="392"/>
      <c r="P442" s="2"/>
      <c r="Q442" s="686"/>
      <c r="R442"/>
      <c r="S442"/>
      <c r="T442" s="686"/>
      <c r="U442"/>
    </row>
    <row r="443" spans="10:21" s="1" customFormat="1" x14ac:dyDescent="0.2">
      <c r="J443"/>
      <c r="K443"/>
      <c r="L443"/>
      <c r="M443"/>
      <c r="N443"/>
      <c r="O443" s="392"/>
      <c r="P443" s="2"/>
      <c r="Q443" s="686"/>
      <c r="R443"/>
      <c r="S443"/>
      <c r="T443" s="686"/>
      <c r="U443"/>
    </row>
    <row r="444" spans="10:21" s="1" customFormat="1" x14ac:dyDescent="0.2">
      <c r="J444"/>
      <c r="K444"/>
      <c r="L444"/>
      <c r="M444"/>
      <c r="N444"/>
      <c r="O444" s="392"/>
      <c r="P444" s="2"/>
      <c r="Q444" s="686"/>
      <c r="R444"/>
      <c r="S444"/>
      <c r="T444" s="686"/>
      <c r="U444"/>
    </row>
    <row r="445" spans="10:21" s="1" customFormat="1" x14ac:dyDescent="0.2">
      <c r="J445"/>
      <c r="K445"/>
      <c r="L445"/>
      <c r="M445"/>
      <c r="N445"/>
      <c r="O445" s="392"/>
      <c r="P445" s="2"/>
      <c r="Q445" s="686"/>
      <c r="R445"/>
      <c r="S445"/>
      <c r="T445" s="686"/>
      <c r="U445"/>
    </row>
    <row r="446" spans="10:21" s="1" customFormat="1" x14ac:dyDescent="0.2">
      <c r="J446"/>
      <c r="K446"/>
      <c r="L446"/>
      <c r="M446"/>
      <c r="N446"/>
      <c r="O446" s="392"/>
      <c r="P446" s="2"/>
      <c r="Q446" s="686"/>
      <c r="R446"/>
      <c r="S446"/>
      <c r="T446" s="686"/>
      <c r="U446"/>
    </row>
    <row r="447" spans="10:21" s="1" customFormat="1" x14ac:dyDescent="0.2">
      <c r="J447"/>
      <c r="K447"/>
      <c r="L447"/>
      <c r="M447"/>
      <c r="N447"/>
      <c r="O447" s="392"/>
      <c r="P447" s="2"/>
      <c r="Q447" s="686"/>
      <c r="R447"/>
      <c r="S447"/>
      <c r="T447" s="686"/>
      <c r="U447"/>
    </row>
    <row r="448" spans="10:21" s="1" customFormat="1" x14ac:dyDescent="0.2">
      <c r="J448"/>
      <c r="K448"/>
      <c r="L448"/>
      <c r="M448"/>
      <c r="N448"/>
      <c r="O448" s="392"/>
      <c r="P448" s="2"/>
      <c r="Q448" s="686"/>
      <c r="R448"/>
      <c r="S448"/>
      <c r="T448" s="686"/>
      <c r="U448"/>
    </row>
    <row r="449" spans="10:21" s="1" customFormat="1" x14ac:dyDescent="0.2">
      <c r="J449"/>
      <c r="K449"/>
      <c r="L449"/>
      <c r="M449"/>
      <c r="N449"/>
      <c r="O449" s="392"/>
      <c r="P449" s="2"/>
      <c r="Q449" s="686"/>
      <c r="R449"/>
      <c r="S449"/>
      <c r="T449" s="686"/>
      <c r="U449"/>
    </row>
    <row r="450" spans="10:21" s="1" customFormat="1" x14ac:dyDescent="0.2">
      <c r="J450"/>
      <c r="K450"/>
      <c r="L450"/>
      <c r="M450"/>
      <c r="N450"/>
      <c r="O450" s="392"/>
      <c r="P450" s="2"/>
      <c r="Q450" s="686"/>
      <c r="R450"/>
      <c r="S450"/>
      <c r="T450" s="686"/>
      <c r="U450"/>
    </row>
    <row r="451" spans="10:21" s="1" customFormat="1" x14ac:dyDescent="0.2">
      <c r="J451"/>
      <c r="K451"/>
      <c r="L451"/>
      <c r="M451"/>
      <c r="N451"/>
      <c r="O451" s="392"/>
      <c r="P451" s="2"/>
      <c r="Q451" s="686"/>
      <c r="R451"/>
      <c r="S451"/>
      <c r="T451" s="686"/>
      <c r="U451"/>
    </row>
    <row r="452" spans="10:21" s="1" customFormat="1" x14ac:dyDescent="0.2">
      <c r="J452"/>
      <c r="K452"/>
      <c r="L452"/>
      <c r="M452"/>
      <c r="N452"/>
      <c r="O452" s="392"/>
      <c r="P452" s="2"/>
      <c r="Q452" s="686"/>
      <c r="R452"/>
      <c r="S452"/>
      <c r="T452" s="686"/>
      <c r="U452"/>
    </row>
    <row r="453" spans="10:21" s="1" customFormat="1" x14ac:dyDescent="0.2">
      <c r="J453"/>
      <c r="K453"/>
      <c r="L453"/>
      <c r="M453"/>
      <c r="N453"/>
      <c r="O453" s="392"/>
      <c r="P453" s="2"/>
      <c r="Q453" s="686"/>
      <c r="R453"/>
      <c r="S453"/>
      <c r="T453" s="686"/>
      <c r="U453"/>
    </row>
    <row r="454" spans="10:21" s="1" customFormat="1" x14ac:dyDescent="0.2">
      <c r="J454"/>
      <c r="K454"/>
      <c r="L454"/>
      <c r="M454"/>
      <c r="N454"/>
      <c r="O454" s="392"/>
      <c r="P454" s="2"/>
      <c r="Q454" s="686"/>
      <c r="R454"/>
      <c r="S454"/>
      <c r="T454" s="686"/>
      <c r="U454"/>
    </row>
    <row r="455" spans="10:21" s="1" customFormat="1" x14ac:dyDescent="0.2">
      <c r="J455"/>
      <c r="K455"/>
      <c r="L455"/>
      <c r="M455"/>
      <c r="N455"/>
      <c r="O455" s="392"/>
      <c r="P455" s="2"/>
      <c r="Q455" s="686"/>
      <c r="R455"/>
      <c r="S455"/>
      <c r="T455" s="686"/>
      <c r="U455"/>
    </row>
    <row r="456" spans="10:21" s="1" customFormat="1" x14ac:dyDescent="0.2">
      <c r="J456"/>
      <c r="K456"/>
      <c r="L456"/>
      <c r="M456"/>
      <c r="N456"/>
      <c r="O456" s="392"/>
      <c r="P456" s="2"/>
      <c r="Q456" s="686"/>
      <c r="R456"/>
      <c r="S456"/>
      <c r="T456" s="686"/>
      <c r="U456"/>
    </row>
    <row r="457" spans="10:21" s="1" customFormat="1" x14ac:dyDescent="0.2">
      <c r="J457"/>
      <c r="K457"/>
      <c r="L457"/>
      <c r="M457"/>
      <c r="N457"/>
      <c r="O457" s="392"/>
      <c r="P457" s="2"/>
      <c r="Q457" s="686"/>
      <c r="R457"/>
      <c r="S457"/>
      <c r="T457" s="686"/>
      <c r="U457"/>
    </row>
    <row r="458" spans="10:21" s="1" customFormat="1" x14ac:dyDescent="0.2">
      <c r="J458"/>
      <c r="K458"/>
      <c r="L458"/>
      <c r="M458"/>
      <c r="N458"/>
      <c r="O458" s="392"/>
      <c r="P458" s="2"/>
      <c r="Q458" s="686"/>
      <c r="R458"/>
      <c r="S458"/>
      <c r="T458" s="686"/>
      <c r="U458"/>
    </row>
    <row r="459" spans="10:21" s="1" customFormat="1" x14ac:dyDescent="0.2">
      <c r="J459"/>
      <c r="K459"/>
      <c r="L459"/>
      <c r="M459"/>
      <c r="N459"/>
      <c r="O459" s="392"/>
      <c r="P459" s="2"/>
      <c r="Q459" s="686"/>
      <c r="R459"/>
      <c r="S459"/>
      <c r="T459" s="686"/>
      <c r="U459"/>
    </row>
    <row r="460" spans="10:21" s="1" customFormat="1" x14ac:dyDescent="0.2">
      <c r="J460"/>
      <c r="K460"/>
      <c r="L460"/>
      <c r="M460"/>
      <c r="N460"/>
      <c r="O460" s="392"/>
      <c r="P460" s="2"/>
      <c r="Q460" s="686"/>
      <c r="R460"/>
      <c r="S460"/>
      <c r="T460" s="686"/>
      <c r="U460"/>
    </row>
    <row r="461" spans="10:21" s="1" customFormat="1" x14ac:dyDescent="0.2">
      <c r="J461"/>
      <c r="K461"/>
      <c r="L461"/>
      <c r="M461"/>
      <c r="N461"/>
      <c r="O461" s="392"/>
      <c r="P461" s="2"/>
      <c r="Q461" s="686"/>
      <c r="R461"/>
      <c r="S461"/>
      <c r="T461" s="686"/>
      <c r="U461"/>
    </row>
    <row r="462" spans="10:21" s="1" customFormat="1" x14ac:dyDescent="0.2">
      <c r="J462"/>
      <c r="K462"/>
      <c r="L462"/>
      <c r="M462"/>
      <c r="N462"/>
      <c r="O462" s="392"/>
      <c r="P462" s="2"/>
      <c r="Q462" s="686"/>
      <c r="R462"/>
      <c r="S462"/>
      <c r="T462" s="686"/>
      <c r="U462"/>
    </row>
    <row r="463" spans="10:21" s="1" customFormat="1" x14ac:dyDescent="0.2">
      <c r="J463"/>
      <c r="K463"/>
      <c r="L463"/>
      <c r="M463"/>
      <c r="N463"/>
      <c r="O463" s="392"/>
      <c r="P463" s="2"/>
      <c r="Q463" s="686"/>
      <c r="R463"/>
      <c r="S463"/>
      <c r="T463" s="686"/>
      <c r="U463"/>
    </row>
    <row r="464" spans="10:21" s="1" customFormat="1" x14ac:dyDescent="0.2">
      <c r="J464"/>
      <c r="K464"/>
      <c r="L464"/>
      <c r="M464"/>
      <c r="N464"/>
      <c r="O464" s="392"/>
      <c r="P464" s="2"/>
      <c r="Q464" s="686"/>
      <c r="R464"/>
      <c r="S464"/>
      <c r="T464" s="686"/>
      <c r="U464"/>
    </row>
    <row r="465" spans="10:21" s="1" customFormat="1" x14ac:dyDescent="0.2">
      <c r="J465"/>
      <c r="K465"/>
      <c r="L465"/>
      <c r="M465"/>
      <c r="N465"/>
      <c r="O465" s="392"/>
      <c r="P465" s="2"/>
      <c r="Q465" s="686"/>
      <c r="R465"/>
      <c r="S465"/>
      <c r="T465" s="686"/>
      <c r="U465"/>
    </row>
    <row r="466" spans="10:21" s="1" customFormat="1" x14ac:dyDescent="0.2">
      <c r="J466"/>
      <c r="K466"/>
      <c r="L466"/>
      <c r="M466"/>
      <c r="N466"/>
      <c r="O466" s="392"/>
      <c r="P466" s="2"/>
      <c r="Q466" s="686"/>
      <c r="R466"/>
      <c r="S466"/>
      <c r="T466" s="686"/>
      <c r="U466"/>
    </row>
    <row r="467" spans="10:21" s="1" customFormat="1" x14ac:dyDescent="0.2">
      <c r="J467"/>
      <c r="K467"/>
      <c r="L467"/>
      <c r="M467"/>
      <c r="N467"/>
      <c r="O467" s="392"/>
      <c r="P467" s="2"/>
      <c r="Q467" s="686"/>
      <c r="R467"/>
      <c r="S467"/>
      <c r="T467" s="686"/>
      <c r="U467"/>
    </row>
    <row r="468" spans="10:21" s="1" customFormat="1" x14ac:dyDescent="0.2">
      <c r="J468"/>
      <c r="K468"/>
      <c r="L468"/>
      <c r="M468"/>
      <c r="N468"/>
      <c r="O468" s="392"/>
      <c r="P468" s="2"/>
      <c r="Q468" s="686"/>
      <c r="R468"/>
      <c r="S468"/>
      <c r="T468" s="686"/>
      <c r="U468"/>
    </row>
    <row r="469" spans="10:21" s="1" customFormat="1" x14ac:dyDescent="0.2">
      <c r="J469"/>
      <c r="K469"/>
      <c r="L469"/>
      <c r="M469"/>
      <c r="N469"/>
      <c r="O469" s="392"/>
      <c r="P469" s="2"/>
      <c r="Q469" s="686"/>
      <c r="R469"/>
      <c r="S469"/>
      <c r="T469" s="686"/>
      <c r="U469"/>
    </row>
    <row r="470" spans="10:21" s="1" customFormat="1" x14ac:dyDescent="0.2">
      <c r="J470"/>
      <c r="K470"/>
      <c r="L470"/>
      <c r="M470"/>
      <c r="N470"/>
      <c r="O470" s="392"/>
      <c r="P470" s="2"/>
      <c r="Q470" s="686"/>
      <c r="R470"/>
      <c r="S470"/>
      <c r="T470" s="686"/>
      <c r="U470"/>
    </row>
    <row r="471" spans="10:21" s="1" customFormat="1" x14ac:dyDescent="0.2">
      <c r="J471"/>
      <c r="K471"/>
      <c r="L471"/>
      <c r="M471"/>
      <c r="N471"/>
      <c r="O471" s="392"/>
      <c r="P471" s="2"/>
      <c r="Q471" s="686"/>
      <c r="R471"/>
      <c r="S471"/>
      <c r="T471" s="686"/>
      <c r="U471"/>
    </row>
    <row r="472" spans="10:21" s="1" customFormat="1" x14ac:dyDescent="0.2">
      <c r="J472"/>
      <c r="K472"/>
      <c r="L472"/>
      <c r="M472"/>
      <c r="N472"/>
      <c r="O472" s="392"/>
      <c r="P472" s="2"/>
      <c r="Q472" s="686"/>
      <c r="R472"/>
      <c r="S472"/>
      <c r="T472" s="686"/>
      <c r="U472"/>
    </row>
    <row r="473" spans="10:21" s="1" customFormat="1" x14ac:dyDescent="0.2">
      <c r="J473"/>
      <c r="K473"/>
      <c r="L473"/>
      <c r="M473"/>
      <c r="N473"/>
      <c r="O473" s="392"/>
      <c r="P473" s="2"/>
      <c r="Q473" s="686"/>
      <c r="R473"/>
      <c r="S473"/>
      <c r="T473" s="686"/>
      <c r="U473"/>
    </row>
    <row r="474" spans="10:21" s="1" customFormat="1" x14ac:dyDescent="0.2">
      <c r="J474"/>
      <c r="K474"/>
      <c r="L474"/>
      <c r="M474"/>
      <c r="N474"/>
      <c r="O474" s="392"/>
      <c r="P474" s="2"/>
      <c r="Q474" s="686"/>
      <c r="R474"/>
      <c r="S474"/>
      <c r="T474" s="686"/>
      <c r="U474"/>
    </row>
    <row r="475" spans="10:21" s="1" customFormat="1" x14ac:dyDescent="0.2">
      <c r="J475"/>
      <c r="K475"/>
      <c r="L475"/>
      <c r="M475"/>
      <c r="N475"/>
      <c r="O475" s="392"/>
      <c r="P475" s="2"/>
      <c r="Q475" s="686"/>
      <c r="R475"/>
      <c r="S475"/>
      <c r="T475" s="686"/>
      <c r="U475"/>
    </row>
    <row r="476" spans="10:21" s="1" customFormat="1" x14ac:dyDescent="0.2">
      <c r="J476"/>
      <c r="K476"/>
      <c r="L476"/>
      <c r="M476"/>
      <c r="N476"/>
      <c r="O476" s="392"/>
      <c r="P476" s="2"/>
      <c r="Q476" s="686"/>
      <c r="R476"/>
      <c r="S476"/>
      <c r="T476" s="686"/>
      <c r="U476"/>
    </row>
    <row r="477" spans="10:21" s="1" customFormat="1" x14ac:dyDescent="0.2">
      <c r="J477"/>
      <c r="K477"/>
      <c r="L477"/>
      <c r="M477"/>
      <c r="N477"/>
      <c r="O477" s="392"/>
      <c r="P477" s="2"/>
      <c r="Q477" s="686"/>
      <c r="R477"/>
      <c r="S477"/>
      <c r="T477" s="686"/>
      <c r="U477"/>
    </row>
    <row r="478" spans="10:21" s="1" customFormat="1" x14ac:dyDescent="0.2">
      <c r="J478"/>
      <c r="K478"/>
      <c r="L478"/>
      <c r="M478"/>
      <c r="N478"/>
      <c r="O478" s="392"/>
      <c r="P478" s="2"/>
      <c r="Q478" s="686"/>
      <c r="R478"/>
      <c r="S478"/>
      <c r="T478" s="686"/>
      <c r="U478"/>
    </row>
    <row r="479" spans="10:21" s="1" customFormat="1" x14ac:dyDescent="0.2">
      <c r="J479"/>
      <c r="K479"/>
      <c r="L479"/>
      <c r="M479"/>
      <c r="N479"/>
      <c r="O479" s="392"/>
      <c r="P479" s="2"/>
      <c r="Q479" s="686"/>
      <c r="R479"/>
      <c r="S479"/>
      <c r="T479" s="686"/>
      <c r="U479"/>
    </row>
    <row r="480" spans="10:21" s="1" customFormat="1" x14ac:dyDescent="0.2">
      <c r="J480"/>
      <c r="K480"/>
      <c r="L480"/>
      <c r="M480"/>
      <c r="N480"/>
      <c r="O480" s="392"/>
      <c r="P480" s="2"/>
      <c r="Q480" s="686"/>
      <c r="R480"/>
      <c r="S480"/>
      <c r="T480" s="686"/>
      <c r="U480"/>
    </row>
    <row r="481" spans="10:21" s="1" customFormat="1" x14ac:dyDescent="0.2">
      <c r="J481"/>
      <c r="K481"/>
      <c r="L481"/>
      <c r="M481"/>
      <c r="N481"/>
      <c r="O481" s="392"/>
      <c r="P481" s="2"/>
      <c r="Q481" s="686"/>
      <c r="R481"/>
      <c r="S481"/>
      <c r="T481" s="686"/>
      <c r="U481"/>
    </row>
    <row r="482" spans="10:21" s="1" customFormat="1" x14ac:dyDescent="0.2">
      <c r="J482"/>
      <c r="K482"/>
      <c r="L482"/>
      <c r="M482"/>
      <c r="N482"/>
      <c r="O482" s="392"/>
      <c r="P482" s="2"/>
      <c r="Q482" s="686"/>
      <c r="R482"/>
      <c r="S482"/>
      <c r="T482" s="686"/>
      <c r="U482"/>
    </row>
    <row r="483" spans="10:21" s="1" customFormat="1" x14ac:dyDescent="0.2">
      <c r="J483"/>
      <c r="K483"/>
      <c r="L483"/>
      <c r="M483"/>
      <c r="N483"/>
      <c r="O483" s="392"/>
      <c r="P483" s="2"/>
      <c r="Q483" s="686"/>
      <c r="R483"/>
      <c r="S483"/>
      <c r="T483" s="686"/>
      <c r="U483"/>
    </row>
    <row r="484" spans="10:21" s="1" customFormat="1" x14ac:dyDescent="0.2">
      <c r="J484"/>
      <c r="K484"/>
      <c r="L484"/>
      <c r="M484"/>
      <c r="N484"/>
      <c r="O484" s="392"/>
      <c r="P484" s="2"/>
      <c r="Q484" s="686"/>
      <c r="R484"/>
      <c r="S484"/>
      <c r="T484" s="686"/>
      <c r="U484"/>
    </row>
    <row r="485" spans="10:21" s="1" customFormat="1" x14ac:dyDescent="0.2">
      <c r="J485"/>
      <c r="K485"/>
      <c r="L485"/>
      <c r="M485"/>
      <c r="N485"/>
      <c r="O485" s="392"/>
      <c r="P485" s="2"/>
      <c r="Q485" s="686"/>
      <c r="R485"/>
      <c r="S485"/>
      <c r="T485" s="686"/>
      <c r="U485"/>
    </row>
    <row r="486" spans="10:21" s="1" customFormat="1" x14ac:dyDescent="0.2">
      <c r="J486"/>
      <c r="K486"/>
      <c r="L486"/>
      <c r="M486"/>
      <c r="N486"/>
      <c r="O486" s="392"/>
      <c r="P486" s="2"/>
      <c r="Q486" s="686"/>
      <c r="R486"/>
      <c r="S486"/>
      <c r="T486" s="686"/>
      <c r="U486"/>
    </row>
    <row r="487" spans="10:21" s="1" customFormat="1" x14ac:dyDescent="0.2">
      <c r="J487"/>
      <c r="K487"/>
      <c r="L487"/>
      <c r="M487"/>
      <c r="N487"/>
      <c r="O487" s="392"/>
      <c r="P487" s="2"/>
      <c r="Q487" s="686"/>
      <c r="R487"/>
      <c r="S487"/>
      <c r="T487" s="686"/>
      <c r="U487"/>
    </row>
    <row r="488" spans="10:21" s="1" customFormat="1" x14ac:dyDescent="0.2">
      <c r="J488"/>
      <c r="K488"/>
      <c r="L488"/>
      <c r="M488"/>
      <c r="N488"/>
      <c r="O488" s="392"/>
      <c r="P488" s="2"/>
      <c r="Q488" s="686"/>
      <c r="R488"/>
      <c r="S488"/>
      <c r="T488" s="686"/>
      <c r="U488"/>
    </row>
    <row r="489" spans="10:21" s="1" customFormat="1" x14ac:dyDescent="0.2">
      <c r="J489"/>
      <c r="K489"/>
      <c r="L489"/>
      <c r="M489"/>
      <c r="N489"/>
      <c r="O489" s="392"/>
      <c r="P489" s="2"/>
      <c r="Q489" s="686"/>
      <c r="R489"/>
      <c r="S489"/>
      <c r="T489" s="686"/>
      <c r="U489"/>
    </row>
    <row r="490" spans="10:21" s="1" customFormat="1" x14ac:dyDescent="0.2">
      <c r="J490"/>
      <c r="K490"/>
      <c r="L490"/>
      <c r="M490"/>
      <c r="N490"/>
      <c r="O490" s="392"/>
      <c r="P490" s="2"/>
      <c r="Q490" s="686"/>
      <c r="R490"/>
      <c r="S490"/>
      <c r="T490" s="686"/>
      <c r="U490"/>
    </row>
    <row r="491" spans="10:21" s="1" customFormat="1" x14ac:dyDescent="0.2">
      <c r="J491"/>
      <c r="K491"/>
      <c r="L491"/>
      <c r="M491"/>
      <c r="N491"/>
      <c r="O491" s="392"/>
      <c r="P491" s="2"/>
      <c r="Q491" s="686"/>
      <c r="R491"/>
      <c r="S491"/>
      <c r="T491" s="686"/>
      <c r="U491"/>
    </row>
    <row r="492" spans="10:21" s="1" customFormat="1" x14ac:dyDescent="0.2">
      <c r="J492"/>
      <c r="K492"/>
      <c r="L492"/>
      <c r="M492"/>
      <c r="N492"/>
      <c r="O492" s="392"/>
      <c r="P492" s="2"/>
      <c r="Q492" s="686"/>
      <c r="R492"/>
      <c r="S492"/>
      <c r="T492" s="686"/>
      <c r="U492"/>
    </row>
    <row r="493" spans="10:21" s="1" customFormat="1" x14ac:dyDescent="0.2">
      <c r="J493"/>
      <c r="K493"/>
      <c r="L493"/>
      <c r="M493"/>
      <c r="N493"/>
      <c r="O493" s="392"/>
      <c r="P493" s="2"/>
      <c r="Q493" s="686"/>
      <c r="R493"/>
      <c r="S493"/>
      <c r="T493" s="686"/>
      <c r="U493"/>
    </row>
    <row r="494" spans="10:21" s="1" customFormat="1" x14ac:dyDescent="0.2">
      <c r="J494"/>
      <c r="K494"/>
      <c r="L494"/>
      <c r="M494"/>
      <c r="N494"/>
      <c r="O494" s="392"/>
      <c r="P494" s="2"/>
      <c r="Q494" s="686"/>
      <c r="R494"/>
      <c r="S494"/>
      <c r="T494" s="686"/>
      <c r="U494"/>
    </row>
    <row r="495" spans="10:21" s="1" customFormat="1" x14ac:dyDescent="0.2">
      <c r="J495"/>
      <c r="K495"/>
      <c r="L495"/>
      <c r="M495"/>
      <c r="N495"/>
      <c r="O495" s="392"/>
      <c r="P495" s="2"/>
      <c r="Q495" s="686"/>
      <c r="R495"/>
      <c r="S495"/>
      <c r="T495" s="686"/>
      <c r="U495"/>
    </row>
    <row r="496" spans="10:21" s="1" customFormat="1" x14ac:dyDescent="0.2">
      <c r="J496"/>
      <c r="K496"/>
      <c r="L496"/>
      <c r="M496"/>
      <c r="N496"/>
      <c r="O496" s="392"/>
      <c r="P496" s="2"/>
      <c r="Q496" s="686"/>
      <c r="R496"/>
      <c r="S496"/>
      <c r="T496" s="686"/>
      <c r="U496"/>
    </row>
    <row r="497" spans="10:21" s="1" customFormat="1" x14ac:dyDescent="0.2">
      <c r="J497"/>
      <c r="K497"/>
      <c r="L497"/>
      <c r="M497"/>
      <c r="N497"/>
      <c r="O497" s="392"/>
      <c r="P497" s="2"/>
      <c r="Q497" s="686"/>
      <c r="R497"/>
      <c r="S497"/>
      <c r="T497" s="686"/>
      <c r="U497"/>
    </row>
    <row r="498" spans="10:21" s="1" customFormat="1" x14ac:dyDescent="0.2">
      <c r="J498"/>
      <c r="K498"/>
      <c r="L498"/>
      <c r="M498"/>
      <c r="N498"/>
      <c r="O498" s="392"/>
      <c r="P498" s="2"/>
      <c r="Q498" s="686"/>
      <c r="R498"/>
      <c r="S498"/>
      <c r="T498" s="686"/>
      <c r="U498"/>
    </row>
    <row r="499" spans="10:21" s="1" customFormat="1" x14ac:dyDescent="0.2">
      <c r="J499"/>
      <c r="K499"/>
      <c r="L499"/>
      <c r="M499"/>
      <c r="N499"/>
      <c r="O499" s="392"/>
      <c r="P499" s="2"/>
      <c r="Q499" s="686"/>
      <c r="R499"/>
      <c r="S499"/>
      <c r="T499" s="686"/>
      <c r="U499"/>
    </row>
    <row r="500" spans="10:21" s="1" customFormat="1" x14ac:dyDescent="0.2">
      <c r="J500"/>
      <c r="K500"/>
      <c r="L500"/>
      <c r="M500"/>
      <c r="N500"/>
      <c r="O500" s="392"/>
      <c r="P500" s="2"/>
      <c r="Q500" s="686"/>
      <c r="R500"/>
      <c r="S500"/>
      <c r="T500" s="686"/>
      <c r="U500"/>
    </row>
    <row r="501" spans="10:21" s="1" customFormat="1" x14ac:dyDescent="0.2">
      <c r="J501"/>
      <c r="K501"/>
      <c r="L501"/>
      <c r="M501"/>
      <c r="N501"/>
      <c r="O501" s="392"/>
      <c r="P501" s="2"/>
      <c r="Q501" s="686"/>
      <c r="R501"/>
      <c r="S501"/>
      <c r="T501" s="686"/>
      <c r="U501"/>
    </row>
    <row r="502" spans="10:21" s="1" customFormat="1" x14ac:dyDescent="0.2">
      <c r="J502"/>
      <c r="K502"/>
      <c r="L502"/>
      <c r="M502"/>
      <c r="N502"/>
      <c r="O502" s="392"/>
      <c r="P502" s="2"/>
      <c r="Q502" s="686"/>
      <c r="R502"/>
      <c r="S502"/>
      <c r="T502" s="686"/>
      <c r="U502"/>
    </row>
    <row r="503" spans="10:21" s="1" customFormat="1" x14ac:dyDescent="0.2">
      <c r="J503"/>
      <c r="K503"/>
      <c r="L503"/>
      <c r="M503"/>
      <c r="N503"/>
      <c r="O503" s="392"/>
      <c r="P503" s="2"/>
      <c r="Q503" s="686"/>
      <c r="R503"/>
      <c r="S503"/>
      <c r="T503" s="686"/>
      <c r="U503"/>
    </row>
    <row r="504" spans="10:21" s="1" customFormat="1" x14ac:dyDescent="0.2">
      <c r="J504"/>
      <c r="K504"/>
      <c r="L504"/>
      <c r="M504"/>
      <c r="N504"/>
      <c r="O504" s="392"/>
      <c r="P504" s="2"/>
      <c r="Q504" s="686"/>
      <c r="R504"/>
      <c r="S504"/>
      <c r="T504" s="686"/>
      <c r="U504"/>
    </row>
    <row r="505" spans="10:21" s="1" customFormat="1" x14ac:dyDescent="0.2">
      <c r="J505"/>
      <c r="K505"/>
      <c r="L505"/>
      <c r="M505"/>
      <c r="N505"/>
      <c r="O505" s="392"/>
      <c r="P505" s="2"/>
      <c r="Q505" s="686"/>
      <c r="R505"/>
      <c r="S505"/>
      <c r="T505" s="686"/>
      <c r="U505"/>
    </row>
    <row r="506" spans="10:21" s="1" customFormat="1" x14ac:dyDescent="0.2">
      <c r="J506"/>
      <c r="K506"/>
      <c r="L506"/>
      <c r="M506"/>
      <c r="N506"/>
      <c r="O506" s="392"/>
      <c r="P506" s="2"/>
      <c r="Q506" s="686"/>
      <c r="R506"/>
      <c r="S506"/>
      <c r="T506" s="686"/>
      <c r="U506"/>
    </row>
    <row r="507" spans="10:21" s="1" customFormat="1" x14ac:dyDescent="0.2">
      <c r="J507"/>
      <c r="K507"/>
      <c r="L507"/>
      <c r="M507"/>
      <c r="N507"/>
      <c r="O507" s="392"/>
      <c r="P507" s="2"/>
      <c r="Q507" s="686"/>
      <c r="R507"/>
      <c r="S507"/>
      <c r="T507" s="686"/>
      <c r="U507"/>
    </row>
    <row r="508" spans="10:21" s="1" customFormat="1" x14ac:dyDescent="0.2">
      <c r="J508"/>
      <c r="K508"/>
      <c r="L508"/>
      <c r="M508"/>
      <c r="N508"/>
      <c r="O508" s="392"/>
      <c r="P508" s="2"/>
      <c r="Q508" s="686"/>
      <c r="R508"/>
      <c r="S508"/>
      <c r="T508" s="686"/>
      <c r="U508"/>
    </row>
    <row r="509" spans="10:21" s="1" customFormat="1" x14ac:dyDescent="0.2">
      <c r="J509"/>
      <c r="K509"/>
      <c r="L509"/>
      <c r="M509"/>
      <c r="N509"/>
      <c r="O509" s="392"/>
      <c r="P509" s="2"/>
      <c r="Q509" s="686"/>
      <c r="R509"/>
      <c r="S509"/>
      <c r="T509" s="686"/>
      <c r="U509"/>
    </row>
    <row r="510" spans="10:21" s="1" customFormat="1" x14ac:dyDescent="0.2">
      <c r="J510"/>
      <c r="K510"/>
      <c r="L510"/>
      <c r="M510"/>
      <c r="N510"/>
      <c r="O510" s="392"/>
      <c r="P510" s="2"/>
      <c r="Q510" s="686"/>
      <c r="R510"/>
      <c r="S510"/>
      <c r="T510" s="686"/>
      <c r="U510"/>
    </row>
    <row r="511" spans="10:21" s="1" customFormat="1" x14ac:dyDescent="0.2">
      <c r="J511"/>
      <c r="K511"/>
      <c r="L511"/>
      <c r="M511"/>
      <c r="N511"/>
      <c r="O511" s="392"/>
      <c r="P511" s="2"/>
      <c r="Q511" s="686"/>
      <c r="R511"/>
      <c r="S511"/>
      <c r="T511" s="686"/>
      <c r="U511"/>
    </row>
    <row r="512" spans="10:21" s="1" customFormat="1" x14ac:dyDescent="0.2">
      <c r="J512"/>
      <c r="K512"/>
      <c r="L512"/>
      <c r="M512"/>
      <c r="N512"/>
      <c r="O512" s="392"/>
      <c r="P512" s="2"/>
      <c r="Q512" s="686"/>
      <c r="R512"/>
      <c r="S512"/>
      <c r="T512" s="686"/>
      <c r="U512"/>
    </row>
    <row r="513" spans="10:21" s="1" customFormat="1" x14ac:dyDescent="0.2">
      <c r="J513"/>
      <c r="K513"/>
      <c r="L513"/>
      <c r="M513"/>
      <c r="N513"/>
      <c r="O513" s="392"/>
      <c r="P513" s="2"/>
      <c r="Q513" s="686"/>
      <c r="R513"/>
      <c r="S513"/>
      <c r="T513" s="686"/>
      <c r="U513"/>
    </row>
    <row r="514" spans="10:21" s="1" customFormat="1" x14ac:dyDescent="0.2">
      <c r="J514"/>
      <c r="K514"/>
      <c r="L514"/>
      <c r="M514"/>
      <c r="N514"/>
      <c r="O514" s="392"/>
      <c r="P514" s="2"/>
      <c r="Q514" s="686"/>
      <c r="R514"/>
      <c r="S514"/>
      <c r="T514" s="686"/>
      <c r="U514"/>
    </row>
    <row r="515" spans="10:21" s="1" customFormat="1" x14ac:dyDescent="0.2">
      <c r="J515"/>
      <c r="K515"/>
      <c r="L515"/>
      <c r="M515"/>
      <c r="N515"/>
      <c r="O515" s="392"/>
      <c r="P515" s="2"/>
      <c r="Q515" s="686"/>
      <c r="R515"/>
      <c r="S515"/>
      <c r="T515" s="686"/>
      <c r="U515"/>
    </row>
    <row r="516" spans="10:21" s="1" customFormat="1" x14ac:dyDescent="0.2">
      <c r="J516"/>
      <c r="K516"/>
      <c r="L516"/>
      <c r="M516"/>
      <c r="N516"/>
      <c r="O516" s="392"/>
      <c r="P516" s="2"/>
      <c r="Q516" s="686"/>
      <c r="R516"/>
      <c r="S516"/>
      <c r="T516" s="686"/>
      <c r="U516"/>
    </row>
    <row r="517" spans="10:21" s="1" customFormat="1" x14ac:dyDescent="0.2">
      <c r="J517"/>
      <c r="K517"/>
      <c r="L517"/>
      <c r="M517"/>
      <c r="N517"/>
      <c r="O517" s="392"/>
      <c r="P517" s="2"/>
      <c r="Q517" s="686"/>
      <c r="R517"/>
      <c r="S517"/>
      <c r="T517" s="686"/>
      <c r="U517"/>
    </row>
    <row r="518" spans="10:21" s="1" customFormat="1" x14ac:dyDescent="0.2">
      <c r="J518"/>
      <c r="K518"/>
      <c r="L518"/>
      <c r="M518"/>
      <c r="N518"/>
      <c r="O518" s="392"/>
      <c r="P518" s="2"/>
      <c r="Q518" s="686"/>
      <c r="R518"/>
      <c r="S518"/>
      <c r="T518" s="686"/>
      <c r="U518"/>
    </row>
    <row r="519" spans="10:21" s="1" customFormat="1" x14ac:dyDescent="0.2">
      <c r="J519"/>
      <c r="K519"/>
      <c r="L519"/>
      <c r="M519"/>
      <c r="N519"/>
      <c r="O519" s="392"/>
      <c r="P519" s="2"/>
      <c r="Q519" s="686"/>
      <c r="R519"/>
      <c r="S519"/>
      <c r="T519" s="686"/>
      <c r="U519"/>
    </row>
    <row r="520" spans="10:21" s="1" customFormat="1" x14ac:dyDescent="0.2">
      <c r="J520"/>
      <c r="K520"/>
      <c r="L520"/>
      <c r="M520"/>
      <c r="N520"/>
      <c r="O520" s="392"/>
      <c r="P520" s="2"/>
      <c r="Q520" s="686"/>
      <c r="R520"/>
      <c r="S520"/>
      <c r="T520" s="686"/>
      <c r="U520"/>
    </row>
    <row r="521" spans="10:21" s="1" customFormat="1" x14ac:dyDescent="0.2">
      <c r="J521"/>
      <c r="K521"/>
      <c r="L521"/>
      <c r="M521"/>
      <c r="N521"/>
      <c r="O521" s="392"/>
      <c r="P521" s="2"/>
      <c r="Q521" s="686"/>
      <c r="R521"/>
      <c r="S521"/>
      <c r="T521" s="686"/>
      <c r="U521"/>
    </row>
    <row r="522" spans="10:21" s="1" customFormat="1" x14ac:dyDescent="0.2">
      <c r="J522"/>
      <c r="K522"/>
      <c r="L522"/>
      <c r="M522"/>
      <c r="N522"/>
      <c r="O522" s="392"/>
      <c r="P522" s="2"/>
      <c r="Q522" s="686"/>
      <c r="R522"/>
      <c r="S522"/>
      <c r="T522" s="686"/>
      <c r="U522"/>
    </row>
    <row r="523" spans="10:21" s="1" customFormat="1" x14ac:dyDescent="0.2">
      <c r="J523"/>
      <c r="K523"/>
      <c r="L523"/>
      <c r="M523"/>
      <c r="N523"/>
      <c r="O523" s="392"/>
      <c r="P523" s="2"/>
      <c r="Q523" s="686"/>
      <c r="R523"/>
      <c r="S523"/>
      <c r="T523" s="686"/>
      <c r="U523"/>
    </row>
    <row r="524" spans="10:21" s="1" customFormat="1" x14ac:dyDescent="0.2">
      <c r="J524"/>
      <c r="K524"/>
      <c r="L524"/>
      <c r="M524"/>
      <c r="N524"/>
      <c r="O524" s="392"/>
      <c r="P524" s="2"/>
      <c r="Q524" s="686"/>
      <c r="R524"/>
      <c r="S524"/>
      <c r="T524" s="686"/>
      <c r="U524"/>
    </row>
    <row r="525" spans="10:21" s="1" customFormat="1" x14ac:dyDescent="0.2">
      <c r="J525"/>
      <c r="K525"/>
      <c r="L525"/>
      <c r="M525"/>
      <c r="N525"/>
      <c r="O525" s="392"/>
      <c r="P525" s="2"/>
      <c r="Q525" s="686"/>
      <c r="R525"/>
      <c r="S525"/>
      <c r="T525" s="686"/>
      <c r="U525"/>
    </row>
    <row r="526" spans="10:21" s="1" customFormat="1" x14ac:dyDescent="0.2">
      <c r="J526"/>
      <c r="K526"/>
      <c r="L526"/>
      <c r="M526"/>
      <c r="N526"/>
      <c r="O526" s="392"/>
      <c r="P526" s="2"/>
      <c r="Q526" s="686"/>
      <c r="R526"/>
      <c r="S526"/>
      <c r="T526" s="686"/>
      <c r="U526"/>
    </row>
    <row r="527" spans="10:21" s="1" customFormat="1" x14ac:dyDescent="0.2">
      <c r="J527"/>
      <c r="K527"/>
      <c r="L527"/>
      <c r="M527"/>
      <c r="N527"/>
      <c r="O527" s="392"/>
      <c r="P527" s="2"/>
      <c r="Q527" s="686"/>
      <c r="R527"/>
      <c r="S527"/>
      <c r="T527" s="686"/>
      <c r="U527"/>
    </row>
    <row r="528" spans="10:21" s="1" customFormat="1" x14ac:dyDescent="0.2">
      <c r="J528"/>
      <c r="K528"/>
      <c r="L528"/>
      <c r="M528"/>
      <c r="N528"/>
      <c r="O528" s="392"/>
      <c r="P528" s="2"/>
      <c r="Q528" s="686"/>
      <c r="R528"/>
      <c r="S528"/>
      <c r="T528" s="686"/>
      <c r="U528"/>
    </row>
    <row r="529" spans="10:21" s="1" customFormat="1" x14ac:dyDescent="0.2">
      <c r="J529"/>
      <c r="K529"/>
      <c r="L529"/>
      <c r="M529"/>
      <c r="N529"/>
      <c r="O529" s="392"/>
      <c r="P529" s="2"/>
      <c r="Q529" s="686"/>
      <c r="R529"/>
      <c r="S529"/>
      <c r="T529" s="686"/>
      <c r="U529"/>
    </row>
    <row r="530" spans="10:21" s="1" customFormat="1" x14ac:dyDescent="0.2">
      <c r="J530"/>
      <c r="K530"/>
      <c r="L530"/>
      <c r="M530"/>
      <c r="N530"/>
      <c r="O530" s="392"/>
      <c r="P530" s="2"/>
      <c r="Q530" s="686"/>
      <c r="R530"/>
      <c r="S530"/>
      <c r="T530" s="686"/>
      <c r="U530"/>
    </row>
    <row r="531" spans="10:21" s="1" customFormat="1" x14ac:dyDescent="0.2">
      <c r="J531"/>
      <c r="K531"/>
      <c r="L531"/>
      <c r="M531"/>
      <c r="N531"/>
      <c r="O531" s="392"/>
      <c r="P531" s="2"/>
      <c r="Q531" s="686"/>
      <c r="R531"/>
      <c r="S531"/>
      <c r="T531" s="686"/>
      <c r="U531"/>
    </row>
    <row r="532" spans="10:21" s="1" customFormat="1" x14ac:dyDescent="0.2">
      <c r="J532"/>
      <c r="K532"/>
      <c r="L532"/>
      <c r="M532"/>
      <c r="N532"/>
      <c r="O532" s="392"/>
      <c r="P532" s="2"/>
      <c r="Q532" s="686"/>
      <c r="R532"/>
      <c r="S532"/>
      <c r="T532" s="686"/>
      <c r="U532"/>
    </row>
    <row r="533" spans="10:21" s="1" customFormat="1" x14ac:dyDescent="0.2">
      <c r="J533"/>
      <c r="K533"/>
      <c r="L533"/>
      <c r="M533"/>
      <c r="N533"/>
      <c r="O533" s="392"/>
      <c r="P533" s="2"/>
      <c r="Q533" s="686"/>
      <c r="R533"/>
      <c r="S533"/>
      <c r="T533" s="686"/>
      <c r="U533"/>
    </row>
    <row r="534" spans="10:21" s="1" customFormat="1" x14ac:dyDescent="0.2">
      <c r="J534"/>
      <c r="K534"/>
      <c r="L534"/>
      <c r="M534"/>
      <c r="N534"/>
      <c r="O534" s="392"/>
      <c r="P534" s="2"/>
      <c r="Q534" s="686"/>
      <c r="R534"/>
      <c r="S534"/>
      <c r="T534" s="686"/>
      <c r="U534"/>
    </row>
    <row r="535" spans="10:21" s="1" customFormat="1" x14ac:dyDescent="0.2">
      <c r="J535"/>
      <c r="K535"/>
      <c r="L535"/>
      <c r="M535"/>
      <c r="N535"/>
      <c r="O535" s="392"/>
      <c r="P535" s="2"/>
      <c r="Q535" s="686"/>
      <c r="R535"/>
      <c r="S535"/>
      <c r="T535" s="686"/>
      <c r="U535"/>
    </row>
    <row r="536" spans="10:21" s="1" customFormat="1" x14ac:dyDescent="0.2">
      <c r="J536"/>
      <c r="K536"/>
      <c r="L536"/>
      <c r="M536"/>
      <c r="N536"/>
      <c r="O536" s="392"/>
      <c r="P536" s="2"/>
      <c r="Q536" s="686"/>
      <c r="R536"/>
      <c r="S536"/>
      <c r="T536" s="686"/>
      <c r="U536"/>
    </row>
    <row r="537" spans="10:21" s="1" customFormat="1" x14ac:dyDescent="0.2">
      <c r="J537"/>
      <c r="K537"/>
      <c r="L537"/>
      <c r="M537"/>
      <c r="N537"/>
      <c r="O537" s="392"/>
      <c r="P537" s="2"/>
      <c r="Q537" s="686"/>
      <c r="R537"/>
      <c r="S537"/>
      <c r="T537" s="686"/>
      <c r="U537"/>
    </row>
    <row r="538" spans="10:21" s="1" customFormat="1" x14ac:dyDescent="0.2">
      <c r="J538"/>
      <c r="K538"/>
      <c r="L538"/>
      <c r="M538"/>
      <c r="N538"/>
      <c r="O538" s="392"/>
      <c r="P538" s="2"/>
      <c r="Q538" s="686"/>
      <c r="R538"/>
      <c r="S538"/>
      <c r="T538" s="686"/>
      <c r="U538"/>
    </row>
    <row r="539" spans="10:21" s="1" customFormat="1" x14ac:dyDescent="0.2">
      <c r="J539"/>
      <c r="K539"/>
      <c r="L539"/>
      <c r="M539"/>
      <c r="N539"/>
      <c r="O539" s="392"/>
      <c r="P539" s="2"/>
      <c r="Q539" s="686"/>
      <c r="R539"/>
      <c r="S539"/>
      <c r="T539" s="686"/>
      <c r="U539"/>
    </row>
    <row r="540" spans="10:21" s="1" customFormat="1" x14ac:dyDescent="0.2">
      <c r="J540"/>
      <c r="K540"/>
      <c r="L540"/>
      <c r="M540"/>
      <c r="N540"/>
      <c r="O540" s="392"/>
      <c r="P540" s="2"/>
      <c r="Q540" s="686"/>
      <c r="R540"/>
      <c r="S540"/>
      <c r="T540" s="686"/>
      <c r="U540"/>
    </row>
    <row r="541" spans="10:21" s="1" customFormat="1" x14ac:dyDescent="0.2">
      <c r="J541"/>
      <c r="K541"/>
      <c r="L541"/>
      <c r="M541"/>
      <c r="N541"/>
      <c r="O541" s="392"/>
      <c r="P541" s="2"/>
      <c r="Q541" s="686"/>
      <c r="R541"/>
      <c r="S541"/>
      <c r="T541" s="686"/>
      <c r="U541"/>
    </row>
    <row r="542" spans="10:21" s="1" customFormat="1" x14ac:dyDescent="0.2">
      <c r="J542"/>
      <c r="K542"/>
      <c r="L542"/>
      <c r="M542"/>
      <c r="N542"/>
      <c r="O542" s="392"/>
      <c r="P542" s="2"/>
      <c r="Q542" s="686"/>
      <c r="R542"/>
      <c r="S542"/>
      <c r="T542" s="686"/>
      <c r="U542"/>
    </row>
    <row r="543" spans="10:21" s="1" customFormat="1" x14ac:dyDescent="0.2">
      <c r="J543"/>
      <c r="K543"/>
      <c r="L543"/>
      <c r="M543"/>
      <c r="N543"/>
      <c r="O543" s="392"/>
      <c r="P543" s="2"/>
      <c r="Q543" s="686"/>
      <c r="R543"/>
      <c r="S543"/>
      <c r="T543" s="686"/>
      <c r="U543"/>
    </row>
    <row r="544" spans="10:21" s="1" customFormat="1" x14ac:dyDescent="0.2">
      <c r="J544"/>
      <c r="K544"/>
      <c r="L544"/>
      <c r="M544"/>
      <c r="N544"/>
      <c r="O544" s="392"/>
      <c r="P544" s="2"/>
      <c r="Q544" s="686"/>
      <c r="R544"/>
      <c r="S544"/>
      <c r="T544" s="686"/>
      <c r="U544"/>
    </row>
    <row r="545" spans="10:21" s="1" customFormat="1" x14ac:dyDescent="0.2">
      <c r="J545"/>
      <c r="K545"/>
      <c r="L545"/>
      <c r="M545"/>
      <c r="N545"/>
      <c r="O545" s="392"/>
      <c r="P545" s="2"/>
      <c r="Q545" s="686"/>
      <c r="R545"/>
      <c r="S545"/>
      <c r="T545" s="686"/>
      <c r="U545"/>
    </row>
    <row r="546" spans="10:21" s="1" customFormat="1" x14ac:dyDescent="0.2">
      <c r="J546"/>
      <c r="K546"/>
      <c r="L546"/>
      <c r="M546"/>
      <c r="N546"/>
      <c r="O546" s="392"/>
      <c r="P546" s="2"/>
      <c r="Q546" s="686"/>
      <c r="R546"/>
      <c r="S546"/>
      <c r="T546" s="686"/>
      <c r="U546"/>
    </row>
    <row r="547" spans="10:21" s="1" customFormat="1" x14ac:dyDescent="0.2">
      <c r="J547"/>
      <c r="K547"/>
      <c r="L547"/>
      <c r="M547"/>
      <c r="N547"/>
      <c r="O547" s="392"/>
      <c r="P547" s="2"/>
      <c r="Q547" s="686"/>
      <c r="R547"/>
      <c r="S547"/>
      <c r="T547" s="686"/>
      <c r="U547"/>
    </row>
    <row r="548" spans="10:21" s="1" customFormat="1" x14ac:dyDescent="0.2">
      <c r="J548"/>
      <c r="K548"/>
      <c r="L548"/>
      <c r="M548"/>
      <c r="N548"/>
      <c r="O548" s="392"/>
      <c r="P548" s="2"/>
      <c r="Q548" s="686"/>
      <c r="R548"/>
      <c r="S548"/>
      <c r="T548" s="686"/>
      <c r="U548"/>
    </row>
    <row r="549" spans="10:21" s="1" customFormat="1" x14ac:dyDescent="0.2">
      <c r="J549"/>
      <c r="K549"/>
      <c r="L549"/>
      <c r="M549"/>
      <c r="N549"/>
      <c r="O549" s="392"/>
      <c r="P549" s="2"/>
      <c r="Q549" s="686"/>
      <c r="R549"/>
      <c r="S549"/>
      <c r="T549" s="686"/>
      <c r="U549"/>
    </row>
    <row r="550" spans="10:21" s="1" customFormat="1" x14ac:dyDescent="0.2">
      <c r="J550"/>
      <c r="K550"/>
      <c r="L550"/>
      <c r="M550"/>
      <c r="N550"/>
      <c r="O550" s="392"/>
      <c r="P550" s="2"/>
      <c r="Q550" s="686"/>
      <c r="R550"/>
      <c r="S550"/>
      <c r="T550" s="686"/>
      <c r="U550"/>
    </row>
    <row r="551" spans="10:21" s="1" customFormat="1" x14ac:dyDescent="0.2">
      <c r="J551"/>
      <c r="K551"/>
      <c r="L551"/>
      <c r="M551"/>
      <c r="N551"/>
      <c r="O551" s="392"/>
      <c r="P551" s="2"/>
      <c r="Q551" s="686"/>
      <c r="R551"/>
      <c r="S551"/>
      <c r="T551" s="686"/>
      <c r="U551"/>
    </row>
    <row r="552" spans="10:21" s="1" customFormat="1" x14ac:dyDescent="0.2">
      <c r="J552"/>
      <c r="K552"/>
      <c r="L552"/>
      <c r="M552"/>
      <c r="N552"/>
      <c r="O552" s="392"/>
      <c r="P552" s="2"/>
      <c r="Q552" s="686"/>
      <c r="R552"/>
      <c r="S552"/>
      <c r="T552" s="686"/>
      <c r="U552"/>
    </row>
    <row r="553" spans="10:21" s="1" customFormat="1" x14ac:dyDescent="0.2">
      <c r="J553"/>
      <c r="K553"/>
      <c r="L553"/>
      <c r="M553"/>
      <c r="N553"/>
      <c r="O553" s="392"/>
      <c r="P553" s="2"/>
      <c r="Q553" s="686"/>
      <c r="R553"/>
      <c r="S553"/>
      <c r="T553" s="686"/>
      <c r="U553"/>
    </row>
    <row r="554" spans="10:21" s="1" customFormat="1" x14ac:dyDescent="0.2">
      <c r="J554"/>
      <c r="K554"/>
      <c r="L554"/>
      <c r="M554"/>
      <c r="N554"/>
      <c r="O554" s="392"/>
      <c r="P554" s="2"/>
      <c r="Q554" s="686"/>
      <c r="R554"/>
      <c r="S554"/>
      <c r="T554" s="686"/>
      <c r="U554"/>
    </row>
    <row r="555" spans="10:21" s="1" customFormat="1" x14ac:dyDescent="0.2">
      <c r="J555"/>
      <c r="K555"/>
      <c r="L555"/>
      <c r="M555"/>
      <c r="N555"/>
      <c r="O555" s="392"/>
      <c r="P555" s="2"/>
      <c r="Q555" s="686"/>
      <c r="R555"/>
      <c r="S555"/>
      <c r="T555" s="686"/>
      <c r="U555"/>
    </row>
    <row r="556" spans="10:21" s="1" customFormat="1" x14ac:dyDescent="0.2">
      <c r="J556"/>
      <c r="K556"/>
      <c r="L556"/>
      <c r="M556"/>
      <c r="N556"/>
      <c r="O556" s="392"/>
      <c r="P556" s="2"/>
      <c r="Q556" s="686"/>
      <c r="R556"/>
      <c r="S556"/>
      <c r="T556" s="686"/>
      <c r="U556"/>
    </row>
    <row r="557" spans="10:21" s="1" customFormat="1" x14ac:dyDescent="0.2">
      <c r="J557"/>
      <c r="K557"/>
      <c r="L557"/>
      <c r="M557"/>
      <c r="N557"/>
      <c r="O557" s="392"/>
      <c r="P557" s="2"/>
      <c r="Q557" s="686"/>
      <c r="R557"/>
      <c r="S557"/>
      <c r="T557" s="686"/>
      <c r="U557"/>
    </row>
    <row r="558" spans="10:21" s="1" customFormat="1" x14ac:dyDescent="0.2">
      <c r="J558"/>
      <c r="K558"/>
      <c r="L558"/>
      <c r="M558"/>
      <c r="N558"/>
      <c r="O558" s="392"/>
      <c r="P558" s="2"/>
      <c r="Q558" s="686"/>
      <c r="R558"/>
      <c r="S558"/>
      <c r="T558" s="686"/>
      <c r="U558"/>
    </row>
    <row r="559" spans="10:21" s="1" customFormat="1" x14ac:dyDescent="0.2">
      <c r="J559"/>
      <c r="K559"/>
      <c r="L559"/>
      <c r="M559"/>
      <c r="N559"/>
      <c r="O559" s="392"/>
      <c r="P559" s="2"/>
      <c r="Q559" s="686"/>
      <c r="R559"/>
      <c r="S559"/>
      <c r="T559" s="686"/>
      <c r="U559"/>
    </row>
    <row r="560" spans="10:21" s="1" customFormat="1" x14ac:dyDescent="0.2">
      <c r="J560"/>
      <c r="K560"/>
      <c r="L560"/>
      <c r="M560"/>
      <c r="N560"/>
      <c r="O560" s="392"/>
      <c r="P560" s="2"/>
      <c r="Q560" s="686"/>
      <c r="R560"/>
      <c r="S560"/>
      <c r="T560" s="686"/>
      <c r="U560"/>
    </row>
    <row r="561" spans="10:21" s="1" customFormat="1" x14ac:dyDescent="0.2">
      <c r="J561"/>
      <c r="K561"/>
      <c r="L561"/>
      <c r="M561"/>
      <c r="N561"/>
      <c r="O561" s="392"/>
      <c r="P561" s="2"/>
      <c r="Q561" s="686"/>
      <c r="R561"/>
      <c r="S561"/>
      <c r="T561" s="686"/>
      <c r="U561"/>
    </row>
    <row r="562" spans="10:21" s="1" customFormat="1" x14ac:dyDescent="0.2">
      <c r="J562"/>
      <c r="K562"/>
      <c r="L562"/>
      <c r="M562"/>
      <c r="N562"/>
      <c r="O562" s="392"/>
      <c r="P562" s="2"/>
      <c r="Q562" s="686"/>
      <c r="R562"/>
      <c r="S562"/>
      <c r="T562" s="686"/>
      <c r="U562"/>
    </row>
    <row r="563" spans="10:21" s="1" customFormat="1" x14ac:dyDescent="0.2">
      <c r="J563"/>
      <c r="K563"/>
      <c r="L563"/>
      <c r="M563"/>
      <c r="N563"/>
      <c r="O563" s="392"/>
      <c r="P563" s="2"/>
      <c r="Q563" s="686"/>
      <c r="R563"/>
      <c r="S563"/>
      <c r="T563" s="686"/>
      <c r="U563"/>
    </row>
    <row r="564" spans="10:21" s="1" customFormat="1" x14ac:dyDescent="0.2">
      <c r="J564"/>
      <c r="K564"/>
      <c r="L564"/>
      <c r="M564"/>
      <c r="N564"/>
      <c r="O564" s="392"/>
      <c r="P564" s="2"/>
      <c r="Q564" s="686"/>
      <c r="R564"/>
      <c r="S564"/>
      <c r="T564" s="686"/>
      <c r="U564"/>
    </row>
    <row r="565" spans="10:21" s="1" customFormat="1" x14ac:dyDescent="0.2">
      <c r="J565"/>
      <c r="K565"/>
      <c r="L565"/>
      <c r="M565"/>
      <c r="N565"/>
      <c r="O565" s="392"/>
      <c r="P565" s="2"/>
      <c r="Q565" s="686"/>
      <c r="R565"/>
      <c r="S565"/>
      <c r="T565" s="686"/>
      <c r="U565"/>
    </row>
    <row r="566" spans="10:21" s="1" customFormat="1" x14ac:dyDescent="0.2">
      <c r="J566"/>
      <c r="K566"/>
      <c r="L566"/>
      <c r="M566"/>
      <c r="N566"/>
      <c r="O566" s="392"/>
      <c r="P566" s="2"/>
      <c r="Q566" s="686"/>
      <c r="R566"/>
      <c r="S566"/>
      <c r="T566" s="686"/>
      <c r="U566"/>
    </row>
    <row r="567" spans="10:21" s="1" customFormat="1" x14ac:dyDescent="0.2">
      <c r="J567"/>
      <c r="K567"/>
      <c r="L567"/>
      <c r="M567"/>
      <c r="N567"/>
      <c r="O567" s="392"/>
      <c r="P567" s="2"/>
      <c r="Q567" s="686"/>
      <c r="R567"/>
      <c r="S567"/>
      <c r="T567" s="686"/>
      <c r="U567"/>
    </row>
    <row r="568" spans="10:21" s="1" customFormat="1" x14ac:dyDescent="0.2">
      <c r="J568"/>
      <c r="K568"/>
      <c r="L568"/>
      <c r="M568"/>
      <c r="N568"/>
      <c r="O568" s="392"/>
      <c r="P568" s="2"/>
      <c r="Q568" s="686"/>
      <c r="R568"/>
      <c r="S568"/>
      <c r="T568" s="686"/>
      <c r="U568"/>
    </row>
    <row r="569" spans="10:21" s="1" customFormat="1" x14ac:dyDescent="0.2">
      <c r="J569"/>
      <c r="K569"/>
      <c r="L569"/>
      <c r="M569"/>
      <c r="N569"/>
      <c r="O569" s="392"/>
      <c r="P569" s="2"/>
      <c r="Q569" s="686"/>
      <c r="R569"/>
      <c r="S569"/>
      <c r="T569" s="686"/>
      <c r="U569"/>
    </row>
    <row r="570" spans="10:21" s="1" customFormat="1" x14ac:dyDescent="0.2">
      <c r="J570"/>
      <c r="K570"/>
      <c r="L570"/>
      <c r="M570"/>
      <c r="N570"/>
      <c r="O570" s="392"/>
      <c r="P570" s="2"/>
      <c r="Q570" s="686"/>
      <c r="R570"/>
      <c r="S570"/>
      <c r="T570" s="686"/>
      <c r="U570"/>
    </row>
    <row r="571" spans="10:21" s="1" customFormat="1" x14ac:dyDescent="0.2">
      <c r="J571"/>
      <c r="K571"/>
      <c r="L571"/>
      <c r="M571"/>
      <c r="N571"/>
      <c r="O571" s="392"/>
      <c r="P571" s="2"/>
      <c r="Q571" s="686"/>
      <c r="R571"/>
      <c r="S571"/>
      <c r="T571" s="686"/>
      <c r="U571"/>
    </row>
    <row r="572" spans="10:21" s="1" customFormat="1" x14ac:dyDescent="0.2">
      <c r="J572"/>
      <c r="K572"/>
      <c r="L572"/>
      <c r="M572"/>
      <c r="N572"/>
      <c r="O572" s="392"/>
      <c r="P572" s="2"/>
      <c r="Q572" s="686"/>
      <c r="R572"/>
      <c r="S572"/>
      <c r="T572" s="686"/>
      <c r="U572"/>
    </row>
    <row r="573" spans="10:21" s="1" customFormat="1" x14ac:dyDescent="0.2">
      <c r="J573"/>
      <c r="K573"/>
      <c r="L573"/>
      <c r="M573"/>
      <c r="N573"/>
      <c r="O573" s="392"/>
      <c r="P573" s="2"/>
      <c r="Q573" s="686"/>
      <c r="R573"/>
      <c r="S573"/>
      <c r="T573" s="686"/>
      <c r="U573"/>
    </row>
    <row r="574" spans="10:21" s="1" customFormat="1" x14ac:dyDescent="0.2">
      <c r="J574"/>
      <c r="K574"/>
      <c r="L574"/>
      <c r="M574"/>
      <c r="N574"/>
      <c r="O574" s="392"/>
      <c r="P574" s="2"/>
      <c r="Q574" s="686"/>
      <c r="R574"/>
      <c r="S574"/>
      <c r="T574" s="686"/>
      <c r="U574"/>
    </row>
    <row r="575" spans="10:21" s="1" customFormat="1" x14ac:dyDescent="0.2">
      <c r="J575"/>
      <c r="K575"/>
      <c r="L575"/>
      <c r="M575"/>
      <c r="N575"/>
      <c r="O575" s="392"/>
      <c r="P575" s="2"/>
      <c r="Q575" s="686"/>
      <c r="R575"/>
      <c r="S575"/>
      <c r="T575" s="686"/>
      <c r="U575"/>
    </row>
    <row r="576" spans="10:21" s="1" customFormat="1" x14ac:dyDescent="0.2">
      <c r="J576"/>
      <c r="K576"/>
      <c r="L576"/>
      <c r="M576"/>
      <c r="N576"/>
      <c r="O576" s="392"/>
      <c r="P576" s="2"/>
      <c r="Q576" s="686"/>
      <c r="R576"/>
      <c r="S576"/>
      <c r="T576" s="686"/>
      <c r="U576"/>
    </row>
    <row r="577" spans="10:21" s="1" customFormat="1" x14ac:dyDescent="0.2">
      <c r="J577"/>
      <c r="K577"/>
      <c r="L577"/>
      <c r="M577"/>
      <c r="N577"/>
      <c r="O577" s="392"/>
      <c r="P577" s="2"/>
      <c r="Q577" s="686"/>
      <c r="R577"/>
      <c r="S577"/>
      <c r="T577" s="686"/>
      <c r="U577"/>
    </row>
    <row r="578" spans="10:21" s="1" customFormat="1" x14ac:dyDescent="0.2">
      <c r="J578"/>
      <c r="K578"/>
      <c r="L578"/>
      <c r="M578"/>
      <c r="N578"/>
      <c r="O578" s="392"/>
      <c r="P578" s="2"/>
      <c r="Q578" s="686"/>
      <c r="R578"/>
      <c r="S578"/>
      <c r="T578" s="686"/>
      <c r="U578"/>
    </row>
    <row r="579" spans="10:21" s="1" customFormat="1" x14ac:dyDescent="0.2">
      <c r="J579"/>
      <c r="K579"/>
      <c r="L579"/>
      <c r="M579"/>
      <c r="N579"/>
      <c r="O579" s="392"/>
      <c r="P579" s="2"/>
      <c r="Q579" s="686"/>
      <c r="R579"/>
      <c r="S579"/>
      <c r="T579" s="686"/>
      <c r="U579"/>
    </row>
    <row r="580" spans="10:21" s="1" customFormat="1" x14ac:dyDescent="0.2">
      <c r="J580"/>
      <c r="K580"/>
      <c r="L580"/>
      <c r="M580"/>
      <c r="N580"/>
      <c r="O580" s="392"/>
      <c r="P580" s="2"/>
      <c r="Q580" s="686"/>
      <c r="R580"/>
      <c r="S580"/>
      <c r="T580" s="686"/>
      <c r="U580"/>
    </row>
    <row r="581" spans="10:21" s="1" customFormat="1" x14ac:dyDescent="0.2">
      <c r="J581"/>
      <c r="K581"/>
      <c r="L581"/>
      <c r="M581"/>
      <c r="N581"/>
      <c r="O581" s="392"/>
      <c r="P581" s="2"/>
      <c r="Q581" s="686"/>
      <c r="R581"/>
      <c r="S581"/>
      <c r="T581" s="686"/>
      <c r="U581"/>
    </row>
    <row r="582" spans="10:21" s="1" customFormat="1" x14ac:dyDescent="0.2">
      <c r="J582"/>
      <c r="K582"/>
      <c r="L582"/>
      <c r="M582"/>
      <c r="N582"/>
      <c r="O582" s="392"/>
      <c r="P582" s="2"/>
      <c r="Q582" s="686"/>
      <c r="R582"/>
      <c r="S582"/>
      <c r="T582" s="686"/>
      <c r="U582"/>
    </row>
    <row r="583" spans="10:21" s="1" customFormat="1" x14ac:dyDescent="0.2">
      <c r="J583"/>
      <c r="K583"/>
      <c r="L583"/>
      <c r="M583"/>
      <c r="N583"/>
      <c r="O583" s="392"/>
      <c r="P583" s="2"/>
      <c r="Q583" s="686"/>
      <c r="R583"/>
      <c r="S583"/>
      <c r="T583" s="686"/>
      <c r="U583"/>
    </row>
    <row r="584" spans="10:21" s="1" customFormat="1" x14ac:dyDescent="0.2">
      <c r="J584"/>
      <c r="K584"/>
      <c r="L584"/>
      <c r="M584"/>
      <c r="N584"/>
      <c r="O584" s="392"/>
      <c r="P584" s="2"/>
      <c r="Q584" s="686"/>
      <c r="R584"/>
      <c r="S584"/>
      <c r="T584" s="686"/>
      <c r="U584"/>
    </row>
    <row r="585" spans="10:21" s="1" customFormat="1" x14ac:dyDescent="0.2">
      <c r="J585"/>
      <c r="K585"/>
      <c r="L585"/>
      <c r="M585"/>
      <c r="N585"/>
      <c r="O585" s="392"/>
      <c r="P585" s="2"/>
      <c r="Q585" s="686"/>
      <c r="R585"/>
      <c r="S585"/>
      <c r="T585" s="686"/>
      <c r="U585"/>
    </row>
    <row r="586" spans="10:21" s="1" customFormat="1" x14ac:dyDescent="0.2">
      <c r="J586"/>
      <c r="K586"/>
      <c r="L586"/>
      <c r="M586"/>
      <c r="N586"/>
      <c r="O586" s="392"/>
      <c r="P586" s="2"/>
      <c r="Q586" s="686"/>
      <c r="R586"/>
      <c r="S586"/>
      <c r="T586" s="686"/>
      <c r="U586"/>
    </row>
    <row r="587" spans="10:21" s="1" customFormat="1" x14ac:dyDescent="0.2">
      <c r="J587"/>
      <c r="K587"/>
      <c r="L587"/>
      <c r="M587"/>
      <c r="N587"/>
      <c r="O587" s="392"/>
      <c r="P587" s="2"/>
      <c r="Q587" s="686"/>
      <c r="R587"/>
      <c r="S587"/>
      <c r="T587" s="686"/>
      <c r="U587"/>
    </row>
    <row r="588" spans="10:21" s="1" customFormat="1" x14ac:dyDescent="0.2">
      <c r="J588"/>
      <c r="K588"/>
      <c r="L588"/>
      <c r="M588"/>
      <c r="N588"/>
      <c r="O588" s="392"/>
      <c r="P588" s="2"/>
      <c r="Q588" s="686"/>
      <c r="R588"/>
      <c r="S588"/>
      <c r="T588" s="686"/>
      <c r="U588"/>
    </row>
    <row r="589" spans="10:21" s="1" customFormat="1" x14ac:dyDescent="0.2">
      <c r="J589"/>
      <c r="K589"/>
      <c r="L589"/>
      <c r="M589"/>
      <c r="N589"/>
      <c r="O589" s="392"/>
      <c r="P589" s="2"/>
      <c r="Q589" s="686"/>
      <c r="R589"/>
      <c r="S589"/>
      <c r="T589" s="686"/>
      <c r="U589"/>
    </row>
    <row r="590" spans="10:21" s="1" customFormat="1" x14ac:dyDescent="0.2">
      <c r="J590"/>
      <c r="K590"/>
      <c r="L590"/>
      <c r="M590"/>
      <c r="N590"/>
      <c r="O590" s="392"/>
      <c r="P590" s="2"/>
      <c r="Q590" s="686"/>
      <c r="R590"/>
      <c r="S590"/>
      <c r="T590" s="686"/>
      <c r="U590"/>
    </row>
    <row r="591" spans="10:21" s="1" customFormat="1" x14ac:dyDescent="0.2">
      <c r="J591"/>
      <c r="K591"/>
      <c r="L591"/>
      <c r="M591"/>
      <c r="N591"/>
      <c r="O591" s="392"/>
      <c r="P591" s="2"/>
      <c r="Q591" s="686"/>
      <c r="R591"/>
      <c r="S591"/>
      <c r="T591" s="686"/>
      <c r="U591"/>
    </row>
    <row r="592" spans="10:21" s="1" customFormat="1" x14ac:dyDescent="0.2">
      <c r="J592"/>
      <c r="K592"/>
      <c r="L592"/>
      <c r="M592"/>
      <c r="N592"/>
      <c r="O592" s="392"/>
      <c r="P592" s="2"/>
      <c r="Q592" s="686"/>
      <c r="R592"/>
      <c r="S592"/>
      <c r="T592" s="686"/>
      <c r="U592"/>
    </row>
    <row r="593" spans="10:21" s="1" customFormat="1" x14ac:dyDescent="0.2">
      <c r="J593"/>
      <c r="K593"/>
      <c r="L593"/>
      <c r="M593"/>
      <c r="N593"/>
      <c r="O593" s="392"/>
      <c r="P593" s="2"/>
      <c r="Q593" s="686"/>
      <c r="R593"/>
      <c r="S593"/>
      <c r="T593" s="686"/>
      <c r="U593"/>
    </row>
    <row r="594" spans="10:21" s="1" customFormat="1" x14ac:dyDescent="0.2">
      <c r="J594"/>
      <c r="K594"/>
      <c r="L594"/>
      <c r="M594"/>
      <c r="N594"/>
      <c r="O594" s="392"/>
      <c r="P594" s="2"/>
      <c r="Q594" s="686"/>
      <c r="R594"/>
      <c r="S594"/>
      <c r="T594" s="686"/>
      <c r="U594"/>
    </row>
    <row r="595" spans="10:21" s="1" customFormat="1" x14ac:dyDescent="0.2">
      <c r="J595"/>
      <c r="K595"/>
      <c r="L595"/>
      <c r="M595"/>
      <c r="N595"/>
      <c r="O595" s="392"/>
      <c r="P595" s="2"/>
      <c r="Q595" s="686"/>
      <c r="R595"/>
      <c r="S595"/>
      <c r="T595" s="686"/>
      <c r="U595"/>
    </row>
    <row r="596" spans="10:21" s="1" customFormat="1" x14ac:dyDescent="0.2">
      <c r="J596"/>
      <c r="K596"/>
      <c r="L596"/>
      <c r="M596"/>
      <c r="N596"/>
      <c r="O596" s="392"/>
      <c r="P596" s="2"/>
      <c r="Q596" s="686"/>
      <c r="R596"/>
      <c r="S596"/>
      <c r="T596" s="686"/>
      <c r="U596"/>
    </row>
    <row r="597" spans="10:21" s="1" customFormat="1" x14ac:dyDescent="0.2">
      <c r="J597"/>
      <c r="K597"/>
      <c r="L597"/>
      <c r="M597"/>
      <c r="N597"/>
      <c r="O597" s="392"/>
      <c r="P597" s="2"/>
      <c r="Q597" s="686"/>
      <c r="R597"/>
      <c r="S597"/>
      <c r="T597" s="686"/>
      <c r="U597"/>
    </row>
    <row r="598" spans="10:21" s="1" customFormat="1" x14ac:dyDescent="0.2">
      <c r="J598"/>
      <c r="K598"/>
      <c r="L598"/>
      <c r="M598"/>
      <c r="N598"/>
      <c r="O598" s="392"/>
      <c r="P598" s="2"/>
      <c r="Q598" s="686"/>
      <c r="R598"/>
      <c r="S598"/>
      <c r="T598" s="686"/>
      <c r="U598"/>
    </row>
    <row r="599" spans="10:21" s="1" customFormat="1" x14ac:dyDescent="0.2">
      <c r="J599"/>
      <c r="K599"/>
      <c r="L599"/>
      <c r="M599"/>
      <c r="N599"/>
      <c r="O599" s="392"/>
      <c r="P599" s="2"/>
      <c r="Q599" s="686"/>
      <c r="R599"/>
      <c r="S599"/>
      <c r="T599" s="686"/>
      <c r="U599"/>
    </row>
    <row r="600" spans="10:21" s="1" customFormat="1" x14ac:dyDescent="0.2">
      <c r="J600"/>
      <c r="K600"/>
      <c r="L600"/>
      <c r="M600"/>
      <c r="N600"/>
      <c r="O600" s="392"/>
      <c r="P600" s="2"/>
      <c r="Q600" s="686"/>
      <c r="R600"/>
      <c r="S600"/>
      <c r="T600" s="686"/>
      <c r="U600"/>
    </row>
    <row r="601" spans="10:21" s="1" customFormat="1" x14ac:dyDescent="0.2">
      <c r="J601"/>
      <c r="K601"/>
      <c r="L601"/>
      <c r="M601"/>
      <c r="N601"/>
      <c r="O601" s="392"/>
      <c r="P601" s="2"/>
      <c r="Q601" s="686"/>
      <c r="R601"/>
      <c r="S601"/>
      <c r="T601" s="686"/>
      <c r="U601"/>
    </row>
    <row r="602" spans="10:21" s="1" customFormat="1" x14ac:dyDescent="0.2">
      <c r="J602"/>
      <c r="K602"/>
      <c r="L602"/>
      <c r="M602"/>
      <c r="N602"/>
      <c r="O602" s="392"/>
      <c r="P602" s="2"/>
      <c r="Q602" s="686"/>
      <c r="R602"/>
      <c r="S602"/>
      <c r="T602" s="686"/>
      <c r="U602"/>
    </row>
    <row r="603" spans="10:21" s="1" customFormat="1" x14ac:dyDescent="0.2">
      <c r="J603"/>
      <c r="K603"/>
      <c r="L603"/>
      <c r="M603"/>
      <c r="N603"/>
      <c r="O603" s="392"/>
      <c r="P603" s="2"/>
      <c r="Q603" s="686"/>
      <c r="R603"/>
      <c r="S603"/>
      <c r="T603" s="686"/>
      <c r="U603"/>
    </row>
    <row r="604" spans="10:21" s="1" customFormat="1" x14ac:dyDescent="0.2">
      <c r="J604"/>
      <c r="K604"/>
      <c r="L604"/>
      <c r="M604"/>
      <c r="N604"/>
      <c r="O604" s="392"/>
      <c r="P604" s="2"/>
      <c r="Q604" s="686"/>
      <c r="R604"/>
      <c r="S604"/>
      <c r="T604" s="686"/>
      <c r="U604"/>
    </row>
    <row r="605" spans="10:21" s="1" customFormat="1" x14ac:dyDescent="0.2">
      <c r="J605"/>
      <c r="K605"/>
      <c r="L605"/>
      <c r="M605"/>
      <c r="N605"/>
      <c r="O605" s="392"/>
      <c r="P605" s="2"/>
      <c r="Q605" s="686"/>
      <c r="R605"/>
      <c r="S605"/>
      <c r="T605" s="686"/>
      <c r="U605"/>
    </row>
    <row r="606" spans="10:21" s="1" customFormat="1" x14ac:dyDescent="0.2">
      <c r="J606"/>
      <c r="K606"/>
      <c r="L606"/>
      <c r="M606"/>
      <c r="N606"/>
      <c r="O606" s="392"/>
      <c r="P606" s="2"/>
      <c r="Q606" s="686"/>
      <c r="R606"/>
      <c r="S606"/>
      <c r="T606" s="686"/>
      <c r="U606"/>
    </row>
    <row r="607" spans="10:21" s="1" customFormat="1" x14ac:dyDescent="0.2">
      <c r="J607"/>
      <c r="K607"/>
      <c r="L607"/>
      <c r="M607"/>
      <c r="N607"/>
      <c r="O607" s="392"/>
      <c r="P607" s="2"/>
      <c r="Q607" s="686"/>
      <c r="R607"/>
      <c r="S607"/>
      <c r="T607" s="686"/>
      <c r="U607"/>
    </row>
    <row r="608" spans="10:21" s="1" customFormat="1" x14ac:dyDescent="0.2">
      <c r="J608"/>
      <c r="K608"/>
      <c r="L608"/>
      <c r="M608"/>
      <c r="N608"/>
      <c r="O608" s="392"/>
      <c r="P608" s="2"/>
      <c r="Q608" s="686"/>
      <c r="R608"/>
      <c r="S608"/>
      <c r="T608" s="686"/>
      <c r="U608"/>
    </row>
    <row r="609" spans="10:21" s="1" customFormat="1" x14ac:dyDescent="0.2">
      <c r="J609"/>
      <c r="K609"/>
      <c r="L609"/>
      <c r="M609"/>
      <c r="N609"/>
      <c r="O609" s="392"/>
      <c r="P609" s="2"/>
      <c r="Q609" s="686"/>
      <c r="R609"/>
      <c r="S609"/>
      <c r="T609" s="686"/>
      <c r="U609"/>
    </row>
    <row r="610" spans="10:21" s="1" customFormat="1" x14ac:dyDescent="0.2">
      <c r="J610"/>
      <c r="K610"/>
      <c r="L610"/>
      <c r="M610"/>
      <c r="N610"/>
      <c r="O610" s="392"/>
      <c r="P610" s="2"/>
      <c r="Q610" s="686"/>
      <c r="R610"/>
      <c r="S610"/>
      <c r="T610" s="686"/>
      <c r="U610"/>
    </row>
    <row r="611" spans="10:21" s="1" customFormat="1" x14ac:dyDescent="0.2">
      <c r="J611"/>
      <c r="K611"/>
      <c r="L611"/>
      <c r="M611"/>
      <c r="N611"/>
      <c r="O611" s="392"/>
      <c r="P611" s="2"/>
      <c r="Q611" s="686"/>
      <c r="R611"/>
      <c r="S611"/>
      <c r="T611" s="686"/>
      <c r="U611"/>
    </row>
    <row r="612" spans="10:21" s="1" customFormat="1" x14ac:dyDescent="0.2">
      <c r="J612"/>
      <c r="K612"/>
      <c r="L612"/>
      <c r="M612"/>
      <c r="N612"/>
      <c r="O612" s="392"/>
      <c r="P612" s="2"/>
      <c r="Q612" s="686"/>
      <c r="R612"/>
      <c r="S612"/>
      <c r="T612" s="686"/>
      <c r="U612"/>
    </row>
    <row r="613" spans="10:21" s="1" customFormat="1" x14ac:dyDescent="0.2">
      <c r="J613"/>
      <c r="K613"/>
      <c r="L613"/>
      <c r="M613"/>
      <c r="N613"/>
      <c r="O613" s="392"/>
      <c r="P613" s="2"/>
      <c r="Q613" s="686"/>
      <c r="R613"/>
      <c r="S613"/>
      <c r="T613" s="686"/>
      <c r="U613"/>
    </row>
    <row r="614" spans="10:21" s="1" customFormat="1" x14ac:dyDescent="0.2">
      <c r="J614"/>
      <c r="K614"/>
      <c r="L614"/>
      <c r="M614"/>
      <c r="N614"/>
      <c r="O614" s="392"/>
      <c r="P614" s="2"/>
      <c r="Q614" s="686"/>
      <c r="R614"/>
      <c r="S614"/>
      <c r="T614" s="686"/>
      <c r="U614"/>
    </row>
    <row r="615" spans="10:21" s="1" customFormat="1" x14ac:dyDescent="0.2">
      <c r="J615"/>
      <c r="K615"/>
      <c r="L615"/>
      <c r="M615"/>
      <c r="N615"/>
      <c r="O615" s="392"/>
      <c r="P615" s="2"/>
      <c r="Q615" s="686"/>
      <c r="R615"/>
      <c r="S615"/>
      <c r="T615" s="686"/>
      <c r="U615"/>
    </row>
    <row r="616" spans="10:21" s="1" customFormat="1" x14ac:dyDescent="0.2">
      <c r="J616"/>
      <c r="K616"/>
      <c r="L616"/>
      <c r="M616"/>
      <c r="N616"/>
      <c r="O616" s="392"/>
      <c r="P616" s="2"/>
      <c r="Q616" s="686"/>
      <c r="R616"/>
      <c r="S616"/>
      <c r="T616" s="686"/>
      <c r="U616"/>
    </row>
    <row r="617" spans="10:21" s="1" customFormat="1" x14ac:dyDescent="0.2">
      <c r="J617"/>
      <c r="K617"/>
      <c r="L617"/>
      <c r="M617"/>
      <c r="N617"/>
      <c r="O617" s="392"/>
      <c r="P617" s="2"/>
      <c r="Q617" s="686"/>
      <c r="R617"/>
      <c r="S617"/>
      <c r="T617" s="686"/>
      <c r="U617"/>
    </row>
    <row r="618" spans="10:21" s="1" customFormat="1" x14ac:dyDescent="0.2">
      <c r="J618"/>
      <c r="K618"/>
      <c r="L618"/>
      <c r="M618"/>
      <c r="N618"/>
      <c r="O618" s="392"/>
      <c r="P618" s="2"/>
      <c r="Q618" s="686"/>
      <c r="R618"/>
      <c r="S618"/>
      <c r="T618" s="686"/>
      <c r="U618"/>
    </row>
    <row r="619" spans="10:21" s="1" customFormat="1" x14ac:dyDescent="0.2">
      <c r="J619"/>
      <c r="K619"/>
      <c r="L619"/>
      <c r="M619"/>
      <c r="N619"/>
      <c r="O619" s="392"/>
      <c r="P619" s="2"/>
      <c r="Q619" s="686"/>
      <c r="R619"/>
      <c r="S619"/>
      <c r="T619" s="686"/>
      <c r="U619"/>
    </row>
    <row r="620" spans="10:21" s="1" customFormat="1" x14ac:dyDescent="0.2">
      <c r="J620"/>
      <c r="K620"/>
      <c r="L620"/>
      <c r="M620"/>
      <c r="N620"/>
      <c r="O620" s="392"/>
      <c r="P620" s="2"/>
      <c r="Q620" s="686"/>
      <c r="R620"/>
      <c r="S620"/>
      <c r="T620" s="686"/>
      <c r="U620"/>
    </row>
    <row r="621" spans="10:21" s="1" customFormat="1" x14ac:dyDescent="0.2">
      <c r="J621"/>
      <c r="K621"/>
      <c r="L621"/>
      <c r="M621"/>
      <c r="N621"/>
      <c r="O621" s="392"/>
      <c r="P621" s="2"/>
      <c r="Q621" s="686"/>
      <c r="R621"/>
      <c r="S621"/>
      <c r="T621" s="686"/>
      <c r="U621"/>
    </row>
    <row r="622" spans="10:21" s="1" customFormat="1" x14ac:dyDescent="0.2">
      <c r="J622"/>
      <c r="K622"/>
      <c r="L622"/>
      <c r="M622"/>
      <c r="N622"/>
      <c r="O622" s="392"/>
      <c r="P622" s="2"/>
      <c r="Q622" s="686"/>
      <c r="R622"/>
      <c r="S622"/>
      <c r="T622" s="686"/>
      <c r="U622"/>
    </row>
    <row r="623" spans="10:21" s="1" customFormat="1" x14ac:dyDescent="0.2">
      <c r="J623"/>
      <c r="K623"/>
      <c r="L623"/>
      <c r="M623"/>
      <c r="N623"/>
      <c r="O623" s="392"/>
      <c r="P623" s="2"/>
      <c r="Q623" s="686"/>
      <c r="R623"/>
      <c r="S623"/>
      <c r="T623" s="686"/>
      <c r="U623"/>
    </row>
    <row r="624" spans="10:21" s="1" customFormat="1" x14ac:dyDescent="0.2">
      <c r="J624"/>
      <c r="K624"/>
      <c r="L624"/>
      <c r="M624"/>
      <c r="N624"/>
      <c r="O624" s="392"/>
      <c r="P624" s="2"/>
      <c r="Q624" s="686"/>
      <c r="R624"/>
      <c r="S624"/>
      <c r="T624" s="686"/>
      <c r="U624"/>
    </row>
    <row r="625" spans="10:21" s="1" customFormat="1" x14ac:dyDescent="0.2">
      <c r="J625"/>
      <c r="K625"/>
      <c r="L625"/>
      <c r="M625"/>
      <c r="N625"/>
      <c r="O625" s="392"/>
      <c r="P625" s="2"/>
      <c r="Q625" s="686"/>
      <c r="R625"/>
      <c r="S625"/>
      <c r="T625" s="686"/>
      <c r="U625"/>
    </row>
    <row r="626" spans="10:21" s="1" customFormat="1" x14ac:dyDescent="0.2">
      <c r="J626"/>
      <c r="K626"/>
      <c r="L626"/>
      <c r="M626"/>
      <c r="N626"/>
      <c r="O626" s="392"/>
      <c r="P626" s="2"/>
      <c r="Q626" s="686"/>
      <c r="R626"/>
      <c r="S626"/>
      <c r="T626" s="686"/>
      <c r="U626"/>
    </row>
    <row r="627" spans="10:21" s="1" customFormat="1" x14ac:dyDescent="0.2">
      <c r="J627"/>
      <c r="K627"/>
      <c r="L627"/>
      <c r="M627"/>
      <c r="N627"/>
      <c r="O627" s="392"/>
      <c r="P627" s="2"/>
      <c r="Q627" s="686"/>
      <c r="R627"/>
      <c r="S627"/>
      <c r="T627" s="686"/>
      <c r="U627"/>
    </row>
    <row r="628" spans="10:21" s="1" customFormat="1" x14ac:dyDescent="0.2">
      <c r="J628"/>
      <c r="K628"/>
      <c r="L628"/>
      <c r="M628"/>
      <c r="N628"/>
      <c r="O628" s="392"/>
      <c r="P628" s="2"/>
      <c r="Q628" s="686"/>
      <c r="R628"/>
      <c r="S628"/>
      <c r="T628" s="686"/>
      <c r="U628"/>
    </row>
    <row r="629" spans="10:21" s="1" customFormat="1" x14ac:dyDescent="0.2">
      <c r="J629"/>
      <c r="K629"/>
      <c r="L629"/>
      <c r="M629"/>
      <c r="N629"/>
      <c r="O629" s="392"/>
      <c r="P629" s="2"/>
      <c r="Q629" s="686"/>
      <c r="R629"/>
      <c r="S629"/>
      <c r="T629" s="686"/>
      <c r="U629"/>
    </row>
    <row r="630" spans="10:21" s="1" customFormat="1" x14ac:dyDescent="0.2">
      <c r="J630"/>
      <c r="K630"/>
      <c r="L630"/>
      <c r="M630"/>
      <c r="N630"/>
      <c r="O630" s="392"/>
      <c r="P630" s="2"/>
      <c r="Q630" s="686"/>
      <c r="R630"/>
      <c r="S630"/>
      <c r="T630" s="686"/>
      <c r="U630"/>
    </row>
    <row r="631" spans="10:21" s="1" customFormat="1" x14ac:dyDescent="0.2">
      <c r="J631"/>
      <c r="K631"/>
      <c r="L631"/>
      <c r="M631"/>
      <c r="N631"/>
      <c r="O631" s="392"/>
      <c r="P631" s="2"/>
      <c r="Q631" s="686"/>
      <c r="R631"/>
      <c r="S631"/>
      <c r="T631" s="686"/>
      <c r="U631"/>
    </row>
    <row r="632" spans="10:21" s="1" customFormat="1" x14ac:dyDescent="0.2">
      <c r="J632"/>
      <c r="K632"/>
      <c r="L632"/>
      <c r="M632"/>
      <c r="N632"/>
      <c r="O632" s="392"/>
      <c r="P632" s="2"/>
      <c r="Q632" s="686"/>
      <c r="R632"/>
      <c r="S632"/>
      <c r="T632" s="686"/>
      <c r="U632"/>
    </row>
    <row r="633" spans="10:21" s="1" customFormat="1" x14ac:dyDescent="0.2">
      <c r="J633"/>
      <c r="K633"/>
      <c r="L633"/>
      <c r="M633"/>
      <c r="N633"/>
      <c r="O633" s="392"/>
      <c r="P633" s="2"/>
      <c r="Q633" s="686"/>
      <c r="R633"/>
      <c r="S633"/>
      <c r="T633" s="686"/>
      <c r="U633"/>
    </row>
    <row r="634" spans="10:21" s="1" customFormat="1" x14ac:dyDescent="0.2">
      <c r="J634"/>
      <c r="K634"/>
      <c r="L634"/>
      <c r="M634"/>
      <c r="N634"/>
      <c r="O634" s="392"/>
      <c r="P634" s="2"/>
      <c r="Q634" s="686"/>
      <c r="R634"/>
      <c r="S634"/>
      <c r="T634" s="686"/>
      <c r="U634"/>
    </row>
    <row r="635" spans="10:21" s="1" customFormat="1" x14ac:dyDescent="0.2">
      <c r="J635"/>
      <c r="K635"/>
      <c r="L635"/>
      <c r="M635"/>
      <c r="N635"/>
      <c r="O635" s="392"/>
      <c r="P635" s="2"/>
      <c r="Q635" s="686"/>
      <c r="R635"/>
      <c r="S635"/>
      <c r="T635" s="686"/>
      <c r="U635"/>
    </row>
    <row r="636" spans="10:21" s="1" customFormat="1" x14ac:dyDescent="0.2">
      <c r="J636"/>
      <c r="K636"/>
      <c r="L636"/>
      <c r="M636"/>
      <c r="N636"/>
      <c r="O636" s="392"/>
      <c r="P636" s="2"/>
      <c r="Q636" s="686"/>
      <c r="R636"/>
      <c r="S636"/>
      <c r="T636" s="686"/>
      <c r="U636"/>
    </row>
    <row r="637" spans="10:21" s="1" customFormat="1" x14ac:dyDescent="0.2">
      <c r="J637"/>
      <c r="K637"/>
      <c r="L637"/>
      <c r="M637"/>
      <c r="N637"/>
      <c r="O637" s="392"/>
      <c r="P637" s="2"/>
      <c r="Q637" s="686"/>
      <c r="R637"/>
      <c r="S637"/>
      <c r="T637" s="686"/>
      <c r="U637"/>
    </row>
    <row r="638" spans="10:21" s="1" customFormat="1" x14ac:dyDescent="0.2">
      <c r="J638"/>
      <c r="K638"/>
      <c r="L638"/>
      <c r="M638"/>
      <c r="N638"/>
      <c r="O638" s="392"/>
      <c r="P638" s="2"/>
      <c r="Q638" s="686"/>
      <c r="R638"/>
      <c r="S638"/>
      <c r="T638" s="686"/>
      <c r="U638"/>
    </row>
    <row r="639" spans="10:21" s="1" customFormat="1" x14ac:dyDescent="0.2">
      <c r="J639"/>
      <c r="K639"/>
      <c r="L639"/>
      <c r="M639"/>
      <c r="N639"/>
      <c r="O639" s="392"/>
      <c r="P639" s="2"/>
      <c r="Q639" s="686"/>
      <c r="R639"/>
      <c r="S639"/>
      <c r="T639" s="686"/>
      <c r="U639"/>
    </row>
    <row r="640" spans="10:21" s="1" customFormat="1" x14ac:dyDescent="0.2">
      <c r="J640"/>
      <c r="K640"/>
      <c r="L640"/>
      <c r="M640"/>
      <c r="N640"/>
      <c r="O640" s="392"/>
      <c r="P640" s="2"/>
      <c r="Q640" s="686"/>
      <c r="R640"/>
      <c r="S640"/>
      <c r="T640" s="686"/>
      <c r="U640"/>
    </row>
    <row r="641" spans="10:21" s="1" customFormat="1" x14ac:dyDescent="0.2">
      <c r="J641"/>
      <c r="K641"/>
      <c r="L641"/>
      <c r="M641"/>
      <c r="N641"/>
      <c r="O641" s="392"/>
      <c r="P641" s="2"/>
      <c r="Q641" s="686"/>
      <c r="R641"/>
      <c r="S641"/>
      <c r="T641" s="686"/>
      <c r="U641"/>
    </row>
    <row r="642" spans="10:21" s="1" customFormat="1" x14ac:dyDescent="0.2">
      <c r="J642"/>
      <c r="K642"/>
      <c r="L642"/>
      <c r="M642"/>
      <c r="N642"/>
      <c r="O642" s="392"/>
      <c r="P642" s="2"/>
      <c r="Q642" s="686"/>
      <c r="R642"/>
      <c r="S642"/>
      <c r="T642" s="686"/>
      <c r="U642"/>
    </row>
    <row r="643" spans="10:21" s="1" customFormat="1" x14ac:dyDescent="0.2">
      <c r="J643"/>
      <c r="K643"/>
      <c r="L643"/>
      <c r="M643"/>
      <c r="N643"/>
      <c r="O643" s="392"/>
      <c r="P643" s="2"/>
      <c r="Q643" s="686"/>
      <c r="R643"/>
      <c r="S643"/>
      <c r="T643" s="686"/>
      <c r="U643"/>
    </row>
    <row r="644" spans="10:21" s="1" customFormat="1" x14ac:dyDescent="0.2">
      <c r="J644"/>
      <c r="K644"/>
      <c r="L644"/>
      <c r="M644"/>
      <c r="N644"/>
      <c r="O644" s="392"/>
      <c r="P644" s="2"/>
      <c r="Q644" s="686"/>
      <c r="R644"/>
      <c r="S644"/>
      <c r="T644" s="686"/>
      <c r="U644"/>
    </row>
    <row r="645" spans="10:21" s="1" customFormat="1" x14ac:dyDescent="0.2">
      <c r="J645"/>
      <c r="K645"/>
      <c r="L645"/>
      <c r="M645"/>
      <c r="N645"/>
      <c r="O645" s="392"/>
      <c r="P645" s="2"/>
      <c r="Q645" s="686"/>
      <c r="R645"/>
      <c r="S645"/>
      <c r="T645" s="686"/>
      <c r="U645"/>
    </row>
    <row r="646" spans="10:21" s="1" customFormat="1" x14ac:dyDescent="0.2">
      <c r="J646"/>
      <c r="K646"/>
      <c r="L646"/>
      <c r="M646"/>
      <c r="N646"/>
      <c r="O646" s="392"/>
      <c r="P646" s="2"/>
      <c r="Q646" s="686"/>
      <c r="R646"/>
      <c r="S646"/>
      <c r="T646" s="686"/>
      <c r="U646"/>
    </row>
    <row r="647" spans="10:21" s="1" customFormat="1" x14ac:dyDescent="0.2">
      <c r="J647"/>
      <c r="K647"/>
      <c r="L647"/>
      <c r="M647"/>
      <c r="N647"/>
      <c r="O647" s="392"/>
      <c r="P647" s="2"/>
      <c r="Q647" s="686"/>
      <c r="R647"/>
      <c r="S647"/>
      <c r="T647" s="686"/>
      <c r="U647"/>
    </row>
    <row r="648" spans="10:21" s="1" customFormat="1" x14ac:dyDescent="0.2">
      <c r="J648"/>
      <c r="K648"/>
      <c r="L648"/>
      <c r="M648"/>
      <c r="N648"/>
      <c r="O648" s="392"/>
      <c r="P648" s="2"/>
      <c r="Q648" s="686"/>
      <c r="R648"/>
      <c r="S648"/>
      <c r="T648" s="686"/>
      <c r="U648"/>
    </row>
    <row r="649" spans="10:21" s="1" customFormat="1" x14ac:dyDescent="0.2">
      <c r="J649"/>
      <c r="K649"/>
      <c r="L649"/>
      <c r="M649"/>
      <c r="N649"/>
      <c r="O649" s="392"/>
      <c r="P649" s="2"/>
      <c r="Q649" s="686"/>
      <c r="R649"/>
      <c r="S649"/>
      <c r="T649" s="686"/>
      <c r="U649"/>
    </row>
    <row r="650" spans="10:21" s="1" customFormat="1" x14ac:dyDescent="0.2">
      <c r="J650"/>
      <c r="K650"/>
      <c r="L650"/>
      <c r="M650"/>
      <c r="N650"/>
      <c r="O650" s="392"/>
      <c r="P650" s="2"/>
      <c r="Q650" s="686"/>
      <c r="R650"/>
      <c r="S650"/>
      <c r="T650" s="686"/>
      <c r="U650"/>
    </row>
    <row r="651" spans="10:21" s="1" customFormat="1" x14ac:dyDescent="0.2">
      <c r="J651"/>
      <c r="K651"/>
      <c r="L651"/>
      <c r="M651"/>
      <c r="N651"/>
      <c r="O651" s="392"/>
      <c r="P651" s="2"/>
      <c r="Q651" s="686"/>
      <c r="R651"/>
      <c r="S651"/>
      <c r="T651" s="686"/>
      <c r="U651"/>
    </row>
    <row r="652" spans="10:21" s="1" customFormat="1" x14ac:dyDescent="0.2">
      <c r="J652"/>
      <c r="K652"/>
      <c r="L652"/>
      <c r="M652"/>
      <c r="N652"/>
      <c r="O652" s="392"/>
      <c r="P652" s="2"/>
      <c r="Q652" s="686"/>
      <c r="R652"/>
      <c r="S652"/>
      <c r="T652" s="686"/>
      <c r="U652"/>
    </row>
    <row r="653" spans="10:21" s="1" customFormat="1" x14ac:dyDescent="0.2">
      <c r="J653"/>
      <c r="K653"/>
      <c r="L653"/>
      <c r="M653"/>
      <c r="N653"/>
      <c r="O653" s="392"/>
      <c r="P653" s="2"/>
      <c r="Q653" s="686"/>
      <c r="R653"/>
      <c r="S653"/>
      <c r="T653" s="686"/>
      <c r="U653"/>
    </row>
    <row r="654" spans="10:21" s="1" customFormat="1" x14ac:dyDescent="0.2">
      <c r="J654"/>
      <c r="K654"/>
      <c r="L654"/>
      <c r="M654"/>
      <c r="N654"/>
      <c r="O654" s="392"/>
      <c r="P654" s="2"/>
      <c r="Q654" s="686"/>
      <c r="R654"/>
      <c r="S654"/>
      <c r="T654" s="686"/>
      <c r="U654"/>
    </row>
    <row r="655" spans="10:21" s="1" customFormat="1" x14ac:dyDescent="0.2">
      <c r="J655"/>
      <c r="K655"/>
      <c r="L655"/>
      <c r="M655"/>
      <c r="N655"/>
      <c r="O655" s="392"/>
      <c r="P655" s="2"/>
      <c r="Q655" s="686"/>
      <c r="R655"/>
      <c r="S655"/>
      <c r="T655" s="686"/>
      <c r="U655"/>
    </row>
    <row r="656" spans="10:21" s="1" customFormat="1" x14ac:dyDescent="0.2">
      <c r="J656"/>
      <c r="K656"/>
      <c r="L656"/>
      <c r="M656"/>
      <c r="N656"/>
      <c r="O656" s="392"/>
      <c r="P656" s="2"/>
      <c r="Q656" s="686"/>
      <c r="R656"/>
      <c r="S656"/>
      <c r="T656" s="686"/>
      <c r="U656"/>
    </row>
    <row r="657" spans="10:21" s="1" customFormat="1" x14ac:dyDescent="0.2">
      <c r="J657"/>
      <c r="K657"/>
      <c r="L657"/>
      <c r="M657"/>
      <c r="N657"/>
      <c r="O657" s="392"/>
      <c r="P657" s="2"/>
      <c r="Q657" s="686"/>
      <c r="R657"/>
      <c r="S657"/>
      <c r="T657" s="686"/>
      <c r="U657"/>
    </row>
    <row r="658" spans="10:21" s="1" customFormat="1" x14ac:dyDescent="0.2">
      <c r="J658"/>
      <c r="K658"/>
      <c r="L658"/>
      <c r="M658"/>
      <c r="N658"/>
      <c r="O658" s="392"/>
      <c r="P658" s="2"/>
      <c r="Q658" s="686"/>
      <c r="R658"/>
      <c r="S658"/>
      <c r="T658" s="686"/>
      <c r="U658"/>
    </row>
    <row r="659" spans="10:21" s="1" customFormat="1" x14ac:dyDescent="0.2">
      <c r="J659"/>
      <c r="K659"/>
      <c r="L659"/>
      <c r="M659"/>
      <c r="N659"/>
      <c r="O659" s="392"/>
      <c r="P659" s="2"/>
      <c r="Q659" s="686"/>
      <c r="R659"/>
      <c r="S659"/>
      <c r="T659" s="686"/>
      <c r="U659"/>
    </row>
    <row r="660" spans="10:21" s="1" customFormat="1" x14ac:dyDescent="0.2">
      <c r="J660"/>
      <c r="K660"/>
      <c r="L660"/>
      <c r="M660"/>
      <c r="N660"/>
      <c r="O660" s="392"/>
      <c r="P660" s="2"/>
      <c r="Q660" s="686"/>
      <c r="R660"/>
      <c r="S660"/>
      <c r="T660" s="686"/>
      <c r="U660"/>
    </row>
    <row r="661" spans="10:21" s="1" customFormat="1" x14ac:dyDescent="0.2">
      <c r="J661"/>
      <c r="K661"/>
      <c r="L661"/>
      <c r="M661"/>
      <c r="N661"/>
      <c r="O661" s="392"/>
      <c r="P661" s="2"/>
      <c r="Q661" s="686"/>
      <c r="R661"/>
      <c r="S661"/>
      <c r="T661" s="686"/>
      <c r="U661"/>
    </row>
    <row r="662" spans="10:21" s="1" customFormat="1" x14ac:dyDescent="0.2">
      <c r="J662"/>
      <c r="K662"/>
      <c r="L662"/>
      <c r="M662"/>
      <c r="N662"/>
      <c r="O662" s="392"/>
      <c r="P662" s="2"/>
      <c r="Q662" s="686"/>
      <c r="R662"/>
      <c r="S662"/>
      <c r="T662" s="686"/>
      <c r="U662"/>
    </row>
    <row r="663" spans="10:21" s="1" customFormat="1" x14ac:dyDescent="0.2">
      <c r="J663"/>
      <c r="K663"/>
      <c r="L663"/>
      <c r="M663"/>
      <c r="N663"/>
      <c r="O663" s="392"/>
      <c r="P663" s="2"/>
      <c r="Q663" s="686"/>
      <c r="R663"/>
      <c r="S663"/>
      <c r="T663" s="686"/>
      <c r="U663"/>
    </row>
    <row r="664" spans="10:21" s="1" customFormat="1" x14ac:dyDescent="0.2">
      <c r="J664"/>
      <c r="K664"/>
      <c r="L664"/>
      <c r="M664"/>
      <c r="N664"/>
      <c r="O664" s="392"/>
      <c r="P664" s="2"/>
      <c r="Q664" s="686"/>
      <c r="R664"/>
      <c r="S664"/>
      <c r="T664" s="686"/>
      <c r="U664"/>
    </row>
    <row r="665" spans="10:21" s="1" customFormat="1" x14ac:dyDescent="0.2">
      <c r="J665"/>
      <c r="K665"/>
      <c r="L665"/>
      <c r="M665"/>
      <c r="N665"/>
      <c r="O665" s="392"/>
      <c r="P665" s="2"/>
      <c r="Q665" s="686"/>
      <c r="R665"/>
      <c r="S665"/>
      <c r="T665" s="686"/>
      <c r="U665"/>
    </row>
    <row r="666" spans="10:21" s="1" customFormat="1" x14ac:dyDescent="0.2">
      <c r="J666"/>
      <c r="K666"/>
      <c r="L666"/>
      <c r="M666"/>
      <c r="N666"/>
      <c r="O666" s="392"/>
      <c r="P666" s="2"/>
      <c r="Q666" s="686"/>
      <c r="R666"/>
      <c r="S666"/>
      <c r="T666" s="686"/>
      <c r="U666"/>
    </row>
    <row r="667" spans="10:21" s="1" customFormat="1" x14ac:dyDescent="0.2">
      <c r="J667"/>
      <c r="K667"/>
      <c r="L667"/>
      <c r="M667"/>
      <c r="N667"/>
      <c r="O667" s="392"/>
      <c r="P667" s="2"/>
      <c r="Q667" s="686"/>
      <c r="R667"/>
      <c r="S667"/>
      <c r="T667" s="686"/>
      <c r="U667"/>
    </row>
    <row r="668" spans="10:21" s="1" customFormat="1" x14ac:dyDescent="0.2">
      <c r="J668"/>
      <c r="K668"/>
      <c r="L668"/>
      <c r="M668"/>
      <c r="N668"/>
      <c r="O668" s="392"/>
      <c r="P668" s="2"/>
      <c r="Q668" s="686"/>
      <c r="R668"/>
      <c r="S668"/>
      <c r="T668" s="686"/>
      <c r="U668"/>
    </row>
    <row r="669" spans="10:21" s="1" customFormat="1" x14ac:dyDescent="0.2">
      <c r="J669"/>
      <c r="K669"/>
      <c r="L669"/>
      <c r="M669"/>
      <c r="N669"/>
      <c r="O669" s="392"/>
      <c r="P669" s="2"/>
      <c r="Q669" s="686"/>
      <c r="R669"/>
      <c r="S669"/>
      <c r="T669" s="686"/>
      <c r="U669"/>
    </row>
    <row r="670" spans="10:21" s="1" customFormat="1" x14ac:dyDescent="0.2">
      <c r="J670"/>
      <c r="K670"/>
      <c r="L670"/>
      <c r="M670"/>
      <c r="N670"/>
      <c r="O670" s="392"/>
      <c r="P670" s="2"/>
      <c r="Q670" s="686"/>
      <c r="R670"/>
      <c r="S670"/>
      <c r="T670" s="686"/>
      <c r="U670"/>
    </row>
    <row r="671" spans="10:21" s="1" customFormat="1" x14ac:dyDescent="0.2">
      <c r="J671"/>
      <c r="K671"/>
      <c r="L671"/>
      <c r="M671"/>
      <c r="N671"/>
      <c r="O671" s="392"/>
      <c r="P671" s="2"/>
      <c r="Q671" s="686"/>
      <c r="R671"/>
      <c r="S671"/>
      <c r="T671" s="686"/>
      <c r="U671"/>
    </row>
    <row r="672" spans="10:21" s="1" customFormat="1" x14ac:dyDescent="0.2">
      <c r="J672"/>
      <c r="K672"/>
      <c r="L672"/>
      <c r="M672"/>
      <c r="N672"/>
      <c r="O672" s="392"/>
      <c r="P672" s="2"/>
      <c r="Q672" s="686"/>
      <c r="R672"/>
      <c r="S672"/>
      <c r="T672" s="686"/>
      <c r="U672"/>
    </row>
    <row r="673" spans="10:21" s="1" customFormat="1" x14ac:dyDescent="0.2">
      <c r="J673"/>
      <c r="K673"/>
      <c r="L673"/>
      <c r="M673"/>
      <c r="N673"/>
      <c r="O673" s="392"/>
      <c r="P673" s="2"/>
      <c r="Q673" s="686"/>
      <c r="R673"/>
      <c r="S673"/>
      <c r="T673" s="686"/>
      <c r="U673"/>
    </row>
    <row r="674" spans="10:21" s="1" customFormat="1" x14ac:dyDescent="0.2">
      <c r="J674"/>
      <c r="K674"/>
      <c r="L674"/>
      <c r="M674"/>
      <c r="N674"/>
      <c r="O674" s="392"/>
      <c r="P674" s="2"/>
      <c r="Q674" s="686"/>
      <c r="R674"/>
      <c r="S674"/>
      <c r="T674" s="686"/>
      <c r="U674"/>
    </row>
    <row r="675" spans="10:21" s="1" customFormat="1" x14ac:dyDescent="0.2">
      <c r="J675"/>
      <c r="K675"/>
      <c r="L675"/>
      <c r="M675"/>
      <c r="N675"/>
      <c r="O675" s="392"/>
      <c r="P675" s="2"/>
      <c r="Q675" s="686"/>
      <c r="R675"/>
      <c r="S675"/>
      <c r="T675" s="686"/>
      <c r="U675"/>
    </row>
    <row r="676" spans="10:21" s="1" customFormat="1" x14ac:dyDescent="0.2">
      <c r="J676"/>
      <c r="K676"/>
      <c r="L676"/>
      <c r="M676"/>
      <c r="N676"/>
      <c r="O676" s="392"/>
      <c r="P676" s="2"/>
      <c r="Q676" s="686"/>
      <c r="R676"/>
      <c r="S676"/>
      <c r="T676" s="686"/>
      <c r="U676"/>
    </row>
    <row r="677" spans="10:21" s="1" customFormat="1" x14ac:dyDescent="0.2">
      <c r="J677"/>
      <c r="K677"/>
      <c r="L677"/>
      <c r="M677"/>
      <c r="N677"/>
      <c r="O677" s="392"/>
      <c r="P677" s="2"/>
      <c r="Q677" s="686"/>
      <c r="R677"/>
      <c r="S677"/>
      <c r="T677" s="686"/>
      <c r="U677"/>
    </row>
    <row r="678" spans="10:21" s="1" customFormat="1" x14ac:dyDescent="0.2">
      <c r="J678"/>
      <c r="K678"/>
      <c r="L678"/>
      <c r="M678"/>
      <c r="N678"/>
      <c r="O678" s="392"/>
      <c r="P678" s="2"/>
      <c r="Q678" s="686"/>
      <c r="R678"/>
      <c r="S678"/>
      <c r="T678" s="686"/>
      <c r="U678"/>
    </row>
    <row r="679" spans="10:21" s="1" customFormat="1" x14ac:dyDescent="0.2">
      <c r="J679"/>
      <c r="K679"/>
      <c r="L679"/>
      <c r="M679"/>
      <c r="N679"/>
      <c r="O679" s="392"/>
      <c r="P679" s="2"/>
      <c r="Q679" s="686"/>
      <c r="R679"/>
      <c r="S679"/>
      <c r="T679" s="686"/>
      <c r="U679"/>
    </row>
    <row r="680" spans="10:21" s="1" customFormat="1" x14ac:dyDescent="0.2">
      <c r="J680"/>
      <c r="K680"/>
      <c r="L680"/>
      <c r="M680"/>
      <c r="N680"/>
      <c r="O680" s="392"/>
      <c r="P680" s="2"/>
      <c r="Q680" s="686"/>
      <c r="R680"/>
      <c r="S680"/>
      <c r="T680" s="686"/>
      <c r="U680"/>
    </row>
    <row r="681" spans="10:21" s="1" customFormat="1" x14ac:dyDescent="0.2">
      <c r="J681"/>
      <c r="K681"/>
      <c r="L681"/>
      <c r="M681"/>
      <c r="N681"/>
      <c r="O681" s="392"/>
      <c r="P681" s="2"/>
      <c r="Q681" s="686"/>
      <c r="R681"/>
      <c r="S681"/>
      <c r="T681" s="686"/>
      <c r="U681"/>
    </row>
    <row r="682" spans="10:21" s="1" customFormat="1" x14ac:dyDescent="0.2">
      <c r="J682"/>
      <c r="K682"/>
      <c r="L682"/>
      <c r="M682"/>
      <c r="N682"/>
      <c r="O682" s="392"/>
      <c r="P682" s="2"/>
      <c r="Q682" s="686"/>
      <c r="R682"/>
      <c r="S682"/>
      <c r="T682" s="686"/>
      <c r="U682"/>
    </row>
    <row r="683" spans="10:21" s="1" customFormat="1" x14ac:dyDescent="0.2">
      <c r="J683"/>
      <c r="K683"/>
      <c r="L683"/>
      <c r="M683"/>
      <c r="N683"/>
      <c r="O683" s="392"/>
      <c r="P683" s="2"/>
      <c r="Q683" s="686"/>
      <c r="R683"/>
      <c r="S683"/>
      <c r="T683" s="686"/>
      <c r="U683"/>
    </row>
    <row r="684" spans="10:21" s="1" customFormat="1" x14ac:dyDescent="0.2">
      <c r="J684"/>
      <c r="K684"/>
      <c r="L684"/>
      <c r="M684"/>
      <c r="N684"/>
      <c r="O684" s="392"/>
      <c r="P684" s="2"/>
      <c r="Q684" s="686"/>
      <c r="R684"/>
      <c r="S684"/>
      <c r="T684" s="686"/>
      <c r="U684"/>
    </row>
    <row r="685" spans="10:21" s="1" customFormat="1" x14ac:dyDescent="0.2">
      <c r="J685"/>
      <c r="K685"/>
      <c r="L685"/>
      <c r="M685"/>
      <c r="N685"/>
      <c r="O685" s="392"/>
      <c r="P685" s="2"/>
      <c r="Q685" s="686"/>
      <c r="R685"/>
      <c r="S685"/>
      <c r="T685" s="686"/>
      <c r="U685"/>
    </row>
    <row r="686" spans="10:21" s="1" customFormat="1" x14ac:dyDescent="0.2">
      <c r="J686"/>
      <c r="K686"/>
      <c r="L686"/>
      <c r="M686"/>
      <c r="N686"/>
      <c r="O686" s="392"/>
      <c r="P686" s="2"/>
      <c r="Q686" s="686"/>
      <c r="R686"/>
      <c r="S686"/>
      <c r="T686" s="686"/>
      <c r="U686"/>
    </row>
    <row r="65415" spans="13:13" x14ac:dyDescent="0.2">
      <c r="M65415">
        <v>4</v>
      </c>
    </row>
  </sheetData>
  <mergeCells count="127">
    <mergeCell ref="L9:L11"/>
    <mergeCell ref="L7:L8"/>
    <mergeCell ref="B2:U2"/>
    <mergeCell ref="U3:AA3"/>
    <mergeCell ref="U4:AA4"/>
    <mergeCell ref="Q7:Q8"/>
    <mergeCell ref="R7:R8"/>
    <mergeCell ref="U6:AA6"/>
    <mergeCell ref="U5:AA5"/>
    <mergeCell ref="U10:AA10"/>
    <mergeCell ref="U8:AA8"/>
    <mergeCell ref="T7:T8"/>
    <mergeCell ref="R9:R11"/>
    <mergeCell ref="T9:T11"/>
    <mergeCell ref="U7:AA7"/>
    <mergeCell ref="U9:AA9"/>
    <mergeCell ref="U11:AA11"/>
    <mergeCell ref="T14:T16"/>
    <mergeCell ref="T12:T13"/>
    <mergeCell ref="U36:AA36"/>
    <mergeCell ref="U37:AA37"/>
    <mergeCell ref="U23:AA23"/>
    <mergeCell ref="T20:T21"/>
    <mergeCell ref="U24:AA24"/>
    <mergeCell ref="U25:AA25"/>
    <mergeCell ref="U29:AA29"/>
    <mergeCell ref="U14:AA14"/>
    <mergeCell ref="U18:AA18"/>
    <mergeCell ref="U21:AA21"/>
    <mergeCell ref="T26:T27"/>
    <mergeCell ref="U27:AA27"/>
    <mergeCell ref="U28:AA28"/>
    <mergeCell ref="U26:AA26"/>
    <mergeCell ref="U22:AA22"/>
    <mergeCell ref="U17:AA17"/>
    <mergeCell ref="U15:AA15"/>
    <mergeCell ref="U13:AA13"/>
    <mergeCell ref="U20:AA20"/>
    <mergeCell ref="U19:AA19"/>
    <mergeCell ref="U12:AA12"/>
    <mergeCell ref="U16:AA16"/>
    <mergeCell ref="S121:S123"/>
    <mergeCell ref="U57:AA57"/>
    <mergeCell ref="R50:R52"/>
    <mergeCell ref="R53:R55"/>
    <mergeCell ref="U50:AA50"/>
    <mergeCell ref="U39:AA39"/>
    <mergeCell ref="U41:AA41"/>
    <mergeCell ref="U34:AA34"/>
    <mergeCell ref="L30:L31"/>
    <mergeCell ref="T30:T31"/>
    <mergeCell ref="R30:R31"/>
    <mergeCell ref="U31:AA31"/>
    <mergeCell ref="U30:AA30"/>
    <mergeCell ref="U35:AA35"/>
    <mergeCell ref="U43:AA43"/>
    <mergeCell ref="U38:AA38"/>
    <mergeCell ref="R32:R33"/>
    <mergeCell ref="T32:T33"/>
    <mergeCell ref="L32:L33"/>
    <mergeCell ref="U48:AA48"/>
    <mergeCell ref="U55:AA55"/>
    <mergeCell ref="U53:AA53"/>
    <mergeCell ref="U45:AA45"/>
    <mergeCell ref="U44:AA44"/>
    <mergeCell ref="U40:AA40"/>
    <mergeCell ref="U32:AA32"/>
    <mergeCell ref="U42:AA42"/>
    <mergeCell ref="U33:AA33"/>
    <mergeCell ref="U49:AA49"/>
    <mergeCell ref="F46:F47"/>
    <mergeCell ref="F48:F49"/>
    <mergeCell ref="T36:T38"/>
    <mergeCell ref="R36:R38"/>
    <mergeCell ref="L36:L38"/>
    <mergeCell ref="Q36:Q38"/>
    <mergeCell ref="H36:H38"/>
    <mergeCell ref="F36:F38"/>
    <mergeCell ref="R41:R42"/>
    <mergeCell ref="T41:T42"/>
    <mergeCell ref="L41:L42"/>
    <mergeCell ref="U46:AA46"/>
    <mergeCell ref="L43:L44"/>
    <mergeCell ref="T43:T44"/>
    <mergeCell ref="R43:R44"/>
    <mergeCell ref="E75:F75"/>
    <mergeCell ref="U52:AA52"/>
    <mergeCell ref="U56:AA56"/>
    <mergeCell ref="U51:AA51"/>
    <mergeCell ref="E73:F73"/>
    <mergeCell ref="E74:F74"/>
    <mergeCell ref="U54:AA54"/>
    <mergeCell ref="U47:AA47"/>
    <mergeCell ref="R47:R49"/>
    <mergeCell ref="F50:F51"/>
    <mergeCell ref="F52:F53"/>
    <mergeCell ref="F54:F55"/>
    <mergeCell ref="L12:L13"/>
    <mergeCell ref="R12:R13"/>
    <mergeCell ref="L14:L16"/>
    <mergeCell ref="L18:L19"/>
    <mergeCell ref="R20:R21"/>
    <mergeCell ref="L20:L21"/>
    <mergeCell ref="Q20:Q21"/>
    <mergeCell ref="L26:L27"/>
    <mergeCell ref="R28:R29"/>
    <mergeCell ref="R14:R16"/>
    <mergeCell ref="R26:R27"/>
    <mergeCell ref="L28:L29"/>
    <mergeCell ref="T28:T29"/>
    <mergeCell ref="L39:L40"/>
    <mergeCell ref="R39:R40"/>
    <mergeCell ref="T39:T40"/>
    <mergeCell ref="F18:F19"/>
    <mergeCell ref="T18:T19"/>
    <mergeCell ref="R18:R19"/>
    <mergeCell ref="Q18:Q19"/>
    <mergeCell ref="I18:I19"/>
    <mergeCell ref="H18:H19"/>
    <mergeCell ref="R22:R23"/>
    <mergeCell ref="T22:T23"/>
    <mergeCell ref="L22:L23"/>
    <mergeCell ref="H22:H23"/>
    <mergeCell ref="F22:F23"/>
    <mergeCell ref="F20:F21"/>
    <mergeCell ref="H20:H21"/>
    <mergeCell ref="Q22:Q23"/>
  </mergeCells>
  <conditionalFormatting sqref="D62:D70">
    <cfRule type="cellIs" dxfId="697" priority="1404" stopIfTrue="1" operator="greaterThan">
      <formula>0.06</formula>
    </cfRule>
  </conditionalFormatting>
  <conditionalFormatting sqref="E62:F71">
    <cfRule type="cellIs" dxfId="696" priority="1407" operator="greaterThan">
      <formula>0.04</formula>
    </cfRule>
  </conditionalFormatting>
  <conditionalFormatting sqref="I60:I68">
    <cfRule type="cellIs" dxfId="695" priority="2071" stopIfTrue="1" operator="lessThan">
      <formula>438</formula>
    </cfRule>
    <cfRule type="cellIs" dxfId="694" priority="2070" stopIfTrue="1" operator="lessThan">
      <formula>462</formula>
    </cfRule>
  </conditionalFormatting>
  <conditionalFormatting sqref="I77:I83">
    <cfRule type="cellIs" dxfId="693" priority="2065" stopIfTrue="1" operator="lessThan">
      <formula>0%</formula>
    </cfRule>
    <cfRule type="cellIs" dxfId="692" priority="2064" stopIfTrue="1" operator="greaterThan">
      <formula>1.5%</formula>
    </cfRule>
  </conditionalFormatting>
  <conditionalFormatting sqref="I84">
    <cfRule type="cellIs" dxfId="691" priority="2055" stopIfTrue="1" operator="greaterThan">
      <formula>1.1</formula>
    </cfRule>
    <cfRule type="cellIs" dxfId="690" priority="2054" stopIfTrue="1" operator="greaterThan">
      <formula>0.011</formula>
    </cfRule>
  </conditionalFormatting>
  <conditionalFormatting sqref="J3">
    <cfRule type="cellIs" dxfId="689" priority="402" stopIfTrue="1" operator="lessThan">
      <formula>456.25</formula>
    </cfRule>
    <cfRule type="cellIs" dxfId="688" priority="404" stopIfTrue="1" operator="lessThan">
      <formula>438</formula>
    </cfRule>
  </conditionalFormatting>
  <conditionalFormatting sqref="J4:J57">
    <cfRule type="cellIs" dxfId="687" priority="32" stopIfTrue="1" operator="lessThan">
      <formula>350</formula>
    </cfRule>
  </conditionalFormatting>
  <conditionalFormatting sqref="J58:J72">
    <cfRule type="cellIs" dxfId="686" priority="410" stopIfTrue="1" operator="lessThan">
      <formula>462</formula>
    </cfRule>
  </conditionalFormatting>
  <conditionalFormatting sqref="J61:J72 B2 J87:J65536">
    <cfRule type="cellIs" dxfId="685" priority="2174" stopIfTrue="1" operator="lessThan">
      <formula>438</formula>
    </cfRule>
  </conditionalFormatting>
  <conditionalFormatting sqref="J77:J86">
    <cfRule type="cellIs" dxfId="684" priority="2044" stopIfTrue="1" operator="lessThan">
      <formula>73%</formula>
    </cfRule>
  </conditionalFormatting>
  <conditionalFormatting sqref="K4:K56">
    <cfRule type="cellIs" dxfId="683" priority="31" stopIfTrue="1" operator="lessThan">
      <formula>540</formula>
    </cfRule>
  </conditionalFormatting>
  <conditionalFormatting sqref="K77:K85">
    <cfRule type="cellIs" dxfId="682" priority="2125" stopIfTrue="1" operator="lessThan">
      <formula>73%</formula>
    </cfRule>
  </conditionalFormatting>
  <conditionalFormatting sqref="K86:L86">
    <cfRule type="cellIs" dxfId="681" priority="2126" stopIfTrue="1" operator="lessThan">
      <formula>73%</formula>
    </cfRule>
  </conditionalFormatting>
  <conditionalFormatting sqref="L4">
    <cfRule type="cellIs" dxfId="680" priority="30" stopIfTrue="1" operator="lessThan">
      <formula>540</formula>
    </cfRule>
  </conditionalFormatting>
  <conditionalFormatting sqref="L7 L9 L12 L14 L17:L18 L20 L22 L24:L26 L28 L30 L32 L34:L36 L39 L41 L43 L45:L56">
    <cfRule type="cellIs" dxfId="679" priority="35" stopIfTrue="1" operator="lessThan">
      <formula>540</formula>
    </cfRule>
  </conditionalFormatting>
  <conditionalFormatting sqref="P60:P68">
    <cfRule type="cellIs" dxfId="678" priority="2165" stopIfTrue="1" operator="greaterThan">
      <formula>1.1</formula>
    </cfRule>
  </conditionalFormatting>
  <conditionalFormatting sqref="Q4:Q5 Q7">
    <cfRule type="cellIs" dxfId="677" priority="29" stopIfTrue="1" operator="greaterThan">
      <formula>1.8</formula>
    </cfRule>
  </conditionalFormatting>
  <conditionalFormatting sqref="Q9:Q18 Q20 Q22">
    <cfRule type="cellIs" dxfId="676" priority="19" stopIfTrue="1" operator="greaterThan">
      <formula>1.8</formula>
    </cfRule>
  </conditionalFormatting>
  <conditionalFormatting sqref="Q24:Q36">
    <cfRule type="cellIs" dxfId="675" priority="11" stopIfTrue="1" operator="greaterThan">
      <formula>1.8</formula>
    </cfRule>
  </conditionalFormatting>
  <conditionalFormatting sqref="Q39:Q44">
    <cfRule type="cellIs" dxfId="674" priority="4" stopIfTrue="1" operator="greaterThan">
      <formula>1.8</formula>
    </cfRule>
  </conditionalFormatting>
  <conditionalFormatting sqref="Q45:Q56">
    <cfRule type="cellIs" dxfId="673" priority="37" stopIfTrue="1" operator="greaterThan">
      <formula>1.1</formula>
    </cfRule>
  </conditionalFormatting>
  <conditionalFormatting sqref="Q57">
    <cfRule type="cellIs" dxfId="672" priority="15" stopIfTrue="1" operator="greaterThan">
      <formula>0.018</formula>
    </cfRule>
    <cfRule type="cellIs" dxfId="671" priority="16" stopIfTrue="1" operator="greaterThan">
      <formula>1.8</formula>
    </cfRule>
  </conditionalFormatting>
  <conditionalFormatting sqref="Q58:Q73">
    <cfRule type="cellIs" dxfId="670" priority="408" stopIfTrue="1" operator="greaterThan">
      <formula>1.1</formula>
    </cfRule>
  </conditionalFormatting>
  <conditionalFormatting sqref="Q73:Q74 I85:I86">
    <cfRule type="cellIs" dxfId="669" priority="2170" stopIfTrue="1" operator="greaterThan">
      <formula>1.5%</formula>
    </cfRule>
    <cfRule type="cellIs" dxfId="668" priority="2171" stopIfTrue="1" operator="lessThan">
      <formula>0%</formula>
    </cfRule>
  </conditionalFormatting>
  <conditionalFormatting sqref="Q77">
    <cfRule type="cellIs" dxfId="667" priority="2057" stopIfTrue="1" operator="greaterThan">
      <formula>1.1</formula>
    </cfRule>
    <cfRule type="cellIs" dxfId="666" priority="2056" stopIfTrue="1" operator="greaterThan">
      <formula>0.011</formula>
    </cfRule>
  </conditionalFormatting>
  <conditionalFormatting sqref="R4">
    <cfRule type="cellIs" dxfId="665" priority="27" stopIfTrue="1" operator="lessThan">
      <formula>0.56</formula>
    </cfRule>
  </conditionalFormatting>
  <conditionalFormatting sqref="R7 R9">
    <cfRule type="cellIs" dxfId="664" priority="21" stopIfTrue="1" operator="lessThan">
      <formula>0.95</formula>
    </cfRule>
    <cfRule type="cellIs" dxfId="663" priority="22" stopIfTrue="1" operator="lessThan">
      <formula>0.94</formula>
    </cfRule>
  </conditionalFormatting>
  <conditionalFormatting sqref="R12 R14 R17:R18 R20 R22 R47 R50 R53">
    <cfRule type="cellIs" dxfId="662" priority="14" stopIfTrue="1" operator="lessThan">
      <formula>0.94</formula>
    </cfRule>
    <cfRule type="cellIs" dxfId="661" priority="13" stopIfTrue="1" operator="lessThan">
      <formula>0.95</formula>
    </cfRule>
  </conditionalFormatting>
  <conditionalFormatting sqref="R24:R26 R28 R30 R32">
    <cfRule type="cellIs" dxfId="660" priority="9" stopIfTrue="1" operator="lessThan">
      <formula>0.95</formula>
    </cfRule>
    <cfRule type="cellIs" dxfId="659" priority="10" stopIfTrue="1" operator="lessThan">
      <formula>0.94</formula>
    </cfRule>
  </conditionalFormatting>
  <conditionalFormatting sqref="R34:R36">
    <cfRule type="cellIs" dxfId="658" priority="6" stopIfTrue="1" operator="lessThan">
      <formula>0.95</formula>
    </cfRule>
    <cfRule type="cellIs" dxfId="657" priority="7" stopIfTrue="1" operator="lessThan">
      <formula>0.94</formula>
    </cfRule>
  </conditionalFormatting>
  <conditionalFormatting sqref="R39 R41 R43">
    <cfRule type="cellIs" dxfId="656" priority="2" stopIfTrue="1" operator="lessThan">
      <formula>0.95</formula>
    </cfRule>
    <cfRule type="cellIs" dxfId="655" priority="3" stopIfTrue="1" operator="lessThan">
      <formula>0.94</formula>
    </cfRule>
  </conditionalFormatting>
  <conditionalFormatting sqref="R56">
    <cfRule type="cellIs" dxfId="654" priority="2048" stopIfTrue="1" operator="lessThan">
      <formula>0.67</formula>
    </cfRule>
  </conditionalFormatting>
  <conditionalFormatting sqref="R57">
    <cfRule type="cellIs" dxfId="653" priority="24" stopIfTrue="1" operator="lessThan">
      <formula>0.56</formula>
    </cfRule>
  </conditionalFormatting>
  <conditionalFormatting sqref="R58:R72">
    <cfRule type="cellIs" dxfId="652" priority="406" stopIfTrue="1" operator="lessThan">
      <formula>0.6</formula>
    </cfRule>
  </conditionalFormatting>
  <conditionalFormatting sqref="R60:R68 T60:U60">
    <cfRule type="cellIs" dxfId="651" priority="2168" stopIfTrue="1" operator="lessThan">
      <formula>0.74</formula>
    </cfRule>
  </conditionalFormatting>
  <conditionalFormatting sqref="R77:S77">
    <cfRule type="cellIs" dxfId="650" priority="1495" stopIfTrue="1" operator="lessThan">
      <formula>0.74</formula>
    </cfRule>
  </conditionalFormatting>
  <conditionalFormatting sqref="S3">
    <cfRule type="cellIs" dxfId="649" priority="405" stopIfTrue="1" operator="lessThan">
      <formula>0.65</formula>
    </cfRule>
  </conditionalFormatting>
  <conditionalFormatting sqref="S4:S55">
    <cfRule type="cellIs" dxfId="648" priority="23" stopIfTrue="1" operator="lessThan">
      <formula>0.66</formula>
    </cfRule>
  </conditionalFormatting>
  <conditionalFormatting sqref="S56:S72">
    <cfRule type="cellIs" dxfId="647" priority="409" stopIfTrue="1" operator="lessThan">
      <formula>0.74</formula>
    </cfRule>
  </conditionalFormatting>
  <conditionalFormatting sqref="S88:S89">
    <cfRule type="cellIs" dxfId="646" priority="2099" stopIfTrue="1" operator="lessThan">
      <formula>0.74</formula>
    </cfRule>
  </conditionalFormatting>
  <conditionalFormatting sqref="S90">
    <cfRule type="cellIs" dxfId="645" priority="2098" stopIfTrue="1" operator="greaterThan">
      <formula>1.1</formula>
    </cfRule>
  </conditionalFormatting>
  <conditionalFormatting sqref="S121">
    <cfRule type="cellIs" dxfId="644" priority="391" stopIfTrue="1" operator="lessThan">
      <formula>0.94</formula>
    </cfRule>
    <cfRule type="cellIs" dxfId="643" priority="390" stopIfTrue="1" operator="lessThan">
      <formula>0.95</formula>
    </cfRule>
  </conditionalFormatting>
  <conditionalFormatting sqref="S73:T74">
    <cfRule type="cellIs" dxfId="642" priority="2173" stopIfTrue="1" operator="lessThan">
      <formula>75%</formula>
    </cfRule>
  </conditionalFormatting>
  <conditionalFormatting sqref="T4">
    <cfRule type="cellIs" dxfId="641" priority="26" stopIfTrue="1" operator="lessThan">
      <formula>0.8</formula>
    </cfRule>
    <cfRule type="cellIs" dxfId="640" priority="25" stopIfTrue="1" operator="lessThan">
      <formula>0.8</formula>
    </cfRule>
  </conditionalFormatting>
  <conditionalFormatting sqref="T7 T9">
    <cfRule type="cellIs" dxfId="639" priority="20" stopIfTrue="1" operator="lessThan">
      <formula>0.8</formula>
    </cfRule>
  </conditionalFormatting>
  <conditionalFormatting sqref="T12 T14 T17:T18 T20 T22">
    <cfRule type="cellIs" dxfId="638" priority="12" stopIfTrue="1" operator="lessThan">
      <formula>0.8</formula>
    </cfRule>
  </conditionalFormatting>
  <conditionalFormatting sqref="T24:T26 T28 T30 T32">
    <cfRule type="cellIs" dxfId="637" priority="8" stopIfTrue="1" operator="lessThan">
      <formula>0.8</formula>
    </cfRule>
  </conditionalFormatting>
  <conditionalFormatting sqref="T34:T36">
    <cfRule type="cellIs" dxfId="636" priority="5" stopIfTrue="1" operator="lessThan">
      <formula>0.8</formula>
    </cfRule>
  </conditionalFormatting>
  <conditionalFormatting sqref="T39 T41 T43">
    <cfRule type="cellIs" dxfId="635" priority="1" stopIfTrue="1" operator="lessThan">
      <formula>0.8</formula>
    </cfRule>
  </conditionalFormatting>
  <conditionalFormatting sqref="T45:T54">
    <cfRule type="cellIs" dxfId="634" priority="33" stopIfTrue="1" operator="lessThan">
      <formula>0.95</formula>
    </cfRule>
  </conditionalFormatting>
  <conditionalFormatting sqref="T55">
    <cfRule type="cellIs" dxfId="633" priority="412" stopIfTrue="1" operator="lessThan">
      <formula>0.95</formula>
    </cfRule>
    <cfRule type="cellIs" dxfId="632" priority="413" stopIfTrue="1" operator="lessThan">
      <formula>0.94</formula>
    </cfRule>
  </conditionalFormatting>
  <conditionalFormatting sqref="T56:T59">
    <cfRule type="cellIs" dxfId="631" priority="407" stopIfTrue="1" operator="lessThan">
      <formula>0.95</formula>
    </cfRule>
  </conditionalFormatting>
  <conditionalFormatting sqref="T61:T72">
    <cfRule type="cellIs" dxfId="630" priority="2134" stopIfTrue="1" operator="lessThan">
      <formula>0.95</formula>
    </cfRule>
  </conditionalFormatting>
  <conditionalFormatting sqref="T76">
    <cfRule type="cellIs" dxfId="629" priority="2127" stopIfTrue="1" operator="lessThan">
      <formula>0.65</formula>
    </cfRule>
  </conditionalFormatting>
  <conditionalFormatting sqref="T77">
    <cfRule type="cellIs" dxfId="628" priority="2062" stopIfTrue="1" operator="lessThan">
      <formula>0.95</formula>
    </cfRule>
  </conditionalFormatting>
  <printOptions horizontalCentered="1"/>
  <pageMargins left="0.10312499999999999" right="0.5" top="0.25" bottom="0.27" header="0.25" footer="0.27"/>
  <pageSetup scale="24" fitToHeight="0" orientation="landscape" r:id="rId1"/>
  <headerFooter alignWithMargins="0"/>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A6B41-8363-40F3-A983-2BAFA83C08CA}">
  <sheetPr codeName="Sheet38">
    <pageSetUpPr fitToPage="1"/>
  </sheetPr>
  <dimension ref="A1:AC65435"/>
  <sheetViews>
    <sheetView showZeros="0" showWhiteSpace="0" zoomScale="52" zoomScaleNormal="40" zoomScaleSheetLayoutView="70" workbookViewId="0">
      <pane xSplit="3" ySplit="3" topLeftCell="D4" activePane="bottomRight" state="frozen"/>
      <selection pane="topRight" activeCell="D1" sqref="D1"/>
      <selection pane="bottomLeft" activeCell="A4" sqref="A4"/>
      <selection pane="bottomRight" activeCell="M77" sqref="M77"/>
    </sheetView>
  </sheetViews>
  <sheetFormatPr defaultColWidth="9.42578125" defaultRowHeight="12.75" outlineLevelCol="1" x14ac:dyDescent="0.2"/>
  <cols>
    <col min="1" max="1" width="3.42578125" customWidth="1"/>
    <col min="2" max="2" width="21.42578125" style="1" customWidth="1"/>
    <col min="3" max="3" width="61" style="1" customWidth="1"/>
    <col min="4" max="4" width="24.5703125" style="1" customWidth="1"/>
    <col min="5" max="5" width="22.42578125" style="1" customWidth="1"/>
    <col min="6" max="6" width="21.5703125" style="1" customWidth="1" outlineLevel="1"/>
    <col min="7" max="7" width="26.42578125" customWidth="1"/>
    <col min="8" max="8" width="20.42578125" customWidth="1" outlineLevel="1"/>
    <col min="9" max="9" width="22.42578125" style="1" customWidth="1" outlineLevel="1"/>
    <col min="10" max="10" width="20.5703125" customWidth="1"/>
    <col min="11" max="11" width="23.42578125" customWidth="1" outlineLevel="1"/>
    <col min="12" max="12" width="17.42578125" customWidth="1" outlineLevel="1"/>
    <col min="13" max="13" width="17" customWidth="1" outlineLevel="1"/>
    <col min="14" max="14" width="13.42578125" customWidth="1" outlineLevel="1"/>
    <col min="15" max="15" width="12.5703125" style="392" customWidth="1" outlineLevel="1"/>
    <col min="16" max="16" width="15" style="2" customWidth="1" outlineLevel="1"/>
    <col min="17" max="17" width="14.42578125" style="1" customWidth="1"/>
    <col min="18" max="18" width="22.5703125" style="686" customWidth="1"/>
    <col min="19" max="19" width="17.85546875" style="686" customWidth="1"/>
    <col min="20" max="20" width="16.5703125" style="686" customWidth="1"/>
    <col min="21" max="21" width="12" customWidth="1"/>
    <col min="22" max="22" width="17" customWidth="1"/>
    <col min="23" max="23" width="15.42578125" customWidth="1"/>
    <col min="24" max="24" width="15.5703125" customWidth="1"/>
    <col min="25" max="25" width="14" customWidth="1"/>
    <col min="26" max="26" width="25.5703125" customWidth="1"/>
    <col min="27" max="27" width="39.5703125" customWidth="1"/>
    <col min="28" max="28" width="68.5703125" customWidth="1"/>
    <col min="29" max="29" width="15.5703125" bestFit="1" customWidth="1"/>
  </cols>
  <sheetData>
    <row r="1" spans="2:29" x14ac:dyDescent="0.2">
      <c r="C1" s="1" t="s">
        <v>852</v>
      </c>
      <c r="T1" s="710" t="s">
        <v>851</v>
      </c>
    </row>
    <row r="2" spans="2:29" ht="24" thickBot="1" x14ac:dyDescent="0.4">
      <c r="B2" s="1022"/>
      <c r="C2" s="1022"/>
      <c r="D2" s="1022"/>
      <c r="E2" s="1022"/>
      <c r="F2" s="1022"/>
      <c r="G2" s="1022"/>
      <c r="H2" s="1022"/>
      <c r="I2" s="1022"/>
      <c r="J2" s="1022"/>
      <c r="K2" s="1022"/>
      <c r="L2" s="1022"/>
      <c r="M2" s="1022"/>
      <c r="N2" s="1022"/>
      <c r="O2" s="1022"/>
      <c r="P2" s="1022"/>
      <c r="Q2" s="1022"/>
      <c r="R2" s="1022"/>
      <c r="S2" s="1022"/>
      <c r="T2" s="1065"/>
      <c r="U2" s="1065"/>
    </row>
    <row r="3" spans="2:29" ht="135.75" customHeight="1" thickTop="1" thickBot="1" x14ac:dyDescent="0.25">
      <c r="B3" s="564" t="s">
        <v>0</v>
      </c>
      <c r="C3" s="565" t="s">
        <v>2</v>
      </c>
      <c r="D3" s="565" t="s">
        <v>12</v>
      </c>
      <c r="E3" s="565" t="s">
        <v>11</v>
      </c>
      <c r="F3" s="38" t="s">
        <v>15</v>
      </c>
      <c r="G3" s="565" t="s">
        <v>9</v>
      </c>
      <c r="H3" s="38" t="s">
        <v>17</v>
      </c>
      <c r="I3" s="38" t="s">
        <v>5</v>
      </c>
      <c r="J3" s="565" t="s">
        <v>958</v>
      </c>
      <c r="K3" s="38" t="s">
        <v>4</v>
      </c>
      <c r="L3" s="663" t="s">
        <v>843</v>
      </c>
      <c r="M3" s="664" t="s">
        <v>161</v>
      </c>
      <c r="N3" s="664" t="s">
        <v>10</v>
      </c>
      <c r="O3" s="38" t="s">
        <v>622</v>
      </c>
      <c r="P3" s="294" t="s">
        <v>863</v>
      </c>
      <c r="Q3" s="566" t="s">
        <v>957</v>
      </c>
      <c r="R3" s="639" t="s">
        <v>473</v>
      </c>
      <c r="S3" s="547" t="s">
        <v>860</v>
      </c>
      <c r="T3" s="584" t="s">
        <v>862</v>
      </c>
      <c r="U3" s="1023" t="s">
        <v>1</v>
      </c>
      <c r="V3" s="1024"/>
      <c r="W3" s="1024"/>
      <c r="X3" s="1024"/>
      <c r="Y3" s="1024"/>
      <c r="Z3" s="1024"/>
      <c r="AA3" s="1025"/>
      <c r="AB3">
        <v>18000</v>
      </c>
      <c r="AC3">
        <v>17000</v>
      </c>
    </row>
    <row r="4" spans="2:29" s="19" customFormat="1" ht="216.75" customHeight="1" thickTop="1" thickBot="1" x14ac:dyDescent="0.25">
      <c r="B4" s="168">
        <f>[1]December_2026!$B8</f>
        <v>0</v>
      </c>
      <c r="C4" s="26">
        <f>[1]December_2026!$D8</f>
        <v>0</v>
      </c>
      <c r="D4" s="27"/>
      <c r="E4" s="28">
        <f>[2]Dec!$E8</f>
        <v>0</v>
      </c>
      <c r="F4" s="29">
        <f>[1]December_2026!$J8</f>
        <v>0</v>
      </c>
      <c r="G4" s="30">
        <f>[1]December_2026!$G8</f>
        <v>0</v>
      </c>
      <c r="H4" s="29">
        <f>[1]December_2026!$K8</f>
        <v>0</v>
      </c>
      <c r="I4" s="31">
        <f>[1]December_2026!$N8</f>
        <v>0</v>
      </c>
      <c r="J4" s="32" t="e">
        <f>[1]December_2026!$Q8</f>
        <v>#DIV/0!</v>
      </c>
      <c r="K4" s="32">
        <f>[1]December_2026!$F8</f>
        <v>0</v>
      </c>
      <c r="L4" s="938">
        <f>[1]December_2026!$E8</f>
        <v>0</v>
      </c>
      <c r="M4" s="169">
        <f>[2]Dec!$G8</f>
        <v>0</v>
      </c>
      <c r="N4" s="32">
        <f>[1]December_2026!$M8</f>
        <v>0</v>
      </c>
      <c r="O4" s="406">
        <f>[2]Dec!$I8</f>
        <v>0</v>
      </c>
      <c r="P4" s="32">
        <f>[1]December_2026!$I8</f>
        <v>0</v>
      </c>
      <c r="Q4" s="608" t="e">
        <f>[1]December_2026!$P8</f>
        <v>#DIV/0!</v>
      </c>
      <c r="R4" s="727" t="e">
        <f>($G4)/(($L4/60)*AC$3*(1/24))</f>
        <v>#DIV/0!</v>
      </c>
      <c r="S4" s="651" t="e">
        <f t="shared" ref="S4" si="0">($G4)*24/(($K4)/60)/$AC$3</f>
        <v>#DIV/0!</v>
      </c>
      <c r="T4" s="727" t="e">
        <f>(0-((N4)-0))/0</f>
        <v>#DIV/0!</v>
      </c>
      <c r="U4" s="1002"/>
      <c r="V4" s="1002"/>
      <c r="W4" s="1002"/>
      <c r="X4" s="1002"/>
      <c r="Y4" s="1002"/>
      <c r="Z4" s="1002"/>
      <c r="AA4" s="1003"/>
    </row>
    <row r="5" spans="2:29" s="19" customFormat="1" ht="83.25" customHeight="1" thickBot="1" x14ac:dyDescent="0.25">
      <c r="B5" s="168"/>
      <c r="C5" s="26"/>
      <c r="D5" s="27"/>
      <c r="E5" s="28"/>
      <c r="F5" s="29"/>
      <c r="G5" s="30"/>
      <c r="H5" s="29"/>
      <c r="I5" s="31"/>
      <c r="J5" s="32"/>
      <c r="K5" s="32"/>
      <c r="L5" s="799"/>
      <c r="M5" s="169"/>
      <c r="N5" s="32"/>
      <c r="O5" s="406"/>
      <c r="P5" s="32"/>
      <c r="Q5" s="608"/>
      <c r="R5" s="924"/>
      <c r="S5" s="651"/>
      <c r="T5" s="924"/>
      <c r="U5" s="1002"/>
      <c r="V5" s="1002"/>
      <c r="W5" s="1002"/>
      <c r="X5" s="1002"/>
      <c r="Y5" s="1002"/>
      <c r="Z5" s="1002"/>
      <c r="AA5" s="1003"/>
    </row>
    <row r="6" spans="2:29" s="19" customFormat="1" ht="156.75" hidden="1" customHeight="1" thickBot="1" x14ac:dyDescent="0.25">
      <c r="B6" s="168"/>
      <c r="C6" s="26"/>
      <c r="D6" s="27"/>
      <c r="E6" s="28"/>
      <c r="F6" s="29"/>
      <c r="G6" s="30"/>
      <c r="H6" s="29"/>
      <c r="I6" s="31"/>
      <c r="J6" s="32"/>
      <c r="K6" s="32"/>
      <c r="L6" s="464"/>
      <c r="M6" s="169"/>
      <c r="N6" s="32"/>
      <c r="O6" s="406"/>
      <c r="P6" s="32"/>
      <c r="Q6" s="608"/>
      <c r="R6" s="653"/>
      <c r="S6" s="651"/>
      <c r="T6" s="727"/>
      <c r="U6" s="1002"/>
      <c r="V6" s="1002"/>
      <c r="W6" s="1002"/>
      <c r="X6" s="1002"/>
      <c r="Y6" s="1002"/>
      <c r="Z6" s="1002"/>
      <c r="AA6" s="1003"/>
    </row>
    <row r="7" spans="2:29" s="19" customFormat="1" ht="114.75" hidden="1" customHeight="1" thickBot="1" x14ac:dyDescent="0.25">
      <c r="B7" s="168"/>
      <c r="C7" s="26"/>
      <c r="D7" s="27"/>
      <c r="E7" s="28"/>
      <c r="F7" s="989"/>
      <c r="G7" s="30"/>
      <c r="H7" s="989"/>
      <c r="I7" s="31"/>
      <c r="J7" s="32"/>
      <c r="K7" s="32"/>
      <c r="L7" s="1148"/>
      <c r="M7" s="169"/>
      <c r="N7" s="32"/>
      <c r="O7" s="406"/>
      <c r="P7" s="32"/>
      <c r="Q7" s="1000"/>
      <c r="R7" s="995"/>
      <c r="S7" s="651"/>
      <c r="T7" s="995"/>
      <c r="U7" s="1002"/>
      <c r="V7" s="1002"/>
      <c r="W7" s="1002"/>
      <c r="X7" s="1002"/>
      <c r="Y7" s="1002"/>
      <c r="Z7" s="1002"/>
      <c r="AA7" s="1003"/>
    </row>
    <row r="8" spans="2:29" s="19" customFormat="1" ht="235.5" hidden="1" customHeight="1" thickBot="1" x14ac:dyDescent="0.25">
      <c r="B8" s="168"/>
      <c r="C8" s="26"/>
      <c r="D8" s="27"/>
      <c r="E8" s="28"/>
      <c r="F8" s="990"/>
      <c r="G8" s="30"/>
      <c r="H8" s="990"/>
      <c r="I8" s="31"/>
      <c r="J8" s="32"/>
      <c r="K8" s="32"/>
      <c r="L8" s="999"/>
      <c r="M8" s="169"/>
      <c r="N8" s="32"/>
      <c r="O8" s="406"/>
      <c r="P8" s="32"/>
      <c r="Q8" s="1001"/>
      <c r="R8" s="1020"/>
      <c r="S8" s="651"/>
      <c r="T8" s="1146"/>
      <c r="U8" s="1002"/>
      <c r="V8" s="1002"/>
      <c r="W8" s="1002"/>
      <c r="X8" s="1002"/>
      <c r="Y8" s="1002"/>
      <c r="Z8" s="1002"/>
      <c r="AA8" s="1003"/>
    </row>
    <row r="9" spans="2:29" s="19" customFormat="1" ht="83.25" hidden="1" customHeight="1" thickBot="1" x14ac:dyDescent="0.25">
      <c r="B9" s="168"/>
      <c r="C9" s="26"/>
      <c r="D9" s="27"/>
      <c r="E9" s="28"/>
      <c r="F9" s="29"/>
      <c r="G9" s="30"/>
      <c r="H9" s="29"/>
      <c r="I9" s="31"/>
      <c r="J9" s="32"/>
      <c r="K9" s="32"/>
      <c r="L9" s="1148"/>
      <c r="M9" s="169"/>
      <c r="N9" s="32"/>
      <c r="O9" s="406"/>
      <c r="P9" s="32"/>
      <c r="Q9" s="608"/>
      <c r="R9" s="995"/>
      <c r="S9" s="651"/>
      <c r="T9" s="995"/>
      <c r="U9" s="1002"/>
      <c r="V9" s="1002"/>
      <c r="W9" s="1002"/>
      <c r="X9" s="1002"/>
      <c r="Y9" s="1002"/>
      <c r="Z9" s="1002"/>
      <c r="AA9" s="1003"/>
    </row>
    <row r="10" spans="2:29" s="19" customFormat="1" ht="109.5" hidden="1" customHeight="1" thickBot="1" x14ac:dyDescent="0.25">
      <c r="B10" s="168"/>
      <c r="C10" s="26"/>
      <c r="D10" s="27"/>
      <c r="E10" s="28"/>
      <c r="F10" s="29"/>
      <c r="G10" s="30"/>
      <c r="H10" s="29"/>
      <c r="I10" s="31"/>
      <c r="J10" s="32"/>
      <c r="K10" s="32"/>
      <c r="L10" s="1016"/>
      <c r="M10" s="169"/>
      <c r="N10" s="32"/>
      <c r="O10" s="406"/>
      <c r="P10" s="32"/>
      <c r="Q10" s="608"/>
      <c r="R10" s="996"/>
      <c r="S10" s="651"/>
      <c r="T10" s="996"/>
      <c r="U10" s="1002"/>
      <c r="V10" s="1002"/>
      <c r="W10" s="1002"/>
      <c r="X10" s="1002"/>
      <c r="Y10" s="1002"/>
      <c r="Z10" s="1002"/>
      <c r="AA10" s="1003"/>
    </row>
    <row r="11" spans="2:29" s="19" customFormat="1" ht="56.25" hidden="1" customHeight="1" thickBot="1" x14ac:dyDescent="0.25">
      <c r="B11" s="168"/>
      <c r="C11" s="26"/>
      <c r="D11" s="27"/>
      <c r="E11" s="28"/>
      <c r="F11" s="29"/>
      <c r="G11" s="30"/>
      <c r="H11" s="29"/>
      <c r="I11" s="31"/>
      <c r="J11" s="32"/>
      <c r="K11" s="32"/>
      <c r="L11" s="999"/>
      <c r="M11" s="169"/>
      <c r="N11" s="32"/>
      <c r="O11" s="406"/>
      <c r="P11" s="32"/>
      <c r="Q11" s="608"/>
      <c r="R11" s="1020"/>
      <c r="S11" s="651"/>
      <c r="T11" s="1020"/>
      <c r="U11" s="1002"/>
      <c r="V11" s="1002"/>
      <c r="W11" s="1002"/>
      <c r="X11" s="1002"/>
      <c r="Y11" s="1002"/>
      <c r="Z11" s="1002"/>
      <c r="AA11" s="1003"/>
    </row>
    <row r="12" spans="2:29" s="19" customFormat="1" ht="111" hidden="1" customHeight="1" thickBot="1" x14ac:dyDescent="0.25">
      <c r="B12" s="168"/>
      <c r="C12" s="26"/>
      <c r="D12" s="27"/>
      <c r="E12" s="28"/>
      <c r="F12" s="29"/>
      <c r="G12" s="30"/>
      <c r="H12" s="29"/>
      <c r="I12" s="31"/>
      <c r="J12" s="32"/>
      <c r="K12" s="32"/>
      <c r="L12" s="464"/>
      <c r="M12" s="169"/>
      <c r="N12" s="32"/>
      <c r="O12" s="406"/>
      <c r="P12" s="32"/>
      <c r="Q12" s="608"/>
      <c r="R12" s="653"/>
      <c r="S12" s="651"/>
      <c r="T12" s="727"/>
      <c r="U12" s="1002"/>
      <c r="V12" s="1002"/>
      <c r="W12" s="1002"/>
      <c r="X12" s="1002"/>
      <c r="Y12" s="1002"/>
      <c r="Z12" s="1002"/>
      <c r="AA12" s="1003"/>
    </row>
    <row r="13" spans="2:29" s="19" customFormat="1" ht="131.25" hidden="1" customHeight="1" thickBot="1" x14ac:dyDescent="0.25">
      <c r="B13" s="168"/>
      <c r="C13" s="26"/>
      <c r="D13" s="27"/>
      <c r="E13" s="28"/>
      <c r="F13" s="29"/>
      <c r="G13" s="30"/>
      <c r="H13" s="29"/>
      <c r="I13" s="31"/>
      <c r="J13" s="32"/>
      <c r="K13" s="32"/>
      <c r="L13" s="464"/>
      <c r="M13" s="169"/>
      <c r="N13" s="32"/>
      <c r="O13" s="406"/>
      <c r="P13" s="32"/>
      <c r="Q13" s="608"/>
      <c r="R13" s="653"/>
      <c r="S13" s="651"/>
      <c r="T13" s="727"/>
      <c r="U13" s="1002"/>
      <c r="V13" s="1002"/>
      <c r="W13" s="1002"/>
      <c r="X13" s="1002"/>
      <c r="Y13" s="1002"/>
      <c r="Z13" s="1002"/>
      <c r="AA13" s="1003"/>
    </row>
    <row r="14" spans="2:29" s="19" customFormat="1" ht="321" hidden="1" customHeight="1" thickBot="1" x14ac:dyDescent="0.25">
      <c r="B14" s="168"/>
      <c r="C14" s="26"/>
      <c r="D14" s="27"/>
      <c r="E14" s="28"/>
      <c r="F14" s="29"/>
      <c r="G14" s="30"/>
      <c r="H14" s="29"/>
      <c r="I14" s="31"/>
      <c r="J14" s="32"/>
      <c r="K14" s="32"/>
      <c r="L14" s="464"/>
      <c r="M14" s="169"/>
      <c r="N14" s="32"/>
      <c r="O14" s="406"/>
      <c r="P14" s="32"/>
      <c r="Q14" s="608"/>
      <c r="R14" s="653"/>
      <c r="S14" s="651"/>
      <c r="T14" s="727"/>
      <c r="U14" s="1002"/>
      <c r="V14" s="1002"/>
      <c r="W14" s="1002"/>
      <c r="X14" s="1002"/>
      <c r="Y14" s="1002"/>
      <c r="Z14" s="1002"/>
      <c r="AA14" s="1003"/>
    </row>
    <row r="15" spans="2:29" s="19" customFormat="1" ht="86.25" hidden="1" customHeight="1" thickBot="1" x14ac:dyDescent="0.25">
      <c r="B15" s="168"/>
      <c r="C15" s="26"/>
      <c r="D15" s="27"/>
      <c r="E15" s="28"/>
      <c r="F15" s="29"/>
      <c r="G15" s="30"/>
      <c r="H15" s="29"/>
      <c r="I15" s="31"/>
      <c r="J15" s="32"/>
      <c r="K15" s="32"/>
      <c r="L15" s="1148"/>
      <c r="M15" s="169"/>
      <c r="N15" s="32"/>
      <c r="O15" s="406"/>
      <c r="P15" s="32"/>
      <c r="Q15" s="608"/>
      <c r="R15" s="995"/>
      <c r="S15" s="651"/>
      <c r="T15" s="995"/>
      <c r="U15" s="1002"/>
      <c r="V15" s="1002"/>
      <c r="W15" s="1002"/>
      <c r="X15" s="1002"/>
      <c r="Y15" s="1002"/>
      <c r="Z15" s="1002"/>
      <c r="AA15" s="1003"/>
    </row>
    <row r="16" spans="2:29" s="19" customFormat="1" ht="164.25" hidden="1" customHeight="1" thickBot="1" x14ac:dyDescent="0.25">
      <c r="B16" s="168"/>
      <c r="C16" s="26"/>
      <c r="D16" s="27"/>
      <c r="E16" s="28"/>
      <c r="F16" s="29"/>
      <c r="G16" s="30"/>
      <c r="H16" s="29"/>
      <c r="I16" s="31"/>
      <c r="J16" s="32"/>
      <c r="K16" s="32"/>
      <c r="L16" s="999"/>
      <c r="M16" s="169"/>
      <c r="N16" s="32"/>
      <c r="O16" s="406"/>
      <c r="P16" s="32"/>
      <c r="Q16" s="608"/>
      <c r="R16" s="1020"/>
      <c r="S16" s="651"/>
      <c r="T16" s="1020"/>
      <c r="U16" s="1002"/>
      <c r="V16" s="1002"/>
      <c r="W16" s="1002"/>
      <c r="X16" s="1002"/>
      <c r="Y16" s="1002"/>
      <c r="Z16" s="1002"/>
      <c r="AA16" s="1003"/>
    </row>
    <row r="17" spans="1:27" s="19" customFormat="1" ht="87" hidden="1" customHeight="1" thickBot="1" x14ac:dyDescent="0.25">
      <c r="B17" s="168"/>
      <c r="C17" s="26"/>
      <c r="D17" s="27"/>
      <c r="E17" s="28"/>
      <c r="F17" s="29"/>
      <c r="G17" s="30"/>
      <c r="H17" s="29"/>
      <c r="I17" s="31"/>
      <c r="J17" s="32"/>
      <c r="K17" s="32"/>
      <c r="L17" s="464"/>
      <c r="M17" s="169"/>
      <c r="N17" s="32"/>
      <c r="O17" s="406"/>
      <c r="P17" s="32"/>
      <c r="Q17" s="608"/>
      <c r="R17" s="653"/>
      <c r="S17" s="651"/>
      <c r="T17" s="727"/>
      <c r="U17" s="1002"/>
      <c r="V17" s="1002"/>
      <c r="W17" s="1002"/>
      <c r="X17" s="1002"/>
      <c r="Y17" s="1002"/>
      <c r="Z17" s="1002"/>
      <c r="AA17" s="1003"/>
    </row>
    <row r="18" spans="1:27" s="19" customFormat="1" ht="141" hidden="1" customHeight="1" thickBot="1" x14ac:dyDescent="0.25">
      <c r="B18" s="168"/>
      <c r="C18" s="26"/>
      <c r="D18" s="27"/>
      <c r="E18" s="28"/>
      <c r="F18" s="29"/>
      <c r="G18" s="30"/>
      <c r="H18" s="29"/>
      <c r="I18" s="31"/>
      <c r="J18" s="32"/>
      <c r="K18" s="32"/>
      <c r="L18" s="1148"/>
      <c r="M18" s="169"/>
      <c r="N18" s="32"/>
      <c r="O18" s="406"/>
      <c r="P18" s="32"/>
      <c r="Q18" s="608"/>
      <c r="R18" s="995"/>
      <c r="S18" s="651"/>
      <c r="T18" s="995"/>
      <c r="U18" s="1002"/>
      <c r="V18" s="1002"/>
      <c r="W18" s="1002"/>
      <c r="X18" s="1002"/>
      <c r="Y18" s="1002"/>
      <c r="Z18" s="1002"/>
      <c r="AA18" s="1003"/>
    </row>
    <row r="19" spans="1:27" s="19" customFormat="1" ht="80.25" hidden="1" customHeight="1" thickBot="1" x14ac:dyDescent="0.25">
      <c r="B19" s="168"/>
      <c r="C19" s="26"/>
      <c r="D19" s="27"/>
      <c r="E19" s="28"/>
      <c r="F19" s="29"/>
      <c r="G19" s="30"/>
      <c r="H19" s="29"/>
      <c r="I19" s="31"/>
      <c r="J19" s="32"/>
      <c r="K19" s="32"/>
      <c r="L19" s="999"/>
      <c r="M19" s="169"/>
      <c r="N19" s="32"/>
      <c r="O19" s="406"/>
      <c r="P19" s="32"/>
      <c r="Q19" s="608"/>
      <c r="R19" s="1020"/>
      <c r="S19" s="651"/>
      <c r="T19" s="1020"/>
      <c r="U19" s="1002"/>
      <c r="V19" s="1002"/>
      <c r="W19" s="1002"/>
      <c r="X19" s="1002"/>
      <c r="Y19" s="1002"/>
      <c r="Z19" s="1002"/>
      <c r="AA19" s="1003"/>
    </row>
    <row r="20" spans="1:27" s="19" customFormat="1" ht="298.5" hidden="1" customHeight="1" thickBot="1" x14ac:dyDescent="0.25">
      <c r="B20" s="168"/>
      <c r="C20" s="26"/>
      <c r="D20" s="27"/>
      <c r="E20" s="28"/>
      <c r="F20" s="29"/>
      <c r="G20" s="30"/>
      <c r="H20" s="29"/>
      <c r="I20" s="31"/>
      <c r="J20" s="32"/>
      <c r="K20" s="32"/>
      <c r="L20" s="464"/>
      <c r="M20" s="169"/>
      <c r="N20" s="32"/>
      <c r="O20" s="406"/>
      <c r="P20" s="32"/>
      <c r="Q20" s="608"/>
      <c r="R20" s="653"/>
      <c r="S20" s="651"/>
      <c r="T20" s="727"/>
      <c r="U20" s="1002"/>
      <c r="V20" s="1002"/>
      <c r="W20" s="1002"/>
      <c r="X20" s="1002"/>
      <c r="Y20" s="1002"/>
      <c r="Z20" s="1002"/>
      <c r="AA20" s="1003"/>
    </row>
    <row r="21" spans="1:27" s="19" customFormat="1" ht="89.25" hidden="1" customHeight="1" thickBot="1" x14ac:dyDescent="0.25">
      <c r="A21" s="19" t="s">
        <v>845</v>
      </c>
      <c r="B21" s="168"/>
      <c r="C21" s="26"/>
      <c r="D21" s="27"/>
      <c r="E21" s="28"/>
      <c r="F21" s="29"/>
      <c r="G21" s="30"/>
      <c r="H21" s="29"/>
      <c r="I21" s="31"/>
      <c r="J21" s="32"/>
      <c r="K21" s="32"/>
      <c r="L21" s="1148"/>
      <c r="M21" s="169"/>
      <c r="N21" s="32"/>
      <c r="O21" s="406"/>
      <c r="P21" s="32"/>
      <c r="Q21" s="608"/>
      <c r="R21" s="995"/>
      <c r="S21" s="651"/>
      <c r="T21" s="995"/>
      <c r="U21" s="1002"/>
      <c r="V21" s="1002"/>
      <c r="W21" s="1002"/>
      <c r="X21" s="1002"/>
      <c r="Y21" s="1002"/>
      <c r="Z21" s="1002"/>
      <c r="AA21" s="1003"/>
    </row>
    <row r="22" spans="1:27" s="19" customFormat="1" ht="77.25" hidden="1" customHeight="1" thickBot="1" x14ac:dyDescent="0.25">
      <c r="B22" s="168"/>
      <c r="C22" s="26"/>
      <c r="D22" s="27"/>
      <c r="E22" s="28"/>
      <c r="F22" s="29"/>
      <c r="G22" s="30"/>
      <c r="H22" s="29"/>
      <c r="I22" s="31"/>
      <c r="J22" s="32"/>
      <c r="K22" s="32"/>
      <c r="L22" s="1016"/>
      <c r="M22" s="169"/>
      <c r="N22" s="32"/>
      <c r="O22" s="406"/>
      <c r="P22" s="32"/>
      <c r="Q22" s="608"/>
      <c r="R22" s="996"/>
      <c r="S22" s="651"/>
      <c r="T22" s="996"/>
      <c r="U22" s="1002"/>
      <c r="V22" s="1002"/>
      <c r="W22" s="1002"/>
      <c r="X22" s="1002"/>
      <c r="Y22" s="1002"/>
      <c r="Z22" s="1002"/>
      <c r="AA22" s="1003"/>
    </row>
    <row r="23" spans="1:27" s="19" customFormat="1" ht="86.25" hidden="1" customHeight="1" thickBot="1" x14ac:dyDescent="0.25">
      <c r="B23" s="168"/>
      <c r="C23" s="26"/>
      <c r="D23" s="27"/>
      <c r="E23" s="28"/>
      <c r="F23" s="29"/>
      <c r="G23" s="30"/>
      <c r="H23" s="29"/>
      <c r="I23" s="31"/>
      <c r="J23" s="32"/>
      <c r="K23" s="32"/>
      <c r="L23" s="999"/>
      <c r="M23" s="169"/>
      <c r="N23" s="32"/>
      <c r="O23" s="406"/>
      <c r="P23" s="32"/>
      <c r="Q23" s="608"/>
      <c r="R23" s="1020"/>
      <c r="S23" s="651"/>
      <c r="T23" s="1020"/>
      <c r="U23" s="1002"/>
      <c r="V23" s="1002"/>
      <c r="W23" s="1002"/>
      <c r="X23" s="1002"/>
      <c r="Y23" s="1002"/>
      <c r="Z23" s="1002"/>
      <c r="AA23" s="1003"/>
    </row>
    <row r="24" spans="1:27" s="19" customFormat="1" ht="102" hidden="1" customHeight="1" thickBot="1" x14ac:dyDescent="0.25">
      <c r="B24" s="168"/>
      <c r="C24" s="26"/>
      <c r="D24" s="27"/>
      <c r="E24" s="28"/>
      <c r="F24" s="29"/>
      <c r="G24" s="30"/>
      <c r="H24" s="29"/>
      <c r="I24" s="31"/>
      <c r="J24" s="32"/>
      <c r="K24" s="32"/>
      <c r="L24" s="464"/>
      <c r="M24" s="169"/>
      <c r="N24" s="32"/>
      <c r="O24" s="406"/>
      <c r="P24" s="32"/>
      <c r="Q24" s="608"/>
      <c r="R24" s="653"/>
      <c r="S24" s="651"/>
      <c r="T24" s="727"/>
      <c r="U24" s="1002"/>
      <c r="V24" s="1002"/>
      <c r="W24" s="1002"/>
      <c r="X24" s="1002"/>
      <c r="Y24" s="1002"/>
      <c r="Z24" s="1002"/>
      <c r="AA24" s="1003"/>
    </row>
    <row r="25" spans="1:27" s="19" customFormat="1" ht="95.25" hidden="1" customHeight="1" thickBot="1" x14ac:dyDescent="0.25">
      <c r="B25" s="168"/>
      <c r="C25" s="26"/>
      <c r="D25" s="27"/>
      <c r="E25" s="28"/>
      <c r="F25" s="29"/>
      <c r="G25" s="30"/>
      <c r="H25" s="29"/>
      <c r="I25" s="31"/>
      <c r="J25" s="32"/>
      <c r="K25" s="32"/>
      <c r="L25" s="1148"/>
      <c r="M25" s="169"/>
      <c r="N25" s="32"/>
      <c r="O25" s="406"/>
      <c r="P25" s="32"/>
      <c r="Q25" s="608"/>
      <c r="R25" s="995"/>
      <c r="S25" s="651"/>
      <c r="T25" s="995"/>
      <c r="U25" s="1002"/>
      <c r="V25" s="1002"/>
      <c r="W25" s="1002"/>
      <c r="X25" s="1002"/>
      <c r="Y25" s="1002"/>
      <c r="Z25" s="1002"/>
      <c r="AA25" s="1003"/>
    </row>
    <row r="26" spans="1:27" s="19" customFormat="1" ht="144" hidden="1" customHeight="1" thickBot="1" x14ac:dyDescent="0.25">
      <c r="B26" s="168"/>
      <c r="C26" s="26"/>
      <c r="D26" s="27"/>
      <c r="E26" s="28"/>
      <c r="F26" s="29"/>
      <c r="G26" s="30"/>
      <c r="H26" s="29"/>
      <c r="I26" s="31"/>
      <c r="J26" s="32"/>
      <c r="K26" s="32"/>
      <c r="L26" s="999"/>
      <c r="M26" s="169"/>
      <c r="N26" s="32"/>
      <c r="O26" s="406"/>
      <c r="P26" s="32"/>
      <c r="Q26" s="608"/>
      <c r="R26" s="1020"/>
      <c r="S26" s="651"/>
      <c r="T26" s="1020"/>
      <c r="U26" s="1002"/>
      <c r="V26" s="1002"/>
      <c r="W26" s="1002"/>
      <c r="X26" s="1002"/>
      <c r="Y26" s="1002"/>
      <c r="Z26" s="1002"/>
      <c r="AA26" s="1003"/>
    </row>
    <row r="27" spans="1:27" s="19" customFormat="1" ht="58.5" hidden="1" customHeight="1" thickBot="1" x14ac:dyDescent="0.25">
      <c r="B27" s="168"/>
      <c r="C27" s="26"/>
      <c r="D27" s="27"/>
      <c r="E27" s="28"/>
      <c r="F27" s="29"/>
      <c r="G27" s="30"/>
      <c r="H27" s="29"/>
      <c r="I27" s="31"/>
      <c r="J27" s="32"/>
      <c r="K27" s="32"/>
      <c r="L27" s="1148"/>
      <c r="M27" s="169"/>
      <c r="N27" s="32"/>
      <c r="O27" s="406"/>
      <c r="P27" s="32"/>
      <c r="Q27" s="608"/>
      <c r="R27" s="995"/>
      <c r="S27" s="651"/>
      <c r="T27" s="995"/>
      <c r="U27" s="1002"/>
      <c r="V27" s="1002"/>
      <c r="W27" s="1002"/>
      <c r="X27" s="1002"/>
      <c r="Y27" s="1002"/>
      <c r="Z27" s="1002"/>
      <c r="AA27" s="1003"/>
    </row>
    <row r="28" spans="1:27" s="19" customFormat="1" ht="213.75" hidden="1" customHeight="1" thickBot="1" x14ac:dyDescent="0.25">
      <c r="B28" s="168"/>
      <c r="C28" s="26"/>
      <c r="D28" s="27"/>
      <c r="E28" s="28"/>
      <c r="F28" s="29"/>
      <c r="G28" s="30"/>
      <c r="H28" s="29"/>
      <c r="I28" s="31"/>
      <c r="J28" s="32"/>
      <c r="K28" s="32"/>
      <c r="L28" s="999"/>
      <c r="M28" s="169"/>
      <c r="N28" s="32"/>
      <c r="O28" s="406"/>
      <c r="P28" s="32"/>
      <c r="Q28" s="608"/>
      <c r="R28" s="1020"/>
      <c r="S28" s="651"/>
      <c r="T28" s="1020"/>
      <c r="U28" s="1002"/>
      <c r="V28" s="1002"/>
      <c r="W28" s="1002"/>
      <c r="X28" s="1002"/>
      <c r="Y28" s="1002"/>
      <c r="Z28" s="1002"/>
      <c r="AA28" s="1003"/>
    </row>
    <row r="29" spans="1:27" s="19" customFormat="1" ht="240.75" hidden="1" customHeight="1" thickBot="1" x14ac:dyDescent="0.25">
      <c r="B29" s="168"/>
      <c r="C29" s="26"/>
      <c r="D29" s="27"/>
      <c r="E29" s="28"/>
      <c r="F29" s="989"/>
      <c r="G29" s="30"/>
      <c r="H29" s="989"/>
      <c r="I29" s="31"/>
      <c r="J29" s="32"/>
      <c r="K29" s="32"/>
      <c r="L29" s="1148"/>
      <c r="M29" s="169"/>
      <c r="N29" s="32"/>
      <c r="O29" s="406"/>
      <c r="P29" s="32"/>
      <c r="Q29" s="1000"/>
      <c r="R29" s="995"/>
      <c r="S29" s="651"/>
      <c r="T29" s="995"/>
      <c r="U29" s="1002"/>
      <c r="V29" s="1002"/>
      <c r="W29" s="1002"/>
      <c r="X29" s="1002"/>
      <c r="Y29" s="1002"/>
      <c r="Z29" s="1002"/>
      <c r="AA29" s="1003"/>
    </row>
    <row r="30" spans="1:27" s="19" customFormat="1" ht="168.75" hidden="1" customHeight="1" thickBot="1" x14ac:dyDescent="0.25">
      <c r="B30" s="168"/>
      <c r="C30" s="26"/>
      <c r="D30" s="27"/>
      <c r="E30" s="28"/>
      <c r="F30" s="990"/>
      <c r="G30" s="30"/>
      <c r="H30" s="990"/>
      <c r="I30" s="31"/>
      <c r="J30" s="32"/>
      <c r="K30" s="32"/>
      <c r="L30" s="999"/>
      <c r="M30" s="169"/>
      <c r="N30" s="32"/>
      <c r="O30" s="406"/>
      <c r="P30" s="32"/>
      <c r="Q30" s="1001"/>
      <c r="R30" s="1020"/>
      <c r="S30" s="651"/>
      <c r="T30" s="1020"/>
      <c r="U30" s="1002"/>
      <c r="V30" s="1002"/>
      <c r="W30" s="1002"/>
      <c r="X30" s="1002"/>
      <c r="Y30" s="1002"/>
      <c r="Z30" s="1002"/>
      <c r="AA30" s="1003"/>
    </row>
    <row r="31" spans="1:27" s="19" customFormat="1" ht="262.5" hidden="1" customHeight="1" thickBot="1" x14ac:dyDescent="0.25">
      <c r="B31" s="168"/>
      <c r="C31" s="26"/>
      <c r="D31" s="27"/>
      <c r="E31" s="28"/>
      <c r="F31" s="29"/>
      <c r="G31" s="30"/>
      <c r="H31" s="29"/>
      <c r="I31" s="31"/>
      <c r="J31" s="32"/>
      <c r="K31" s="32"/>
      <c r="L31" s="464"/>
      <c r="M31" s="169"/>
      <c r="N31" s="32"/>
      <c r="O31" s="406"/>
      <c r="P31" s="32"/>
      <c r="Q31" s="608"/>
      <c r="R31" s="653"/>
      <c r="S31" s="651"/>
      <c r="T31" s="727"/>
      <c r="U31" s="1002"/>
      <c r="V31" s="1002"/>
      <c r="W31" s="1002"/>
      <c r="X31" s="1002"/>
      <c r="Y31" s="1002"/>
      <c r="Z31" s="1002"/>
      <c r="AA31" s="1003"/>
    </row>
    <row r="32" spans="1:27" s="19" customFormat="1" ht="60.75" hidden="1" customHeight="1" thickBot="1" x14ac:dyDescent="0.25">
      <c r="B32" s="168"/>
      <c r="C32" s="26"/>
      <c r="D32" s="27"/>
      <c r="E32" s="28"/>
      <c r="F32" s="29"/>
      <c r="G32" s="30"/>
      <c r="H32" s="29"/>
      <c r="I32" s="31"/>
      <c r="J32" s="32"/>
      <c r="K32" s="32"/>
      <c r="L32" s="1148"/>
      <c r="M32" s="169"/>
      <c r="N32" s="32"/>
      <c r="O32" s="406"/>
      <c r="P32" s="32"/>
      <c r="Q32" s="608"/>
      <c r="R32" s="995"/>
      <c r="S32" s="651"/>
      <c r="T32" s="995"/>
      <c r="U32" s="1002"/>
      <c r="V32" s="1002"/>
      <c r="W32" s="1002"/>
      <c r="X32" s="1002"/>
      <c r="Y32" s="1002"/>
      <c r="Z32" s="1002"/>
      <c r="AA32" s="1003"/>
    </row>
    <row r="33" spans="2:27" s="19" customFormat="1" ht="117" hidden="1" customHeight="1" thickBot="1" x14ac:dyDescent="0.25">
      <c r="B33" s="168"/>
      <c r="C33" s="26"/>
      <c r="D33" s="27"/>
      <c r="E33" s="28"/>
      <c r="F33" s="29"/>
      <c r="G33" s="30"/>
      <c r="H33" s="29"/>
      <c r="I33" s="31"/>
      <c r="J33" s="32"/>
      <c r="K33" s="32"/>
      <c r="L33" s="1016"/>
      <c r="M33" s="169"/>
      <c r="N33" s="32"/>
      <c r="O33" s="406"/>
      <c r="P33" s="32"/>
      <c r="Q33" s="608"/>
      <c r="R33" s="996"/>
      <c r="S33" s="651"/>
      <c r="T33" s="996"/>
      <c r="U33" s="1002"/>
      <c r="V33" s="1002"/>
      <c r="W33" s="1002"/>
      <c r="X33" s="1002"/>
      <c r="Y33" s="1002"/>
      <c r="Z33" s="1002"/>
      <c r="AA33" s="1003"/>
    </row>
    <row r="34" spans="2:27" s="19" customFormat="1" ht="168.75" hidden="1" customHeight="1" thickBot="1" x14ac:dyDescent="0.25">
      <c r="B34" s="168"/>
      <c r="C34" s="26"/>
      <c r="D34" s="27"/>
      <c r="E34" s="28"/>
      <c r="F34" s="29"/>
      <c r="G34" s="30"/>
      <c r="H34" s="29"/>
      <c r="I34" s="31"/>
      <c r="J34" s="32"/>
      <c r="K34" s="32"/>
      <c r="L34" s="1016"/>
      <c r="M34" s="169"/>
      <c r="N34" s="32"/>
      <c r="O34" s="406"/>
      <c r="P34" s="32"/>
      <c r="Q34" s="608"/>
      <c r="R34" s="996"/>
      <c r="S34" s="651"/>
      <c r="T34" s="996"/>
      <c r="U34" s="1002"/>
      <c r="V34" s="1002"/>
      <c r="W34" s="1002"/>
      <c r="X34" s="1002"/>
      <c r="Y34" s="1002"/>
      <c r="Z34" s="1002"/>
      <c r="AA34" s="1003"/>
    </row>
    <row r="35" spans="2:27" s="19" customFormat="1" ht="105" hidden="1" customHeight="1" thickBot="1" x14ac:dyDescent="0.25">
      <c r="B35" s="168"/>
      <c r="C35" s="26"/>
      <c r="D35" s="27"/>
      <c r="E35" s="28"/>
      <c r="F35" s="29"/>
      <c r="G35" s="30"/>
      <c r="H35" s="29"/>
      <c r="I35" s="31"/>
      <c r="J35" s="32"/>
      <c r="K35" s="32"/>
      <c r="L35" s="999"/>
      <c r="M35" s="169"/>
      <c r="N35" s="32"/>
      <c r="O35" s="406"/>
      <c r="P35" s="32"/>
      <c r="Q35" s="608"/>
      <c r="R35" s="1020"/>
      <c r="S35" s="651"/>
      <c r="T35" s="1020"/>
      <c r="U35" s="1002"/>
      <c r="V35" s="1002"/>
      <c r="W35" s="1002"/>
      <c r="X35" s="1002"/>
      <c r="Y35" s="1002"/>
      <c r="Z35" s="1002"/>
      <c r="AA35" s="1003"/>
    </row>
    <row r="36" spans="2:27" s="19" customFormat="1" ht="65.25" hidden="1" customHeight="1" thickBot="1" x14ac:dyDescent="0.25">
      <c r="B36" s="168"/>
      <c r="C36" s="26"/>
      <c r="D36" s="27"/>
      <c r="E36" s="28"/>
      <c r="F36" s="29"/>
      <c r="G36" s="30"/>
      <c r="H36" s="29"/>
      <c r="I36" s="31"/>
      <c r="J36" s="32"/>
      <c r="K36" s="32"/>
      <c r="L36" s="1148"/>
      <c r="M36" s="169"/>
      <c r="N36" s="32"/>
      <c r="O36" s="406"/>
      <c r="P36" s="32"/>
      <c r="Q36" s="608"/>
      <c r="R36" s="995"/>
      <c r="S36" s="651"/>
      <c r="T36" s="995"/>
      <c r="U36" s="1002"/>
      <c r="V36" s="1002"/>
      <c r="W36" s="1002"/>
      <c r="X36" s="1002"/>
      <c r="Y36" s="1002"/>
      <c r="Z36" s="1002"/>
      <c r="AA36" s="1003"/>
    </row>
    <row r="37" spans="2:27" s="19" customFormat="1" ht="253.5" hidden="1" customHeight="1" thickBot="1" x14ac:dyDescent="0.25">
      <c r="B37" s="168"/>
      <c r="C37" s="26"/>
      <c r="D37" s="27"/>
      <c r="E37" s="28"/>
      <c r="F37" s="29"/>
      <c r="G37" s="30"/>
      <c r="H37" s="29"/>
      <c r="I37" s="31"/>
      <c r="J37" s="32"/>
      <c r="K37" s="32"/>
      <c r="L37" s="999"/>
      <c r="M37" s="169"/>
      <c r="N37" s="32"/>
      <c r="O37" s="406"/>
      <c r="P37" s="32"/>
      <c r="Q37" s="608"/>
      <c r="R37" s="1020"/>
      <c r="S37" s="651"/>
      <c r="T37" s="1020"/>
      <c r="U37" s="1002"/>
      <c r="V37" s="1002"/>
      <c r="W37" s="1002"/>
      <c r="X37" s="1002"/>
      <c r="Y37" s="1002"/>
      <c r="Z37" s="1002"/>
      <c r="AA37" s="1003"/>
    </row>
    <row r="38" spans="2:27" s="19" customFormat="1" ht="240" hidden="1" customHeight="1" thickBot="1" x14ac:dyDescent="0.25">
      <c r="B38" s="168"/>
      <c r="C38" s="26"/>
      <c r="D38" s="27"/>
      <c r="E38" s="28"/>
      <c r="F38" s="29"/>
      <c r="G38" s="30"/>
      <c r="H38" s="29"/>
      <c r="I38" s="31"/>
      <c r="J38" s="32"/>
      <c r="K38" s="32"/>
      <c r="L38" s="464"/>
      <c r="M38" s="169"/>
      <c r="N38" s="32"/>
      <c r="O38" s="406"/>
      <c r="P38" s="32"/>
      <c r="Q38" s="608"/>
      <c r="R38" s="653"/>
      <c r="S38" s="651"/>
      <c r="T38" s="727"/>
      <c r="U38" s="1002"/>
      <c r="V38" s="1002"/>
      <c r="W38" s="1002"/>
      <c r="X38" s="1002"/>
      <c r="Y38" s="1002"/>
      <c r="Z38" s="1002"/>
      <c r="AA38" s="1003"/>
    </row>
    <row r="39" spans="2:27" s="19" customFormat="1" ht="328.5" hidden="1" customHeight="1" thickBot="1" x14ac:dyDescent="0.25">
      <c r="B39" s="168"/>
      <c r="C39" s="26"/>
      <c r="D39" s="27"/>
      <c r="E39" s="28"/>
      <c r="F39" s="29"/>
      <c r="G39" s="30"/>
      <c r="H39" s="29"/>
      <c r="I39" s="31"/>
      <c r="J39" s="32"/>
      <c r="K39" s="32"/>
      <c r="L39" s="464"/>
      <c r="M39" s="169"/>
      <c r="N39" s="32"/>
      <c r="O39" s="406"/>
      <c r="P39" s="32"/>
      <c r="Q39" s="608"/>
      <c r="R39" s="653"/>
      <c r="S39" s="651"/>
      <c r="T39" s="727"/>
      <c r="U39" s="1002"/>
      <c r="V39" s="1002"/>
      <c r="W39" s="1002"/>
      <c r="X39" s="1002"/>
      <c r="Y39" s="1002"/>
      <c r="Z39" s="1002"/>
      <c r="AA39" s="1003"/>
    </row>
    <row r="40" spans="2:27" s="19" customFormat="1" ht="153.75" hidden="1" customHeight="1" thickBot="1" x14ac:dyDescent="0.25">
      <c r="B40" s="168"/>
      <c r="C40" s="26"/>
      <c r="D40" s="27"/>
      <c r="E40" s="28"/>
      <c r="F40" s="29"/>
      <c r="G40" s="30"/>
      <c r="H40" s="29"/>
      <c r="I40" s="31"/>
      <c r="J40" s="32"/>
      <c r="K40" s="32"/>
      <c r="L40" s="464"/>
      <c r="M40" s="169"/>
      <c r="N40" s="32"/>
      <c r="O40" s="406"/>
      <c r="P40" s="32"/>
      <c r="Q40" s="608"/>
      <c r="R40" s="653"/>
      <c r="S40" s="651"/>
      <c r="T40" s="727"/>
      <c r="U40" s="1002"/>
      <c r="V40" s="1002"/>
      <c r="W40" s="1002"/>
      <c r="X40" s="1002"/>
      <c r="Y40" s="1002"/>
      <c r="Z40" s="1002"/>
      <c r="AA40" s="1003"/>
    </row>
    <row r="41" spans="2:27" s="19" customFormat="1" ht="99" hidden="1" customHeight="1" thickBot="1" x14ac:dyDescent="0.25">
      <c r="B41" s="168"/>
      <c r="C41" s="26"/>
      <c r="D41" s="27"/>
      <c r="E41" s="28"/>
      <c r="F41" s="29"/>
      <c r="G41" s="30"/>
      <c r="H41" s="29"/>
      <c r="I41" s="31"/>
      <c r="J41" s="32"/>
      <c r="K41" s="32"/>
      <c r="L41" s="1148"/>
      <c r="M41" s="169"/>
      <c r="N41" s="32"/>
      <c r="O41" s="406"/>
      <c r="P41" s="32"/>
      <c r="Q41" s="608"/>
      <c r="R41" s="995"/>
      <c r="S41" s="651"/>
      <c r="T41" s="995"/>
      <c r="U41" s="1002"/>
      <c r="V41" s="1002"/>
      <c r="W41" s="1002"/>
      <c r="X41" s="1002"/>
      <c r="Y41" s="1002"/>
      <c r="Z41" s="1002"/>
      <c r="AA41" s="1003"/>
    </row>
    <row r="42" spans="2:27" s="19" customFormat="1" ht="136.5" hidden="1" customHeight="1" thickBot="1" x14ac:dyDescent="0.25">
      <c r="B42" s="168"/>
      <c r="C42" s="26"/>
      <c r="D42" s="27"/>
      <c r="E42" s="28"/>
      <c r="F42" s="29"/>
      <c r="G42" s="30"/>
      <c r="H42" s="29"/>
      <c r="I42" s="31"/>
      <c r="J42" s="32"/>
      <c r="K42" s="32"/>
      <c r="L42" s="999"/>
      <c r="M42" s="169"/>
      <c r="N42" s="32"/>
      <c r="O42" s="406"/>
      <c r="P42" s="32"/>
      <c r="Q42" s="608"/>
      <c r="R42" s="1020"/>
      <c r="S42" s="651"/>
      <c r="T42" s="1020"/>
      <c r="U42" s="1002"/>
      <c r="V42" s="1002"/>
      <c r="W42" s="1002"/>
      <c r="X42" s="1002"/>
      <c r="Y42" s="1002"/>
      <c r="Z42" s="1002"/>
      <c r="AA42" s="1003"/>
    </row>
    <row r="43" spans="2:27" s="19" customFormat="1" ht="215.25" hidden="1" customHeight="1" thickBot="1" x14ac:dyDescent="0.25">
      <c r="B43" s="168"/>
      <c r="C43" s="26"/>
      <c r="D43" s="27"/>
      <c r="E43" s="28"/>
      <c r="F43" s="29"/>
      <c r="G43" s="30"/>
      <c r="H43" s="29"/>
      <c r="I43" s="31"/>
      <c r="J43" s="32"/>
      <c r="K43" s="32"/>
      <c r="L43" s="1148"/>
      <c r="M43" s="169"/>
      <c r="N43" s="32"/>
      <c r="O43" s="406"/>
      <c r="P43" s="32"/>
      <c r="Q43" s="608"/>
      <c r="R43" s="995"/>
      <c r="S43" s="651"/>
      <c r="T43" s="995"/>
      <c r="U43" s="1002"/>
      <c r="V43" s="1002"/>
      <c r="W43" s="1002"/>
      <c r="X43" s="1002"/>
      <c r="Y43" s="1002"/>
      <c r="Z43" s="1002"/>
      <c r="AA43" s="1003"/>
    </row>
    <row r="44" spans="2:27" s="19" customFormat="1" ht="157.5" hidden="1" customHeight="1" thickBot="1" x14ac:dyDescent="0.25">
      <c r="B44" s="168"/>
      <c r="C44" s="26"/>
      <c r="D44" s="27"/>
      <c r="E44" s="28"/>
      <c r="F44" s="29"/>
      <c r="G44" s="30"/>
      <c r="H44" s="29"/>
      <c r="I44" s="31"/>
      <c r="J44" s="32"/>
      <c r="K44" s="32"/>
      <c r="L44" s="999"/>
      <c r="M44" s="169"/>
      <c r="N44" s="32"/>
      <c r="O44" s="406"/>
      <c r="P44" s="32"/>
      <c r="Q44" s="608"/>
      <c r="R44" s="1020"/>
      <c r="S44" s="651"/>
      <c r="T44" s="1020"/>
      <c r="U44" s="1002"/>
      <c r="V44" s="1002"/>
      <c r="W44" s="1002"/>
      <c r="X44" s="1002"/>
      <c r="Y44" s="1002"/>
      <c r="Z44" s="1002"/>
      <c r="AA44" s="1003"/>
    </row>
    <row r="45" spans="2:27" s="19" customFormat="1" ht="168.75" hidden="1" customHeight="1" thickBot="1" x14ac:dyDescent="0.25">
      <c r="B45" s="168"/>
      <c r="C45" s="26"/>
      <c r="D45" s="27"/>
      <c r="E45" s="28"/>
      <c r="F45" s="29"/>
      <c r="G45" s="30"/>
      <c r="H45" s="29"/>
      <c r="I45" s="31"/>
      <c r="J45" s="32"/>
      <c r="K45" s="32"/>
      <c r="L45" s="1148"/>
      <c r="M45" s="169"/>
      <c r="N45" s="32"/>
      <c r="O45" s="406"/>
      <c r="P45" s="32"/>
      <c r="Q45" s="608"/>
      <c r="R45" s="995"/>
      <c r="S45" s="651"/>
      <c r="T45" s="995"/>
      <c r="U45" s="1002"/>
      <c r="V45" s="1002"/>
      <c r="W45" s="1002"/>
      <c r="X45" s="1002"/>
      <c r="Y45" s="1002"/>
      <c r="Z45" s="1002"/>
      <c r="AA45" s="1003"/>
    </row>
    <row r="46" spans="2:27" s="19" customFormat="1" ht="70.5" hidden="1" customHeight="1" thickBot="1" x14ac:dyDescent="0.25">
      <c r="B46" s="168"/>
      <c r="C46" s="26"/>
      <c r="D46" s="27"/>
      <c r="E46" s="28"/>
      <c r="F46" s="29"/>
      <c r="G46" s="30"/>
      <c r="H46" s="29"/>
      <c r="I46" s="31"/>
      <c r="J46" s="32"/>
      <c r="K46" s="32"/>
      <c r="L46" s="999"/>
      <c r="M46" s="169"/>
      <c r="N46" s="32"/>
      <c r="O46" s="406"/>
      <c r="P46" s="32"/>
      <c r="Q46" s="608"/>
      <c r="R46" s="1020"/>
      <c r="S46" s="651"/>
      <c r="T46" s="1020"/>
      <c r="U46" s="1002"/>
      <c r="V46" s="1002"/>
      <c r="W46" s="1002"/>
      <c r="X46" s="1002"/>
      <c r="Y46" s="1002"/>
      <c r="Z46" s="1002"/>
      <c r="AA46" s="1003"/>
    </row>
    <row r="47" spans="2:27" s="19" customFormat="1" ht="26.25" hidden="1" thickBot="1" x14ac:dyDescent="0.25">
      <c r="B47" s="168"/>
      <c r="C47" s="26"/>
      <c r="D47" s="27"/>
      <c r="E47" s="28">
        <f>[8]Dec!$E51</f>
        <v>0</v>
      </c>
      <c r="F47" s="29">
        <f>[7]December_2025!$J51</f>
        <v>0</v>
      </c>
      <c r="G47" s="30">
        <f>[7]December_2025!$G51</f>
        <v>0</v>
      </c>
      <c r="H47" s="29">
        <f>[7]December_2025!$K51</f>
        <v>0</v>
      </c>
      <c r="I47" s="31">
        <f>[7]December_2025!$N51</f>
        <v>0</v>
      </c>
      <c r="J47" s="32"/>
      <c r="K47" s="32"/>
      <c r="L47" s="464"/>
      <c r="M47" s="169"/>
      <c r="N47" s="32"/>
      <c r="O47" s="406"/>
      <c r="P47" s="32"/>
      <c r="Q47" s="608"/>
      <c r="R47" s="653"/>
      <c r="S47" s="651"/>
      <c r="T47" s="727"/>
      <c r="U47" s="1002"/>
      <c r="V47" s="1002"/>
      <c r="W47" s="1002"/>
      <c r="X47" s="1002"/>
      <c r="Y47" s="1002"/>
      <c r="Z47" s="1002"/>
      <c r="AA47" s="1003"/>
    </row>
    <row r="48" spans="2:27" s="19" customFormat="1" ht="26.25" hidden="1" thickBot="1" x14ac:dyDescent="0.25">
      <c r="B48" s="168"/>
      <c r="C48" s="26"/>
      <c r="D48" s="27"/>
      <c r="E48" s="28">
        <f>[8]Dec!$E52</f>
        <v>0</v>
      </c>
      <c r="F48" s="29">
        <f>[7]December_2025!$J52</f>
        <v>0</v>
      </c>
      <c r="G48" s="30">
        <f>[7]December_2025!$G52</f>
        <v>0</v>
      </c>
      <c r="H48" s="29">
        <f>[7]December_2025!$K52</f>
        <v>0</v>
      </c>
      <c r="I48" s="31">
        <f>[7]December_2025!$N52</f>
        <v>0</v>
      </c>
      <c r="J48" s="32"/>
      <c r="K48" s="32"/>
      <c r="L48" s="464"/>
      <c r="M48" s="169"/>
      <c r="N48" s="32"/>
      <c r="O48" s="406"/>
      <c r="P48" s="32"/>
      <c r="Q48" s="608"/>
      <c r="R48" s="653"/>
      <c r="S48" s="651"/>
      <c r="T48" s="727"/>
      <c r="U48" s="1002"/>
      <c r="V48" s="1002"/>
      <c r="W48" s="1002"/>
      <c r="X48" s="1002"/>
      <c r="Y48" s="1002"/>
      <c r="Z48" s="1002"/>
      <c r="AA48" s="1003"/>
    </row>
    <row r="49" spans="1:27" s="19" customFormat="1" ht="26.25" hidden="1" thickBot="1" x14ac:dyDescent="0.25">
      <c r="B49" s="168"/>
      <c r="C49" s="26"/>
      <c r="D49" s="27"/>
      <c r="E49" s="28">
        <f>[8]Dec!$E53</f>
        <v>0</v>
      </c>
      <c r="F49" s="29">
        <f>[7]December_2025!$J53</f>
        <v>0</v>
      </c>
      <c r="G49" s="30">
        <f>[7]December_2025!$G53</f>
        <v>0</v>
      </c>
      <c r="H49" s="29">
        <f>[7]December_2025!$K53</f>
        <v>0</v>
      </c>
      <c r="I49" s="31">
        <f>[7]December_2025!$N53</f>
        <v>0</v>
      </c>
      <c r="J49" s="32"/>
      <c r="K49" s="32"/>
      <c r="L49" s="464"/>
      <c r="M49" s="169"/>
      <c r="N49" s="32"/>
      <c r="O49" s="406"/>
      <c r="P49" s="32"/>
      <c r="Q49" s="608"/>
      <c r="R49" s="653"/>
      <c r="S49" s="651"/>
      <c r="T49" s="727"/>
      <c r="U49" s="1002"/>
      <c r="V49" s="1002"/>
      <c r="W49" s="1002"/>
      <c r="X49" s="1002"/>
      <c r="Y49" s="1002"/>
      <c r="Z49" s="1002"/>
      <c r="AA49" s="1003"/>
    </row>
    <row r="50" spans="1:27" s="19" customFormat="1" ht="26.25" hidden="1" thickBot="1" x14ac:dyDescent="0.25">
      <c r="B50" s="168"/>
      <c r="C50" s="26"/>
      <c r="D50" s="27"/>
      <c r="E50" s="28">
        <f>[8]Dec!$E54</f>
        <v>0</v>
      </c>
      <c r="F50" s="29">
        <f>[7]December_2025!$J54</f>
        <v>0</v>
      </c>
      <c r="G50" s="30">
        <f>[7]December_2025!$G54</f>
        <v>0</v>
      </c>
      <c r="H50" s="29">
        <f>[7]December_2025!$K54</f>
        <v>0</v>
      </c>
      <c r="I50" s="31">
        <f>[7]December_2025!$N54</f>
        <v>0</v>
      </c>
      <c r="J50" s="32"/>
      <c r="K50" s="32">
        <f>[7]December_2025!$F54</f>
        <v>0</v>
      </c>
      <c r="L50" s="464"/>
      <c r="M50" s="169"/>
      <c r="N50" s="32"/>
      <c r="O50" s="406"/>
      <c r="P50" s="32"/>
      <c r="Q50" s="608"/>
      <c r="R50" s="653"/>
      <c r="S50" s="651"/>
      <c r="T50" s="727"/>
      <c r="U50" s="1002"/>
      <c r="V50" s="1002"/>
      <c r="W50" s="1002"/>
      <c r="X50" s="1002"/>
      <c r="Y50" s="1002"/>
      <c r="Z50" s="1002"/>
      <c r="AA50" s="1003"/>
    </row>
    <row r="51" spans="1:27" s="19" customFormat="1" ht="26.25" hidden="1" thickBot="1" x14ac:dyDescent="0.25">
      <c r="B51" s="168"/>
      <c r="C51" s="26"/>
      <c r="D51" s="27"/>
      <c r="E51" s="28">
        <f>[8]Dec!$E55</f>
        <v>0</v>
      </c>
      <c r="F51" s="29">
        <f>[7]December_2025!$J55</f>
        <v>0</v>
      </c>
      <c r="G51" s="30">
        <f>[7]December_2025!$G55</f>
        <v>0</v>
      </c>
      <c r="H51" s="29">
        <f>[7]December_2025!$K55</f>
        <v>0</v>
      </c>
      <c r="I51" s="31">
        <f>[7]December_2025!$N55</f>
        <v>0</v>
      </c>
      <c r="J51" s="32"/>
      <c r="K51" s="32">
        <f>[7]December_2025!$F55</f>
        <v>0</v>
      </c>
      <c r="L51" s="464"/>
      <c r="M51" s="169"/>
      <c r="N51" s="32"/>
      <c r="O51" s="406"/>
      <c r="P51" s="32"/>
      <c r="Q51" s="608"/>
      <c r="R51" s="653"/>
      <c r="S51" s="651"/>
      <c r="T51" s="727"/>
      <c r="U51" s="1002"/>
      <c r="V51" s="1002"/>
      <c r="W51" s="1002"/>
      <c r="X51" s="1002"/>
      <c r="Y51" s="1002"/>
      <c r="Z51" s="1002"/>
      <c r="AA51" s="1003"/>
    </row>
    <row r="52" spans="1:27" s="19" customFormat="1" ht="26.25" hidden="1" thickBot="1" x14ac:dyDescent="0.25">
      <c r="B52" s="168"/>
      <c r="C52" s="26"/>
      <c r="D52" s="27"/>
      <c r="E52" s="28">
        <f>[8]Dec!$E56</f>
        <v>0</v>
      </c>
      <c r="F52" s="29">
        <f>[7]December_2025!$J56</f>
        <v>0</v>
      </c>
      <c r="G52" s="30">
        <f>[7]December_2025!$G56</f>
        <v>0</v>
      </c>
      <c r="H52" s="29">
        <f>[7]December_2025!$K56</f>
        <v>0</v>
      </c>
      <c r="I52" s="31">
        <f>[7]December_2025!$N56</f>
        <v>0</v>
      </c>
      <c r="J52" s="32"/>
      <c r="K52" s="32">
        <f>[7]December_2025!$F56</f>
        <v>0</v>
      </c>
      <c r="L52" s="464"/>
      <c r="M52" s="169"/>
      <c r="N52" s="32"/>
      <c r="O52" s="406"/>
      <c r="P52" s="32"/>
      <c r="Q52" s="608"/>
      <c r="R52" s="653"/>
      <c r="S52" s="651"/>
      <c r="T52" s="727"/>
      <c r="U52" s="1002"/>
      <c r="V52" s="1002"/>
      <c r="W52" s="1002"/>
      <c r="X52" s="1002"/>
      <c r="Y52" s="1002"/>
      <c r="Z52" s="1002"/>
      <c r="AA52" s="1003"/>
    </row>
    <row r="53" spans="1:27" s="19" customFormat="1" ht="26.25" hidden="1" thickBot="1" x14ac:dyDescent="0.25">
      <c r="B53" s="168"/>
      <c r="C53" s="26"/>
      <c r="D53" s="27"/>
      <c r="E53" s="28">
        <f>[8]Dec!$E57</f>
        <v>0</v>
      </c>
      <c r="F53" s="29">
        <f>[7]December_2025!$J57</f>
        <v>0</v>
      </c>
      <c r="G53" s="30">
        <f>[7]December_2025!$G57</f>
        <v>0</v>
      </c>
      <c r="H53" s="29">
        <f>[7]December_2025!$K57</f>
        <v>0</v>
      </c>
      <c r="I53" s="31">
        <f>[7]December_2025!$N57</f>
        <v>0</v>
      </c>
      <c r="J53" s="32"/>
      <c r="K53" s="32">
        <f>[7]December_2025!$F57</f>
        <v>0</v>
      </c>
      <c r="L53" s="464"/>
      <c r="M53" s="169"/>
      <c r="N53" s="32"/>
      <c r="O53" s="406"/>
      <c r="P53" s="32"/>
      <c r="Q53" s="608"/>
      <c r="R53" s="653"/>
      <c r="S53" s="651"/>
      <c r="T53" s="727"/>
      <c r="U53" s="1002"/>
      <c r="V53" s="1002"/>
      <c r="W53" s="1002"/>
      <c r="X53" s="1002"/>
      <c r="Y53" s="1002"/>
      <c r="Z53" s="1002"/>
      <c r="AA53" s="1003"/>
    </row>
    <row r="54" spans="1:27" s="19" customFormat="1" ht="26.25" hidden="1" thickBot="1" x14ac:dyDescent="0.25">
      <c r="B54" s="168"/>
      <c r="C54" s="26"/>
      <c r="D54" s="27"/>
      <c r="E54" s="28">
        <f>[8]Dec!$E58</f>
        <v>0</v>
      </c>
      <c r="F54" s="29">
        <f>[7]December_2025!$J58</f>
        <v>0</v>
      </c>
      <c r="G54" s="30">
        <f>[7]December_2025!$G58</f>
        <v>0</v>
      </c>
      <c r="H54" s="29">
        <f>[7]December_2025!$K58</f>
        <v>0</v>
      </c>
      <c r="I54" s="31">
        <f>[7]December_2025!$N58</f>
        <v>0</v>
      </c>
      <c r="J54" s="32"/>
      <c r="K54" s="32">
        <f>[7]December_2025!$F58</f>
        <v>0</v>
      </c>
      <c r="L54" s="464"/>
      <c r="M54" s="169"/>
      <c r="N54" s="32"/>
      <c r="O54" s="406"/>
      <c r="P54" s="32"/>
      <c r="Q54" s="608"/>
      <c r="R54" s="653"/>
      <c r="S54" s="651"/>
      <c r="T54" s="727"/>
      <c r="U54" s="1002"/>
      <c r="V54" s="1002"/>
      <c r="W54" s="1002"/>
      <c r="X54" s="1002"/>
      <c r="Y54" s="1002"/>
      <c r="Z54" s="1002"/>
      <c r="AA54" s="1003"/>
    </row>
    <row r="55" spans="1:27" s="19" customFormat="1" ht="26.25" hidden="1" thickBot="1" x14ac:dyDescent="0.25">
      <c r="B55" s="168"/>
      <c r="C55" s="26"/>
      <c r="D55" s="27"/>
      <c r="E55" s="28">
        <f>[8]Dec!$E59</f>
        <v>0</v>
      </c>
      <c r="F55" s="29">
        <f>[7]December_2025!$J59</f>
        <v>0</v>
      </c>
      <c r="G55" s="30">
        <f>[7]December_2025!$G59</f>
        <v>0</v>
      </c>
      <c r="H55" s="29">
        <f>[7]December_2025!$K59</f>
        <v>0</v>
      </c>
      <c r="I55" s="31">
        <f>[7]December_2025!$N59</f>
        <v>0</v>
      </c>
      <c r="J55" s="32"/>
      <c r="K55" s="32">
        <f>[7]December_2025!$F59</f>
        <v>0</v>
      </c>
      <c r="L55" s="464"/>
      <c r="M55" s="169"/>
      <c r="N55" s="32"/>
      <c r="O55" s="406"/>
      <c r="P55" s="32"/>
      <c r="Q55" s="608"/>
      <c r="R55" s="653"/>
      <c r="S55" s="651"/>
      <c r="T55" s="727"/>
      <c r="U55" s="1002"/>
      <c r="V55" s="1002"/>
      <c r="W55" s="1002"/>
      <c r="X55" s="1002"/>
      <c r="Y55" s="1002"/>
      <c r="Z55" s="1002"/>
      <c r="AA55" s="1003"/>
    </row>
    <row r="56" spans="1:27" s="19" customFormat="1" ht="26.25" hidden="1" thickBot="1" x14ac:dyDescent="0.25">
      <c r="B56" s="168"/>
      <c r="C56" s="26"/>
      <c r="D56" s="27"/>
      <c r="E56" s="28"/>
      <c r="F56" s="29"/>
      <c r="G56" s="30"/>
      <c r="H56" s="29"/>
      <c r="I56" s="31"/>
      <c r="J56" s="32"/>
      <c r="K56" s="32"/>
      <c r="L56" s="464"/>
      <c r="M56" s="169"/>
      <c r="N56" s="32"/>
      <c r="O56" s="406"/>
      <c r="P56" s="32"/>
      <c r="Q56" s="608"/>
      <c r="R56" s="653"/>
      <c r="S56" s="651"/>
      <c r="T56" s="727"/>
      <c r="U56" s="1002"/>
      <c r="V56" s="1002"/>
      <c r="W56" s="1002"/>
      <c r="X56" s="1002"/>
      <c r="Y56" s="1002"/>
      <c r="Z56" s="1002"/>
      <c r="AA56" s="1003"/>
    </row>
    <row r="57" spans="1:27" s="19" customFormat="1" ht="26.25" hidden="1" thickBot="1" x14ac:dyDescent="0.25">
      <c r="B57" s="168"/>
      <c r="C57" s="26"/>
      <c r="D57" s="27"/>
      <c r="E57" s="28"/>
      <c r="F57" s="29"/>
      <c r="G57" s="30"/>
      <c r="H57" s="29"/>
      <c r="I57" s="31"/>
      <c r="J57" s="32"/>
      <c r="K57" s="32"/>
      <c r="L57" s="464"/>
      <c r="M57" s="169"/>
      <c r="N57" s="32"/>
      <c r="O57" s="406"/>
      <c r="P57" s="32"/>
      <c r="Q57" s="608"/>
      <c r="R57" s="653"/>
      <c r="S57" s="651"/>
      <c r="T57" s="727"/>
      <c r="U57" s="1002"/>
      <c r="V57" s="1002"/>
      <c r="W57" s="1002"/>
      <c r="X57" s="1002"/>
      <c r="Y57" s="1002"/>
      <c r="Z57" s="1002"/>
      <c r="AA57" s="1003"/>
    </row>
    <row r="58" spans="1:27" s="19" customFormat="1" ht="26.25" hidden="1" thickBot="1" x14ac:dyDescent="0.25">
      <c r="B58" s="168"/>
      <c r="C58" s="26"/>
      <c r="D58" s="27"/>
      <c r="E58" s="28"/>
      <c r="F58" s="29"/>
      <c r="G58" s="30"/>
      <c r="H58" s="29"/>
      <c r="I58" s="31"/>
      <c r="J58" s="32"/>
      <c r="K58" s="32"/>
      <c r="L58" s="464"/>
      <c r="M58" s="169"/>
      <c r="N58" s="32"/>
      <c r="O58" s="406"/>
      <c r="P58" s="32"/>
      <c r="Q58" s="608"/>
      <c r="R58" s="653"/>
      <c r="S58" s="651"/>
      <c r="T58" s="727"/>
      <c r="U58" s="1002"/>
      <c r="V58" s="1002"/>
      <c r="W58" s="1002"/>
      <c r="X58" s="1002"/>
      <c r="Y58" s="1002"/>
      <c r="Z58" s="1002"/>
      <c r="AA58" s="1003"/>
    </row>
    <row r="59" spans="1:27" s="19" customFormat="1" ht="26.25" hidden="1" thickBot="1" x14ac:dyDescent="0.25">
      <c r="B59" s="168"/>
      <c r="C59" s="26"/>
      <c r="D59" s="27"/>
      <c r="E59" s="28"/>
      <c r="F59" s="29"/>
      <c r="G59" s="30"/>
      <c r="H59" s="29"/>
      <c r="I59" s="31"/>
      <c r="J59" s="32"/>
      <c r="K59" s="32"/>
      <c r="L59" s="464"/>
      <c r="M59" s="169"/>
      <c r="N59" s="32"/>
      <c r="O59" s="406"/>
      <c r="P59" s="32"/>
      <c r="Q59" s="608" t="e">
        <f>[7]December_2025!$P63</f>
        <v>#REF!</v>
      </c>
      <c r="R59" s="653"/>
      <c r="S59" s="651"/>
      <c r="T59" s="727"/>
      <c r="U59" s="1002"/>
      <c r="V59" s="1002"/>
      <c r="W59" s="1002"/>
      <c r="X59" s="1002"/>
      <c r="Y59" s="1002"/>
      <c r="Z59" s="1002"/>
      <c r="AA59" s="1003"/>
    </row>
    <row r="60" spans="1:27" s="19" customFormat="1" ht="115.5" hidden="1" customHeight="1" thickBot="1" x14ac:dyDescent="0.25">
      <c r="B60" s="168"/>
      <c r="C60" s="26"/>
      <c r="D60" s="27"/>
      <c r="E60" s="28"/>
      <c r="F60" s="29"/>
      <c r="G60" s="30"/>
      <c r="H60" s="29"/>
      <c r="I60" s="31"/>
      <c r="J60" s="32"/>
      <c r="K60" s="32"/>
      <c r="L60" s="464"/>
      <c r="M60" s="169"/>
      <c r="N60" s="32"/>
      <c r="O60" s="406"/>
      <c r="P60" s="32"/>
      <c r="Q60" s="608">
        <f>[7]December_2025!$P64</f>
        <v>0</v>
      </c>
      <c r="R60" s="653"/>
      <c r="S60" s="651"/>
      <c r="T60" s="727"/>
      <c r="U60" s="1002"/>
      <c r="V60" s="1002"/>
      <c r="W60" s="1002"/>
      <c r="X60" s="1002"/>
      <c r="Y60" s="1002"/>
      <c r="Z60" s="1002"/>
      <c r="AA60" s="1003"/>
    </row>
    <row r="61" spans="1:27" s="19" customFormat="1" ht="26.25" hidden="1" thickBot="1" x14ac:dyDescent="0.25">
      <c r="B61" s="168"/>
      <c r="C61" s="26"/>
      <c r="D61" s="27"/>
      <c r="E61" s="28">
        <f>[8]Dec!$E65</f>
        <v>0</v>
      </c>
      <c r="F61" s="29"/>
      <c r="G61" s="30"/>
      <c r="H61" s="29"/>
      <c r="I61" s="31"/>
      <c r="J61" s="32"/>
      <c r="K61" s="32"/>
      <c r="L61" s="464"/>
      <c r="M61" s="169"/>
      <c r="N61" s="32"/>
      <c r="O61" s="406"/>
      <c r="P61" s="32"/>
      <c r="Q61" s="33"/>
      <c r="R61" s="527"/>
      <c r="S61" s="822"/>
      <c r="T61" s="548"/>
      <c r="U61" s="1002"/>
      <c r="V61" s="1002"/>
      <c r="W61" s="1002"/>
      <c r="X61" s="1002"/>
      <c r="Y61" s="1002"/>
      <c r="Z61" s="1002"/>
      <c r="AA61" s="1003"/>
    </row>
    <row r="62" spans="1:27" s="19" customFormat="1" ht="64.5" customHeight="1" thickBot="1" x14ac:dyDescent="0.25">
      <c r="B62" s="240" t="s">
        <v>3</v>
      </c>
      <c r="C62" s="241"/>
      <c r="D62" s="242">
        <f>SUM(D4:D61)</f>
        <v>0</v>
      </c>
      <c r="E62" s="243">
        <f>AVERAGE(E4:E61)</f>
        <v>0</v>
      </c>
      <c r="F62" s="244">
        <f>SUM(F4:F61)</f>
        <v>0</v>
      </c>
      <c r="G62" s="242">
        <f>SUM(G4:G61)</f>
        <v>0</v>
      </c>
      <c r="H62" s="244">
        <f>SUM(H4:H61)</f>
        <v>0</v>
      </c>
      <c r="I62" s="245">
        <f>SUM(I4:I61)</f>
        <v>0</v>
      </c>
      <c r="J62" s="245" t="e">
        <f>G62/(K62/60)</f>
        <v>#DIV/0!</v>
      </c>
      <c r="K62" s="242">
        <f>SUM(K4:K61)</f>
        <v>0</v>
      </c>
      <c r="L62" s="466">
        <f>SUM(L4:L61)</f>
        <v>0</v>
      </c>
      <c r="M62" s="246">
        <f>AVERAGE(M4:M61)</f>
        <v>0</v>
      </c>
      <c r="N62" s="242">
        <f>SUM(N4:N61)</f>
        <v>0</v>
      </c>
      <c r="O62" s="245">
        <f>SUM(O4:O61)</f>
        <v>0</v>
      </c>
      <c r="P62" s="245">
        <f>SUM(P4:P61)</f>
        <v>0</v>
      </c>
      <c r="Q62" s="292" t="e">
        <f>(F62-H62)/F62</f>
        <v>#DIV/0!</v>
      </c>
      <c r="R62" s="861" t="e">
        <f>($G62)/(($L62/60)*AC$3*(1/24))</f>
        <v>#DIV/0!</v>
      </c>
      <c r="S62" s="550" t="e">
        <f>(G62)*24/((K62)/60)/$AC$3</f>
        <v>#DIV/0!</v>
      </c>
      <c r="T62" s="549" t="e">
        <f>(0-((N62)- [2]Dec!$AC$58-[2]Dec!$AB$58-[2]Dec!$AA$58-[2]Dec!$Z$58-[2]Dec!$N$58-[2]Dec!$M$58-[2]Dec!$L$58-[2]Dec!$K$58-[2]Dec!$J$58-[2]Dec!$I$58-[2]Dec!$H$58))/0</f>
        <v>#DIV/0!</v>
      </c>
      <c r="U62" s="1011"/>
      <c r="V62" s="1011"/>
      <c r="W62" s="1011"/>
      <c r="X62" s="1011"/>
      <c r="Y62" s="1011"/>
      <c r="Z62" s="1011"/>
      <c r="AA62" s="1012"/>
    </row>
    <row r="63" spans="1:27" s="656" customFormat="1" ht="64.5" customHeight="1" thickTop="1" x14ac:dyDescent="0.2">
      <c r="B63" s="657" t="s">
        <v>861</v>
      </c>
      <c r="C63" s="658"/>
      <c r="D63" s="641"/>
      <c r="E63" s="659"/>
      <c r="F63" s="660"/>
      <c r="G63" s="641"/>
      <c r="H63" s="660"/>
      <c r="I63" s="661"/>
      <c r="J63" s="661">
        <v>350</v>
      </c>
      <c r="K63" s="641"/>
      <c r="L63" s="641"/>
      <c r="M63" s="642"/>
      <c r="N63" s="641"/>
      <c r="O63" s="643"/>
      <c r="P63" s="644"/>
      <c r="Q63" s="645">
        <v>1.7999999999999999E-2</v>
      </c>
      <c r="R63" s="646">
        <v>0.56000000000000005</v>
      </c>
      <c r="S63" s="646">
        <v>0.66</v>
      </c>
      <c r="T63" s="647">
        <v>0.8</v>
      </c>
      <c r="U63" s="662"/>
      <c r="V63" s="662"/>
      <c r="W63" s="662"/>
      <c r="X63" s="662"/>
      <c r="Y63" s="662"/>
      <c r="Z63" s="662"/>
      <c r="AA63" s="662"/>
    </row>
    <row r="64" spans="1:27" s="271" customFormat="1" ht="26.25" customHeight="1" x14ac:dyDescent="0.3">
      <c r="A64" s="274"/>
      <c r="B64" s="260"/>
      <c r="C64" s="260"/>
      <c r="D64" s="261"/>
      <c r="E64" s="262"/>
      <c r="F64" s="263"/>
      <c r="G64" s="261"/>
      <c r="H64" s="263"/>
      <c r="I64" s="264"/>
      <c r="J64" s="264"/>
      <c r="K64" s="261"/>
      <c r="L64" s="261"/>
      <c r="M64" s="265"/>
      <c r="N64" s="261"/>
      <c r="O64" s="266"/>
      <c r="P64" s="264"/>
      <c r="Q64" s="267"/>
      <c r="R64" s="268"/>
      <c r="S64" s="268"/>
      <c r="T64" s="269"/>
      <c r="U64" s="270"/>
      <c r="V64" s="270"/>
      <c r="W64" s="270"/>
      <c r="X64" s="270"/>
      <c r="Y64" s="270"/>
      <c r="Z64" s="270"/>
      <c r="AA64" s="270"/>
    </row>
    <row r="65" spans="2:29" s="484" customFormat="1" ht="20.25" x14ac:dyDescent="0.3">
      <c r="B65" s="467"/>
      <c r="C65" s="485"/>
      <c r="D65" s="486"/>
      <c r="E65" s="487"/>
      <c r="F65" s="488"/>
      <c r="G65" s="467"/>
      <c r="H65" s="467"/>
      <c r="I65" s="271"/>
      <c r="J65" s="271"/>
      <c r="K65" s="271"/>
      <c r="L65" s="271"/>
      <c r="M65" s="271"/>
      <c r="N65" s="271"/>
      <c r="O65" s="468"/>
      <c r="P65" s="467"/>
      <c r="Q65" s="467"/>
      <c r="R65" s="685"/>
      <c r="S65" s="685"/>
      <c r="T65" s="685"/>
      <c r="U65" s="271"/>
      <c r="V65" s="270"/>
      <c r="W65" s="270"/>
      <c r="X65" s="270"/>
      <c r="Y65" s="270"/>
      <c r="Z65" s="270"/>
      <c r="AA65" s="270"/>
      <c r="AB65" s="271"/>
      <c r="AC65" s="467"/>
    </row>
    <row r="66" spans="2:29" s="467" customFormat="1" ht="60.75" hidden="1" thickBot="1" x14ac:dyDescent="0.35">
      <c r="C66" s="587" t="s">
        <v>375</v>
      </c>
      <c r="D66" s="588" t="s">
        <v>376</v>
      </c>
      <c r="E66" s="588" t="s">
        <v>377</v>
      </c>
      <c r="F66" s="589" t="s">
        <v>378</v>
      </c>
      <c r="I66" s="271"/>
      <c r="J66" s="271"/>
      <c r="K66" s="271"/>
      <c r="L66" s="271"/>
      <c r="M66" s="271"/>
      <c r="N66" s="271"/>
      <c r="O66" s="563"/>
      <c r="R66" s="685"/>
      <c r="S66" s="685"/>
      <c r="T66" s="685"/>
    </row>
    <row r="67" spans="2:29" s="467" customFormat="1" ht="33" hidden="1" customHeight="1" x14ac:dyDescent="0.4">
      <c r="C67" s="516" t="s">
        <v>370</v>
      </c>
      <c r="D67" s="603"/>
      <c r="E67" s="536"/>
      <c r="F67" s="592"/>
      <c r="I67" s="271"/>
      <c r="J67" s="567"/>
      <c r="K67" s="271"/>
      <c r="L67" s="271"/>
      <c r="M67" s="271"/>
      <c r="N67" s="271"/>
      <c r="O67" s="468"/>
      <c r="R67" s="685"/>
      <c r="S67" s="685"/>
      <c r="T67" s="685"/>
    </row>
    <row r="68" spans="2:29" s="467" customFormat="1" ht="33" hidden="1" customHeight="1" x14ac:dyDescent="0.4">
      <c r="C68" s="517" t="s">
        <v>371</v>
      </c>
      <c r="D68" s="603"/>
      <c r="E68" s="536"/>
      <c r="F68" s="593"/>
      <c r="I68" s="271"/>
      <c r="J68" s="567"/>
      <c r="K68" s="271"/>
      <c r="L68" s="271"/>
      <c r="M68" s="271"/>
      <c r="N68" s="271"/>
      <c r="O68" s="468"/>
      <c r="R68" s="685"/>
      <c r="S68" s="685"/>
      <c r="T68" s="685"/>
    </row>
    <row r="69" spans="2:29" s="467" customFormat="1" ht="33" hidden="1" customHeight="1" x14ac:dyDescent="0.4">
      <c r="C69" s="518" t="s">
        <v>372</v>
      </c>
      <c r="D69" s="603"/>
      <c r="E69" s="536"/>
      <c r="F69" s="593"/>
      <c r="I69" s="271"/>
      <c r="J69" s="567"/>
      <c r="K69" s="271"/>
      <c r="L69" s="271"/>
      <c r="M69" s="271"/>
      <c r="N69" s="271"/>
      <c r="O69" s="468"/>
      <c r="R69" s="685"/>
      <c r="S69" s="685"/>
      <c r="T69" s="685"/>
    </row>
    <row r="70" spans="2:29" s="467" customFormat="1" ht="33" hidden="1" customHeight="1" x14ac:dyDescent="0.4">
      <c r="C70" s="517" t="s">
        <v>373</v>
      </c>
      <c r="D70" s="520"/>
      <c r="E70" s="536"/>
      <c r="F70" s="593"/>
      <c r="I70" s="271"/>
      <c r="J70" s="567"/>
      <c r="K70" s="271"/>
      <c r="L70" s="271"/>
      <c r="M70" s="271"/>
      <c r="N70" s="271"/>
      <c r="O70" s="468"/>
      <c r="R70" s="685"/>
      <c r="S70" s="685"/>
      <c r="T70" s="685"/>
    </row>
    <row r="71" spans="2:29" s="467" customFormat="1" ht="33" hidden="1" customHeight="1" x14ac:dyDescent="0.4">
      <c r="C71" s="518" t="s">
        <v>374</v>
      </c>
      <c r="D71" s="519"/>
      <c r="E71" s="536"/>
      <c r="F71" s="593"/>
      <c r="I71" s="271"/>
      <c r="J71" s="567"/>
      <c r="K71" s="271"/>
      <c r="L71" s="271"/>
      <c r="M71" s="271"/>
      <c r="N71" s="271"/>
      <c r="O71" s="468"/>
      <c r="R71" s="685"/>
      <c r="S71" s="685"/>
      <c r="T71" s="685"/>
    </row>
    <row r="72" spans="2:29" s="467" customFormat="1" ht="33" hidden="1" customHeight="1" x14ac:dyDescent="0.4">
      <c r="C72" s="521" t="s">
        <v>850</v>
      </c>
      <c r="D72" s="585"/>
      <c r="E72" s="536"/>
      <c r="F72" s="593"/>
      <c r="I72" s="271"/>
      <c r="J72" s="271"/>
      <c r="K72" s="271"/>
      <c r="L72" s="271"/>
      <c r="M72" s="271"/>
      <c r="N72" s="271"/>
      <c r="O72" s="468"/>
      <c r="R72" s="685"/>
      <c r="S72" s="685"/>
      <c r="T72" s="685"/>
    </row>
    <row r="73" spans="2:29" s="467" customFormat="1" ht="33" hidden="1" customHeight="1" x14ac:dyDescent="0.4">
      <c r="C73" s="518" t="s">
        <v>853</v>
      </c>
      <c r="D73" s="603"/>
      <c r="E73" s="536"/>
      <c r="F73" s="593"/>
      <c r="I73" s="271"/>
      <c r="J73" s="271"/>
      <c r="K73" s="271"/>
      <c r="L73" s="271"/>
      <c r="M73" s="271"/>
      <c r="N73" s="271"/>
      <c r="O73" s="468"/>
      <c r="R73" s="685"/>
      <c r="S73" s="685"/>
      <c r="T73" s="685"/>
    </row>
    <row r="74" spans="2:29" s="467" customFormat="1" ht="49.5" hidden="1" customHeight="1" x14ac:dyDescent="0.4">
      <c r="C74" s="590" t="s">
        <v>854</v>
      </c>
      <c r="D74" s="603"/>
      <c r="E74" s="536"/>
      <c r="F74" s="594"/>
      <c r="I74" s="271"/>
      <c r="J74" s="271"/>
      <c r="K74" s="271"/>
      <c r="L74" s="271"/>
      <c r="M74" s="271"/>
      <c r="N74" s="271"/>
      <c r="O74" s="271"/>
      <c r="P74" s="468"/>
      <c r="R74" s="685"/>
      <c r="S74" s="685"/>
      <c r="T74" s="685"/>
      <c r="U74" s="271"/>
    </row>
    <row r="75" spans="2:29" s="467" customFormat="1" ht="30.75" hidden="1" thickBot="1" x14ac:dyDescent="0.45">
      <c r="C75" s="590" t="s">
        <v>855</v>
      </c>
      <c r="D75" s="591"/>
      <c r="E75" s="536"/>
      <c r="F75" s="594"/>
      <c r="J75" s="271"/>
      <c r="K75" s="271"/>
      <c r="L75" s="271"/>
      <c r="M75" s="271"/>
      <c r="N75" s="271"/>
      <c r="O75" s="271"/>
      <c r="P75" s="468"/>
      <c r="R75" s="685"/>
      <c r="S75" s="685"/>
      <c r="T75" s="685"/>
      <c r="U75" s="271"/>
    </row>
    <row r="76" spans="2:29" s="1" customFormat="1" ht="47.1" hidden="1" customHeight="1" thickTop="1" thickBot="1" x14ac:dyDescent="0.45">
      <c r="C76" s="522" t="s">
        <v>379</v>
      </c>
      <c r="D76" s="523"/>
      <c r="E76" s="557"/>
      <c r="F76" s="595"/>
      <c r="G76" s="467"/>
      <c r="H76" s="467"/>
      <c r="I76" s="3"/>
      <c r="J76" s="581"/>
      <c r="K76"/>
      <c r="L76"/>
      <c r="M76"/>
      <c r="N76"/>
      <c r="O76" s="392"/>
      <c r="P76" s="2"/>
      <c r="R76" s="686"/>
      <c r="S76" s="686"/>
      <c r="T76" s="686"/>
      <c r="U76"/>
    </row>
    <row r="77" spans="2:29" s="1" customFormat="1" ht="23.25" x14ac:dyDescent="0.3">
      <c r="G77" s="470"/>
      <c r="H77" s="467"/>
      <c r="J77"/>
      <c r="K77"/>
      <c r="L77"/>
      <c r="M77"/>
      <c r="N77"/>
      <c r="O77" s="392"/>
      <c r="P77" s="2"/>
      <c r="R77" s="686"/>
      <c r="S77" s="686"/>
      <c r="T77" s="686"/>
      <c r="U77"/>
    </row>
    <row r="78" spans="2:29" s="478" customFormat="1" ht="24.75" customHeight="1" x14ac:dyDescent="0.35">
      <c r="B78" s="489"/>
      <c r="C78" s="469" t="s">
        <v>849</v>
      </c>
      <c r="D78" s="470">
        <v>151375</v>
      </c>
      <c r="E78" s="1010" t="s">
        <v>388</v>
      </c>
      <c r="F78" s="1010"/>
      <c r="G78" s="470">
        <f>D78-G62</f>
        <v>151375</v>
      </c>
      <c r="H78" s="469" t="s">
        <v>327</v>
      </c>
      <c r="I78" s="471">
        <f>G62/D78</f>
        <v>0</v>
      </c>
      <c r="J78" s="472">
        <v>0</v>
      </c>
      <c r="K78" s="473"/>
      <c r="L78" s="473"/>
      <c r="M78" s="473"/>
      <c r="N78" s="473"/>
      <c r="O78" s="473"/>
      <c r="P78" s="490"/>
      <c r="Q78" s="491"/>
      <c r="R78" s="492"/>
      <c r="S78" s="493"/>
      <c r="T78" s="493"/>
      <c r="U78" s="494" t="s">
        <v>48</v>
      </c>
    </row>
    <row r="79" spans="2:29" s="478" customFormat="1" ht="23.25" x14ac:dyDescent="0.35">
      <c r="B79" s="489"/>
      <c r="C79" s="469" t="s">
        <v>37</v>
      </c>
      <c r="D79" s="470">
        <f>January_26!D107+February_26!D64+March_26!D62+April_26!D60+May_26!D64+June_26!D57+July_26!D78+August_26!D72+'September_26 '!D75+October_26!D77+November_26!D73+December_26!D78</f>
        <v>1505800</v>
      </c>
      <c r="E79" s="1010" t="s">
        <v>36</v>
      </c>
      <c r="F79" s="1010"/>
      <c r="G79" s="470">
        <f>November_26!G74+G62</f>
        <v>1009764</v>
      </c>
      <c r="H79" s="815" t="s">
        <v>326</v>
      </c>
      <c r="I79" s="817">
        <v>0</v>
      </c>
      <c r="J79" s="472"/>
      <c r="K79" s="473">
        <v>0</v>
      </c>
      <c r="L79" s="473"/>
      <c r="M79" s="473"/>
      <c r="N79" s="473"/>
      <c r="O79" s="473"/>
      <c r="P79" s="490"/>
      <c r="Q79" s="491"/>
      <c r="R79" s="492"/>
      <c r="S79" s="493"/>
      <c r="T79" s="493"/>
      <c r="U79" s="494"/>
    </row>
    <row r="80" spans="2:29" ht="24" thickBot="1" x14ac:dyDescent="0.4">
      <c r="C80" s="475"/>
      <c r="D80" s="470"/>
      <c r="E80" s="1010"/>
      <c r="F80" s="1010"/>
      <c r="G80" s="470"/>
      <c r="H80" s="476"/>
      <c r="I80" s="476"/>
      <c r="J80" s="477"/>
      <c r="K80" s="478"/>
      <c r="P80"/>
      <c r="U80" s="17"/>
    </row>
    <row r="81" spans="2:26" ht="129" thickTop="1" thickBot="1" x14ac:dyDescent="0.25">
      <c r="B81" s="7"/>
      <c r="C81" s="495" t="s">
        <v>19</v>
      </c>
      <c r="D81" s="496" t="s">
        <v>14</v>
      </c>
      <c r="E81" s="496" t="s">
        <v>23</v>
      </c>
      <c r="F81" s="496" t="s">
        <v>24</v>
      </c>
      <c r="G81" s="497" t="s">
        <v>15</v>
      </c>
      <c r="H81" s="496" t="s">
        <v>17</v>
      </c>
      <c r="I81" s="496" t="s">
        <v>16</v>
      </c>
      <c r="J81" s="498" t="s">
        <v>600</v>
      </c>
      <c r="K81" s="499" t="s">
        <v>599</v>
      </c>
      <c r="L81" s="473"/>
      <c r="M81" s="535"/>
      <c r="P81" s="459"/>
      <c r="Q81" s="537" t="s">
        <v>325</v>
      </c>
      <c r="R81" s="538" t="s">
        <v>467</v>
      </c>
      <c r="S81" s="539" t="s">
        <v>324</v>
      </c>
      <c r="T81" s="524" t="s">
        <v>576</v>
      </c>
    </row>
    <row r="82" spans="2:26" ht="36" customHeight="1" thickBot="1" x14ac:dyDescent="0.45">
      <c r="B82" s="8"/>
      <c r="C82" s="500">
        <v>1</v>
      </c>
      <c r="D82" s="501" t="s">
        <v>20</v>
      </c>
      <c r="E82" s="502"/>
      <c r="F82" s="502"/>
      <c r="G82" s="502"/>
      <c r="H82" s="502"/>
      <c r="I82" s="552" t="e">
        <f>(G82-H82)/G82</f>
        <v>#DIV/0!</v>
      </c>
      <c r="J82" s="543" t="e">
        <f t="shared" ref="J82:J88" si="1">(E82)*24/(F82/60)/17000</f>
        <v>#DIV/0!</v>
      </c>
      <c r="K82" s="544" t="e">
        <f>AVERAGE(January_26!K111,February_26!J68,March_26!J66,April_26!J67,May_26!J68,June_26!J61,July_26!J82,,August_26!J76,J82)</f>
        <v>#DIV/0!</v>
      </c>
      <c r="L82" s="473"/>
      <c r="P82"/>
      <c r="Q82" s="540">
        <f>S94</f>
        <v>1.8939536839923013E-2</v>
      </c>
      <c r="R82" s="558" t="e">
        <f>(((January_26!R103*January_26!G103))+(February_26!R60*(February_26!G60))+(March_26!R58*(March_26!G58))+(April_26!R57*(April_26!$G$57))+(May_26!R59*(May_26!G59))+(June_26!R52*(June_26!G52))+(July_26!R61*(July_26!G61))+(August_26!R56*(August_26!G56))+('September_26 '!R59*('September_26 '!G59))+(October_26!R61*(October_26!G61))+(November_26!R57*(November_26!G57))+(R62*(G62)))/G79</f>
        <v>#DIV/0!</v>
      </c>
      <c r="S82" s="541">
        <f>S93</f>
        <v>0.5124618083725887</v>
      </c>
      <c r="T82" s="542" t="e">
        <f>AVERAGE(January_26!T103,February_26!T60,March_26!T58,April_26!T57,May_26!T59,June_26!T52,July_26!T61,August_26!T56,'September_26 '!T59,T62)</f>
        <v>#DIV/0!</v>
      </c>
    </row>
    <row r="83" spans="2:26" s="1" customFormat="1" ht="27.75" x14ac:dyDescent="0.4">
      <c r="B83" s="8"/>
      <c r="C83" s="505">
        <v>2</v>
      </c>
      <c r="D83" s="506" t="s">
        <v>21</v>
      </c>
      <c r="E83" s="502"/>
      <c r="F83" s="502"/>
      <c r="G83" s="502"/>
      <c r="H83" s="502"/>
      <c r="I83" s="552" t="e">
        <f t="shared" ref="I83:I88" si="2">(G83-H83)/G83</f>
        <v>#DIV/0!</v>
      </c>
      <c r="J83" s="543" t="e">
        <f t="shared" si="1"/>
        <v>#DIV/0!</v>
      </c>
      <c r="K83" s="544" t="e">
        <f>AVERAGE(January_26!K112,February_26!J69,March_26!J67,April_26!J68,May_26!J69,June_26!J62,July_26!J83,,August_26!J77,J83)</f>
        <v>#DIV/0!</v>
      </c>
      <c r="L83" s="473"/>
      <c r="M83"/>
      <c r="N83" s="461"/>
      <c r="O83" s="392"/>
      <c r="P83" s="2"/>
      <c r="R83" s="686"/>
      <c r="S83" s="686"/>
      <c r="T83" s="686"/>
      <c r="U83"/>
      <c r="Z83"/>
    </row>
    <row r="84" spans="2:26" s="1" customFormat="1" ht="27.75" x14ac:dyDescent="0.4">
      <c r="B84" s="8"/>
      <c r="C84" s="500">
        <v>3</v>
      </c>
      <c r="D84" s="506" t="s">
        <v>846</v>
      </c>
      <c r="E84" s="502"/>
      <c r="F84" s="502"/>
      <c r="G84" s="502"/>
      <c r="H84" s="502"/>
      <c r="I84" s="552" t="e">
        <f t="shared" si="2"/>
        <v>#DIV/0!</v>
      </c>
      <c r="J84" s="543" t="e">
        <f t="shared" si="1"/>
        <v>#DIV/0!</v>
      </c>
      <c r="K84" s="544" t="e">
        <f>AVERAGE(January_26!K113,February_26!J70,March_26!J68,April_26!J69,May_26!J70,June_26!J63,July_26!J84,,August_26!J78,J84)</f>
        <v>#DIV/0!</v>
      </c>
      <c r="L84" s="473"/>
      <c r="M84"/>
      <c r="N84"/>
      <c r="O84" s="392"/>
      <c r="P84" s="2"/>
      <c r="R84" s="686"/>
      <c r="S84" s="686"/>
      <c r="T84" s="686"/>
      <c r="U84"/>
      <c r="Z84"/>
    </row>
    <row r="85" spans="2:26" s="1" customFormat="1" ht="27.75" x14ac:dyDescent="0.4">
      <c r="B85" s="8"/>
      <c r="C85" s="505">
        <v>4</v>
      </c>
      <c r="D85" s="506" t="s">
        <v>18</v>
      </c>
      <c r="E85" s="510"/>
      <c r="F85" s="510"/>
      <c r="G85" s="510"/>
      <c r="H85" s="510"/>
      <c r="I85" s="552" t="e">
        <f t="shared" si="2"/>
        <v>#DIV/0!</v>
      </c>
      <c r="J85" s="543" t="e">
        <f t="shared" si="1"/>
        <v>#DIV/0!</v>
      </c>
      <c r="K85" s="544" t="e">
        <f>AVERAGE(January_26!K114,February_26!J71,March_26!J69,April_26!J70,May_26!J71,June_26!J64,July_26!J85,,August_26!J79,J85)</f>
        <v>#DIV/0!</v>
      </c>
      <c r="L85" s="473"/>
      <c r="M85"/>
      <c r="N85"/>
      <c r="O85" s="392"/>
      <c r="P85" s="2"/>
      <c r="Q85" s="159"/>
      <c r="R85" s="687"/>
      <c r="S85" s="691"/>
      <c r="T85" s="691"/>
      <c r="U85"/>
    </row>
    <row r="86" spans="2:26" s="1" customFormat="1" ht="27.75" x14ac:dyDescent="0.4">
      <c r="B86" s="8"/>
      <c r="C86" s="500">
        <v>5</v>
      </c>
      <c r="D86" s="509" t="s">
        <v>26</v>
      </c>
      <c r="E86" s="510"/>
      <c r="F86" s="510"/>
      <c r="G86" s="510"/>
      <c r="H86" s="510"/>
      <c r="I86" s="552" t="e">
        <f t="shared" si="2"/>
        <v>#DIV/0!</v>
      </c>
      <c r="J86" s="543" t="e">
        <f t="shared" si="1"/>
        <v>#DIV/0!</v>
      </c>
      <c r="K86" s="544" t="e">
        <f>AVERAGE(January_26!K115,February_26!J72,March_26!J70,April_26!J71,May_26!J72,June_26!J65,July_26!J86,,August_26!J80,J86)</f>
        <v>#DIV/0!</v>
      </c>
      <c r="L86" s="473"/>
      <c r="M86"/>
      <c r="O86" s="392"/>
      <c r="P86" s="2"/>
      <c r="Q86" s="159"/>
      <c r="R86" s="686"/>
      <c r="S86" s="692"/>
      <c r="T86" s="692"/>
      <c r="U86"/>
    </row>
    <row r="87" spans="2:26" s="1" customFormat="1" ht="27.75" x14ac:dyDescent="0.4">
      <c r="B87" s="8"/>
      <c r="C87" s="505">
        <v>6</v>
      </c>
      <c r="D87" s="506" t="s">
        <v>25</v>
      </c>
      <c r="E87" s="510"/>
      <c r="F87" s="510"/>
      <c r="G87" s="510"/>
      <c r="H87" s="510"/>
      <c r="I87" s="552" t="e">
        <f t="shared" si="2"/>
        <v>#DIV/0!</v>
      </c>
      <c r="J87" s="543" t="e">
        <f t="shared" si="1"/>
        <v>#DIV/0!</v>
      </c>
      <c r="K87" s="544" t="e">
        <f>AVERAGE(January_26!K116,February_26!J73,March_26!J71,April_26!J72,May_26!J73,June_26!J66,July_26!J87,,August_26!J81,J87)</f>
        <v>#DIV/0!</v>
      </c>
      <c r="L87" s="473"/>
      <c r="M87"/>
      <c r="N87"/>
      <c r="O87" s="392"/>
      <c r="P87" s="2"/>
      <c r="Q87" s="159"/>
      <c r="R87" s="711"/>
      <c r="S87" s="712"/>
      <c r="T87" s="686"/>
      <c r="U87"/>
    </row>
    <row r="88" spans="2:26" s="1" customFormat="1" ht="28.5" thickBot="1" x14ac:dyDescent="0.45">
      <c r="B88" s="8"/>
      <c r="C88" s="526">
        <v>7</v>
      </c>
      <c r="D88" s="509" t="s">
        <v>847</v>
      </c>
      <c r="E88" s="510"/>
      <c r="F88" s="510"/>
      <c r="G88" s="510"/>
      <c r="H88" s="510"/>
      <c r="I88" s="552" t="e">
        <f t="shared" si="2"/>
        <v>#DIV/0!</v>
      </c>
      <c r="J88" s="543" t="e">
        <f t="shared" si="1"/>
        <v>#DIV/0!</v>
      </c>
      <c r="K88" s="544" t="e">
        <f>AVERAGE(January_26!K117,February_26!J74,March_26!J72,April_26!J73,May_26!J74,June_26!J67,July_26!J88,,August_26!J82,J88)</f>
        <v>#DIV/0!</v>
      </c>
      <c r="L88" s="473"/>
      <c r="M88"/>
      <c r="N88"/>
      <c r="O88" s="392"/>
      <c r="P88" s="2"/>
      <c r="Q88" s="159"/>
      <c r="R88" s="711"/>
      <c r="S88" s="712"/>
      <c r="T88" s="686"/>
      <c r="U88"/>
    </row>
    <row r="89" spans="2:26" s="1" customFormat="1" ht="28.5" thickBot="1" x14ac:dyDescent="0.45">
      <c r="C89" s="511"/>
      <c r="D89" s="512" t="s">
        <v>22</v>
      </c>
      <c r="E89" s="513">
        <f>SUM(E82:E88)</f>
        <v>0</v>
      </c>
      <c r="F89" s="513">
        <f>SUM(F82:F88)</f>
        <v>0</v>
      </c>
      <c r="G89" s="513">
        <f>SUM(G82:G88)</f>
        <v>0</v>
      </c>
      <c r="H89" s="513">
        <f>SUM(H82:H88)</f>
        <v>0</v>
      </c>
      <c r="I89" s="551" t="e">
        <f>((G89)-(H89))/(G89)</f>
        <v>#DIV/0!</v>
      </c>
      <c r="J89" s="514" t="e">
        <f>E89*24/((F89)/60)/17000</f>
        <v>#DIV/0!</v>
      </c>
      <c r="K89" s="515">
        <f>S82</f>
        <v>0.5124618083725887</v>
      </c>
      <c r="L89" s="473"/>
      <c r="M89"/>
      <c r="N89"/>
      <c r="O89" s="392"/>
      <c r="P89" s="139" t="s">
        <v>845</v>
      </c>
      <c r="Q89" s="159"/>
      <c r="R89" s="686"/>
      <c r="S89" s="711"/>
      <c r="T89" s="686"/>
      <c r="U89"/>
    </row>
    <row r="90" spans="2:26" s="1" customFormat="1" ht="24" thickTop="1" x14ac:dyDescent="0.35">
      <c r="C90" s="479"/>
      <c r="D90" s="469"/>
      <c r="E90" s="480"/>
      <c r="F90" s="481"/>
      <c r="G90" s="482"/>
      <c r="H90" s="482"/>
      <c r="I90" s="483"/>
      <c r="J90" s="483"/>
      <c r="K90" s="483"/>
      <c r="L90" s="473"/>
      <c r="M90"/>
      <c r="N90"/>
      <c r="O90" s="392"/>
      <c r="P90" s="139"/>
      <c r="Q90" s="159"/>
      <c r="R90" s="686"/>
      <c r="S90" s="686"/>
      <c r="T90" s="686"/>
      <c r="U90"/>
      <c r="V90" s="316"/>
      <c r="W90" s="317"/>
      <c r="X90" s="317"/>
      <c r="Y90" s="317"/>
    </row>
    <row r="91" spans="2:26" s="1" customFormat="1" ht="12.75" customHeight="1" thickBot="1" x14ac:dyDescent="0.25">
      <c r="J91"/>
      <c r="K91"/>
      <c r="L91"/>
      <c r="M91"/>
      <c r="N91"/>
      <c r="O91" s="392"/>
      <c r="P91" s="2"/>
      <c r="R91" s="686"/>
      <c r="S91" s="686"/>
      <c r="T91" s="686"/>
      <c r="U91" s="9"/>
    </row>
    <row r="92" spans="2:26" s="1" customFormat="1" ht="27.75" customHeight="1" thickBot="1" x14ac:dyDescent="0.3">
      <c r="C92" s="528"/>
      <c r="D92" s="528"/>
      <c r="E92" s="528"/>
      <c r="F92" s="528"/>
      <c r="G92" s="528"/>
      <c r="H92" s="528"/>
      <c r="I92" s="528"/>
      <c r="J92" s="529"/>
      <c r="K92" s="529"/>
      <c r="L92" s="529"/>
      <c r="M92" s="529"/>
      <c r="N92" s="529"/>
      <c r="O92" s="570"/>
      <c r="P92" s="571"/>
      <c r="Q92" s="572"/>
      <c r="R92" s="693"/>
      <c r="S92" s="574">
        <f>($P$93)*24/($Q$93/60)/17000</f>
        <v>0.5124618083725887</v>
      </c>
      <c r="T92" s="693"/>
      <c r="U92" s="9"/>
    </row>
    <row r="93" spans="2:26" s="1" customFormat="1" ht="21" customHeight="1" thickTop="1" thickBot="1" x14ac:dyDescent="0.3">
      <c r="C93" s="528"/>
      <c r="D93" s="528"/>
      <c r="E93" s="528"/>
      <c r="F93" s="528"/>
      <c r="G93" s="528"/>
      <c r="H93" s="528"/>
      <c r="I93" s="528"/>
      <c r="J93" s="529"/>
      <c r="K93" s="529"/>
      <c r="L93" s="529"/>
      <c r="M93" s="529"/>
      <c r="N93" s="529"/>
      <c r="O93" s="570"/>
      <c r="P93" s="571">
        <f>G79</f>
        <v>1009764</v>
      </c>
      <c r="Q93" s="576">
        <f>November_26!K57+October_26!K61+'September_26 '!K59+August_26!K56+July_26!K61+June_26!K52+May_26!K59+April_26!K57+March_26!K58+February_26!K60+January_26!K103+K62</f>
        <v>166906</v>
      </c>
      <c r="R93" s="693"/>
      <c r="S93" s="574">
        <f>($P$93)*24/($Q$93/60)/17000</f>
        <v>0.5124618083725887</v>
      </c>
      <c r="T93" s="693"/>
      <c r="U93" s="9"/>
    </row>
    <row r="94" spans="2:26" s="1" customFormat="1" ht="21" customHeight="1" thickTop="1" thickBot="1" x14ac:dyDescent="0.3">
      <c r="C94" s="528"/>
      <c r="D94" s="528"/>
      <c r="E94" s="528"/>
      <c r="F94" s="528"/>
      <c r="G94" s="528"/>
      <c r="H94" s="528"/>
      <c r="I94" s="528"/>
      <c r="J94" s="529"/>
      <c r="K94" s="529"/>
      <c r="L94" s="529"/>
      <c r="M94" s="529"/>
      <c r="N94" s="529"/>
      <c r="O94" s="570"/>
      <c r="P94" s="571">
        <f>November_26!F57+October_26!F61+'September_26 '!F59+August_26!F56+July_26!F61+June_26!F52+May_26!F59+April_26!F57+March_26!F58+February_26!F60+January_26!F103+F62</f>
        <v>68381.959440000006</v>
      </c>
      <c r="Q94" s="577">
        <f>November_26!H57+October_26!H61+'September_26 '!H59+August_26!H56+July_26!H61+June_26!H52+May_26!H59+April_26!H57+March_26!H58+February_26!H60+January_26!H103+H62</f>
        <v>67086.836800000005</v>
      </c>
      <c r="R94" s="693"/>
      <c r="S94" s="713">
        <f>(P94-Q94)/P94</f>
        <v>1.8939536839923013E-2</v>
      </c>
      <c r="T94" s="694"/>
      <c r="U94" s="9"/>
    </row>
    <row r="95" spans="2:26" s="1" customFormat="1" ht="13.5" customHeight="1" thickTop="1" x14ac:dyDescent="0.25">
      <c r="C95" s="528"/>
      <c r="D95" s="528"/>
      <c r="E95" s="528"/>
      <c r="F95" s="528"/>
      <c r="G95" s="528"/>
      <c r="H95" s="528"/>
      <c r="I95" s="528"/>
      <c r="J95" s="529"/>
      <c r="K95" s="529"/>
      <c r="L95" s="529"/>
      <c r="M95" s="529"/>
      <c r="N95" s="529"/>
      <c r="O95" s="570"/>
      <c r="P95" s="571"/>
      <c r="Q95" s="572"/>
      <c r="R95" s="693"/>
      <c r="S95" s="693"/>
      <c r="T95" s="693"/>
      <c r="U95" s="9"/>
    </row>
    <row r="96" spans="2:26" s="1" customFormat="1" x14ac:dyDescent="0.2">
      <c r="J96"/>
      <c r="K96"/>
      <c r="L96"/>
      <c r="M96"/>
      <c r="N96"/>
      <c r="O96" s="392"/>
      <c r="P96" s="2"/>
      <c r="R96" s="686"/>
      <c r="S96" s="686"/>
      <c r="T96" s="686"/>
      <c r="U96"/>
    </row>
    <row r="97" spans="10:21" s="1" customFormat="1" x14ac:dyDescent="0.2">
      <c r="J97"/>
      <c r="K97"/>
      <c r="L97"/>
      <c r="M97"/>
      <c r="N97"/>
      <c r="O97" s="392"/>
      <c r="P97" s="2"/>
      <c r="R97" s="686"/>
      <c r="S97" s="686"/>
      <c r="T97" s="686"/>
      <c r="U97"/>
    </row>
    <row r="98" spans="10:21" s="1" customFormat="1" x14ac:dyDescent="0.2">
      <c r="J98"/>
      <c r="K98"/>
      <c r="L98"/>
      <c r="M98"/>
      <c r="N98"/>
      <c r="O98" s="392"/>
      <c r="P98" s="2"/>
      <c r="R98" s="686"/>
      <c r="S98" s="686"/>
      <c r="T98" s="686"/>
      <c r="U98"/>
    </row>
    <row r="99" spans="10:21" s="1" customFormat="1" x14ac:dyDescent="0.2">
      <c r="J99"/>
      <c r="K99"/>
      <c r="L99"/>
      <c r="M99"/>
      <c r="N99"/>
      <c r="O99" s="392"/>
      <c r="P99" s="2"/>
      <c r="R99" s="686"/>
      <c r="S99" s="686"/>
      <c r="T99" s="686"/>
      <c r="U99"/>
    </row>
    <row r="100" spans="10:21" s="1" customFormat="1" x14ac:dyDescent="0.2">
      <c r="J100"/>
      <c r="K100"/>
      <c r="L100"/>
      <c r="M100"/>
      <c r="N100"/>
      <c r="O100" s="392"/>
      <c r="P100" s="2"/>
      <c r="R100" s="686"/>
      <c r="S100" s="686"/>
      <c r="T100" s="686"/>
      <c r="U100"/>
    </row>
    <row r="101" spans="10:21" s="1" customFormat="1" x14ac:dyDescent="0.2">
      <c r="J101"/>
      <c r="K101"/>
      <c r="L101"/>
      <c r="M101"/>
      <c r="N101"/>
      <c r="O101" s="392"/>
      <c r="P101" s="2"/>
      <c r="R101" s="686"/>
      <c r="S101" s="686"/>
      <c r="T101" s="686"/>
      <c r="U101"/>
    </row>
    <row r="102" spans="10:21" s="1" customFormat="1" x14ac:dyDescent="0.2">
      <c r="J102"/>
      <c r="K102"/>
      <c r="L102"/>
      <c r="M102"/>
      <c r="N102"/>
      <c r="O102" s="392"/>
      <c r="P102" s="2"/>
      <c r="R102" s="686"/>
      <c r="S102" s="686"/>
      <c r="T102" s="686"/>
      <c r="U102"/>
    </row>
    <row r="103" spans="10:21" s="1" customFormat="1" x14ac:dyDescent="0.2">
      <c r="J103"/>
      <c r="K103"/>
      <c r="L103"/>
      <c r="M103"/>
      <c r="N103"/>
      <c r="O103" s="392"/>
      <c r="P103" s="2"/>
      <c r="R103" s="686"/>
      <c r="S103" s="686"/>
      <c r="T103" s="686"/>
      <c r="U103"/>
    </row>
    <row r="104" spans="10:21" s="1" customFormat="1" x14ac:dyDescent="0.2">
      <c r="J104"/>
      <c r="K104"/>
      <c r="L104"/>
      <c r="M104"/>
      <c r="N104"/>
      <c r="O104" s="392"/>
      <c r="P104" s="2"/>
      <c r="R104" s="686"/>
      <c r="S104" s="686"/>
      <c r="T104" s="686"/>
      <c r="U104"/>
    </row>
    <row r="105" spans="10:21" s="1" customFormat="1" x14ac:dyDescent="0.2">
      <c r="J105"/>
      <c r="K105"/>
      <c r="L105"/>
      <c r="M105"/>
      <c r="N105"/>
      <c r="O105" s="392"/>
      <c r="P105" s="2"/>
      <c r="R105" s="686"/>
      <c r="S105" s="686"/>
      <c r="T105" s="686"/>
      <c r="U105"/>
    </row>
    <row r="106" spans="10:21" s="1" customFormat="1" x14ac:dyDescent="0.2">
      <c r="J106"/>
      <c r="K106"/>
      <c r="L106"/>
      <c r="M106"/>
      <c r="N106"/>
      <c r="O106" s="392"/>
      <c r="P106" s="2"/>
      <c r="R106" s="686"/>
      <c r="S106" s="686"/>
      <c r="T106" s="686"/>
      <c r="U106"/>
    </row>
    <row r="107" spans="10:21" s="1" customFormat="1" x14ac:dyDescent="0.2">
      <c r="J107"/>
      <c r="K107"/>
      <c r="L107"/>
      <c r="M107"/>
      <c r="N107"/>
      <c r="O107" s="392"/>
      <c r="P107" s="2"/>
      <c r="R107" s="686"/>
      <c r="S107" s="686"/>
      <c r="T107" s="686"/>
      <c r="U107"/>
    </row>
    <row r="108" spans="10:21" s="1" customFormat="1" x14ac:dyDescent="0.2">
      <c r="J108"/>
      <c r="K108"/>
      <c r="L108"/>
      <c r="M108"/>
      <c r="N108"/>
      <c r="O108" s="392"/>
      <c r="P108" s="2"/>
      <c r="R108" s="686"/>
      <c r="S108" s="686"/>
      <c r="T108" s="686"/>
      <c r="U108"/>
    </row>
    <row r="109" spans="10:21" s="1" customFormat="1" x14ac:dyDescent="0.2">
      <c r="J109"/>
      <c r="K109"/>
      <c r="L109"/>
      <c r="M109"/>
      <c r="N109"/>
      <c r="O109" s="392"/>
      <c r="P109" s="2"/>
      <c r="R109" s="686"/>
      <c r="S109" s="686"/>
      <c r="T109" s="686"/>
      <c r="U109"/>
    </row>
    <row r="110" spans="10:21" s="1" customFormat="1" x14ac:dyDescent="0.2">
      <c r="J110"/>
      <c r="K110"/>
      <c r="L110"/>
      <c r="M110"/>
      <c r="N110"/>
      <c r="O110" s="392"/>
      <c r="P110" s="2"/>
      <c r="R110" s="686"/>
      <c r="S110" s="686"/>
      <c r="T110" s="686"/>
      <c r="U110"/>
    </row>
    <row r="111" spans="10:21" s="1" customFormat="1" x14ac:dyDescent="0.2">
      <c r="J111"/>
      <c r="K111"/>
      <c r="L111"/>
      <c r="M111"/>
      <c r="N111"/>
      <c r="O111" s="392"/>
      <c r="P111" s="2"/>
      <c r="R111" s="686"/>
      <c r="S111" s="686"/>
      <c r="T111" s="686"/>
      <c r="U111"/>
    </row>
    <row r="112" spans="10:21" s="1" customFormat="1" x14ac:dyDescent="0.2">
      <c r="J112"/>
      <c r="K112"/>
      <c r="L112"/>
      <c r="M112"/>
      <c r="N112"/>
      <c r="O112" s="392"/>
      <c r="P112" s="2"/>
      <c r="R112" s="686"/>
      <c r="S112" s="686"/>
      <c r="T112" s="686"/>
      <c r="U112"/>
    </row>
    <row r="113" spans="10:21" s="1" customFormat="1" x14ac:dyDescent="0.2">
      <c r="J113"/>
      <c r="K113"/>
      <c r="L113"/>
      <c r="M113"/>
      <c r="N113"/>
      <c r="O113" s="392"/>
      <c r="P113" s="2"/>
      <c r="R113" s="686"/>
      <c r="S113" s="686"/>
      <c r="T113" s="686"/>
      <c r="U113"/>
    </row>
    <row r="114" spans="10:21" s="1" customFormat="1" x14ac:dyDescent="0.2">
      <c r="J114"/>
      <c r="K114"/>
      <c r="L114"/>
      <c r="M114"/>
      <c r="N114"/>
      <c r="O114" s="392"/>
      <c r="P114" s="2"/>
      <c r="R114" s="686"/>
      <c r="S114" s="686"/>
      <c r="T114" s="686"/>
      <c r="U114"/>
    </row>
    <row r="115" spans="10:21" s="1" customFormat="1" x14ac:dyDescent="0.2">
      <c r="J115"/>
      <c r="K115"/>
      <c r="L115"/>
      <c r="M115"/>
      <c r="N115"/>
      <c r="O115" s="392"/>
      <c r="P115" s="2"/>
      <c r="R115" s="686"/>
      <c r="S115" s="686"/>
      <c r="T115" s="686"/>
      <c r="U115"/>
    </row>
    <row r="116" spans="10:21" s="1" customFormat="1" x14ac:dyDescent="0.2">
      <c r="J116"/>
      <c r="K116"/>
      <c r="L116"/>
      <c r="M116"/>
      <c r="N116"/>
      <c r="O116" s="392"/>
      <c r="P116" s="2"/>
      <c r="R116" s="686"/>
      <c r="S116" s="686"/>
      <c r="T116" s="686"/>
      <c r="U116"/>
    </row>
    <row r="117" spans="10:21" s="1" customFormat="1" x14ac:dyDescent="0.2">
      <c r="J117"/>
      <c r="K117"/>
      <c r="L117"/>
      <c r="M117"/>
      <c r="N117"/>
      <c r="O117" s="392"/>
      <c r="P117" s="2"/>
      <c r="R117" s="686"/>
      <c r="S117" s="686"/>
      <c r="T117" s="686"/>
      <c r="U117"/>
    </row>
    <row r="118" spans="10:21" s="1" customFormat="1" x14ac:dyDescent="0.2">
      <c r="J118"/>
      <c r="K118"/>
      <c r="L118"/>
      <c r="M118"/>
      <c r="N118"/>
      <c r="O118" s="392"/>
      <c r="P118" s="2"/>
      <c r="R118" s="686"/>
      <c r="S118" s="686"/>
      <c r="T118" s="686"/>
      <c r="U118"/>
    </row>
    <row r="119" spans="10:21" s="1" customFormat="1" x14ac:dyDescent="0.2">
      <c r="J119"/>
      <c r="K119"/>
      <c r="L119"/>
      <c r="M119"/>
      <c r="N119"/>
      <c r="O119" s="392"/>
      <c r="P119" s="2"/>
      <c r="R119" s="686"/>
      <c r="S119" s="686"/>
      <c r="T119" s="686"/>
      <c r="U119"/>
    </row>
    <row r="120" spans="10:21" s="1" customFormat="1" x14ac:dyDescent="0.2">
      <c r="J120"/>
      <c r="K120"/>
      <c r="L120"/>
      <c r="M120"/>
      <c r="N120"/>
      <c r="O120" s="392"/>
      <c r="P120" s="2"/>
      <c r="R120" s="686"/>
      <c r="S120" s="686"/>
      <c r="T120" s="686"/>
      <c r="U120"/>
    </row>
    <row r="121" spans="10:21" s="1" customFormat="1" x14ac:dyDescent="0.2">
      <c r="J121"/>
      <c r="K121"/>
      <c r="L121"/>
      <c r="M121"/>
      <c r="N121"/>
      <c r="O121" s="392"/>
      <c r="P121" s="2"/>
      <c r="R121" s="686"/>
      <c r="S121" s="686"/>
      <c r="T121" s="686"/>
      <c r="U121"/>
    </row>
    <row r="122" spans="10:21" s="1" customFormat="1" x14ac:dyDescent="0.2">
      <c r="J122"/>
      <c r="K122"/>
      <c r="L122"/>
      <c r="M122"/>
      <c r="N122"/>
      <c r="O122" s="392"/>
      <c r="P122" s="2"/>
      <c r="R122" s="686"/>
      <c r="S122" s="686"/>
      <c r="T122" s="686"/>
      <c r="U122"/>
    </row>
    <row r="123" spans="10:21" s="1" customFormat="1" x14ac:dyDescent="0.2">
      <c r="J123"/>
      <c r="K123"/>
      <c r="L123"/>
      <c r="M123"/>
      <c r="N123"/>
      <c r="O123" s="392"/>
      <c r="P123" s="2"/>
      <c r="R123" s="686"/>
      <c r="S123" s="686"/>
      <c r="T123" s="686"/>
      <c r="U123"/>
    </row>
    <row r="124" spans="10:21" s="1" customFormat="1" x14ac:dyDescent="0.2">
      <c r="J124"/>
      <c r="K124"/>
      <c r="L124"/>
      <c r="M124"/>
      <c r="N124"/>
      <c r="O124" s="392"/>
      <c r="P124" s="2"/>
      <c r="R124" s="686"/>
      <c r="S124" s="686"/>
      <c r="T124" s="686"/>
      <c r="U124"/>
    </row>
    <row r="125" spans="10:21" s="1" customFormat="1" x14ac:dyDescent="0.2">
      <c r="J125"/>
      <c r="K125"/>
      <c r="L125"/>
      <c r="M125"/>
      <c r="N125"/>
      <c r="O125" s="392"/>
      <c r="P125" s="2"/>
      <c r="R125" s="686"/>
      <c r="S125" s="686"/>
      <c r="T125" s="686"/>
      <c r="U125"/>
    </row>
    <row r="126" spans="10:21" s="1" customFormat="1" x14ac:dyDescent="0.2">
      <c r="J126"/>
      <c r="K126"/>
      <c r="L126"/>
      <c r="M126"/>
      <c r="N126"/>
      <c r="O126" s="392"/>
      <c r="P126" s="2"/>
      <c r="R126" s="686"/>
      <c r="S126" s="686"/>
      <c r="T126" s="686"/>
      <c r="U126"/>
    </row>
    <row r="127" spans="10:21" s="1" customFormat="1" x14ac:dyDescent="0.2">
      <c r="J127"/>
      <c r="K127"/>
      <c r="L127"/>
      <c r="M127"/>
      <c r="N127"/>
      <c r="O127" s="392"/>
      <c r="P127" s="2"/>
      <c r="R127" s="686"/>
      <c r="S127" s="686"/>
      <c r="T127" s="686"/>
      <c r="U127"/>
    </row>
    <row r="128" spans="10:21" s="1" customFormat="1" x14ac:dyDescent="0.2">
      <c r="J128"/>
      <c r="K128"/>
      <c r="L128"/>
      <c r="M128"/>
      <c r="N128"/>
      <c r="O128" s="392"/>
      <c r="P128" s="2"/>
      <c r="R128" s="686"/>
      <c r="S128" s="686"/>
      <c r="T128" s="686"/>
      <c r="U128"/>
    </row>
    <row r="129" spans="10:21" s="1" customFormat="1" x14ac:dyDescent="0.2">
      <c r="J129"/>
      <c r="K129"/>
      <c r="L129"/>
      <c r="M129"/>
      <c r="N129"/>
      <c r="O129" s="392"/>
      <c r="P129" s="2"/>
      <c r="R129" s="686"/>
      <c r="S129" s="686"/>
      <c r="T129" s="686"/>
      <c r="U129"/>
    </row>
    <row r="130" spans="10:21" s="1" customFormat="1" x14ac:dyDescent="0.2">
      <c r="J130"/>
      <c r="K130"/>
      <c r="L130"/>
      <c r="M130"/>
      <c r="N130"/>
      <c r="O130" s="392"/>
      <c r="P130" s="2"/>
      <c r="R130" s="686"/>
      <c r="S130" s="686"/>
      <c r="T130" s="686"/>
      <c r="U130"/>
    </row>
    <row r="131" spans="10:21" s="1" customFormat="1" x14ac:dyDescent="0.2">
      <c r="J131"/>
      <c r="K131"/>
      <c r="L131"/>
      <c r="M131"/>
      <c r="N131"/>
      <c r="O131" s="392"/>
      <c r="P131" s="2"/>
      <c r="R131" s="686"/>
      <c r="S131" s="686"/>
      <c r="T131" s="686"/>
      <c r="U131"/>
    </row>
    <row r="132" spans="10:21" s="1" customFormat="1" x14ac:dyDescent="0.2">
      <c r="J132"/>
      <c r="K132"/>
      <c r="L132"/>
      <c r="M132"/>
      <c r="N132"/>
      <c r="O132" s="392"/>
      <c r="P132" s="2"/>
      <c r="R132" s="686"/>
      <c r="S132" s="686"/>
      <c r="T132" s="686"/>
      <c r="U132"/>
    </row>
    <row r="133" spans="10:21" s="1" customFormat="1" x14ac:dyDescent="0.2">
      <c r="J133"/>
      <c r="K133"/>
      <c r="L133"/>
      <c r="M133"/>
      <c r="N133"/>
      <c r="O133" s="392"/>
      <c r="P133" s="2"/>
      <c r="R133" s="686"/>
      <c r="S133" s="686"/>
      <c r="T133" s="686"/>
      <c r="U133"/>
    </row>
    <row r="134" spans="10:21" s="1" customFormat="1" x14ac:dyDescent="0.2">
      <c r="J134"/>
      <c r="K134"/>
      <c r="L134"/>
      <c r="M134"/>
      <c r="N134"/>
      <c r="O134" s="392"/>
      <c r="P134" s="2"/>
      <c r="R134" s="686"/>
      <c r="S134" s="686"/>
      <c r="T134" s="686"/>
      <c r="U134"/>
    </row>
    <row r="135" spans="10:21" s="1" customFormat="1" x14ac:dyDescent="0.2">
      <c r="J135"/>
      <c r="K135"/>
      <c r="L135"/>
      <c r="M135"/>
      <c r="N135"/>
      <c r="O135" s="392"/>
      <c r="P135" s="2"/>
      <c r="R135" s="686"/>
      <c r="S135" s="686"/>
      <c r="T135" s="686"/>
      <c r="U135"/>
    </row>
    <row r="136" spans="10:21" s="1" customFormat="1" x14ac:dyDescent="0.2">
      <c r="J136"/>
      <c r="K136"/>
      <c r="L136"/>
      <c r="M136"/>
      <c r="N136"/>
      <c r="O136" s="392"/>
      <c r="P136" s="2"/>
      <c r="R136" s="686"/>
      <c r="S136" s="686"/>
      <c r="T136" s="686"/>
      <c r="U136"/>
    </row>
    <row r="137" spans="10:21" s="1" customFormat="1" x14ac:dyDescent="0.2">
      <c r="J137"/>
      <c r="K137"/>
      <c r="L137"/>
      <c r="M137"/>
      <c r="N137"/>
      <c r="O137" s="392"/>
      <c r="P137" s="2"/>
      <c r="R137" s="686"/>
      <c r="S137" s="686"/>
      <c r="T137" s="686"/>
      <c r="U137"/>
    </row>
    <row r="138" spans="10:21" s="1" customFormat="1" x14ac:dyDescent="0.2">
      <c r="J138"/>
      <c r="K138"/>
      <c r="L138"/>
      <c r="M138"/>
      <c r="N138"/>
      <c r="O138" s="392"/>
      <c r="P138" s="2"/>
      <c r="R138" s="686"/>
      <c r="S138" s="686"/>
      <c r="T138" s="686"/>
      <c r="U138"/>
    </row>
    <row r="139" spans="10:21" s="1" customFormat="1" x14ac:dyDescent="0.2">
      <c r="J139"/>
      <c r="K139"/>
      <c r="L139"/>
      <c r="M139"/>
      <c r="N139"/>
      <c r="O139" s="392"/>
      <c r="P139" s="2"/>
      <c r="R139" s="686"/>
      <c r="S139" s="686"/>
      <c r="T139" s="686"/>
      <c r="U139"/>
    </row>
    <row r="140" spans="10:21" s="1" customFormat="1" x14ac:dyDescent="0.2">
      <c r="J140"/>
      <c r="K140"/>
      <c r="L140"/>
      <c r="M140"/>
      <c r="N140"/>
      <c r="O140" s="392"/>
      <c r="P140" s="2"/>
      <c r="R140" s="686"/>
      <c r="S140" s="686"/>
      <c r="T140" s="686"/>
      <c r="U140"/>
    </row>
    <row r="141" spans="10:21" s="1" customFormat="1" x14ac:dyDescent="0.2">
      <c r="J141"/>
      <c r="K141"/>
      <c r="L141"/>
      <c r="M141"/>
      <c r="N141"/>
      <c r="O141" s="392"/>
      <c r="P141" s="2"/>
      <c r="R141" s="686"/>
      <c r="S141" s="686"/>
      <c r="T141" s="686"/>
      <c r="U141"/>
    </row>
    <row r="142" spans="10:21" s="1" customFormat="1" x14ac:dyDescent="0.2">
      <c r="J142"/>
      <c r="K142"/>
      <c r="L142"/>
      <c r="M142"/>
      <c r="N142"/>
      <c r="O142" s="392"/>
      <c r="P142" s="2"/>
      <c r="R142" s="686"/>
      <c r="S142" s="686"/>
      <c r="T142" s="686"/>
      <c r="U142"/>
    </row>
    <row r="143" spans="10:21" s="1" customFormat="1" x14ac:dyDescent="0.2">
      <c r="J143"/>
      <c r="K143"/>
      <c r="L143"/>
      <c r="M143"/>
      <c r="N143"/>
      <c r="O143" s="392"/>
      <c r="P143" s="2"/>
      <c r="R143" s="686"/>
      <c r="S143" s="686"/>
      <c r="T143" s="686"/>
      <c r="U143"/>
    </row>
    <row r="144" spans="10:21" s="1" customFormat="1" x14ac:dyDescent="0.2">
      <c r="J144"/>
      <c r="K144"/>
      <c r="L144"/>
      <c r="M144"/>
      <c r="N144"/>
      <c r="O144" s="392"/>
      <c r="P144" s="2"/>
      <c r="R144" s="686"/>
      <c r="S144" s="686"/>
      <c r="T144" s="686"/>
      <c r="U144"/>
    </row>
    <row r="145" spans="10:21" s="1" customFormat="1" x14ac:dyDescent="0.2">
      <c r="J145"/>
      <c r="K145"/>
      <c r="L145"/>
      <c r="M145"/>
      <c r="N145"/>
      <c r="O145" s="392"/>
      <c r="P145" s="2"/>
      <c r="R145" s="686"/>
      <c r="S145" s="686"/>
      <c r="T145" s="686"/>
      <c r="U145"/>
    </row>
    <row r="146" spans="10:21" s="1" customFormat="1" x14ac:dyDescent="0.2">
      <c r="J146"/>
      <c r="K146"/>
      <c r="L146"/>
      <c r="M146"/>
      <c r="N146"/>
      <c r="O146" s="392"/>
      <c r="P146" s="2"/>
      <c r="R146" s="686"/>
      <c r="S146" s="686"/>
      <c r="T146" s="686"/>
      <c r="U146"/>
    </row>
    <row r="147" spans="10:21" s="1" customFormat="1" x14ac:dyDescent="0.2">
      <c r="J147"/>
      <c r="K147"/>
      <c r="L147"/>
      <c r="M147"/>
      <c r="N147"/>
      <c r="O147" s="392"/>
      <c r="P147" s="2"/>
      <c r="R147" s="686"/>
      <c r="S147" s="686"/>
      <c r="T147" s="686"/>
      <c r="U147"/>
    </row>
    <row r="148" spans="10:21" s="1" customFormat="1" x14ac:dyDescent="0.2">
      <c r="J148"/>
      <c r="K148"/>
      <c r="L148"/>
      <c r="M148"/>
      <c r="N148"/>
      <c r="O148" s="392"/>
      <c r="P148" s="2"/>
      <c r="R148" s="686"/>
      <c r="S148" s="686"/>
      <c r="T148" s="686"/>
      <c r="U148"/>
    </row>
    <row r="149" spans="10:21" s="1" customFormat="1" x14ac:dyDescent="0.2">
      <c r="J149"/>
      <c r="K149"/>
      <c r="L149"/>
      <c r="M149"/>
      <c r="N149"/>
      <c r="O149" s="392"/>
      <c r="P149" s="2"/>
      <c r="R149" s="686"/>
      <c r="S149" s="686"/>
      <c r="T149" s="686"/>
      <c r="U149"/>
    </row>
    <row r="150" spans="10:21" s="1" customFormat="1" x14ac:dyDescent="0.2">
      <c r="J150"/>
      <c r="K150"/>
      <c r="L150"/>
      <c r="M150"/>
      <c r="N150"/>
      <c r="O150" s="392"/>
      <c r="P150" s="2"/>
      <c r="R150" s="686"/>
      <c r="S150" s="686"/>
      <c r="T150" s="686"/>
      <c r="U150"/>
    </row>
    <row r="151" spans="10:21" s="1" customFormat="1" x14ac:dyDescent="0.2">
      <c r="J151"/>
      <c r="K151"/>
      <c r="L151"/>
      <c r="M151"/>
      <c r="N151"/>
      <c r="O151" s="392"/>
      <c r="P151" s="2"/>
      <c r="R151" s="686"/>
      <c r="S151" s="686"/>
      <c r="T151" s="686"/>
      <c r="U151"/>
    </row>
    <row r="152" spans="10:21" s="1" customFormat="1" x14ac:dyDescent="0.2">
      <c r="J152"/>
      <c r="K152"/>
      <c r="L152"/>
      <c r="M152"/>
      <c r="N152"/>
      <c r="O152" s="392"/>
      <c r="P152" s="2"/>
      <c r="R152" s="686"/>
      <c r="S152" s="686"/>
      <c r="T152" s="686"/>
      <c r="U152"/>
    </row>
    <row r="153" spans="10:21" s="1" customFormat="1" x14ac:dyDescent="0.2">
      <c r="J153"/>
      <c r="K153"/>
      <c r="L153"/>
      <c r="M153"/>
      <c r="N153"/>
      <c r="O153" s="392"/>
      <c r="P153" s="2"/>
      <c r="R153" s="686"/>
      <c r="S153" s="686"/>
      <c r="T153" s="686"/>
      <c r="U153"/>
    </row>
    <row r="154" spans="10:21" s="1" customFormat="1" x14ac:dyDescent="0.2">
      <c r="J154"/>
      <c r="K154"/>
      <c r="L154"/>
      <c r="M154"/>
      <c r="N154"/>
      <c r="O154" s="392"/>
      <c r="P154" s="2"/>
      <c r="R154" s="686"/>
      <c r="S154" s="686"/>
      <c r="T154" s="686"/>
      <c r="U154"/>
    </row>
    <row r="155" spans="10:21" s="1" customFormat="1" x14ac:dyDescent="0.2">
      <c r="J155"/>
      <c r="K155"/>
      <c r="L155"/>
      <c r="M155"/>
      <c r="N155"/>
      <c r="O155" s="392"/>
      <c r="P155" s="2"/>
      <c r="R155" s="686"/>
      <c r="S155" s="686"/>
      <c r="T155" s="686"/>
      <c r="U155"/>
    </row>
    <row r="156" spans="10:21" s="1" customFormat="1" x14ac:dyDescent="0.2">
      <c r="J156"/>
      <c r="K156"/>
      <c r="L156"/>
      <c r="M156"/>
      <c r="N156"/>
      <c r="O156" s="392"/>
      <c r="P156" s="2"/>
      <c r="R156" s="686"/>
      <c r="S156" s="686"/>
      <c r="T156" s="686"/>
      <c r="U156"/>
    </row>
    <row r="157" spans="10:21" s="1" customFormat="1" x14ac:dyDescent="0.2">
      <c r="J157"/>
      <c r="K157"/>
      <c r="L157"/>
      <c r="M157"/>
      <c r="N157"/>
      <c r="O157" s="392"/>
      <c r="P157" s="2"/>
      <c r="R157" s="686"/>
      <c r="S157" s="686"/>
      <c r="T157" s="686"/>
      <c r="U157"/>
    </row>
    <row r="158" spans="10:21" s="1" customFormat="1" x14ac:dyDescent="0.2">
      <c r="J158"/>
      <c r="K158"/>
      <c r="L158"/>
      <c r="M158"/>
      <c r="N158"/>
      <c r="O158" s="392"/>
      <c r="P158" s="2"/>
      <c r="R158" s="686"/>
      <c r="S158" s="686"/>
      <c r="T158" s="686"/>
      <c r="U158"/>
    </row>
    <row r="159" spans="10:21" s="1" customFormat="1" x14ac:dyDescent="0.2">
      <c r="J159"/>
      <c r="K159"/>
      <c r="L159"/>
      <c r="M159"/>
      <c r="N159"/>
      <c r="O159" s="392"/>
      <c r="P159" s="2"/>
      <c r="R159" s="686"/>
      <c r="S159" s="686"/>
      <c r="T159" s="686"/>
      <c r="U159"/>
    </row>
    <row r="160" spans="10:21" s="1" customFormat="1" x14ac:dyDescent="0.2">
      <c r="J160"/>
      <c r="K160"/>
      <c r="L160"/>
      <c r="M160"/>
      <c r="N160"/>
      <c r="O160" s="392"/>
      <c r="P160" s="2"/>
      <c r="R160" s="686"/>
      <c r="S160" s="686"/>
      <c r="T160" s="686"/>
      <c r="U160"/>
    </row>
    <row r="161" spans="10:21" s="1" customFormat="1" x14ac:dyDescent="0.2">
      <c r="J161"/>
      <c r="K161"/>
      <c r="L161"/>
      <c r="M161"/>
      <c r="N161"/>
      <c r="O161" s="392"/>
      <c r="P161" s="2"/>
      <c r="R161" s="686"/>
      <c r="S161" s="686"/>
      <c r="T161" s="686"/>
      <c r="U161"/>
    </row>
    <row r="162" spans="10:21" s="1" customFormat="1" x14ac:dyDescent="0.2">
      <c r="J162"/>
      <c r="K162"/>
      <c r="L162"/>
      <c r="M162"/>
      <c r="N162"/>
      <c r="O162" s="392"/>
      <c r="P162" s="2"/>
      <c r="R162" s="686"/>
      <c r="S162" s="686"/>
      <c r="T162" s="686"/>
      <c r="U162"/>
    </row>
    <row r="163" spans="10:21" s="1" customFormat="1" x14ac:dyDescent="0.2">
      <c r="J163"/>
      <c r="K163"/>
      <c r="L163"/>
      <c r="M163"/>
      <c r="N163"/>
      <c r="O163" s="392"/>
      <c r="P163" s="2"/>
      <c r="R163" s="686"/>
      <c r="S163" s="686"/>
      <c r="T163" s="686"/>
      <c r="U163"/>
    </row>
    <row r="164" spans="10:21" s="1" customFormat="1" x14ac:dyDescent="0.2">
      <c r="J164"/>
      <c r="K164"/>
      <c r="L164"/>
      <c r="M164"/>
      <c r="N164"/>
      <c r="O164" s="392"/>
      <c r="P164" s="2"/>
      <c r="R164" s="686"/>
      <c r="S164" s="686"/>
      <c r="T164" s="686"/>
      <c r="U164"/>
    </row>
    <row r="165" spans="10:21" s="1" customFormat="1" x14ac:dyDescent="0.2">
      <c r="J165"/>
      <c r="K165"/>
      <c r="L165"/>
      <c r="M165"/>
      <c r="N165"/>
      <c r="O165" s="392"/>
      <c r="P165" s="2"/>
      <c r="R165" s="686"/>
      <c r="S165" s="686"/>
      <c r="T165" s="686"/>
      <c r="U165"/>
    </row>
    <row r="166" spans="10:21" s="1" customFormat="1" x14ac:dyDescent="0.2">
      <c r="J166"/>
      <c r="K166"/>
      <c r="L166"/>
      <c r="M166"/>
      <c r="N166"/>
      <c r="O166" s="392"/>
      <c r="P166" s="2"/>
      <c r="R166" s="686"/>
      <c r="S166" s="686"/>
      <c r="T166" s="686"/>
      <c r="U166"/>
    </row>
    <row r="167" spans="10:21" s="1" customFormat="1" x14ac:dyDescent="0.2">
      <c r="J167"/>
      <c r="K167"/>
      <c r="L167"/>
      <c r="M167"/>
      <c r="N167"/>
      <c r="O167" s="392"/>
      <c r="P167" s="2"/>
      <c r="R167" s="686"/>
      <c r="S167" s="686"/>
      <c r="T167" s="686"/>
      <c r="U167"/>
    </row>
    <row r="168" spans="10:21" s="1" customFormat="1" x14ac:dyDescent="0.2">
      <c r="J168"/>
      <c r="K168"/>
      <c r="L168"/>
      <c r="M168"/>
      <c r="N168"/>
      <c r="O168" s="392"/>
      <c r="P168" s="2"/>
      <c r="R168" s="686"/>
      <c r="S168" s="686"/>
      <c r="T168" s="686"/>
      <c r="U168"/>
    </row>
    <row r="169" spans="10:21" s="1" customFormat="1" x14ac:dyDescent="0.2">
      <c r="J169"/>
      <c r="K169"/>
      <c r="L169"/>
      <c r="M169"/>
      <c r="N169"/>
      <c r="O169" s="392"/>
      <c r="P169" s="2"/>
      <c r="R169" s="686"/>
      <c r="S169" s="686"/>
      <c r="T169" s="686"/>
      <c r="U169"/>
    </row>
    <row r="170" spans="10:21" s="1" customFormat="1" x14ac:dyDescent="0.2">
      <c r="J170"/>
      <c r="K170"/>
      <c r="L170"/>
      <c r="M170"/>
      <c r="N170"/>
      <c r="O170" s="392"/>
      <c r="P170" s="2"/>
      <c r="R170" s="686"/>
      <c r="S170" s="686"/>
      <c r="T170" s="686"/>
      <c r="U170"/>
    </row>
    <row r="171" spans="10:21" s="1" customFormat="1" x14ac:dyDescent="0.2">
      <c r="J171"/>
      <c r="K171"/>
      <c r="L171"/>
      <c r="M171"/>
      <c r="N171"/>
      <c r="O171" s="392"/>
      <c r="P171" s="2"/>
      <c r="R171" s="686"/>
      <c r="S171" s="686"/>
      <c r="T171" s="686"/>
      <c r="U171"/>
    </row>
    <row r="172" spans="10:21" s="1" customFormat="1" x14ac:dyDescent="0.2">
      <c r="J172"/>
      <c r="K172"/>
      <c r="L172"/>
      <c r="M172"/>
      <c r="N172"/>
      <c r="O172" s="392"/>
      <c r="P172" s="2"/>
      <c r="R172" s="686"/>
      <c r="S172" s="686"/>
      <c r="T172" s="686"/>
      <c r="U172"/>
    </row>
    <row r="173" spans="10:21" s="1" customFormat="1" x14ac:dyDescent="0.2">
      <c r="J173"/>
      <c r="K173"/>
      <c r="L173"/>
      <c r="M173"/>
      <c r="N173"/>
      <c r="O173" s="392"/>
      <c r="P173" s="2"/>
      <c r="R173" s="686"/>
      <c r="S173" s="686"/>
      <c r="T173" s="686"/>
      <c r="U173"/>
    </row>
    <row r="174" spans="10:21" s="1" customFormat="1" x14ac:dyDescent="0.2">
      <c r="J174"/>
      <c r="K174"/>
      <c r="L174"/>
      <c r="M174"/>
      <c r="N174"/>
      <c r="O174" s="392"/>
      <c r="P174" s="2"/>
      <c r="R174" s="686"/>
      <c r="S174" s="686"/>
      <c r="T174" s="686"/>
      <c r="U174"/>
    </row>
    <row r="175" spans="10:21" s="1" customFormat="1" x14ac:dyDescent="0.2">
      <c r="J175"/>
      <c r="K175"/>
      <c r="L175"/>
      <c r="M175"/>
      <c r="N175"/>
      <c r="O175" s="392"/>
      <c r="P175" s="2"/>
      <c r="R175" s="686"/>
      <c r="S175" s="686"/>
      <c r="T175" s="686"/>
      <c r="U175"/>
    </row>
    <row r="176" spans="10:21" s="1" customFormat="1" x14ac:dyDescent="0.2">
      <c r="J176"/>
      <c r="K176"/>
      <c r="L176"/>
      <c r="M176"/>
      <c r="N176"/>
      <c r="O176" s="392"/>
      <c r="P176" s="2"/>
      <c r="R176" s="686"/>
      <c r="S176" s="686"/>
      <c r="T176" s="686"/>
      <c r="U176"/>
    </row>
    <row r="177" spans="10:21" s="1" customFormat="1" x14ac:dyDescent="0.2">
      <c r="J177"/>
      <c r="K177"/>
      <c r="L177"/>
      <c r="M177"/>
      <c r="N177"/>
      <c r="O177" s="392"/>
      <c r="P177" s="2"/>
      <c r="R177" s="686"/>
      <c r="S177" s="686"/>
      <c r="T177" s="686"/>
      <c r="U177"/>
    </row>
    <row r="178" spans="10:21" s="1" customFormat="1" x14ac:dyDescent="0.2">
      <c r="J178"/>
      <c r="K178"/>
      <c r="L178"/>
      <c r="M178"/>
      <c r="N178"/>
      <c r="O178" s="392"/>
      <c r="P178" s="2"/>
      <c r="R178" s="686"/>
      <c r="S178" s="686"/>
      <c r="T178" s="686"/>
      <c r="U178"/>
    </row>
    <row r="179" spans="10:21" s="1" customFormat="1" x14ac:dyDescent="0.2">
      <c r="J179"/>
      <c r="K179"/>
      <c r="L179"/>
      <c r="M179"/>
      <c r="N179"/>
      <c r="O179" s="392"/>
      <c r="P179" s="2"/>
      <c r="R179" s="686"/>
      <c r="S179" s="686"/>
      <c r="T179" s="686"/>
      <c r="U179"/>
    </row>
    <row r="180" spans="10:21" s="1" customFormat="1" x14ac:dyDescent="0.2">
      <c r="J180"/>
      <c r="K180"/>
      <c r="L180"/>
      <c r="M180"/>
      <c r="N180"/>
      <c r="O180" s="392"/>
      <c r="P180" s="2"/>
      <c r="R180" s="686"/>
      <c r="S180" s="686"/>
      <c r="T180" s="686"/>
      <c r="U180"/>
    </row>
    <row r="181" spans="10:21" s="1" customFormat="1" x14ac:dyDescent="0.2">
      <c r="J181"/>
      <c r="K181"/>
      <c r="L181"/>
      <c r="M181"/>
      <c r="N181"/>
      <c r="O181" s="392"/>
      <c r="P181" s="2"/>
      <c r="R181" s="686"/>
      <c r="S181" s="686"/>
      <c r="T181" s="686"/>
      <c r="U181"/>
    </row>
    <row r="182" spans="10:21" s="1" customFormat="1" x14ac:dyDescent="0.2">
      <c r="J182"/>
      <c r="K182"/>
      <c r="L182"/>
      <c r="M182"/>
      <c r="N182"/>
      <c r="O182" s="392"/>
      <c r="P182" s="2"/>
      <c r="R182" s="686"/>
      <c r="S182" s="686"/>
      <c r="T182" s="686"/>
      <c r="U182"/>
    </row>
    <row r="183" spans="10:21" s="1" customFormat="1" x14ac:dyDescent="0.2">
      <c r="J183"/>
      <c r="K183"/>
      <c r="L183"/>
      <c r="M183"/>
      <c r="N183"/>
      <c r="O183" s="392"/>
      <c r="P183" s="2"/>
      <c r="R183" s="686"/>
      <c r="S183" s="686"/>
      <c r="T183" s="686"/>
      <c r="U183"/>
    </row>
    <row r="184" spans="10:21" s="1" customFormat="1" x14ac:dyDescent="0.2">
      <c r="J184"/>
      <c r="K184"/>
      <c r="L184"/>
      <c r="M184"/>
      <c r="N184"/>
      <c r="O184" s="392"/>
      <c r="P184" s="2"/>
      <c r="R184" s="686"/>
      <c r="S184" s="686"/>
      <c r="T184" s="686"/>
      <c r="U184"/>
    </row>
    <row r="185" spans="10:21" s="1" customFormat="1" x14ac:dyDescent="0.2">
      <c r="J185"/>
      <c r="K185"/>
      <c r="L185"/>
      <c r="M185"/>
      <c r="N185"/>
      <c r="O185" s="392"/>
      <c r="P185" s="2"/>
      <c r="R185" s="686"/>
      <c r="S185" s="686"/>
      <c r="T185" s="686"/>
      <c r="U185"/>
    </row>
    <row r="186" spans="10:21" s="1" customFormat="1" x14ac:dyDescent="0.2">
      <c r="J186"/>
      <c r="K186"/>
      <c r="L186"/>
      <c r="M186"/>
      <c r="N186"/>
      <c r="O186" s="392"/>
      <c r="P186" s="2"/>
      <c r="R186" s="686"/>
      <c r="S186" s="686"/>
      <c r="T186" s="686"/>
      <c r="U186"/>
    </row>
    <row r="187" spans="10:21" s="1" customFormat="1" x14ac:dyDescent="0.2">
      <c r="J187"/>
      <c r="K187"/>
      <c r="L187"/>
      <c r="M187"/>
      <c r="N187"/>
      <c r="O187" s="392"/>
      <c r="P187" s="2"/>
      <c r="R187" s="686"/>
      <c r="S187" s="686"/>
      <c r="T187" s="686"/>
      <c r="U187"/>
    </row>
    <row r="188" spans="10:21" s="1" customFormat="1" x14ac:dyDescent="0.2">
      <c r="J188"/>
      <c r="K188"/>
      <c r="L188"/>
      <c r="M188"/>
      <c r="N188"/>
      <c r="O188" s="392"/>
      <c r="P188" s="2"/>
      <c r="R188" s="686"/>
      <c r="S188" s="686"/>
      <c r="T188" s="686"/>
      <c r="U188"/>
    </row>
    <row r="189" spans="10:21" s="1" customFormat="1" x14ac:dyDescent="0.2">
      <c r="J189"/>
      <c r="K189"/>
      <c r="L189"/>
      <c r="M189"/>
      <c r="N189"/>
      <c r="O189" s="392"/>
      <c r="P189" s="2"/>
      <c r="R189" s="686"/>
      <c r="S189" s="686"/>
      <c r="T189" s="686"/>
      <c r="U189"/>
    </row>
    <row r="190" spans="10:21" s="1" customFormat="1" x14ac:dyDescent="0.2">
      <c r="J190"/>
      <c r="K190"/>
      <c r="L190"/>
      <c r="M190"/>
      <c r="N190"/>
      <c r="O190" s="392"/>
      <c r="P190" s="2"/>
      <c r="R190" s="686"/>
      <c r="S190" s="686"/>
      <c r="T190" s="686"/>
      <c r="U190"/>
    </row>
    <row r="191" spans="10:21" s="1" customFormat="1" x14ac:dyDescent="0.2">
      <c r="J191"/>
      <c r="K191"/>
      <c r="L191"/>
      <c r="M191"/>
      <c r="N191"/>
      <c r="O191" s="392"/>
      <c r="P191" s="2"/>
      <c r="R191" s="686"/>
      <c r="S191" s="686"/>
      <c r="T191" s="686"/>
      <c r="U191"/>
    </row>
    <row r="192" spans="10:21" s="1" customFormat="1" x14ac:dyDescent="0.2">
      <c r="J192"/>
      <c r="K192"/>
      <c r="L192"/>
      <c r="M192"/>
      <c r="N192"/>
      <c r="O192" s="392"/>
      <c r="P192" s="2"/>
      <c r="R192" s="686"/>
      <c r="S192" s="686"/>
      <c r="T192" s="686"/>
      <c r="U192"/>
    </row>
    <row r="193" spans="10:21" s="1" customFormat="1" x14ac:dyDescent="0.2">
      <c r="J193"/>
      <c r="K193"/>
      <c r="L193"/>
      <c r="M193"/>
      <c r="N193"/>
      <c r="O193" s="392"/>
      <c r="P193" s="2"/>
      <c r="R193" s="686"/>
      <c r="S193" s="686"/>
      <c r="T193" s="686"/>
      <c r="U193"/>
    </row>
    <row r="194" spans="10:21" s="1" customFormat="1" x14ac:dyDescent="0.2">
      <c r="J194"/>
      <c r="K194"/>
      <c r="L194"/>
      <c r="M194"/>
      <c r="N194"/>
      <c r="O194" s="392"/>
      <c r="P194" s="2"/>
      <c r="R194" s="686"/>
      <c r="S194" s="686"/>
      <c r="T194" s="686"/>
      <c r="U194"/>
    </row>
    <row r="195" spans="10:21" s="1" customFormat="1" x14ac:dyDescent="0.2">
      <c r="J195"/>
      <c r="K195"/>
      <c r="L195"/>
      <c r="M195"/>
      <c r="N195"/>
      <c r="O195" s="392"/>
      <c r="P195" s="2"/>
      <c r="R195" s="686"/>
      <c r="S195" s="686"/>
      <c r="T195" s="686"/>
      <c r="U195"/>
    </row>
    <row r="196" spans="10:21" s="1" customFormat="1" x14ac:dyDescent="0.2">
      <c r="J196"/>
      <c r="K196"/>
      <c r="L196"/>
      <c r="M196"/>
      <c r="N196"/>
      <c r="O196" s="392"/>
      <c r="P196" s="2"/>
      <c r="R196" s="686"/>
      <c r="S196" s="686"/>
      <c r="T196" s="686"/>
      <c r="U196"/>
    </row>
    <row r="197" spans="10:21" s="1" customFormat="1" x14ac:dyDescent="0.2">
      <c r="J197"/>
      <c r="K197"/>
      <c r="L197"/>
      <c r="M197"/>
      <c r="N197"/>
      <c r="O197" s="392"/>
      <c r="P197" s="2"/>
      <c r="R197" s="686"/>
      <c r="S197" s="686"/>
      <c r="T197" s="686"/>
      <c r="U197"/>
    </row>
    <row r="198" spans="10:21" s="1" customFormat="1" x14ac:dyDescent="0.2">
      <c r="J198"/>
      <c r="K198"/>
      <c r="L198"/>
      <c r="M198"/>
      <c r="N198"/>
      <c r="O198" s="392"/>
      <c r="P198" s="2"/>
      <c r="R198" s="686"/>
      <c r="S198" s="686"/>
      <c r="T198" s="686"/>
      <c r="U198"/>
    </row>
    <row r="199" spans="10:21" s="1" customFormat="1" x14ac:dyDescent="0.2">
      <c r="J199"/>
      <c r="K199"/>
      <c r="L199"/>
      <c r="M199"/>
      <c r="N199"/>
      <c r="O199" s="392"/>
      <c r="P199" s="2"/>
      <c r="R199" s="686"/>
      <c r="S199" s="686"/>
      <c r="T199" s="686"/>
      <c r="U199"/>
    </row>
    <row r="200" spans="10:21" s="1" customFormat="1" x14ac:dyDescent="0.2">
      <c r="J200"/>
      <c r="K200"/>
      <c r="L200"/>
      <c r="M200"/>
      <c r="N200"/>
      <c r="O200" s="392"/>
      <c r="P200" s="2"/>
      <c r="R200" s="686"/>
      <c r="S200" s="686"/>
      <c r="T200" s="686"/>
      <c r="U200"/>
    </row>
    <row r="201" spans="10:21" s="1" customFormat="1" x14ac:dyDescent="0.2">
      <c r="J201"/>
      <c r="K201"/>
      <c r="L201"/>
      <c r="M201"/>
      <c r="N201"/>
      <c r="O201" s="392"/>
      <c r="P201" s="2"/>
      <c r="R201" s="686"/>
      <c r="S201" s="686"/>
      <c r="T201" s="686"/>
      <c r="U201"/>
    </row>
    <row r="202" spans="10:21" s="1" customFormat="1" x14ac:dyDescent="0.2">
      <c r="J202"/>
      <c r="K202"/>
      <c r="L202"/>
      <c r="M202"/>
      <c r="N202"/>
      <c r="O202" s="392"/>
      <c r="P202" s="2"/>
      <c r="R202" s="686"/>
      <c r="S202" s="686"/>
      <c r="T202" s="686"/>
      <c r="U202"/>
    </row>
    <row r="203" spans="10:21" s="1" customFormat="1" x14ac:dyDescent="0.2">
      <c r="J203"/>
      <c r="K203"/>
      <c r="L203"/>
      <c r="M203"/>
      <c r="N203"/>
      <c r="O203" s="392"/>
      <c r="P203" s="2"/>
      <c r="R203" s="686"/>
      <c r="S203" s="686"/>
      <c r="T203" s="686"/>
      <c r="U203"/>
    </row>
    <row r="204" spans="10:21" s="1" customFormat="1" x14ac:dyDescent="0.2">
      <c r="J204"/>
      <c r="K204"/>
      <c r="L204"/>
      <c r="M204"/>
      <c r="N204"/>
      <c r="O204" s="392"/>
      <c r="P204" s="2"/>
      <c r="R204" s="686"/>
      <c r="S204" s="686"/>
      <c r="T204" s="686"/>
      <c r="U204"/>
    </row>
    <row r="205" spans="10:21" s="1" customFormat="1" x14ac:dyDescent="0.2">
      <c r="J205"/>
      <c r="K205"/>
      <c r="L205"/>
      <c r="M205"/>
      <c r="N205"/>
      <c r="O205" s="392"/>
      <c r="P205" s="2"/>
      <c r="R205" s="686"/>
      <c r="S205" s="686"/>
      <c r="T205" s="686"/>
      <c r="U205"/>
    </row>
    <row r="206" spans="10:21" s="1" customFormat="1" x14ac:dyDescent="0.2">
      <c r="J206"/>
      <c r="K206"/>
      <c r="L206"/>
      <c r="M206"/>
      <c r="N206"/>
      <c r="O206" s="392"/>
      <c r="P206" s="2"/>
      <c r="R206" s="686"/>
      <c r="S206" s="686"/>
      <c r="T206" s="686"/>
      <c r="U206"/>
    </row>
    <row r="207" spans="10:21" s="1" customFormat="1" x14ac:dyDescent="0.2">
      <c r="J207"/>
      <c r="K207"/>
      <c r="L207"/>
      <c r="M207"/>
      <c r="N207"/>
      <c r="O207" s="392"/>
      <c r="P207" s="2"/>
      <c r="R207" s="686"/>
      <c r="S207" s="686"/>
      <c r="T207" s="686"/>
      <c r="U207"/>
    </row>
    <row r="208" spans="10:21" s="1" customFormat="1" x14ac:dyDescent="0.2">
      <c r="J208"/>
      <c r="K208"/>
      <c r="L208"/>
      <c r="M208"/>
      <c r="N208"/>
      <c r="O208" s="392"/>
      <c r="P208" s="2"/>
      <c r="R208" s="686"/>
      <c r="S208" s="686"/>
      <c r="T208" s="686"/>
      <c r="U208"/>
    </row>
    <row r="209" spans="10:21" s="1" customFormat="1" x14ac:dyDescent="0.2">
      <c r="J209"/>
      <c r="K209"/>
      <c r="L209"/>
      <c r="M209"/>
      <c r="N209"/>
      <c r="O209" s="392"/>
      <c r="P209" s="2"/>
      <c r="R209" s="686"/>
      <c r="S209" s="686"/>
      <c r="T209" s="686"/>
      <c r="U209"/>
    </row>
    <row r="210" spans="10:21" s="1" customFormat="1" x14ac:dyDescent="0.2">
      <c r="J210"/>
      <c r="K210"/>
      <c r="L210"/>
      <c r="M210"/>
      <c r="N210"/>
      <c r="O210" s="392"/>
      <c r="P210" s="2"/>
      <c r="R210" s="686"/>
      <c r="S210" s="686"/>
      <c r="T210" s="686"/>
      <c r="U210"/>
    </row>
    <row r="211" spans="10:21" s="1" customFormat="1" x14ac:dyDescent="0.2">
      <c r="J211"/>
      <c r="K211"/>
      <c r="L211"/>
      <c r="M211"/>
      <c r="N211"/>
      <c r="O211" s="392"/>
      <c r="P211" s="2"/>
      <c r="R211" s="686"/>
      <c r="S211" s="686"/>
      <c r="T211" s="686"/>
      <c r="U211"/>
    </row>
    <row r="212" spans="10:21" s="1" customFormat="1" x14ac:dyDescent="0.2">
      <c r="J212"/>
      <c r="K212"/>
      <c r="L212"/>
      <c r="M212"/>
      <c r="N212"/>
      <c r="O212" s="392"/>
      <c r="P212" s="2"/>
      <c r="R212" s="686"/>
      <c r="S212" s="686"/>
      <c r="T212" s="686"/>
      <c r="U212"/>
    </row>
    <row r="213" spans="10:21" s="1" customFormat="1" x14ac:dyDescent="0.2">
      <c r="J213"/>
      <c r="K213"/>
      <c r="L213"/>
      <c r="M213"/>
      <c r="N213"/>
      <c r="O213" s="392"/>
      <c r="P213" s="2"/>
      <c r="R213" s="686"/>
      <c r="S213" s="686"/>
      <c r="T213" s="686"/>
      <c r="U213"/>
    </row>
    <row r="214" spans="10:21" s="1" customFormat="1" x14ac:dyDescent="0.2">
      <c r="J214"/>
      <c r="K214"/>
      <c r="L214"/>
      <c r="M214"/>
      <c r="N214"/>
      <c r="O214" s="392"/>
      <c r="P214" s="2"/>
      <c r="R214" s="686"/>
      <c r="S214" s="686"/>
      <c r="T214" s="686"/>
      <c r="U214"/>
    </row>
    <row r="215" spans="10:21" s="1" customFormat="1" x14ac:dyDescent="0.2">
      <c r="J215"/>
      <c r="K215"/>
      <c r="L215"/>
      <c r="M215"/>
      <c r="N215"/>
      <c r="O215" s="392"/>
      <c r="P215" s="2"/>
      <c r="R215" s="686"/>
      <c r="S215" s="686"/>
      <c r="T215" s="686"/>
      <c r="U215"/>
    </row>
    <row r="216" spans="10:21" s="1" customFormat="1" x14ac:dyDescent="0.2">
      <c r="J216"/>
      <c r="K216"/>
      <c r="L216"/>
      <c r="M216"/>
      <c r="N216"/>
      <c r="O216" s="392"/>
      <c r="P216" s="2"/>
      <c r="R216" s="686"/>
      <c r="S216" s="686"/>
      <c r="T216" s="686"/>
      <c r="U216"/>
    </row>
    <row r="217" spans="10:21" s="1" customFormat="1" x14ac:dyDescent="0.2">
      <c r="J217"/>
      <c r="K217"/>
      <c r="L217"/>
      <c r="M217"/>
      <c r="N217"/>
      <c r="O217" s="392"/>
      <c r="P217" s="2"/>
      <c r="R217" s="686"/>
      <c r="S217" s="686"/>
      <c r="T217" s="686"/>
      <c r="U217"/>
    </row>
    <row r="218" spans="10:21" s="1" customFormat="1" x14ac:dyDescent="0.2">
      <c r="J218"/>
      <c r="K218"/>
      <c r="L218"/>
      <c r="M218"/>
      <c r="N218"/>
      <c r="O218" s="392"/>
      <c r="P218" s="2"/>
      <c r="R218" s="686"/>
      <c r="S218" s="686"/>
      <c r="T218" s="686"/>
      <c r="U218"/>
    </row>
    <row r="219" spans="10:21" s="1" customFormat="1" x14ac:dyDescent="0.2">
      <c r="J219"/>
      <c r="K219"/>
      <c r="L219"/>
      <c r="M219"/>
      <c r="N219"/>
      <c r="O219" s="392"/>
      <c r="P219" s="2"/>
      <c r="R219" s="686"/>
      <c r="S219" s="686"/>
      <c r="T219" s="686"/>
      <c r="U219"/>
    </row>
    <row r="220" spans="10:21" s="1" customFormat="1" x14ac:dyDescent="0.2">
      <c r="J220"/>
      <c r="K220"/>
      <c r="L220"/>
      <c r="M220"/>
      <c r="N220"/>
      <c r="O220" s="392"/>
      <c r="P220" s="2"/>
      <c r="R220" s="686"/>
      <c r="S220" s="686"/>
      <c r="T220" s="686"/>
      <c r="U220"/>
    </row>
    <row r="221" spans="10:21" s="1" customFormat="1" x14ac:dyDescent="0.2">
      <c r="J221"/>
      <c r="K221"/>
      <c r="L221"/>
      <c r="M221"/>
      <c r="N221"/>
      <c r="O221" s="392"/>
      <c r="P221" s="2"/>
      <c r="R221" s="686"/>
      <c r="S221" s="686"/>
      <c r="T221" s="686"/>
      <c r="U221"/>
    </row>
    <row r="222" spans="10:21" s="1" customFormat="1" x14ac:dyDescent="0.2">
      <c r="J222"/>
      <c r="K222"/>
      <c r="L222"/>
      <c r="M222"/>
      <c r="N222"/>
      <c r="O222" s="392"/>
      <c r="P222" s="2"/>
      <c r="R222" s="686"/>
      <c r="S222" s="686"/>
      <c r="T222" s="686"/>
      <c r="U222"/>
    </row>
    <row r="223" spans="10:21" s="1" customFormat="1" x14ac:dyDescent="0.2">
      <c r="J223"/>
      <c r="K223"/>
      <c r="L223"/>
      <c r="M223"/>
      <c r="N223"/>
      <c r="O223" s="392"/>
      <c r="P223" s="2"/>
      <c r="R223" s="686"/>
      <c r="S223" s="686"/>
      <c r="T223" s="686"/>
      <c r="U223"/>
    </row>
    <row r="224" spans="10:21" s="1" customFormat="1" x14ac:dyDescent="0.2">
      <c r="J224"/>
      <c r="K224"/>
      <c r="L224"/>
      <c r="M224"/>
      <c r="N224"/>
      <c r="O224" s="392"/>
      <c r="P224" s="2"/>
      <c r="R224" s="686"/>
      <c r="S224" s="686"/>
      <c r="T224" s="686"/>
      <c r="U224"/>
    </row>
    <row r="225" spans="10:21" s="1" customFormat="1" x14ac:dyDescent="0.2">
      <c r="J225"/>
      <c r="K225"/>
      <c r="L225"/>
      <c r="M225"/>
      <c r="N225"/>
      <c r="O225" s="392"/>
      <c r="P225" s="2"/>
      <c r="R225" s="686"/>
      <c r="S225" s="686"/>
      <c r="T225" s="686"/>
      <c r="U225"/>
    </row>
    <row r="226" spans="10:21" s="1" customFormat="1" x14ac:dyDescent="0.2">
      <c r="J226"/>
      <c r="K226"/>
      <c r="L226"/>
      <c r="M226"/>
      <c r="N226"/>
      <c r="O226" s="392"/>
      <c r="P226" s="2"/>
      <c r="R226" s="686"/>
      <c r="S226" s="686"/>
      <c r="T226" s="686"/>
      <c r="U226"/>
    </row>
    <row r="227" spans="10:21" s="1" customFormat="1" x14ac:dyDescent="0.2">
      <c r="J227"/>
      <c r="K227"/>
      <c r="L227"/>
      <c r="M227"/>
      <c r="N227"/>
      <c r="O227" s="392"/>
      <c r="P227" s="2"/>
      <c r="R227" s="686"/>
      <c r="S227" s="686"/>
      <c r="T227" s="686"/>
      <c r="U227"/>
    </row>
    <row r="228" spans="10:21" s="1" customFormat="1" x14ac:dyDescent="0.2">
      <c r="J228"/>
      <c r="K228"/>
      <c r="L228"/>
      <c r="M228"/>
      <c r="N228"/>
      <c r="O228" s="392"/>
      <c r="P228" s="2"/>
      <c r="R228" s="686"/>
      <c r="S228" s="686"/>
      <c r="T228" s="686"/>
      <c r="U228"/>
    </row>
    <row r="229" spans="10:21" s="1" customFormat="1" x14ac:dyDescent="0.2">
      <c r="J229"/>
      <c r="K229"/>
      <c r="L229"/>
      <c r="M229"/>
      <c r="N229"/>
      <c r="O229" s="392"/>
      <c r="P229" s="2"/>
      <c r="R229" s="686"/>
      <c r="S229" s="686"/>
      <c r="T229" s="686"/>
      <c r="U229"/>
    </row>
    <row r="230" spans="10:21" s="1" customFormat="1" x14ac:dyDescent="0.2">
      <c r="J230"/>
      <c r="K230"/>
      <c r="L230"/>
      <c r="M230"/>
      <c r="N230"/>
      <c r="O230" s="392"/>
      <c r="P230" s="2"/>
      <c r="R230" s="686"/>
      <c r="S230" s="686"/>
      <c r="T230" s="686"/>
      <c r="U230"/>
    </row>
    <row r="231" spans="10:21" s="1" customFormat="1" x14ac:dyDescent="0.2">
      <c r="J231"/>
      <c r="K231"/>
      <c r="L231"/>
      <c r="M231"/>
      <c r="N231"/>
      <c r="O231" s="392"/>
      <c r="P231" s="2"/>
      <c r="R231" s="686"/>
      <c r="S231" s="686"/>
      <c r="T231" s="686"/>
      <c r="U231"/>
    </row>
    <row r="232" spans="10:21" s="1" customFormat="1" x14ac:dyDescent="0.2">
      <c r="J232"/>
      <c r="K232"/>
      <c r="L232"/>
      <c r="M232"/>
      <c r="N232"/>
      <c r="O232" s="392"/>
      <c r="P232" s="2"/>
      <c r="R232" s="686"/>
      <c r="S232" s="686"/>
      <c r="T232" s="686"/>
      <c r="U232"/>
    </row>
    <row r="233" spans="10:21" s="1" customFormat="1" x14ac:dyDescent="0.2">
      <c r="J233"/>
      <c r="K233"/>
      <c r="L233"/>
      <c r="M233"/>
      <c r="N233"/>
      <c r="O233" s="392"/>
      <c r="P233" s="2"/>
      <c r="R233" s="686"/>
      <c r="S233" s="686"/>
      <c r="T233" s="686"/>
      <c r="U233"/>
    </row>
    <row r="234" spans="10:21" s="1" customFormat="1" x14ac:dyDescent="0.2">
      <c r="J234"/>
      <c r="K234"/>
      <c r="L234"/>
      <c r="M234"/>
      <c r="N234"/>
      <c r="O234" s="392"/>
      <c r="P234" s="2"/>
      <c r="R234" s="686"/>
      <c r="S234" s="686"/>
      <c r="T234" s="686"/>
      <c r="U234"/>
    </row>
    <row r="235" spans="10:21" s="1" customFormat="1" x14ac:dyDescent="0.2">
      <c r="J235"/>
      <c r="K235"/>
      <c r="L235"/>
      <c r="M235"/>
      <c r="N235"/>
      <c r="O235" s="392"/>
      <c r="P235" s="2"/>
      <c r="R235" s="686"/>
      <c r="S235" s="686"/>
      <c r="T235" s="686"/>
      <c r="U235"/>
    </row>
    <row r="236" spans="10:21" s="1" customFormat="1" x14ac:dyDescent="0.2">
      <c r="J236"/>
      <c r="K236"/>
      <c r="L236"/>
      <c r="M236"/>
      <c r="N236"/>
      <c r="O236" s="392"/>
      <c r="P236" s="2"/>
      <c r="R236" s="686"/>
      <c r="S236" s="686"/>
      <c r="T236" s="686"/>
      <c r="U236"/>
    </row>
    <row r="237" spans="10:21" s="1" customFormat="1" x14ac:dyDescent="0.2">
      <c r="J237"/>
      <c r="K237"/>
      <c r="L237"/>
      <c r="M237"/>
      <c r="N237"/>
      <c r="O237" s="392"/>
      <c r="P237" s="2"/>
      <c r="R237" s="686"/>
      <c r="S237" s="686"/>
      <c r="T237" s="686"/>
      <c r="U237"/>
    </row>
    <row r="238" spans="10:21" s="1" customFormat="1" x14ac:dyDescent="0.2">
      <c r="J238"/>
      <c r="K238"/>
      <c r="L238"/>
      <c r="M238"/>
      <c r="N238"/>
      <c r="O238" s="392"/>
      <c r="P238" s="2"/>
      <c r="R238" s="686"/>
      <c r="S238" s="686"/>
      <c r="T238" s="686"/>
      <c r="U238"/>
    </row>
    <row r="239" spans="10:21" s="1" customFormat="1" x14ac:dyDescent="0.2">
      <c r="J239"/>
      <c r="K239"/>
      <c r="L239"/>
      <c r="M239"/>
      <c r="N239"/>
      <c r="O239" s="392"/>
      <c r="P239" s="2"/>
      <c r="R239" s="686"/>
      <c r="S239" s="686"/>
      <c r="T239" s="686"/>
      <c r="U239"/>
    </row>
    <row r="240" spans="10:21" s="1" customFormat="1" x14ac:dyDescent="0.2">
      <c r="J240"/>
      <c r="K240"/>
      <c r="L240"/>
      <c r="M240"/>
      <c r="N240"/>
      <c r="O240" s="392"/>
      <c r="P240" s="2"/>
      <c r="R240" s="686"/>
      <c r="S240" s="686"/>
      <c r="T240" s="686"/>
      <c r="U240"/>
    </row>
    <row r="241" spans="10:21" s="1" customFormat="1" x14ac:dyDescent="0.2">
      <c r="J241"/>
      <c r="K241"/>
      <c r="L241"/>
      <c r="M241"/>
      <c r="N241"/>
      <c r="O241" s="392"/>
      <c r="P241" s="2"/>
      <c r="R241" s="686"/>
      <c r="S241" s="686"/>
      <c r="T241" s="686"/>
      <c r="U241"/>
    </row>
    <row r="242" spans="10:21" s="1" customFormat="1" x14ac:dyDescent="0.2">
      <c r="J242"/>
      <c r="K242"/>
      <c r="L242"/>
      <c r="M242"/>
      <c r="N242"/>
      <c r="O242" s="392"/>
      <c r="P242" s="2"/>
      <c r="R242" s="686"/>
      <c r="S242" s="686"/>
      <c r="T242" s="686"/>
      <c r="U242"/>
    </row>
    <row r="243" spans="10:21" s="1" customFormat="1" x14ac:dyDescent="0.2">
      <c r="J243"/>
      <c r="K243"/>
      <c r="L243"/>
      <c r="M243"/>
      <c r="N243"/>
      <c r="O243" s="392"/>
      <c r="P243" s="2"/>
      <c r="R243" s="686"/>
      <c r="S243" s="686"/>
      <c r="T243" s="686"/>
      <c r="U243"/>
    </row>
    <row r="244" spans="10:21" s="1" customFormat="1" x14ac:dyDescent="0.2">
      <c r="J244"/>
      <c r="K244"/>
      <c r="L244"/>
      <c r="M244"/>
      <c r="N244"/>
      <c r="O244" s="392"/>
      <c r="P244" s="2"/>
      <c r="R244" s="686"/>
      <c r="S244" s="686"/>
      <c r="T244" s="686"/>
      <c r="U244"/>
    </row>
    <row r="245" spans="10:21" s="1" customFormat="1" x14ac:dyDescent="0.2">
      <c r="J245"/>
      <c r="K245"/>
      <c r="L245"/>
      <c r="M245"/>
      <c r="N245"/>
      <c r="O245" s="392"/>
      <c r="P245" s="2"/>
      <c r="R245" s="686"/>
      <c r="S245" s="686"/>
      <c r="T245" s="686"/>
      <c r="U245"/>
    </row>
    <row r="246" spans="10:21" s="1" customFormat="1" x14ac:dyDescent="0.2">
      <c r="J246"/>
      <c r="K246"/>
      <c r="L246"/>
      <c r="M246"/>
      <c r="N246"/>
      <c r="O246" s="392"/>
      <c r="P246" s="2"/>
      <c r="R246" s="686"/>
      <c r="S246" s="686"/>
      <c r="T246" s="686"/>
      <c r="U246"/>
    </row>
    <row r="247" spans="10:21" s="1" customFormat="1" x14ac:dyDescent="0.2">
      <c r="J247"/>
      <c r="K247"/>
      <c r="L247"/>
      <c r="M247"/>
      <c r="N247"/>
      <c r="O247" s="392"/>
      <c r="P247" s="2"/>
      <c r="R247" s="686"/>
      <c r="S247" s="686"/>
      <c r="T247" s="686"/>
      <c r="U247"/>
    </row>
    <row r="248" spans="10:21" s="1" customFormat="1" x14ac:dyDescent="0.2">
      <c r="J248"/>
      <c r="K248"/>
      <c r="L248"/>
      <c r="M248"/>
      <c r="N248"/>
      <c r="O248" s="392"/>
      <c r="P248" s="2"/>
      <c r="R248" s="686"/>
      <c r="S248" s="686"/>
      <c r="T248" s="686"/>
      <c r="U248"/>
    </row>
    <row r="249" spans="10:21" s="1" customFormat="1" x14ac:dyDescent="0.2">
      <c r="J249"/>
      <c r="K249"/>
      <c r="L249"/>
      <c r="M249"/>
      <c r="N249"/>
      <c r="O249" s="392"/>
      <c r="P249" s="2"/>
      <c r="R249" s="686"/>
      <c r="S249" s="686"/>
      <c r="T249" s="686"/>
      <c r="U249"/>
    </row>
    <row r="250" spans="10:21" s="1" customFormat="1" x14ac:dyDescent="0.2">
      <c r="J250"/>
      <c r="K250"/>
      <c r="L250"/>
      <c r="M250"/>
      <c r="N250"/>
      <c r="O250" s="392"/>
      <c r="P250" s="2"/>
      <c r="R250" s="686"/>
      <c r="S250" s="686"/>
      <c r="T250" s="686"/>
      <c r="U250"/>
    </row>
    <row r="251" spans="10:21" s="1" customFormat="1" x14ac:dyDescent="0.2">
      <c r="J251"/>
      <c r="K251"/>
      <c r="L251"/>
      <c r="M251"/>
      <c r="N251"/>
      <c r="O251" s="392"/>
      <c r="P251" s="2"/>
      <c r="R251" s="686"/>
      <c r="S251" s="686"/>
      <c r="T251" s="686"/>
      <c r="U251"/>
    </row>
    <row r="252" spans="10:21" s="1" customFormat="1" x14ac:dyDescent="0.2">
      <c r="J252"/>
      <c r="K252"/>
      <c r="L252"/>
      <c r="M252"/>
      <c r="N252"/>
      <c r="O252" s="392"/>
      <c r="P252" s="2"/>
      <c r="R252" s="686"/>
      <c r="S252" s="686"/>
      <c r="T252" s="686"/>
      <c r="U252"/>
    </row>
    <row r="253" spans="10:21" s="1" customFormat="1" x14ac:dyDescent="0.2">
      <c r="J253"/>
      <c r="K253"/>
      <c r="L253"/>
      <c r="M253"/>
      <c r="N253"/>
      <c r="O253" s="392"/>
      <c r="P253" s="2"/>
      <c r="R253" s="686"/>
      <c r="S253" s="686"/>
      <c r="T253" s="686"/>
      <c r="U253"/>
    </row>
    <row r="254" spans="10:21" s="1" customFormat="1" x14ac:dyDescent="0.2">
      <c r="J254"/>
      <c r="K254"/>
      <c r="L254"/>
      <c r="M254"/>
      <c r="N254"/>
      <c r="O254" s="392"/>
      <c r="P254" s="2"/>
      <c r="R254" s="686"/>
      <c r="S254" s="686"/>
      <c r="T254" s="686"/>
      <c r="U254"/>
    </row>
    <row r="255" spans="10:21" s="1" customFormat="1" x14ac:dyDescent="0.2">
      <c r="J255"/>
      <c r="K255"/>
      <c r="L255"/>
      <c r="M255"/>
      <c r="N255"/>
      <c r="O255" s="392"/>
      <c r="P255" s="2"/>
      <c r="R255" s="686"/>
      <c r="S255" s="686"/>
      <c r="T255" s="686"/>
      <c r="U255"/>
    </row>
    <row r="256" spans="10:21" s="1" customFormat="1" x14ac:dyDescent="0.2">
      <c r="J256"/>
      <c r="K256"/>
      <c r="L256"/>
      <c r="M256"/>
      <c r="N256"/>
      <c r="O256" s="392"/>
      <c r="P256" s="2"/>
      <c r="R256" s="686"/>
      <c r="S256" s="686"/>
      <c r="T256" s="686"/>
      <c r="U256"/>
    </row>
    <row r="257" spans="10:21" s="1" customFormat="1" x14ac:dyDescent="0.2">
      <c r="J257"/>
      <c r="K257"/>
      <c r="L257"/>
      <c r="M257"/>
      <c r="N257"/>
      <c r="O257" s="392"/>
      <c r="P257" s="2"/>
      <c r="R257" s="686"/>
      <c r="S257" s="686"/>
      <c r="T257" s="686"/>
      <c r="U257"/>
    </row>
    <row r="258" spans="10:21" s="1" customFormat="1" x14ac:dyDescent="0.2">
      <c r="J258"/>
      <c r="K258"/>
      <c r="L258"/>
      <c r="M258"/>
      <c r="N258"/>
      <c r="O258" s="392"/>
      <c r="P258" s="2"/>
      <c r="R258" s="686"/>
      <c r="S258" s="686"/>
      <c r="T258" s="686"/>
      <c r="U258"/>
    </row>
    <row r="259" spans="10:21" s="1" customFormat="1" x14ac:dyDescent="0.2">
      <c r="J259"/>
      <c r="K259"/>
      <c r="L259"/>
      <c r="M259"/>
      <c r="N259"/>
      <c r="O259" s="392"/>
      <c r="P259" s="2"/>
      <c r="R259" s="686"/>
      <c r="S259" s="686"/>
      <c r="T259" s="686"/>
      <c r="U259"/>
    </row>
    <row r="260" spans="10:21" s="1" customFormat="1" x14ac:dyDescent="0.2">
      <c r="J260"/>
      <c r="K260"/>
      <c r="L260"/>
      <c r="M260"/>
      <c r="N260"/>
      <c r="O260" s="392"/>
      <c r="P260" s="2"/>
      <c r="R260" s="686"/>
      <c r="S260" s="686"/>
      <c r="T260" s="686"/>
      <c r="U260"/>
    </row>
    <row r="261" spans="10:21" s="1" customFormat="1" x14ac:dyDescent="0.2">
      <c r="J261"/>
      <c r="K261"/>
      <c r="L261"/>
      <c r="M261"/>
      <c r="N261"/>
      <c r="O261" s="392"/>
      <c r="P261" s="2"/>
      <c r="R261" s="686"/>
      <c r="S261" s="686"/>
      <c r="T261" s="686"/>
      <c r="U261"/>
    </row>
    <row r="262" spans="10:21" s="1" customFormat="1" x14ac:dyDescent="0.2">
      <c r="J262"/>
      <c r="K262"/>
      <c r="L262"/>
      <c r="M262"/>
      <c r="N262"/>
      <c r="O262" s="392"/>
      <c r="P262" s="2"/>
      <c r="R262" s="686"/>
      <c r="S262" s="686"/>
      <c r="T262" s="686"/>
      <c r="U262"/>
    </row>
    <row r="263" spans="10:21" s="1" customFormat="1" x14ac:dyDescent="0.2">
      <c r="J263"/>
      <c r="K263"/>
      <c r="L263"/>
      <c r="M263"/>
      <c r="N263"/>
      <c r="O263" s="392"/>
      <c r="P263" s="2"/>
      <c r="R263" s="686"/>
      <c r="S263" s="686"/>
      <c r="T263" s="686"/>
      <c r="U263"/>
    </row>
    <row r="264" spans="10:21" s="1" customFormat="1" x14ac:dyDescent="0.2">
      <c r="J264"/>
      <c r="K264"/>
      <c r="L264"/>
      <c r="M264"/>
      <c r="N264"/>
      <c r="O264" s="392"/>
      <c r="P264" s="2"/>
      <c r="R264" s="686"/>
      <c r="S264" s="686"/>
      <c r="T264" s="686"/>
      <c r="U264"/>
    </row>
    <row r="265" spans="10:21" s="1" customFormat="1" x14ac:dyDescent="0.2">
      <c r="J265"/>
      <c r="K265"/>
      <c r="L265"/>
      <c r="M265"/>
      <c r="N265"/>
      <c r="O265" s="392"/>
      <c r="P265" s="2"/>
      <c r="R265" s="686"/>
      <c r="S265" s="686"/>
      <c r="T265" s="686"/>
      <c r="U265"/>
    </row>
    <row r="266" spans="10:21" s="1" customFormat="1" x14ac:dyDescent="0.2">
      <c r="J266"/>
      <c r="K266"/>
      <c r="L266"/>
      <c r="M266"/>
      <c r="N266"/>
      <c r="O266" s="392"/>
      <c r="P266" s="2"/>
      <c r="R266" s="686"/>
      <c r="S266" s="686"/>
      <c r="T266" s="686"/>
      <c r="U266"/>
    </row>
    <row r="267" spans="10:21" s="1" customFormat="1" x14ac:dyDescent="0.2">
      <c r="J267"/>
      <c r="K267"/>
      <c r="L267"/>
      <c r="M267"/>
      <c r="N267"/>
      <c r="O267" s="392"/>
      <c r="P267" s="2"/>
      <c r="R267" s="686"/>
      <c r="S267" s="686"/>
      <c r="T267" s="686"/>
      <c r="U267"/>
    </row>
    <row r="268" spans="10:21" s="1" customFormat="1" x14ac:dyDescent="0.2">
      <c r="J268"/>
      <c r="K268"/>
      <c r="L268"/>
      <c r="M268"/>
      <c r="N268"/>
      <c r="O268" s="392"/>
      <c r="P268" s="2"/>
      <c r="R268" s="686"/>
      <c r="S268" s="686"/>
      <c r="T268" s="686"/>
      <c r="U268"/>
    </row>
    <row r="269" spans="10:21" s="1" customFormat="1" x14ac:dyDescent="0.2">
      <c r="J269"/>
      <c r="K269"/>
      <c r="L269"/>
      <c r="M269"/>
      <c r="N269"/>
      <c r="O269" s="392"/>
      <c r="P269" s="2"/>
      <c r="R269" s="686"/>
      <c r="S269" s="686"/>
      <c r="T269" s="686"/>
      <c r="U269"/>
    </row>
    <row r="270" spans="10:21" s="1" customFormat="1" x14ac:dyDescent="0.2">
      <c r="J270"/>
      <c r="K270"/>
      <c r="L270"/>
      <c r="M270"/>
      <c r="N270"/>
      <c r="O270" s="392"/>
      <c r="P270" s="2"/>
      <c r="R270" s="686"/>
      <c r="S270" s="686"/>
      <c r="T270" s="686"/>
      <c r="U270"/>
    </row>
    <row r="271" spans="10:21" s="1" customFormat="1" x14ac:dyDescent="0.2">
      <c r="J271"/>
      <c r="K271"/>
      <c r="L271"/>
      <c r="M271"/>
      <c r="N271"/>
      <c r="O271" s="392"/>
      <c r="P271" s="2"/>
      <c r="R271" s="686"/>
      <c r="S271" s="686"/>
      <c r="T271" s="686"/>
      <c r="U271"/>
    </row>
    <row r="272" spans="10:21" s="1" customFormat="1" x14ac:dyDescent="0.2">
      <c r="J272"/>
      <c r="K272"/>
      <c r="L272"/>
      <c r="M272"/>
      <c r="N272"/>
      <c r="O272" s="392"/>
      <c r="P272" s="2"/>
      <c r="R272" s="686"/>
      <c r="S272" s="686"/>
      <c r="T272" s="686"/>
      <c r="U272"/>
    </row>
    <row r="273" spans="10:21" s="1" customFormat="1" x14ac:dyDescent="0.2">
      <c r="J273"/>
      <c r="K273"/>
      <c r="L273"/>
      <c r="M273"/>
      <c r="N273"/>
      <c r="O273" s="392"/>
      <c r="P273" s="2"/>
      <c r="R273" s="686"/>
      <c r="S273" s="686"/>
      <c r="T273" s="686"/>
      <c r="U273"/>
    </row>
    <row r="274" spans="10:21" s="1" customFormat="1" x14ac:dyDescent="0.2">
      <c r="J274"/>
      <c r="K274"/>
      <c r="L274"/>
      <c r="M274"/>
      <c r="N274"/>
      <c r="O274" s="392"/>
      <c r="P274" s="2"/>
      <c r="R274" s="686"/>
      <c r="S274" s="686"/>
      <c r="T274" s="686"/>
      <c r="U274"/>
    </row>
    <row r="275" spans="10:21" s="1" customFormat="1" x14ac:dyDescent="0.2">
      <c r="J275"/>
      <c r="K275"/>
      <c r="L275"/>
      <c r="M275"/>
      <c r="N275"/>
      <c r="O275" s="392"/>
      <c r="P275" s="2"/>
      <c r="R275" s="686"/>
      <c r="S275" s="686"/>
      <c r="T275" s="686"/>
      <c r="U275"/>
    </row>
    <row r="276" spans="10:21" s="1" customFormat="1" x14ac:dyDescent="0.2">
      <c r="J276"/>
      <c r="K276"/>
      <c r="L276"/>
      <c r="M276"/>
      <c r="N276"/>
      <c r="O276" s="392"/>
      <c r="P276" s="2"/>
      <c r="R276" s="686"/>
      <c r="S276" s="686"/>
      <c r="T276" s="686"/>
      <c r="U276"/>
    </row>
    <row r="277" spans="10:21" s="1" customFormat="1" x14ac:dyDescent="0.2">
      <c r="J277"/>
      <c r="K277"/>
      <c r="L277"/>
      <c r="M277"/>
      <c r="N277"/>
      <c r="O277" s="392"/>
      <c r="P277" s="2"/>
      <c r="R277" s="686"/>
      <c r="S277" s="686"/>
      <c r="T277" s="686"/>
      <c r="U277"/>
    </row>
    <row r="278" spans="10:21" s="1" customFormat="1" x14ac:dyDescent="0.2">
      <c r="J278"/>
      <c r="K278"/>
      <c r="L278"/>
      <c r="M278"/>
      <c r="N278"/>
      <c r="O278" s="392"/>
      <c r="P278" s="2"/>
      <c r="R278" s="686"/>
      <c r="S278" s="686"/>
      <c r="T278" s="686"/>
      <c r="U278"/>
    </row>
    <row r="279" spans="10:21" s="1" customFormat="1" x14ac:dyDescent="0.2">
      <c r="J279"/>
      <c r="K279"/>
      <c r="L279"/>
      <c r="M279"/>
      <c r="N279"/>
      <c r="O279" s="392"/>
      <c r="P279" s="2"/>
      <c r="R279" s="686"/>
      <c r="S279" s="686"/>
      <c r="T279" s="686"/>
      <c r="U279"/>
    </row>
    <row r="280" spans="10:21" s="1" customFormat="1" x14ac:dyDescent="0.2">
      <c r="J280"/>
      <c r="K280"/>
      <c r="L280"/>
      <c r="M280"/>
      <c r="N280"/>
      <c r="O280" s="392"/>
      <c r="P280" s="2"/>
      <c r="R280" s="686"/>
      <c r="S280" s="686"/>
      <c r="T280" s="686"/>
      <c r="U280"/>
    </row>
    <row r="281" spans="10:21" s="1" customFormat="1" x14ac:dyDescent="0.2">
      <c r="J281"/>
      <c r="K281"/>
      <c r="L281"/>
      <c r="M281"/>
      <c r="N281"/>
      <c r="O281" s="392"/>
      <c r="P281" s="2"/>
      <c r="R281" s="686"/>
      <c r="S281" s="686"/>
      <c r="T281" s="686"/>
      <c r="U281"/>
    </row>
    <row r="282" spans="10:21" s="1" customFormat="1" x14ac:dyDescent="0.2">
      <c r="J282"/>
      <c r="K282"/>
      <c r="L282"/>
      <c r="M282"/>
      <c r="N282"/>
      <c r="O282" s="392"/>
      <c r="P282" s="2"/>
      <c r="R282" s="686"/>
      <c r="S282" s="686"/>
      <c r="T282" s="686"/>
      <c r="U282"/>
    </row>
    <row r="283" spans="10:21" s="1" customFormat="1" x14ac:dyDescent="0.2">
      <c r="J283"/>
      <c r="K283"/>
      <c r="L283"/>
      <c r="M283"/>
      <c r="N283"/>
      <c r="O283" s="392"/>
      <c r="P283" s="2"/>
      <c r="R283" s="686"/>
      <c r="S283" s="686"/>
      <c r="T283" s="686"/>
      <c r="U283"/>
    </row>
    <row r="284" spans="10:21" s="1" customFormat="1" x14ac:dyDescent="0.2">
      <c r="J284"/>
      <c r="K284"/>
      <c r="L284"/>
      <c r="M284"/>
      <c r="N284"/>
      <c r="O284" s="392"/>
      <c r="P284" s="2"/>
      <c r="R284" s="686"/>
      <c r="S284" s="686"/>
      <c r="T284" s="686"/>
      <c r="U284"/>
    </row>
    <row r="285" spans="10:21" s="1" customFormat="1" x14ac:dyDescent="0.2">
      <c r="J285"/>
      <c r="K285"/>
      <c r="L285"/>
      <c r="M285"/>
      <c r="N285"/>
      <c r="O285" s="392"/>
      <c r="P285" s="2"/>
      <c r="R285" s="686"/>
      <c r="S285" s="686"/>
      <c r="T285" s="686"/>
      <c r="U285"/>
    </row>
    <row r="286" spans="10:21" s="1" customFormat="1" x14ac:dyDescent="0.2">
      <c r="J286"/>
      <c r="K286"/>
      <c r="L286"/>
      <c r="M286"/>
      <c r="N286"/>
      <c r="O286" s="392"/>
      <c r="P286" s="2"/>
      <c r="R286" s="686"/>
      <c r="S286" s="686"/>
      <c r="T286" s="686"/>
      <c r="U286"/>
    </row>
    <row r="287" spans="10:21" s="1" customFormat="1" x14ac:dyDescent="0.2">
      <c r="J287"/>
      <c r="K287"/>
      <c r="L287"/>
      <c r="M287"/>
      <c r="N287"/>
      <c r="O287" s="392"/>
      <c r="P287" s="2"/>
      <c r="R287" s="686"/>
      <c r="S287" s="686"/>
      <c r="T287" s="686"/>
      <c r="U287"/>
    </row>
    <row r="288" spans="10:21" s="1" customFormat="1" x14ac:dyDescent="0.2">
      <c r="J288"/>
      <c r="K288"/>
      <c r="L288"/>
      <c r="M288"/>
      <c r="N288"/>
      <c r="O288" s="392"/>
      <c r="P288" s="2"/>
      <c r="R288" s="686"/>
      <c r="S288" s="686"/>
      <c r="T288" s="686"/>
      <c r="U288"/>
    </row>
    <row r="289" spans="10:21" s="1" customFormat="1" x14ac:dyDescent="0.2">
      <c r="J289"/>
      <c r="K289"/>
      <c r="L289"/>
      <c r="M289"/>
      <c r="N289"/>
      <c r="O289" s="392"/>
      <c r="P289" s="2"/>
      <c r="R289" s="686"/>
      <c r="S289" s="686"/>
      <c r="T289" s="686"/>
      <c r="U289"/>
    </row>
    <row r="290" spans="10:21" s="1" customFormat="1" x14ac:dyDescent="0.2">
      <c r="J290"/>
      <c r="K290"/>
      <c r="L290"/>
      <c r="M290"/>
      <c r="N290"/>
      <c r="O290" s="392"/>
      <c r="P290" s="2"/>
      <c r="R290" s="686"/>
      <c r="S290" s="686"/>
      <c r="T290" s="686"/>
      <c r="U290"/>
    </row>
    <row r="291" spans="10:21" s="1" customFormat="1" x14ac:dyDescent="0.2">
      <c r="J291"/>
      <c r="K291"/>
      <c r="L291"/>
      <c r="M291"/>
      <c r="N291"/>
      <c r="O291" s="392"/>
      <c r="P291" s="2"/>
      <c r="R291" s="686"/>
      <c r="S291" s="686"/>
      <c r="T291" s="686"/>
      <c r="U291"/>
    </row>
    <row r="292" spans="10:21" s="1" customFormat="1" x14ac:dyDescent="0.2">
      <c r="J292"/>
      <c r="K292"/>
      <c r="L292"/>
      <c r="M292"/>
      <c r="N292"/>
      <c r="O292" s="392"/>
      <c r="P292" s="2"/>
      <c r="R292" s="686"/>
      <c r="S292" s="686"/>
      <c r="T292" s="686"/>
      <c r="U292"/>
    </row>
    <row r="293" spans="10:21" s="1" customFormat="1" x14ac:dyDescent="0.2">
      <c r="J293"/>
      <c r="K293"/>
      <c r="L293"/>
      <c r="M293"/>
      <c r="N293"/>
      <c r="O293" s="392"/>
      <c r="P293" s="2"/>
      <c r="R293" s="686"/>
      <c r="S293" s="686"/>
      <c r="T293" s="686"/>
      <c r="U293"/>
    </row>
    <row r="294" spans="10:21" s="1" customFormat="1" x14ac:dyDescent="0.2">
      <c r="J294"/>
      <c r="K294"/>
      <c r="L294"/>
      <c r="M294"/>
      <c r="N294"/>
      <c r="O294" s="392"/>
      <c r="P294" s="2"/>
      <c r="R294" s="686"/>
      <c r="S294" s="686"/>
      <c r="T294" s="686"/>
      <c r="U294"/>
    </row>
    <row r="295" spans="10:21" s="1" customFormat="1" x14ac:dyDescent="0.2">
      <c r="J295"/>
      <c r="K295"/>
      <c r="L295"/>
      <c r="M295"/>
      <c r="N295"/>
      <c r="O295" s="392"/>
      <c r="P295" s="2"/>
      <c r="R295" s="686"/>
      <c r="S295" s="686"/>
      <c r="T295" s="686"/>
      <c r="U295"/>
    </row>
    <row r="296" spans="10:21" s="1" customFormat="1" x14ac:dyDescent="0.2">
      <c r="J296"/>
      <c r="K296"/>
      <c r="L296"/>
      <c r="M296"/>
      <c r="N296"/>
      <c r="O296" s="392"/>
      <c r="P296" s="2"/>
      <c r="R296" s="686"/>
      <c r="S296" s="686"/>
      <c r="T296" s="686"/>
      <c r="U296"/>
    </row>
    <row r="297" spans="10:21" s="1" customFormat="1" x14ac:dyDescent="0.2">
      <c r="J297"/>
      <c r="K297"/>
      <c r="L297"/>
      <c r="M297"/>
      <c r="N297"/>
      <c r="O297" s="392"/>
      <c r="P297" s="2"/>
      <c r="R297" s="686"/>
      <c r="S297" s="686"/>
      <c r="T297" s="686"/>
      <c r="U297"/>
    </row>
    <row r="298" spans="10:21" s="1" customFormat="1" x14ac:dyDescent="0.2">
      <c r="J298"/>
      <c r="K298"/>
      <c r="L298"/>
      <c r="M298"/>
      <c r="N298"/>
      <c r="O298" s="392"/>
      <c r="P298" s="2"/>
      <c r="R298" s="686"/>
      <c r="S298" s="686"/>
      <c r="T298" s="686"/>
      <c r="U298"/>
    </row>
    <row r="299" spans="10:21" s="1" customFormat="1" x14ac:dyDescent="0.2">
      <c r="J299"/>
      <c r="K299"/>
      <c r="L299"/>
      <c r="M299"/>
      <c r="N299"/>
      <c r="O299" s="392"/>
      <c r="P299" s="2"/>
      <c r="R299" s="686"/>
      <c r="S299" s="686"/>
      <c r="T299" s="686"/>
      <c r="U299"/>
    </row>
    <row r="300" spans="10:21" s="1" customFormat="1" x14ac:dyDescent="0.2">
      <c r="J300"/>
      <c r="K300"/>
      <c r="L300"/>
      <c r="M300"/>
      <c r="N300"/>
      <c r="O300" s="392"/>
      <c r="P300" s="2"/>
      <c r="R300" s="686"/>
      <c r="S300" s="686"/>
      <c r="T300" s="686"/>
      <c r="U300"/>
    </row>
    <row r="301" spans="10:21" s="1" customFormat="1" x14ac:dyDescent="0.2">
      <c r="J301"/>
      <c r="K301"/>
      <c r="L301"/>
      <c r="M301"/>
      <c r="N301"/>
      <c r="O301" s="392"/>
      <c r="P301" s="2"/>
      <c r="R301" s="686"/>
      <c r="S301" s="686"/>
      <c r="T301" s="686"/>
      <c r="U301"/>
    </row>
    <row r="302" spans="10:21" s="1" customFormat="1" x14ac:dyDescent="0.2">
      <c r="J302"/>
      <c r="K302"/>
      <c r="L302"/>
      <c r="M302"/>
      <c r="N302"/>
      <c r="O302" s="392"/>
      <c r="P302" s="2"/>
      <c r="R302" s="686"/>
      <c r="S302" s="686"/>
      <c r="T302" s="686"/>
      <c r="U302"/>
    </row>
    <row r="303" spans="10:21" s="1" customFormat="1" x14ac:dyDescent="0.2">
      <c r="J303"/>
      <c r="K303"/>
      <c r="L303"/>
      <c r="M303"/>
      <c r="N303"/>
      <c r="O303" s="392"/>
      <c r="P303" s="2"/>
      <c r="R303" s="686"/>
      <c r="S303" s="686"/>
      <c r="T303" s="686"/>
      <c r="U303"/>
    </row>
    <row r="304" spans="10:21" s="1" customFormat="1" x14ac:dyDescent="0.2">
      <c r="J304"/>
      <c r="K304"/>
      <c r="L304"/>
      <c r="M304"/>
      <c r="N304"/>
      <c r="O304" s="392"/>
      <c r="P304" s="2"/>
      <c r="R304" s="686"/>
      <c r="S304" s="686"/>
      <c r="T304" s="686"/>
      <c r="U304"/>
    </row>
    <row r="305" spans="10:21" s="1" customFormat="1" x14ac:dyDescent="0.2">
      <c r="J305"/>
      <c r="K305"/>
      <c r="L305"/>
      <c r="M305"/>
      <c r="N305"/>
      <c r="O305" s="392"/>
      <c r="P305" s="2"/>
      <c r="R305" s="686"/>
      <c r="S305" s="686"/>
      <c r="T305" s="686"/>
      <c r="U305"/>
    </row>
    <row r="306" spans="10:21" s="1" customFormat="1" x14ac:dyDescent="0.2">
      <c r="J306"/>
      <c r="K306"/>
      <c r="L306"/>
      <c r="M306"/>
      <c r="N306"/>
      <c r="O306" s="392"/>
      <c r="P306" s="2"/>
      <c r="R306" s="686"/>
      <c r="S306" s="686"/>
      <c r="T306" s="686"/>
      <c r="U306"/>
    </row>
    <row r="307" spans="10:21" s="1" customFormat="1" x14ac:dyDescent="0.2">
      <c r="J307"/>
      <c r="K307"/>
      <c r="L307"/>
      <c r="M307"/>
      <c r="N307"/>
      <c r="O307" s="392"/>
      <c r="P307" s="2"/>
      <c r="R307" s="686"/>
      <c r="S307" s="686"/>
      <c r="T307" s="686"/>
      <c r="U307"/>
    </row>
    <row r="308" spans="10:21" s="1" customFormat="1" x14ac:dyDescent="0.2">
      <c r="J308"/>
      <c r="K308"/>
      <c r="L308"/>
      <c r="M308"/>
      <c r="N308"/>
      <c r="O308" s="392"/>
      <c r="P308" s="2"/>
      <c r="R308" s="686"/>
      <c r="S308" s="686"/>
      <c r="T308" s="686"/>
      <c r="U308"/>
    </row>
    <row r="309" spans="10:21" s="1" customFormat="1" x14ac:dyDescent="0.2">
      <c r="J309"/>
      <c r="K309"/>
      <c r="L309"/>
      <c r="M309"/>
      <c r="N309"/>
      <c r="O309" s="392"/>
      <c r="P309" s="2"/>
      <c r="R309" s="686"/>
      <c r="S309" s="686"/>
      <c r="T309" s="686"/>
      <c r="U309"/>
    </row>
    <row r="310" spans="10:21" s="1" customFormat="1" x14ac:dyDescent="0.2">
      <c r="J310"/>
      <c r="K310"/>
      <c r="L310"/>
      <c r="M310"/>
      <c r="N310"/>
      <c r="O310" s="392"/>
      <c r="P310" s="2"/>
      <c r="R310" s="686"/>
      <c r="S310" s="686"/>
      <c r="T310" s="686"/>
      <c r="U310"/>
    </row>
    <row r="311" spans="10:21" s="1" customFormat="1" x14ac:dyDescent="0.2">
      <c r="J311"/>
      <c r="K311"/>
      <c r="L311"/>
      <c r="M311"/>
      <c r="N311"/>
      <c r="O311" s="392"/>
      <c r="P311" s="2"/>
      <c r="R311" s="686"/>
      <c r="S311" s="686"/>
      <c r="T311" s="686"/>
      <c r="U311"/>
    </row>
    <row r="312" spans="10:21" s="1" customFormat="1" x14ac:dyDescent="0.2">
      <c r="J312"/>
      <c r="K312"/>
      <c r="L312"/>
      <c r="M312"/>
      <c r="N312"/>
      <c r="O312" s="392"/>
      <c r="P312" s="2"/>
      <c r="R312" s="686"/>
      <c r="S312" s="686"/>
      <c r="T312" s="686"/>
      <c r="U312"/>
    </row>
    <row r="313" spans="10:21" s="1" customFormat="1" x14ac:dyDescent="0.2">
      <c r="J313"/>
      <c r="K313"/>
      <c r="L313"/>
      <c r="M313"/>
      <c r="N313"/>
      <c r="O313" s="392"/>
      <c r="P313" s="2"/>
      <c r="R313" s="686"/>
      <c r="S313" s="686"/>
      <c r="T313" s="686"/>
      <c r="U313"/>
    </row>
    <row r="314" spans="10:21" s="1" customFormat="1" x14ac:dyDescent="0.2">
      <c r="J314"/>
      <c r="K314"/>
      <c r="L314"/>
      <c r="M314"/>
      <c r="N314"/>
      <c r="O314" s="392"/>
      <c r="P314" s="2"/>
      <c r="R314" s="686"/>
      <c r="S314" s="686"/>
      <c r="T314" s="686"/>
      <c r="U314"/>
    </row>
    <row r="315" spans="10:21" s="1" customFormat="1" x14ac:dyDescent="0.2">
      <c r="J315"/>
      <c r="K315"/>
      <c r="L315"/>
      <c r="M315"/>
      <c r="N315"/>
      <c r="O315" s="392"/>
      <c r="P315" s="2"/>
      <c r="R315" s="686"/>
      <c r="S315" s="686"/>
      <c r="T315" s="686"/>
      <c r="U315"/>
    </row>
    <row r="316" spans="10:21" s="1" customFormat="1" x14ac:dyDescent="0.2">
      <c r="J316"/>
      <c r="K316"/>
      <c r="L316"/>
      <c r="M316"/>
      <c r="N316"/>
      <c r="O316" s="392"/>
      <c r="P316" s="2"/>
      <c r="R316" s="686"/>
      <c r="S316" s="686"/>
      <c r="T316" s="686"/>
      <c r="U316"/>
    </row>
    <row r="317" spans="10:21" s="1" customFormat="1" x14ac:dyDescent="0.2">
      <c r="J317"/>
      <c r="K317"/>
      <c r="L317"/>
      <c r="M317"/>
      <c r="N317"/>
      <c r="O317" s="392"/>
      <c r="P317" s="2"/>
      <c r="R317" s="686"/>
      <c r="S317" s="686"/>
      <c r="T317" s="686"/>
      <c r="U317"/>
    </row>
    <row r="318" spans="10:21" s="1" customFormat="1" x14ac:dyDescent="0.2">
      <c r="J318"/>
      <c r="K318"/>
      <c r="L318"/>
      <c r="M318"/>
      <c r="N318"/>
      <c r="O318" s="392"/>
      <c r="P318" s="2"/>
      <c r="R318" s="686"/>
      <c r="S318" s="686"/>
      <c r="T318" s="686"/>
      <c r="U318"/>
    </row>
    <row r="319" spans="10:21" s="1" customFormat="1" x14ac:dyDescent="0.2">
      <c r="J319"/>
      <c r="K319"/>
      <c r="L319"/>
      <c r="M319"/>
      <c r="N319"/>
      <c r="O319" s="392"/>
      <c r="P319" s="2"/>
      <c r="R319" s="686"/>
      <c r="S319" s="686"/>
      <c r="T319" s="686"/>
      <c r="U319"/>
    </row>
    <row r="320" spans="10:21" s="1" customFormat="1" x14ac:dyDescent="0.2">
      <c r="J320"/>
      <c r="K320"/>
      <c r="L320"/>
      <c r="M320"/>
      <c r="N320"/>
      <c r="O320" s="392"/>
      <c r="P320" s="2"/>
      <c r="R320" s="686"/>
      <c r="S320" s="686"/>
      <c r="T320" s="686"/>
      <c r="U320"/>
    </row>
    <row r="321" spans="10:21" s="1" customFormat="1" x14ac:dyDescent="0.2">
      <c r="J321"/>
      <c r="K321"/>
      <c r="L321"/>
      <c r="M321"/>
      <c r="N321"/>
      <c r="O321" s="392"/>
      <c r="P321" s="2"/>
      <c r="R321" s="686"/>
      <c r="S321" s="686"/>
      <c r="T321" s="686"/>
      <c r="U321"/>
    </row>
    <row r="322" spans="10:21" s="1" customFormat="1" x14ac:dyDescent="0.2">
      <c r="J322"/>
      <c r="K322"/>
      <c r="L322"/>
      <c r="M322"/>
      <c r="N322"/>
      <c r="O322" s="392"/>
      <c r="P322" s="2"/>
      <c r="R322" s="686"/>
      <c r="S322" s="686"/>
      <c r="T322" s="686"/>
      <c r="U322"/>
    </row>
    <row r="323" spans="10:21" s="1" customFormat="1" x14ac:dyDescent="0.2">
      <c r="J323"/>
      <c r="K323"/>
      <c r="L323"/>
      <c r="M323"/>
      <c r="N323"/>
      <c r="O323" s="392"/>
      <c r="P323" s="2"/>
      <c r="R323" s="686"/>
      <c r="S323" s="686"/>
      <c r="T323" s="686"/>
      <c r="U323"/>
    </row>
    <row r="324" spans="10:21" s="1" customFormat="1" x14ac:dyDescent="0.2">
      <c r="J324"/>
      <c r="K324"/>
      <c r="L324"/>
      <c r="M324"/>
      <c r="N324"/>
      <c r="O324" s="392"/>
      <c r="P324" s="2"/>
      <c r="R324" s="686"/>
      <c r="S324" s="686"/>
      <c r="T324" s="686"/>
      <c r="U324"/>
    </row>
    <row r="325" spans="10:21" s="1" customFormat="1" x14ac:dyDescent="0.2">
      <c r="J325"/>
      <c r="K325"/>
      <c r="L325"/>
      <c r="M325"/>
      <c r="N325"/>
      <c r="O325" s="392"/>
      <c r="P325" s="2"/>
      <c r="R325" s="686"/>
      <c r="S325" s="686"/>
      <c r="T325" s="686"/>
      <c r="U325"/>
    </row>
    <row r="326" spans="10:21" s="1" customFormat="1" x14ac:dyDescent="0.2">
      <c r="J326"/>
      <c r="K326"/>
      <c r="L326"/>
      <c r="M326"/>
      <c r="N326"/>
      <c r="O326" s="392"/>
      <c r="P326" s="2"/>
      <c r="R326" s="686"/>
      <c r="S326" s="686"/>
      <c r="T326" s="686"/>
      <c r="U326"/>
    </row>
    <row r="327" spans="10:21" s="1" customFormat="1" x14ac:dyDescent="0.2">
      <c r="J327"/>
      <c r="K327"/>
      <c r="L327"/>
      <c r="M327"/>
      <c r="N327"/>
      <c r="O327" s="392"/>
      <c r="P327" s="2"/>
      <c r="R327" s="686"/>
      <c r="S327" s="686"/>
      <c r="T327" s="686"/>
      <c r="U327"/>
    </row>
    <row r="328" spans="10:21" s="1" customFormat="1" x14ac:dyDescent="0.2">
      <c r="J328"/>
      <c r="K328"/>
      <c r="L328"/>
      <c r="M328"/>
      <c r="N328"/>
      <c r="O328" s="392"/>
      <c r="P328" s="2"/>
      <c r="R328" s="686"/>
      <c r="S328" s="686"/>
      <c r="T328" s="686"/>
      <c r="U328"/>
    </row>
    <row r="329" spans="10:21" s="1" customFormat="1" x14ac:dyDescent="0.2">
      <c r="J329"/>
      <c r="K329"/>
      <c r="L329"/>
      <c r="M329"/>
      <c r="N329"/>
      <c r="O329" s="392"/>
      <c r="P329" s="2"/>
      <c r="R329" s="686"/>
      <c r="S329" s="686"/>
      <c r="T329" s="686"/>
      <c r="U329"/>
    </row>
    <row r="330" spans="10:21" s="1" customFormat="1" x14ac:dyDescent="0.2">
      <c r="J330"/>
      <c r="K330"/>
      <c r="L330"/>
      <c r="M330"/>
      <c r="N330"/>
      <c r="O330" s="392"/>
      <c r="P330" s="2"/>
      <c r="R330" s="686"/>
      <c r="S330" s="686"/>
      <c r="T330" s="686"/>
      <c r="U330"/>
    </row>
    <row r="331" spans="10:21" s="1" customFormat="1" x14ac:dyDescent="0.2">
      <c r="J331"/>
      <c r="K331"/>
      <c r="L331"/>
      <c r="M331"/>
      <c r="N331"/>
      <c r="O331" s="392"/>
      <c r="P331" s="2"/>
      <c r="R331" s="686"/>
      <c r="S331" s="686"/>
      <c r="T331" s="686"/>
      <c r="U331"/>
    </row>
    <row r="332" spans="10:21" s="1" customFormat="1" x14ac:dyDescent="0.2">
      <c r="J332"/>
      <c r="K332"/>
      <c r="L332"/>
      <c r="M332"/>
      <c r="N332"/>
      <c r="O332" s="392"/>
      <c r="P332" s="2"/>
      <c r="R332" s="686"/>
      <c r="S332" s="686"/>
      <c r="T332" s="686"/>
      <c r="U332"/>
    </row>
    <row r="333" spans="10:21" s="1" customFormat="1" x14ac:dyDescent="0.2">
      <c r="J333"/>
      <c r="K333"/>
      <c r="L333"/>
      <c r="M333"/>
      <c r="N333"/>
      <c r="O333" s="392"/>
      <c r="P333" s="2"/>
      <c r="R333" s="686"/>
      <c r="S333" s="686"/>
      <c r="T333" s="686"/>
      <c r="U333"/>
    </row>
    <row r="334" spans="10:21" s="1" customFormat="1" x14ac:dyDescent="0.2">
      <c r="J334"/>
      <c r="K334"/>
      <c r="L334"/>
      <c r="M334"/>
      <c r="N334"/>
      <c r="O334" s="392"/>
      <c r="P334" s="2"/>
      <c r="R334" s="686"/>
      <c r="S334" s="686"/>
      <c r="T334" s="686"/>
      <c r="U334"/>
    </row>
    <row r="335" spans="10:21" s="1" customFormat="1" x14ac:dyDescent="0.2">
      <c r="J335"/>
      <c r="K335"/>
      <c r="L335"/>
      <c r="M335"/>
      <c r="N335"/>
      <c r="O335" s="392"/>
      <c r="P335" s="2"/>
      <c r="R335" s="686"/>
      <c r="S335" s="686"/>
      <c r="T335" s="686"/>
      <c r="U335"/>
    </row>
    <row r="336" spans="10:21" s="1" customFormat="1" x14ac:dyDescent="0.2">
      <c r="J336"/>
      <c r="K336"/>
      <c r="L336"/>
      <c r="M336"/>
      <c r="N336"/>
      <c r="O336" s="392"/>
      <c r="P336" s="2"/>
      <c r="R336" s="686"/>
      <c r="S336" s="686"/>
      <c r="T336" s="686"/>
      <c r="U336"/>
    </row>
    <row r="337" spans="10:21" s="1" customFormat="1" x14ac:dyDescent="0.2">
      <c r="J337"/>
      <c r="K337"/>
      <c r="L337"/>
      <c r="M337"/>
      <c r="N337"/>
      <c r="O337" s="392"/>
      <c r="P337" s="2"/>
      <c r="R337" s="686"/>
      <c r="S337" s="686"/>
      <c r="T337" s="686"/>
      <c r="U337"/>
    </row>
    <row r="338" spans="10:21" s="1" customFormat="1" x14ac:dyDescent="0.2">
      <c r="J338"/>
      <c r="K338"/>
      <c r="L338"/>
      <c r="M338"/>
      <c r="N338"/>
      <c r="O338" s="392"/>
      <c r="P338" s="2"/>
      <c r="R338" s="686"/>
      <c r="S338" s="686"/>
      <c r="T338" s="686"/>
      <c r="U338"/>
    </row>
    <row r="339" spans="10:21" s="1" customFormat="1" x14ac:dyDescent="0.2">
      <c r="J339"/>
      <c r="K339"/>
      <c r="L339"/>
      <c r="M339"/>
      <c r="N339"/>
      <c r="O339" s="392"/>
      <c r="P339" s="2"/>
      <c r="R339" s="686"/>
      <c r="S339" s="686"/>
      <c r="T339" s="686"/>
      <c r="U339"/>
    </row>
    <row r="340" spans="10:21" s="1" customFormat="1" x14ac:dyDescent="0.2">
      <c r="J340"/>
      <c r="K340"/>
      <c r="L340"/>
      <c r="M340"/>
      <c r="N340"/>
      <c r="O340" s="392"/>
      <c r="P340" s="2"/>
      <c r="R340" s="686"/>
      <c r="S340" s="686"/>
      <c r="T340" s="686"/>
      <c r="U340"/>
    </row>
    <row r="341" spans="10:21" s="1" customFormat="1" x14ac:dyDescent="0.2">
      <c r="J341"/>
      <c r="K341"/>
      <c r="L341"/>
      <c r="M341"/>
      <c r="N341"/>
      <c r="O341" s="392"/>
      <c r="P341" s="2"/>
      <c r="R341" s="686"/>
      <c r="S341" s="686"/>
      <c r="T341" s="686"/>
      <c r="U341"/>
    </row>
    <row r="342" spans="10:21" s="1" customFormat="1" x14ac:dyDescent="0.2">
      <c r="J342"/>
      <c r="K342"/>
      <c r="L342"/>
      <c r="M342"/>
      <c r="N342"/>
      <c r="O342" s="392"/>
      <c r="P342" s="2"/>
      <c r="R342" s="686"/>
      <c r="S342" s="686"/>
      <c r="T342" s="686"/>
      <c r="U342"/>
    </row>
    <row r="343" spans="10:21" s="1" customFormat="1" x14ac:dyDescent="0.2">
      <c r="J343"/>
      <c r="K343"/>
      <c r="L343"/>
      <c r="M343"/>
      <c r="N343"/>
      <c r="O343" s="392"/>
      <c r="P343" s="2"/>
      <c r="R343" s="686"/>
      <c r="S343" s="686"/>
      <c r="T343" s="686"/>
      <c r="U343"/>
    </row>
    <row r="344" spans="10:21" s="1" customFormat="1" x14ac:dyDescent="0.2">
      <c r="J344"/>
      <c r="K344"/>
      <c r="L344"/>
      <c r="M344"/>
      <c r="N344"/>
      <c r="O344" s="392"/>
      <c r="P344" s="2"/>
      <c r="R344" s="686"/>
      <c r="S344" s="686"/>
      <c r="T344" s="686"/>
      <c r="U344"/>
    </row>
    <row r="345" spans="10:21" s="1" customFormat="1" x14ac:dyDescent="0.2">
      <c r="J345"/>
      <c r="K345"/>
      <c r="L345"/>
      <c r="M345"/>
      <c r="N345"/>
      <c r="O345" s="392"/>
      <c r="P345" s="2"/>
      <c r="R345" s="686"/>
      <c r="S345" s="686"/>
      <c r="T345" s="686"/>
      <c r="U345"/>
    </row>
    <row r="346" spans="10:21" s="1" customFormat="1" x14ac:dyDescent="0.2">
      <c r="J346"/>
      <c r="K346"/>
      <c r="L346"/>
      <c r="M346"/>
      <c r="N346"/>
      <c r="O346" s="392"/>
      <c r="P346" s="2"/>
      <c r="R346" s="686"/>
      <c r="S346" s="686"/>
      <c r="T346" s="686"/>
      <c r="U346"/>
    </row>
    <row r="347" spans="10:21" s="1" customFormat="1" x14ac:dyDescent="0.2">
      <c r="J347"/>
      <c r="K347"/>
      <c r="L347"/>
      <c r="M347"/>
      <c r="N347"/>
      <c r="O347" s="392"/>
      <c r="P347" s="2"/>
      <c r="R347" s="686"/>
      <c r="S347" s="686"/>
      <c r="T347" s="686"/>
      <c r="U347"/>
    </row>
    <row r="348" spans="10:21" s="1" customFormat="1" x14ac:dyDescent="0.2">
      <c r="J348"/>
      <c r="K348"/>
      <c r="L348"/>
      <c r="M348"/>
      <c r="N348"/>
      <c r="O348" s="392"/>
      <c r="P348" s="2"/>
      <c r="R348" s="686"/>
      <c r="S348" s="686"/>
      <c r="T348" s="686"/>
      <c r="U348"/>
    </row>
    <row r="349" spans="10:21" s="1" customFormat="1" x14ac:dyDescent="0.2">
      <c r="J349"/>
      <c r="K349"/>
      <c r="L349"/>
      <c r="M349"/>
      <c r="N349"/>
      <c r="O349" s="392"/>
      <c r="P349" s="2"/>
      <c r="R349" s="686"/>
      <c r="S349" s="686"/>
      <c r="T349" s="686"/>
      <c r="U349"/>
    </row>
    <row r="350" spans="10:21" s="1" customFormat="1" x14ac:dyDescent="0.2">
      <c r="J350"/>
      <c r="K350"/>
      <c r="L350"/>
      <c r="M350"/>
      <c r="N350"/>
      <c r="O350" s="392"/>
      <c r="P350" s="2"/>
      <c r="R350" s="686"/>
      <c r="S350" s="686"/>
      <c r="T350" s="686"/>
      <c r="U350"/>
    </row>
    <row r="351" spans="10:21" s="1" customFormat="1" x14ac:dyDescent="0.2">
      <c r="J351"/>
      <c r="K351"/>
      <c r="L351"/>
      <c r="M351"/>
      <c r="N351"/>
      <c r="O351" s="392"/>
      <c r="P351" s="2"/>
      <c r="R351" s="686"/>
      <c r="S351" s="686"/>
      <c r="T351" s="686"/>
      <c r="U351"/>
    </row>
    <row r="352" spans="10:21" s="1" customFormat="1" x14ac:dyDescent="0.2">
      <c r="J352"/>
      <c r="K352"/>
      <c r="L352"/>
      <c r="M352"/>
      <c r="N352"/>
      <c r="O352" s="392"/>
      <c r="P352" s="2"/>
      <c r="R352" s="686"/>
      <c r="S352" s="686"/>
      <c r="T352" s="686"/>
      <c r="U352"/>
    </row>
    <row r="353" spans="10:21" s="1" customFormat="1" x14ac:dyDescent="0.2">
      <c r="J353"/>
      <c r="K353"/>
      <c r="L353"/>
      <c r="M353"/>
      <c r="N353"/>
      <c r="O353" s="392"/>
      <c r="P353" s="2"/>
      <c r="R353" s="686"/>
      <c r="S353" s="686"/>
      <c r="T353" s="686"/>
      <c r="U353"/>
    </row>
    <row r="354" spans="10:21" s="1" customFormat="1" x14ac:dyDescent="0.2">
      <c r="J354"/>
      <c r="K354"/>
      <c r="L354"/>
      <c r="M354"/>
      <c r="N354"/>
      <c r="O354" s="392"/>
      <c r="P354" s="2"/>
      <c r="R354" s="686"/>
      <c r="S354" s="686"/>
      <c r="T354" s="686"/>
      <c r="U354"/>
    </row>
    <row r="355" spans="10:21" s="1" customFormat="1" x14ac:dyDescent="0.2">
      <c r="J355"/>
      <c r="K355"/>
      <c r="L355"/>
      <c r="M355"/>
      <c r="N355"/>
      <c r="O355" s="392"/>
      <c r="P355" s="2"/>
      <c r="R355" s="686"/>
      <c r="S355" s="686"/>
      <c r="T355" s="686"/>
      <c r="U355"/>
    </row>
    <row r="356" spans="10:21" s="1" customFormat="1" x14ac:dyDescent="0.2">
      <c r="J356"/>
      <c r="K356"/>
      <c r="L356"/>
      <c r="M356"/>
      <c r="N356"/>
      <c r="O356" s="392"/>
      <c r="P356" s="2"/>
      <c r="R356" s="686"/>
      <c r="S356" s="686"/>
      <c r="T356" s="686"/>
      <c r="U356"/>
    </row>
    <row r="357" spans="10:21" s="1" customFormat="1" x14ac:dyDescent="0.2">
      <c r="J357"/>
      <c r="K357"/>
      <c r="L357"/>
      <c r="M357"/>
      <c r="N357"/>
      <c r="O357" s="392"/>
      <c r="P357" s="2"/>
      <c r="R357" s="686"/>
      <c r="S357" s="686"/>
      <c r="T357" s="686"/>
      <c r="U357"/>
    </row>
    <row r="358" spans="10:21" s="1" customFormat="1" x14ac:dyDescent="0.2">
      <c r="J358"/>
      <c r="K358"/>
      <c r="L358"/>
      <c r="M358"/>
      <c r="N358"/>
      <c r="O358" s="392"/>
      <c r="P358" s="2"/>
      <c r="R358" s="686"/>
      <c r="S358" s="686"/>
      <c r="T358" s="686"/>
      <c r="U358"/>
    </row>
    <row r="359" spans="10:21" s="1" customFormat="1" x14ac:dyDescent="0.2">
      <c r="J359"/>
      <c r="K359"/>
      <c r="L359"/>
      <c r="M359"/>
      <c r="N359"/>
      <c r="O359" s="392"/>
      <c r="P359" s="2"/>
      <c r="R359" s="686"/>
      <c r="S359" s="686"/>
      <c r="T359" s="686"/>
      <c r="U359"/>
    </row>
    <row r="360" spans="10:21" s="1" customFormat="1" x14ac:dyDescent="0.2">
      <c r="J360"/>
      <c r="K360"/>
      <c r="L360"/>
      <c r="M360"/>
      <c r="N360"/>
      <c r="O360" s="392"/>
      <c r="P360" s="2"/>
      <c r="R360" s="686"/>
      <c r="S360" s="686"/>
      <c r="T360" s="686"/>
      <c r="U360"/>
    </row>
    <row r="361" spans="10:21" s="1" customFormat="1" x14ac:dyDescent="0.2">
      <c r="J361"/>
      <c r="K361"/>
      <c r="L361"/>
      <c r="M361"/>
      <c r="N361"/>
      <c r="O361" s="392"/>
      <c r="P361" s="2"/>
      <c r="R361" s="686"/>
      <c r="S361" s="686"/>
      <c r="T361" s="686"/>
      <c r="U361"/>
    </row>
    <row r="362" spans="10:21" s="1" customFormat="1" x14ac:dyDescent="0.2">
      <c r="J362"/>
      <c r="K362"/>
      <c r="L362"/>
      <c r="M362"/>
      <c r="N362"/>
      <c r="O362" s="392"/>
      <c r="P362" s="2"/>
      <c r="R362" s="686"/>
      <c r="S362" s="686"/>
      <c r="T362" s="686"/>
      <c r="U362"/>
    </row>
    <row r="363" spans="10:21" s="1" customFormat="1" x14ac:dyDescent="0.2">
      <c r="J363"/>
      <c r="K363"/>
      <c r="L363"/>
      <c r="M363"/>
      <c r="N363"/>
      <c r="O363" s="392"/>
      <c r="P363" s="2"/>
      <c r="R363" s="686"/>
      <c r="S363" s="686"/>
      <c r="T363" s="686"/>
      <c r="U363"/>
    </row>
    <row r="364" spans="10:21" s="1" customFormat="1" x14ac:dyDescent="0.2">
      <c r="J364"/>
      <c r="K364"/>
      <c r="L364"/>
      <c r="M364"/>
      <c r="N364"/>
      <c r="O364" s="392"/>
      <c r="P364" s="2"/>
      <c r="R364" s="686"/>
      <c r="S364" s="686"/>
      <c r="T364" s="686"/>
      <c r="U364"/>
    </row>
    <row r="365" spans="10:21" s="1" customFormat="1" x14ac:dyDescent="0.2">
      <c r="J365"/>
      <c r="K365"/>
      <c r="L365"/>
      <c r="M365"/>
      <c r="N365"/>
      <c r="O365" s="392"/>
      <c r="P365" s="2"/>
      <c r="R365" s="686"/>
      <c r="S365" s="686"/>
      <c r="T365" s="686"/>
      <c r="U365"/>
    </row>
    <row r="366" spans="10:21" s="1" customFormat="1" x14ac:dyDescent="0.2">
      <c r="J366"/>
      <c r="K366"/>
      <c r="L366"/>
      <c r="M366"/>
      <c r="N366"/>
      <c r="O366" s="392"/>
      <c r="P366" s="2"/>
      <c r="R366" s="686"/>
      <c r="S366" s="686"/>
      <c r="T366" s="686"/>
      <c r="U366"/>
    </row>
    <row r="367" spans="10:21" s="1" customFormat="1" x14ac:dyDescent="0.2">
      <c r="J367"/>
      <c r="K367"/>
      <c r="L367"/>
      <c r="M367"/>
      <c r="N367"/>
      <c r="O367" s="392"/>
      <c r="P367" s="2"/>
      <c r="R367" s="686"/>
      <c r="S367" s="686"/>
      <c r="T367" s="686"/>
      <c r="U367"/>
    </row>
    <row r="368" spans="10:21" s="1" customFormat="1" x14ac:dyDescent="0.2">
      <c r="J368"/>
      <c r="K368"/>
      <c r="L368"/>
      <c r="M368"/>
      <c r="N368"/>
      <c r="O368" s="392"/>
      <c r="P368" s="2"/>
      <c r="R368" s="686"/>
      <c r="S368" s="686"/>
      <c r="T368" s="686"/>
      <c r="U368"/>
    </row>
    <row r="369" spans="10:21" s="1" customFormat="1" x14ac:dyDescent="0.2">
      <c r="J369"/>
      <c r="K369"/>
      <c r="L369"/>
      <c r="M369"/>
      <c r="N369"/>
      <c r="O369" s="392"/>
      <c r="P369" s="2"/>
      <c r="R369" s="686"/>
      <c r="S369" s="686"/>
      <c r="T369" s="686"/>
      <c r="U369"/>
    </row>
    <row r="370" spans="10:21" s="1" customFormat="1" x14ac:dyDescent="0.2">
      <c r="J370"/>
      <c r="K370"/>
      <c r="L370"/>
      <c r="M370"/>
      <c r="N370"/>
      <c r="O370" s="392"/>
      <c r="P370" s="2"/>
      <c r="R370" s="686"/>
      <c r="S370" s="686"/>
      <c r="T370" s="686"/>
      <c r="U370"/>
    </row>
    <row r="371" spans="10:21" s="1" customFormat="1" x14ac:dyDescent="0.2">
      <c r="J371"/>
      <c r="K371"/>
      <c r="L371"/>
      <c r="M371"/>
      <c r="N371"/>
      <c r="O371" s="392"/>
      <c r="P371" s="2"/>
      <c r="R371" s="686"/>
      <c r="S371" s="686"/>
      <c r="T371" s="686"/>
      <c r="U371"/>
    </row>
    <row r="372" spans="10:21" s="1" customFormat="1" x14ac:dyDescent="0.2">
      <c r="J372"/>
      <c r="K372"/>
      <c r="L372"/>
      <c r="M372"/>
      <c r="N372"/>
      <c r="O372" s="392"/>
      <c r="P372" s="2"/>
      <c r="R372" s="686"/>
      <c r="S372" s="686"/>
      <c r="T372" s="686"/>
      <c r="U372"/>
    </row>
    <row r="373" spans="10:21" s="1" customFormat="1" x14ac:dyDescent="0.2">
      <c r="J373"/>
      <c r="K373"/>
      <c r="L373"/>
      <c r="M373"/>
      <c r="N373"/>
      <c r="O373" s="392"/>
      <c r="P373" s="2"/>
      <c r="R373" s="686"/>
      <c r="S373" s="686"/>
      <c r="T373" s="686"/>
      <c r="U373"/>
    </row>
    <row r="374" spans="10:21" s="1" customFormat="1" x14ac:dyDescent="0.2">
      <c r="J374"/>
      <c r="K374"/>
      <c r="L374"/>
      <c r="M374"/>
      <c r="N374"/>
      <c r="O374" s="392"/>
      <c r="P374" s="2"/>
      <c r="R374" s="686"/>
      <c r="S374" s="686"/>
      <c r="T374" s="686"/>
      <c r="U374"/>
    </row>
    <row r="375" spans="10:21" s="1" customFormat="1" x14ac:dyDescent="0.2">
      <c r="J375"/>
      <c r="K375"/>
      <c r="L375"/>
      <c r="M375"/>
      <c r="N375"/>
      <c r="O375" s="392"/>
      <c r="P375" s="2"/>
      <c r="R375" s="686"/>
      <c r="S375" s="686"/>
      <c r="T375" s="686"/>
      <c r="U375"/>
    </row>
    <row r="376" spans="10:21" s="1" customFormat="1" x14ac:dyDescent="0.2">
      <c r="J376"/>
      <c r="K376"/>
      <c r="L376"/>
      <c r="M376"/>
      <c r="N376"/>
      <c r="O376" s="392"/>
      <c r="P376" s="2"/>
      <c r="R376" s="686"/>
      <c r="S376" s="686"/>
      <c r="T376" s="686"/>
      <c r="U376"/>
    </row>
    <row r="377" spans="10:21" s="1" customFormat="1" x14ac:dyDescent="0.2">
      <c r="J377"/>
      <c r="K377"/>
      <c r="L377"/>
      <c r="M377"/>
      <c r="N377"/>
      <c r="O377" s="392"/>
      <c r="P377" s="2"/>
      <c r="R377" s="686"/>
      <c r="S377" s="686"/>
      <c r="T377" s="686"/>
      <c r="U377"/>
    </row>
    <row r="378" spans="10:21" s="1" customFormat="1" x14ac:dyDescent="0.2">
      <c r="J378"/>
      <c r="K378"/>
      <c r="L378"/>
      <c r="M378"/>
      <c r="N378"/>
      <c r="O378" s="392"/>
      <c r="P378" s="2"/>
      <c r="R378" s="686"/>
      <c r="S378" s="686"/>
      <c r="T378" s="686"/>
      <c r="U378"/>
    </row>
    <row r="379" spans="10:21" s="1" customFormat="1" x14ac:dyDescent="0.2">
      <c r="J379"/>
      <c r="K379"/>
      <c r="L379"/>
      <c r="M379"/>
      <c r="N379"/>
      <c r="O379" s="392"/>
      <c r="P379" s="2"/>
      <c r="R379" s="686"/>
      <c r="S379" s="686"/>
      <c r="T379" s="686"/>
      <c r="U379"/>
    </row>
    <row r="380" spans="10:21" s="1" customFormat="1" x14ac:dyDescent="0.2">
      <c r="J380"/>
      <c r="K380"/>
      <c r="L380"/>
      <c r="M380"/>
      <c r="N380"/>
      <c r="O380" s="392"/>
      <c r="P380" s="2"/>
      <c r="R380" s="686"/>
      <c r="S380" s="686"/>
      <c r="T380" s="686"/>
      <c r="U380"/>
    </row>
    <row r="381" spans="10:21" s="1" customFormat="1" x14ac:dyDescent="0.2">
      <c r="J381"/>
      <c r="K381"/>
      <c r="L381"/>
      <c r="M381"/>
      <c r="N381"/>
      <c r="O381" s="392"/>
      <c r="P381" s="2"/>
      <c r="R381" s="686"/>
      <c r="S381" s="686"/>
      <c r="T381" s="686"/>
      <c r="U381"/>
    </row>
    <row r="382" spans="10:21" s="1" customFormat="1" x14ac:dyDescent="0.2">
      <c r="J382"/>
      <c r="K382"/>
      <c r="L382"/>
      <c r="M382"/>
      <c r="N382"/>
      <c r="O382" s="392"/>
      <c r="P382" s="2"/>
      <c r="R382" s="686"/>
      <c r="S382" s="686"/>
      <c r="T382" s="686"/>
      <c r="U382"/>
    </row>
    <row r="383" spans="10:21" s="1" customFormat="1" x14ac:dyDescent="0.2">
      <c r="J383"/>
      <c r="K383"/>
      <c r="L383"/>
      <c r="M383"/>
      <c r="N383"/>
      <c r="O383" s="392"/>
      <c r="P383" s="2"/>
      <c r="R383" s="686"/>
      <c r="S383" s="686"/>
      <c r="T383" s="686"/>
      <c r="U383"/>
    </row>
    <row r="384" spans="10:21" s="1" customFormat="1" x14ac:dyDescent="0.2">
      <c r="J384"/>
      <c r="K384"/>
      <c r="L384"/>
      <c r="M384"/>
      <c r="N384"/>
      <c r="O384" s="392"/>
      <c r="P384" s="2"/>
      <c r="R384" s="686"/>
      <c r="S384" s="686"/>
      <c r="T384" s="686"/>
      <c r="U384"/>
    </row>
    <row r="385" spans="10:21" s="1" customFormat="1" x14ac:dyDescent="0.2">
      <c r="J385"/>
      <c r="K385"/>
      <c r="L385"/>
      <c r="M385"/>
      <c r="N385"/>
      <c r="O385" s="392"/>
      <c r="P385" s="2"/>
      <c r="R385" s="686"/>
      <c r="S385" s="686"/>
      <c r="T385" s="686"/>
      <c r="U385"/>
    </row>
    <row r="386" spans="10:21" s="1" customFormat="1" x14ac:dyDescent="0.2">
      <c r="J386"/>
      <c r="K386"/>
      <c r="L386"/>
      <c r="M386"/>
      <c r="N386"/>
      <c r="O386" s="392"/>
      <c r="P386" s="2"/>
      <c r="R386" s="686"/>
      <c r="S386" s="686"/>
      <c r="T386" s="686"/>
      <c r="U386"/>
    </row>
    <row r="387" spans="10:21" s="1" customFormat="1" x14ac:dyDescent="0.2">
      <c r="J387"/>
      <c r="K387"/>
      <c r="L387"/>
      <c r="M387"/>
      <c r="N387"/>
      <c r="O387" s="392"/>
      <c r="P387" s="2"/>
      <c r="R387" s="686"/>
      <c r="S387" s="686"/>
      <c r="T387" s="686"/>
      <c r="U387"/>
    </row>
    <row r="388" spans="10:21" s="1" customFormat="1" x14ac:dyDescent="0.2">
      <c r="J388"/>
      <c r="K388"/>
      <c r="L388"/>
      <c r="M388"/>
      <c r="N388"/>
      <c r="O388" s="392"/>
      <c r="P388" s="2"/>
      <c r="R388" s="686"/>
      <c r="S388" s="686"/>
      <c r="T388" s="686"/>
      <c r="U388"/>
    </row>
    <row r="389" spans="10:21" s="1" customFormat="1" x14ac:dyDescent="0.2">
      <c r="J389"/>
      <c r="K389"/>
      <c r="L389"/>
      <c r="M389"/>
      <c r="N389"/>
      <c r="O389" s="392"/>
      <c r="P389" s="2"/>
      <c r="R389" s="686"/>
      <c r="S389" s="686"/>
      <c r="T389" s="686"/>
      <c r="U389"/>
    </row>
    <row r="390" spans="10:21" s="1" customFormat="1" x14ac:dyDescent="0.2">
      <c r="J390"/>
      <c r="K390"/>
      <c r="L390"/>
      <c r="M390"/>
      <c r="N390"/>
      <c r="O390" s="392"/>
      <c r="P390" s="2"/>
      <c r="R390" s="686"/>
      <c r="S390" s="686"/>
      <c r="T390" s="686"/>
      <c r="U390"/>
    </row>
    <row r="391" spans="10:21" s="1" customFormat="1" x14ac:dyDescent="0.2">
      <c r="J391"/>
      <c r="K391"/>
      <c r="L391"/>
      <c r="M391"/>
      <c r="N391"/>
      <c r="O391" s="392"/>
      <c r="P391" s="2"/>
      <c r="R391" s="686"/>
      <c r="S391" s="686"/>
      <c r="T391" s="686"/>
      <c r="U391"/>
    </row>
    <row r="392" spans="10:21" s="1" customFormat="1" x14ac:dyDescent="0.2">
      <c r="J392"/>
      <c r="K392"/>
      <c r="L392"/>
      <c r="M392"/>
      <c r="N392"/>
      <c r="O392" s="392"/>
      <c r="P392" s="2"/>
      <c r="R392" s="686"/>
      <c r="S392" s="686"/>
      <c r="T392" s="686"/>
      <c r="U392"/>
    </row>
    <row r="393" spans="10:21" s="1" customFormat="1" x14ac:dyDescent="0.2">
      <c r="J393"/>
      <c r="K393"/>
      <c r="L393"/>
      <c r="M393"/>
      <c r="N393"/>
      <c r="O393" s="392"/>
      <c r="P393" s="2"/>
      <c r="R393" s="686"/>
      <c r="S393" s="686"/>
      <c r="T393" s="686"/>
      <c r="U393"/>
    </row>
    <row r="394" spans="10:21" s="1" customFormat="1" x14ac:dyDescent="0.2">
      <c r="J394"/>
      <c r="K394"/>
      <c r="L394"/>
      <c r="M394"/>
      <c r="N394"/>
      <c r="O394" s="392"/>
      <c r="P394" s="2"/>
      <c r="R394" s="686"/>
      <c r="S394" s="686"/>
      <c r="T394" s="686"/>
      <c r="U394"/>
    </row>
    <row r="395" spans="10:21" s="1" customFormat="1" x14ac:dyDescent="0.2">
      <c r="J395"/>
      <c r="K395"/>
      <c r="L395"/>
      <c r="M395"/>
      <c r="N395"/>
      <c r="O395" s="392"/>
      <c r="P395" s="2"/>
      <c r="R395" s="686"/>
      <c r="S395" s="686"/>
      <c r="T395" s="686"/>
      <c r="U395"/>
    </row>
    <row r="396" spans="10:21" s="1" customFormat="1" x14ac:dyDescent="0.2">
      <c r="J396"/>
      <c r="K396"/>
      <c r="L396"/>
      <c r="M396"/>
      <c r="N396"/>
      <c r="O396" s="392"/>
      <c r="P396" s="2"/>
      <c r="R396" s="686"/>
      <c r="S396" s="686"/>
      <c r="T396" s="686"/>
      <c r="U396"/>
    </row>
    <row r="397" spans="10:21" s="1" customFormat="1" x14ac:dyDescent="0.2">
      <c r="J397"/>
      <c r="K397"/>
      <c r="L397"/>
      <c r="M397"/>
      <c r="N397"/>
      <c r="O397" s="392"/>
      <c r="P397" s="2"/>
      <c r="R397" s="686"/>
      <c r="S397" s="686"/>
      <c r="T397" s="686"/>
      <c r="U397"/>
    </row>
    <row r="398" spans="10:21" s="1" customFormat="1" x14ac:dyDescent="0.2">
      <c r="J398"/>
      <c r="K398"/>
      <c r="L398"/>
      <c r="M398"/>
      <c r="N398"/>
      <c r="O398" s="392"/>
      <c r="P398" s="2"/>
      <c r="R398" s="686"/>
      <c r="S398" s="686"/>
      <c r="T398" s="686"/>
      <c r="U398"/>
    </row>
    <row r="399" spans="10:21" s="1" customFormat="1" x14ac:dyDescent="0.2">
      <c r="J399"/>
      <c r="K399"/>
      <c r="L399"/>
      <c r="M399"/>
      <c r="N399"/>
      <c r="O399" s="392"/>
      <c r="P399" s="2"/>
      <c r="R399" s="686"/>
      <c r="S399" s="686"/>
      <c r="T399" s="686"/>
      <c r="U399"/>
    </row>
    <row r="400" spans="10:21" s="1" customFormat="1" x14ac:dyDescent="0.2">
      <c r="J400"/>
      <c r="K400"/>
      <c r="L400"/>
      <c r="M400"/>
      <c r="N400"/>
      <c r="O400" s="392"/>
      <c r="P400" s="2"/>
      <c r="R400" s="686"/>
      <c r="S400" s="686"/>
      <c r="T400" s="686"/>
      <c r="U400"/>
    </row>
    <row r="401" spans="10:21" s="1" customFormat="1" x14ac:dyDescent="0.2">
      <c r="J401"/>
      <c r="K401"/>
      <c r="L401"/>
      <c r="M401"/>
      <c r="N401"/>
      <c r="O401" s="392"/>
      <c r="P401" s="2"/>
      <c r="R401" s="686"/>
      <c r="S401" s="686"/>
      <c r="T401" s="686"/>
      <c r="U401"/>
    </row>
    <row r="402" spans="10:21" s="1" customFormat="1" x14ac:dyDescent="0.2">
      <c r="J402"/>
      <c r="K402"/>
      <c r="L402"/>
      <c r="M402"/>
      <c r="N402"/>
      <c r="O402" s="392"/>
      <c r="P402" s="2"/>
      <c r="R402" s="686"/>
      <c r="S402" s="686"/>
      <c r="T402" s="686"/>
      <c r="U402"/>
    </row>
    <row r="403" spans="10:21" s="1" customFormat="1" x14ac:dyDescent="0.2">
      <c r="J403"/>
      <c r="K403"/>
      <c r="L403"/>
      <c r="M403"/>
      <c r="N403"/>
      <c r="O403" s="392"/>
      <c r="P403" s="2"/>
      <c r="R403" s="686"/>
      <c r="S403" s="686"/>
      <c r="T403" s="686"/>
      <c r="U403"/>
    </row>
    <row r="404" spans="10:21" s="1" customFormat="1" x14ac:dyDescent="0.2">
      <c r="J404"/>
      <c r="K404"/>
      <c r="L404"/>
      <c r="M404"/>
      <c r="N404"/>
      <c r="O404" s="392"/>
      <c r="P404" s="2"/>
      <c r="R404" s="686"/>
      <c r="S404" s="686"/>
      <c r="T404" s="686"/>
      <c r="U404"/>
    </row>
    <row r="405" spans="10:21" s="1" customFormat="1" x14ac:dyDescent="0.2">
      <c r="J405"/>
      <c r="K405"/>
      <c r="L405"/>
      <c r="M405"/>
      <c r="N405"/>
      <c r="O405" s="392"/>
      <c r="P405" s="2"/>
      <c r="R405" s="686"/>
      <c r="S405" s="686"/>
      <c r="T405" s="686"/>
      <c r="U405"/>
    </row>
    <row r="406" spans="10:21" s="1" customFormat="1" x14ac:dyDescent="0.2">
      <c r="J406"/>
      <c r="K406"/>
      <c r="L406"/>
      <c r="M406"/>
      <c r="N406"/>
      <c r="O406" s="392"/>
      <c r="P406" s="2"/>
      <c r="R406" s="686"/>
      <c r="S406" s="686"/>
      <c r="T406" s="686"/>
      <c r="U406"/>
    </row>
    <row r="407" spans="10:21" s="1" customFormat="1" x14ac:dyDescent="0.2">
      <c r="J407"/>
      <c r="K407"/>
      <c r="L407"/>
      <c r="M407"/>
      <c r="N407"/>
      <c r="O407" s="392"/>
      <c r="P407" s="2"/>
      <c r="R407" s="686"/>
      <c r="S407" s="686"/>
      <c r="T407" s="686"/>
      <c r="U407"/>
    </row>
    <row r="408" spans="10:21" s="1" customFormat="1" x14ac:dyDescent="0.2">
      <c r="J408"/>
      <c r="K408"/>
      <c r="L408"/>
      <c r="M408"/>
      <c r="N408"/>
      <c r="O408" s="392"/>
      <c r="P408" s="2"/>
      <c r="R408" s="686"/>
      <c r="S408" s="686"/>
      <c r="T408" s="686"/>
      <c r="U408"/>
    </row>
    <row r="409" spans="10:21" s="1" customFormat="1" x14ac:dyDescent="0.2">
      <c r="J409"/>
      <c r="K409"/>
      <c r="L409"/>
      <c r="M409"/>
      <c r="N409"/>
      <c r="O409" s="392"/>
      <c r="P409" s="2"/>
      <c r="R409" s="686"/>
      <c r="S409" s="686"/>
      <c r="T409" s="686"/>
      <c r="U409"/>
    </row>
    <row r="410" spans="10:21" s="1" customFormat="1" x14ac:dyDescent="0.2">
      <c r="J410"/>
      <c r="K410"/>
      <c r="L410"/>
      <c r="M410"/>
      <c r="N410"/>
      <c r="O410" s="392"/>
      <c r="P410" s="2"/>
      <c r="R410" s="686"/>
      <c r="S410" s="686"/>
      <c r="T410" s="686"/>
      <c r="U410"/>
    </row>
    <row r="411" spans="10:21" s="1" customFormat="1" x14ac:dyDescent="0.2">
      <c r="J411"/>
      <c r="K411"/>
      <c r="L411"/>
      <c r="M411"/>
      <c r="N411"/>
      <c r="O411" s="392"/>
      <c r="P411" s="2"/>
      <c r="R411" s="686"/>
      <c r="S411" s="686"/>
      <c r="T411" s="686"/>
      <c r="U411"/>
    </row>
    <row r="412" spans="10:21" s="1" customFormat="1" x14ac:dyDescent="0.2">
      <c r="J412"/>
      <c r="K412"/>
      <c r="L412"/>
      <c r="M412"/>
      <c r="N412"/>
      <c r="O412" s="392"/>
      <c r="P412" s="2"/>
      <c r="R412" s="686"/>
      <c r="S412" s="686"/>
      <c r="T412" s="686"/>
      <c r="U412"/>
    </row>
    <row r="413" spans="10:21" s="1" customFormat="1" x14ac:dyDescent="0.2">
      <c r="J413"/>
      <c r="K413"/>
      <c r="L413"/>
      <c r="M413"/>
      <c r="N413"/>
      <c r="O413" s="392"/>
      <c r="P413" s="2"/>
      <c r="R413" s="686"/>
      <c r="S413" s="686"/>
      <c r="T413" s="686"/>
      <c r="U413"/>
    </row>
    <row r="414" spans="10:21" s="1" customFormat="1" x14ac:dyDescent="0.2">
      <c r="J414"/>
      <c r="K414"/>
      <c r="L414"/>
      <c r="M414"/>
      <c r="N414"/>
      <c r="O414" s="392"/>
      <c r="P414" s="2"/>
      <c r="R414" s="686"/>
      <c r="S414" s="686"/>
      <c r="T414" s="686"/>
      <c r="U414"/>
    </row>
    <row r="415" spans="10:21" s="1" customFormat="1" x14ac:dyDescent="0.2">
      <c r="J415"/>
      <c r="K415"/>
      <c r="L415"/>
      <c r="M415"/>
      <c r="N415"/>
      <c r="O415" s="392"/>
      <c r="P415" s="2"/>
      <c r="R415" s="686"/>
      <c r="S415" s="686"/>
      <c r="T415" s="686"/>
      <c r="U415"/>
    </row>
    <row r="416" spans="10:21" s="1" customFormat="1" x14ac:dyDescent="0.2">
      <c r="J416"/>
      <c r="K416"/>
      <c r="L416"/>
      <c r="M416"/>
      <c r="N416"/>
      <c r="O416" s="392"/>
      <c r="P416" s="2"/>
      <c r="R416" s="686"/>
      <c r="S416" s="686"/>
      <c r="T416" s="686"/>
      <c r="U416"/>
    </row>
    <row r="417" spans="10:21" s="1" customFormat="1" x14ac:dyDescent="0.2">
      <c r="J417"/>
      <c r="K417"/>
      <c r="L417"/>
      <c r="M417"/>
      <c r="N417"/>
      <c r="O417" s="392"/>
      <c r="P417" s="2"/>
      <c r="R417" s="686"/>
      <c r="S417" s="686"/>
      <c r="T417" s="686"/>
      <c r="U417"/>
    </row>
    <row r="418" spans="10:21" s="1" customFormat="1" x14ac:dyDescent="0.2">
      <c r="J418"/>
      <c r="K418"/>
      <c r="L418"/>
      <c r="M418"/>
      <c r="N418"/>
      <c r="O418" s="392"/>
      <c r="P418" s="2"/>
      <c r="R418" s="686"/>
      <c r="S418" s="686"/>
      <c r="T418" s="686"/>
      <c r="U418"/>
    </row>
    <row r="419" spans="10:21" s="1" customFormat="1" x14ac:dyDescent="0.2">
      <c r="J419"/>
      <c r="K419"/>
      <c r="L419"/>
      <c r="M419"/>
      <c r="N419"/>
      <c r="O419" s="392"/>
      <c r="P419" s="2"/>
      <c r="R419" s="686"/>
      <c r="S419" s="686"/>
      <c r="T419" s="686"/>
      <c r="U419"/>
    </row>
    <row r="420" spans="10:21" s="1" customFormat="1" x14ac:dyDescent="0.2">
      <c r="J420"/>
      <c r="K420"/>
      <c r="L420"/>
      <c r="M420"/>
      <c r="N420"/>
      <c r="O420" s="392"/>
      <c r="P420" s="2"/>
      <c r="R420" s="686"/>
      <c r="S420" s="686"/>
      <c r="T420" s="686"/>
      <c r="U420"/>
    </row>
    <row r="421" spans="10:21" s="1" customFormat="1" x14ac:dyDescent="0.2">
      <c r="J421"/>
      <c r="K421"/>
      <c r="L421"/>
      <c r="M421"/>
      <c r="N421"/>
      <c r="O421" s="392"/>
      <c r="P421" s="2"/>
      <c r="R421" s="686"/>
      <c r="S421" s="686"/>
      <c r="T421" s="686"/>
      <c r="U421"/>
    </row>
    <row r="422" spans="10:21" s="1" customFormat="1" x14ac:dyDescent="0.2">
      <c r="J422"/>
      <c r="K422"/>
      <c r="L422"/>
      <c r="M422"/>
      <c r="N422"/>
      <c r="O422" s="392"/>
      <c r="P422" s="2"/>
      <c r="R422" s="686"/>
      <c r="S422" s="686"/>
      <c r="T422" s="686"/>
      <c r="U422"/>
    </row>
    <row r="423" spans="10:21" s="1" customFormat="1" x14ac:dyDescent="0.2">
      <c r="J423"/>
      <c r="K423"/>
      <c r="L423"/>
      <c r="M423"/>
      <c r="N423"/>
      <c r="O423" s="392"/>
      <c r="P423" s="2"/>
      <c r="R423" s="686"/>
      <c r="S423" s="686"/>
      <c r="T423" s="686"/>
      <c r="U423"/>
    </row>
    <row r="424" spans="10:21" s="1" customFormat="1" x14ac:dyDescent="0.2">
      <c r="J424"/>
      <c r="K424"/>
      <c r="L424"/>
      <c r="M424"/>
      <c r="N424"/>
      <c r="O424" s="392"/>
      <c r="P424" s="2"/>
      <c r="R424" s="686"/>
      <c r="S424" s="686"/>
      <c r="T424" s="686"/>
      <c r="U424"/>
    </row>
    <row r="425" spans="10:21" s="1" customFormat="1" x14ac:dyDescent="0.2">
      <c r="J425"/>
      <c r="K425"/>
      <c r="L425"/>
      <c r="M425"/>
      <c r="N425"/>
      <c r="O425" s="392"/>
      <c r="P425" s="2"/>
      <c r="R425" s="686"/>
      <c r="S425" s="686"/>
      <c r="T425" s="686"/>
      <c r="U425"/>
    </row>
    <row r="426" spans="10:21" s="1" customFormat="1" x14ac:dyDescent="0.2">
      <c r="J426"/>
      <c r="K426"/>
      <c r="L426"/>
      <c r="M426"/>
      <c r="N426"/>
      <c r="O426" s="392"/>
      <c r="P426" s="2"/>
      <c r="R426" s="686"/>
      <c r="S426" s="686"/>
      <c r="T426" s="686"/>
      <c r="U426"/>
    </row>
    <row r="427" spans="10:21" s="1" customFormat="1" x14ac:dyDescent="0.2">
      <c r="J427"/>
      <c r="K427"/>
      <c r="L427"/>
      <c r="M427"/>
      <c r="N427"/>
      <c r="O427" s="392"/>
      <c r="P427" s="2"/>
      <c r="R427" s="686"/>
      <c r="S427" s="686"/>
      <c r="T427" s="686"/>
      <c r="U427"/>
    </row>
    <row r="428" spans="10:21" s="1" customFormat="1" x14ac:dyDescent="0.2">
      <c r="J428"/>
      <c r="K428"/>
      <c r="L428"/>
      <c r="M428"/>
      <c r="N428"/>
      <c r="O428" s="392"/>
      <c r="P428" s="2"/>
      <c r="R428" s="686"/>
      <c r="S428" s="686"/>
      <c r="T428" s="686"/>
      <c r="U428"/>
    </row>
    <row r="429" spans="10:21" s="1" customFormat="1" x14ac:dyDescent="0.2">
      <c r="J429"/>
      <c r="K429"/>
      <c r="L429"/>
      <c r="M429"/>
      <c r="N429"/>
      <c r="O429" s="392"/>
      <c r="P429" s="2"/>
      <c r="R429" s="686"/>
      <c r="S429" s="686"/>
      <c r="T429" s="686"/>
      <c r="U429"/>
    </row>
    <row r="430" spans="10:21" s="1" customFormat="1" x14ac:dyDescent="0.2">
      <c r="J430"/>
      <c r="K430"/>
      <c r="L430"/>
      <c r="M430"/>
      <c r="N430"/>
      <c r="O430" s="392"/>
      <c r="P430" s="2"/>
      <c r="R430" s="686"/>
      <c r="S430" s="686"/>
      <c r="T430" s="686"/>
      <c r="U430"/>
    </row>
    <row r="431" spans="10:21" s="1" customFormat="1" x14ac:dyDescent="0.2">
      <c r="J431"/>
      <c r="K431"/>
      <c r="L431"/>
      <c r="M431"/>
      <c r="N431"/>
      <c r="O431" s="392"/>
      <c r="P431" s="2"/>
      <c r="R431" s="686"/>
      <c r="S431" s="686"/>
      <c r="T431" s="686"/>
      <c r="U431"/>
    </row>
    <row r="432" spans="10:21" s="1" customFormat="1" x14ac:dyDescent="0.2">
      <c r="J432"/>
      <c r="K432"/>
      <c r="L432"/>
      <c r="M432"/>
      <c r="N432"/>
      <c r="O432" s="392"/>
      <c r="P432" s="2"/>
      <c r="R432" s="686"/>
      <c r="S432" s="686"/>
      <c r="T432" s="686"/>
      <c r="U432"/>
    </row>
    <row r="433" spans="10:21" s="1" customFormat="1" x14ac:dyDescent="0.2">
      <c r="J433"/>
      <c r="K433"/>
      <c r="L433"/>
      <c r="M433"/>
      <c r="N433"/>
      <c r="O433" s="392"/>
      <c r="P433" s="2"/>
      <c r="R433" s="686"/>
      <c r="S433" s="686"/>
      <c r="T433" s="686"/>
      <c r="U433"/>
    </row>
    <row r="434" spans="10:21" s="1" customFormat="1" x14ac:dyDescent="0.2">
      <c r="J434"/>
      <c r="K434"/>
      <c r="L434"/>
      <c r="M434"/>
      <c r="N434"/>
      <c r="O434" s="392"/>
      <c r="P434" s="2"/>
      <c r="R434" s="686"/>
      <c r="S434" s="686"/>
      <c r="T434" s="686"/>
      <c r="U434"/>
    </row>
    <row r="435" spans="10:21" s="1" customFormat="1" x14ac:dyDescent="0.2">
      <c r="J435"/>
      <c r="K435"/>
      <c r="L435"/>
      <c r="M435"/>
      <c r="N435"/>
      <c r="O435" s="392"/>
      <c r="P435" s="2"/>
      <c r="R435" s="686"/>
      <c r="S435" s="686"/>
      <c r="T435" s="686"/>
      <c r="U435"/>
    </row>
    <row r="436" spans="10:21" s="1" customFormat="1" x14ac:dyDescent="0.2">
      <c r="J436"/>
      <c r="K436"/>
      <c r="L436"/>
      <c r="M436"/>
      <c r="N436"/>
      <c r="O436" s="392"/>
      <c r="P436" s="2"/>
      <c r="R436" s="686"/>
      <c r="S436" s="686"/>
      <c r="T436" s="686"/>
      <c r="U436"/>
    </row>
    <row r="437" spans="10:21" s="1" customFormat="1" x14ac:dyDescent="0.2">
      <c r="J437"/>
      <c r="K437"/>
      <c r="L437"/>
      <c r="M437"/>
      <c r="N437"/>
      <c r="O437" s="392"/>
      <c r="P437" s="2"/>
      <c r="R437" s="686"/>
      <c r="S437" s="686"/>
      <c r="T437" s="686"/>
      <c r="U437"/>
    </row>
    <row r="438" spans="10:21" s="1" customFormat="1" x14ac:dyDescent="0.2">
      <c r="J438"/>
      <c r="K438"/>
      <c r="L438"/>
      <c r="M438"/>
      <c r="N438"/>
      <c r="O438" s="392"/>
      <c r="P438" s="2"/>
      <c r="R438" s="686"/>
      <c r="S438" s="686"/>
      <c r="T438" s="686"/>
      <c r="U438"/>
    </row>
    <row r="439" spans="10:21" s="1" customFormat="1" x14ac:dyDescent="0.2">
      <c r="J439"/>
      <c r="K439"/>
      <c r="L439"/>
      <c r="M439"/>
      <c r="N439"/>
      <c r="O439" s="392"/>
      <c r="P439" s="2"/>
      <c r="R439" s="686"/>
      <c r="S439" s="686"/>
      <c r="T439" s="686"/>
      <c r="U439"/>
    </row>
    <row r="440" spans="10:21" s="1" customFormat="1" x14ac:dyDescent="0.2">
      <c r="J440"/>
      <c r="K440"/>
      <c r="L440"/>
      <c r="M440"/>
      <c r="N440"/>
      <c r="O440" s="392"/>
      <c r="P440" s="2"/>
      <c r="R440" s="686"/>
      <c r="S440" s="686"/>
      <c r="T440" s="686"/>
      <c r="U440"/>
    </row>
    <row r="441" spans="10:21" s="1" customFormat="1" x14ac:dyDescent="0.2">
      <c r="J441"/>
      <c r="K441"/>
      <c r="L441"/>
      <c r="M441"/>
      <c r="N441"/>
      <c r="O441" s="392"/>
      <c r="P441" s="2"/>
      <c r="R441" s="686"/>
      <c r="S441" s="686"/>
      <c r="T441" s="686"/>
      <c r="U441"/>
    </row>
    <row r="442" spans="10:21" s="1" customFormat="1" x14ac:dyDescent="0.2">
      <c r="J442"/>
      <c r="K442"/>
      <c r="L442"/>
      <c r="M442"/>
      <c r="N442"/>
      <c r="O442" s="392"/>
      <c r="P442" s="2"/>
      <c r="R442" s="686"/>
      <c r="S442" s="686"/>
      <c r="T442" s="686"/>
      <c r="U442"/>
    </row>
    <row r="443" spans="10:21" s="1" customFormat="1" x14ac:dyDescent="0.2">
      <c r="J443"/>
      <c r="K443"/>
      <c r="L443"/>
      <c r="M443"/>
      <c r="N443"/>
      <c r="O443" s="392"/>
      <c r="P443" s="2"/>
      <c r="R443" s="686"/>
      <c r="S443" s="686"/>
      <c r="T443" s="686"/>
      <c r="U443"/>
    </row>
    <row r="444" spans="10:21" s="1" customFormat="1" x14ac:dyDescent="0.2">
      <c r="J444"/>
      <c r="K444"/>
      <c r="L444"/>
      <c r="M444"/>
      <c r="N444"/>
      <c r="O444" s="392"/>
      <c r="P444" s="2"/>
      <c r="R444" s="686"/>
      <c r="S444" s="686"/>
      <c r="T444" s="686"/>
      <c r="U444"/>
    </row>
    <row r="445" spans="10:21" s="1" customFormat="1" x14ac:dyDescent="0.2">
      <c r="J445"/>
      <c r="K445"/>
      <c r="L445"/>
      <c r="M445"/>
      <c r="N445"/>
      <c r="O445" s="392"/>
      <c r="P445" s="2"/>
      <c r="R445" s="686"/>
      <c r="S445" s="686"/>
      <c r="T445" s="686"/>
      <c r="U445"/>
    </row>
    <row r="446" spans="10:21" s="1" customFormat="1" x14ac:dyDescent="0.2">
      <c r="J446"/>
      <c r="K446"/>
      <c r="L446"/>
      <c r="M446"/>
      <c r="N446"/>
      <c r="O446" s="392"/>
      <c r="P446" s="2"/>
      <c r="R446" s="686"/>
      <c r="S446" s="686"/>
      <c r="T446" s="686"/>
      <c r="U446"/>
    </row>
    <row r="447" spans="10:21" s="1" customFormat="1" x14ac:dyDescent="0.2">
      <c r="J447"/>
      <c r="K447"/>
      <c r="L447"/>
      <c r="M447"/>
      <c r="N447"/>
      <c r="O447" s="392"/>
      <c r="P447" s="2"/>
      <c r="R447" s="686"/>
      <c r="S447" s="686"/>
      <c r="T447" s="686"/>
      <c r="U447"/>
    </row>
    <row r="448" spans="10:21" s="1" customFormat="1" x14ac:dyDescent="0.2">
      <c r="J448"/>
      <c r="K448"/>
      <c r="L448"/>
      <c r="M448"/>
      <c r="N448"/>
      <c r="O448" s="392"/>
      <c r="P448" s="2"/>
      <c r="R448" s="686"/>
      <c r="S448" s="686"/>
      <c r="T448" s="686"/>
      <c r="U448"/>
    </row>
    <row r="449" spans="10:21" s="1" customFormat="1" x14ac:dyDescent="0.2">
      <c r="J449"/>
      <c r="K449"/>
      <c r="L449"/>
      <c r="M449"/>
      <c r="N449"/>
      <c r="O449" s="392"/>
      <c r="P449" s="2"/>
      <c r="R449" s="686"/>
      <c r="S449" s="686"/>
      <c r="T449" s="686"/>
      <c r="U449"/>
    </row>
    <row r="450" spans="10:21" s="1" customFormat="1" x14ac:dyDescent="0.2">
      <c r="J450"/>
      <c r="K450"/>
      <c r="L450"/>
      <c r="M450"/>
      <c r="N450"/>
      <c r="O450" s="392"/>
      <c r="P450" s="2"/>
      <c r="R450" s="686"/>
      <c r="S450" s="686"/>
      <c r="T450" s="686"/>
      <c r="U450"/>
    </row>
    <row r="451" spans="10:21" s="1" customFormat="1" x14ac:dyDescent="0.2">
      <c r="J451"/>
      <c r="K451"/>
      <c r="L451"/>
      <c r="M451"/>
      <c r="N451"/>
      <c r="O451" s="392"/>
      <c r="P451" s="2"/>
      <c r="R451" s="686"/>
      <c r="S451" s="686"/>
      <c r="T451" s="686"/>
      <c r="U451"/>
    </row>
    <row r="452" spans="10:21" s="1" customFormat="1" x14ac:dyDescent="0.2">
      <c r="J452"/>
      <c r="K452"/>
      <c r="L452"/>
      <c r="M452"/>
      <c r="N452"/>
      <c r="O452" s="392"/>
      <c r="P452" s="2"/>
      <c r="R452" s="686"/>
      <c r="S452" s="686"/>
      <c r="T452" s="686"/>
      <c r="U452"/>
    </row>
    <row r="453" spans="10:21" s="1" customFormat="1" x14ac:dyDescent="0.2">
      <c r="J453"/>
      <c r="K453"/>
      <c r="L453"/>
      <c r="M453"/>
      <c r="N453"/>
      <c r="O453" s="392"/>
      <c r="P453" s="2"/>
      <c r="R453" s="686"/>
      <c r="S453" s="686"/>
      <c r="T453" s="686"/>
      <c r="U453"/>
    </row>
    <row r="454" spans="10:21" s="1" customFormat="1" x14ac:dyDescent="0.2">
      <c r="J454"/>
      <c r="K454"/>
      <c r="L454"/>
      <c r="M454"/>
      <c r="N454"/>
      <c r="O454" s="392"/>
      <c r="P454" s="2"/>
      <c r="R454" s="686"/>
      <c r="S454" s="686"/>
      <c r="T454" s="686"/>
      <c r="U454"/>
    </row>
    <row r="455" spans="10:21" s="1" customFormat="1" x14ac:dyDescent="0.2">
      <c r="J455"/>
      <c r="K455"/>
      <c r="L455"/>
      <c r="M455"/>
      <c r="N455"/>
      <c r="O455" s="392"/>
      <c r="P455" s="2"/>
      <c r="R455" s="686"/>
      <c r="S455" s="686"/>
      <c r="T455" s="686"/>
      <c r="U455"/>
    </row>
    <row r="456" spans="10:21" s="1" customFormat="1" x14ac:dyDescent="0.2">
      <c r="J456"/>
      <c r="K456"/>
      <c r="L456"/>
      <c r="M456"/>
      <c r="N456"/>
      <c r="O456" s="392"/>
      <c r="P456" s="2"/>
      <c r="R456" s="686"/>
      <c r="S456" s="686"/>
      <c r="T456" s="686"/>
      <c r="U456"/>
    </row>
    <row r="457" spans="10:21" s="1" customFormat="1" x14ac:dyDescent="0.2">
      <c r="J457"/>
      <c r="K457"/>
      <c r="L457"/>
      <c r="M457"/>
      <c r="N457"/>
      <c r="O457" s="392"/>
      <c r="P457" s="2"/>
      <c r="R457" s="686"/>
      <c r="S457" s="686"/>
      <c r="T457" s="686"/>
      <c r="U457"/>
    </row>
    <row r="458" spans="10:21" s="1" customFormat="1" x14ac:dyDescent="0.2">
      <c r="J458"/>
      <c r="K458"/>
      <c r="L458"/>
      <c r="M458"/>
      <c r="N458"/>
      <c r="O458" s="392"/>
      <c r="P458" s="2"/>
      <c r="R458" s="686"/>
      <c r="S458" s="686"/>
      <c r="T458" s="686"/>
      <c r="U458"/>
    </row>
    <row r="459" spans="10:21" s="1" customFormat="1" x14ac:dyDescent="0.2">
      <c r="J459"/>
      <c r="K459"/>
      <c r="L459"/>
      <c r="M459"/>
      <c r="N459"/>
      <c r="O459" s="392"/>
      <c r="P459" s="2"/>
      <c r="R459" s="686"/>
      <c r="S459" s="686"/>
      <c r="T459" s="686"/>
      <c r="U459"/>
    </row>
    <row r="460" spans="10:21" s="1" customFormat="1" x14ac:dyDescent="0.2">
      <c r="J460"/>
      <c r="K460"/>
      <c r="L460"/>
      <c r="M460"/>
      <c r="N460"/>
      <c r="O460" s="392"/>
      <c r="P460" s="2"/>
      <c r="R460" s="686"/>
      <c r="S460" s="686"/>
      <c r="T460" s="686"/>
      <c r="U460"/>
    </row>
    <row r="461" spans="10:21" s="1" customFormat="1" x14ac:dyDescent="0.2">
      <c r="J461"/>
      <c r="K461"/>
      <c r="L461"/>
      <c r="M461"/>
      <c r="N461"/>
      <c r="O461" s="392"/>
      <c r="P461" s="2"/>
      <c r="R461" s="686"/>
      <c r="S461" s="686"/>
      <c r="T461" s="686"/>
      <c r="U461"/>
    </row>
    <row r="462" spans="10:21" s="1" customFormat="1" x14ac:dyDescent="0.2">
      <c r="J462"/>
      <c r="K462"/>
      <c r="L462"/>
      <c r="M462"/>
      <c r="N462"/>
      <c r="O462" s="392"/>
      <c r="P462" s="2"/>
      <c r="R462" s="686"/>
      <c r="S462" s="686"/>
      <c r="T462" s="686"/>
      <c r="U462"/>
    </row>
    <row r="463" spans="10:21" s="1" customFormat="1" x14ac:dyDescent="0.2">
      <c r="J463"/>
      <c r="K463"/>
      <c r="L463"/>
      <c r="M463"/>
      <c r="N463"/>
      <c r="O463" s="392"/>
      <c r="P463" s="2"/>
      <c r="R463" s="686"/>
      <c r="S463" s="686"/>
      <c r="T463" s="686"/>
      <c r="U463"/>
    </row>
    <row r="464" spans="10:21" s="1" customFormat="1" x14ac:dyDescent="0.2">
      <c r="J464"/>
      <c r="K464"/>
      <c r="L464"/>
      <c r="M464"/>
      <c r="N464"/>
      <c r="O464" s="392"/>
      <c r="P464" s="2"/>
      <c r="R464" s="686"/>
      <c r="S464" s="686"/>
      <c r="T464" s="686"/>
      <c r="U464"/>
    </row>
    <row r="465" spans="10:21" s="1" customFormat="1" x14ac:dyDescent="0.2">
      <c r="J465"/>
      <c r="K465"/>
      <c r="L465"/>
      <c r="M465"/>
      <c r="N465"/>
      <c r="O465" s="392"/>
      <c r="P465" s="2"/>
      <c r="R465" s="686"/>
      <c r="S465" s="686"/>
      <c r="T465" s="686"/>
      <c r="U465"/>
    </row>
    <row r="466" spans="10:21" s="1" customFormat="1" x14ac:dyDescent="0.2">
      <c r="J466"/>
      <c r="K466"/>
      <c r="L466"/>
      <c r="M466"/>
      <c r="N466"/>
      <c r="O466" s="392"/>
      <c r="P466" s="2"/>
      <c r="R466" s="686"/>
      <c r="S466" s="686"/>
      <c r="T466" s="686"/>
      <c r="U466"/>
    </row>
    <row r="467" spans="10:21" s="1" customFormat="1" x14ac:dyDescent="0.2">
      <c r="J467"/>
      <c r="K467"/>
      <c r="L467"/>
      <c r="M467"/>
      <c r="N467"/>
      <c r="O467" s="392"/>
      <c r="P467" s="2"/>
      <c r="R467" s="686"/>
      <c r="S467" s="686"/>
      <c r="T467" s="686"/>
      <c r="U467"/>
    </row>
    <row r="468" spans="10:21" s="1" customFormat="1" x14ac:dyDescent="0.2">
      <c r="J468"/>
      <c r="K468"/>
      <c r="L468"/>
      <c r="M468"/>
      <c r="N468"/>
      <c r="O468" s="392"/>
      <c r="P468" s="2"/>
      <c r="R468" s="686"/>
      <c r="S468" s="686"/>
      <c r="T468" s="686"/>
      <c r="U468"/>
    </row>
    <row r="469" spans="10:21" s="1" customFormat="1" x14ac:dyDescent="0.2">
      <c r="J469"/>
      <c r="K469"/>
      <c r="L469"/>
      <c r="M469"/>
      <c r="N469"/>
      <c r="O469" s="392"/>
      <c r="P469" s="2"/>
      <c r="R469" s="686"/>
      <c r="S469" s="686"/>
      <c r="T469" s="686"/>
      <c r="U469"/>
    </row>
    <row r="470" spans="10:21" s="1" customFormat="1" x14ac:dyDescent="0.2">
      <c r="J470"/>
      <c r="K470"/>
      <c r="L470"/>
      <c r="M470"/>
      <c r="N470"/>
      <c r="O470" s="392"/>
      <c r="P470" s="2"/>
      <c r="R470" s="686"/>
      <c r="S470" s="686"/>
      <c r="T470" s="686"/>
      <c r="U470"/>
    </row>
    <row r="471" spans="10:21" s="1" customFormat="1" x14ac:dyDescent="0.2">
      <c r="J471"/>
      <c r="K471"/>
      <c r="L471"/>
      <c r="M471"/>
      <c r="N471"/>
      <c r="O471" s="392"/>
      <c r="P471" s="2"/>
      <c r="R471" s="686"/>
      <c r="S471" s="686"/>
      <c r="T471" s="686"/>
      <c r="U471"/>
    </row>
    <row r="472" spans="10:21" s="1" customFormat="1" x14ac:dyDescent="0.2">
      <c r="J472"/>
      <c r="K472"/>
      <c r="L472"/>
      <c r="M472"/>
      <c r="N472"/>
      <c r="O472" s="392"/>
      <c r="P472" s="2"/>
      <c r="R472" s="686"/>
      <c r="S472" s="686"/>
      <c r="T472" s="686"/>
      <c r="U472"/>
    </row>
    <row r="473" spans="10:21" s="1" customFormat="1" x14ac:dyDescent="0.2">
      <c r="J473"/>
      <c r="K473"/>
      <c r="L473"/>
      <c r="M473"/>
      <c r="N473"/>
      <c r="O473" s="392"/>
      <c r="P473" s="2"/>
      <c r="R473" s="686"/>
      <c r="S473" s="686"/>
      <c r="T473" s="686"/>
      <c r="U473"/>
    </row>
    <row r="474" spans="10:21" s="1" customFormat="1" x14ac:dyDescent="0.2">
      <c r="J474"/>
      <c r="K474"/>
      <c r="L474"/>
      <c r="M474"/>
      <c r="N474"/>
      <c r="O474" s="392"/>
      <c r="P474" s="2"/>
      <c r="R474" s="686"/>
      <c r="S474" s="686"/>
      <c r="T474" s="686"/>
      <c r="U474"/>
    </row>
    <row r="475" spans="10:21" s="1" customFormat="1" x14ac:dyDescent="0.2">
      <c r="J475"/>
      <c r="K475"/>
      <c r="L475"/>
      <c r="M475"/>
      <c r="N475"/>
      <c r="O475" s="392"/>
      <c r="P475" s="2"/>
      <c r="R475" s="686"/>
      <c r="S475" s="686"/>
      <c r="T475" s="686"/>
      <c r="U475"/>
    </row>
    <row r="476" spans="10:21" s="1" customFormat="1" x14ac:dyDescent="0.2">
      <c r="J476"/>
      <c r="K476"/>
      <c r="L476"/>
      <c r="M476"/>
      <c r="N476"/>
      <c r="O476" s="392"/>
      <c r="P476" s="2"/>
      <c r="R476" s="686"/>
      <c r="S476" s="686"/>
      <c r="T476" s="686"/>
      <c r="U476"/>
    </row>
    <row r="477" spans="10:21" s="1" customFormat="1" x14ac:dyDescent="0.2">
      <c r="J477"/>
      <c r="K477"/>
      <c r="L477"/>
      <c r="M477"/>
      <c r="N477"/>
      <c r="O477" s="392"/>
      <c r="P477" s="2"/>
      <c r="R477" s="686"/>
      <c r="S477" s="686"/>
      <c r="T477" s="686"/>
      <c r="U477"/>
    </row>
    <row r="478" spans="10:21" s="1" customFormat="1" x14ac:dyDescent="0.2">
      <c r="J478"/>
      <c r="K478"/>
      <c r="L478"/>
      <c r="M478"/>
      <c r="N478"/>
      <c r="O478" s="392"/>
      <c r="P478" s="2"/>
      <c r="R478" s="686"/>
      <c r="S478" s="686"/>
      <c r="T478" s="686"/>
      <c r="U478"/>
    </row>
    <row r="479" spans="10:21" s="1" customFormat="1" x14ac:dyDescent="0.2">
      <c r="J479"/>
      <c r="K479"/>
      <c r="L479"/>
      <c r="M479"/>
      <c r="N479"/>
      <c r="O479" s="392"/>
      <c r="P479" s="2"/>
      <c r="R479" s="686"/>
      <c r="S479" s="686"/>
      <c r="T479" s="686"/>
      <c r="U479"/>
    </row>
    <row r="480" spans="10:21" s="1" customFormat="1" x14ac:dyDescent="0.2">
      <c r="J480"/>
      <c r="K480"/>
      <c r="L480"/>
      <c r="M480"/>
      <c r="N480"/>
      <c r="O480" s="392"/>
      <c r="P480" s="2"/>
      <c r="R480" s="686"/>
      <c r="S480" s="686"/>
      <c r="T480" s="686"/>
      <c r="U480"/>
    </row>
    <row r="481" spans="10:21" s="1" customFormat="1" x14ac:dyDescent="0.2">
      <c r="J481"/>
      <c r="K481"/>
      <c r="L481"/>
      <c r="M481"/>
      <c r="N481"/>
      <c r="O481" s="392"/>
      <c r="P481" s="2"/>
      <c r="R481" s="686"/>
      <c r="S481" s="686"/>
      <c r="T481" s="686"/>
      <c r="U481"/>
    </row>
    <row r="482" spans="10:21" s="1" customFormat="1" x14ac:dyDescent="0.2">
      <c r="J482"/>
      <c r="K482"/>
      <c r="L482"/>
      <c r="M482"/>
      <c r="N482"/>
      <c r="O482" s="392"/>
      <c r="P482" s="2"/>
      <c r="R482" s="686"/>
      <c r="S482" s="686"/>
      <c r="T482" s="686"/>
      <c r="U482"/>
    </row>
    <row r="483" spans="10:21" s="1" customFormat="1" x14ac:dyDescent="0.2">
      <c r="J483"/>
      <c r="K483"/>
      <c r="L483"/>
      <c r="M483"/>
      <c r="N483"/>
      <c r="O483" s="392"/>
      <c r="P483" s="2"/>
      <c r="R483" s="686"/>
      <c r="S483" s="686"/>
      <c r="T483" s="686"/>
      <c r="U483"/>
    </row>
    <row r="484" spans="10:21" s="1" customFormat="1" x14ac:dyDescent="0.2">
      <c r="J484"/>
      <c r="K484"/>
      <c r="L484"/>
      <c r="M484"/>
      <c r="N484"/>
      <c r="O484" s="392"/>
      <c r="P484" s="2"/>
      <c r="R484" s="686"/>
      <c r="S484" s="686"/>
      <c r="T484" s="686"/>
      <c r="U484"/>
    </row>
    <row r="485" spans="10:21" s="1" customFormat="1" x14ac:dyDescent="0.2">
      <c r="J485"/>
      <c r="K485"/>
      <c r="L485"/>
      <c r="M485"/>
      <c r="N485"/>
      <c r="O485" s="392"/>
      <c r="P485" s="2"/>
      <c r="R485" s="686"/>
      <c r="S485" s="686"/>
      <c r="T485" s="686"/>
      <c r="U485"/>
    </row>
    <row r="486" spans="10:21" s="1" customFormat="1" x14ac:dyDescent="0.2">
      <c r="J486"/>
      <c r="K486"/>
      <c r="L486"/>
      <c r="M486"/>
      <c r="N486"/>
      <c r="O486" s="392"/>
      <c r="P486" s="2"/>
      <c r="R486" s="686"/>
      <c r="S486" s="686"/>
      <c r="T486" s="686"/>
      <c r="U486"/>
    </row>
    <row r="487" spans="10:21" s="1" customFormat="1" x14ac:dyDescent="0.2">
      <c r="J487"/>
      <c r="K487"/>
      <c r="L487"/>
      <c r="M487"/>
      <c r="N487"/>
      <c r="O487" s="392"/>
      <c r="P487" s="2"/>
      <c r="R487" s="686"/>
      <c r="S487" s="686"/>
      <c r="T487" s="686"/>
      <c r="U487"/>
    </row>
    <row r="488" spans="10:21" s="1" customFormat="1" x14ac:dyDescent="0.2">
      <c r="J488"/>
      <c r="K488"/>
      <c r="L488"/>
      <c r="M488"/>
      <c r="N488"/>
      <c r="O488" s="392"/>
      <c r="P488" s="2"/>
      <c r="R488" s="686"/>
      <c r="S488" s="686"/>
      <c r="T488" s="686"/>
      <c r="U488"/>
    </row>
    <row r="489" spans="10:21" s="1" customFormat="1" x14ac:dyDescent="0.2">
      <c r="J489"/>
      <c r="K489"/>
      <c r="L489"/>
      <c r="M489"/>
      <c r="N489"/>
      <c r="O489" s="392"/>
      <c r="P489" s="2"/>
      <c r="R489" s="686"/>
      <c r="S489" s="686"/>
      <c r="T489" s="686"/>
      <c r="U489"/>
    </row>
    <row r="490" spans="10:21" s="1" customFormat="1" x14ac:dyDescent="0.2">
      <c r="J490"/>
      <c r="K490"/>
      <c r="L490"/>
      <c r="M490"/>
      <c r="N490"/>
      <c r="O490" s="392"/>
      <c r="P490" s="2"/>
      <c r="R490" s="686"/>
      <c r="S490" s="686"/>
      <c r="T490" s="686"/>
      <c r="U490"/>
    </row>
    <row r="491" spans="10:21" s="1" customFormat="1" x14ac:dyDescent="0.2">
      <c r="J491"/>
      <c r="K491"/>
      <c r="L491"/>
      <c r="M491"/>
      <c r="N491"/>
      <c r="O491" s="392"/>
      <c r="P491" s="2"/>
      <c r="R491" s="686"/>
      <c r="S491" s="686"/>
      <c r="T491" s="686"/>
      <c r="U491"/>
    </row>
    <row r="492" spans="10:21" s="1" customFormat="1" x14ac:dyDescent="0.2">
      <c r="J492"/>
      <c r="K492"/>
      <c r="L492"/>
      <c r="M492"/>
      <c r="N492"/>
      <c r="O492" s="392"/>
      <c r="P492" s="2"/>
      <c r="R492" s="686"/>
      <c r="S492" s="686"/>
      <c r="T492" s="686"/>
      <c r="U492"/>
    </row>
    <row r="493" spans="10:21" s="1" customFormat="1" x14ac:dyDescent="0.2">
      <c r="J493"/>
      <c r="K493"/>
      <c r="L493"/>
      <c r="M493"/>
      <c r="N493"/>
      <c r="O493" s="392"/>
      <c r="P493" s="2"/>
      <c r="R493" s="686"/>
      <c r="S493" s="686"/>
      <c r="T493" s="686"/>
      <c r="U493"/>
    </row>
    <row r="494" spans="10:21" s="1" customFormat="1" x14ac:dyDescent="0.2">
      <c r="J494"/>
      <c r="K494"/>
      <c r="L494"/>
      <c r="M494"/>
      <c r="N494"/>
      <c r="O494" s="392"/>
      <c r="P494" s="2"/>
      <c r="R494" s="686"/>
      <c r="S494" s="686"/>
      <c r="T494" s="686"/>
      <c r="U494"/>
    </row>
    <row r="495" spans="10:21" s="1" customFormat="1" x14ac:dyDescent="0.2">
      <c r="J495"/>
      <c r="K495"/>
      <c r="L495"/>
      <c r="M495"/>
      <c r="N495"/>
      <c r="O495" s="392"/>
      <c r="P495" s="2"/>
      <c r="R495" s="686"/>
      <c r="S495" s="686"/>
      <c r="T495" s="686"/>
      <c r="U495"/>
    </row>
    <row r="496" spans="10:21" s="1" customFormat="1" x14ac:dyDescent="0.2">
      <c r="J496"/>
      <c r="K496"/>
      <c r="L496"/>
      <c r="M496"/>
      <c r="N496"/>
      <c r="O496" s="392"/>
      <c r="P496" s="2"/>
      <c r="R496" s="686"/>
      <c r="S496" s="686"/>
      <c r="T496" s="686"/>
      <c r="U496"/>
    </row>
    <row r="497" spans="10:21" s="1" customFormat="1" x14ac:dyDescent="0.2">
      <c r="J497"/>
      <c r="K497"/>
      <c r="L497"/>
      <c r="M497"/>
      <c r="N497"/>
      <c r="O497" s="392"/>
      <c r="P497" s="2"/>
      <c r="R497" s="686"/>
      <c r="S497" s="686"/>
      <c r="T497" s="686"/>
      <c r="U497"/>
    </row>
    <row r="498" spans="10:21" s="1" customFormat="1" x14ac:dyDescent="0.2">
      <c r="J498"/>
      <c r="K498"/>
      <c r="L498"/>
      <c r="M498"/>
      <c r="N498"/>
      <c r="O498" s="392"/>
      <c r="P498" s="2"/>
      <c r="R498" s="686"/>
      <c r="S498" s="686"/>
      <c r="T498" s="686"/>
      <c r="U498"/>
    </row>
    <row r="499" spans="10:21" s="1" customFormat="1" x14ac:dyDescent="0.2">
      <c r="J499"/>
      <c r="K499"/>
      <c r="L499"/>
      <c r="M499"/>
      <c r="N499"/>
      <c r="O499" s="392"/>
      <c r="P499" s="2"/>
      <c r="R499" s="686"/>
      <c r="S499" s="686"/>
      <c r="T499" s="686"/>
      <c r="U499"/>
    </row>
    <row r="500" spans="10:21" s="1" customFormat="1" x14ac:dyDescent="0.2">
      <c r="J500"/>
      <c r="K500"/>
      <c r="L500"/>
      <c r="M500"/>
      <c r="N500"/>
      <c r="O500" s="392"/>
      <c r="P500" s="2"/>
      <c r="R500" s="686"/>
      <c r="S500" s="686"/>
      <c r="T500" s="686"/>
      <c r="U500"/>
    </row>
    <row r="501" spans="10:21" s="1" customFormat="1" x14ac:dyDescent="0.2">
      <c r="J501"/>
      <c r="K501"/>
      <c r="L501"/>
      <c r="M501"/>
      <c r="N501"/>
      <c r="O501" s="392"/>
      <c r="P501" s="2"/>
      <c r="R501" s="686"/>
      <c r="S501" s="686"/>
      <c r="T501" s="686"/>
      <c r="U501"/>
    </row>
    <row r="502" spans="10:21" s="1" customFormat="1" x14ac:dyDescent="0.2">
      <c r="J502"/>
      <c r="K502"/>
      <c r="L502"/>
      <c r="M502"/>
      <c r="N502"/>
      <c r="O502" s="392"/>
      <c r="P502" s="2"/>
      <c r="R502" s="686"/>
      <c r="S502" s="686"/>
      <c r="T502" s="686"/>
      <c r="U502"/>
    </row>
    <row r="503" spans="10:21" s="1" customFormat="1" x14ac:dyDescent="0.2">
      <c r="J503"/>
      <c r="K503"/>
      <c r="L503"/>
      <c r="M503"/>
      <c r="N503"/>
      <c r="O503" s="392"/>
      <c r="P503" s="2"/>
      <c r="R503" s="686"/>
      <c r="S503" s="686"/>
      <c r="T503" s="686"/>
      <c r="U503"/>
    </row>
    <row r="504" spans="10:21" s="1" customFormat="1" x14ac:dyDescent="0.2">
      <c r="J504"/>
      <c r="K504"/>
      <c r="L504"/>
      <c r="M504"/>
      <c r="N504"/>
      <c r="O504" s="392"/>
      <c r="P504" s="2"/>
      <c r="R504" s="686"/>
      <c r="S504" s="686"/>
      <c r="T504" s="686"/>
      <c r="U504"/>
    </row>
    <row r="505" spans="10:21" s="1" customFormat="1" x14ac:dyDescent="0.2">
      <c r="J505"/>
      <c r="K505"/>
      <c r="L505"/>
      <c r="M505"/>
      <c r="N505"/>
      <c r="O505" s="392"/>
      <c r="P505" s="2"/>
      <c r="R505" s="686"/>
      <c r="S505" s="686"/>
      <c r="T505" s="686"/>
      <c r="U505"/>
    </row>
    <row r="506" spans="10:21" s="1" customFormat="1" x14ac:dyDescent="0.2">
      <c r="J506"/>
      <c r="K506"/>
      <c r="L506"/>
      <c r="M506"/>
      <c r="N506"/>
      <c r="O506" s="392"/>
      <c r="P506" s="2"/>
      <c r="R506" s="686"/>
      <c r="S506" s="686"/>
      <c r="T506" s="686"/>
      <c r="U506"/>
    </row>
    <row r="507" spans="10:21" s="1" customFormat="1" x14ac:dyDescent="0.2">
      <c r="J507"/>
      <c r="K507"/>
      <c r="L507"/>
      <c r="M507"/>
      <c r="N507"/>
      <c r="O507" s="392"/>
      <c r="P507" s="2"/>
      <c r="R507" s="686"/>
      <c r="S507" s="686"/>
      <c r="T507" s="686"/>
      <c r="U507"/>
    </row>
    <row r="508" spans="10:21" s="1" customFormat="1" x14ac:dyDescent="0.2">
      <c r="J508"/>
      <c r="K508"/>
      <c r="L508"/>
      <c r="M508"/>
      <c r="N508"/>
      <c r="O508" s="392"/>
      <c r="P508" s="2"/>
      <c r="R508" s="686"/>
      <c r="S508" s="686"/>
      <c r="T508" s="686"/>
      <c r="U508"/>
    </row>
    <row r="509" spans="10:21" s="1" customFormat="1" x14ac:dyDescent="0.2">
      <c r="J509"/>
      <c r="K509"/>
      <c r="L509"/>
      <c r="M509"/>
      <c r="N509"/>
      <c r="O509" s="392"/>
      <c r="P509" s="2"/>
      <c r="R509" s="686"/>
      <c r="S509" s="686"/>
      <c r="T509" s="686"/>
      <c r="U509"/>
    </row>
    <row r="510" spans="10:21" s="1" customFormat="1" x14ac:dyDescent="0.2">
      <c r="J510"/>
      <c r="K510"/>
      <c r="L510"/>
      <c r="M510"/>
      <c r="N510"/>
      <c r="O510" s="392"/>
      <c r="P510" s="2"/>
      <c r="R510" s="686"/>
      <c r="S510" s="686"/>
      <c r="T510" s="686"/>
      <c r="U510"/>
    </row>
    <row r="511" spans="10:21" s="1" customFormat="1" x14ac:dyDescent="0.2">
      <c r="J511"/>
      <c r="K511"/>
      <c r="L511"/>
      <c r="M511"/>
      <c r="N511"/>
      <c r="O511" s="392"/>
      <c r="P511" s="2"/>
      <c r="R511" s="686"/>
      <c r="S511" s="686"/>
      <c r="T511" s="686"/>
      <c r="U511"/>
    </row>
    <row r="512" spans="10:21" s="1" customFormat="1" x14ac:dyDescent="0.2">
      <c r="J512"/>
      <c r="K512"/>
      <c r="L512"/>
      <c r="M512"/>
      <c r="N512"/>
      <c r="O512" s="392"/>
      <c r="P512" s="2"/>
      <c r="R512" s="686"/>
      <c r="S512" s="686"/>
      <c r="T512" s="686"/>
      <c r="U512"/>
    </row>
    <row r="513" spans="10:21" s="1" customFormat="1" x14ac:dyDescent="0.2">
      <c r="J513"/>
      <c r="K513"/>
      <c r="L513"/>
      <c r="M513"/>
      <c r="N513"/>
      <c r="O513" s="392"/>
      <c r="P513" s="2"/>
      <c r="R513" s="686"/>
      <c r="S513" s="686"/>
      <c r="T513" s="686"/>
      <c r="U513"/>
    </row>
    <row r="514" spans="10:21" s="1" customFormat="1" x14ac:dyDescent="0.2">
      <c r="J514"/>
      <c r="K514"/>
      <c r="L514"/>
      <c r="M514"/>
      <c r="N514"/>
      <c r="O514" s="392"/>
      <c r="P514" s="2"/>
      <c r="R514" s="686"/>
      <c r="S514" s="686"/>
      <c r="T514" s="686"/>
      <c r="U514"/>
    </row>
    <row r="515" spans="10:21" s="1" customFormat="1" x14ac:dyDescent="0.2">
      <c r="J515"/>
      <c r="K515"/>
      <c r="L515"/>
      <c r="M515"/>
      <c r="N515"/>
      <c r="O515" s="392"/>
      <c r="P515" s="2"/>
      <c r="R515" s="686"/>
      <c r="S515" s="686"/>
      <c r="T515" s="686"/>
      <c r="U515"/>
    </row>
    <row r="516" spans="10:21" s="1" customFormat="1" x14ac:dyDescent="0.2">
      <c r="J516"/>
      <c r="K516"/>
      <c r="L516"/>
      <c r="M516"/>
      <c r="N516"/>
      <c r="O516" s="392"/>
      <c r="P516" s="2"/>
      <c r="R516" s="686"/>
      <c r="S516" s="686"/>
      <c r="T516" s="686"/>
      <c r="U516"/>
    </row>
    <row r="517" spans="10:21" s="1" customFormat="1" x14ac:dyDescent="0.2">
      <c r="J517"/>
      <c r="K517"/>
      <c r="L517"/>
      <c r="M517"/>
      <c r="N517"/>
      <c r="O517" s="392"/>
      <c r="P517" s="2"/>
      <c r="R517" s="686"/>
      <c r="S517" s="686"/>
      <c r="T517" s="686"/>
      <c r="U517"/>
    </row>
    <row r="518" spans="10:21" s="1" customFormat="1" x14ac:dyDescent="0.2">
      <c r="J518"/>
      <c r="K518"/>
      <c r="L518"/>
      <c r="M518"/>
      <c r="N518"/>
      <c r="O518" s="392"/>
      <c r="P518" s="2"/>
      <c r="R518" s="686"/>
      <c r="S518" s="686"/>
      <c r="T518" s="686"/>
      <c r="U518"/>
    </row>
    <row r="519" spans="10:21" s="1" customFormat="1" x14ac:dyDescent="0.2">
      <c r="J519"/>
      <c r="K519"/>
      <c r="L519"/>
      <c r="M519"/>
      <c r="N519"/>
      <c r="O519" s="392"/>
      <c r="P519" s="2"/>
      <c r="R519" s="686"/>
      <c r="S519" s="686"/>
      <c r="T519" s="686"/>
      <c r="U519"/>
    </row>
    <row r="520" spans="10:21" s="1" customFormat="1" x14ac:dyDescent="0.2">
      <c r="J520"/>
      <c r="K520"/>
      <c r="L520"/>
      <c r="M520"/>
      <c r="N520"/>
      <c r="O520" s="392"/>
      <c r="P520" s="2"/>
      <c r="R520" s="686"/>
      <c r="S520" s="686"/>
      <c r="T520" s="686"/>
      <c r="U520"/>
    </row>
    <row r="521" spans="10:21" s="1" customFormat="1" x14ac:dyDescent="0.2">
      <c r="J521"/>
      <c r="K521"/>
      <c r="L521"/>
      <c r="M521"/>
      <c r="N521"/>
      <c r="O521" s="392"/>
      <c r="P521" s="2"/>
      <c r="R521" s="686"/>
      <c r="S521" s="686"/>
      <c r="T521" s="686"/>
      <c r="U521"/>
    </row>
    <row r="522" spans="10:21" s="1" customFormat="1" x14ac:dyDescent="0.2">
      <c r="J522"/>
      <c r="K522"/>
      <c r="L522"/>
      <c r="M522"/>
      <c r="N522"/>
      <c r="O522" s="392"/>
      <c r="P522" s="2"/>
      <c r="R522" s="686"/>
      <c r="S522" s="686"/>
      <c r="T522" s="686"/>
      <c r="U522"/>
    </row>
    <row r="523" spans="10:21" s="1" customFormat="1" x14ac:dyDescent="0.2">
      <c r="J523"/>
      <c r="K523"/>
      <c r="L523"/>
      <c r="M523"/>
      <c r="N523"/>
      <c r="O523" s="392"/>
      <c r="P523" s="2"/>
      <c r="R523" s="686"/>
      <c r="S523" s="686"/>
      <c r="T523" s="686"/>
      <c r="U523"/>
    </row>
    <row r="524" spans="10:21" s="1" customFormat="1" x14ac:dyDescent="0.2">
      <c r="J524"/>
      <c r="K524"/>
      <c r="L524"/>
      <c r="M524"/>
      <c r="N524"/>
      <c r="O524" s="392"/>
      <c r="P524" s="2"/>
      <c r="R524" s="686"/>
      <c r="S524" s="686"/>
      <c r="T524" s="686"/>
      <c r="U524"/>
    </row>
    <row r="525" spans="10:21" s="1" customFormat="1" x14ac:dyDescent="0.2">
      <c r="J525"/>
      <c r="K525"/>
      <c r="L525"/>
      <c r="M525"/>
      <c r="N525"/>
      <c r="O525" s="392"/>
      <c r="P525" s="2"/>
      <c r="R525" s="686"/>
      <c r="S525" s="686"/>
      <c r="T525" s="686"/>
      <c r="U525"/>
    </row>
    <row r="526" spans="10:21" s="1" customFormat="1" x14ac:dyDescent="0.2">
      <c r="J526"/>
      <c r="K526"/>
      <c r="L526"/>
      <c r="M526"/>
      <c r="N526"/>
      <c r="O526" s="392"/>
      <c r="P526" s="2"/>
      <c r="R526" s="686"/>
      <c r="S526" s="686"/>
      <c r="T526" s="686"/>
      <c r="U526"/>
    </row>
    <row r="527" spans="10:21" s="1" customFormat="1" x14ac:dyDescent="0.2">
      <c r="J527"/>
      <c r="K527"/>
      <c r="L527"/>
      <c r="M527"/>
      <c r="N527"/>
      <c r="O527" s="392"/>
      <c r="P527" s="2"/>
      <c r="R527" s="686"/>
      <c r="S527" s="686"/>
      <c r="T527" s="686"/>
      <c r="U527"/>
    </row>
    <row r="528" spans="10:21" s="1" customFormat="1" x14ac:dyDescent="0.2">
      <c r="J528"/>
      <c r="K528"/>
      <c r="L528"/>
      <c r="M528"/>
      <c r="N528"/>
      <c r="O528" s="392"/>
      <c r="P528" s="2"/>
      <c r="R528" s="686"/>
      <c r="S528" s="686"/>
      <c r="T528" s="686"/>
      <c r="U528"/>
    </row>
    <row r="529" spans="10:21" s="1" customFormat="1" x14ac:dyDescent="0.2">
      <c r="J529"/>
      <c r="K529"/>
      <c r="L529"/>
      <c r="M529"/>
      <c r="N529"/>
      <c r="O529" s="392"/>
      <c r="P529" s="2"/>
      <c r="R529" s="686"/>
      <c r="S529" s="686"/>
      <c r="T529" s="686"/>
      <c r="U529"/>
    </row>
    <row r="530" spans="10:21" s="1" customFormat="1" x14ac:dyDescent="0.2">
      <c r="J530"/>
      <c r="K530"/>
      <c r="L530"/>
      <c r="M530"/>
      <c r="N530"/>
      <c r="O530" s="392"/>
      <c r="P530" s="2"/>
      <c r="R530" s="686"/>
      <c r="S530" s="686"/>
      <c r="T530" s="686"/>
      <c r="U530"/>
    </row>
    <row r="531" spans="10:21" s="1" customFormat="1" x14ac:dyDescent="0.2">
      <c r="J531"/>
      <c r="K531"/>
      <c r="L531"/>
      <c r="M531"/>
      <c r="N531"/>
      <c r="O531" s="392"/>
      <c r="P531" s="2"/>
      <c r="R531" s="686"/>
      <c r="S531" s="686"/>
      <c r="T531" s="686"/>
      <c r="U531"/>
    </row>
    <row r="532" spans="10:21" s="1" customFormat="1" x14ac:dyDescent="0.2">
      <c r="J532"/>
      <c r="K532"/>
      <c r="L532"/>
      <c r="M532"/>
      <c r="N532"/>
      <c r="O532" s="392"/>
      <c r="P532" s="2"/>
      <c r="R532" s="686"/>
      <c r="S532" s="686"/>
      <c r="T532" s="686"/>
      <c r="U532"/>
    </row>
    <row r="533" spans="10:21" s="1" customFormat="1" x14ac:dyDescent="0.2">
      <c r="J533"/>
      <c r="K533"/>
      <c r="L533"/>
      <c r="M533"/>
      <c r="N533"/>
      <c r="O533" s="392"/>
      <c r="P533" s="2"/>
      <c r="R533" s="686"/>
      <c r="S533" s="686"/>
      <c r="T533" s="686"/>
      <c r="U533"/>
    </row>
    <row r="534" spans="10:21" s="1" customFormat="1" x14ac:dyDescent="0.2">
      <c r="J534"/>
      <c r="K534"/>
      <c r="L534"/>
      <c r="M534"/>
      <c r="N534"/>
      <c r="O534" s="392"/>
      <c r="P534" s="2"/>
      <c r="R534" s="686"/>
      <c r="S534" s="686"/>
      <c r="T534" s="686"/>
      <c r="U534"/>
    </row>
    <row r="535" spans="10:21" s="1" customFormat="1" x14ac:dyDescent="0.2">
      <c r="J535"/>
      <c r="K535"/>
      <c r="L535"/>
      <c r="M535"/>
      <c r="N535"/>
      <c r="O535" s="392"/>
      <c r="P535" s="2"/>
      <c r="R535" s="686"/>
      <c r="S535" s="686"/>
      <c r="T535" s="686"/>
      <c r="U535"/>
    </row>
    <row r="536" spans="10:21" s="1" customFormat="1" x14ac:dyDescent="0.2">
      <c r="J536"/>
      <c r="K536"/>
      <c r="L536"/>
      <c r="M536"/>
      <c r="N536"/>
      <c r="O536" s="392"/>
      <c r="P536" s="2"/>
      <c r="R536" s="686"/>
      <c r="S536" s="686"/>
      <c r="T536" s="686"/>
      <c r="U536"/>
    </row>
    <row r="537" spans="10:21" s="1" customFormat="1" x14ac:dyDescent="0.2">
      <c r="J537"/>
      <c r="K537"/>
      <c r="L537"/>
      <c r="M537"/>
      <c r="N537"/>
      <c r="O537" s="392"/>
      <c r="P537" s="2"/>
      <c r="R537" s="686"/>
      <c r="S537" s="686"/>
      <c r="T537" s="686"/>
      <c r="U537"/>
    </row>
    <row r="538" spans="10:21" s="1" customFormat="1" x14ac:dyDescent="0.2">
      <c r="J538"/>
      <c r="K538"/>
      <c r="L538"/>
      <c r="M538"/>
      <c r="N538"/>
      <c r="O538" s="392"/>
      <c r="P538" s="2"/>
      <c r="R538" s="686"/>
      <c r="S538" s="686"/>
      <c r="T538" s="686"/>
      <c r="U538"/>
    </row>
    <row r="539" spans="10:21" s="1" customFormat="1" x14ac:dyDescent="0.2">
      <c r="J539"/>
      <c r="K539"/>
      <c r="L539"/>
      <c r="M539"/>
      <c r="N539"/>
      <c r="O539" s="392"/>
      <c r="P539" s="2"/>
      <c r="R539" s="686"/>
      <c r="S539" s="686"/>
      <c r="T539" s="686"/>
      <c r="U539"/>
    </row>
    <row r="540" spans="10:21" s="1" customFormat="1" x14ac:dyDescent="0.2">
      <c r="J540"/>
      <c r="K540"/>
      <c r="L540"/>
      <c r="M540"/>
      <c r="N540"/>
      <c r="O540" s="392"/>
      <c r="P540" s="2"/>
      <c r="R540" s="686"/>
      <c r="S540" s="686"/>
      <c r="T540" s="686"/>
      <c r="U540"/>
    </row>
    <row r="541" spans="10:21" s="1" customFormat="1" x14ac:dyDescent="0.2">
      <c r="J541"/>
      <c r="K541"/>
      <c r="L541"/>
      <c r="M541"/>
      <c r="N541"/>
      <c r="O541" s="392"/>
      <c r="P541" s="2"/>
      <c r="R541" s="686"/>
      <c r="S541" s="686"/>
      <c r="T541" s="686"/>
      <c r="U541"/>
    </row>
    <row r="542" spans="10:21" s="1" customFormat="1" x14ac:dyDescent="0.2">
      <c r="J542"/>
      <c r="K542"/>
      <c r="L542"/>
      <c r="M542"/>
      <c r="N542"/>
      <c r="O542" s="392"/>
      <c r="P542" s="2"/>
      <c r="R542" s="686"/>
      <c r="S542" s="686"/>
      <c r="T542" s="686"/>
      <c r="U542"/>
    </row>
    <row r="543" spans="10:21" s="1" customFormat="1" x14ac:dyDescent="0.2">
      <c r="J543"/>
      <c r="K543"/>
      <c r="L543"/>
      <c r="M543"/>
      <c r="N543"/>
      <c r="O543" s="392"/>
      <c r="P543" s="2"/>
      <c r="R543" s="686"/>
      <c r="S543" s="686"/>
      <c r="T543" s="686"/>
      <c r="U543"/>
    </row>
    <row r="544" spans="10:21" s="1" customFormat="1" x14ac:dyDescent="0.2">
      <c r="J544"/>
      <c r="K544"/>
      <c r="L544"/>
      <c r="M544"/>
      <c r="N544"/>
      <c r="O544" s="392"/>
      <c r="P544" s="2"/>
      <c r="R544" s="686"/>
      <c r="S544" s="686"/>
      <c r="T544" s="686"/>
      <c r="U544"/>
    </row>
    <row r="545" spans="10:21" s="1" customFormat="1" x14ac:dyDescent="0.2">
      <c r="J545"/>
      <c r="K545"/>
      <c r="L545"/>
      <c r="M545"/>
      <c r="N545"/>
      <c r="O545" s="392"/>
      <c r="P545" s="2"/>
      <c r="R545" s="686"/>
      <c r="S545" s="686"/>
      <c r="T545" s="686"/>
      <c r="U545"/>
    </row>
    <row r="546" spans="10:21" s="1" customFormat="1" x14ac:dyDescent="0.2">
      <c r="J546"/>
      <c r="K546"/>
      <c r="L546"/>
      <c r="M546"/>
      <c r="N546"/>
      <c r="O546" s="392"/>
      <c r="P546" s="2"/>
      <c r="R546" s="686"/>
      <c r="S546" s="686"/>
      <c r="T546" s="686"/>
      <c r="U546"/>
    </row>
    <row r="547" spans="10:21" s="1" customFormat="1" x14ac:dyDescent="0.2">
      <c r="J547"/>
      <c r="K547"/>
      <c r="L547"/>
      <c r="M547"/>
      <c r="N547"/>
      <c r="O547" s="392"/>
      <c r="P547" s="2"/>
      <c r="R547" s="686"/>
      <c r="S547" s="686"/>
      <c r="T547" s="686"/>
      <c r="U547"/>
    </row>
    <row r="548" spans="10:21" s="1" customFormat="1" x14ac:dyDescent="0.2">
      <c r="J548"/>
      <c r="K548"/>
      <c r="L548"/>
      <c r="M548"/>
      <c r="N548"/>
      <c r="O548" s="392"/>
      <c r="P548" s="2"/>
      <c r="R548" s="686"/>
      <c r="S548" s="686"/>
      <c r="T548" s="686"/>
      <c r="U548"/>
    </row>
    <row r="549" spans="10:21" s="1" customFormat="1" x14ac:dyDescent="0.2">
      <c r="J549"/>
      <c r="K549"/>
      <c r="L549"/>
      <c r="M549"/>
      <c r="N549"/>
      <c r="O549" s="392"/>
      <c r="P549" s="2"/>
      <c r="R549" s="686"/>
      <c r="S549" s="686"/>
      <c r="T549" s="686"/>
      <c r="U549"/>
    </row>
    <row r="550" spans="10:21" s="1" customFormat="1" x14ac:dyDescent="0.2">
      <c r="J550"/>
      <c r="K550"/>
      <c r="L550"/>
      <c r="M550"/>
      <c r="N550"/>
      <c r="O550" s="392"/>
      <c r="P550" s="2"/>
      <c r="R550" s="686"/>
      <c r="S550" s="686"/>
      <c r="T550" s="686"/>
      <c r="U550"/>
    </row>
    <row r="551" spans="10:21" s="1" customFormat="1" x14ac:dyDescent="0.2">
      <c r="J551"/>
      <c r="K551"/>
      <c r="L551"/>
      <c r="M551"/>
      <c r="N551"/>
      <c r="O551" s="392"/>
      <c r="P551" s="2"/>
      <c r="R551" s="686"/>
      <c r="S551" s="686"/>
      <c r="T551" s="686"/>
      <c r="U551"/>
    </row>
    <row r="552" spans="10:21" s="1" customFormat="1" x14ac:dyDescent="0.2">
      <c r="J552"/>
      <c r="K552"/>
      <c r="L552"/>
      <c r="M552"/>
      <c r="N552"/>
      <c r="O552" s="392"/>
      <c r="P552" s="2"/>
      <c r="R552" s="686"/>
      <c r="S552" s="686"/>
      <c r="T552" s="686"/>
      <c r="U552"/>
    </row>
    <row r="553" spans="10:21" s="1" customFormat="1" x14ac:dyDescent="0.2">
      <c r="J553"/>
      <c r="K553"/>
      <c r="L553"/>
      <c r="M553"/>
      <c r="N553"/>
      <c r="O553" s="392"/>
      <c r="P553" s="2"/>
      <c r="R553" s="686"/>
      <c r="S553" s="686"/>
      <c r="T553" s="686"/>
      <c r="U553"/>
    </row>
    <row r="554" spans="10:21" s="1" customFormat="1" x14ac:dyDescent="0.2">
      <c r="J554"/>
      <c r="K554"/>
      <c r="L554"/>
      <c r="M554"/>
      <c r="N554"/>
      <c r="O554" s="392"/>
      <c r="P554" s="2"/>
      <c r="R554" s="686"/>
      <c r="S554" s="686"/>
      <c r="T554" s="686"/>
      <c r="U554"/>
    </row>
    <row r="555" spans="10:21" s="1" customFormat="1" x14ac:dyDescent="0.2">
      <c r="J555"/>
      <c r="K555"/>
      <c r="L555"/>
      <c r="M555"/>
      <c r="N555"/>
      <c r="O555" s="392"/>
      <c r="P555" s="2"/>
      <c r="R555" s="686"/>
      <c r="S555" s="686"/>
      <c r="T555" s="686"/>
      <c r="U555"/>
    </row>
    <row r="556" spans="10:21" s="1" customFormat="1" x14ac:dyDescent="0.2">
      <c r="J556"/>
      <c r="K556"/>
      <c r="L556"/>
      <c r="M556"/>
      <c r="N556"/>
      <c r="O556" s="392"/>
      <c r="P556" s="2"/>
      <c r="R556" s="686"/>
      <c r="S556" s="686"/>
      <c r="T556" s="686"/>
      <c r="U556"/>
    </row>
    <row r="557" spans="10:21" s="1" customFormat="1" x14ac:dyDescent="0.2">
      <c r="J557"/>
      <c r="K557"/>
      <c r="L557"/>
      <c r="M557"/>
      <c r="N557"/>
      <c r="O557" s="392"/>
      <c r="P557" s="2"/>
      <c r="R557" s="686"/>
      <c r="S557" s="686"/>
      <c r="T557" s="686"/>
      <c r="U557"/>
    </row>
    <row r="558" spans="10:21" s="1" customFormat="1" x14ac:dyDescent="0.2">
      <c r="J558"/>
      <c r="K558"/>
      <c r="L558"/>
      <c r="M558"/>
      <c r="N558"/>
      <c r="O558" s="392"/>
      <c r="P558" s="2"/>
      <c r="R558" s="686"/>
      <c r="S558" s="686"/>
      <c r="T558" s="686"/>
      <c r="U558"/>
    </row>
    <row r="559" spans="10:21" s="1" customFormat="1" x14ac:dyDescent="0.2">
      <c r="J559"/>
      <c r="K559"/>
      <c r="L559"/>
      <c r="M559"/>
      <c r="N559"/>
      <c r="O559" s="392"/>
      <c r="P559" s="2"/>
      <c r="R559" s="686"/>
      <c r="S559" s="686"/>
      <c r="T559" s="686"/>
      <c r="U559"/>
    </row>
    <row r="560" spans="10:21" s="1" customFormat="1" x14ac:dyDescent="0.2">
      <c r="J560"/>
      <c r="K560"/>
      <c r="L560"/>
      <c r="M560"/>
      <c r="N560"/>
      <c r="O560" s="392"/>
      <c r="P560" s="2"/>
      <c r="R560" s="686"/>
      <c r="S560" s="686"/>
      <c r="T560" s="686"/>
      <c r="U560"/>
    </row>
    <row r="561" spans="10:21" s="1" customFormat="1" x14ac:dyDescent="0.2">
      <c r="J561"/>
      <c r="K561"/>
      <c r="L561"/>
      <c r="M561"/>
      <c r="N561"/>
      <c r="O561" s="392"/>
      <c r="P561" s="2"/>
      <c r="R561" s="686"/>
      <c r="S561" s="686"/>
      <c r="T561" s="686"/>
      <c r="U561"/>
    </row>
    <row r="562" spans="10:21" s="1" customFormat="1" x14ac:dyDescent="0.2">
      <c r="J562"/>
      <c r="K562"/>
      <c r="L562"/>
      <c r="M562"/>
      <c r="N562"/>
      <c r="O562" s="392"/>
      <c r="P562" s="2"/>
      <c r="R562" s="686"/>
      <c r="S562" s="686"/>
      <c r="T562" s="686"/>
      <c r="U562"/>
    </row>
    <row r="563" spans="10:21" s="1" customFormat="1" x14ac:dyDescent="0.2">
      <c r="J563"/>
      <c r="K563"/>
      <c r="L563"/>
      <c r="M563"/>
      <c r="N563"/>
      <c r="O563" s="392"/>
      <c r="P563" s="2"/>
      <c r="R563" s="686"/>
      <c r="S563" s="686"/>
      <c r="T563" s="686"/>
      <c r="U563"/>
    </row>
    <row r="564" spans="10:21" s="1" customFormat="1" x14ac:dyDescent="0.2">
      <c r="J564"/>
      <c r="K564"/>
      <c r="L564"/>
      <c r="M564"/>
      <c r="N564"/>
      <c r="O564" s="392"/>
      <c r="P564" s="2"/>
      <c r="R564" s="686"/>
      <c r="S564" s="686"/>
      <c r="T564" s="686"/>
      <c r="U564"/>
    </row>
    <row r="565" spans="10:21" s="1" customFormat="1" x14ac:dyDescent="0.2">
      <c r="J565"/>
      <c r="K565"/>
      <c r="L565"/>
      <c r="M565"/>
      <c r="N565"/>
      <c r="O565" s="392"/>
      <c r="P565" s="2"/>
      <c r="R565" s="686"/>
      <c r="S565" s="686"/>
      <c r="T565" s="686"/>
      <c r="U565"/>
    </row>
    <row r="566" spans="10:21" s="1" customFormat="1" x14ac:dyDescent="0.2">
      <c r="J566"/>
      <c r="K566"/>
      <c r="L566"/>
      <c r="M566"/>
      <c r="N566"/>
      <c r="O566" s="392"/>
      <c r="P566" s="2"/>
      <c r="R566" s="686"/>
      <c r="S566" s="686"/>
      <c r="T566" s="686"/>
      <c r="U566"/>
    </row>
    <row r="567" spans="10:21" s="1" customFormat="1" x14ac:dyDescent="0.2">
      <c r="J567"/>
      <c r="K567"/>
      <c r="L567"/>
      <c r="M567"/>
      <c r="N567"/>
      <c r="O567" s="392"/>
      <c r="P567" s="2"/>
      <c r="R567" s="686"/>
      <c r="S567" s="686"/>
      <c r="T567" s="686"/>
      <c r="U567"/>
    </row>
    <row r="568" spans="10:21" s="1" customFormat="1" x14ac:dyDescent="0.2">
      <c r="J568"/>
      <c r="K568"/>
      <c r="L568"/>
      <c r="M568"/>
      <c r="N568"/>
      <c r="O568" s="392"/>
      <c r="P568" s="2"/>
      <c r="R568" s="686"/>
      <c r="S568" s="686"/>
      <c r="T568" s="686"/>
      <c r="U568"/>
    </row>
    <row r="569" spans="10:21" s="1" customFormat="1" x14ac:dyDescent="0.2">
      <c r="J569"/>
      <c r="K569"/>
      <c r="L569"/>
      <c r="M569"/>
      <c r="N569"/>
      <c r="O569" s="392"/>
      <c r="P569" s="2"/>
      <c r="R569" s="686"/>
      <c r="S569" s="686"/>
      <c r="T569" s="686"/>
      <c r="U569"/>
    </row>
    <row r="570" spans="10:21" s="1" customFormat="1" x14ac:dyDescent="0.2">
      <c r="J570"/>
      <c r="K570"/>
      <c r="L570"/>
      <c r="M570"/>
      <c r="N570"/>
      <c r="O570" s="392"/>
      <c r="P570" s="2"/>
      <c r="R570" s="686"/>
      <c r="S570" s="686"/>
      <c r="T570" s="686"/>
      <c r="U570"/>
    </row>
    <row r="571" spans="10:21" s="1" customFormat="1" x14ac:dyDescent="0.2">
      <c r="J571"/>
      <c r="K571"/>
      <c r="L571"/>
      <c r="M571"/>
      <c r="N571"/>
      <c r="O571" s="392"/>
      <c r="P571" s="2"/>
      <c r="R571" s="686"/>
      <c r="S571" s="686"/>
      <c r="T571" s="686"/>
      <c r="U571"/>
    </row>
    <row r="572" spans="10:21" s="1" customFormat="1" x14ac:dyDescent="0.2">
      <c r="J572"/>
      <c r="K572"/>
      <c r="L572"/>
      <c r="M572"/>
      <c r="N572"/>
      <c r="O572" s="392"/>
      <c r="P572" s="2"/>
      <c r="R572" s="686"/>
      <c r="S572" s="686"/>
      <c r="T572" s="686"/>
      <c r="U572"/>
    </row>
    <row r="573" spans="10:21" s="1" customFormat="1" x14ac:dyDescent="0.2">
      <c r="J573"/>
      <c r="K573"/>
      <c r="L573"/>
      <c r="M573"/>
      <c r="N573"/>
      <c r="O573" s="392"/>
      <c r="P573" s="2"/>
      <c r="R573" s="686"/>
      <c r="S573" s="686"/>
      <c r="T573" s="686"/>
      <c r="U573"/>
    </row>
    <row r="574" spans="10:21" s="1" customFormat="1" x14ac:dyDescent="0.2">
      <c r="J574"/>
      <c r="K574"/>
      <c r="L574"/>
      <c r="M574"/>
      <c r="N574"/>
      <c r="O574" s="392"/>
      <c r="P574" s="2"/>
      <c r="R574" s="686"/>
      <c r="S574" s="686"/>
      <c r="T574" s="686"/>
      <c r="U574"/>
    </row>
    <row r="575" spans="10:21" s="1" customFormat="1" x14ac:dyDescent="0.2">
      <c r="J575"/>
      <c r="K575"/>
      <c r="L575"/>
      <c r="M575"/>
      <c r="N575"/>
      <c r="O575" s="392"/>
      <c r="P575" s="2"/>
      <c r="R575" s="686"/>
      <c r="S575" s="686"/>
      <c r="T575" s="686"/>
      <c r="U575"/>
    </row>
    <row r="576" spans="10:21" s="1" customFormat="1" x14ac:dyDescent="0.2">
      <c r="J576"/>
      <c r="K576"/>
      <c r="L576"/>
      <c r="M576"/>
      <c r="N576"/>
      <c r="O576" s="392"/>
      <c r="P576" s="2"/>
      <c r="R576" s="686"/>
      <c r="S576" s="686"/>
      <c r="T576" s="686"/>
      <c r="U576"/>
    </row>
    <row r="577" spans="10:21" s="1" customFormat="1" x14ac:dyDescent="0.2">
      <c r="J577"/>
      <c r="K577"/>
      <c r="L577"/>
      <c r="M577"/>
      <c r="N577"/>
      <c r="O577" s="392"/>
      <c r="P577" s="2"/>
      <c r="R577" s="686"/>
      <c r="S577" s="686"/>
      <c r="T577" s="686"/>
      <c r="U577"/>
    </row>
    <row r="578" spans="10:21" s="1" customFormat="1" x14ac:dyDescent="0.2">
      <c r="J578"/>
      <c r="K578"/>
      <c r="L578"/>
      <c r="M578"/>
      <c r="N578"/>
      <c r="O578" s="392"/>
      <c r="P578" s="2"/>
      <c r="R578" s="686"/>
      <c r="S578" s="686"/>
      <c r="T578" s="686"/>
      <c r="U578"/>
    </row>
    <row r="579" spans="10:21" s="1" customFormat="1" x14ac:dyDescent="0.2">
      <c r="J579"/>
      <c r="K579"/>
      <c r="L579"/>
      <c r="M579"/>
      <c r="N579"/>
      <c r="O579" s="392"/>
      <c r="P579" s="2"/>
      <c r="R579" s="686"/>
      <c r="S579" s="686"/>
      <c r="T579" s="686"/>
      <c r="U579"/>
    </row>
    <row r="580" spans="10:21" s="1" customFormat="1" x14ac:dyDescent="0.2">
      <c r="J580"/>
      <c r="K580"/>
      <c r="L580"/>
      <c r="M580"/>
      <c r="N580"/>
      <c r="O580" s="392"/>
      <c r="P580" s="2"/>
      <c r="R580" s="686"/>
      <c r="S580" s="686"/>
      <c r="T580" s="686"/>
      <c r="U580"/>
    </row>
    <row r="581" spans="10:21" s="1" customFormat="1" x14ac:dyDescent="0.2">
      <c r="J581"/>
      <c r="K581"/>
      <c r="L581"/>
      <c r="M581"/>
      <c r="N581"/>
      <c r="O581" s="392"/>
      <c r="P581" s="2"/>
      <c r="R581" s="686"/>
      <c r="S581" s="686"/>
      <c r="T581" s="686"/>
      <c r="U581"/>
    </row>
    <row r="582" spans="10:21" s="1" customFormat="1" x14ac:dyDescent="0.2">
      <c r="J582"/>
      <c r="K582"/>
      <c r="L582"/>
      <c r="M582"/>
      <c r="N582"/>
      <c r="O582" s="392"/>
      <c r="P582" s="2"/>
      <c r="R582" s="686"/>
      <c r="S582" s="686"/>
      <c r="T582" s="686"/>
      <c r="U582"/>
    </row>
    <row r="583" spans="10:21" s="1" customFormat="1" x14ac:dyDescent="0.2">
      <c r="J583"/>
      <c r="K583"/>
      <c r="L583"/>
      <c r="M583"/>
      <c r="N583"/>
      <c r="O583" s="392"/>
      <c r="P583" s="2"/>
      <c r="R583" s="686"/>
      <c r="S583" s="686"/>
      <c r="T583" s="686"/>
      <c r="U583"/>
    </row>
    <row r="584" spans="10:21" s="1" customFormat="1" x14ac:dyDescent="0.2">
      <c r="J584"/>
      <c r="K584"/>
      <c r="L584"/>
      <c r="M584"/>
      <c r="N584"/>
      <c r="O584" s="392"/>
      <c r="P584" s="2"/>
      <c r="R584" s="686"/>
      <c r="S584" s="686"/>
      <c r="T584" s="686"/>
      <c r="U584"/>
    </row>
    <row r="585" spans="10:21" s="1" customFormat="1" x14ac:dyDescent="0.2">
      <c r="J585"/>
      <c r="K585"/>
      <c r="L585"/>
      <c r="M585"/>
      <c r="N585"/>
      <c r="O585" s="392"/>
      <c r="P585" s="2"/>
      <c r="R585" s="686"/>
      <c r="S585" s="686"/>
      <c r="T585" s="686"/>
      <c r="U585"/>
    </row>
    <row r="586" spans="10:21" s="1" customFormat="1" x14ac:dyDescent="0.2">
      <c r="J586"/>
      <c r="K586"/>
      <c r="L586"/>
      <c r="M586"/>
      <c r="N586"/>
      <c r="O586" s="392"/>
      <c r="P586" s="2"/>
      <c r="R586" s="686"/>
      <c r="S586" s="686"/>
      <c r="T586" s="686"/>
      <c r="U586"/>
    </row>
    <row r="587" spans="10:21" s="1" customFormat="1" x14ac:dyDescent="0.2">
      <c r="J587"/>
      <c r="K587"/>
      <c r="L587"/>
      <c r="M587"/>
      <c r="N587"/>
      <c r="O587" s="392"/>
      <c r="P587" s="2"/>
      <c r="R587" s="686"/>
      <c r="S587" s="686"/>
      <c r="T587" s="686"/>
      <c r="U587"/>
    </row>
    <row r="588" spans="10:21" s="1" customFormat="1" x14ac:dyDescent="0.2">
      <c r="J588"/>
      <c r="K588"/>
      <c r="L588"/>
      <c r="M588"/>
      <c r="N588"/>
      <c r="O588" s="392"/>
      <c r="P588" s="2"/>
      <c r="R588" s="686"/>
      <c r="S588" s="686"/>
      <c r="T588" s="686"/>
      <c r="U588"/>
    </row>
    <row r="589" spans="10:21" s="1" customFormat="1" x14ac:dyDescent="0.2">
      <c r="J589"/>
      <c r="K589"/>
      <c r="L589"/>
      <c r="M589"/>
      <c r="N589"/>
      <c r="O589" s="392"/>
      <c r="P589" s="2"/>
      <c r="R589" s="686"/>
      <c r="S589" s="686"/>
      <c r="T589" s="686"/>
      <c r="U589"/>
    </row>
    <row r="590" spans="10:21" s="1" customFormat="1" x14ac:dyDescent="0.2">
      <c r="J590"/>
      <c r="K590"/>
      <c r="L590"/>
      <c r="M590"/>
      <c r="N590"/>
      <c r="O590" s="392"/>
      <c r="P590" s="2"/>
      <c r="R590" s="686"/>
      <c r="S590" s="686"/>
      <c r="T590" s="686"/>
      <c r="U590"/>
    </row>
    <row r="591" spans="10:21" s="1" customFormat="1" x14ac:dyDescent="0.2">
      <c r="J591"/>
      <c r="K591"/>
      <c r="L591"/>
      <c r="M591"/>
      <c r="N591"/>
      <c r="O591" s="392"/>
      <c r="P591" s="2"/>
      <c r="R591" s="686"/>
      <c r="S591" s="686"/>
      <c r="T591" s="686"/>
      <c r="U591"/>
    </row>
    <row r="592" spans="10:21" s="1" customFormat="1" x14ac:dyDescent="0.2">
      <c r="J592"/>
      <c r="K592"/>
      <c r="L592"/>
      <c r="M592"/>
      <c r="N592"/>
      <c r="O592" s="392"/>
      <c r="P592" s="2"/>
      <c r="R592" s="686"/>
      <c r="S592" s="686"/>
      <c r="T592" s="686"/>
      <c r="U592"/>
    </row>
    <row r="593" spans="10:21" s="1" customFormat="1" x14ac:dyDescent="0.2">
      <c r="J593"/>
      <c r="K593"/>
      <c r="L593"/>
      <c r="M593"/>
      <c r="N593"/>
      <c r="O593" s="392"/>
      <c r="P593" s="2"/>
      <c r="R593" s="686"/>
      <c r="S593" s="686"/>
      <c r="T593" s="686"/>
      <c r="U593"/>
    </row>
    <row r="594" spans="10:21" s="1" customFormat="1" x14ac:dyDescent="0.2">
      <c r="J594"/>
      <c r="K594"/>
      <c r="L594"/>
      <c r="M594"/>
      <c r="N594"/>
      <c r="O594" s="392"/>
      <c r="P594" s="2"/>
      <c r="R594" s="686"/>
      <c r="S594" s="686"/>
      <c r="T594" s="686"/>
      <c r="U594"/>
    </row>
    <row r="595" spans="10:21" s="1" customFormat="1" x14ac:dyDescent="0.2">
      <c r="J595"/>
      <c r="K595"/>
      <c r="L595"/>
      <c r="M595"/>
      <c r="N595"/>
      <c r="O595" s="392"/>
      <c r="P595" s="2"/>
      <c r="R595" s="686"/>
      <c r="S595" s="686"/>
      <c r="T595" s="686"/>
      <c r="U595"/>
    </row>
    <row r="596" spans="10:21" s="1" customFormat="1" x14ac:dyDescent="0.2">
      <c r="J596"/>
      <c r="K596"/>
      <c r="L596"/>
      <c r="M596"/>
      <c r="N596"/>
      <c r="O596" s="392"/>
      <c r="P596" s="2"/>
      <c r="R596" s="686"/>
      <c r="S596" s="686"/>
      <c r="T596" s="686"/>
      <c r="U596"/>
    </row>
    <row r="597" spans="10:21" s="1" customFormat="1" x14ac:dyDescent="0.2">
      <c r="J597"/>
      <c r="K597"/>
      <c r="L597"/>
      <c r="M597"/>
      <c r="N597"/>
      <c r="O597" s="392"/>
      <c r="P597" s="2"/>
      <c r="R597" s="686"/>
      <c r="S597" s="686"/>
      <c r="T597" s="686"/>
      <c r="U597"/>
    </row>
    <row r="598" spans="10:21" s="1" customFormat="1" x14ac:dyDescent="0.2">
      <c r="J598"/>
      <c r="K598"/>
      <c r="L598"/>
      <c r="M598"/>
      <c r="N598"/>
      <c r="O598" s="392"/>
      <c r="P598" s="2"/>
      <c r="R598" s="686"/>
      <c r="S598" s="686"/>
      <c r="T598" s="686"/>
      <c r="U598"/>
    </row>
    <row r="599" spans="10:21" s="1" customFormat="1" x14ac:dyDescent="0.2">
      <c r="J599"/>
      <c r="K599"/>
      <c r="L599"/>
      <c r="M599"/>
      <c r="N599"/>
      <c r="O599" s="392"/>
      <c r="P599" s="2"/>
      <c r="R599" s="686"/>
      <c r="S599" s="686"/>
      <c r="T599" s="686"/>
      <c r="U599"/>
    </row>
    <row r="600" spans="10:21" s="1" customFormat="1" x14ac:dyDescent="0.2">
      <c r="J600"/>
      <c r="K600"/>
      <c r="L600"/>
      <c r="M600"/>
      <c r="N600"/>
      <c r="O600" s="392"/>
      <c r="P600" s="2"/>
      <c r="R600" s="686"/>
      <c r="S600" s="686"/>
      <c r="T600" s="686"/>
      <c r="U600"/>
    </row>
    <row r="601" spans="10:21" s="1" customFormat="1" x14ac:dyDescent="0.2">
      <c r="J601"/>
      <c r="K601"/>
      <c r="L601"/>
      <c r="M601"/>
      <c r="N601"/>
      <c r="O601" s="392"/>
      <c r="P601" s="2"/>
      <c r="R601" s="686"/>
      <c r="S601" s="686"/>
      <c r="T601" s="686"/>
      <c r="U601"/>
    </row>
    <row r="602" spans="10:21" s="1" customFormat="1" x14ac:dyDescent="0.2">
      <c r="J602"/>
      <c r="K602"/>
      <c r="L602"/>
      <c r="M602"/>
      <c r="N602"/>
      <c r="O602" s="392"/>
      <c r="P602" s="2"/>
      <c r="R602" s="686"/>
      <c r="S602" s="686"/>
      <c r="T602" s="686"/>
      <c r="U602"/>
    </row>
    <row r="603" spans="10:21" s="1" customFormat="1" x14ac:dyDescent="0.2">
      <c r="J603"/>
      <c r="K603"/>
      <c r="L603"/>
      <c r="M603"/>
      <c r="N603"/>
      <c r="O603" s="392"/>
      <c r="P603" s="2"/>
      <c r="R603" s="686"/>
      <c r="S603" s="686"/>
      <c r="T603" s="686"/>
      <c r="U603"/>
    </row>
    <row r="604" spans="10:21" s="1" customFormat="1" x14ac:dyDescent="0.2">
      <c r="J604"/>
      <c r="K604"/>
      <c r="L604"/>
      <c r="M604"/>
      <c r="N604"/>
      <c r="O604" s="392"/>
      <c r="P604" s="2"/>
      <c r="R604" s="686"/>
      <c r="S604" s="686"/>
      <c r="T604" s="686"/>
      <c r="U604"/>
    </row>
    <row r="605" spans="10:21" s="1" customFormat="1" x14ac:dyDescent="0.2">
      <c r="J605"/>
      <c r="K605"/>
      <c r="L605"/>
      <c r="M605"/>
      <c r="N605"/>
      <c r="O605" s="392"/>
      <c r="P605" s="2"/>
      <c r="R605" s="686"/>
      <c r="S605" s="686"/>
      <c r="T605" s="686"/>
      <c r="U605"/>
    </row>
    <row r="606" spans="10:21" s="1" customFormat="1" x14ac:dyDescent="0.2">
      <c r="J606"/>
      <c r="K606"/>
      <c r="L606"/>
      <c r="M606"/>
      <c r="N606"/>
      <c r="O606" s="392"/>
      <c r="P606" s="2"/>
      <c r="R606" s="686"/>
      <c r="S606" s="686"/>
      <c r="T606" s="686"/>
      <c r="U606"/>
    </row>
    <row r="607" spans="10:21" s="1" customFormat="1" x14ac:dyDescent="0.2">
      <c r="J607"/>
      <c r="K607"/>
      <c r="L607"/>
      <c r="M607"/>
      <c r="N607"/>
      <c r="O607" s="392"/>
      <c r="P607" s="2"/>
      <c r="R607" s="686"/>
      <c r="S607" s="686"/>
      <c r="T607" s="686"/>
      <c r="U607"/>
    </row>
    <row r="608" spans="10:21" s="1" customFormat="1" x14ac:dyDescent="0.2">
      <c r="J608"/>
      <c r="K608"/>
      <c r="L608"/>
      <c r="M608"/>
      <c r="N608"/>
      <c r="O608" s="392"/>
      <c r="P608" s="2"/>
      <c r="R608" s="686"/>
      <c r="S608" s="686"/>
      <c r="T608" s="686"/>
      <c r="U608"/>
    </row>
    <row r="609" spans="10:21" s="1" customFormat="1" x14ac:dyDescent="0.2">
      <c r="J609"/>
      <c r="K609"/>
      <c r="L609"/>
      <c r="M609"/>
      <c r="N609"/>
      <c r="O609" s="392"/>
      <c r="P609" s="2"/>
      <c r="R609" s="686"/>
      <c r="S609" s="686"/>
      <c r="T609" s="686"/>
      <c r="U609"/>
    </row>
    <row r="610" spans="10:21" s="1" customFormat="1" x14ac:dyDescent="0.2">
      <c r="J610"/>
      <c r="K610"/>
      <c r="L610"/>
      <c r="M610"/>
      <c r="N610"/>
      <c r="O610" s="392"/>
      <c r="P610" s="2"/>
      <c r="R610" s="686"/>
      <c r="S610" s="686"/>
      <c r="T610" s="686"/>
      <c r="U610"/>
    </row>
    <row r="611" spans="10:21" s="1" customFormat="1" x14ac:dyDescent="0.2">
      <c r="J611"/>
      <c r="K611"/>
      <c r="L611"/>
      <c r="M611"/>
      <c r="N611"/>
      <c r="O611" s="392"/>
      <c r="P611" s="2"/>
      <c r="R611" s="686"/>
      <c r="S611" s="686"/>
      <c r="T611" s="686"/>
      <c r="U611"/>
    </row>
    <row r="612" spans="10:21" s="1" customFormat="1" x14ac:dyDescent="0.2">
      <c r="J612"/>
      <c r="K612"/>
      <c r="L612"/>
      <c r="M612"/>
      <c r="N612"/>
      <c r="O612" s="392"/>
      <c r="P612" s="2"/>
      <c r="R612" s="686"/>
      <c r="S612" s="686"/>
      <c r="T612" s="686"/>
      <c r="U612"/>
    </row>
    <row r="613" spans="10:21" s="1" customFormat="1" x14ac:dyDescent="0.2">
      <c r="J613"/>
      <c r="K613"/>
      <c r="L613"/>
      <c r="M613"/>
      <c r="N613"/>
      <c r="O613" s="392"/>
      <c r="P613" s="2"/>
      <c r="R613" s="686"/>
      <c r="S613" s="686"/>
      <c r="T613" s="686"/>
      <c r="U613"/>
    </row>
    <row r="614" spans="10:21" s="1" customFormat="1" x14ac:dyDescent="0.2">
      <c r="J614"/>
      <c r="K614"/>
      <c r="L614"/>
      <c r="M614"/>
      <c r="N614"/>
      <c r="O614" s="392"/>
      <c r="P614" s="2"/>
      <c r="R614" s="686"/>
      <c r="S614" s="686"/>
      <c r="T614" s="686"/>
      <c r="U614"/>
    </row>
    <row r="615" spans="10:21" s="1" customFormat="1" x14ac:dyDescent="0.2">
      <c r="J615"/>
      <c r="K615"/>
      <c r="L615"/>
      <c r="M615"/>
      <c r="N615"/>
      <c r="O615" s="392"/>
      <c r="P615" s="2"/>
      <c r="R615" s="686"/>
      <c r="S615" s="686"/>
      <c r="T615" s="686"/>
      <c r="U615"/>
    </row>
    <row r="616" spans="10:21" s="1" customFormat="1" x14ac:dyDescent="0.2">
      <c r="J616"/>
      <c r="K616"/>
      <c r="L616"/>
      <c r="M616"/>
      <c r="N616"/>
      <c r="O616" s="392"/>
      <c r="P616" s="2"/>
      <c r="R616" s="686"/>
      <c r="S616" s="686"/>
      <c r="T616" s="686"/>
      <c r="U616"/>
    </row>
    <row r="617" spans="10:21" s="1" customFormat="1" x14ac:dyDescent="0.2">
      <c r="J617"/>
      <c r="K617"/>
      <c r="L617"/>
      <c r="M617"/>
      <c r="N617"/>
      <c r="O617" s="392"/>
      <c r="P617" s="2"/>
      <c r="R617" s="686"/>
      <c r="S617" s="686"/>
      <c r="T617" s="686"/>
      <c r="U617"/>
    </row>
    <row r="618" spans="10:21" s="1" customFormat="1" x14ac:dyDescent="0.2">
      <c r="J618"/>
      <c r="K618"/>
      <c r="L618"/>
      <c r="M618"/>
      <c r="N618"/>
      <c r="O618" s="392"/>
      <c r="P618" s="2"/>
      <c r="R618" s="686"/>
      <c r="S618" s="686"/>
      <c r="T618" s="686"/>
      <c r="U618"/>
    </row>
    <row r="619" spans="10:21" s="1" customFormat="1" x14ac:dyDescent="0.2">
      <c r="J619"/>
      <c r="K619"/>
      <c r="L619"/>
      <c r="M619"/>
      <c r="N619"/>
      <c r="O619" s="392"/>
      <c r="P619" s="2"/>
      <c r="R619" s="686"/>
      <c r="S619" s="686"/>
      <c r="T619" s="686"/>
      <c r="U619"/>
    </row>
    <row r="620" spans="10:21" s="1" customFormat="1" x14ac:dyDescent="0.2">
      <c r="J620"/>
      <c r="K620"/>
      <c r="L620"/>
      <c r="M620"/>
      <c r="N620"/>
      <c r="O620" s="392"/>
      <c r="P620" s="2"/>
      <c r="R620" s="686"/>
      <c r="S620" s="686"/>
      <c r="T620" s="686"/>
      <c r="U620"/>
    </row>
    <row r="621" spans="10:21" s="1" customFormat="1" x14ac:dyDescent="0.2">
      <c r="J621"/>
      <c r="K621"/>
      <c r="L621"/>
      <c r="M621"/>
      <c r="N621"/>
      <c r="O621" s="392"/>
      <c r="P621" s="2"/>
      <c r="R621" s="686"/>
      <c r="S621" s="686"/>
      <c r="T621" s="686"/>
      <c r="U621"/>
    </row>
    <row r="622" spans="10:21" s="1" customFormat="1" x14ac:dyDescent="0.2">
      <c r="J622"/>
      <c r="K622"/>
      <c r="L622"/>
      <c r="M622"/>
      <c r="N622"/>
      <c r="O622" s="392"/>
      <c r="P622" s="2"/>
      <c r="R622" s="686"/>
      <c r="S622" s="686"/>
      <c r="T622" s="686"/>
      <c r="U622"/>
    </row>
    <row r="623" spans="10:21" s="1" customFormat="1" x14ac:dyDescent="0.2">
      <c r="J623"/>
      <c r="K623"/>
      <c r="L623"/>
      <c r="M623"/>
      <c r="N623"/>
      <c r="O623" s="392"/>
      <c r="P623" s="2"/>
      <c r="R623" s="686"/>
      <c r="S623" s="686"/>
      <c r="T623" s="686"/>
      <c r="U623"/>
    </row>
    <row r="624" spans="10:21" s="1" customFormat="1" x14ac:dyDescent="0.2">
      <c r="J624"/>
      <c r="K624"/>
      <c r="L624"/>
      <c r="M624"/>
      <c r="N624"/>
      <c r="O624" s="392"/>
      <c r="P624" s="2"/>
      <c r="R624" s="686"/>
      <c r="S624" s="686"/>
      <c r="T624" s="686"/>
      <c r="U624"/>
    </row>
    <row r="625" spans="10:21" s="1" customFormat="1" x14ac:dyDescent="0.2">
      <c r="J625"/>
      <c r="K625"/>
      <c r="L625"/>
      <c r="M625"/>
      <c r="N625"/>
      <c r="O625" s="392"/>
      <c r="P625" s="2"/>
      <c r="R625" s="686"/>
      <c r="S625" s="686"/>
      <c r="T625" s="686"/>
      <c r="U625"/>
    </row>
    <row r="626" spans="10:21" s="1" customFormat="1" x14ac:dyDescent="0.2">
      <c r="J626"/>
      <c r="K626"/>
      <c r="L626"/>
      <c r="M626"/>
      <c r="N626"/>
      <c r="O626" s="392"/>
      <c r="P626" s="2"/>
      <c r="R626" s="686"/>
      <c r="S626" s="686"/>
      <c r="T626" s="686"/>
      <c r="U626"/>
    </row>
    <row r="627" spans="10:21" s="1" customFormat="1" x14ac:dyDescent="0.2">
      <c r="J627"/>
      <c r="K627"/>
      <c r="L627"/>
      <c r="M627"/>
      <c r="N627"/>
      <c r="O627" s="392"/>
      <c r="P627" s="2"/>
      <c r="R627" s="686"/>
      <c r="S627" s="686"/>
      <c r="T627" s="686"/>
      <c r="U627"/>
    </row>
    <row r="628" spans="10:21" s="1" customFormat="1" x14ac:dyDescent="0.2">
      <c r="J628"/>
      <c r="K628"/>
      <c r="L628"/>
      <c r="M628"/>
      <c r="N628"/>
      <c r="O628" s="392"/>
      <c r="P628" s="2"/>
      <c r="R628" s="686"/>
      <c r="S628" s="686"/>
      <c r="T628" s="686"/>
      <c r="U628"/>
    </row>
    <row r="629" spans="10:21" s="1" customFormat="1" x14ac:dyDescent="0.2">
      <c r="J629"/>
      <c r="K629"/>
      <c r="L629"/>
      <c r="M629"/>
      <c r="N629"/>
      <c r="O629" s="392"/>
      <c r="P629" s="2"/>
      <c r="R629" s="686"/>
      <c r="S629" s="686"/>
      <c r="T629" s="686"/>
      <c r="U629"/>
    </row>
    <row r="630" spans="10:21" s="1" customFormat="1" x14ac:dyDescent="0.2">
      <c r="J630"/>
      <c r="K630"/>
      <c r="L630"/>
      <c r="M630"/>
      <c r="N630"/>
      <c r="O630" s="392"/>
      <c r="P630" s="2"/>
      <c r="R630" s="686"/>
      <c r="S630" s="686"/>
      <c r="T630" s="686"/>
      <c r="U630"/>
    </row>
    <row r="631" spans="10:21" s="1" customFormat="1" x14ac:dyDescent="0.2">
      <c r="J631"/>
      <c r="K631"/>
      <c r="L631"/>
      <c r="M631"/>
      <c r="N631"/>
      <c r="O631" s="392"/>
      <c r="P631" s="2"/>
      <c r="R631" s="686"/>
      <c r="S631" s="686"/>
      <c r="T631" s="686"/>
      <c r="U631"/>
    </row>
    <row r="632" spans="10:21" s="1" customFormat="1" x14ac:dyDescent="0.2">
      <c r="J632"/>
      <c r="K632"/>
      <c r="L632"/>
      <c r="M632"/>
      <c r="N632"/>
      <c r="O632" s="392"/>
      <c r="P632" s="2"/>
      <c r="R632" s="686"/>
      <c r="S632" s="686"/>
      <c r="T632" s="686"/>
      <c r="U632"/>
    </row>
    <row r="633" spans="10:21" s="1" customFormat="1" x14ac:dyDescent="0.2">
      <c r="J633"/>
      <c r="K633"/>
      <c r="L633"/>
      <c r="M633"/>
      <c r="N633"/>
      <c r="O633" s="392"/>
      <c r="P633" s="2"/>
      <c r="R633" s="686"/>
      <c r="S633" s="686"/>
      <c r="T633" s="686"/>
      <c r="U633"/>
    </row>
    <row r="634" spans="10:21" s="1" customFormat="1" x14ac:dyDescent="0.2">
      <c r="J634"/>
      <c r="K634"/>
      <c r="L634"/>
      <c r="M634"/>
      <c r="N634"/>
      <c r="O634" s="392"/>
      <c r="P634" s="2"/>
      <c r="R634" s="686"/>
      <c r="S634" s="686"/>
      <c r="T634" s="686"/>
      <c r="U634"/>
    </row>
    <row r="635" spans="10:21" s="1" customFormat="1" x14ac:dyDescent="0.2">
      <c r="J635"/>
      <c r="K635"/>
      <c r="L635"/>
      <c r="M635"/>
      <c r="N635"/>
      <c r="O635" s="392"/>
      <c r="P635" s="2"/>
      <c r="R635" s="686"/>
      <c r="S635" s="686"/>
      <c r="T635" s="686"/>
      <c r="U635"/>
    </row>
    <row r="636" spans="10:21" s="1" customFormat="1" x14ac:dyDescent="0.2">
      <c r="J636"/>
      <c r="K636"/>
      <c r="L636"/>
      <c r="M636"/>
      <c r="N636"/>
      <c r="O636" s="392"/>
      <c r="P636" s="2"/>
      <c r="R636" s="686"/>
      <c r="S636" s="686"/>
      <c r="T636" s="686"/>
      <c r="U636"/>
    </row>
    <row r="637" spans="10:21" s="1" customFormat="1" x14ac:dyDescent="0.2">
      <c r="J637"/>
      <c r="K637"/>
      <c r="L637"/>
      <c r="M637"/>
      <c r="N637"/>
      <c r="O637" s="392"/>
      <c r="P637" s="2"/>
      <c r="R637" s="686"/>
      <c r="S637" s="686"/>
      <c r="T637" s="686"/>
      <c r="U637"/>
    </row>
    <row r="638" spans="10:21" s="1" customFormat="1" x14ac:dyDescent="0.2">
      <c r="J638"/>
      <c r="K638"/>
      <c r="L638"/>
      <c r="M638"/>
      <c r="N638"/>
      <c r="O638" s="392"/>
      <c r="P638" s="2"/>
      <c r="R638" s="686"/>
      <c r="S638" s="686"/>
      <c r="T638" s="686"/>
      <c r="U638"/>
    </row>
    <row r="639" spans="10:21" s="1" customFormat="1" x14ac:dyDescent="0.2">
      <c r="J639"/>
      <c r="K639"/>
      <c r="L639"/>
      <c r="M639"/>
      <c r="N639"/>
      <c r="O639" s="392"/>
      <c r="P639" s="2"/>
      <c r="R639" s="686"/>
      <c r="S639" s="686"/>
      <c r="T639" s="686"/>
      <c r="U639"/>
    </row>
    <row r="640" spans="10:21" s="1" customFormat="1" x14ac:dyDescent="0.2">
      <c r="J640"/>
      <c r="K640"/>
      <c r="L640"/>
      <c r="M640"/>
      <c r="N640"/>
      <c r="O640" s="392"/>
      <c r="P640" s="2"/>
      <c r="R640" s="686"/>
      <c r="S640" s="686"/>
      <c r="T640" s="686"/>
      <c r="U640"/>
    </row>
    <row r="641" spans="10:21" s="1" customFormat="1" x14ac:dyDescent="0.2">
      <c r="J641"/>
      <c r="K641"/>
      <c r="L641"/>
      <c r="M641"/>
      <c r="N641"/>
      <c r="O641" s="392"/>
      <c r="P641" s="2"/>
      <c r="R641" s="686"/>
      <c r="S641" s="686"/>
      <c r="T641" s="686"/>
      <c r="U641"/>
    </row>
    <row r="642" spans="10:21" s="1" customFormat="1" x14ac:dyDescent="0.2">
      <c r="J642"/>
      <c r="K642"/>
      <c r="L642"/>
      <c r="M642"/>
      <c r="N642"/>
      <c r="O642" s="392"/>
      <c r="P642" s="2"/>
      <c r="R642" s="686"/>
      <c r="S642" s="686"/>
      <c r="T642" s="686"/>
      <c r="U642"/>
    </row>
    <row r="643" spans="10:21" s="1" customFormat="1" x14ac:dyDescent="0.2">
      <c r="J643"/>
      <c r="K643"/>
      <c r="L643"/>
      <c r="M643"/>
      <c r="N643"/>
      <c r="O643" s="392"/>
      <c r="P643" s="2"/>
      <c r="R643" s="686"/>
      <c r="S643" s="686"/>
      <c r="T643" s="686"/>
      <c r="U643"/>
    </row>
    <row r="644" spans="10:21" s="1" customFormat="1" x14ac:dyDescent="0.2">
      <c r="J644"/>
      <c r="K644"/>
      <c r="L644"/>
      <c r="M644"/>
      <c r="N644"/>
      <c r="O644" s="392"/>
      <c r="P644" s="2"/>
      <c r="R644" s="686"/>
      <c r="S644" s="686"/>
      <c r="T644" s="686"/>
      <c r="U644"/>
    </row>
    <row r="645" spans="10:21" s="1" customFormat="1" x14ac:dyDescent="0.2">
      <c r="J645"/>
      <c r="K645"/>
      <c r="L645"/>
      <c r="M645"/>
      <c r="N645"/>
      <c r="O645" s="392"/>
      <c r="P645" s="2"/>
      <c r="R645" s="686"/>
      <c r="S645" s="686"/>
      <c r="T645" s="686"/>
      <c r="U645"/>
    </row>
    <row r="646" spans="10:21" s="1" customFormat="1" x14ac:dyDescent="0.2">
      <c r="J646"/>
      <c r="K646"/>
      <c r="L646"/>
      <c r="M646"/>
      <c r="N646"/>
      <c r="O646" s="392"/>
      <c r="P646" s="2"/>
      <c r="R646" s="686"/>
      <c r="S646" s="686"/>
      <c r="T646" s="686"/>
      <c r="U646"/>
    </row>
    <row r="647" spans="10:21" s="1" customFormat="1" x14ac:dyDescent="0.2">
      <c r="J647"/>
      <c r="K647"/>
      <c r="L647"/>
      <c r="M647"/>
      <c r="N647"/>
      <c r="O647" s="392"/>
      <c r="P647" s="2"/>
      <c r="R647" s="686"/>
      <c r="S647" s="686"/>
      <c r="T647" s="686"/>
      <c r="U647"/>
    </row>
    <row r="648" spans="10:21" s="1" customFormat="1" x14ac:dyDescent="0.2">
      <c r="J648"/>
      <c r="K648"/>
      <c r="L648"/>
      <c r="M648"/>
      <c r="N648"/>
      <c r="O648" s="392"/>
      <c r="P648" s="2"/>
      <c r="R648" s="686"/>
      <c r="S648" s="686"/>
      <c r="T648" s="686"/>
      <c r="U648"/>
    </row>
    <row r="649" spans="10:21" s="1" customFormat="1" x14ac:dyDescent="0.2">
      <c r="J649"/>
      <c r="K649"/>
      <c r="L649"/>
      <c r="M649"/>
      <c r="N649"/>
      <c r="O649" s="392"/>
      <c r="P649" s="2"/>
      <c r="R649" s="686"/>
      <c r="S649" s="686"/>
      <c r="T649" s="686"/>
      <c r="U649"/>
    </row>
    <row r="650" spans="10:21" s="1" customFormat="1" x14ac:dyDescent="0.2">
      <c r="J650"/>
      <c r="K650"/>
      <c r="L650"/>
      <c r="M650"/>
      <c r="N650"/>
      <c r="O650" s="392"/>
      <c r="P650" s="2"/>
      <c r="R650" s="686"/>
      <c r="S650" s="686"/>
      <c r="T650" s="686"/>
      <c r="U650"/>
    </row>
    <row r="651" spans="10:21" s="1" customFormat="1" x14ac:dyDescent="0.2">
      <c r="J651"/>
      <c r="K651"/>
      <c r="L651"/>
      <c r="M651"/>
      <c r="N651"/>
      <c r="O651" s="392"/>
      <c r="P651" s="2"/>
      <c r="R651" s="686"/>
      <c r="S651" s="686"/>
      <c r="T651" s="686"/>
      <c r="U651"/>
    </row>
    <row r="652" spans="10:21" s="1" customFormat="1" x14ac:dyDescent="0.2">
      <c r="J652"/>
      <c r="K652"/>
      <c r="L652"/>
      <c r="M652"/>
      <c r="N652"/>
      <c r="O652" s="392"/>
      <c r="P652" s="2"/>
      <c r="R652" s="686"/>
      <c r="S652" s="686"/>
      <c r="T652" s="686"/>
      <c r="U652"/>
    </row>
    <row r="653" spans="10:21" s="1" customFormat="1" x14ac:dyDescent="0.2">
      <c r="J653"/>
      <c r="K653"/>
      <c r="L653"/>
      <c r="M653"/>
      <c r="N653"/>
      <c r="O653" s="392"/>
      <c r="P653" s="2"/>
      <c r="R653" s="686"/>
      <c r="S653" s="686"/>
      <c r="T653" s="686"/>
      <c r="U653"/>
    </row>
    <row r="654" spans="10:21" s="1" customFormat="1" x14ac:dyDescent="0.2">
      <c r="J654"/>
      <c r="K654"/>
      <c r="L654"/>
      <c r="M654"/>
      <c r="N654"/>
      <c r="O654" s="392"/>
      <c r="P654" s="2"/>
      <c r="R654" s="686"/>
      <c r="S654" s="686"/>
      <c r="T654" s="686"/>
      <c r="U654"/>
    </row>
    <row r="655" spans="10:21" s="1" customFormat="1" x14ac:dyDescent="0.2">
      <c r="J655"/>
      <c r="K655"/>
      <c r="L655"/>
      <c r="M655"/>
      <c r="N655"/>
      <c r="O655" s="392"/>
      <c r="P655" s="2"/>
      <c r="R655" s="686"/>
      <c r="S655" s="686"/>
      <c r="T655" s="686"/>
      <c r="U655"/>
    </row>
    <row r="656" spans="10:21" s="1" customFormat="1" x14ac:dyDescent="0.2">
      <c r="J656"/>
      <c r="K656"/>
      <c r="L656"/>
      <c r="M656"/>
      <c r="N656"/>
      <c r="O656" s="392"/>
      <c r="P656" s="2"/>
      <c r="R656" s="686"/>
      <c r="S656" s="686"/>
      <c r="T656" s="686"/>
      <c r="U656"/>
    </row>
    <row r="657" spans="10:21" s="1" customFormat="1" x14ac:dyDescent="0.2">
      <c r="J657"/>
      <c r="K657"/>
      <c r="L657"/>
      <c r="M657"/>
      <c r="N657"/>
      <c r="O657" s="392"/>
      <c r="P657" s="2"/>
      <c r="R657" s="686"/>
      <c r="S657" s="686"/>
      <c r="T657" s="686"/>
      <c r="U657"/>
    </row>
    <row r="658" spans="10:21" s="1" customFormat="1" x14ac:dyDescent="0.2">
      <c r="J658"/>
      <c r="K658"/>
      <c r="L658"/>
      <c r="M658"/>
      <c r="N658"/>
      <c r="O658" s="392"/>
      <c r="P658" s="2"/>
      <c r="R658" s="686"/>
      <c r="S658" s="686"/>
      <c r="T658" s="686"/>
      <c r="U658"/>
    </row>
    <row r="659" spans="10:21" s="1" customFormat="1" x14ac:dyDescent="0.2">
      <c r="J659"/>
      <c r="K659"/>
      <c r="L659"/>
      <c r="M659"/>
      <c r="N659"/>
      <c r="O659" s="392"/>
      <c r="P659" s="2"/>
      <c r="R659" s="686"/>
      <c r="S659" s="686"/>
      <c r="T659" s="686"/>
      <c r="U659"/>
    </row>
    <row r="660" spans="10:21" s="1" customFormat="1" x14ac:dyDescent="0.2">
      <c r="J660"/>
      <c r="K660"/>
      <c r="L660"/>
      <c r="M660"/>
      <c r="N660"/>
      <c r="O660" s="392"/>
      <c r="P660" s="2"/>
      <c r="R660" s="686"/>
      <c r="S660" s="686"/>
      <c r="T660" s="686"/>
      <c r="U660"/>
    </row>
    <row r="661" spans="10:21" s="1" customFormat="1" x14ac:dyDescent="0.2">
      <c r="J661"/>
      <c r="K661"/>
      <c r="L661"/>
      <c r="M661"/>
      <c r="N661"/>
      <c r="O661" s="392"/>
      <c r="P661" s="2"/>
      <c r="R661" s="686"/>
      <c r="S661" s="686"/>
      <c r="T661" s="686"/>
      <c r="U661"/>
    </row>
    <row r="662" spans="10:21" s="1" customFormat="1" x14ac:dyDescent="0.2">
      <c r="J662"/>
      <c r="K662"/>
      <c r="L662"/>
      <c r="M662"/>
      <c r="N662"/>
      <c r="O662" s="392"/>
      <c r="P662" s="2"/>
      <c r="R662" s="686"/>
      <c r="S662" s="686"/>
      <c r="T662" s="686"/>
      <c r="U662"/>
    </row>
    <row r="663" spans="10:21" s="1" customFormat="1" x14ac:dyDescent="0.2">
      <c r="J663"/>
      <c r="K663"/>
      <c r="L663"/>
      <c r="M663"/>
      <c r="N663"/>
      <c r="O663" s="392"/>
      <c r="P663" s="2"/>
      <c r="R663" s="686"/>
      <c r="S663" s="686"/>
      <c r="T663" s="686"/>
      <c r="U663"/>
    </row>
    <row r="664" spans="10:21" s="1" customFormat="1" x14ac:dyDescent="0.2">
      <c r="J664"/>
      <c r="K664"/>
      <c r="L664"/>
      <c r="M664"/>
      <c r="N664"/>
      <c r="O664" s="392"/>
      <c r="P664" s="2"/>
      <c r="R664" s="686"/>
      <c r="S664" s="686"/>
      <c r="T664" s="686"/>
      <c r="U664"/>
    </row>
    <row r="665" spans="10:21" s="1" customFormat="1" x14ac:dyDescent="0.2">
      <c r="J665"/>
      <c r="K665"/>
      <c r="L665"/>
      <c r="M665"/>
      <c r="N665"/>
      <c r="O665" s="392"/>
      <c r="P665" s="2"/>
      <c r="R665" s="686"/>
      <c r="S665" s="686"/>
      <c r="T665" s="686"/>
      <c r="U665"/>
    </row>
    <row r="666" spans="10:21" s="1" customFormat="1" x14ac:dyDescent="0.2">
      <c r="J666"/>
      <c r="K666"/>
      <c r="L666"/>
      <c r="M666"/>
      <c r="N666"/>
      <c r="O666" s="392"/>
      <c r="P666" s="2"/>
      <c r="R666" s="686"/>
      <c r="S666" s="686"/>
      <c r="T666" s="686"/>
      <c r="U666"/>
    </row>
    <row r="667" spans="10:21" s="1" customFormat="1" x14ac:dyDescent="0.2">
      <c r="J667"/>
      <c r="K667"/>
      <c r="L667"/>
      <c r="M667"/>
      <c r="N667"/>
      <c r="O667" s="392"/>
      <c r="P667" s="2"/>
      <c r="R667" s="686"/>
      <c r="S667" s="686"/>
      <c r="T667" s="686"/>
      <c r="U667"/>
    </row>
    <row r="668" spans="10:21" s="1" customFormat="1" x14ac:dyDescent="0.2">
      <c r="J668"/>
      <c r="K668"/>
      <c r="L668"/>
      <c r="M668"/>
      <c r="N668"/>
      <c r="O668" s="392"/>
      <c r="P668" s="2"/>
      <c r="R668" s="686"/>
      <c r="S668" s="686"/>
      <c r="T668" s="686"/>
      <c r="U668"/>
    </row>
    <row r="669" spans="10:21" s="1" customFormat="1" x14ac:dyDescent="0.2">
      <c r="J669"/>
      <c r="K669"/>
      <c r="L669"/>
      <c r="M669"/>
      <c r="N669"/>
      <c r="O669" s="392"/>
      <c r="P669" s="2"/>
      <c r="R669" s="686"/>
      <c r="S669" s="686"/>
      <c r="T669" s="686"/>
      <c r="U669"/>
    </row>
    <row r="670" spans="10:21" s="1" customFormat="1" x14ac:dyDescent="0.2">
      <c r="J670"/>
      <c r="K670"/>
      <c r="L670"/>
      <c r="M670"/>
      <c r="N670"/>
      <c r="O670" s="392"/>
      <c r="P670" s="2"/>
      <c r="R670" s="686"/>
      <c r="S670" s="686"/>
      <c r="T670" s="686"/>
      <c r="U670"/>
    </row>
    <row r="671" spans="10:21" s="1" customFormat="1" x14ac:dyDescent="0.2">
      <c r="J671"/>
      <c r="K671"/>
      <c r="L671"/>
      <c r="M671"/>
      <c r="N671"/>
      <c r="O671" s="392"/>
      <c r="P671" s="2"/>
      <c r="R671" s="686"/>
      <c r="S671" s="686"/>
      <c r="T671" s="686"/>
      <c r="U671"/>
    </row>
    <row r="672" spans="10:21" s="1" customFormat="1" x14ac:dyDescent="0.2">
      <c r="J672"/>
      <c r="K672"/>
      <c r="L672"/>
      <c r="M672"/>
      <c r="N672"/>
      <c r="O672" s="392"/>
      <c r="P672" s="2"/>
      <c r="R672" s="686"/>
      <c r="S672" s="686"/>
      <c r="T672" s="686"/>
      <c r="U672"/>
    </row>
    <row r="673" spans="10:21" s="1" customFormat="1" x14ac:dyDescent="0.2">
      <c r="J673"/>
      <c r="K673"/>
      <c r="L673"/>
      <c r="M673"/>
      <c r="N673"/>
      <c r="O673" s="392"/>
      <c r="P673" s="2"/>
      <c r="R673" s="686"/>
      <c r="S673" s="686"/>
      <c r="T673" s="686"/>
      <c r="U673"/>
    </row>
    <row r="674" spans="10:21" s="1" customFormat="1" x14ac:dyDescent="0.2">
      <c r="J674"/>
      <c r="K674"/>
      <c r="L674"/>
      <c r="M674"/>
      <c r="N674"/>
      <c r="O674" s="392"/>
      <c r="P674" s="2"/>
      <c r="R674" s="686"/>
      <c r="S674" s="686"/>
      <c r="T674" s="686"/>
      <c r="U674"/>
    </row>
    <row r="675" spans="10:21" s="1" customFormat="1" x14ac:dyDescent="0.2">
      <c r="J675"/>
      <c r="K675"/>
      <c r="L675"/>
      <c r="M675"/>
      <c r="N675"/>
      <c r="O675" s="392"/>
      <c r="P675" s="2"/>
      <c r="R675" s="686"/>
      <c r="S675" s="686"/>
      <c r="T675" s="686"/>
      <c r="U675"/>
    </row>
    <row r="676" spans="10:21" s="1" customFormat="1" x14ac:dyDescent="0.2">
      <c r="J676"/>
      <c r="K676"/>
      <c r="L676"/>
      <c r="M676"/>
      <c r="N676"/>
      <c r="O676" s="392"/>
      <c r="P676" s="2"/>
      <c r="R676" s="686"/>
      <c r="S676" s="686"/>
      <c r="T676" s="686"/>
      <c r="U676"/>
    </row>
    <row r="677" spans="10:21" s="1" customFormat="1" x14ac:dyDescent="0.2">
      <c r="J677"/>
      <c r="K677"/>
      <c r="L677"/>
      <c r="M677"/>
      <c r="N677"/>
      <c r="O677" s="392"/>
      <c r="P677" s="2"/>
      <c r="R677" s="686"/>
      <c r="S677" s="686"/>
      <c r="T677" s="686"/>
      <c r="U677"/>
    </row>
    <row r="678" spans="10:21" s="1" customFormat="1" x14ac:dyDescent="0.2">
      <c r="J678"/>
      <c r="K678"/>
      <c r="L678"/>
      <c r="M678"/>
      <c r="N678"/>
      <c r="O678" s="392"/>
      <c r="P678" s="2"/>
      <c r="R678" s="686"/>
      <c r="S678" s="686"/>
      <c r="T678" s="686"/>
      <c r="U678"/>
    </row>
    <row r="679" spans="10:21" s="1" customFormat="1" x14ac:dyDescent="0.2">
      <c r="J679"/>
      <c r="K679"/>
      <c r="L679"/>
      <c r="M679"/>
      <c r="N679"/>
      <c r="O679" s="392"/>
      <c r="P679" s="2"/>
      <c r="R679" s="686"/>
      <c r="S679" s="686"/>
      <c r="T679" s="686"/>
      <c r="U679"/>
    </row>
    <row r="680" spans="10:21" s="1" customFormat="1" x14ac:dyDescent="0.2">
      <c r="J680"/>
      <c r="K680"/>
      <c r="L680"/>
      <c r="M680"/>
      <c r="N680"/>
      <c r="O680" s="392"/>
      <c r="P680" s="2"/>
      <c r="R680" s="686"/>
      <c r="S680" s="686"/>
      <c r="T680" s="686"/>
      <c r="U680"/>
    </row>
    <row r="681" spans="10:21" s="1" customFormat="1" x14ac:dyDescent="0.2">
      <c r="J681"/>
      <c r="K681"/>
      <c r="L681"/>
      <c r="M681"/>
      <c r="N681"/>
      <c r="O681" s="392"/>
      <c r="P681" s="2"/>
      <c r="R681" s="686"/>
      <c r="S681" s="686"/>
      <c r="T681" s="686"/>
      <c r="U681"/>
    </row>
    <row r="682" spans="10:21" s="1" customFormat="1" x14ac:dyDescent="0.2">
      <c r="J682"/>
      <c r="K682"/>
      <c r="L682"/>
      <c r="M682"/>
      <c r="N682"/>
      <c r="O682" s="392"/>
      <c r="P682" s="2"/>
      <c r="R682" s="686"/>
      <c r="S682" s="686"/>
      <c r="T682" s="686"/>
      <c r="U682"/>
    </row>
    <row r="683" spans="10:21" s="1" customFormat="1" x14ac:dyDescent="0.2">
      <c r="J683"/>
      <c r="K683"/>
      <c r="L683"/>
      <c r="M683"/>
      <c r="N683"/>
      <c r="O683" s="392"/>
      <c r="P683" s="2"/>
      <c r="R683" s="686"/>
      <c r="S683" s="686"/>
      <c r="T683" s="686"/>
      <c r="U683"/>
    </row>
    <row r="684" spans="10:21" s="1" customFormat="1" x14ac:dyDescent="0.2">
      <c r="J684"/>
      <c r="K684"/>
      <c r="L684"/>
      <c r="M684"/>
      <c r="N684"/>
      <c r="O684" s="392"/>
      <c r="P684" s="2"/>
      <c r="R684" s="686"/>
      <c r="S684" s="686"/>
      <c r="T684" s="686"/>
      <c r="U684"/>
    </row>
    <row r="685" spans="10:21" s="1" customFormat="1" x14ac:dyDescent="0.2">
      <c r="J685"/>
      <c r="K685"/>
      <c r="L685"/>
      <c r="M685"/>
      <c r="N685"/>
      <c r="O685" s="392"/>
      <c r="P685" s="2"/>
      <c r="R685" s="686"/>
      <c r="S685" s="686"/>
      <c r="T685" s="686"/>
      <c r="U685"/>
    </row>
    <row r="686" spans="10:21" s="1" customFormat="1" x14ac:dyDescent="0.2">
      <c r="J686"/>
      <c r="K686"/>
      <c r="L686"/>
      <c r="M686"/>
      <c r="N686"/>
      <c r="O686" s="392"/>
      <c r="P686" s="2"/>
      <c r="R686" s="686"/>
      <c r="S686" s="686"/>
      <c r="T686" s="686"/>
      <c r="U686"/>
    </row>
    <row r="687" spans="10:21" s="1" customFormat="1" x14ac:dyDescent="0.2">
      <c r="J687"/>
      <c r="K687"/>
      <c r="L687"/>
      <c r="M687"/>
      <c r="N687"/>
      <c r="O687" s="392"/>
      <c r="P687" s="2"/>
      <c r="R687" s="686"/>
      <c r="S687" s="686"/>
      <c r="T687" s="686"/>
      <c r="U687"/>
    </row>
    <row r="688" spans="10:21" s="1" customFormat="1" x14ac:dyDescent="0.2">
      <c r="J688"/>
      <c r="K688"/>
      <c r="L688"/>
      <c r="M688"/>
      <c r="N688"/>
      <c r="O688" s="392"/>
      <c r="P688" s="2"/>
      <c r="R688" s="686"/>
      <c r="S688" s="686"/>
      <c r="T688" s="686"/>
      <c r="U688"/>
    </row>
    <row r="689" spans="10:21" s="1" customFormat="1" x14ac:dyDescent="0.2">
      <c r="J689"/>
      <c r="K689"/>
      <c r="L689"/>
      <c r="M689"/>
      <c r="N689"/>
      <c r="O689" s="392"/>
      <c r="P689" s="2"/>
      <c r="R689" s="686"/>
      <c r="S689" s="686"/>
      <c r="T689" s="686"/>
      <c r="U689"/>
    </row>
    <row r="690" spans="10:21" s="1" customFormat="1" x14ac:dyDescent="0.2">
      <c r="J690"/>
      <c r="K690"/>
      <c r="L690"/>
      <c r="M690"/>
      <c r="N690"/>
      <c r="O690" s="392"/>
      <c r="P690" s="2"/>
      <c r="R690" s="686"/>
      <c r="S690" s="686"/>
      <c r="T690" s="686"/>
      <c r="U690"/>
    </row>
    <row r="691" spans="10:21" s="1" customFormat="1" x14ac:dyDescent="0.2">
      <c r="J691"/>
      <c r="K691"/>
      <c r="L691"/>
      <c r="M691"/>
      <c r="N691"/>
      <c r="O691" s="392"/>
      <c r="P691" s="2"/>
      <c r="R691" s="686"/>
      <c r="S691" s="686"/>
      <c r="T691" s="686"/>
      <c r="U691"/>
    </row>
    <row r="692" spans="10:21" s="1" customFormat="1" x14ac:dyDescent="0.2">
      <c r="J692"/>
      <c r="K692"/>
      <c r="L692"/>
      <c r="M692"/>
      <c r="N692"/>
      <c r="O692" s="392"/>
      <c r="P692" s="2"/>
      <c r="R692" s="686"/>
      <c r="S692" s="686"/>
      <c r="T692" s="686"/>
      <c r="U692"/>
    </row>
    <row r="693" spans="10:21" s="1" customFormat="1" x14ac:dyDescent="0.2">
      <c r="J693"/>
      <c r="K693"/>
      <c r="L693"/>
      <c r="M693"/>
      <c r="N693"/>
      <c r="O693" s="392"/>
      <c r="P693" s="2"/>
      <c r="R693" s="686"/>
      <c r="S693" s="686"/>
      <c r="T693" s="686"/>
      <c r="U693"/>
    </row>
    <row r="694" spans="10:21" s="1" customFormat="1" x14ac:dyDescent="0.2">
      <c r="J694"/>
      <c r="K694"/>
      <c r="L694"/>
      <c r="M694"/>
      <c r="N694"/>
      <c r="O694" s="392"/>
      <c r="P694" s="2"/>
      <c r="R694" s="686"/>
      <c r="S694" s="686"/>
      <c r="T694" s="686"/>
      <c r="U694"/>
    </row>
    <row r="695" spans="10:21" s="1" customFormat="1" x14ac:dyDescent="0.2">
      <c r="J695"/>
      <c r="K695"/>
      <c r="L695"/>
      <c r="M695"/>
      <c r="N695"/>
      <c r="O695" s="392"/>
      <c r="P695" s="2"/>
      <c r="R695" s="686"/>
      <c r="S695" s="686"/>
      <c r="T695" s="686"/>
      <c r="U695"/>
    </row>
    <row r="696" spans="10:21" s="1" customFormat="1" x14ac:dyDescent="0.2">
      <c r="J696"/>
      <c r="K696"/>
      <c r="L696"/>
      <c r="M696"/>
      <c r="N696"/>
      <c r="O696" s="392"/>
      <c r="P696" s="2"/>
      <c r="R696" s="686"/>
      <c r="S696" s="686"/>
      <c r="T696" s="686"/>
      <c r="U696"/>
    </row>
    <row r="697" spans="10:21" s="1" customFormat="1" x14ac:dyDescent="0.2">
      <c r="J697"/>
      <c r="K697"/>
      <c r="L697"/>
      <c r="M697"/>
      <c r="N697"/>
      <c r="O697" s="392"/>
      <c r="P697" s="2"/>
      <c r="R697" s="686"/>
      <c r="S697" s="686"/>
      <c r="T697" s="686"/>
      <c r="U697"/>
    </row>
    <row r="698" spans="10:21" s="1" customFormat="1" x14ac:dyDescent="0.2">
      <c r="J698"/>
      <c r="K698"/>
      <c r="L698"/>
      <c r="M698"/>
      <c r="N698"/>
      <c r="O698" s="392"/>
      <c r="P698" s="2"/>
      <c r="R698" s="686"/>
      <c r="S698" s="686"/>
      <c r="T698" s="686"/>
      <c r="U698"/>
    </row>
    <row r="699" spans="10:21" s="1" customFormat="1" x14ac:dyDescent="0.2">
      <c r="J699"/>
      <c r="K699"/>
      <c r="L699"/>
      <c r="M699"/>
      <c r="N699"/>
      <c r="O699" s="392"/>
      <c r="P699" s="2"/>
      <c r="R699" s="686"/>
      <c r="S699" s="686"/>
      <c r="T699" s="686"/>
      <c r="U699"/>
    </row>
    <row r="700" spans="10:21" s="1" customFormat="1" x14ac:dyDescent="0.2">
      <c r="J700"/>
      <c r="K700"/>
      <c r="L700"/>
      <c r="M700"/>
      <c r="N700"/>
      <c r="O700" s="392"/>
      <c r="P700" s="2"/>
      <c r="R700" s="686"/>
      <c r="S700" s="686"/>
      <c r="T700" s="686"/>
      <c r="U700"/>
    </row>
    <row r="701" spans="10:21" s="1" customFormat="1" x14ac:dyDescent="0.2">
      <c r="J701"/>
      <c r="K701"/>
      <c r="L701"/>
      <c r="M701"/>
      <c r="N701"/>
      <c r="O701" s="392"/>
      <c r="P701" s="2"/>
      <c r="R701" s="686"/>
      <c r="S701" s="686"/>
      <c r="T701" s="686"/>
      <c r="U701"/>
    </row>
    <row r="702" spans="10:21" s="1" customFormat="1" x14ac:dyDescent="0.2">
      <c r="J702"/>
      <c r="K702"/>
      <c r="L702"/>
      <c r="M702"/>
      <c r="N702"/>
      <c r="O702" s="392"/>
      <c r="P702" s="2"/>
      <c r="R702" s="686"/>
      <c r="S702" s="686"/>
      <c r="T702" s="686"/>
      <c r="U702"/>
    </row>
    <row r="703" spans="10:21" s="1" customFormat="1" x14ac:dyDescent="0.2">
      <c r="J703"/>
      <c r="K703"/>
      <c r="L703"/>
      <c r="M703"/>
      <c r="N703"/>
      <c r="O703" s="392"/>
      <c r="P703" s="2"/>
      <c r="R703" s="686"/>
      <c r="S703" s="686"/>
      <c r="T703" s="686"/>
      <c r="U703"/>
    </row>
    <row r="704" spans="10:21" s="1" customFormat="1" x14ac:dyDescent="0.2">
      <c r="J704"/>
      <c r="K704"/>
      <c r="L704"/>
      <c r="M704"/>
      <c r="N704"/>
      <c r="O704" s="392"/>
      <c r="P704" s="2"/>
      <c r="R704" s="686"/>
      <c r="S704" s="686"/>
      <c r="T704" s="686"/>
      <c r="U704"/>
    </row>
    <row r="705" spans="10:21" s="1" customFormat="1" x14ac:dyDescent="0.2">
      <c r="J705"/>
      <c r="K705"/>
      <c r="L705"/>
      <c r="M705"/>
      <c r="N705"/>
      <c r="O705" s="392"/>
      <c r="P705" s="2"/>
      <c r="R705" s="686"/>
      <c r="S705" s="686"/>
      <c r="T705" s="686"/>
      <c r="U705"/>
    </row>
    <row r="706" spans="10:21" s="1" customFormat="1" x14ac:dyDescent="0.2">
      <c r="J706"/>
      <c r="K706"/>
      <c r="L706"/>
      <c r="M706"/>
      <c r="N706"/>
      <c r="O706" s="392"/>
      <c r="P706" s="2"/>
      <c r="R706" s="686"/>
      <c r="S706" s="686"/>
      <c r="T706" s="686"/>
      <c r="U706"/>
    </row>
    <row r="65435" spans="13:13" x14ac:dyDescent="0.2">
      <c r="M65435">
        <v>4</v>
      </c>
    </row>
  </sheetData>
  <mergeCells count="109">
    <mergeCell ref="U17:AA17"/>
    <mergeCell ref="R15:R16"/>
    <mergeCell ref="L7:L8"/>
    <mergeCell ref="U12:AA12"/>
    <mergeCell ref="U13:AA13"/>
    <mergeCell ref="U18:AA18"/>
    <mergeCell ref="T9:T11"/>
    <mergeCell ref="U19:AA19"/>
    <mergeCell ref="L45:L46"/>
    <mergeCell ref="T45:T46"/>
    <mergeCell ref="R45:R46"/>
    <mergeCell ref="L41:L42"/>
    <mergeCell ref="T41:T42"/>
    <mergeCell ref="R41:R42"/>
    <mergeCell ref="U22:AA22"/>
    <mergeCell ref="U24:AA24"/>
    <mergeCell ref="U25:AA25"/>
    <mergeCell ref="U26:AA26"/>
    <mergeCell ref="U27:AA27"/>
    <mergeCell ref="U28:AA28"/>
    <mergeCell ref="U33:AA33"/>
    <mergeCell ref="U34:AA34"/>
    <mergeCell ref="U31:AA31"/>
    <mergeCell ref="U32:AA32"/>
    <mergeCell ref="B2:U2"/>
    <mergeCell ref="U3:AA3"/>
    <mergeCell ref="U14:AA14"/>
    <mergeCell ref="U15:AA15"/>
    <mergeCell ref="U16:AA16"/>
    <mergeCell ref="U9:AA9"/>
    <mergeCell ref="U4:AA4"/>
    <mergeCell ref="U5:AA5"/>
    <mergeCell ref="U6:AA6"/>
    <mergeCell ref="U7:AA7"/>
    <mergeCell ref="U8:AA8"/>
    <mergeCell ref="T7:T8"/>
    <mergeCell ref="R7:R8"/>
    <mergeCell ref="U10:AA10"/>
    <mergeCell ref="U11:AA11"/>
    <mergeCell ref="H7:H8"/>
    <mergeCell ref="F7:F8"/>
    <mergeCell ref="Q7:Q8"/>
    <mergeCell ref="L9:L11"/>
    <mergeCell ref="R9:R11"/>
    <mergeCell ref="T15:T16"/>
    <mergeCell ref="L15:L16"/>
    <mergeCell ref="U52:AA52"/>
    <mergeCell ref="U44:AA44"/>
    <mergeCell ref="U45:AA45"/>
    <mergeCell ref="U46:AA46"/>
    <mergeCell ref="U47:AA47"/>
    <mergeCell ref="U50:AA50"/>
    <mergeCell ref="U51:AA51"/>
    <mergeCell ref="U48:AA48"/>
    <mergeCell ref="U49:AA49"/>
    <mergeCell ref="E80:F80"/>
    <mergeCell ref="U53:AA53"/>
    <mergeCell ref="U54:AA54"/>
    <mergeCell ref="U55:AA55"/>
    <mergeCell ref="E78:F78"/>
    <mergeCell ref="U61:AA61"/>
    <mergeCell ref="U62:AA62"/>
    <mergeCell ref="U56:AA56"/>
    <mergeCell ref="U57:AA57"/>
    <mergeCell ref="U58:AA58"/>
    <mergeCell ref="U59:AA59"/>
    <mergeCell ref="U60:AA60"/>
    <mergeCell ref="E79:F79"/>
    <mergeCell ref="L18:L19"/>
    <mergeCell ref="T18:T19"/>
    <mergeCell ref="R18:R19"/>
    <mergeCell ref="L43:L44"/>
    <mergeCell ref="R43:R44"/>
    <mergeCell ref="T43:T44"/>
    <mergeCell ref="U43:AA43"/>
    <mergeCell ref="U40:AA40"/>
    <mergeCell ref="U39:AA39"/>
    <mergeCell ref="U35:AA35"/>
    <mergeCell ref="U36:AA36"/>
    <mergeCell ref="U37:AA37"/>
    <mergeCell ref="U38:AA38"/>
    <mergeCell ref="U41:AA41"/>
    <mergeCell ref="U42:AA42"/>
    <mergeCell ref="T36:T37"/>
    <mergeCell ref="U29:AA29"/>
    <mergeCell ref="T32:T35"/>
    <mergeCell ref="R32:R35"/>
    <mergeCell ref="L32:L35"/>
    <mergeCell ref="R36:R37"/>
    <mergeCell ref="L36:L37"/>
    <mergeCell ref="H29:H30"/>
    <mergeCell ref="F29:F30"/>
    <mergeCell ref="R29:R30"/>
    <mergeCell ref="L29:L30"/>
    <mergeCell ref="U20:AA20"/>
    <mergeCell ref="U21:AA21"/>
    <mergeCell ref="L27:L28"/>
    <mergeCell ref="T27:T28"/>
    <mergeCell ref="R27:R28"/>
    <mergeCell ref="R25:R26"/>
    <mergeCell ref="L25:L26"/>
    <mergeCell ref="T25:T26"/>
    <mergeCell ref="T29:T30"/>
    <mergeCell ref="Q29:Q30"/>
    <mergeCell ref="U23:AA23"/>
    <mergeCell ref="R21:R23"/>
    <mergeCell ref="T21:T23"/>
    <mergeCell ref="L21:L23"/>
    <mergeCell ref="U30:AA30"/>
  </mergeCells>
  <conditionalFormatting sqref="D67:D75">
    <cfRule type="cellIs" dxfId="627" priority="1007" stopIfTrue="1" operator="greaterThan">
      <formula>0.06</formula>
    </cfRule>
  </conditionalFormatting>
  <conditionalFormatting sqref="E67:F76">
    <cfRule type="cellIs" dxfId="626" priority="1010" operator="greaterThan">
      <formula>0.04</formula>
    </cfRule>
  </conditionalFormatting>
  <conditionalFormatting sqref="I65:I74">
    <cfRule type="cellIs" dxfId="625" priority="1441" stopIfTrue="1" operator="lessThan">
      <formula>438</formula>
    </cfRule>
    <cfRule type="cellIs" dxfId="624" priority="1440" stopIfTrue="1" operator="lessThan">
      <formula>462</formula>
    </cfRule>
  </conditionalFormatting>
  <conditionalFormatting sqref="I82:I88">
    <cfRule type="cellIs" dxfId="623" priority="1435" stopIfTrue="1" operator="lessThan">
      <formula>0%</formula>
    </cfRule>
    <cfRule type="cellIs" dxfId="622" priority="1434" stopIfTrue="1" operator="greaterThan">
      <formula>1.5%</formula>
    </cfRule>
  </conditionalFormatting>
  <conditionalFormatting sqref="I89">
    <cfRule type="cellIs" dxfId="621" priority="1425" stopIfTrue="1" operator="greaterThan">
      <formula>1.1</formula>
    </cfRule>
    <cfRule type="cellIs" dxfId="620" priority="1424" stopIfTrue="1" operator="greaterThan">
      <formula>0.011</formula>
    </cfRule>
  </conditionalFormatting>
  <conditionalFormatting sqref="J3">
    <cfRule type="cellIs" dxfId="619" priority="792" stopIfTrue="1" operator="lessThan">
      <formula>456.25</formula>
    </cfRule>
    <cfRule type="cellIs" dxfId="618" priority="794" stopIfTrue="1" operator="lessThan">
      <formula>438</formula>
    </cfRule>
  </conditionalFormatting>
  <conditionalFormatting sqref="J4:J62">
    <cfRule type="cellIs" dxfId="617" priority="720" stopIfTrue="1" operator="lessThan">
      <formula>350</formula>
    </cfRule>
  </conditionalFormatting>
  <conditionalFormatting sqref="J63:J77">
    <cfRule type="cellIs" dxfId="616" priority="800" stopIfTrue="1" operator="lessThan">
      <formula>462</formula>
    </cfRule>
  </conditionalFormatting>
  <conditionalFormatting sqref="J66:J77 B2 J91:J65536">
    <cfRule type="cellIs" dxfId="615" priority="1544" stopIfTrue="1" operator="lessThan">
      <formula>438</formula>
    </cfRule>
  </conditionalFormatting>
  <conditionalFormatting sqref="J82:K90">
    <cfRule type="cellIs" dxfId="614" priority="1414" stopIfTrue="1" operator="lessThan">
      <formula>73%</formula>
    </cfRule>
  </conditionalFormatting>
  <conditionalFormatting sqref="K4:L4 K5 K6:L7 K8:K11 L9 K12:L15 K16:K19 L17:L18 K20:L21 K22:K23 K24:L25 K26:K38 L27 L29 L31:L32 L36 L38 K39:L41 K42:K46 L43 L45 K47:L61">
    <cfRule type="cellIs" dxfId="613" priority="1442" stopIfTrue="1" operator="lessThan">
      <formula>540</formula>
    </cfRule>
  </conditionalFormatting>
  <conditionalFormatting sqref="P65:P73">
    <cfRule type="cellIs" dxfId="612" priority="1535" stopIfTrue="1" operator="greaterThan">
      <formula>1.1</formula>
    </cfRule>
  </conditionalFormatting>
  <conditionalFormatting sqref="Q4:Q7 Q9:Q29">
    <cfRule type="cellIs" dxfId="611" priority="1501" stopIfTrue="1" operator="greaterThan">
      <formula>1.8</formula>
    </cfRule>
  </conditionalFormatting>
  <conditionalFormatting sqref="Q31:Q62">
    <cfRule type="cellIs" dxfId="610" priority="9" stopIfTrue="1" operator="greaterThan">
      <formula>1.8</formula>
    </cfRule>
  </conditionalFormatting>
  <conditionalFormatting sqref="Q62">
    <cfRule type="cellIs" dxfId="609" priority="8" stopIfTrue="1" operator="greaterThan">
      <formula>0.018</formula>
    </cfRule>
  </conditionalFormatting>
  <conditionalFormatting sqref="Q63:Q78">
    <cfRule type="cellIs" dxfId="608" priority="798" stopIfTrue="1" operator="greaterThan">
      <formula>1.1</formula>
    </cfRule>
  </conditionalFormatting>
  <conditionalFormatting sqref="Q78:Q79 I90">
    <cfRule type="cellIs" dxfId="607" priority="1541" stopIfTrue="1" operator="lessThan">
      <formula>0%</formula>
    </cfRule>
    <cfRule type="cellIs" dxfId="606" priority="1540" stopIfTrue="1" operator="greaterThan">
      <formula>1.5%</formula>
    </cfRule>
  </conditionalFormatting>
  <conditionalFormatting sqref="Q82">
    <cfRule type="cellIs" dxfId="605" priority="1427" stopIfTrue="1" operator="greaterThan">
      <formula>1.1</formula>
    </cfRule>
    <cfRule type="cellIs" dxfId="604" priority="1426" stopIfTrue="1" operator="greaterThan">
      <formula>0.011</formula>
    </cfRule>
  </conditionalFormatting>
  <conditionalFormatting sqref="R4">
    <cfRule type="cellIs" dxfId="603" priority="13" stopIfTrue="1" operator="lessThan">
      <formula>0.94</formula>
    </cfRule>
    <cfRule type="cellIs" dxfId="602" priority="12" stopIfTrue="1" operator="lessThan">
      <formula>0.95</formula>
    </cfRule>
  </conditionalFormatting>
  <conditionalFormatting sqref="R6:R7 R9">
    <cfRule type="cellIs" dxfId="601" priority="6" stopIfTrue="1" operator="lessThan">
      <formula>0.94</formula>
    </cfRule>
    <cfRule type="cellIs" dxfId="600" priority="5" stopIfTrue="1" operator="lessThan">
      <formula>0.95</formula>
    </cfRule>
  </conditionalFormatting>
  <conditionalFormatting sqref="R12:R15 R17:R18 R20:R21 R24:R25 R27 R29 R31:R32 R36 R38:R41 R43 R45 R47:R60">
    <cfRule type="cellIs" dxfId="599" priority="2" stopIfTrue="1" operator="lessThan">
      <formula>0.95</formula>
    </cfRule>
    <cfRule type="cellIs" dxfId="598" priority="3" stopIfTrue="1" operator="lessThan">
      <formula>0.94</formula>
    </cfRule>
  </conditionalFormatting>
  <conditionalFormatting sqref="R61">
    <cfRule type="cellIs" dxfId="597" priority="1418" stopIfTrue="1" operator="lessThan">
      <formula>0.67</formula>
    </cfRule>
  </conditionalFormatting>
  <conditionalFormatting sqref="R62">
    <cfRule type="cellIs" dxfId="596" priority="10" stopIfTrue="1" operator="lessThan">
      <formula>0.56</formula>
    </cfRule>
  </conditionalFormatting>
  <conditionalFormatting sqref="R63:R77">
    <cfRule type="cellIs" dxfId="595" priority="796" stopIfTrue="1" operator="lessThan">
      <formula>0.6</formula>
    </cfRule>
  </conditionalFormatting>
  <conditionalFormatting sqref="R65:R73 T65:U65">
    <cfRule type="cellIs" dxfId="594" priority="1538" stopIfTrue="1" operator="lessThan">
      <formula>0.74</formula>
    </cfRule>
  </conditionalFormatting>
  <conditionalFormatting sqref="R3:S3">
    <cfRule type="cellIs" dxfId="593" priority="795" stopIfTrue="1" operator="lessThan">
      <formula>0.65</formula>
    </cfRule>
  </conditionalFormatting>
  <conditionalFormatting sqref="R82:S82">
    <cfRule type="cellIs" dxfId="592" priority="801" stopIfTrue="1" operator="lessThan">
      <formula>0.74</formula>
    </cfRule>
  </conditionalFormatting>
  <conditionalFormatting sqref="S4:S60">
    <cfRule type="cellIs" dxfId="591" priority="7" stopIfTrue="1" operator="lessThan">
      <formula>0.66</formula>
    </cfRule>
  </conditionalFormatting>
  <conditionalFormatting sqref="S61:S77">
    <cfRule type="cellIs" dxfId="590" priority="799" stopIfTrue="1" operator="lessThan">
      <formula>0.74</formula>
    </cfRule>
  </conditionalFormatting>
  <conditionalFormatting sqref="S92:S93">
    <cfRule type="cellIs" dxfId="589" priority="1469" stopIfTrue="1" operator="lessThan">
      <formula>0.74</formula>
    </cfRule>
  </conditionalFormatting>
  <conditionalFormatting sqref="S94">
    <cfRule type="cellIs" dxfId="588" priority="1468" stopIfTrue="1" operator="greaterThan">
      <formula>1.1</formula>
    </cfRule>
  </conditionalFormatting>
  <conditionalFormatting sqref="S78:T79">
    <cfRule type="cellIs" dxfId="587" priority="1543" stopIfTrue="1" operator="lessThan">
      <formula>75%</formula>
    </cfRule>
  </conditionalFormatting>
  <conditionalFormatting sqref="T4">
    <cfRule type="cellIs" dxfId="586" priority="11" stopIfTrue="1" operator="lessThan">
      <formula>0.8</formula>
    </cfRule>
  </conditionalFormatting>
  <conditionalFormatting sqref="T6:T7 T9">
    <cfRule type="cellIs" dxfId="585" priority="4" stopIfTrue="1" operator="lessThan">
      <formula>0.8</formula>
    </cfRule>
  </conditionalFormatting>
  <conditionalFormatting sqref="T12:T15 T17:T18 T20:T21 T24:T25 T27 T29 T31:T32 T36 T38:T41 T43 T45 T47:T60">
    <cfRule type="cellIs" dxfId="584" priority="1" stopIfTrue="1" operator="lessThan">
      <formula>0.8</formula>
    </cfRule>
  </conditionalFormatting>
  <conditionalFormatting sqref="T61:T64">
    <cfRule type="cellIs" dxfId="583" priority="797" stopIfTrue="1" operator="lessThan">
      <formula>0.95</formula>
    </cfRule>
  </conditionalFormatting>
  <conditionalFormatting sqref="T66:T77">
    <cfRule type="cellIs" dxfId="582" priority="1504" stopIfTrue="1" operator="lessThan">
      <formula>0.95</formula>
    </cfRule>
  </conditionalFormatting>
  <conditionalFormatting sqref="T81">
    <cfRule type="cellIs" dxfId="581" priority="1497" stopIfTrue="1" operator="lessThan">
      <formula>0.65</formula>
    </cfRule>
  </conditionalFormatting>
  <conditionalFormatting sqref="T82">
    <cfRule type="cellIs" dxfId="580" priority="1432" stopIfTrue="1" operator="lessThan">
      <formula>0.95</formula>
    </cfRule>
  </conditionalFormatting>
  <printOptions horizontalCentered="1"/>
  <pageMargins left="0.10312499999999999" right="0.5" top="0.25" bottom="0.27" header="0.25" footer="0.27"/>
  <pageSetup scale="25" fitToHeight="0" orientation="landscape" horizontalDpi="4294967295" verticalDpi="4294967295" r:id="rId1"/>
  <headerFooter alignWithMargins="0"/>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036B0-8920-48F5-9975-A2734B8F722E}">
  <sheetPr>
    <tabColor theme="9" tint="-0.249977111117893"/>
  </sheetPr>
  <dimension ref="A2:CT49"/>
  <sheetViews>
    <sheetView zoomScale="70" zoomScaleNormal="70" workbookViewId="0">
      <selection activeCell="D48" sqref="D48:E48"/>
    </sheetView>
  </sheetViews>
  <sheetFormatPr defaultRowHeight="12.75" x14ac:dyDescent="0.2"/>
  <cols>
    <col min="1" max="1" width="13" customWidth="1"/>
    <col min="2" max="2" width="18.42578125" customWidth="1"/>
    <col min="3" max="3" width="10" bestFit="1" customWidth="1"/>
    <col min="4" max="4" width="18.85546875" bestFit="1" customWidth="1"/>
    <col min="14" max="14" width="10.140625" customWidth="1"/>
    <col min="26" max="26" width="11.42578125" bestFit="1" customWidth="1"/>
    <col min="38" max="38" width="11" bestFit="1" customWidth="1"/>
    <col min="50" max="50" width="11" bestFit="1" customWidth="1"/>
    <col min="58" max="60" width="11.140625" bestFit="1" customWidth="1"/>
    <col min="61" max="61" width="12.42578125" bestFit="1" customWidth="1"/>
    <col min="62" max="62" width="11" bestFit="1" customWidth="1"/>
    <col min="74" max="74" width="11.42578125" bestFit="1" customWidth="1"/>
    <col min="86" max="86" width="11.140625" customWidth="1"/>
  </cols>
  <sheetData>
    <row r="2" spans="1:98" x14ac:dyDescent="0.2">
      <c r="AP2" s="740" t="s">
        <v>865</v>
      </c>
      <c r="AS2" s="741"/>
      <c r="AV2" s="741"/>
      <c r="AX2" s="741"/>
      <c r="AY2" s="741"/>
    </row>
    <row r="3" spans="1:98" s="1" customFormat="1" x14ac:dyDescent="0.2">
      <c r="C3" s="742" t="s">
        <v>866</v>
      </c>
      <c r="D3" s="742" t="s">
        <v>867</v>
      </c>
      <c r="E3" s="742" t="s">
        <v>868</v>
      </c>
      <c r="F3" s="742" t="s">
        <v>869</v>
      </c>
      <c r="G3" s="742" t="s">
        <v>870</v>
      </c>
      <c r="H3" s="742" t="s">
        <v>871</v>
      </c>
      <c r="I3" s="742" t="s">
        <v>872</v>
      </c>
      <c r="J3" s="742" t="s">
        <v>873</v>
      </c>
      <c r="K3" s="742" t="s">
        <v>874</v>
      </c>
      <c r="L3" s="742" t="s">
        <v>875</v>
      </c>
      <c r="M3" s="742" t="s">
        <v>876</v>
      </c>
      <c r="N3" s="742" t="s">
        <v>877</v>
      </c>
      <c r="O3" s="743" t="s">
        <v>878</v>
      </c>
      <c r="P3" s="743" t="s">
        <v>879</v>
      </c>
      <c r="Q3" s="743" t="s">
        <v>880</v>
      </c>
      <c r="R3" s="743" t="s">
        <v>881</v>
      </c>
      <c r="S3" s="743" t="s">
        <v>882</v>
      </c>
      <c r="T3" s="743" t="s">
        <v>883</v>
      </c>
      <c r="U3" s="743" t="s">
        <v>884</v>
      </c>
      <c r="V3" s="743" t="s">
        <v>885</v>
      </c>
      <c r="W3" s="743" t="s">
        <v>886</v>
      </c>
      <c r="X3" s="743" t="s">
        <v>887</v>
      </c>
      <c r="Y3" s="743" t="s">
        <v>888</v>
      </c>
      <c r="Z3" s="743" t="s">
        <v>889</v>
      </c>
      <c r="AA3" s="744" t="s">
        <v>890</v>
      </c>
      <c r="AB3" s="744" t="s">
        <v>891</v>
      </c>
      <c r="AC3" s="744" t="s">
        <v>892</v>
      </c>
      <c r="AD3" s="744" t="s">
        <v>893</v>
      </c>
      <c r="AE3" s="744" t="s">
        <v>894</v>
      </c>
      <c r="AF3" s="744" t="s">
        <v>895</v>
      </c>
      <c r="AG3" s="744" t="s">
        <v>896</v>
      </c>
      <c r="AH3" s="744" t="s">
        <v>897</v>
      </c>
      <c r="AI3" s="744" t="s">
        <v>898</v>
      </c>
      <c r="AJ3" s="744" t="s">
        <v>899</v>
      </c>
      <c r="AK3" s="744" t="s">
        <v>900</v>
      </c>
      <c r="AL3" s="744" t="s">
        <v>901</v>
      </c>
      <c r="AM3" s="745" t="s">
        <v>902</v>
      </c>
      <c r="AN3" s="745" t="s">
        <v>903</v>
      </c>
      <c r="AO3" s="745" t="s">
        <v>904</v>
      </c>
      <c r="AP3" s="745" t="s">
        <v>905</v>
      </c>
      <c r="AQ3" s="745" t="s">
        <v>906</v>
      </c>
      <c r="AR3" s="745" t="s">
        <v>907</v>
      </c>
      <c r="AS3" s="745" t="s">
        <v>908</v>
      </c>
      <c r="AT3" s="745" t="s">
        <v>909</v>
      </c>
      <c r="AU3" s="745" t="s">
        <v>910</v>
      </c>
      <c r="AV3" s="745" t="s">
        <v>911</v>
      </c>
      <c r="AW3" s="745" t="s">
        <v>912</v>
      </c>
      <c r="AX3" s="745" t="s">
        <v>913</v>
      </c>
      <c r="AY3" s="746" t="s">
        <v>914</v>
      </c>
      <c r="AZ3" s="746" t="s">
        <v>915</v>
      </c>
      <c r="BA3" s="746" t="s">
        <v>916</v>
      </c>
      <c r="BB3" s="746" t="s">
        <v>917</v>
      </c>
      <c r="BC3" s="746" t="s">
        <v>918</v>
      </c>
      <c r="BD3" s="746" t="s">
        <v>919</v>
      </c>
      <c r="BE3" s="746" t="s">
        <v>920</v>
      </c>
      <c r="BF3" s="746" t="s">
        <v>921</v>
      </c>
      <c r="BG3" s="746" t="s">
        <v>922</v>
      </c>
      <c r="BH3" s="746" t="s">
        <v>923</v>
      </c>
      <c r="BI3" s="746" t="s">
        <v>924</v>
      </c>
      <c r="BJ3" s="746" t="s">
        <v>925</v>
      </c>
      <c r="BK3" s="747" t="s">
        <v>926</v>
      </c>
      <c r="BL3" s="747" t="s">
        <v>927</v>
      </c>
      <c r="BM3" s="747" t="s">
        <v>928</v>
      </c>
      <c r="BN3" s="747" t="s">
        <v>929</v>
      </c>
      <c r="BO3" s="747" t="s">
        <v>930</v>
      </c>
      <c r="BP3" s="747" t="s">
        <v>931</v>
      </c>
      <c r="BQ3" s="747" t="s">
        <v>932</v>
      </c>
      <c r="BR3" s="747" t="s">
        <v>933</v>
      </c>
      <c r="BS3" s="747" t="s">
        <v>934</v>
      </c>
      <c r="BT3" s="747" t="s">
        <v>935</v>
      </c>
      <c r="BU3" s="747" t="s">
        <v>936</v>
      </c>
      <c r="BV3" s="747" t="s">
        <v>937</v>
      </c>
      <c r="BW3" s="748" t="s">
        <v>938</v>
      </c>
      <c r="BX3" s="748" t="s">
        <v>939</v>
      </c>
      <c r="BY3" s="748" t="s">
        <v>940</v>
      </c>
      <c r="BZ3" s="748" t="s">
        <v>941</v>
      </c>
      <c r="CA3" s="748" t="s">
        <v>942</v>
      </c>
      <c r="CB3" s="748" t="s">
        <v>943</v>
      </c>
      <c r="CC3" s="748" t="s">
        <v>944</v>
      </c>
      <c r="CD3" s="748" t="s">
        <v>945</v>
      </c>
      <c r="CE3" s="748" t="s">
        <v>946</v>
      </c>
      <c r="CF3" s="748" t="s">
        <v>947</v>
      </c>
      <c r="CG3" s="748" t="s">
        <v>948</v>
      </c>
      <c r="CH3" s="748" t="s">
        <v>949</v>
      </c>
      <c r="CI3" s="748" t="s">
        <v>950</v>
      </c>
      <c r="CJ3" s="748" t="s">
        <v>939</v>
      </c>
      <c r="CK3" s="748" t="s">
        <v>940</v>
      </c>
      <c r="CL3" s="748" t="s">
        <v>941</v>
      </c>
      <c r="CM3" s="748" t="s">
        <v>942</v>
      </c>
      <c r="CN3" s="748" t="s">
        <v>943</v>
      </c>
      <c r="CO3" s="748" t="s">
        <v>944</v>
      </c>
      <c r="CP3" s="748" t="s">
        <v>945</v>
      </c>
      <c r="CQ3" s="748" t="s">
        <v>946</v>
      </c>
      <c r="CR3" s="748" t="s">
        <v>947</v>
      </c>
      <c r="CS3" s="748" t="s">
        <v>948</v>
      </c>
      <c r="CT3" s="748" t="s">
        <v>949</v>
      </c>
    </row>
    <row r="4" spans="1:98" ht="15" customHeight="1" x14ac:dyDescent="0.2">
      <c r="A4" s="1200" t="s">
        <v>951</v>
      </c>
      <c r="B4" s="749" t="s">
        <v>952</v>
      </c>
      <c r="C4" s="750">
        <v>89516</v>
      </c>
      <c r="D4" s="750">
        <v>72339</v>
      </c>
      <c r="E4" s="750">
        <v>99667</v>
      </c>
      <c r="F4" s="750">
        <v>73730</v>
      </c>
      <c r="G4" s="750">
        <v>79730</v>
      </c>
      <c r="H4" s="750">
        <v>94040</v>
      </c>
      <c r="I4" s="750">
        <v>111800</v>
      </c>
      <c r="J4" s="750">
        <v>91995</v>
      </c>
      <c r="K4" s="750">
        <v>63627</v>
      </c>
      <c r="L4" s="750">
        <v>91544</v>
      </c>
      <c r="M4" s="750">
        <v>111521</v>
      </c>
      <c r="N4" s="750">
        <v>108506</v>
      </c>
      <c r="O4" s="750">
        <v>109795.5</v>
      </c>
      <c r="P4" s="750">
        <v>101288</v>
      </c>
      <c r="Q4" s="750">
        <v>99442.25</v>
      </c>
      <c r="R4" s="750">
        <v>96663</v>
      </c>
      <c r="S4" s="750">
        <v>83629.5</v>
      </c>
      <c r="T4" s="750">
        <v>99606</v>
      </c>
      <c r="U4" s="750">
        <v>129521.75</v>
      </c>
      <c r="V4" s="750">
        <v>82933.5</v>
      </c>
      <c r="W4" s="750">
        <v>117359.25</v>
      </c>
      <c r="X4" s="750">
        <v>117359.25</v>
      </c>
      <c r="Y4" s="750">
        <v>126011.25</v>
      </c>
      <c r="Z4" s="750">
        <v>123183.5</v>
      </c>
      <c r="AA4" s="750">
        <v>109795.5</v>
      </c>
      <c r="AB4" s="750">
        <v>102642.25</v>
      </c>
      <c r="AC4" s="750">
        <v>100422</v>
      </c>
      <c r="AD4" s="750">
        <v>107426</v>
      </c>
      <c r="AE4" s="751">
        <v>130608.25</v>
      </c>
      <c r="AF4" s="750">
        <v>108026</v>
      </c>
      <c r="AG4" s="750">
        <v>122557.75</v>
      </c>
      <c r="AH4" s="750">
        <v>110083.5</v>
      </c>
      <c r="AI4" s="750">
        <v>114636.5</v>
      </c>
      <c r="AJ4" s="750">
        <v>86736.5</v>
      </c>
      <c r="AK4" s="751">
        <v>132825.25</v>
      </c>
      <c r="AL4" s="750">
        <v>112110.5</v>
      </c>
      <c r="AM4" s="535">
        <f>'[11]January 2020'!$D$16</f>
        <v>103570.5</v>
      </c>
      <c r="AN4" s="535">
        <f>'[11]February 2020'!$D$16</f>
        <v>117954.75</v>
      </c>
      <c r="AO4" s="535">
        <f>'[11]March 2020'!$D$16</f>
        <v>107875</v>
      </c>
      <c r="AP4" s="535">
        <f>'[11]April 2020 '!$D$16</f>
        <v>23477</v>
      </c>
      <c r="AQ4" s="535">
        <f>'[11]May ''20'!$D$16</f>
        <v>73810</v>
      </c>
      <c r="AR4" s="535">
        <f>'[11]June ''20 '!$D$16</f>
        <v>79649.75</v>
      </c>
      <c r="AS4" s="751">
        <f>'[11]July ''20'!$D$16</f>
        <v>143268</v>
      </c>
      <c r="AT4" s="535">
        <f>'[11]August ''20'!$D$16</f>
        <v>114702</v>
      </c>
      <c r="AU4" s="535">
        <f>'[11]September ''20'!$D$16</f>
        <v>92384.25</v>
      </c>
      <c r="AV4" s="535">
        <f>'[11]October ''20'!$D$16</f>
        <v>130410.75</v>
      </c>
      <c r="AW4" s="535">
        <f>'[11]November ''20'!$D$16</f>
        <v>118118.25</v>
      </c>
      <c r="AX4" s="751">
        <f>'[11]December ''20'!$D$16</f>
        <v>132500.25</v>
      </c>
      <c r="AY4" s="751">
        <f>'[12]January 2021'!$D$16</f>
        <v>130851</v>
      </c>
      <c r="AZ4" s="535">
        <f>'[12]February 2021'!$D$16</f>
        <v>115400</v>
      </c>
      <c r="BA4" s="535">
        <f>'[12]March 2021'!$D$16</f>
        <v>106167.25</v>
      </c>
      <c r="BB4" s="535">
        <f>'[12]April 2021 '!$D$16</f>
        <v>96215</v>
      </c>
      <c r="BC4" s="535">
        <f>'[12]May 2021'!$D$16</f>
        <v>98220</v>
      </c>
      <c r="BD4" s="535">
        <f>'[12]June ''21 '!$D$16</f>
        <v>95771.25</v>
      </c>
      <c r="BE4" s="535">
        <f>'[12]July ''21'!$D$16</f>
        <v>114160.5</v>
      </c>
      <c r="BF4" s="752">
        <f>'[12]August ''21'!$D$16</f>
        <v>92841.5</v>
      </c>
      <c r="BG4" s="752">
        <f>'[13]GBL Actual vs Budget Prod.'!$J$2</f>
        <v>75387</v>
      </c>
      <c r="BH4" s="752">
        <f>'[13]GBL Actual vs Budget Prod.'!$K$2</f>
        <v>79036</v>
      </c>
      <c r="BI4" s="752">
        <f>'[13]GBL Actual vs Budget Prod.'!$L$2</f>
        <v>125333.5</v>
      </c>
      <c r="BJ4" s="535">
        <f>'[13]GBL Actual vs Budget Prod.'!$M$2</f>
        <v>126255</v>
      </c>
      <c r="BK4" s="535">
        <v>102318</v>
      </c>
      <c r="BL4" s="535">
        <v>103758</v>
      </c>
      <c r="BM4" s="535">
        <v>112534</v>
      </c>
      <c r="BN4" s="535">
        <v>113524</v>
      </c>
      <c r="BO4" s="751">
        <v>139442</v>
      </c>
      <c r="BP4" s="753">
        <v>104830</v>
      </c>
      <c r="BQ4" s="535">
        <v>88012</v>
      </c>
      <c r="BR4" s="535">
        <v>112340</v>
      </c>
      <c r="BS4" s="535">
        <v>104150</v>
      </c>
      <c r="BT4" s="535">
        <v>105453</v>
      </c>
      <c r="BU4" s="535">
        <v>121471</v>
      </c>
      <c r="BV4" s="535">
        <v>129499</v>
      </c>
      <c r="BW4" s="535">
        <v>94650</v>
      </c>
      <c r="BX4" s="535">
        <v>81070</v>
      </c>
      <c r="BY4" s="751">
        <v>156176</v>
      </c>
      <c r="BZ4" s="535">
        <v>106112</v>
      </c>
      <c r="CA4" s="535">
        <v>22478</v>
      </c>
      <c r="CB4" s="535">
        <v>96484</v>
      </c>
      <c r="CC4" s="535">
        <v>128366</v>
      </c>
      <c r="CD4" s="535">
        <v>97451</v>
      </c>
      <c r="CE4" s="535">
        <v>101235</v>
      </c>
      <c r="CF4" s="535">
        <v>89135</v>
      </c>
      <c r="CG4" s="535">
        <v>107796</v>
      </c>
      <c r="CH4" s="535">
        <f>'[14]GBL Actual vs Budget Prod.'!$M$2</f>
        <v>107315.25</v>
      </c>
      <c r="CI4">
        <f>'[15]GBL Actual vs Budget Prod.'!B2</f>
        <v>136693.5</v>
      </c>
      <c r="CJ4">
        <f>'[15]GBL Actual vs Budget Prod.'!C2</f>
        <v>100143.5</v>
      </c>
    </row>
    <row r="5" spans="1:98" ht="15" x14ac:dyDescent="0.2">
      <c r="A5" s="1200"/>
      <c r="B5" s="749" t="s">
        <v>953</v>
      </c>
      <c r="C5" s="750">
        <v>94940</v>
      </c>
      <c r="D5" s="750">
        <v>65590</v>
      </c>
      <c r="E5" s="750">
        <v>97890</v>
      </c>
      <c r="F5" s="750">
        <v>83990</v>
      </c>
      <c r="G5" s="750">
        <v>69300</v>
      </c>
      <c r="H5" s="750">
        <v>88110</v>
      </c>
      <c r="I5" s="750">
        <v>90440</v>
      </c>
      <c r="J5" s="750">
        <v>96770</v>
      </c>
      <c r="K5" s="750">
        <v>53550</v>
      </c>
      <c r="L5" s="750">
        <v>99170</v>
      </c>
      <c r="M5" s="750">
        <v>111030</v>
      </c>
      <c r="N5" s="750">
        <v>95140</v>
      </c>
      <c r="O5" s="750">
        <v>104140</v>
      </c>
      <c r="P5" s="750">
        <v>77990</v>
      </c>
      <c r="Q5" s="750">
        <v>96090</v>
      </c>
      <c r="R5" s="750">
        <v>72690</v>
      </c>
      <c r="S5" s="750">
        <v>95850</v>
      </c>
      <c r="T5" s="750">
        <v>97190</v>
      </c>
      <c r="U5" s="750">
        <v>103640</v>
      </c>
      <c r="V5" s="750">
        <v>100650</v>
      </c>
      <c r="W5" s="750">
        <v>104770</v>
      </c>
      <c r="X5" s="750">
        <v>104770</v>
      </c>
      <c r="Y5" s="750">
        <v>109050</v>
      </c>
      <c r="Z5" s="750">
        <v>103440</v>
      </c>
      <c r="AA5" s="535">
        <v>119505</v>
      </c>
      <c r="AB5" s="535">
        <v>96442</v>
      </c>
      <c r="AC5" s="535">
        <v>111490</v>
      </c>
      <c r="AD5" s="535">
        <v>108066</v>
      </c>
      <c r="AE5" s="535">
        <v>116900</v>
      </c>
      <c r="AF5" s="535">
        <v>109390</v>
      </c>
      <c r="AG5" s="535">
        <v>123530</v>
      </c>
      <c r="AH5" s="535">
        <v>115340</v>
      </c>
      <c r="AI5" s="535">
        <v>105240</v>
      </c>
      <c r="AJ5" s="535">
        <v>127620</v>
      </c>
      <c r="AK5" s="535">
        <v>130840</v>
      </c>
      <c r="AL5" s="535">
        <v>140940</v>
      </c>
      <c r="AM5" s="535">
        <v>119275</v>
      </c>
      <c r="AN5" s="535">
        <v>100879</v>
      </c>
      <c r="AO5" s="535">
        <v>113830</v>
      </c>
      <c r="AP5" s="535">
        <v>111346</v>
      </c>
      <c r="AQ5" s="535">
        <v>111346</v>
      </c>
      <c r="AR5" s="535">
        <v>119616</v>
      </c>
      <c r="AS5" s="535">
        <v>129383</v>
      </c>
      <c r="AT5" s="535">
        <v>123345</v>
      </c>
      <c r="AU5" s="535">
        <v>113679</v>
      </c>
      <c r="AV5" s="535">
        <v>125081</v>
      </c>
      <c r="AW5" s="535">
        <v>148253</v>
      </c>
      <c r="AX5" s="535">
        <v>152975</v>
      </c>
      <c r="AY5" s="535">
        <v>132911</v>
      </c>
      <c r="AZ5" s="535">
        <v>88424</v>
      </c>
      <c r="BA5" s="535">
        <v>142983</v>
      </c>
      <c r="BB5" s="535">
        <v>127031</v>
      </c>
      <c r="BC5" s="535">
        <v>132323</v>
      </c>
      <c r="BD5" s="535">
        <v>133073</v>
      </c>
      <c r="BE5" s="535">
        <v>143034</v>
      </c>
      <c r="BF5" s="535">
        <v>133399</v>
      </c>
      <c r="BG5" s="535">
        <v>121066</v>
      </c>
      <c r="BH5" s="535">
        <v>150743</v>
      </c>
      <c r="BI5" s="535">
        <v>137413</v>
      </c>
      <c r="BJ5" s="535">
        <v>132056</v>
      </c>
      <c r="BK5" s="535">
        <v>129803</v>
      </c>
      <c r="BL5" s="535">
        <v>68191</v>
      </c>
      <c r="BM5" s="535">
        <v>122272</v>
      </c>
      <c r="BN5" s="535">
        <v>107733</v>
      </c>
      <c r="BO5" s="535">
        <v>107728</v>
      </c>
      <c r="BP5" s="535">
        <v>101696</v>
      </c>
      <c r="BQ5" s="535">
        <v>112856</v>
      </c>
      <c r="BR5" s="535">
        <v>108093</v>
      </c>
      <c r="BS5" s="535">
        <v>5500</v>
      </c>
      <c r="BT5" s="535">
        <v>123265</v>
      </c>
      <c r="BU5" s="535">
        <v>131275</v>
      </c>
      <c r="BV5" s="535">
        <v>124615</v>
      </c>
      <c r="BW5" s="535">
        <v>133125</v>
      </c>
      <c r="BX5" s="535">
        <v>122900</v>
      </c>
      <c r="BY5" s="535">
        <v>125975</v>
      </c>
      <c r="BZ5" s="535">
        <v>28000</v>
      </c>
      <c r="CA5" s="535">
        <v>102950</v>
      </c>
      <c r="CB5" s="535">
        <v>118900</v>
      </c>
      <c r="CC5" s="535">
        <v>113275</v>
      </c>
      <c r="CD5" s="535">
        <v>126350</v>
      </c>
      <c r="CE5" s="535">
        <v>105675</v>
      </c>
      <c r="CF5" s="535">
        <v>121450</v>
      </c>
      <c r="CG5" s="535">
        <v>123400</v>
      </c>
      <c r="CH5" s="535">
        <v>155925</v>
      </c>
      <c r="CI5">
        <f>'[15]GBL Actual vs Budget Prod.'!B7</f>
        <v>107525</v>
      </c>
      <c r="CJ5">
        <f>'[15]GBL Actual vs Budget Prod.'!C7</f>
        <v>104700</v>
      </c>
    </row>
    <row r="6" spans="1:98" ht="15" customHeight="1" x14ac:dyDescent="0.2">
      <c r="A6" s="1200"/>
      <c r="B6" s="1201" t="s">
        <v>954</v>
      </c>
      <c r="C6" s="1202">
        <f>C4-C5</f>
        <v>-5424</v>
      </c>
      <c r="D6" s="1202">
        <f t="shared" ref="D6:U6" si="0">D4-D5</f>
        <v>6749</v>
      </c>
      <c r="E6" s="1202">
        <f t="shared" si="0"/>
        <v>1777</v>
      </c>
      <c r="F6" s="1202">
        <f t="shared" si="0"/>
        <v>-10260</v>
      </c>
      <c r="G6" s="1202">
        <f t="shared" si="0"/>
        <v>10430</v>
      </c>
      <c r="H6" s="1202">
        <f t="shared" si="0"/>
        <v>5930</v>
      </c>
      <c r="I6" s="1202">
        <f t="shared" si="0"/>
        <v>21360</v>
      </c>
      <c r="J6" s="1202">
        <f t="shared" si="0"/>
        <v>-4775</v>
      </c>
      <c r="K6" s="1202">
        <f t="shared" si="0"/>
        <v>10077</v>
      </c>
      <c r="L6" s="1202">
        <f t="shared" si="0"/>
        <v>-7626</v>
      </c>
      <c r="M6" s="1202">
        <f t="shared" si="0"/>
        <v>491</v>
      </c>
      <c r="N6" s="1202">
        <f t="shared" si="0"/>
        <v>13366</v>
      </c>
      <c r="O6" s="1202">
        <f t="shared" si="0"/>
        <v>5655.5</v>
      </c>
      <c r="P6" s="1202">
        <f t="shared" si="0"/>
        <v>23298</v>
      </c>
      <c r="Q6" s="1202">
        <f t="shared" si="0"/>
        <v>3352.25</v>
      </c>
      <c r="R6" s="1202">
        <f t="shared" si="0"/>
        <v>23973</v>
      </c>
      <c r="S6" s="1202">
        <f t="shared" si="0"/>
        <v>-12220.5</v>
      </c>
      <c r="T6" s="1202">
        <f t="shared" si="0"/>
        <v>2416</v>
      </c>
      <c r="U6" s="1202">
        <f t="shared" si="0"/>
        <v>25881.75</v>
      </c>
      <c r="V6" s="1202">
        <f>V4-V5</f>
        <v>-17716.5</v>
      </c>
      <c r="W6" s="1202">
        <f>W4-W5</f>
        <v>12589.25</v>
      </c>
      <c r="X6" s="1202">
        <f>X4-X5</f>
        <v>12589.25</v>
      </c>
      <c r="Y6" s="1202">
        <f>Y4-Y5</f>
        <v>16961.25</v>
      </c>
      <c r="Z6" s="1202">
        <f>Z4-Z5</f>
        <v>19743.5</v>
      </c>
      <c r="AA6" s="1202">
        <f t="shared" ref="AA6:AK6" si="1">AA4-AA5</f>
        <v>-9709.5</v>
      </c>
      <c r="AB6" s="1202">
        <f t="shared" si="1"/>
        <v>6200.25</v>
      </c>
      <c r="AC6" s="1202">
        <f t="shared" si="1"/>
        <v>-11068</v>
      </c>
      <c r="AD6" s="1202">
        <f t="shared" si="1"/>
        <v>-640</v>
      </c>
      <c r="AE6" s="1202">
        <f t="shared" si="1"/>
        <v>13708.25</v>
      </c>
      <c r="AF6" s="1202">
        <f t="shared" si="1"/>
        <v>-1364</v>
      </c>
      <c r="AG6" s="1202">
        <f t="shared" si="1"/>
        <v>-972.25</v>
      </c>
      <c r="AH6" s="1202">
        <f t="shared" si="1"/>
        <v>-5256.5</v>
      </c>
      <c r="AI6" s="1202">
        <f t="shared" si="1"/>
        <v>9396.5</v>
      </c>
      <c r="AJ6" s="1202">
        <f t="shared" si="1"/>
        <v>-40883.5</v>
      </c>
      <c r="AK6" s="1202">
        <f t="shared" si="1"/>
        <v>1985.25</v>
      </c>
      <c r="AL6" s="1202">
        <f>AL4-AL5</f>
        <v>-28829.5</v>
      </c>
      <c r="AM6" s="1202">
        <f t="shared" ref="AM6:BV6" si="2">AM4-AM5</f>
        <v>-15704.5</v>
      </c>
      <c r="AN6" s="1202">
        <f t="shared" si="2"/>
        <v>17075.75</v>
      </c>
      <c r="AO6" s="1202">
        <f t="shared" si="2"/>
        <v>-5955</v>
      </c>
      <c r="AP6" s="1202">
        <f t="shared" si="2"/>
        <v>-87869</v>
      </c>
      <c r="AQ6" s="1202">
        <f t="shared" si="2"/>
        <v>-37536</v>
      </c>
      <c r="AR6" s="1202">
        <f t="shared" si="2"/>
        <v>-39966.25</v>
      </c>
      <c r="AS6" s="1202">
        <f t="shared" si="2"/>
        <v>13885</v>
      </c>
      <c r="AT6" s="1202">
        <f t="shared" si="2"/>
        <v>-8643</v>
      </c>
      <c r="AU6" s="1202">
        <f t="shared" si="2"/>
        <v>-21294.75</v>
      </c>
      <c r="AV6" s="1202">
        <f t="shared" si="2"/>
        <v>5329.75</v>
      </c>
      <c r="AW6" s="1202">
        <f t="shared" si="2"/>
        <v>-30134.75</v>
      </c>
      <c r="AX6" s="1202">
        <f t="shared" si="2"/>
        <v>-20474.75</v>
      </c>
      <c r="AY6" s="1202">
        <f t="shared" si="2"/>
        <v>-2060</v>
      </c>
      <c r="AZ6" s="1202">
        <f t="shared" si="2"/>
        <v>26976</v>
      </c>
      <c r="BA6" s="1202">
        <f t="shared" si="2"/>
        <v>-36815.75</v>
      </c>
      <c r="BB6" s="1202">
        <f t="shared" si="2"/>
        <v>-30816</v>
      </c>
      <c r="BC6" s="1202">
        <f t="shared" si="2"/>
        <v>-34103</v>
      </c>
      <c r="BD6" s="1202">
        <f t="shared" si="2"/>
        <v>-37301.75</v>
      </c>
      <c r="BE6" s="1202">
        <f t="shared" si="2"/>
        <v>-28873.5</v>
      </c>
      <c r="BF6" s="1202">
        <f t="shared" si="2"/>
        <v>-40557.5</v>
      </c>
      <c r="BG6" s="1202">
        <f t="shared" si="2"/>
        <v>-45679</v>
      </c>
      <c r="BH6" s="1202">
        <f t="shared" si="2"/>
        <v>-71707</v>
      </c>
      <c r="BI6" s="1202">
        <f t="shared" si="2"/>
        <v>-12079.5</v>
      </c>
      <c r="BJ6" s="1202">
        <f t="shared" si="2"/>
        <v>-5801</v>
      </c>
      <c r="BK6" s="1202">
        <f t="shared" si="2"/>
        <v>-27485</v>
      </c>
      <c r="BL6" s="1202">
        <f t="shared" si="2"/>
        <v>35567</v>
      </c>
      <c r="BM6" s="1202">
        <f t="shared" si="2"/>
        <v>-9738</v>
      </c>
      <c r="BN6" s="1202">
        <f t="shared" si="2"/>
        <v>5791</v>
      </c>
      <c r="BO6" s="1202">
        <f t="shared" si="2"/>
        <v>31714</v>
      </c>
      <c r="BP6" s="1202">
        <f t="shared" si="2"/>
        <v>3134</v>
      </c>
      <c r="BQ6" s="1202">
        <f t="shared" si="2"/>
        <v>-24844</v>
      </c>
      <c r="BR6" s="1202">
        <f t="shared" si="2"/>
        <v>4247</v>
      </c>
      <c r="BS6" s="1202">
        <f t="shared" si="2"/>
        <v>98650</v>
      </c>
      <c r="BT6" s="1202">
        <f t="shared" si="2"/>
        <v>-17812</v>
      </c>
      <c r="BU6" s="1202">
        <f t="shared" si="2"/>
        <v>-9804</v>
      </c>
      <c r="BV6" s="1202">
        <f t="shared" si="2"/>
        <v>4884</v>
      </c>
      <c r="BW6" s="1202">
        <f>BW4-BW5</f>
        <v>-38475</v>
      </c>
      <c r="BX6" s="1202">
        <f>BX4-BX5</f>
        <v>-41830</v>
      </c>
      <c r="BY6" s="1202">
        <f>BY4-BY5</f>
        <v>30201</v>
      </c>
      <c r="BZ6" s="1203">
        <f t="shared" ref="BZ6:CT6" si="3">BZ4-BZ5</f>
        <v>78112</v>
      </c>
      <c r="CA6" s="1202">
        <f t="shared" si="3"/>
        <v>-80472</v>
      </c>
      <c r="CB6" s="1202">
        <f t="shared" si="3"/>
        <v>-22416</v>
      </c>
      <c r="CC6" s="1202">
        <f t="shared" si="3"/>
        <v>15091</v>
      </c>
      <c r="CD6" s="1202">
        <f t="shared" si="3"/>
        <v>-28899</v>
      </c>
      <c r="CE6" s="1202">
        <f t="shared" si="3"/>
        <v>-4440</v>
      </c>
      <c r="CF6" s="1202">
        <f t="shared" si="3"/>
        <v>-32315</v>
      </c>
      <c r="CG6" s="1202">
        <f t="shared" si="3"/>
        <v>-15604</v>
      </c>
      <c r="CH6" s="1202">
        <f t="shared" si="3"/>
        <v>-48609.75</v>
      </c>
      <c r="CI6" s="1202">
        <f t="shared" si="3"/>
        <v>29168.5</v>
      </c>
      <c r="CJ6" s="1202">
        <f t="shared" si="3"/>
        <v>-4556.5</v>
      </c>
      <c r="CK6" s="1202">
        <f t="shared" si="3"/>
        <v>0</v>
      </c>
      <c r="CL6" s="1202">
        <f t="shared" si="3"/>
        <v>0</v>
      </c>
      <c r="CM6" s="1202">
        <f t="shared" si="3"/>
        <v>0</v>
      </c>
      <c r="CN6" s="1202">
        <f t="shared" si="3"/>
        <v>0</v>
      </c>
      <c r="CO6" s="1202">
        <f t="shared" si="3"/>
        <v>0</v>
      </c>
      <c r="CP6" s="1202">
        <f t="shared" si="3"/>
        <v>0</v>
      </c>
      <c r="CQ6" s="1202">
        <f t="shared" si="3"/>
        <v>0</v>
      </c>
      <c r="CR6" s="1202">
        <f t="shared" si="3"/>
        <v>0</v>
      </c>
      <c r="CS6" s="1202">
        <f t="shared" si="3"/>
        <v>0</v>
      </c>
      <c r="CT6" s="1202">
        <f t="shared" si="3"/>
        <v>0</v>
      </c>
    </row>
    <row r="7" spans="1:98" ht="17.25" customHeight="1" x14ac:dyDescent="0.2">
      <c r="B7" s="1201"/>
      <c r="C7" s="1202"/>
      <c r="D7" s="1202"/>
      <c r="E7" s="1202"/>
      <c r="F7" s="1202"/>
      <c r="G7" s="1202"/>
      <c r="H7" s="1202"/>
      <c r="I7" s="1202"/>
      <c r="J7" s="1202"/>
      <c r="K7" s="1202"/>
      <c r="L7" s="1202"/>
      <c r="M7" s="1202"/>
      <c r="N7" s="1202"/>
      <c r="O7" s="1202"/>
      <c r="P7" s="1202"/>
      <c r="Q7" s="1202"/>
      <c r="R7" s="1202"/>
      <c r="S7" s="1202"/>
      <c r="T7" s="1202"/>
      <c r="U7" s="1202"/>
      <c r="V7" s="1202"/>
      <c r="W7" s="1202"/>
      <c r="X7" s="1202"/>
      <c r="Y7" s="1202"/>
      <c r="Z7" s="1202"/>
      <c r="AA7" s="1202"/>
      <c r="AB7" s="1202"/>
      <c r="AC7" s="1202"/>
      <c r="AD7" s="1202"/>
      <c r="AE7" s="1202"/>
      <c r="AF7" s="1202"/>
      <c r="AG7" s="1202"/>
      <c r="AH7" s="1202"/>
      <c r="AI7" s="1202"/>
      <c r="AJ7" s="1202"/>
      <c r="AK7" s="1202"/>
      <c r="AL7" s="1202"/>
      <c r="AM7" s="1202"/>
      <c r="AN7" s="1202"/>
      <c r="AO7" s="1202"/>
      <c r="AP7" s="1202"/>
      <c r="AQ7" s="1202"/>
      <c r="AR7" s="1202"/>
      <c r="AS7" s="1202"/>
      <c r="AT7" s="1202"/>
      <c r="AU7" s="1202"/>
      <c r="AV7" s="1202"/>
      <c r="AW7" s="1202"/>
      <c r="AX7" s="1202"/>
      <c r="AY7" s="1202"/>
      <c r="AZ7" s="1202"/>
      <c r="BA7" s="1202"/>
      <c r="BB7" s="1202"/>
      <c r="BC7" s="1202"/>
      <c r="BD7" s="1202"/>
      <c r="BE7" s="1202"/>
      <c r="BF7" s="1202"/>
      <c r="BG7" s="1202"/>
      <c r="BH7" s="1202"/>
      <c r="BI7" s="1202"/>
      <c r="BJ7" s="1202"/>
      <c r="BK7" s="1202"/>
      <c r="BL7" s="1202"/>
      <c r="BM7" s="1202"/>
      <c r="BN7" s="1202"/>
      <c r="BO7" s="1202"/>
      <c r="BP7" s="1202"/>
      <c r="BQ7" s="1202"/>
      <c r="BR7" s="1202"/>
      <c r="BS7" s="1202"/>
      <c r="BT7" s="1202"/>
      <c r="BU7" s="1202"/>
      <c r="BV7" s="1202"/>
      <c r="BW7" s="1202"/>
      <c r="BX7" s="1202"/>
      <c r="BY7" s="1202"/>
      <c r="BZ7" s="1204"/>
      <c r="CA7" s="1202"/>
      <c r="CB7" s="1202"/>
      <c r="CC7" s="1202"/>
      <c r="CD7" s="1202"/>
      <c r="CE7" s="1202"/>
      <c r="CF7" s="1202"/>
      <c r="CG7" s="1202"/>
      <c r="CH7" s="1202"/>
      <c r="CI7" s="1202"/>
      <c r="CJ7" s="1202"/>
      <c r="CK7" s="1202"/>
      <c r="CL7" s="1202"/>
      <c r="CM7" s="1202"/>
      <c r="CN7" s="1202"/>
      <c r="CO7" s="1202"/>
      <c r="CP7" s="1202"/>
      <c r="CQ7" s="1202"/>
      <c r="CR7" s="1202"/>
      <c r="CS7" s="1202"/>
      <c r="CT7" s="1202"/>
    </row>
    <row r="8" spans="1:98" s="769" customFormat="1" ht="15" x14ac:dyDescent="0.2">
      <c r="A8"/>
      <c r="B8" s="754"/>
      <c r="C8" s="755"/>
      <c r="D8" s="755"/>
      <c r="E8" s="755"/>
      <c r="F8" s="755"/>
      <c r="G8" s="755"/>
      <c r="H8" s="755"/>
      <c r="I8" s="755"/>
      <c r="J8" s="755"/>
      <c r="K8" s="755"/>
      <c r="L8" s="755"/>
      <c r="M8" s="755"/>
      <c r="N8" s="756">
        <f>SUM(C4:N4)</f>
        <v>1088015</v>
      </c>
      <c r="O8" s="757"/>
      <c r="P8" s="757"/>
      <c r="Q8" s="757"/>
      <c r="R8" s="757"/>
      <c r="S8" s="757"/>
      <c r="T8" s="757"/>
      <c r="U8" s="757"/>
      <c r="V8" s="757"/>
      <c r="W8" s="757"/>
      <c r="X8" s="757"/>
      <c r="Y8" s="757"/>
      <c r="Z8" s="758">
        <f>SUM(O4:Z4)</f>
        <v>1286792.75</v>
      </c>
      <c r="AA8" s="759"/>
      <c r="AB8" s="759"/>
      <c r="AC8" s="759"/>
      <c r="AD8" s="759"/>
      <c r="AE8" s="759"/>
      <c r="AF8" s="759"/>
      <c r="AG8" s="759"/>
      <c r="AH8" s="759"/>
      <c r="AI8" s="759"/>
      <c r="AJ8" s="759"/>
      <c r="AK8" s="759"/>
      <c r="AL8" s="760">
        <f>SUM(AA4:AL4)</f>
        <v>1337870</v>
      </c>
      <c r="AM8" s="761"/>
      <c r="AN8" s="761"/>
      <c r="AO8" s="761"/>
      <c r="AP8" s="761"/>
      <c r="AQ8" s="761"/>
      <c r="AR8" s="761"/>
      <c r="AS8" s="761"/>
      <c r="AT8" s="761"/>
      <c r="AU8" s="761"/>
      <c r="AV8" s="761"/>
      <c r="AW8" s="761"/>
      <c r="AX8" s="762">
        <f>SUM(AM4:AX4)</f>
        <v>1237720.5</v>
      </c>
      <c r="AY8" s="763"/>
      <c r="AZ8" s="763"/>
      <c r="BA8" s="763"/>
      <c r="BB8" s="763"/>
      <c r="BC8" s="763"/>
      <c r="BD8" s="763"/>
      <c r="BE8" s="763"/>
      <c r="BF8" s="763"/>
      <c r="BG8" s="763"/>
      <c r="BH8" s="763"/>
      <c r="BI8" s="763"/>
      <c r="BJ8" s="764">
        <f>SUM(AY4:BJ4)</f>
        <v>1255638</v>
      </c>
      <c r="BK8" s="765"/>
      <c r="BL8" s="765"/>
      <c r="BM8" s="765"/>
      <c r="BN8" s="765"/>
      <c r="BO8" s="765"/>
      <c r="BP8" s="765"/>
      <c r="BQ8" s="765"/>
      <c r="BR8" s="765"/>
      <c r="BS8" s="765"/>
      <c r="BT8" s="765"/>
      <c r="BU8" s="765"/>
      <c r="BV8" s="766">
        <f>SUM(BK4:BV4)</f>
        <v>1337331</v>
      </c>
      <c r="BW8" s="767"/>
      <c r="BX8" s="767"/>
      <c r="BY8" s="767"/>
      <c r="BZ8" s="767"/>
      <c r="CA8" s="767"/>
      <c r="CB8" s="767"/>
      <c r="CC8" s="767"/>
      <c r="CD8" s="767"/>
      <c r="CE8" s="767"/>
      <c r="CF8" s="767"/>
      <c r="CG8" s="767"/>
      <c r="CH8" s="768">
        <f>SUM(BW4:CH4)</f>
        <v>1188268.25</v>
      </c>
    </row>
    <row r="41" spans="3:6" ht="24.75" x14ac:dyDescent="0.45">
      <c r="C41" s="770" t="s">
        <v>955</v>
      </c>
      <c r="D41" s="1206" t="s">
        <v>956</v>
      </c>
      <c r="E41" s="1206"/>
    </row>
    <row r="42" spans="3:6" ht="24.75" x14ac:dyDescent="0.45">
      <c r="C42" s="771">
        <v>2017</v>
      </c>
      <c r="D42" s="1205">
        <f>SUM(C4:N4)</f>
        <v>1088015</v>
      </c>
      <c r="E42" s="1205"/>
    </row>
    <row r="43" spans="3:6" ht="24.75" x14ac:dyDescent="0.45">
      <c r="C43" s="771">
        <v>2018</v>
      </c>
      <c r="D43" s="1205">
        <f>SUM(O4:Z4)</f>
        <v>1286792.75</v>
      </c>
      <c r="E43" s="1205"/>
    </row>
    <row r="44" spans="3:6" ht="24.75" x14ac:dyDescent="0.45">
      <c r="C44" s="771">
        <v>2019</v>
      </c>
      <c r="D44" s="1207">
        <f>SUM(AA4:AL4)</f>
        <v>1337870</v>
      </c>
      <c r="E44" s="1207"/>
    </row>
    <row r="45" spans="3:6" ht="24.75" x14ac:dyDescent="0.45">
      <c r="C45" s="771">
        <v>2020</v>
      </c>
      <c r="D45" s="1205">
        <f>SUM(AM4:AX4)</f>
        <v>1237720.5</v>
      </c>
      <c r="E45" s="1205"/>
    </row>
    <row r="46" spans="3:6" ht="24.75" x14ac:dyDescent="0.45">
      <c r="C46" s="771">
        <v>2021</v>
      </c>
      <c r="D46" s="1205">
        <f>SUM(AY4:BJ4)</f>
        <v>1255638</v>
      </c>
      <c r="E46" s="1205"/>
    </row>
    <row r="47" spans="3:6" ht="24.75" x14ac:dyDescent="0.45">
      <c r="C47" s="771">
        <v>2022</v>
      </c>
      <c r="D47" s="1207">
        <f>SUM(BK4:BV4)</f>
        <v>1337331</v>
      </c>
      <c r="E47" s="1207"/>
    </row>
    <row r="48" spans="3:6" ht="24.75" x14ac:dyDescent="0.45">
      <c r="C48" s="771">
        <v>2023</v>
      </c>
      <c r="D48" s="1205">
        <f>SUM(BW4:CH4)</f>
        <v>1188268.25</v>
      </c>
      <c r="E48" s="1205"/>
      <c r="F48" s="535"/>
    </row>
    <row r="49" spans="3:6" ht="24.75" x14ac:dyDescent="0.45">
      <c r="C49" s="771">
        <v>2024</v>
      </c>
      <c r="F49" s="535"/>
    </row>
  </sheetData>
  <mergeCells count="106">
    <mergeCell ref="D48:E48"/>
    <mergeCell ref="CS6:CS7"/>
    <mergeCell ref="CT6:CT7"/>
    <mergeCell ref="D41:E41"/>
    <mergeCell ref="D42:E42"/>
    <mergeCell ref="D43:E43"/>
    <mergeCell ref="D44:E44"/>
    <mergeCell ref="CM6:CM7"/>
    <mergeCell ref="CN6:CN7"/>
    <mergeCell ref="CO6:CO7"/>
    <mergeCell ref="CP6:CP7"/>
    <mergeCell ref="CQ6:CQ7"/>
    <mergeCell ref="CR6:CR7"/>
    <mergeCell ref="D45:E45"/>
    <mergeCell ref="D46:E46"/>
    <mergeCell ref="D47:E47"/>
    <mergeCell ref="CD6:CD7"/>
    <mergeCell ref="CE6:CE7"/>
    <mergeCell ref="CF6:CF7"/>
    <mergeCell ref="CG6:CG7"/>
    <mergeCell ref="CH6:CH7"/>
    <mergeCell ref="CI6:CI7"/>
    <mergeCell ref="CJ6:CJ7"/>
    <mergeCell ref="CK6:CK7"/>
    <mergeCell ref="CL6:CL7"/>
    <mergeCell ref="BU6:BU7"/>
    <mergeCell ref="BV6:BV7"/>
    <mergeCell ref="BW6:BW7"/>
    <mergeCell ref="BX6:BX7"/>
    <mergeCell ref="BY6:BY7"/>
    <mergeCell ref="BZ6:BZ7"/>
    <mergeCell ref="CA6:CA7"/>
    <mergeCell ref="CB6:CB7"/>
    <mergeCell ref="CC6:CC7"/>
    <mergeCell ref="BL6:BL7"/>
    <mergeCell ref="BM6:BM7"/>
    <mergeCell ref="BN6:BN7"/>
    <mergeCell ref="BO6:BO7"/>
    <mergeCell ref="BP6:BP7"/>
    <mergeCell ref="BQ6:BQ7"/>
    <mergeCell ref="BR6:BR7"/>
    <mergeCell ref="BS6:BS7"/>
    <mergeCell ref="BT6:BT7"/>
    <mergeCell ref="BC6:BC7"/>
    <mergeCell ref="BD6:BD7"/>
    <mergeCell ref="BE6:BE7"/>
    <mergeCell ref="BF6:BF7"/>
    <mergeCell ref="BG6:BG7"/>
    <mergeCell ref="BH6:BH7"/>
    <mergeCell ref="BI6:BI7"/>
    <mergeCell ref="BJ6:BJ7"/>
    <mergeCell ref="BK6:BK7"/>
    <mergeCell ref="AT6:AT7"/>
    <mergeCell ref="AU6:AU7"/>
    <mergeCell ref="AV6:AV7"/>
    <mergeCell ref="AW6:AW7"/>
    <mergeCell ref="AX6:AX7"/>
    <mergeCell ref="AY6:AY7"/>
    <mergeCell ref="AZ6:AZ7"/>
    <mergeCell ref="BA6:BA7"/>
    <mergeCell ref="BB6:BB7"/>
    <mergeCell ref="AK6:AK7"/>
    <mergeCell ref="AL6:AL7"/>
    <mergeCell ref="AM6:AM7"/>
    <mergeCell ref="AN6:AN7"/>
    <mergeCell ref="AO6:AO7"/>
    <mergeCell ref="AP6:AP7"/>
    <mergeCell ref="AQ6:AQ7"/>
    <mergeCell ref="AR6:AR7"/>
    <mergeCell ref="AS6:AS7"/>
    <mergeCell ref="AB6:AB7"/>
    <mergeCell ref="AC6:AC7"/>
    <mergeCell ref="AD6:AD7"/>
    <mergeCell ref="AE6:AE7"/>
    <mergeCell ref="AF6:AF7"/>
    <mergeCell ref="AG6:AG7"/>
    <mergeCell ref="AH6:AH7"/>
    <mergeCell ref="AI6:AI7"/>
    <mergeCell ref="AJ6:AJ7"/>
    <mergeCell ref="S6:S7"/>
    <mergeCell ref="T6:T7"/>
    <mergeCell ref="U6:U7"/>
    <mergeCell ref="V6:V7"/>
    <mergeCell ref="W6:W7"/>
    <mergeCell ref="X6:X7"/>
    <mergeCell ref="Y6:Y7"/>
    <mergeCell ref="Z6:Z7"/>
    <mergeCell ref="AA6:AA7"/>
    <mergeCell ref="J6:J7"/>
    <mergeCell ref="K6:K7"/>
    <mergeCell ref="L6:L7"/>
    <mergeCell ref="M6:M7"/>
    <mergeCell ref="N6:N7"/>
    <mergeCell ref="O6:O7"/>
    <mergeCell ref="P6:P7"/>
    <mergeCell ref="Q6:Q7"/>
    <mergeCell ref="R6:R7"/>
    <mergeCell ref="A4:A6"/>
    <mergeCell ref="B6:B7"/>
    <mergeCell ref="C6:C7"/>
    <mergeCell ref="D6:D7"/>
    <mergeCell ref="E6:E7"/>
    <mergeCell ref="F6:F7"/>
    <mergeCell ref="G6:G7"/>
    <mergeCell ref="H6:H7"/>
    <mergeCell ref="I6:I7"/>
  </mergeCells>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A1708-C9A7-461A-8BC0-5CE76C777832}">
  <sheetPr codeName="Sheet2">
    <pageSetUpPr fitToPage="1"/>
  </sheetPr>
  <dimension ref="B2:T732"/>
  <sheetViews>
    <sheetView showZeros="0" showWhiteSpace="0" zoomScale="70" zoomScaleNormal="70" workbookViewId="0">
      <pane ySplit="3" topLeftCell="A22" activePane="bottomLeft" state="frozen"/>
      <selection activeCell="B2" sqref="B2:W2"/>
      <selection pane="bottomLeft" activeCell="B2" sqref="B2:W2"/>
    </sheetView>
  </sheetViews>
  <sheetFormatPr defaultColWidth="9.42578125" defaultRowHeight="12.75" x14ac:dyDescent="0.2"/>
  <cols>
    <col min="2" max="2" width="10.42578125" style="1" customWidth="1"/>
    <col min="3" max="3" width="31.42578125" style="1" customWidth="1"/>
    <col min="4" max="4" width="13.5703125" style="1" customWidth="1"/>
    <col min="5" max="5" width="13.42578125" style="1" customWidth="1"/>
    <col min="6" max="6" width="14.5703125" style="1" bestFit="1" customWidth="1"/>
    <col min="7" max="7" width="15.5703125" customWidth="1"/>
    <col min="8" max="8" width="15" customWidth="1"/>
    <col min="9" max="9" width="15.5703125" style="1" customWidth="1"/>
    <col min="10" max="10" width="14.42578125" customWidth="1"/>
    <col min="11" max="11" width="13.5703125" customWidth="1"/>
    <col min="12" max="12" width="11.42578125" customWidth="1"/>
    <col min="13" max="13" width="15" style="2" bestFit="1" customWidth="1"/>
    <col min="14" max="14" width="15.5703125" style="1" bestFit="1" customWidth="1"/>
    <col min="15" max="15" width="7.5703125" style="1" hidden="1" customWidth="1"/>
    <col min="16" max="16" width="13.42578125" style="1" customWidth="1"/>
    <col min="17" max="17" width="12" hidden="1" customWidth="1"/>
    <col min="18" max="18" width="14.42578125" customWidth="1"/>
    <col min="19" max="19" width="10.42578125" hidden="1" customWidth="1"/>
    <col min="20" max="20" width="91" customWidth="1"/>
    <col min="21" max="21" width="12.5703125" customWidth="1"/>
    <col min="22" max="22" width="13.5703125" customWidth="1"/>
  </cols>
  <sheetData>
    <row r="2" spans="2:20" ht="24" thickBot="1" x14ac:dyDescent="0.4">
      <c r="B2" s="1022" t="s">
        <v>52</v>
      </c>
      <c r="C2" s="1022"/>
      <c r="D2" s="1022"/>
      <c r="E2" s="1022"/>
      <c r="F2" s="1022"/>
      <c r="G2" s="1022"/>
      <c r="H2" s="1022"/>
      <c r="I2" s="1022"/>
      <c r="J2" s="1022"/>
      <c r="K2" s="1022"/>
      <c r="L2" s="1022"/>
      <c r="M2" s="1022"/>
      <c r="N2" s="1022"/>
      <c r="O2" s="1022"/>
      <c r="P2" s="1022"/>
      <c r="Q2" s="1022"/>
      <c r="R2" s="1022"/>
      <c r="S2" s="1022"/>
      <c r="T2" s="1022"/>
    </row>
    <row r="3" spans="2:20" ht="52.5" thickTop="1" thickBot="1" x14ac:dyDescent="0.25">
      <c r="B3" s="37" t="s">
        <v>0</v>
      </c>
      <c r="C3" s="38" t="s">
        <v>2</v>
      </c>
      <c r="D3" s="38" t="s">
        <v>12</v>
      </c>
      <c r="E3" s="38" t="s">
        <v>11</v>
      </c>
      <c r="F3" s="38" t="s">
        <v>15</v>
      </c>
      <c r="G3" s="38" t="s">
        <v>9</v>
      </c>
      <c r="H3" s="38" t="s">
        <v>17</v>
      </c>
      <c r="I3" s="38" t="s">
        <v>5</v>
      </c>
      <c r="J3" s="38" t="s">
        <v>43</v>
      </c>
      <c r="K3" s="38" t="s">
        <v>4</v>
      </c>
      <c r="L3" s="38" t="s">
        <v>10</v>
      </c>
      <c r="M3" s="39" t="s">
        <v>34</v>
      </c>
      <c r="N3" s="40" t="s">
        <v>55</v>
      </c>
      <c r="O3" s="40" t="s">
        <v>8</v>
      </c>
      <c r="P3" s="41" t="s">
        <v>7</v>
      </c>
      <c r="Q3" s="41" t="s">
        <v>6</v>
      </c>
      <c r="R3" s="41" t="s">
        <v>47</v>
      </c>
      <c r="S3" s="4" t="s">
        <v>13</v>
      </c>
      <c r="T3" s="5" t="s">
        <v>1</v>
      </c>
    </row>
    <row r="4" spans="2:20" s="19" customFormat="1" ht="35.25" customHeight="1" thickTop="1" x14ac:dyDescent="0.2">
      <c r="B4" s="47">
        <v>42373</v>
      </c>
      <c r="C4" s="48" t="s">
        <v>29</v>
      </c>
      <c r="D4" s="49">
        <v>4200</v>
      </c>
      <c r="E4" s="50">
        <v>0.33194444444444443</v>
      </c>
      <c r="F4" s="51">
        <f>SUM([16]January_2016!$J$8)</f>
        <v>303.00000000000006</v>
      </c>
      <c r="G4" s="52">
        <f>SUM([16]January_2016!$F$8)</f>
        <v>4245</v>
      </c>
      <c r="H4" s="51">
        <f>SUM([16]January_2016!$K$8)</f>
        <v>299.17</v>
      </c>
      <c r="I4" s="53">
        <f>SUM([16]January_2016!$N$8)</f>
        <v>45</v>
      </c>
      <c r="J4" s="54">
        <f>SUM([16]January_2016!$Q$8)</f>
        <v>418.22660098522164</v>
      </c>
      <c r="K4" s="54">
        <f>SUM([16]January_2016!$E$8)</f>
        <v>609</v>
      </c>
      <c r="L4" s="54">
        <f>SUM([16]January_2016!$M$8)</f>
        <v>114</v>
      </c>
      <c r="M4" s="68">
        <f>SUM([16]January_2016!$H$8)</f>
        <v>0</v>
      </c>
      <c r="N4" s="55">
        <f>SUM([16]January_2016!$P$8)</f>
        <v>1.2640264026402772</v>
      </c>
      <c r="O4" s="54"/>
      <c r="P4" s="66">
        <f>(G4)/(10.2833*15000*(1/24))</f>
        <v>0.66048836463003124</v>
      </c>
      <c r="Q4" s="56"/>
      <c r="R4" s="46">
        <f>(G4)*24/(K4/60)/15000</f>
        <v>0.66916256157635468</v>
      </c>
      <c r="S4" s="18"/>
      <c r="T4" s="24" t="s">
        <v>53</v>
      </c>
    </row>
    <row r="5" spans="2:20" s="19" customFormat="1" ht="21.75" customHeight="1" x14ac:dyDescent="0.2">
      <c r="B5" s="1213">
        <v>42374</v>
      </c>
      <c r="C5" s="48" t="s">
        <v>32</v>
      </c>
      <c r="D5" s="1215">
        <v>4200</v>
      </c>
      <c r="E5" s="1217">
        <v>0.3263888888888889</v>
      </c>
      <c r="F5" s="1219">
        <f>SUM([16]January_2016!$J$9:$J$10)</f>
        <v>268.8</v>
      </c>
      <c r="G5" s="52">
        <f>SUM([16]January_2016!$F$9)</f>
        <v>302</v>
      </c>
      <c r="H5" s="1219">
        <f>SUM([16]January_2016!$K$9:$K$10)</f>
        <v>267.63</v>
      </c>
      <c r="I5" s="1221">
        <f>SUM([16]January_2016!$N$9)</f>
        <v>16</v>
      </c>
      <c r="J5" s="1223">
        <f>SUM([16]January_2016!$Q$9:$Q$10)</f>
        <v>448.89298892988933</v>
      </c>
      <c r="K5" s="1223">
        <f>SUM([16]January_2016!$E$9:$E$10)</f>
        <v>542</v>
      </c>
      <c r="L5" s="1223">
        <f>SUM([16]January_2016!$M$9)</f>
        <v>46</v>
      </c>
      <c r="M5" s="69">
        <f>[16]January_2016!$H$9</f>
        <v>0</v>
      </c>
      <c r="N5" s="1225">
        <f>SUM([16]January_2016!$P$9:$P$10)</f>
        <v>0.43526785714286303</v>
      </c>
      <c r="O5" s="54"/>
      <c r="P5" s="1227">
        <f>(G5+G6)/(9*15000*(1/24))</f>
        <v>0.72088888888888891</v>
      </c>
      <c r="Q5" s="56"/>
      <c r="R5" s="1039">
        <f>(G5+G6)*24/(K5/60)/15000</f>
        <v>0.71822878228782283</v>
      </c>
      <c r="S5" s="18"/>
      <c r="T5" s="1208" t="s">
        <v>58</v>
      </c>
    </row>
    <row r="6" spans="2:20" s="19" customFormat="1" ht="21" customHeight="1" x14ac:dyDescent="0.2">
      <c r="B6" s="1214"/>
      <c r="C6" s="48" t="s">
        <v>29</v>
      </c>
      <c r="D6" s="1216"/>
      <c r="E6" s="1218"/>
      <c r="F6" s="1220"/>
      <c r="G6" s="52">
        <f>SUM([16]January_2016!$F$10)</f>
        <v>3753</v>
      </c>
      <c r="H6" s="1220"/>
      <c r="I6" s="1222"/>
      <c r="J6" s="1224"/>
      <c r="K6" s="1224"/>
      <c r="L6" s="1224"/>
      <c r="M6" s="69">
        <f>[16]January_2016!$H$10</f>
        <v>0</v>
      </c>
      <c r="N6" s="1226"/>
      <c r="O6" s="54"/>
      <c r="P6" s="1228"/>
      <c r="Q6" s="56"/>
      <c r="R6" s="1040"/>
      <c r="S6" s="18"/>
      <c r="T6" s="1209"/>
    </row>
    <row r="7" spans="2:20" s="19" customFormat="1" ht="49.5" x14ac:dyDescent="0.2">
      <c r="B7" s="1213">
        <v>42375</v>
      </c>
      <c r="C7" s="48" t="s">
        <v>27</v>
      </c>
      <c r="D7" s="49">
        <v>2800</v>
      </c>
      <c r="E7" s="1217">
        <v>0.32291666666666669</v>
      </c>
      <c r="F7" s="51">
        <f>SUM([16]January_2016!$J$11)</f>
        <v>195.2</v>
      </c>
      <c r="G7" s="52">
        <f>SUM([16]January_2016!$F$11)</f>
        <v>2947</v>
      </c>
      <c r="H7" s="51">
        <f>SUM([16]January_2016!$K$11)</f>
        <v>194.50200000000001</v>
      </c>
      <c r="I7" s="53">
        <f>SUM([16]January_2016!$N$11)</f>
        <v>21</v>
      </c>
      <c r="J7" s="1223">
        <f>SUM([16]January_2016!$Q$11:$Q$12)</f>
        <v>397.36196319018404</v>
      </c>
      <c r="K7" s="1223">
        <f>SUM([16]January_2016!$E$11:$E$12)</f>
        <v>652</v>
      </c>
      <c r="L7" s="54">
        <f>SUM([16]January_2016!$M$11)</f>
        <v>45</v>
      </c>
      <c r="M7" s="69">
        <f>SUM([16]January_2016!$H$11)</f>
        <v>0</v>
      </c>
      <c r="N7" s="55">
        <f>SUM([16]January_2016!$P$11)</f>
        <v>0.35758196721310403</v>
      </c>
      <c r="O7" s="54"/>
      <c r="P7" s="1227">
        <f>(G7+G8)/(10.7*15000*(1/24))</f>
        <v>0.64568224299065424</v>
      </c>
      <c r="Q7" s="56"/>
      <c r="R7" s="1039">
        <f>(G7+G8)*24/(K7/60)/15000</f>
        <v>0.63577914110429445</v>
      </c>
      <c r="S7" s="18"/>
      <c r="T7" s="24" t="s">
        <v>54</v>
      </c>
    </row>
    <row r="8" spans="2:20" s="19" customFormat="1" ht="49.5" x14ac:dyDescent="0.2">
      <c r="B8" s="1214"/>
      <c r="C8" s="48" t="s">
        <v>45</v>
      </c>
      <c r="D8" s="49">
        <v>1400</v>
      </c>
      <c r="E8" s="1218"/>
      <c r="F8" s="51">
        <f>SUM([16]January_2016!$J12)</f>
        <v>93.653009999999995</v>
      </c>
      <c r="G8" s="52">
        <f>SUM([16]January_2016!$F12)</f>
        <v>1371</v>
      </c>
      <c r="H8" s="51">
        <f>SUM([16]January_2016!$K12)</f>
        <v>90.486000000000004</v>
      </c>
      <c r="I8" s="53">
        <f>SUM([16]January_2016!$N12)</f>
        <v>4.5</v>
      </c>
      <c r="J8" s="1224"/>
      <c r="K8" s="1224"/>
      <c r="L8" s="54">
        <f>SUM([16]January_2016!$M12)</f>
        <v>87</v>
      </c>
      <c r="M8" s="69">
        <f>SUM([16]January_2016!$H12)</f>
        <v>0</v>
      </c>
      <c r="N8" s="55">
        <f>SUM([16]January_2016!$P12)</f>
        <v>3.3816425120772848</v>
      </c>
      <c r="O8" s="54"/>
      <c r="P8" s="1228"/>
      <c r="Q8" s="56"/>
      <c r="R8" s="1040"/>
      <c r="S8" s="18"/>
      <c r="T8" s="24" t="s">
        <v>57</v>
      </c>
    </row>
    <row r="9" spans="2:20" s="19" customFormat="1" ht="22.5" customHeight="1" x14ac:dyDescent="0.2">
      <c r="B9" s="1213">
        <v>42376</v>
      </c>
      <c r="C9" s="48" t="s">
        <v>49</v>
      </c>
      <c r="D9" s="49">
        <v>700</v>
      </c>
      <c r="E9" s="1217">
        <v>0.32291666666666669</v>
      </c>
      <c r="F9" s="51">
        <f>SUM([16]January_2016!$J13)</f>
        <v>50.2</v>
      </c>
      <c r="G9" s="52">
        <f>SUM([16]January_2016!$F13)</f>
        <v>705</v>
      </c>
      <c r="H9" s="51">
        <f>SUM([16]January_2016!$K13)</f>
        <v>46.53</v>
      </c>
      <c r="I9" s="53">
        <f>SUM([16]January_2016!$N13)</f>
        <v>9</v>
      </c>
      <c r="J9" s="1223">
        <f>SUM([16]January_2016!$Q$13:$Q$14)</f>
        <v>384.08695652173913</v>
      </c>
      <c r="K9" s="1223">
        <f>SUM([16]January_2016!$E$13:$E$14)</f>
        <v>690</v>
      </c>
      <c r="L9" s="54">
        <f>SUM([16]January_2016!$M13)</f>
        <v>0</v>
      </c>
      <c r="M9" s="69">
        <f>SUM([16]January_2016!$H13)</f>
        <v>0</v>
      </c>
      <c r="N9" s="55">
        <f>SUM([16]January_2016!$P13)</f>
        <v>7.3107569721115571</v>
      </c>
      <c r="O9" s="54"/>
      <c r="P9" s="1227">
        <f>(G9+G10)/(11.333*15000*(1/24))</f>
        <v>0.62359481161210628</v>
      </c>
      <c r="Q9" s="56"/>
      <c r="R9" s="1039">
        <f>(G9+G10)*24/(K9/60)/15000</f>
        <v>0.6145391304347827</v>
      </c>
      <c r="S9" s="18"/>
      <c r="T9" s="1208" t="s">
        <v>56</v>
      </c>
    </row>
    <row r="10" spans="2:20" s="19" customFormat="1" ht="24.75" customHeight="1" x14ac:dyDescent="0.2">
      <c r="B10" s="1214"/>
      <c r="C10" s="48" t="s">
        <v>33</v>
      </c>
      <c r="D10" s="49">
        <v>3500</v>
      </c>
      <c r="E10" s="1218"/>
      <c r="F10" s="51">
        <f>SUM([16]January_2016!$J14)</f>
        <v>245.39999999999998</v>
      </c>
      <c r="G10" s="52">
        <f>SUM([16]January_2016!$F14)</f>
        <v>3712</v>
      </c>
      <c r="H10" s="51">
        <f>SUM([16]January_2016!$K14)</f>
        <v>244.99200000000002</v>
      </c>
      <c r="I10" s="53">
        <f>SUM([16]January_2016!$N14)</f>
        <v>28</v>
      </c>
      <c r="J10" s="1224"/>
      <c r="K10" s="1224"/>
      <c r="L10" s="54">
        <f>SUM([16]January_2016!$M14)</f>
        <v>181</v>
      </c>
      <c r="M10" s="69">
        <f>SUM([16]January_2016!$H14)</f>
        <v>0</v>
      </c>
      <c r="N10" s="55">
        <f>SUM([16]January_2016!$P14)</f>
        <v>0.16625916870413965</v>
      </c>
      <c r="O10" s="54"/>
      <c r="P10" s="1228"/>
      <c r="Q10" s="56"/>
      <c r="R10" s="1040"/>
      <c r="S10" s="18"/>
      <c r="T10" s="1209"/>
    </row>
    <row r="11" spans="2:20" s="19" customFormat="1" ht="33" x14ac:dyDescent="0.2">
      <c r="B11" s="1213">
        <v>42381</v>
      </c>
      <c r="C11" s="48" t="s">
        <v>29</v>
      </c>
      <c r="D11" s="49">
        <v>2800</v>
      </c>
      <c r="E11" s="1217">
        <v>0.40277777777777773</v>
      </c>
      <c r="F11" s="51">
        <f>SUM([16]January_2016!$J15)</f>
        <v>195</v>
      </c>
      <c r="G11" s="52">
        <f>SUM([16]January_2016!$F15)</f>
        <v>2656</v>
      </c>
      <c r="H11" s="51">
        <f>SUM([16]January_2016!$K15)</f>
        <v>194.29600000000002</v>
      </c>
      <c r="I11" s="53">
        <f>SUM([16]January_2016!$N15)</f>
        <v>9</v>
      </c>
      <c r="J11" s="1223">
        <f>SUM([16]January_2016!$Q$15:$Q$16)</f>
        <v>454.5</v>
      </c>
      <c r="K11" s="1223">
        <f>SUM([16]January_2016!$E$15:$E$16)</f>
        <v>440</v>
      </c>
      <c r="L11" s="54">
        <f>SUM([16]January_2016!$M15)</f>
        <v>147</v>
      </c>
      <c r="M11" s="69">
        <f>SUM([16]January_2016!$H15)</f>
        <v>0</v>
      </c>
      <c r="N11" s="55">
        <f>SUM([16]January_2016!$P15)</f>
        <v>0.36102564102563045</v>
      </c>
      <c r="O11" s="54"/>
      <c r="P11" s="1227">
        <f>(G11+G12)/(9*15000*(1/24))</f>
        <v>0.59253333333333336</v>
      </c>
      <c r="Q11" s="56"/>
      <c r="R11" s="1039">
        <f>(G11+G12)*24/(K11/60)/15000</f>
        <v>0.72719999999999996</v>
      </c>
      <c r="S11" s="18"/>
      <c r="T11" s="24" t="s">
        <v>59</v>
      </c>
    </row>
    <row r="12" spans="2:20" s="19" customFormat="1" ht="21.75" customHeight="1" x14ac:dyDescent="0.2">
      <c r="B12" s="1214"/>
      <c r="C12" s="48" t="s">
        <v>51</v>
      </c>
      <c r="D12" s="49">
        <v>700</v>
      </c>
      <c r="E12" s="1218"/>
      <c r="F12" s="51">
        <f>SUM([16]January_2016!$J16)</f>
        <v>45.7</v>
      </c>
      <c r="G12" s="52">
        <f>SUM([16]January_2016!$F16)</f>
        <v>677</v>
      </c>
      <c r="H12" s="51">
        <f>SUM([16]January_2016!$K16)</f>
        <v>44.682000000000002</v>
      </c>
      <c r="I12" s="53">
        <f>SUM([16]January_2016!$N16)</f>
        <v>6</v>
      </c>
      <c r="J12" s="1224"/>
      <c r="K12" s="1224"/>
      <c r="L12" s="54">
        <f>SUM([16]January_2016!$M16)</f>
        <v>39</v>
      </c>
      <c r="M12" s="69">
        <f>SUM([16]January_2016!$H16)</f>
        <v>0</v>
      </c>
      <c r="N12" s="55">
        <f>SUM([16]January_2016!$P16)</f>
        <v>2.2275711159737432</v>
      </c>
      <c r="O12" s="54"/>
      <c r="P12" s="1228"/>
      <c r="Q12" s="56"/>
      <c r="R12" s="1040"/>
      <c r="S12" s="18"/>
      <c r="T12" s="24" t="s">
        <v>60</v>
      </c>
    </row>
    <row r="13" spans="2:20" s="19" customFormat="1" ht="36" customHeight="1" x14ac:dyDescent="0.2">
      <c r="B13" s="47">
        <v>42382</v>
      </c>
      <c r="C13" s="48" t="s">
        <v>27</v>
      </c>
      <c r="D13" s="49">
        <v>5600</v>
      </c>
      <c r="E13" s="50">
        <v>0.32083333333333336</v>
      </c>
      <c r="F13" s="51">
        <f>SUM([16]January_2016!$J17)</f>
        <v>370.6</v>
      </c>
      <c r="G13" s="52">
        <f>SUM([16]January_2016!$F17)</f>
        <v>5595</v>
      </c>
      <c r="H13" s="51">
        <f>SUM([16]January_2016!$K17)</f>
        <v>369.27000000000004</v>
      </c>
      <c r="I13" s="53">
        <f>SUM([16]January_2016!$N17)</f>
        <v>27</v>
      </c>
      <c r="J13" s="54">
        <f>SUM([16]January_2016!$Q17)</f>
        <v>541.45161290322574</v>
      </c>
      <c r="K13" s="54">
        <f>SUM([16]January_2016!$E17)</f>
        <v>620</v>
      </c>
      <c r="L13" s="54">
        <f>SUM([16]January_2016!$M17)</f>
        <v>66</v>
      </c>
      <c r="M13" s="69">
        <f>SUM([16]January_2016!$H17)</f>
        <v>0</v>
      </c>
      <c r="N13" s="55">
        <f>SUM([16]January_2016!$P17)</f>
        <v>0.35887749595250512</v>
      </c>
      <c r="O13" s="54"/>
      <c r="P13" s="66">
        <f>(G13)/(10.1667*15000*(1/24))</f>
        <v>0.88052170320753043</v>
      </c>
      <c r="Q13" s="56"/>
      <c r="R13" s="46">
        <f>(G13)*24/(K13/60)/15000</f>
        <v>0.86632258064516121</v>
      </c>
      <c r="S13" s="18"/>
      <c r="T13" s="24" t="s">
        <v>61</v>
      </c>
    </row>
    <row r="14" spans="2:20" s="19" customFormat="1" ht="49.5" x14ac:dyDescent="0.2">
      <c r="B14" s="47">
        <v>42383</v>
      </c>
      <c r="C14" s="48" t="s">
        <v>27</v>
      </c>
      <c r="D14" s="49">
        <v>4200</v>
      </c>
      <c r="E14" s="50">
        <v>0.32291666666666669</v>
      </c>
      <c r="F14" s="51">
        <f>SUM([16]January_2016!$J18)</f>
        <v>276.60000000000002</v>
      </c>
      <c r="G14" s="52">
        <f>SUM([16]January_2016!$F18)</f>
        <v>4146</v>
      </c>
      <c r="H14" s="51">
        <f>SUM([16]January_2016!$K18)</f>
        <v>275.536</v>
      </c>
      <c r="I14" s="53">
        <f>SUM([16]January_2016!$N18)</f>
        <v>23</v>
      </c>
      <c r="J14" s="54">
        <f>SUM([16]January_2016!$Q18)</f>
        <v>449.02527075812276</v>
      </c>
      <c r="K14" s="54">
        <f>SUM([16]January_2016!$E18)</f>
        <v>554</v>
      </c>
      <c r="L14" s="54">
        <f>SUM([16]January_2016!$M18)</f>
        <v>127</v>
      </c>
      <c r="M14" s="69">
        <f>SUM([16]January_2016!$H18)</f>
        <v>0</v>
      </c>
      <c r="N14" s="55">
        <f>SUM([16]January_2016!$P18)</f>
        <v>0.38467100506146829</v>
      </c>
      <c r="O14" s="54"/>
      <c r="P14" s="66">
        <f>(G14)/(9.0667*15000*(1/24))</f>
        <v>0.73164436895452589</v>
      </c>
      <c r="Q14" s="56"/>
      <c r="R14" s="46">
        <f>(G14)*24/(K14/60)/15000</f>
        <v>0.71844043321299655</v>
      </c>
      <c r="S14" s="18"/>
      <c r="T14" s="24" t="s">
        <v>62</v>
      </c>
    </row>
    <row r="15" spans="2:20" s="19" customFormat="1" ht="49.5" x14ac:dyDescent="0.2">
      <c r="B15" s="47">
        <v>42384</v>
      </c>
      <c r="C15" s="48" t="s">
        <v>31</v>
      </c>
      <c r="D15" s="49">
        <v>3500</v>
      </c>
      <c r="E15" s="50">
        <v>0.31944444444444448</v>
      </c>
      <c r="F15" s="51">
        <f>SUM([16]January_2016!$J19)</f>
        <v>259</v>
      </c>
      <c r="G15" s="52">
        <f>SUM([16]January_2016!$F19)</f>
        <v>3469</v>
      </c>
      <c r="H15" s="51">
        <f>SUM([16]January_2016!$K19)</f>
        <v>258.09359999999998</v>
      </c>
      <c r="I15" s="53">
        <f>SUM([16]January_2016!$N19)</f>
        <v>12</v>
      </c>
      <c r="J15" s="54">
        <f>SUM([16]January_2016!$Q19)</f>
        <v>358.86206896551727</v>
      </c>
      <c r="K15" s="54">
        <f>SUM([16]January_2016!$E19)</f>
        <v>580</v>
      </c>
      <c r="L15" s="54">
        <f>SUM([16]January_2016!$M19)</f>
        <v>155</v>
      </c>
      <c r="M15" s="69">
        <f>SUM([16]January_2016!$H19)</f>
        <v>0</v>
      </c>
      <c r="N15" s="55">
        <f>SUM([16]January_2016!$P19)</f>
        <v>0.34996138996139736</v>
      </c>
      <c r="O15" s="54"/>
      <c r="P15" s="66">
        <f>(G15)/(9.5*15000*(1/24))</f>
        <v>0.58425263157894736</v>
      </c>
      <c r="Q15" s="56"/>
      <c r="R15" s="121">
        <f t="shared" ref="R15:R35" si="0">(G15)*24/(K15/60)/15000</f>
        <v>0.57417931034482761</v>
      </c>
      <c r="S15" s="18"/>
      <c r="T15" s="24" t="s">
        <v>63</v>
      </c>
    </row>
    <row r="16" spans="2:20" s="19" customFormat="1" ht="29.25" customHeight="1" x14ac:dyDescent="0.2">
      <c r="B16" s="1229">
        <v>42388</v>
      </c>
      <c r="C16" s="48" t="s">
        <v>32</v>
      </c>
      <c r="D16" s="1215">
        <v>4200</v>
      </c>
      <c r="E16" s="1217">
        <v>0.36041666666666666</v>
      </c>
      <c r="F16" s="1219">
        <f>SUM([16]January_2016!$J20)</f>
        <v>274.5</v>
      </c>
      <c r="G16" s="52">
        <f>SUM([16]January_2016!$F20)</f>
        <v>1988</v>
      </c>
      <c r="H16" s="1219">
        <f>SUM([16]January_2016!$K20)</f>
        <v>272.58000000000004</v>
      </c>
      <c r="I16" s="1221">
        <f>SUM([16]January_2016!$N20)</f>
        <v>36</v>
      </c>
      <c r="J16" s="1223">
        <f>SUM([16]January_2016!$Q20)</f>
        <v>390.23622047244095</v>
      </c>
      <c r="K16" s="1223">
        <f>SUM([16]January_2016!$E20)</f>
        <v>635</v>
      </c>
      <c r="L16" s="1223">
        <f>SUM([16]January_2016!$M20)</f>
        <v>144</v>
      </c>
      <c r="M16" s="1231">
        <f>SUM([16]January_2016!$H20)</f>
        <v>0</v>
      </c>
      <c r="N16" s="1225">
        <f>SUM([16]January_2016!$P20)</f>
        <v>0.69945355191255343</v>
      </c>
      <c r="O16" s="54"/>
      <c r="P16" s="1227">
        <f>(G16+G17)/(10.3667*15000*(1/24))</f>
        <v>0.63742560313310892</v>
      </c>
      <c r="Q16" s="56"/>
      <c r="R16" s="1039">
        <f>(G16+G17)*24/(K16/60)/15000</f>
        <v>0.62437795275590546</v>
      </c>
      <c r="S16" s="18"/>
      <c r="T16" s="1208" t="s">
        <v>64</v>
      </c>
    </row>
    <row r="17" spans="2:20" s="19" customFormat="1" ht="23.25" customHeight="1" x14ac:dyDescent="0.2">
      <c r="B17" s="1230"/>
      <c r="C17" s="48" t="s">
        <v>29</v>
      </c>
      <c r="D17" s="1216"/>
      <c r="E17" s="1218"/>
      <c r="F17" s="1220"/>
      <c r="G17" s="52">
        <f>[16]January_2016!$F$21</f>
        <v>2142</v>
      </c>
      <c r="H17" s="1220"/>
      <c r="I17" s="1222"/>
      <c r="J17" s="1224"/>
      <c r="K17" s="1224"/>
      <c r="L17" s="1224"/>
      <c r="M17" s="1232"/>
      <c r="N17" s="1226"/>
      <c r="O17" s="54"/>
      <c r="P17" s="1228"/>
      <c r="Q17" s="56"/>
      <c r="R17" s="1040"/>
      <c r="S17" s="18"/>
      <c r="T17" s="1209"/>
    </row>
    <row r="18" spans="2:20" s="19" customFormat="1" ht="33" x14ac:dyDescent="0.2">
      <c r="B18" s="47">
        <v>42389</v>
      </c>
      <c r="C18" s="48" t="s">
        <v>30</v>
      </c>
      <c r="D18" s="49">
        <v>4200</v>
      </c>
      <c r="E18" s="50">
        <v>0.32291666666666669</v>
      </c>
      <c r="F18" s="51">
        <f>SUM([16]January_2016!$J22)</f>
        <v>298.5</v>
      </c>
      <c r="G18" s="52">
        <f>SUM([16]January_2016!$F22)</f>
        <v>4500</v>
      </c>
      <c r="H18" s="51">
        <f>SUM([16]January_2016!$K22)</f>
        <v>297</v>
      </c>
      <c r="I18" s="53">
        <f>SUM([16]January_2016!$N22)</f>
        <v>30</v>
      </c>
      <c r="J18" s="54">
        <f>SUM([16]January_2016!$Q22)</f>
        <v>482.14285714285711</v>
      </c>
      <c r="K18" s="54">
        <f>SUM([16]January_2016!$E22)</f>
        <v>560</v>
      </c>
      <c r="L18" s="54">
        <f>SUM([16]January_2016!$M22)</f>
        <v>67</v>
      </c>
      <c r="M18" s="69">
        <f>SUM([16]January_2016!$H22)</f>
        <v>0</v>
      </c>
      <c r="N18" s="55">
        <f>SUM([16]January_2016!$P22)</f>
        <v>0.50251256281407031</v>
      </c>
      <c r="O18" s="54"/>
      <c r="P18" s="66">
        <f>(G18)/(9.16667*15000*(1/24))</f>
        <v>0.78545425983481476</v>
      </c>
      <c r="Q18" s="56"/>
      <c r="R18" s="46">
        <f t="shared" si="0"/>
        <v>0.77142857142857135</v>
      </c>
      <c r="S18" s="18"/>
      <c r="T18" s="24" t="s">
        <v>65</v>
      </c>
    </row>
    <row r="19" spans="2:20" s="19" customFormat="1" ht="49.5" x14ac:dyDescent="0.2">
      <c r="B19" s="47">
        <v>42390</v>
      </c>
      <c r="C19" s="48" t="s">
        <v>42</v>
      </c>
      <c r="D19" s="49">
        <v>3500</v>
      </c>
      <c r="E19" s="50">
        <v>0.32500000000000001</v>
      </c>
      <c r="F19" s="51">
        <f>SUM([16]January_2016!$J23)</f>
        <v>256.09999999999997</v>
      </c>
      <c r="G19" s="52">
        <f>SUM([16]January_2016!$F23)</f>
        <v>3776</v>
      </c>
      <c r="H19" s="51">
        <f>SUM([16]January_2016!$K23)</f>
        <v>249.21600000000001</v>
      </c>
      <c r="I19" s="53">
        <f>SUM([16]January_2016!$N23)</f>
        <v>133</v>
      </c>
      <c r="J19" s="54">
        <f>SUM([16]January_2016!$Q23)</f>
        <v>397.4736842105263</v>
      </c>
      <c r="K19" s="54">
        <f>SUM([16]January_2016!$E23)</f>
        <v>570</v>
      </c>
      <c r="L19" s="54">
        <f>SUM([16]January_2016!$M23)</f>
        <v>125</v>
      </c>
      <c r="M19" s="69">
        <f>SUM([16]January_2016!$H23)</f>
        <v>0</v>
      </c>
      <c r="N19" s="55">
        <f>SUM([16]January_2016!$P23)</f>
        <v>2.6880124951190782</v>
      </c>
      <c r="O19" s="54"/>
      <c r="P19" s="66">
        <f>(G19)/(9.333*15000*(1/24))</f>
        <v>0.64733740490731817</v>
      </c>
      <c r="Q19" s="56"/>
      <c r="R19" s="46">
        <f t="shared" si="0"/>
        <v>0.63595789473684217</v>
      </c>
      <c r="S19" s="18"/>
      <c r="T19" s="24" t="s">
        <v>66</v>
      </c>
    </row>
    <row r="20" spans="2:20" s="19" customFormat="1" ht="32.25" customHeight="1" x14ac:dyDescent="0.2">
      <c r="B20" s="47">
        <v>42391</v>
      </c>
      <c r="C20" s="48" t="s">
        <v>27</v>
      </c>
      <c r="D20" s="49">
        <v>4200</v>
      </c>
      <c r="E20" s="50">
        <v>0.32500000000000001</v>
      </c>
      <c r="F20" s="51">
        <f>SUM([16]January_2016!$J24)</f>
        <v>287.10000000000002</v>
      </c>
      <c r="G20" s="52">
        <f>SUM([16]January_2016!$F24)</f>
        <v>4332</v>
      </c>
      <c r="H20" s="51">
        <f>SUM([16]January_2016!$K24)</f>
        <v>285.91200000000003</v>
      </c>
      <c r="I20" s="53">
        <f>SUM([16]January_2016!$N24)</f>
        <v>20</v>
      </c>
      <c r="J20" s="54">
        <f>SUM([16]January_2016!$Q24)</f>
        <v>499.84615384615387</v>
      </c>
      <c r="K20" s="54">
        <f>SUM([16]January_2016!$E24)</f>
        <v>520</v>
      </c>
      <c r="L20" s="54">
        <f>SUM([16]January_2016!$M24)</f>
        <v>36</v>
      </c>
      <c r="M20" s="69">
        <f>SUM([16]January_2016!$H24)</f>
        <v>0</v>
      </c>
      <c r="N20" s="55">
        <f>SUM([16]January_2016!$P24)</f>
        <v>0.41379310344827169</v>
      </c>
      <c r="O20" s="54"/>
      <c r="P20" s="66">
        <f>(G20)/(8.5*15000*(1/24))</f>
        <v>0.81543529411764704</v>
      </c>
      <c r="Q20" s="56"/>
      <c r="R20" s="46">
        <f t="shared" si="0"/>
        <v>0.79975384615384626</v>
      </c>
      <c r="S20" s="18"/>
      <c r="T20" s="24" t="s">
        <v>67</v>
      </c>
    </row>
    <row r="21" spans="2:20" s="19" customFormat="1" ht="66" x14ac:dyDescent="0.2">
      <c r="B21" s="47">
        <v>42394</v>
      </c>
      <c r="C21" s="48" t="s">
        <v>29</v>
      </c>
      <c r="D21" s="49">
        <v>5600</v>
      </c>
      <c r="E21" s="50">
        <v>0.3354166666666667</v>
      </c>
      <c r="F21" s="51">
        <f>SUM([16]January_2016!$J25)</f>
        <v>330.40000000000003</v>
      </c>
      <c r="G21" s="52">
        <f>SUM([16]January_2016!$F25)</f>
        <v>4986</v>
      </c>
      <c r="H21" s="51">
        <f>SUM([16]January_2016!$K25)</f>
        <v>329.07600000000002</v>
      </c>
      <c r="I21" s="53">
        <f>SUM([16]January_2016!$N25)</f>
        <v>32</v>
      </c>
      <c r="J21" s="54">
        <f>SUM([16]January_2016!$Q25)</f>
        <v>490.42622950819674</v>
      </c>
      <c r="K21" s="54">
        <f>SUM([16]January_2016!$E25)</f>
        <v>610</v>
      </c>
      <c r="L21" s="54">
        <f>SUM([16]January_2016!$M25)</f>
        <v>69</v>
      </c>
      <c r="M21" s="69">
        <f>SUM([16]January_2016!$H25)</f>
        <v>0</v>
      </c>
      <c r="N21" s="55">
        <f>SUM([16]January_2016!$P25)</f>
        <v>0.40072639225181966</v>
      </c>
      <c r="O21" s="54"/>
      <c r="P21" s="66">
        <f>(G21)/(10*15000*(1/24))</f>
        <v>0.79776000000000002</v>
      </c>
      <c r="Q21" s="56"/>
      <c r="R21" s="46">
        <f t="shared" si="0"/>
        <v>0.78468196721311478</v>
      </c>
      <c r="S21" s="18"/>
      <c r="T21" s="24" t="s">
        <v>68</v>
      </c>
    </row>
    <row r="22" spans="2:20" s="19" customFormat="1" ht="33" x14ac:dyDescent="0.2">
      <c r="B22" s="1229">
        <v>42395</v>
      </c>
      <c r="C22" s="48" t="s">
        <v>29</v>
      </c>
      <c r="D22" s="49">
        <v>2800</v>
      </c>
      <c r="E22" s="1217">
        <v>0.32291666666666669</v>
      </c>
      <c r="F22" s="51">
        <f>SUM([16]January_2016!$J26)</f>
        <v>186.2</v>
      </c>
      <c r="G22" s="52">
        <f>SUM([16]January_2016!$F26)</f>
        <v>2810</v>
      </c>
      <c r="H22" s="51">
        <f>SUM([16]January_2016!$K26)</f>
        <v>185.46</v>
      </c>
      <c r="I22" s="53">
        <f>SUM([16]January_2016!$N26)</f>
        <v>12</v>
      </c>
      <c r="J22" s="1223">
        <f>SUM([16]January_2016!$Q26)</f>
        <v>420.68627450980392</v>
      </c>
      <c r="K22" s="1223">
        <f>SUM([16]January_2016!$E26)</f>
        <v>612</v>
      </c>
      <c r="L22" s="54">
        <f>SUM([16]January_2016!$M26)</f>
        <v>32</v>
      </c>
      <c r="M22" s="69">
        <f>SUM([16]January_2016!$H26)</f>
        <v>0</v>
      </c>
      <c r="N22" s="55">
        <f>SUM([16]January_2016!$P26)</f>
        <v>0.39742212674542465</v>
      </c>
      <c r="O22" s="54"/>
      <c r="P22" s="1227">
        <f>(G22+G23)/(10.033*15000*(1/24))</f>
        <v>0.68430180404664609</v>
      </c>
      <c r="Q22" s="56"/>
      <c r="R22" s="1039">
        <f>(G22+G23)*24/(K22/60)/15000</f>
        <v>0.67309803921568634</v>
      </c>
      <c r="S22" s="18"/>
      <c r="T22" s="24" t="s">
        <v>70</v>
      </c>
    </row>
    <row r="23" spans="2:20" s="19" customFormat="1" ht="33" x14ac:dyDescent="0.2">
      <c r="B23" s="1230"/>
      <c r="C23" s="48" t="s">
        <v>27</v>
      </c>
      <c r="D23" s="49">
        <v>2800</v>
      </c>
      <c r="E23" s="1218"/>
      <c r="F23" s="51">
        <f>SUM([16]January_2016!$J27)</f>
        <v>100.2</v>
      </c>
      <c r="G23" s="52">
        <f>SUM([16]January_2016!$F27)</f>
        <v>1481</v>
      </c>
      <c r="H23" s="51">
        <f>SUM([16]January_2016!$K27)</f>
        <v>99.646000000000015</v>
      </c>
      <c r="I23" s="53">
        <f>SUM([16]January_2016!$N27)</f>
        <v>9</v>
      </c>
      <c r="J23" s="1224"/>
      <c r="K23" s="1224"/>
      <c r="L23" s="54">
        <f>SUM([16]January_2016!$M27)</f>
        <v>146</v>
      </c>
      <c r="M23" s="69">
        <f>SUM([16]January_2016!$H27)</f>
        <v>0</v>
      </c>
      <c r="N23" s="55">
        <f>SUM([16]January_2016!$P27)</f>
        <v>0.55289421157683416</v>
      </c>
      <c r="O23" s="54"/>
      <c r="P23" s="1228"/>
      <c r="Q23" s="56"/>
      <c r="R23" s="1040"/>
      <c r="S23" s="18"/>
      <c r="T23" s="24" t="s">
        <v>69</v>
      </c>
    </row>
    <row r="24" spans="2:20" s="19" customFormat="1" ht="33" x14ac:dyDescent="0.2">
      <c r="B24" s="1229">
        <v>42396</v>
      </c>
      <c r="C24" s="48" t="s">
        <v>27</v>
      </c>
      <c r="D24" s="49">
        <v>1400</v>
      </c>
      <c r="E24" s="1217">
        <v>0.32916666666666666</v>
      </c>
      <c r="F24" s="51">
        <f>SUM([16]January_2016!$J28)</f>
        <v>135.60000000000002</v>
      </c>
      <c r="G24" s="52">
        <f>SUM([16]January_2016!$F28)</f>
        <v>2042</v>
      </c>
      <c r="H24" s="51">
        <f>SUM([16]January_2016!$K28)</f>
        <v>134.77200000000002</v>
      </c>
      <c r="I24" s="53">
        <f>SUM([16]January_2016!$N28)</f>
        <v>12</v>
      </c>
      <c r="J24" s="1223">
        <f>SUM([16]January_2016!$Q28)</f>
        <v>357.73170731707319</v>
      </c>
      <c r="K24" s="1223">
        <f>SUM([16]January_2016!$E28)</f>
        <v>820</v>
      </c>
      <c r="L24" s="54">
        <f>SUM([16]January_2016!$M28)</f>
        <v>78</v>
      </c>
      <c r="M24" s="69">
        <f>SUM([16]January_2016!$H28)</f>
        <v>0</v>
      </c>
      <c r="N24" s="55">
        <f>SUM([16]January_2016!$P28)</f>
        <v>0.61061946902655073</v>
      </c>
      <c r="O24" s="54"/>
      <c r="P24" s="1227">
        <f>(G24+G25)/(13.5*15000*(1/24))</f>
        <v>0.57943703703703708</v>
      </c>
      <c r="Q24" s="56"/>
      <c r="R24" s="1039">
        <f>(G24+G25)*24/(K24/60)/15000</f>
        <v>0.57237073170731712</v>
      </c>
      <c r="S24" s="18"/>
      <c r="T24" s="24" t="s">
        <v>71</v>
      </c>
    </row>
    <row r="25" spans="2:20" s="19" customFormat="1" ht="33" x14ac:dyDescent="0.2">
      <c r="B25" s="1230"/>
      <c r="C25" s="48" t="s">
        <v>28</v>
      </c>
      <c r="D25" s="49">
        <v>2800</v>
      </c>
      <c r="E25" s="1218"/>
      <c r="F25" s="51">
        <f>SUM([16]January_2016!$J29)</f>
        <v>190.4</v>
      </c>
      <c r="G25" s="52">
        <f>SUM([16]January_2016!$F29)</f>
        <v>2847</v>
      </c>
      <c r="H25" s="51">
        <f>SUM([16]January_2016!$K29)</f>
        <v>187.90200000000002</v>
      </c>
      <c r="I25" s="53">
        <f>SUM([16]January_2016!$N29)</f>
        <v>13</v>
      </c>
      <c r="J25" s="1224"/>
      <c r="K25" s="1224"/>
      <c r="L25" s="54">
        <f>SUM([16]January_2016!$M29)</f>
        <v>128</v>
      </c>
      <c r="M25" s="69">
        <f>SUM([16]January_2016!$H29)</f>
        <v>0</v>
      </c>
      <c r="N25" s="55">
        <f>SUM([16]January_2016!$P29)</f>
        <v>1.3119747899159615</v>
      </c>
      <c r="O25" s="54"/>
      <c r="P25" s="1228"/>
      <c r="Q25" s="56"/>
      <c r="R25" s="1040"/>
      <c r="S25" s="18"/>
      <c r="T25" s="24" t="s">
        <v>72</v>
      </c>
    </row>
    <row r="26" spans="2:20" s="19" customFormat="1" ht="33.75" customHeight="1" x14ac:dyDescent="0.2">
      <c r="B26" s="47">
        <v>42397</v>
      </c>
      <c r="C26" s="48" t="s">
        <v>33</v>
      </c>
      <c r="D26" s="49">
        <v>4200</v>
      </c>
      <c r="E26" s="50">
        <v>0.3263888888888889</v>
      </c>
      <c r="F26" s="51">
        <f>SUM([16]January_2016!$J30)</f>
        <v>296.10000000000002</v>
      </c>
      <c r="G26" s="52">
        <f>SUM([16]January_2016!$F30)</f>
        <v>4473</v>
      </c>
      <c r="H26" s="51">
        <f>SUM([16]January_2016!$K30)</f>
        <v>295.21800000000002</v>
      </c>
      <c r="I26" s="53">
        <f>SUM([16]January_2016!$N30)</f>
        <v>20</v>
      </c>
      <c r="J26" s="54">
        <f>SUM([16]January_2016!$Q30)</f>
        <v>416.73913043478262</v>
      </c>
      <c r="K26" s="54">
        <f>SUM([16]January_2016!$E30)</f>
        <v>644</v>
      </c>
      <c r="L26" s="54">
        <f>SUM([16]January_2016!$M30)</f>
        <v>167</v>
      </c>
      <c r="M26" s="69">
        <f>SUM([16]January_2016!$H30)</f>
        <v>0</v>
      </c>
      <c r="N26" s="55">
        <f>SUM([16]January_2016!$P30)</f>
        <v>0.29787234042553357</v>
      </c>
      <c r="O26" s="54"/>
      <c r="P26" s="66">
        <f>(G26)/(10.5667*15000*(1/24))</f>
        <v>0.67729754795726194</v>
      </c>
      <c r="Q26" s="56"/>
      <c r="R26" s="46">
        <f>(G26)*24/(K26/60)/15000</f>
        <v>0.66678260869565231</v>
      </c>
      <c r="S26" s="18"/>
      <c r="T26" s="24" t="s">
        <v>73</v>
      </c>
    </row>
    <row r="27" spans="2:20" s="19" customFormat="1" ht="23.25" customHeight="1" x14ac:dyDescent="0.2">
      <c r="B27" s="1213">
        <v>42398</v>
      </c>
      <c r="C27" s="48" t="s">
        <v>27</v>
      </c>
      <c r="D27" s="49"/>
      <c r="E27" s="1217">
        <v>0.32500000000000001</v>
      </c>
      <c r="F27" s="51">
        <f>SUM([16]January_2016!$J31)</f>
        <v>50.3</v>
      </c>
      <c r="G27" s="52">
        <f>SUM([16]January_2016!$F31)</f>
        <v>747</v>
      </c>
      <c r="H27" s="51">
        <f>SUM([16]January_2016!$K31)</f>
        <v>49.302</v>
      </c>
      <c r="I27" s="53">
        <f>SUM([16]January_2016!$N31)</f>
        <v>5</v>
      </c>
      <c r="J27" s="1223">
        <f>SUM([16]January_2016!$Q$31:$Q$33)</f>
        <v>281.1543624161074</v>
      </c>
      <c r="K27" s="1223">
        <f>SUM([16]January_2016!$E$31:$E$33)</f>
        <v>745</v>
      </c>
      <c r="L27" s="54">
        <f>SUM([16]January_2016!$M31)</f>
        <v>10</v>
      </c>
      <c r="M27" s="69">
        <f>SUM([16]January_2016!$H31)</f>
        <v>0</v>
      </c>
      <c r="N27" s="55">
        <f>SUM([16]January_2016!$P31)</f>
        <v>1.9840954274353828</v>
      </c>
      <c r="O27" s="54"/>
      <c r="P27" s="1227">
        <f>(G27+G28+G29)/(12.2166*15000*(1/24))</f>
        <v>0.4572139547828365</v>
      </c>
      <c r="Q27" s="56"/>
      <c r="R27" s="1039">
        <f>(G27+G28+G29)*24/(K27/60)/15000</f>
        <v>0.44984697986577182</v>
      </c>
      <c r="S27" s="18"/>
      <c r="T27" s="24" t="s">
        <v>75</v>
      </c>
    </row>
    <row r="28" spans="2:20" s="19" customFormat="1" ht="33" x14ac:dyDescent="0.2">
      <c r="B28" s="1233"/>
      <c r="C28" s="48" t="s">
        <v>50</v>
      </c>
      <c r="D28" s="49">
        <v>1400</v>
      </c>
      <c r="E28" s="1234"/>
      <c r="F28" s="51">
        <f>SUM([16]January_2016!$J32)</f>
        <v>98.1</v>
      </c>
      <c r="G28" s="52">
        <f>SUM([16]January_2016!$F32)</f>
        <v>1460</v>
      </c>
      <c r="H28" s="51">
        <f>SUM([16]January_2016!$K32)</f>
        <v>96.36</v>
      </c>
      <c r="I28" s="53">
        <f>SUM([16]January_2016!$N32)</f>
        <v>16.5</v>
      </c>
      <c r="J28" s="1235"/>
      <c r="K28" s="1235"/>
      <c r="L28" s="54">
        <f>SUM([16]January_2016!$M32)</f>
        <v>119</v>
      </c>
      <c r="M28" s="69">
        <f>SUM([16]January_2016!$H32)</f>
        <v>92</v>
      </c>
      <c r="N28" s="55">
        <f>SUM([16]January_2016!$P32)</f>
        <v>1.7737003058103926</v>
      </c>
      <c r="O28" s="54"/>
      <c r="P28" s="1236"/>
      <c r="Q28" s="56"/>
      <c r="R28" s="1041"/>
      <c r="S28" s="18"/>
      <c r="T28" s="24" t="s">
        <v>76</v>
      </c>
    </row>
    <row r="29" spans="2:20" s="19" customFormat="1" ht="33" x14ac:dyDescent="0.2">
      <c r="B29" s="1214"/>
      <c r="C29" s="48" t="s">
        <v>74</v>
      </c>
      <c r="D29" s="49">
        <v>1400</v>
      </c>
      <c r="E29" s="1218"/>
      <c r="F29" s="51">
        <f>SUM([16]January_2016!$J33)</f>
        <v>88</v>
      </c>
      <c r="G29" s="52">
        <f>SUM([16]January_2016!$F33)</f>
        <v>1284</v>
      </c>
      <c r="H29" s="51">
        <f>SUM([16]January_2016!$K33)</f>
        <v>84.744</v>
      </c>
      <c r="I29" s="53">
        <f>SUM([16]January_2016!$N33)</f>
        <v>40</v>
      </c>
      <c r="J29" s="1224"/>
      <c r="K29" s="1224"/>
      <c r="L29" s="54">
        <f>SUM([16]January_2016!$M33)</f>
        <v>155</v>
      </c>
      <c r="M29" s="69">
        <f>SUM([16]January_2016!$H33)</f>
        <v>22</v>
      </c>
      <c r="N29" s="55">
        <f>SUM([16]January_2016!$P33)</f>
        <v>3.7000000000000006</v>
      </c>
      <c r="O29" s="54"/>
      <c r="P29" s="1228"/>
      <c r="Q29" s="56"/>
      <c r="R29" s="1040"/>
      <c r="S29" s="18"/>
      <c r="T29" s="24" t="s">
        <v>77</v>
      </c>
    </row>
    <row r="30" spans="2:20" s="19" customFormat="1" ht="18" customHeight="1" thickBot="1" x14ac:dyDescent="0.25">
      <c r="B30" s="47"/>
      <c r="C30" s="48"/>
      <c r="D30" s="49"/>
      <c r="E30" s="50"/>
      <c r="F30" s="51"/>
      <c r="G30" s="52"/>
      <c r="H30" s="51"/>
      <c r="I30" s="53"/>
      <c r="J30" s="54"/>
      <c r="K30" s="54"/>
      <c r="L30" s="54"/>
      <c r="M30" s="69"/>
      <c r="N30" s="55"/>
      <c r="O30" s="54"/>
      <c r="P30" s="66"/>
      <c r="Q30" s="56"/>
      <c r="R30" s="121" t="e">
        <f t="shared" si="0"/>
        <v>#DIV/0!</v>
      </c>
      <c r="S30" s="18"/>
      <c r="T30" s="24"/>
    </row>
    <row r="31" spans="2:20" s="19" customFormat="1" ht="18" hidden="1" customHeight="1" x14ac:dyDescent="0.2">
      <c r="B31" s="47"/>
      <c r="C31" s="48"/>
      <c r="D31" s="49"/>
      <c r="E31" s="50"/>
      <c r="F31" s="51"/>
      <c r="G31" s="52"/>
      <c r="H31" s="51"/>
      <c r="I31" s="53"/>
      <c r="J31" s="54"/>
      <c r="K31" s="54"/>
      <c r="L31" s="54"/>
      <c r="M31" s="69"/>
      <c r="N31" s="55"/>
      <c r="O31" s="54"/>
      <c r="P31" s="66"/>
      <c r="Q31" s="56"/>
      <c r="R31" s="46" t="e">
        <f t="shared" si="0"/>
        <v>#DIV/0!</v>
      </c>
      <c r="S31" s="18"/>
      <c r="T31" s="24"/>
    </row>
    <row r="32" spans="2:20" s="19" customFormat="1" ht="18" hidden="1" customHeight="1" x14ac:dyDescent="0.2">
      <c r="B32" s="47"/>
      <c r="C32" s="48"/>
      <c r="D32" s="49"/>
      <c r="E32" s="50"/>
      <c r="F32" s="51"/>
      <c r="G32" s="52"/>
      <c r="H32" s="51"/>
      <c r="I32" s="53"/>
      <c r="J32" s="54"/>
      <c r="K32" s="54"/>
      <c r="L32" s="54"/>
      <c r="M32" s="69"/>
      <c r="N32" s="55"/>
      <c r="O32" s="54"/>
      <c r="P32" s="66"/>
      <c r="Q32" s="56"/>
      <c r="R32" s="46" t="e">
        <f t="shared" si="0"/>
        <v>#DIV/0!</v>
      </c>
      <c r="S32" s="18"/>
      <c r="T32" s="24"/>
    </row>
    <row r="33" spans="2:20" s="19" customFormat="1" ht="18" hidden="1" customHeight="1" x14ac:dyDescent="0.2">
      <c r="B33" s="47"/>
      <c r="C33" s="48"/>
      <c r="D33" s="49"/>
      <c r="E33" s="50"/>
      <c r="F33" s="51"/>
      <c r="G33" s="52"/>
      <c r="H33" s="51"/>
      <c r="I33" s="53"/>
      <c r="J33" s="54"/>
      <c r="K33" s="54"/>
      <c r="L33" s="54"/>
      <c r="M33" s="69"/>
      <c r="N33" s="55"/>
      <c r="O33" s="54"/>
      <c r="P33" s="66"/>
      <c r="Q33" s="56"/>
      <c r="R33" s="46" t="e">
        <f t="shared" si="0"/>
        <v>#DIV/0!</v>
      </c>
      <c r="S33" s="18"/>
      <c r="T33" s="24"/>
    </row>
    <row r="34" spans="2:20" s="19" customFormat="1" ht="18" hidden="1" customHeight="1" x14ac:dyDescent="0.2">
      <c r="B34" s="47"/>
      <c r="C34" s="48"/>
      <c r="D34" s="49"/>
      <c r="E34" s="50"/>
      <c r="F34" s="51"/>
      <c r="G34" s="52"/>
      <c r="H34" s="51"/>
      <c r="I34" s="53"/>
      <c r="J34" s="54"/>
      <c r="K34" s="54"/>
      <c r="L34" s="54"/>
      <c r="M34" s="69"/>
      <c r="N34" s="55"/>
      <c r="O34" s="54"/>
      <c r="P34" s="66"/>
      <c r="Q34" s="56"/>
      <c r="R34" s="46" t="e">
        <f t="shared" si="0"/>
        <v>#DIV/0!</v>
      </c>
      <c r="S34" s="18"/>
      <c r="T34" s="24"/>
    </row>
    <row r="35" spans="2:20" s="19" customFormat="1" ht="18" hidden="1" customHeight="1" thickBot="1" x14ac:dyDescent="0.25">
      <c r="B35" s="47"/>
      <c r="C35" s="48"/>
      <c r="D35" s="49"/>
      <c r="E35" s="50"/>
      <c r="F35" s="51"/>
      <c r="G35" s="52"/>
      <c r="H35" s="51"/>
      <c r="I35" s="53"/>
      <c r="J35" s="54"/>
      <c r="K35" s="54"/>
      <c r="L35" s="54"/>
      <c r="M35" s="69"/>
      <c r="N35" s="55"/>
      <c r="O35" s="54"/>
      <c r="P35" s="66"/>
      <c r="Q35" s="56"/>
      <c r="R35" s="46" t="e">
        <f t="shared" si="0"/>
        <v>#DIV/0!</v>
      </c>
      <c r="S35" s="18"/>
      <c r="T35" s="24"/>
    </row>
    <row r="36" spans="2:20" s="19" customFormat="1" ht="35.25" hidden="1" customHeight="1" thickTop="1" thickBot="1" x14ac:dyDescent="0.25">
      <c r="B36" s="47"/>
      <c r="C36" s="48"/>
      <c r="D36" s="49"/>
      <c r="E36" s="50"/>
      <c r="F36" s="51"/>
      <c r="G36" s="52"/>
      <c r="H36" s="51"/>
      <c r="I36" s="53"/>
      <c r="J36" s="54"/>
      <c r="K36" s="54"/>
      <c r="L36" s="54"/>
      <c r="M36" s="68"/>
      <c r="N36" s="55"/>
      <c r="O36" s="54"/>
      <c r="P36" s="66"/>
      <c r="Q36" s="56"/>
      <c r="R36" s="46"/>
      <c r="S36" s="18"/>
      <c r="T36" s="24"/>
    </row>
    <row r="37" spans="2:20" s="19" customFormat="1" ht="35.25" hidden="1" customHeight="1" thickTop="1" thickBot="1" x14ac:dyDescent="0.25">
      <c r="B37" s="47"/>
      <c r="C37" s="48"/>
      <c r="D37" s="49"/>
      <c r="E37" s="50"/>
      <c r="F37" s="51"/>
      <c r="G37" s="52"/>
      <c r="H37" s="51"/>
      <c r="I37" s="53"/>
      <c r="J37" s="54"/>
      <c r="K37" s="54"/>
      <c r="L37" s="54"/>
      <c r="M37" s="68"/>
      <c r="N37" s="55"/>
      <c r="O37" s="54"/>
      <c r="P37" s="66"/>
      <c r="Q37" s="56"/>
      <c r="R37" s="46"/>
      <c r="S37" s="18"/>
      <c r="T37" s="24"/>
    </row>
    <row r="38" spans="2:20" s="19" customFormat="1" ht="35.25" hidden="1" customHeight="1" thickTop="1" x14ac:dyDescent="0.2">
      <c r="B38" s="47"/>
      <c r="C38" s="48"/>
      <c r="D38" s="49"/>
      <c r="E38" s="50"/>
      <c r="F38" s="51"/>
      <c r="G38" s="52"/>
      <c r="H38" s="51"/>
      <c r="I38" s="53"/>
      <c r="J38" s="54"/>
      <c r="K38" s="54"/>
      <c r="L38" s="54"/>
      <c r="M38" s="68"/>
      <c r="N38" s="55"/>
      <c r="O38" s="54"/>
      <c r="P38" s="66"/>
      <c r="Q38" s="56"/>
      <c r="R38" s="46"/>
      <c r="S38" s="18"/>
      <c r="T38" s="24"/>
    </row>
    <row r="39" spans="2:20" s="19" customFormat="1" ht="31.5" hidden="1" customHeight="1" x14ac:dyDescent="0.2">
      <c r="B39" s="47"/>
      <c r="C39" s="48"/>
      <c r="D39" s="49"/>
      <c r="E39" s="50"/>
      <c r="F39" s="51"/>
      <c r="G39" s="52"/>
      <c r="H39" s="51"/>
      <c r="I39" s="53"/>
      <c r="J39" s="54"/>
      <c r="K39" s="54"/>
      <c r="L39" s="54"/>
      <c r="M39" s="54"/>
      <c r="N39" s="55"/>
      <c r="O39" s="54"/>
      <c r="P39" s="66"/>
      <c r="Q39" s="56"/>
      <c r="R39" s="46"/>
      <c r="S39" s="18"/>
      <c r="T39" s="24"/>
    </row>
    <row r="40" spans="2:20" s="19" customFormat="1" ht="31.5" hidden="1" customHeight="1" x14ac:dyDescent="0.2">
      <c r="B40" s="47"/>
      <c r="C40" s="48"/>
      <c r="D40" s="49"/>
      <c r="E40" s="50"/>
      <c r="F40" s="51"/>
      <c r="G40" s="52"/>
      <c r="H40" s="51"/>
      <c r="I40" s="53"/>
      <c r="J40" s="54"/>
      <c r="K40" s="54"/>
      <c r="L40" s="54"/>
      <c r="M40" s="54"/>
      <c r="N40" s="55"/>
      <c r="O40" s="54"/>
      <c r="P40" s="66"/>
      <c r="Q40" s="56"/>
      <c r="R40" s="46"/>
      <c r="S40" s="18"/>
      <c r="T40" s="24"/>
    </row>
    <row r="41" spans="2:20" s="19" customFormat="1" ht="31.5" hidden="1" customHeight="1" x14ac:dyDescent="0.2">
      <c r="B41" s="47"/>
      <c r="C41" s="48"/>
      <c r="D41" s="49"/>
      <c r="E41" s="50"/>
      <c r="F41" s="51"/>
      <c r="G41" s="52"/>
      <c r="H41" s="51"/>
      <c r="I41" s="53"/>
      <c r="J41" s="54"/>
      <c r="K41" s="54"/>
      <c r="L41" s="54"/>
      <c r="M41" s="54"/>
      <c r="N41" s="55"/>
      <c r="O41" s="54"/>
      <c r="P41" s="66"/>
      <c r="Q41" s="56"/>
      <c r="R41" s="46"/>
      <c r="S41" s="18"/>
      <c r="T41" s="24"/>
    </row>
    <row r="42" spans="2:20" s="19" customFormat="1" ht="31.5" hidden="1" customHeight="1" x14ac:dyDescent="0.2">
      <c r="B42" s="47"/>
      <c r="C42" s="48"/>
      <c r="D42" s="49"/>
      <c r="E42" s="50"/>
      <c r="F42" s="51"/>
      <c r="G42" s="52"/>
      <c r="H42" s="51"/>
      <c r="I42" s="53"/>
      <c r="J42" s="54"/>
      <c r="K42" s="54"/>
      <c r="L42" s="54"/>
      <c r="M42" s="54"/>
      <c r="N42" s="55"/>
      <c r="O42" s="54"/>
      <c r="P42" s="66"/>
      <c r="Q42" s="56"/>
      <c r="R42" s="46"/>
      <c r="S42" s="18"/>
      <c r="T42" s="24"/>
    </row>
    <row r="43" spans="2:20" s="19" customFormat="1" ht="31.5" hidden="1" customHeight="1" x14ac:dyDescent="0.2">
      <c r="B43" s="47"/>
      <c r="C43" s="48"/>
      <c r="D43" s="49"/>
      <c r="E43" s="50"/>
      <c r="F43" s="51"/>
      <c r="G43" s="52"/>
      <c r="H43" s="51"/>
      <c r="I43" s="53"/>
      <c r="J43" s="54"/>
      <c r="K43" s="54"/>
      <c r="L43" s="54"/>
      <c r="M43" s="54"/>
      <c r="N43" s="55"/>
      <c r="O43" s="54"/>
      <c r="P43" s="66"/>
      <c r="Q43" s="56"/>
      <c r="R43" s="46"/>
      <c r="S43" s="18"/>
      <c r="T43" s="24"/>
    </row>
    <row r="44" spans="2:20" s="19" customFormat="1" ht="31.5" hidden="1" customHeight="1" x14ac:dyDescent="0.2">
      <c r="B44" s="47"/>
      <c r="C44" s="48"/>
      <c r="D44" s="49"/>
      <c r="E44" s="50"/>
      <c r="F44" s="51"/>
      <c r="G44" s="52"/>
      <c r="H44" s="51"/>
      <c r="I44" s="53"/>
      <c r="J44" s="54"/>
      <c r="K44" s="54"/>
      <c r="L44" s="54"/>
      <c r="M44" s="54"/>
      <c r="N44" s="55"/>
      <c r="O44" s="54"/>
      <c r="P44" s="66"/>
      <c r="Q44" s="56"/>
      <c r="R44" s="46"/>
      <c r="S44" s="18"/>
      <c r="T44" s="24"/>
    </row>
    <row r="45" spans="2:20" s="19" customFormat="1" ht="31.5" hidden="1" customHeight="1" x14ac:dyDescent="0.2">
      <c r="B45" s="47"/>
      <c r="C45" s="48"/>
      <c r="D45" s="49"/>
      <c r="E45" s="50"/>
      <c r="F45" s="51"/>
      <c r="G45" s="52"/>
      <c r="H45" s="51"/>
      <c r="I45" s="53"/>
      <c r="J45" s="54"/>
      <c r="K45" s="54"/>
      <c r="L45" s="54"/>
      <c r="M45" s="54"/>
      <c r="N45" s="55"/>
      <c r="O45" s="54"/>
      <c r="P45" s="66"/>
      <c r="Q45" s="56"/>
      <c r="R45" s="46"/>
      <c r="S45" s="18"/>
      <c r="T45" s="24"/>
    </row>
    <row r="46" spans="2:20" s="19" customFormat="1" ht="31.5" hidden="1" customHeight="1" x14ac:dyDescent="0.2">
      <c r="B46" s="47"/>
      <c r="C46" s="48"/>
      <c r="D46" s="49"/>
      <c r="E46" s="50"/>
      <c r="F46" s="51"/>
      <c r="G46" s="52"/>
      <c r="H46" s="51"/>
      <c r="I46" s="53"/>
      <c r="J46" s="54"/>
      <c r="K46" s="54"/>
      <c r="L46" s="54"/>
      <c r="M46" s="54"/>
      <c r="N46" s="55"/>
      <c r="O46" s="54"/>
      <c r="P46" s="66"/>
      <c r="Q46" s="56"/>
      <c r="R46" s="46"/>
      <c r="S46" s="18"/>
      <c r="T46" s="24"/>
    </row>
    <row r="47" spans="2:20" s="19" customFormat="1" ht="31.5" hidden="1" customHeight="1" x14ac:dyDescent="0.2">
      <c r="B47" s="47"/>
      <c r="C47" s="48"/>
      <c r="D47" s="49"/>
      <c r="E47" s="50"/>
      <c r="F47" s="51"/>
      <c r="G47" s="52"/>
      <c r="H47" s="51"/>
      <c r="I47" s="53"/>
      <c r="J47" s="54"/>
      <c r="K47" s="54"/>
      <c r="L47" s="54"/>
      <c r="M47" s="54"/>
      <c r="N47" s="55"/>
      <c r="O47" s="54"/>
      <c r="P47" s="66"/>
      <c r="Q47" s="56"/>
      <c r="R47" s="46"/>
      <c r="S47" s="18"/>
      <c r="T47" s="24"/>
    </row>
    <row r="48" spans="2:20" s="19" customFormat="1" ht="31.5" hidden="1" customHeight="1" x14ac:dyDescent="0.2">
      <c r="B48" s="47"/>
      <c r="C48" s="48"/>
      <c r="D48" s="49"/>
      <c r="E48" s="50"/>
      <c r="F48" s="51"/>
      <c r="G48" s="52"/>
      <c r="H48" s="51"/>
      <c r="I48" s="53"/>
      <c r="J48" s="54"/>
      <c r="K48" s="54"/>
      <c r="L48" s="54"/>
      <c r="M48" s="54"/>
      <c r="N48" s="55"/>
      <c r="O48" s="54"/>
      <c r="P48" s="66"/>
      <c r="Q48" s="56"/>
      <c r="R48" s="46"/>
      <c r="S48" s="18"/>
      <c r="T48" s="24"/>
    </row>
    <row r="49" spans="2:20" s="19" customFormat="1" ht="31.5" hidden="1" customHeight="1" x14ac:dyDescent="0.2">
      <c r="B49" s="47"/>
      <c r="C49" s="48"/>
      <c r="D49" s="49"/>
      <c r="E49" s="50"/>
      <c r="F49" s="51"/>
      <c r="G49" s="52"/>
      <c r="H49" s="51"/>
      <c r="I49" s="53"/>
      <c r="J49" s="54"/>
      <c r="K49" s="54"/>
      <c r="L49" s="54"/>
      <c r="M49" s="54"/>
      <c r="N49" s="55"/>
      <c r="O49" s="54"/>
      <c r="P49" s="66"/>
      <c r="Q49" s="56"/>
      <c r="R49" s="46"/>
      <c r="S49" s="18"/>
      <c r="T49" s="24"/>
    </row>
    <row r="50" spans="2:20" s="19" customFormat="1" ht="31.5" hidden="1" customHeight="1" x14ac:dyDescent="0.2">
      <c r="B50" s="47"/>
      <c r="C50" s="48"/>
      <c r="D50" s="49"/>
      <c r="E50" s="50"/>
      <c r="F50" s="51"/>
      <c r="G50" s="52"/>
      <c r="H50" s="51"/>
      <c r="I50" s="53"/>
      <c r="J50" s="54"/>
      <c r="K50" s="54"/>
      <c r="L50" s="54"/>
      <c r="M50" s="54"/>
      <c r="N50" s="55"/>
      <c r="O50" s="54"/>
      <c r="P50" s="66"/>
      <c r="Q50" s="56"/>
      <c r="R50" s="46"/>
      <c r="S50" s="18"/>
      <c r="T50" s="24"/>
    </row>
    <row r="51" spans="2:20" s="19" customFormat="1" ht="31.5" hidden="1" customHeight="1" x14ac:dyDescent="0.2">
      <c r="B51" s="47"/>
      <c r="C51" s="48"/>
      <c r="D51" s="49"/>
      <c r="E51" s="50"/>
      <c r="F51" s="51"/>
      <c r="G51" s="52"/>
      <c r="H51" s="51"/>
      <c r="I51" s="53"/>
      <c r="J51" s="54"/>
      <c r="K51" s="54"/>
      <c r="L51" s="54"/>
      <c r="M51" s="54"/>
      <c r="N51" s="55"/>
      <c r="O51" s="54"/>
      <c r="P51" s="66"/>
      <c r="Q51" s="56"/>
      <c r="R51" s="46"/>
      <c r="S51" s="18"/>
      <c r="T51" s="24"/>
    </row>
    <row r="52" spans="2:20" s="19" customFormat="1" ht="31.5" hidden="1" customHeight="1" x14ac:dyDescent="0.2">
      <c r="B52" s="47"/>
      <c r="C52" s="48"/>
      <c r="D52" s="49"/>
      <c r="E52" s="50"/>
      <c r="F52" s="51"/>
      <c r="G52" s="52"/>
      <c r="H52" s="51"/>
      <c r="I52" s="53"/>
      <c r="J52" s="54"/>
      <c r="K52" s="54"/>
      <c r="L52" s="54"/>
      <c r="M52" s="54"/>
      <c r="N52" s="55"/>
      <c r="O52" s="54"/>
      <c r="P52" s="66"/>
      <c r="Q52" s="56"/>
      <c r="R52" s="46"/>
      <c r="S52" s="18"/>
      <c r="T52" s="24"/>
    </row>
    <row r="53" spans="2:20" s="19" customFormat="1" ht="31.5" hidden="1" customHeight="1" x14ac:dyDescent="0.2">
      <c r="B53" s="47"/>
      <c r="C53" s="48"/>
      <c r="D53" s="49"/>
      <c r="E53" s="50"/>
      <c r="F53" s="51"/>
      <c r="G53" s="52"/>
      <c r="H53" s="51"/>
      <c r="I53" s="53"/>
      <c r="J53" s="54"/>
      <c r="K53" s="54"/>
      <c r="L53" s="54"/>
      <c r="M53" s="54"/>
      <c r="N53" s="55"/>
      <c r="O53" s="54"/>
      <c r="P53" s="66"/>
      <c r="Q53" s="56"/>
      <c r="R53" s="46"/>
      <c r="S53" s="18"/>
      <c r="T53" s="24"/>
    </row>
    <row r="54" spans="2:20" s="19" customFormat="1" ht="31.5" hidden="1" customHeight="1" x14ac:dyDescent="0.2">
      <c r="B54" s="47"/>
      <c r="C54" s="48"/>
      <c r="D54" s="49"/>
      <c r="E54" s="50"/>
      <c r="F54" s="51"/>
      <c r="G54" s="52"/>
      <c r="H54" s="51"/>
      <c r="I54" s="53"/>
      <c r="J54" s="54"/>
      <c r="K54" s="54"/>
      <c r="L54" s="54"/>
      <c r="M54" s="54"/>
      <c r="N54" s="55"/>
      <c r="O54" s="54"/>
      <c r="P54" s="66"/>
      <c r="Q54" s="56"/>
      <c r="R54" s="46"/>
      <c r="S54" s="18" t="e">
        <f>G54*24/(K54/60)/15400</f>
        <v>#DIV/0!</v>
      </c>
      <c r="T54" s="24"/>
    </row>
    <row r="55" spans="2:20" s="19" customFormat="1" ht="31.5" hidden="1" customHeight="1" x14ac:dyDescent="0.2">
      <c r="B55" s="47"/>
      <c r="C55" s="48"/>
      <c r="D55" s="49"/>
      <c r="E55" s="50"/>
      <c r="F55" s="51"/>
      <c r="G55" s="52"/>
      <c r="H55" s="51"/>
      <c r="I55" s="53"/>
      <c r="J55" s="54"/>
      <c r="K55" s="54"/>
      <c r="L55" s="54"/>
      <c r="M55" s="67"/>
      <c r="N55" s="55"/>
      <c r="O55" s="54"/>
      <c r="P55" s="66"/>
      <c r="Q55" s="56"/>
      <c r="R55" s="46"/>
      <c r="S55" s="18" t="e">
        <f>G55*24/(K55/60)/15400</f>
        <v>#DIV/0!</v>
      </c>
      <c r="T55" s="24"/>
    </row>
    <row r="56" spans="2:20" s="19" customFormat="1" ht="30" hidden="1" customHeight="1" x14ac:dyDescent="0.2">
      <c r="B56" s="25"/>
      <c r="C56" s="26"/>
      <c r="D56" s="27"/>
      <c r="E56" s="28"/>
      <c r="F56" s="29"/>
      <c r="G56" s="30"/>
      <c r="H56" s="29"/>
      <c r="I56" s="31"/>
      <c r="J56" s="32"/>
      <c r="K56" s="32"/>
      <c r="L56" s="32"/>
      <c r="M56" s="32"/>
      <c r="N56" s="33"/>
      <c r="O56" s="32"/>
      <c r="P56" s="46"/>
      <c r="Q56" s="34"/>
      <c r="R56" s="46"/>
      <c r="S56" s="18"/>
      <c r="T56" s="24"/>
    </row>
    <row r="57" spans="2:20" s="19" customFormat="1" ht="20.25" hidden="1" x14ac:dyDescent="0.2">
      <c r="B57" s="25"/>
      <c r="C57" s="26"/>
      <c r="D57" s="27"/>
      <c r="E57" s="28"/>
      <c r="F57" s="29"/>
      <c r="G57" s="30"/>
      <c r="H57" s="29"/>
      <c r="I57" s="31"/>
      <c r="J57" s="32"/>
      <c r="K57" s="32"/>
      <c r="L57" s="32"/>
      <c r="M57" s="32"/>
      <c r="N57" s="33"/>
      <c r="O57" s="32"/>
      <c r="P57" s="46"/>
      <c r="Q57" s="34"/>
      <c r="R57" s="46"/>
      <c r="S57" s="18"/>
      <c r="T57" s="24"/>
    </row>
    <row r="58" spans="2:20" s="19" customFormat="1" ht="21" hidden="1" thickBot="1" x14ac:dyDescent="0.25">
      <c r="B58" s="74"/>
      <c r="C58" s="75"/>
      <c r="D58" s="71"/>
      <c r="E58" s="73"/>
      <c r="F58" s="76"/>
      <c r="G58" s="77"/>
      <c r="H58" s="76"/>
      <c r="I58" s="78"/>
      <c r="J58" s="72"/>
      <c r="K58" s="72"/>
      <c r="L58" s="72"/>
      <c r="M58" s="72"/>
      <c r="N58" s="79"/>
      <c r="O58" s="80"/>
      <c r="P58" s="70"/>
      <c r="Q58" s="81"/>
      <c r="R58" s="70"/>
      <c r="S58" s="82"/>
      <c r="T58" s="83"/>
    </row>
    <row r="59" spans="2:20" s="19" customFormat="1" ht="21" customHeight="1" thickBot="1" x14ac:dyDescent="0.35">
      <c r="B59" s="35" t="s">
        <v>3</v>
      </c>
      <c r="C59" s="36"/>
      <c r="D59" s="57">
        <f>SUM(D4:D57)</f>
        <v>72100</v>
      </c>
      <c r="E59" s="58">
        <f>AVERAGE(E4:E57)</f>
        <v>0.33190359477124187</v>
      </c>
      <c r="F59" s="59">
        <f>SUM(F4:F57)</f>
        <v>4894.65301</v>
      </c>
      <c r="G59" s="57">
        <f>SUM(G4:G57)</f>
        <v>72446</v>
      </c>
      <c r="H59" s="59">
        <f>SUM(H4:H57)</f>
        <v>4852.3755999999994</v>
      </c>
      <c r="I59" s="60">
        <f>SUM(I4:I57)</f>
        <v>579</v>
      </c>
      <c r="J59" s="61">
        <f>G59/(K59/60)</f>
        <v>417.8371623570124</v>
      </c>
      <c r="K59" s="57">
        <f>SUM(K4:K57)</f>
        <v>10403</v>
      </c>
      <c r="L59" s="57">
        <f>SUM(L4:L57)</f>
        <v>2283</v>
      </c>
      <c r="M59" s="60">
        <f>SUM(M4:M57)</f>
        <v>114</v>
      </c>
      <c r="N59" s="87">
        <f>(F59-H59)/F59</f>
        <v>8.6374682564067193E-3</v>
      </c>
      <c r="O59" s="62">
        <f>SUM(O4:O57)</f>
        <v>0</v>
      </c>
      <c r="P59" s="63">
        <f>AVERAGE(P4:P55)</f>
        <v>0.67772172064780523</v>
      </c>
      <c r="Q59" s="64"/>
      <c r="R59" s="63">
        <f>G59*24/(K59/60)/15000</f>
        <v>0.66853945977121987</v>
      </c>
      <c r="S59" s="20">
        <f>G59*24/(K59/60)/15400</f>
        <v>0.65117479847846094</v>
      </c>
      <c r="T59" s="21"/>
    </row>
    <row r="60" spans="2:20" ht="16.5" customHeight="1" thickTop="1" x14ac:dyDescent="0.25">
      <c r="B60" s="11"/>
      <c r="C60" s="22" t="s">
        <v>35</v>
      </c>
      <c r="D60" s="42">
        <v>78270</v>
      </c>
      <c r="E60" s="1082" t="s">
        <v>39</v>
      </c>
      <c r="F60" s="1082"/>
      <c r="G60" s="43">
        <f>(D61/D60)</f>
        <v>0.92559090328350579</v>
      </c>
      <c r="H60" s="44"/>
      <c r="I60" s="44"/>
      <c r="J60" s="1210">
        <v>0</v>
      </c>
      <c r="K60" s="12"/>
      <c r="L60" s="12"/>
      <c r="M60" s="13"/>
      <c r="N60" s="14"/>
      <c r="O60" s="12"/>
      <c r="P60" s="15"/>
      <c r="Q60" s="16"/>
      <c r="R60" s="15"/>
      <c r="S60" s="15"/>
      <c r="T60" s="17" t="s">
        <v>48</v>
      </c>
    </row>
    <row r="61" spans="2:20" ht="14.25" customHeight="1" x14ac:dyDescent="0.25">
      <c r="B61" s="11"/>
      <c r="C61" s="22" t="s">
        <v>38</v>
      </c>
      <c r="D61" s="42">
        <f>G59</f>
        <v>72446</v>
      </c>
      <c r="E61" s="1082" t="s">
        <v>36</v>
      </c>
      <c r="F61" s="1082"/>
      <c r="G61" s="42">
        <f>D61</f>
        <v>72446</v>
      </c>
      <c r="H61" s="44"/>
      <c r="I61" s="45" t="s">
        <v>40</v>
      </c>
      <c r="J61" s="1211"/>
      <c r="K61" s="12"/>
      <c r="L61" s="12"/>
      <c r="M61" s="13"/>
      <c r="N61" s="14"/>
      <c r="O61" s="12"/>
      <c r="P61" s="15"/>
      <c r="Q61" s="16"/>
      <c r="R61" s="15"/>
      <c r="S61" s="15"/>
      <c r="T61" s="17"/>
    </row>
    <row r="62" spans="2:20" ht="17.25" thickBot="1" x14ac:dyDescent="0.3">
      <c r="C62" s="23" t="s">
        <v>41</v>
      </c>
      <c r="D62" s="42">
        <f>D60-D61</f>
        <v>5824</v>
      </c>
      <c r="E62" s="1082" t="s">
        <v>37</v>
      </c>
      <c r="F62" s="1082"/>
      <c r="G62" s="42">
        <f>D60</f>
        <v>78270</v>
      </c>
      <c r="H62" s="44"/>
      <c r="I62" s="44"/>
      <c r="J62" s="1212"/>
      <c r="P62" s="10"/>
      <c r="T62" s="17"/>
    </row>
    <row r="63" spans="2:20" ht="17.25" thickTop="1" x14ac:dyDescent="0.2">
      <c r="B63" s="7"/>
      <c r="C63" s="88" t="s">
        <v>19</v>
      </c>
      <c r="D63" s="89" t="s">
        <v>14</v>
      </c>
      <c r="E63" s="89" t="s">
        <v>23</v>
      </c>
      <c r="F63" s="89" t="s">
        <v>24</v>
      </c>
      <c r="G63" s="90" t="s">
        <v>15</v>
      </c>
      <c r="H63" s="89" t="s">
        <v>17</v>
      </c>
      <c r="I63" s="89" t="s">
        <v>16</v>
      </c>
      <c r="J63" s="91">
        <v>0</v>
      </c>
    </row>
    <row r="64" spans="2:20" ht="16.5" x14ac:dyDescent="0.25">
      <c r="B64" s="8"/>
      <c r="C64" s="92">
        <v>1</v>
      </c>
      <c r="D64" s="93" t="s">
        <v>20</v>
      </c>
      <c r="E64" s="94">
        <f>SUM(G4,G5:G6,G7,G11,G13,G14,G16:G17,G20,G21,G22:G23,G24,G27)</f>
        <v>44172</v>
      </c>
      <c r="F64" s="95">
        <f>SUM(K4,K5,K7,K11,K13,K14,K16,K20,K21,K22,K24,K27)</f>
        <v>7359</v>
      </c>
      <c r="G64" s="96">
        <f>SUM(F4,F5,F7,F11,F13,F14,F16,F20,F21,F22:F23,F24,F27)</f>
        <v>2973.4999999999995</v>
      </c>
      <c r="H64" s="96">
        <f>SUM(H4,H5,H7,H11,H13,H14,H16,H20,H21,H22:H23,H24,H27)</f>
        <v>2957.152</v>
      </c>
      <c r="I64" s="97">
        <f t="shared" ref="I64:I69" si="1">(G64-H64)/G64</f>
        <v>5.4978980998821271E-3</v>
      </c>
      <c r="J64" s="98">
        <f>(E64+G8+G12+G25+G28+G29)*24/(F64/60)/15000</f>
        <v>0.67588748471259674</v>
      </c>
      <c r="P64" s="65"/>
    </row>
    <row r="65" spans="2:20" s="1" customFormat="1" ht="16.5" x14ac:dyDescent="0.25">
      <c r="B65" s="8"/>
      <c r="C65" s="99">
        <v>2</v>
      </c>
      <c r="D65" s="100" t="s">
        <v>21</v>
      </c>
      <c r="E65" s="101">
        <f>SUM(G10,G18,G26)</f>
        <v>12685</v>
      </c>
      <c r="F65" s="102">
        <f>SUM(K9,K18,K26)</f>
        <v>1894</v>
      </c>
      <c r="G65" s="103">
        <f>SUM(F10,F18,F26)</f>
        <v>840</v>
      </c>
      <c r="H65" s="103">
        <f>SUM(H10,H18,H26)</f>
        <v>837.21</v>
      </c>
      <c r="I65" s="97">
        <f t="shared" si="1"/>
        <v>3.3214285714285282E-3</v>
      </c>
      <c r="J65" s="111">
        <f>(E65)*24/(F65/60)/15000</f>
        <v>0.6429567053854276</v>
      </c>
      <c r="K65"/>
      <c r="L65"/>
      <c r="M65" s="2"/>
      <c r="Q65"/>
      <c r="R65"/>
      <c r="S65"/>
      <c r="T65"/>
    </row>
    <row r="66" spans="2:20" s="1" customFormat="1" ht="16.5" x14ac:dyDescent="0.25">
      <c r="B66" s="8"/>
      <c r="C66" s="99">
        <v>3</v>
      </c>
      <c r="D66" s="100" t="s">
        <v>18</v>
      </c>
      <c r="E66" s="101">
        <f>SUM(G15,G19,G25)</f>
        <v>10092</v>
      </c>
      <c r="F66" s="102">
        <f>SUM(K15,K19,K24)</f>
        <v>1970</v>
      </c>
      <c r="G66" s="101">
        <f>SUM(F15,F19,F25)</f>
        <v>705.49999999999989</v>
      </c>
      <c r="H66" s="101">
        <f>SUM(H15,H19,H25)</f>
        <v>695.21159999999998</v>
      </c>
      <c r="I66" s="97">
        <f t="shared" si="1"/>
        <v>1.4583132530120358E-2</v>
      </c>
      <c r="J66" s="111">
        <f>(E66+G24)*24/(F66/60)/15000</f>
        <v>0.59130152284263959</v>
      </c>
      <c r="K66"/>
      <c r="L66"/>
      <c r="M66" s="2"/>
      <c r="P66" s="8"/>
      <c r="Q66"/>
      <c r="R66"/>
      <c r="S66" s="6"/>
      <c r="T66"/>
    </row>
    <row r="67" spans="2:20" s="1" customFormat="1" ht="16.5" x14ac:dyDescent="0.25">
      <c r="B67" s="8"/>
      <c r="C67" s="104">
        <v>4</v>
      </c>
      <c r="D67" s="105" t="s">
        <v>26</v>
      </c>
      <c r="E67" s="106">
        <f>SUM(G8,G9,G12,G28:G29)</f>
        <v>5497</v>
      </c>
      <c r="F67" s="107">
        <f>SUM(K7,K9,K11,K27)</f>
        <v>2527</v>
      </c>
      <c r="G67" s="108">
        <f>SUM(F8,F9,F12,F28:F29)</f>
        <v>375.65300999999999</v>
      </c>
      <c r="H67" s="108">
        <f>SUM(H8,H9,H12,H28:H29)</f>
        <v>362.80200000000002</v>
      </c>
      <c r="I67" s="109">
        <f t="shared" si="1"/>
        <v>3.4209788442797179E-2</v>
      </c>
      <c r="J67" s="111">
        <f>(E67+G7+G11+F27)*24/(F67/60)/15000</f>
        <v>0.42359667590027694</v>
      </c>
      <c r="K67"/>
      <c r="L67"/>
      <c r="M67" s="2"/>
      <c r="Q67"/>
      <c r="R67"/>
      <c r="S67" s="6"/>
      <c r="T67"/>
    </row>
    <row r="68" spans="2:20" s="1" customFormat="1" ht="16.5" x14ac:dyDescent="0.25">
      <c r="B68" s="8"/>
      <c r="C68" s="104">
        <v>5</v>
      </c>
      <c r="D68" s="105" t="s">
        <v>25</v>
      </c>
      <c r="E68" s="106"/>
      <c r="F68" s="107"/>
      <c r="G68" s="108"/>
      <c r="H68" s="110"/>
      <c r="I68" s="109" t="e">
        <f t="shared" si="1"/>
        <v>#DIV/0!</v>
      </c>
      <c r="J68" s="111" t="e">
        <f>(E68)*24/(F68/60)/15000</f>
        <v>#DIV/0!</v>
      </c>
      <c r="K68"/>
      <c r="L68"/>
      <c r="M68" s="2"/>
      <c r="Q68"/>
      <c r="R68"/>
      <c r="S68"/>
      <c r="T68"/>
    </row>
    <row r="69" spans="2:20" s="1" customFormat="1" ht="17.25" thickBot="1" x14ac:dyDescent="0.3">
      <c r="C69" s="112"/>
      <c r="D69" s="113" t="s">
        <v>22</v>
      </c>
      <c r="E69" s="114">
        <f>SUM(E64:E68)</f>
        <v>72446</v>
      </c>
      <c r="F69" s="115">
        <f>K59</f>
        <v>10403</v>
      </c>
      <c r="G69" s="116">
        <f>SUM(G64:G68)</f>
        <v>4894.6530099999991</v>
      </c>
      <c r="H69" s="116">
        <f>SUM(H64:H68)</f>
        <v>4852.3755999999994</v>
      </c>
      <c r="I69" s="117">
        <f t="shared" si="1"/>
        <v>8.6374682564065355E-3</v>
      </c>
      <c r="J69" s="118">
        <f>E69*24/(F69/60)/15000</f>
        <v>0.66853945977121987</v>
      </c>
      <c r="K69"/>
      <c r="L69"/>
      <c r="M69" s="2"/>
      <c r="Q69"/>
      <c r="R69"/>
      <c r="S69"/>
      <c r="T69"/>
    </row>
    <row r="70" spans="2:20" s="1" customFormat="1" ht="13.5" thickTop="1" x14ac:dyDescent="0.2">
      <c r="J70"/>
      <c r="K70"/>
      <c r="L70"/>
      <c r="M70" s="2"/>
      <c r="Q70"/>
      <c r="R70"/>
      <c r="S70"/>
      <c r="T70"/>
    </row>
    <row r="71" spans="2:20" s="1" customFormat="1" x14ac:dyDescent="0.2">
      <c r="E71" s="3"/>
      <c r="F71" s="119"/>
      <c r="G71" s="120"/>
      <c r="H71" s="120"/>
      <c r="I71"/>
      <c r="J71"/>
      <c r="K71"/>
      <c r="L71"/>
      <c r="M71" s="2"/>
      <c r="Q71"/>
      <c r="R71"/>
      <c r="S71"/>
      <c r="T71"/>
    </row>
    <row r="72" spans="2:20" s="1" customFormat="1" ht="13.5" customHeight="1" x14ac:dyDescent="0.2">
      <c r="J72"/>
      <c r="K72"/>
      <c r="L72"/>
      <c r="M72" s="2"/>
      <c r="Q72"/>
      <c r="R72"/>
      <c r="S72"/>
      <c r="T72" s="9"/>
    </row>
    <row r="73" spans="2:20" s="1" customFormat="1" ht="12.75" customHeight="1" x14ac:dyDescent="0.2">
      <c r="J73"/>
      <c r="K73"/>
      <c r="L73"/>
      <c r="M73" s="2"/>
      <c r="Q73"/>
      <c r="R73"/>
      <c r="S73"/>
      <c r="T73" s="9"/>
    </row>
    <row r="74" spans="2:20" s="1" customFormat="1" ht="12.75" customHeight="1" x14ac:dyDescent="0.2">
      <c r="J74"/>
      <c r="K74"/>
      <c r="L74"/>
      <c r="M74" s="2"/>
      <c r="Q74"/>
      <c r="R74"/>
      <c r="S74"/>
      <c r="T74" s="9"/>
    </row>
    <row r="75" spans="2:20" s="1" customFormat="1" ht="12.75" customHeight="1" x14ac:dyDescent="0.2">
      <c r="J75"/>
      <c r="K75"/>
      <c r="L75"/>
      <c r="M75" s="2"/>
      <c r="Q75"/>
      <c r="R75"/>
      <c r="S75"/>
      <c r="T75" s="9"/>
    </row>
    <row r="76" spans="2:20" s="1" customFormat="1" ht="12.75" customHeight="1" x14ac:dyDescent="0.2">
      <c r="J76"/>
      <c r="K76"/>
      <c r="L76"/>
      <c r="M76" s="2"/>
      <c r="Q76"/>
      <c r="R76"/>
      <c r="S76"/>
      <c r="T76" s="9"/>
    </row>
    <row r="77" spans="2:20" s="1" customFormat="1" ht="12.75" customHeight="1" x14ac:dyDescent="0.2">
      <c r="J77"/>
      <c r="K77"/>
      <c r="L77"/>
      <c r="M77" s="2"/>
      <c r="Q77"/>
      <c r="R77"/>
      <c r="S77"/>
      <c r="T77" s="9"/>
    </row>
    <row r="78" spans="2:20" s="1" customFormat="1" ht="12.75" customHeight="1" x14ac:dyDescent="0.2">
      <c r="J78"/>
      <c r="K78"/>
      <c r="L78"/>
      <c r="M78" s="2"/>
      <c r="Q78"/>
      <c r="R78"/>
      <c r="S78"/>
      <c r="T78" s="9"/>
    </row>
    <row r="79" spans="2:20" s="1" customFormat="1" x14ac:dyDescent="0.2">
      <c r="J79"/>
      <c r="K79"/>
      <c r="L79"/>
      <c r="M79" s="2"/>
      <c r="Q79"/>
      <c r="R79"/>
      <c r="S79"/>
      <c r="T79" s="9"/>
    </row>
    <row r="80" spans="2:20" s="1" customFormat="1" ht="12.75" customHeight="1" x14ac:dyDescent="0.2">
      <c r="J80"/>
      <c r="K80"/>
      <c r="L80"/>
      <c r="M80" s="2"/>
      <c r="Q80"/>
      <c r="R80"/>
      <c r="S80"/>
      <c r="T80" s="9"/>
    </row>
    <row r="81" spans="10:20" s="1" customFormat="1" ht="12.75" customHeight="1" x14ac:dyDescent="0.2">
      <c r="J81"/>
      <c r="K81"/>
      <c r="L81"/>
      <c r="M81" s="2"/>
      <c r="Q81"/>
      <c r="R81"/>
      <c r="S81"/>
      <c r="T81" s="9"/>
    </row>
    <row r="82" spans="10:20" s="1" customFormat="1" ht="12.75" customHeight="1" x14ac:dyDescent="0.2">
      <c r="J82"/>
      <c r="K82"/>
      <c r="L82"/>
      <c r="M82" s="2"/>
      <c r="Q82"/>
      <c r="R82"/>
      <c r="S82"/>
      <c r="T82" s="9"/>
    </row>
    <row r="83" spans="10:20" s="1" customFormat="1" ht="12.75" customHeight="1" x14ac:dyDescent="0.2">
      <c r="J83"/>
      <c r="K83"/>
      <c r="L83"/>
      <c r="M83" s="2"/>
      <c r="Q83"/>
      <c r="R83"/>
      <c r="S83"/>
      <c r="T83" s="9"/>
    </row>
    <row r="84" spans="10:20" s="1" customFormat="1" ht="12.75" customHeight="1" x14ac:dyDescent="0.2">
      <c r="J84"/>
      <c r="K84"/>
      <c r="L84"/>
      <c r="M84" s="2"/>
      <c r="Q84"/>
      <c r="R84"/>
      <c r="S84"/>
      <c r="T84" s="9"/>
    </row>
    <row r="85" spans="10:20" s="1" customFormat="1" x14ac:dyDescent="0.2">
      <c r="J85"/>
      <c r="K85"/>
      <c r="L85"/>
      <c r="M85" s="2"/>
      <c r="Q85"/>
      <c r="R85"/>
      <c r="S85"/>
      <c r="T85"/>
    </row>
    <row r="86" spans="10:20" s="1" customFormat="1" x14ac:dyDescent="0.2">
      <c r="J86"/>
      <c r="K86"/>
      <c r="L86"/>
      <c r="M86" s="2"/>
      <c r="Q86"/>
      <c r="R86"/>
      <c r="S86"/>
      <c r="T86"/>
    </row>
    <row r="87" spans="10:20" s="1" customFormat="1" x14ac:dyDescent="0.2">
      <c r="J87"/>
      <c r="K87"/>
      <c r="L87"/>
      <c r="M87" s="2"/>
      <c r="Q87"/>
      <c r="R87"/>
      <c r="S87"/>
      <c r="T87"/>
    </row>
    <row r="88" spans="10:20" s="1" customFormat="1" x14ac:dyDescent="0.2">
      <c r="J88"/>
      <c r="K88"/>
      <c r="L88"/>
      <c r="M88" s="2"/>
      <c r="Q88"/>
      <c r="R88"/>
      <c r="S88"/>
      <c r="T88"/>
    </row>
    <row r="89" spans="10:20" s="1" customFormat="1" x14ac:dyDescent="0.2">
      <c r="J89"/>
      <c r="K89"/>
      <c r="L89"/>
      <c r="M89" s="2"/>
      <c r="Q89"/>
      <c r="R89"/>
      <c r="S89"/>
      <c r="T89"/>
    </row>
    <row r="90" spans="10:20" s="1" customFormat="1" x14ac:dyDescent="0.2">
      <c r="J90"/>
      <c r="K90"/>
      <c r="L90"/>
      <c r="M90" s="2"/>
      <c r="Q90"/>
      <c r="R90"/>
      <c r="S90"/>
      <c r="T90"/>
    </row>
    <row r="91" spans="10:20" s="1" customFormat="1" x14ac:dyDescent="0.2">
      <c r="J91"/>
      <c r="K91"/>
      <c r="L91"/>
      <c r="M91" s="2"/>
      <c r="Q91"/>
      <c r="R91"/>
      <c r="S91"/>
      <c r="T91"/>
    </row>
    <row r="92" spans="10:20" s="1" customFormat="1" x14ac:dyDescent="0.2">
      <c r="J92"/>
      <c r="K92"/>
      <c r="L92"/>
      <c r="M92" s="2"/>
      <c r="Q92"/>
      <c r="R92"/>
      <c r="S92"/>
      <c r="T92"/>
    </row>
    <row r="93" spans="10:20" s="1" customFormat="1" x14ac:dyDescent="0.2">
      <c r="J93"/>
      <c r="K93"/>
      <c r="L93"/>
      <c r="M93" s="2"/>
      <c r="Q93"/>
      <c r="R93"/>
      <c r="S93"/>
      <c r="T93"/>
    </row>
    <row r="94" spans="10:20" s="1" customFormat="1" x14ac:dyDescent="0.2">
      <c r="J94"/>
      <c r="K94"/>
      <c r="L94"/>
      <c r="M94" s="2"/>
      <c r="Q94"/>
      <c r="R94"/>
      <c r="S94"/>
      <c r="T94"/>
    </row>
    <row r="95" spans="10:20" s="1" customFormat="1" x14ac:dyDescent="0.2">
      <c r="J95"/>
      <c r="K95"/>
      <c r="L95"/>
      <c r="M95" s="2"/>
      <c r="Q95"/>
      <c r="R95"/>
      <c r="S95"/>
      <c r="T95"/>
    </row>
    <row r="96" spans="10:20" s="1" customFormat="1" x14ac:dyDescent="0.2">
      <c r="J96"/>
      <c r="K96"/>
      <c r="L96"/>
      <c r="M96" s="2"/>
      <c r="Q96"/>
      <c r="R96"/>
      <c r="S96"/>
      <c r="T96"/>
    </row>
    <row r="97" spans="10:20" s="1" customFormat="1" x14ac:dyDescent="0.2">
      <c r="J97"/>
      <c r="K97"/>
      <c r="L97"/>
      <c r="M97" s="2"/>
      <c r="Q97"/>
      <c r="R97"/>
      <c r="S97"/>
      <c r="T97"/>
    </row>
    <row r="98" spans="10:20" s="1" customFormat="1" x14ac:dyDescent="0.2">
      <c r="J98"/>
      <c r="K98"/>
      <c r="L98"/>
      <c r="M98" s="2"/>
      <c r="Q98"/>
      <c r="R98"/>
      <c r="S98"/>
      <c r="T98"/>
    </row>
    <row r="99" spans="10:20" s="1" customFormat="1" x14ac:dyDescent="0.2">
      <c r="J99"/>
      <c r="K99"/>
      <c r="L99"/>
      <c r="M99" s="2"/>
      <c r="Q99"/>
      <c r="R99"/>
      <c r="S99"/>
      <c r="T99"/>
    </row>
    <row r="100" spans="10:20" s="1" customFormat="1" x14ac:dyDescent="0.2">
      <c r="J100"/>
      <c r="K100"/>
      <c r="L100"/>
      <c r="M100" s="2"/>
      <c r="Q100"/>
      <c r="R100"/>
      <c r="S100"/>
      <c r="T100"/>
    </row>
    <row r="101" spans="10:20" s="1" customFormat="1" x14ac:dyDescent="0.2">
      <c r="J101"/>
      <c r="K101"/>
      <c r="L101"/>
      <c r="M101" s="2"/>
      <c r="Q101"/>
      <c r="R101"/>
      <c r="S101"/>
      <c r="T101"/>
    </row>
    <row r="102" spans="10:20" s="1" customFormat="1" x14ac:dyDescent="0.2">
      <c r="J102"/>
      <c r="K102"/>
      <c r="L102"/>
      <c r="M102" s="2"/>
      <c r="Q102"/>
      <c r="R102"/>
      <c r="S102"/>
      <c r="T102"/>
    </row>
    <row r="103" spans="10:20" s="1" customFormat="1" x14ac:dyDescent="0.2">
      <c r="J103"/>
      <c r="K103"/>
      <c r="L103"/>
      <c r="M103" s="2"/>
      <c r="Q103"/>
      <c r="R103"/>
      <c r="S103"/>
      <c r="T103"/>
    </row>
    <row r="104" spans="10:20" s="1" customFormat="1" x14ac:dyDescent="0.2">
      <c r="J104"/>
      <c r="K104"/>
      <c r="L104"/>
      <c r="M104" s="2"/>
      <c r="Q104"/>
      <c r="R104"/>
      <c r="S104"/>
      <c r="T104"/>
    </row>
    <row r="105" spans="10:20" s="1" customFormat="1" x14ac:dyDescent="0.2">
      <c r="J105"/>
      <c r="K105"/>
      <c r="L105"/>
      <c r="M105" s="2"/>
      <c r="Q105"/>
      <c r="R105"/>
      <c r="S105"/>
      <c r="T105"/>
    </row>
    <row r="106" spans="10:20" s="1" customFormat="1" x14ac:dyDescent="0.2">
      <c r="J106"/>
      <c r="K106"/>
      <c r="L106"/>
      <c r="M106" s="2"/>
      <c r="Q106"/>
      <c r="R106"/>
      <c r="S106"/>
      <c r="T106"/>
    </row>
    <row r="107" spans="10:20" s="1" customFormat="1" x14ac:dyDescent="0.2">
      <c r="J107"/>
      <c r="K107"/>
      <c r="L107"/>
      <c r="M107" s="2"/>
      <c r="Q107"/>
      <c r="R107"/>
      <c r="S107"/>
      <c r="T107"/>
    </row>
    <row r="108" spans="10:20" s="1" customFormat="1" x14ac:dyDescent="0.2">
      <c r="J108"/>
      <c r="K108"/>
      <c r="L108"/>
      <c r="M108" s="2"/>
      <c r="Q108"/>
      <c r="R108"/>
      <c r="S108"/>
      <c r="T108"/>
    </row>
    <row r="109" spans="10:20" s="1" customFormat="1" x14ac:dyDescent="0.2">
      <c r="J109"/>
      <c r="K109"/>
      <c r="L109"/>
      <c r="M109" s="2"/>
      <c r="Q109"/>
      <c r="R109"/>
      <c r="S109"/>
      <c r="T109"/>
    </row>
    <row r="110" spans="10:20" s="1" customFormat="1" x14ac:dyDescent="0.2">
      <c r="J110"/>
      <c r="K110"/>
      <c r="L110"/>
      <c r="M110" s="2"/>
      <c r="Q110"/>
      <c r="R110"/>
      <c r="S110"/>
      <c r="T110"/>
    </row>
    <row r="111" spans="10:20" s="1" customFormat="1" x14ac:dyDescent="0.2">
      <c r="J111"/>
      <c r="K111"/>
      <c r="L111"/>
      <c r="M111" s="2"/>
      <c r="Q111"/>
      <c r="R111"/>
      <c r="S111"/>
      <c r="T111"/>
    </row>
    <row r="112" spans="10:20" s="1" customFormat="1" x14ac:dyDescent="0.2">
      <c r="J112"/>
      <c r="K112"/>
      <c r="L112"/>
      <c r="M112" s="2"/>
      <c r="Q112"/>
      <c r="R112"/>
      <c r="S112"/>
      <c r="T112"/>
    </row>
    <row r="113" spans="10:20" s="1" customFormat="1" x14ac:dyDescent="0.2">
      <c r="J113"/>
      <c r="K113"/>
      <c r="L113"/>
      <c r="M113" s="2"/>
      <c r="Q113"/>
      <c r="R113"/>
      <c r="S113"/>
      <c r="T113"/>
    </row>
    <row r="114" spans="10:20" s="1" customFormat="1" x14ac:dyDescent="0.2">
      <c r="J114"/>
      <c r="K114"/>
      <c r="L114"/>
      <c r="M114" s="2"/>
      <c r="Q114"/>
      <c r="R114"/>
      <c r="S114"/>
      <c r="T114"/>
    </row>
    <row r="115" spans="10:20" s="1" customFormat="1" x14ac:dyDescent="0.2">
      <c r="J115"/>
      <c r="K115"/>
      <c r="L115"/>
      <c r="M115" s="2"/>
      <c r="Q115"/>
      <c r="R115"/>
      <c r="S115"/>
      <c r="T115"/>
    </row>
    <row r="116" spans="10:20" s="1" customFormat="1" x14ac:dyDescent="0.2">
      <c r="J116"/>
      <c r="K116"/>
      <c r="L116"/>
      <c r="M116" s="2"/>
      <c r="Q116"/>
      <c r="R116"/>
      <c r="S116"/>
      <c r="T116"/>
    </row>
    <row r="117" spans="10:20" s="1" customFormat="1" x14ac:dyDescent="0.2">
      <c r="J117"/>
      <c r="K117"/>
      <c r="L117"/>
      <c r="M117" s="2"/>
      <c r="Q117"/>
      <c r="R117"/>
      <c r="S117"/>
      <c r="T117"/>
    </row>
    <row r="118" spans="10:20" s="1" customFormat="1" x14ac:dyDescent="0.2">
      <c r="J118"/>
      <c r="K118"/>
      <c r="L118"/>
      <c r="M118" s="2"/>
      <c r="Q118"/>
      <c r="R118"/>
      <c r="S118"/>
      <c r="T118"/>
    </row>
    <row r="119" spans="10:20" s="1" customFormat="1" x14ac:dyDescent="0.2">
      <c r="J119"/>
      <c r="K119"/>
      <c r="L119"/>
      <c r="M119" s="2"/>
      <c r="Q119"/>
      <c r="R119"/>
      <c r="S119"/>
      <c r="T119"/>
    </row>
    <row r="120" spans="10:20" s="1" customFormat="1" x14ac:dyDescent="0.2">
      <c r="J120"/>
      <c r="K120"/>
      <c r="L120"/>
      <c r="M120" s="2"/>
      <c r="Q120"/>
      <c r="R120"/>
      <c r="S120"/>
      <c r="T120"/>
    </row>
    <row r="121" spans="10:20" s="1" customFormat="1" x14ac:dyDescent="0.2">
      <c r="J121"/>
      <c r="K121"/>
      <c r="L121"/>
      <c r="M121" s="2"/>
      <c r="Q121"/>
      <c r="R121"/>
      <c r="S121"/>
      <c r="T121"/>
    </row>
    <row r="122" spans="10:20" s="1" customFormat="1" x14ac:dyDescent="0.2">
      <c r="J122"/>
      <c r="K122"/>
      <c r="L122"/>
      <c r="M122" s="2"/>
      <c r="Q122"/>
      <c r="R122"/>
      <c r="S122"/>
      <c r="T122"/>
    </row>
    <row r="123" spans="10:20" s="1" customFormat="1" x14ac:dyDescent="0.2">
      <c r="J123"/>
      <c r="K123"/>
      <c r="L123"/>
      <c r="M123" s="2"/>
      <c r="Q123"/>
      <c r="R123"/>
      <c r="S123"/>
      <c r="T123"/>
    </row>
    <row r="124" spans="10:20" s="1" customFormat="1" x14ac:dyDescent="0.2">
      <c r="J124"/>
      <c r="K124"/>
      <c r="L124"/>
      <c r="M124" s="2"/>
      <c r="Q124"/>
      <c r="R124"/>
      <c r="S124"/>
      <c r="T124"/>
    </row>
    <row r="125" spans="10:20" s="1" customFormat="1" x14ac:dyDescent="0.2">
      <c r="J125"/>
      <c r="K125"/>
      <c r="L125"/>
      <c r="M125" s="2"/>
      <c r="Q125"/>
      <c r="R125"/>
      <c r="S125"/>
      <c r="T125"/>
    </row>
    <row r="126" spans="10:20" s="1" customFormat="1" x14ac:dyDescent="0.2">
      <c r="J126"/>
      <c r="K126"/>
      <c r="L126"/>
      <c r="M126" s="2"/>
      <c r="Q126"/>
      <c r="R126"/>
      <c r="S126"/>
      <c r="T126"/>
    </row>
    <row r="127" spans="10:20" s="1" customFormat="1" x14ac:dyDescent="0.2">
      <c r="J127"/>
      <c r="K127"/>
      <c r="L127"/>
      <c r="M127" s="2"/>
      <c r="Q127"/>
      <c r="R127"/>
      <c r="S127"/>
      <c r="T127"/>
    </row>
    <row r="128" spans="10:20" s="1" customFormat="1" x14ac:dyDescent="0.2">
      <c r="J128"/>
      <c r="K128"/>
      <c r="L128"/>
      <c r="M128" s="2"/>
      <c r="Q128"/>
      <c r="R128"/>
      <c r="S128"/>
      <c r="T128"/>
    </row>
    <row r="129" spans="10:20" s="1" customFormat="1" x14ac:dyDescent="0.2">
      <c r="J129"/>
      <c r="K129"/>
      <c r="L129"/>
      <c r="M129" s="2"/>
      <c r="Q129"/>
      <c r="R129"/>
      <c r="S129"/>
      <c r="T129"/>
    </row>
    <row r="130" spans="10:20" s="1" customFormat="1" x14ac:dyDescent="0.2">
      <c r="J130"/>
      <c r="K130"/>
      <c r="L130"/>
      <c r="M130" s="2"/>
      <c r="Q130"/>
      <c r="R130"/>
      <c r="S130"/>
      <c r="T130"/>
    </row>
    <row r="131" spans="10:20" s="1" customFormat="1" x14ac:dyDescent="0.2">
      <c r="J131"/>
      <c r="K131"/>
      <c r="L131"/>
      <c r="M131" s="2"/>
      <c r="Q131"/>
      <c r="R131"/>
      <c r="S131"/>
      <c r="T131"/>
    </row>
    <row r="132" spans="10:20" s="1" customFormat="1" x14ac:dyDescent="0.2">
      <c r="J132"/>
      <c r="K132"/>
      <c r="L132"/>
      <c r="M132" s="2"/>
      <c r="Q132"/>
      <c r="R132"/>
      <c r="S132"/>
      <c r="T132"/>
    </row>
    <row r="133" spans="10:20" s="1" customFormat="1" x14ac:dyDescent="0.2">
      <c r="J133"/>
      <c r="K133"/>
      <c r="L133"/>
      <c r="M133" s="2"/>
      <c r="Q133"/>
      <c r="R133"/>
      <c r="S133"/>
      <c r="T133"/>
    </row>
    <row r="134" spans="10:20" s="1" customFormat="1" x14ac:dyDescent="0.2">
      <c r="J134"/>
      <c r="K134"/>
      <c r="L134"/>
      <c r="M134" s="2"/>
      <c r="Q134"/>
      <c r="R134"/>
      <c r="S134"/>
      <c r="T134"/>
    </row>
    <row r="135" spans="10:20" s="1" customFormat="1" x14ac:dyDescent="0.2">
      <c r="J135"/>
      <c r="K135"/>
      <c r="L135"/>
      <c r="M135" s="2"/>
      <c r="Q135"/>
      <c r="R135"/>
      <c r="S135"/>
      <c r="T135"/>
    </row>
    <row r="136" spans="10:20" s="1" customFormat="1" x14ac:dyDescent="0.2">
      <c r="J136"/>
      <c r="K136"/>
      <c r="L136"/>
      <c r="M136" s="2"/>
      <c r="Q136"/>
      <c r="R136"/>
      <c r="S136"/>
      <c r="T136"/>
    </row>
    <row r="137" spans="10:20" s="1" customFormat="1" x14ac:dyDescent="0.2">
      <c r="J137"/>
      <c r="K137"/>
      <c r="L137"/>
      <c r="M137" s="2"/>
      <c r="Q137"/>
      <c r="R137"/>
      <c r="S137"/>
      <c r="T137"/>
    </row>
    <row r="138" spans="10:20" s="1" customFormat="1" x14ac:dyDescent="0.2">
      <c r="J138"/>
      <c r="K138"/>
      <c r="L138"/>
      <c r="M138" s="2"/>
      <c r="Q138"/>
      <c r="R138"/>
      <c r="S138"/>
      <c r="T138"/>
    </row>
    <row r="139" spans="10:20" s="1" customFormat="1" x14ac:dyDescent="0.2">
      <c r="J139"/>
      <c r="K139"/>
      <c r="L139"/>
      <c r="M139" s="2"/>
      <c r="Q139"/>
      <c r="R139"/>
      <c r="S139"/>
      <c r="T139"/>
    </row>
    <row r="140" spans="10:20" s="1" customFormat="1" x14ac:dyDescent="0.2">
      <c r="J140"/>
      <c r="K140"/>
      <c r="L140"/>
      <c r="M140" s="2"/>
      <c r="Q140"/>
      <c r="R140"/>
      <c r="S140"/>
      <c r="T140"/>
    </row>
    <row r="141" spans="10:20" s="1" customFormat="1" x14ac:dyDescent="0.2">
      <c r="J141"/>
      <c r="K141"/>
      <c r="L141"/>
      <c r="M141" s="2"/>
      <c r="Q141"/>
      <c r="R141"/>
      <c r="S141"/>
      <c r="T141"/>
    </row>
    <row r="142" spans="10:20" s="1" customFormat="1" x14ac:dyDescent="0.2">
      <c r="J142"/>
      <c r="K142"/>
      <c r="L142"/>
      <c r="M142" s="2"/>
      <c r="Q142"/>
      <c r="R142"/>
      <c r="S142"/>
      <c r="T142"/>
    </row>
    <row r="143" spans="10:20" s="1" customFormat="1" x14ac:dyDescent="0.2">
      <c r="J143"/>
      <c r="K143"/>
      <c r="L143"/>
      <c r="M143" s="2"/>
      <c r="Q143"/>
      <c r="R143"/>
      <c r="S143"/>
      <c r="T143"/>
    </row>
    <row r="144" spans="10:20" s="1" customFormat="1" x14ac:dyDescent="0.2">
      <c r="J144"/>
      <c r="K144"/>
      <c r="L144"/>
      <c r="M144" s="2"/>
      <c r="Q144"/>
      <c r="R144"/>
      <c r="S144"/>
      <c r="T144"/>
    </row>
    <row r="145" spans="10:20" s="1" customFormat="1" x14ac:dyDescent="0.2">
      <c r="J145"/>
      <c r="K145"/>
      <c r="L145"/>
      <c r="M145" s="2"/>
      <c r="Q145"/>
      <c r="R145"/>
      <c r="S145"/>
      <c r="T145"/>
    </row>
    <row r="146" spans="10:20" s="1" customFormat="1" x14ac:dyDescent="0.2">
      <c r="J146"/>
      <c r="K146"/>
      <c r="L146"/>
      <c r="M146" s="2"/>
      <c r="Q146"/>
      <c r="R146"/>
      <c r="S146"/>
      <c r="T146"/>
    </row>
    <row r="147" spans="10:20" s="1" customFormat="1" x14ac:dyDescent="0.2">
      <c r="J147"/>
      <c r="K147"/>
      <c r="L147"/>
      <c r="M147" s="2"/>
      <c r="Q147"/>
      <c r="R147"/>
      <c r="S147"/>
      <c r="T147"/>
    </row>
    <row r="148" spans="10:20" s="1" customFormat="1" x14ac:dyDescent="0.2">
      <c r="J148"/>
      <c r="K148"/>
      <c r="L148"/>
      <c r="M148" s="2"/>
      <c r="Q148"/>
      <c r="R148"/>
      <c r="S148"/>
      <c r="T148"/>
    </row>
    <row r="149" spans="10:20" s="1" customFormat="1" x14ac:dyDescent="0.2">
      <c r="J149"/>
      <c r="K149"/>
      <c r="L149"/>
      <c r="M149" s="2"/>
      <c r="Q149"/>
      <c r="R149"/>
      <c r="S149"/>
      <c r="T149"/>
    </row>
    <row r="150" spans="10:20" s="1" customFormat="1" x14ac:dyDescent="0.2">
      <c r="J150"/>
      <c r="K150"/>
      <c r="L150"/>
      <c r="M150" s="2"/>
      <c r="Q150"/>
      <c r="R150"/>
      <c r="S150"/>
      <c r="T150"/>
    </row>
    <row r="151" spans="10:20" s="1" customFormat="1" x14ac:dyDescent="0.2">
      <c r="J151"/>
      <c r="K151"/>
      <c r="L151"/>
      <c r="M151" s="2"/>
      <c r="Q151"/>
      <c r="R151"/>
      <c r="S151"/>
      <c r="T151"/>
    </row>
    <row r="152" spans="10:20" s="1" customFormat="1" x14ac:dyDescent="0.2">
      <c r="J152"/>
      <c r="K152"/>
      <c r="L152"/>
      <c r="M152" s="2"/>
      <c r="Q152"/>
      <c r="R152"/>
      <c r="S152"/>
      <c r="T152"/>
    </row>
    <row r="153" spans="10:20" s="1" customFormat="1" x14ac:dyDescent="0.2">
      <c r="J153"/>
      <c r="K153"/>
      <c r="L153"/>
      <c r="M153" s="2"/>
      <c r="Q153"/>
      <c r="R153"/>
      <c r="S153"/>
      <c r="T153"/>
    </row>
    <row r="154" spans="10:20" s="1" customFormat="1" x14ac:dyDescent="0.2">
      <c r="J154"/>
      <c r="K154"/>
      <c r="L154"/>
      <c r="M154" s="2"/>
      <c r="Q154"/>
      <c r="R154"/>
      <c r="S154"/>
      <c r="T154"/>
    </row>
    <row r="155" spans="10:20" s="1" customFormat="1" x14ac:dyDescent="0.2">
      <c r="J155"/>
      <c r="K155"/>
      <c r="L155"/>
      <c r="M155" s="2"/>
      <c r="Q155"/>
      <c r="R155"/>
      <c r="S155"/>
      <c r="T155"/>
    </row>
    <row r="156" spans="10:20" s="1" customFormat="1" x14ac:dyDescent="0.2">
      <c r="J156"/>
      <c r="K156"/>
      <c r="L156"/>
      <c r="M156" s="2"/>
      <c r="Q156"/>
      <c r="R156"/>
      <c r="S156"/>
      <c r="T156"/>
    </row>
    <row r="157" spans="10:20" s="1" customFormat="1" x14ac:dyDescent="0.2">
      <c r="J157"/>
      <c r="K157"/>
      <c r="L157"/>
      <c r="M157" s="2"/>
      <c r="Q157"/>
      <c r="R157"/>
      <c r="S157"/>
      <c r="T157"/>
    </row>
    <row r="158" spans="10:20" s="1" customFormat="1" x14ac:dyDescent="0.2">
      <c r="J158"/>
      <c r="K158"/>
      <c r="L158"/>
      <c r="M158" s="2"/>
      <c r="Q158"/>
      <c r="R158"/>
      <c r="S158"/>
      <c r="T158"/>
    </row>
    <row r="159" spans="10:20" s="1" customFormat="1" x14ac:dyDescent="0.2">
      <c r="J159"/>
      <c r="K159"/>
      <c r="L159"/>
      <c r="M159" s="2"/>
      <c r="Q159"/>
      <c r="R159"/>
      <c r="S159"/>
      <c r="T159"/>
    </row>
    <row r="160" spans="10:20" s="1" customFormat="1" x14ac:dyDescent="0.2">
      <c r="J160"/>
      <c r="K160"/>
      <c r="L160"/>
      <c r="M160" s="2"/>
      <c r="Q160"/>
      <c r="R160"/>
      <c r="S160"/>
      <c r="T160"/>
    </row>
    <row r="161" spans="10:20" s="1" customFormat="1" x14ac:dyDescent="0.2">
      <c r="J161"/>
      <c r="K161"/>
      <c r="L161"/>
      <c r="M161" s="2"/>
      <c r="Q161"/>
      <c r="R161"/>
      <c r="S161"/>
      <c r="T161"/>
    </row>
    <row r="162" spans="10:20" s="1" customFormat="1" x14ac:dyDescent="0.2">
      <c r="J162"/>
      <c r="K162"/>
      <c r="L162"/>
      <c r="M162" s="2"/>
      <c r="Q162"/>
      <c r="R162"/>
      <c r="S162"/>
      <c r="T162"/>
    </row>
    <row r="163" spans="10:20" s="1" customFormat="1" x14ac:dyDescent="0.2">
      <c r="J163"/>
      <c r="K163"/>
      <c r="L163"/>
      <c r="M163" s="2"/>
      <c r="Q163"/>
      <c r="R163"/>
      <c r="S163"/>
      <c r="T163"/>
    </row>
    <row r="164" spans="10:20" s="1" customFormat="1" x14ac:dyDescent="0.2">
      <c r="J164"/>
      <c r="K164"/>
      <c r="L164"/>
      <c r="M164" s="2"/>
      <c r="Q164"/>
      <c r="R164"/>
      <c r="S164"/>
      <c r="T164"/>
    </row>
    <row r="165" spans="10:20" s="1" customFormat="1" x14ac:dyDescent="0.2">
      <c r="J165"/>
      <c r="K165"/>
      <c r="L165"/>
      <c r="M165" s="2"/>
      <c r="Q165"/>
      <c r="R165"/>
      <c r="S165"/>
      <c r="T165"/>
    </row>
    <row r="166" spans="10:20" s="1" customFormat="1" x14ac:dyDescent="0.2">
      <c r="J166"/>
      <c r="K166"/>
      <c r="L166"/>
      <c r="M166" s="2"/>
      <c r="Q166"/>
      <c r="R166"/>
      <c r="S166"/>
      <c r="T166"/>
    </row>
    <row r="167" spans="10:20" s="1" customFormat="1" x14ac:dyDescent="0.2">
      <c r="J167"/>
      <c r="K167"/>
      <c r="L167"/>
      <c r="M167" s="2"/>
      <c r="Q167"/>
      <c r="R167"/>
      <c r="S167"/>
      <c r="T167"/>
    </row>
    <row r="168" spans="10:20" s="1" customFormat="1" x14ac:dyDescent="0.2">
      <c r="J168"/>
      <c r="K168"/>
      <c r="L168"/>
      <c r="M168" s="2"/>
      <c r="Q168"/>
      <c r="R168"/>
      <c r="S168"/>
      <c r="T168"/>
    </row>
    <row r="169" spans="10:20" s="1" customFormat="1" x14ac:dyDescent="0.2">
      <c r="J169"/>
      <c r="K169"/>
      <c r="L169"/>
      <c r="M169" s="2"/>
      <c r="Q169"/>
      <c r="R169"/>
      <c r="S169"/>
      <c r="T169"/>
    </row>
    <row r="170" spans="10:20" s="1" customFormat="1" x14ac:dyDescent="0.2">
      <c r="J170"/>
      <c r="K170"/>
      <c r="L170"/>
      <c r="M170" s="2"/>
      <c r="Q170"/>
      <c r="R170"/>
      <c r="S170"/>
      <c r="T170"/>
    </row>
    <row r="171" spans="10:20" s="1" customFormat="1" x14ac:dyDescent="0.2">
      <c r="J171"/>
      <c r="K171"/>
      <c r="L171"/>
      <c r="M171" s="2"/>
      <c r="Q171"/>
      <c r="R171"/>
      <c r="S171"/>
      <c r="T171"/>
    </row>
    <row r="172" spans="10:20" s="1" customFormat="1" x14ac:dyDescent="0.2">
      <c r="J172"/>
      <c r="K172"/>
      <c r="L172"/>
      <c r="M172" s="2"/>
      <c r="Q172"/>
      <c r="R172"/>
      <c r="S172"/>
      <c r="T172"/>
    </row>
    <row r="173" spans="10:20" s="1" customFormat="1" x14ac:dyDescent="0.2">
      <c r="J173"/>
      <c r="K173"/>
      <c r="L173"/>
      <c r="M173" s="2"/>
      <c r="Q173"/>
      <c r="R173"/>
      <c r="S173"/>
      <c r="T173"/>
    </row>
    <row r="174" spans="10:20" s="1" customFormat="1" x14ac:dyDescent="0.2">
      <c r="J174"/>
      <c r="K174"/>
      <c r="L174"/>
      <c r="M174" s="2"/>
      <c r="Q174"/>
      <c r="R174"/>
      <c r="S174"/>
      <c r="T174"/>
    </row>
    <row r="175" spans="10:20" s="1" customFormat="1" x14ac:dyDescent="0.2">
      <c r="J175"/>
      <c r="K175"/>
      <c r="L175"/>
      <c r="M175" s="2"/>
      <c r="Q175"/>
      <c r="R175"/>
      <c r="S175"/>
      <c r="T175"/>
    </row>
    <row r="176" spans="10:20" s="1" customFormat="1" x14ac:dyDescent="0.2">
      <c r="J176"/>
      <c r="K176"/>
      <c r="L176"/>
      <c r="M176" s="2"/>
      <c r="Q176"/>
      <c r="R176"/>
      <c r="S176"/>
      <c r="T176"/>
    </row>
    <row r="177" spans="10:20" s="1" customFormat="1" x14ac:dyDescent="0.2">
      <c r="J177"/>
      <c r="K177"/>
      <c r="L177"/>
      <c r="M177" s="2"/>
      <c r="Q177"/>
      <c r="R177"/>
      <c r="S177"/>
      <c r="T177"/>
    </row>
    <row r="178" spans="10:20" s="1" customFormat="1" x14ac:dyDescent="0.2">
      <c r="J178"/>
      <c r="K178"/>
      <c r="L178"/>
      <c r="M178" s="2"/>
      <c r="Q178"/>
      <c r="R178"/>
      <c r="S178"/>
      <c r="T178"/>
    </row>
    <row r="179" spans="10:20" s="1" customFormat="1" x14ac:dyDescent="0.2">
      <c r="J179"/>
      <c r="K179"/>
      <c r="L179"/>
      <c r="M179" s="2"/>
      <c r="Q179"/>
      <c r="R179"/>
      <c r="S179"/>
      <c r="T179"/>
    </row>
    <row r="180" spans="10:20" s="1" customFormat="1" x14ac:dyDescent="0.2">
      <c r="J180"/>
      <c r="K180"/>
      <c r="L180"/>
      <c r="M180" s="2"/>
      <c r="Q180"/>
      <c r="R180"/>
      <c r="S180"/>
      <c r="T180"/>
    </row>
    <row r="181" spans="10:20" s="1" customFormat="1" x14ac:dyDescent="0.2">
      <c r="J181"/>
      <c r="K181"/>
      <c r="L181"/>
      <c r="M181" s="2"/>
      <c r="Q181"/>
      <c r="R181"/>
      <c r="S181"/>
      <c r="T181"/>
    </row>
    <row r="182" spans="10:20" s="1" customFormat="1" x14ac:dyDescent="0.2">
      <c r="J182"/>
      <c r="K182"/>
      <c r="L182"/>
      <c r="M182" s="2"/>
      <c r="Q182"/>
      <c r="R182"/>
      <c r="S182"/>
      <c r="T182"/>
    </row>
    <row r="183" spans="10:20" s="1" customFormat="1" x14ac:dyDescent="0.2">
      <c r="J183"/>
      <c r="K183"/>
      <c r="L183"/>
      <c r="M183" s="2"/>
      <c r="Q183"/>
      <c r="R183"/>
      <c r="S183"/>
      <c r="T183"/>
    </row>
    <row r="184" spans="10:20" s="1" customFormat="1" x14ac:dyDescent="0.2">
      <c r="J184"/>
      <c r="K184"/>
      <c r="L184"/>
      <c r="M184" s="2"/>
      <c r="Q184"/>
      <c r="R184"/>
      <c r="S184"/>
      <c r="T184"/>
    </row>
    <row r="185" spans="10:20" s="1" customFormat="1" x14ac:dyDescent="0.2">
      <c r="J185"/>
      <c r="K185"/>
      <c r="L185"/>
      <c r="M185" s="2"/>
      <c r="Q185"/>
      <c r="R185"/>
      <c r="S185"/>
      <c r="T185"/>
    </row>
    <row r="186" spans="10:20" s="1" customFormat="1" x14ac:dyDescent="0.2">
      <c r="J186"/>
      <c r="K186"/>
      <c r="L186"/>
      <c r="M186" s="2"/>
      <c r="Q186"/>
      <c r="R186"/>
      <c r="S186"/>
      <c r="T186"/>
    </row>
    <row r="187" spans="10:20" s="1" customFormat="1" x14ac:dyDescent="0.2">
      <c r="J187"/>
      <c r="K187"/>
      <c r="L187"/>
      <c r="M187" s="2"/>
      <c r="Q187"/>
      <c r="R187"/>
      <c r="S187"/>
      <c r="T187"/>
    </row>
    <row r="188" spans="10:20" s="1" customFormat="1" x14ac:dyDescent="0.2">
      <c r="J188"/>
      <c r="K188"/>
      <c r="L188"/>
      <c r="M188" s="2"/>
      <c r="Q188"/>
      <c r="R188"/>
      <c r="S188"/>
      <c r="T188"/>
    </row>
    <row r="189" spans="10:20" s="1" customFormat="1" x14ac:dyDescent="0.2">
      <c r="J189"/>
      <c r="K189"/>
      <c r="L189"/>
      <c r="M189" s="2"/>
      <c r="Q189"/>
      <c r="R189"/>
      <c r="S189"/>
      <c r="T189"/>
    </row>
    <row r="190" spans="10:20" s="1" customFormat="1" x14ac:dyDescent="0.2">
      <c r="J190"/>
      <c r="K190"/>
      <c r="L190"/>
      <c r="M190" s="2"/>
      <c r="Q190"/>
      <c r="R190"/>
      <c r="S190"/>
      <c r="T190"/>
    </row>
    <row r="191" spans="10:20" s="1" customFormat="1" x14ac:dyDescent="0.2">
      <c r="J191"/>
      <c r="K191"/>
      <c r="L191"/>
      <c r="M191" s="2"/>
      <c r="Q191"/>
      <c r="R191"/>
      <c r="S191"/>
      <c r="T191"/>
    </row>
    <row r="192" spans="10:20" s="1" customFormat="1" x14ac:dyDescent="0.2">
      <c r="J192"/>
      <c r="K192"/>
      <c r="L192"/>
      <c r="M192" s="2"/>
      <c r="Q192"/>
      <c r="R192"/>
      <c r="S192"/>
      <c r="T192"/>
    </row>
    <row r="193" spans="10:20" s="1" customFormat="1" x14ac:dyDescent="0.2">
      <c r="J193"/>
      <c r="K193"/>
      <c r="L193"/>
      <c r="M193" s="2"/>
      <c r="Q193"/>
      <c r="R193"/>
      <c r="S193"/>
      <c r="T193"/>
    </row>
    <row r="194" spans="10:20" s="1" customFormat="1" x14ac:dyDescent="0.2">
      <c r="J194"/>
      <c r="K194"/>
      <c r="L194"/>
      <c r="M194" s="2"/>
      <c r="Q194"/>
      <c r="R194"/>
      <c r="S194"/>
      <c r="T194"/>
    </row>
    <row r="195" spans="10:20" s="1" customFormat="1" x14ac:dyDescent="0.2">
      <c r="J195"/>
      <c r="K195"/>
      <c r="L195"/>
      <c r="M195" s="2"/>
      <c r="Q195"/>
      <c r="R195"/>
      <c r="S195"/>
      <c r="T195"/>
    </row>
    <row r="196" spans="10:20" s="1" customFormat="1" x14ac:dyDescent="0.2">
      <c r="J196"/>
      <c r="K196"/>
      <c r="L196"/>
      <c r="M196" s="2"/>
      <c r="Q196"/>
      <c r="R196"/>
      <c r="S196"/>
      <c r="T196"/>
    </row>
    <row r="197" spans="10:20" s="1" customFormat="1" x14ac:dyDescent="0.2">
      <c r="J197"/>
      <c r="K197"/>
      <c r="L197"/>
      <c r="M197" s="2"/>
      <c r="Q197"/>
      <c r="R197"/>
      <c r="S197"/>
      <c r="T197"/>
    </row>
    <row r="198" spans="10:20" s="1" customFormat="1" x14ac:dyDescent="0.2">
      <c r="J198"/>
      <c r="K198"/>
      <c r="L198"/>
      <c r="M198" s="2"/>
      <c r="Q198"/>
      <c r="R198"/>
      <c r="S198"/>
      <c r="T198"/>
    </row>
    <row r="199" spans="10:20" s="1" customFormat="1" x14ac:dyDescent="0.2">
      <c r="J199"/>
      <c r="K199"/>
      <c r="L199"/>
      <c r="M199" s="2"/>
      <c r="Q199"/>
      <c r="R199"/>
      <c r="S199"/>
      <c r="T199"/>
    </row>
    <row r="200" spans="10:20" s="1" customFormat="1" x14ac:dyDescent="0.2">
      <c r="J200"/>
      <c r="K200"/>
      <c r="L200"/>
      <c r="M200" s="2"/>
      <c r="Q200"/>
      <c r="R200"/>
      <c r="S200"/>
      <c r="T200"/>
    </row>
    <row r="201" spans="10:20" s="1" customFormat="1" x14ac:dyDescent="0.2">
      <c r="J201"/>
      <c r="K201"/>
      <c r="L201"/>
      <c r="M201" s="2"/>
      <c r="Q201"/>
      <c r="R201"/>
      <c r="S201"/>
      <c r="T201"/>
    </row>
    <row r="202" spans="10:20" s="1" customFormat="1" x14ac:dyDescent="0.2">
      <c r="J202"/>
      <c r="K202"/>
      <c r="L202"/>
      <c r="M202" s="2"/>
      <c r="Q202"/>
      <c r="R202"/>
      <c r="S202"/>
      <c r="T202"/>
    </row>
    <row r="203" spans="10:20" s="1" customFormat="1" x14ac:dyDescent="0.2">
      <c r="J203"/>
      <c r="K203"/>
      <c r="L203"/>
      <c r="M203" s="2"/>
      <c r="Q203"/>
      <c r="R203"/>
      <c r="S203"/>
      <c r="T203"/>
    </row>
    <row r="204" spans="10:20" s="1" customFormat="1" x14ac:dyDescent="0.2">
      <c r="J204"/>
      <c r="K204"/>
      <c r="L204"/>
      <c r="M204" s="2"/>
      <c r="Q204"/>
      <c r="R204"/>
      <c r="S204"/>
      <c r="T204"/>
    </row>
    <row r="205" spans="10:20" s="1" customFormat="1" x14ac:dyDescent="0.2">
      <c r="J205"/>
      <c r="K205"/>
      <c r="L205"/>
      <c r="M205" s="2"/>
      <c r="Q205"/>
      <c r="R205"/>
      <c r="S205"/>
      <c r="T205"/>
    </row>
    <row r="206" spans="10:20" s="1" customFormat="1" x14ac:dyDescent="0.2">
      <c r="J206"/>
      <c r="K206"/>
      <c r="L206"/>
      <c r="M206" s="2"/>
      <c r="Q206"/>
      <c r="R206"/>
      <c r="S206"/>
      <c r="T206"/>
    </row>
    <row r="207" spans="10:20" s="1" customFormat="1" x14ac:dyDescent="0.2">
      <c r="J207"/>
      <c r="K207"/>
      <c r="L207"/>
      <c r="M207" s="2"/>
      <c r="Q207"/>
      <c r="R207"/>
      <c r="S207"/>
      <c r="T207"/>
    </row>
    <row r="208" spans="10:20" s="1" customFormat="1" x14ac:dyDescent="0.2">
      <c r="J208"/>
      <c r="K208"/>
      <c r="L208"/>
      <c r="M208" s="2"/>
      <c r="Q208"/>
      <c r="R208"/>
      <c r="S208"/>
      <c r="T208"/>
    </row>
    <row r="209" spans="10:20" s="1" customFormat="1" x14ac:dyDescent="0.2">
      <c r="J209"/>
      <c r="K209"/>
      <c r="L209"/>
      <c r="M209" s="2"/>
      <c r="Q209"/>
      <c r="R209"/>
      <c r="S209"/>
      <c r="T209"/>
    </row>
    <row r="210" spans="10:20" s="1" customFormat="1" x14ac:dyDescent="0.2">
      <c r="J210"/>
      <c r="K210"/>
      <c r="L210"/>
      <c r="M210" s="2"/>
      <c r="Q210"/>
      <c r="R210"/>
      <c r="S210"/>
      <c r="T210"/>
    </row>
    <row r="211" spans="10:20" s="1" customFormat="1" x14ac:dyDescent="0.2">
      <c r="J211"/>
      <c r="K211"/>
      <c r="L211"/>
      <c r="M211" s="2"/>
      <c r="Q211"/>
      <c r="R211"/>
      <c r="S211"/>
      <c r="T211"/>
    </row>
    <row r="212" spans="10:20" s="1" customFormat="1" x14ac:dyDescent="0.2">
      <c r="J212"/>
      <c r="K212"/>
      <c r="L212"/>
      <c r="M212" s="2"/>
      <c r="Q212"/>
      <c r="R212"/>
      <c r="S212"/>
      <c r="T212"/>
    </row>
    <row r="213" spans="10:20" s="1" customFormat="1" x14ac:dyDescent="0.2">
      <c r="J213"/>
      <c r="K213"/>
      <c r="L213"/>
      <c r="M213" s="2"/>
      <c r="Q213"/>
      <c r="R213"/>
      <c r="S213"/>
      <c r="T213"/>
    </row>
    <row r="214" spans="10:20" s="1" customFormat="1" x14ac:dyDescent="0.2">
      <c r="J214"/>
      <c r="K214"/>
      <c r="L214"/>
      <c r="M214" s="2"/>
      <c r="Q214"/>
      <c r="R214"/>
      <c r="S214"/>
      <c r="T214"/>
    </row>
    <row r="215" spans="10:20" s="1" customFormat="1" x14ac:dyDescent="0.2">
      <c r="J215"/>
      <c r="K215"/>
      <c r="L215"/>
      <c r="M215" s="2"/>
      <c r="Q215"/>
      <c r="R215"/>
      <c r="S215"/>
      <c r="T215"/>
    </row>
    <row r="216" spans="10:20" s="1" customFormat="1" x14ac:dyDescent="0.2">
      <c r="J216"/>
      <c r="K216"/>
      <c r="L216"/>
      <c r="M216" s="2"/>
      <c r="Q216"/>
      <c r="R216"/>
      <c r="S216"/>
      <c r="T216"/>
    </row>
    <row r="217" spans="10:20" s="1" customFormat="1" x14ac:dyDescent="0.2">
      <c r="J217"/>
      <c r="K217"/>
      <c r="L217"/>
      <c r="M217" s="2"/>
      <c r="Q217"/>
      <c r="R217"/>
      <c r="S217"/>
      <c r="T217"/>
    </row>
    <row r="218" spans="10:20" s="1" customFormat="1" x14ac:dyDescent="0.2">
      <c r="J218"/>
      <c r="K218"/>
      <c r="L218"/>
      <c r="M218" s="2"/>
      <c r="Q218"/>
      <c r="R218"/>
      <c r="S218"/>
      <c r="T218"/>
    </row>
    <row r="219" spans="10:20" s="1" customFormat="1" x14ac:dyDescent="0.2">
      <c r="J219"/>
      <c r="K219"/>
      <c r="L219"/>
      <c r="M219" s="2"/>
      <c r="Q219"/>
      <c r="R219"/>
      <c r="S219"/>
      <c r="T219"/>
    </row>
    <row r="220" spans="10:20" s="1" customFormat="1" x14ac:dyDescent="0.2">
      <c r="J220"/>
      <c r="K220"/>
      <c r="L220"/>
      <c r="M220" s="2"/>
      <c r="Q220"/>
      <c r="R220"/>
      <c r="S220"/>
      <c r="T220"/>
    </row>
    <row r="221" spans="10:20" s="1" customFormat="1" x14ac:dyDescent="0.2">
      <c r="J221"/>
      <c r="K221"/>
      <c r="L221"/>
      <c r="M221" s="2"/>
      <c r="Q221"/>
      <c r="R221"/>
      <c r="S221"/>
      <c r="T221"/>
    </row>
    <row r="222" spans="10:20" s="1" customFormat="1" x14ac:dyDescent="0.2">
      <c r="J222"/>
      <c r="K222"/>
      <c r="L222"/>
      <c r="M222" s="2"/>
      <c r="Q222"/>
      <c r="R222"/>
      <c r="S222"/>
      <c r="T222"/>
    </row>
    <row r="223" spans="10:20" s="1" customFormat="1" x14ac:dyDescent="0.2">
      <c r="J223"/>
      <c r="K223"/>
      <c r="L223"/>
      <c r="M223" s="2"/>
      <c r="Q223"/>
      <c r="R223"/>
      <c r="S223"/>
      <c r="T223"/>
    </row>
    <row r="224" spans="10:20" s="1" customFormat="1" x14ac:dyDescent="0.2">
      <c r="J224"/>
      <c r="K224"/>
      <c r="L224"/>
      <c r="M224" s="2"/>
      <c r="Q224"/>
      <c r="R224"/>
      <c r="S224"/>
      <c r="T224"/>
    </row>
    <row r="225" spans="10:20" s="1" customFormat="1" x14ac:dyDescent="0.2">
      <c r="J225"/>
      <c r="K225"/>
      <c r="L225"/>
      <c r="M225" s="2"/>
      <c r="Q225"/>
      <c r="R225"/>
      <c r="S225"/>
      <c r="T225"/>
    </row>
    <row r="226" spans="10:20" s="1" customFormat="1" x14ac:dyDescent="0.2">
      <c r="J226"/>
      <c r="K226"/>
      <c r="L226"/>
      <c r="M226" s="2"/>
      <c r="Q226"/>
      <c r="R226"/>
      <c r="S226"/>
      <c r="T226"/>
    </row>
    <row r="227" spans="10:20" s="1" customFormat="1" x14ac:dyDescent="0.2">
      <c r="J227"/>
      <c r="K227"/>
      <c r="L227"/>
      <c r="M227" s="2"/>
      <c r="Q227"/>
      <c r="R227"/>
      <c r="S227"/>
      <c r="T227"/>
    </row>
    <row r="228" spans="10:20" s="1" customFormat="1" x14ac:dyDescent="0.2">
      <c r="J228"/>
      <c r="K228"/>
      <c r="L228"/>
      <c r="M228" s="2"/>
      <c r="Q228"/>
      <c r="R228"/>
      <c r="S228"/>
      <c r="T228"/>
    </row>
    <row r="229" spans="10:20" s="1" customFormat="1" x14ac:dyDescent="0.2">
      <c r="J229"/>
      <c r="K229"/>
      <c r="L229"/>
      <c r="M229" s="2"/>
      <c r="Q229"/>
      <c r="R229"/>
      <c r="S229"/>
      <c r="T229"/>
    </row>
    <row r="230" spans="10:20" s="1" customFormat="1" x14ac:dyDescent="0.2">
      <c r="J230"/>
      <c r="K230"/>
      <c r="L230"/>
      <c r="M230" s="2"/>
      <c r="Q230"/>
      <c r="R230"/>
      <c r="S230"/>
      <c r="T230"/>
    </row>
    <row r="231" spans="10:20" s="1" customFormat="1" x14ac:dyDescent="0.2">
      <c r="J231"/>
      <c r="K231"/>
      <c r="L231"/>
      <c r="M231" s="2"/>
      <c r="Q231"/>
      <c r="R231"/>
      <c r="S231"/>
      <c r="T231"/>
    </row>
    <row r="232" spans="10:20" s="1" customFormat="1" x14ac:dyDescent="0.2">
      <c r="J232"/>
      <c r="K232"/>
      <c r="L232"/>
      <c r="M232" s="2"/>
      <c r="Q232"/>
      <c r="R232"/>
      <c r="S232"/>
      <c r="T232"/>
    </row>
    <row r="233" spans="10:20" s="1" customFormat="1" x14ac:dyDescent="0.2">
      <c r="J233"/>
      <c r="K233"/>
      <c r="L233"/>
      <c r="M233" s="2"/>
      <c r="Q233"/>
      <c r="R233"/>
      <c r="S233"/>
      <c r="T233"/>
    </row>
    <row r="234" spans="10:20" s="1" customFormat="1" x14ac:dyDescent="0.2">
      <c r="J234"/>
      <c r="K234"/>
      <c r="L234"/>
      <c r="M234" s="2"/>
      <c r="Q234"/>
      <c r="R234"/>
      <c r="S234"/>
      <c r="T234"/>
    </row>
    <row r="235" spans="10:20" s="1" customFormat="1" x14ac:dyDescent="0.2">
      <c r="J235"/>
      <c r="K235"/>
      <c r="L235"/>
      <c r="M235" s="2"/>
      <c r="Q235"/>
      <c r="R235"/>
      <c r="S235"/>
      <c r="T235"/>
    </row>
    <row r="236" spans="10:20" s="1" customFormat="1" x14ac:dyDescent="0.2">
      <c r="J236"/>
      <c r="K236"/>
      <c r="L236"/>
      <c r="M236" s="2"/>
      <c r="Q236"/>
      <c r="R236"/>
      <c r="S236"/>
      <c r="T236"/>
    </row>
    <row r="237" spans="10:20" s="1" customFormat="1" x14ac:dyDescent="0.2">
      <c r="J237"/>
      <c r="K237"/>
      <c r="L237"/>
      <c r="M237" s="2"/>
      <c r="Q237"/>
      <c r="R237"/>
      <c r="S237"/>
      <c r="T237"/>
    </row>
    <row r="238" spans="10:20" s="1" customFormat="1" x14ac:dyDescent="0.2">
      <c r="J238"/>
      <c r="K238"/>
      <c r="L238"/>
      <c r="M238" s="2"/>
      <c r="Q238"/>
      <c r="R238"/>
      <c r="S238"/>
      <c r="T238"/>
    </row>
    <row r="239" spans="10:20" s="1" customFormat="1" x14ac:dyDescent="0.2">
      <c r="J239"/>
      <c r="K239"/>
      <c r="L239"/>
      <c r="M239" s="2"/>
      <c r="Q239"/>
      <c r="R239"/>
      <c r="S239"/>
      <c r="T239"/>
    </row>
    <row r="240" spans="10:20" s="1" customFormat="1" x14ac:dyDescent="0.2">
      <c r="J240"/>
      <c r="K240"/>
      <c r="L240"/>
      <c r="M240" s="2"/>
      <c r="Q240"/>
      <c r="R240"/>
      <c r="S240"/>
      <c r="T240"/>
    </row>
    <row r="241" spans="10:20" s="1" customFormat="1" x14ac:dyDescent="0.2">
      <c r="J241"/>
      <c r="K241"/>
      <c r="L241"/>
      <c r="M241" s="2"/>
      <c r="Q241"/>
      <c r="R241"/>
      <c r="S241"/>
      <c r="T241"/>
    </row>
    <row r="242" spans="10:20" s="1" customFormat="1" x14ac:dyDescent="0.2">
      <c r="J242"/>
      <c r="K242"/>
      <c r="L242"/>
      <c r="M242" s="2"/>
      <c r="Q242"/>
      <c r="R242"/>
      <c r="S242"/>
      <c r="T242"/>
    </row>
    <row r="243" spans="10:20" s="1" customFormat="1" x14ac:dyDescent="0.2">
      <c r="J243"/>
      <c r="K243"/>
      <c r="L243"/>
      <c r="M243" s="2"/>
      <c r="Q243"/>
      <c r="R243"/>
      <c r="S243"/>
      <c r="T243"/>
    </row>
    <row r="244" spans="10:20" s="1" customFormat="1" x14ac:dyDescent="0.2">
      <c r="J244"/>
      <c r="K244"/>
      <c r="L244"/>
      <c r="M244" s="2"/>
      <c r="Q244"/>
      <c r="R244"/>
      <c r="S244"/>
      <c r="T244"/>
    </row>
    <row r="245" spans="10:20" s="1" customFormat="1" x14ac:dyDescent="0.2">
      <c r="J245"/>
      <c r="K245"/>
      <c r="L245"/>
      <c r="M245" s="2"/>
      <c r="Q245"/>
      <c r="R245"/>
      <c r="S245"/>
      <c r="T245"/>
    </row>
    <row r="246" spans="10:20" s="1" customFormat="1" x14ac:dyDescent="0.2">
      <c r="J246"/>
      <c r="K246"/>
      <c r="L246"/>
      <c r="M246" s="2"/>
      <c r="Q246"/>
      <c r="R246"/>
      <c r="S246"/>
      <c r="T246"/>
    </row>
    <row r="247" spans="10:20" s="1" customFormat="1" x14ac:dyDescent="0.2">
      <c r="J247"/>
      <c r="K247"/>
      <c r="L247"/>
      <c r="M247" s="2"/>
      <c r="Q247"/>
      <c r="R247"/>
      <c r="S247"/>
      <c r="T247"/>
    </row>
    <row r="248" spans="10:20" s="1" customFormat="1" x14ac:dyDescent="0.2">
      <c r="J248"/>
      <c r="K248"/>
      <c r="L248"/>
      <c r="M248" s="2"/>
      <c r="Q248"/>
      <c r="R248"/>
      <c r="S248"/>
      <c r="T248"/>
    </row>
    <row r="249" spans="10:20" s="1" customFormat="1" x14ac:dyDescent="0.2">
      <c r="J249"/>
      <c r="K249"/>
      <c r="L249"/>
      <c r="M249" s="2"/>
      <c r="Q249"/>
      <c r="R249"/>
      <c r="S249"/>
      <c r="T249"/>
    </row>
    <row r="250" spans="10:20" s="1" customFormat="1" x14ac:dyDescent="0.2">
      <c r="J250"/>
      <c r="K250"/>
      <c r="L250"/>
      <c r="M250" s="2"/>
      <c r="Q250"/>
      <c r="R250"/>
      <c r="S250"/>
      <c r="T250"/>
    </row>
    <row r="251" spans="10:20" s="1" customFormat="1" x14ac:dyDescent="0.2">
      <c r="J251"/>
      <c r="K251"/>
      <c r="L251"/>
      <c r="M251" s="2"/>
      <c r="Q251"/>
      <c r="R251"/>
      <c r="S251"/>
      <c r="T251"/>
    </row>
    <row r="252" spans="10:20" s="1" customFormat="1" x14ac:dyDescent="0.2">
      <c r="J252"/>
      <c r="K252"/>
      <c r="L252"/>
      <c r="M252" s="2"/>
      <c r="Q252"/>
      <c r="R252"/>
      <c r="S252"/>
      <c r="T252"/>
    </row>
    <row r="253" spans="10:20" s="1" customFormat="1" x14ac:dyDescent="0.2">
      <c r="J253"/>
      <c r="K253"/>
      <c r="L253"/>
      <c r="M253" s="2"/>
      <c r="Q253"/>
      <c r="R253"/>
      <c r="S253"/>
      <c r="T253"/>
    </row>
    <row r="254" spans="10:20" s="1" customFormat="1" x14ac:dyDescent="0.2">
      <c r="J254"/>
      <c r="K254"/>
      <c r="L254"/>
      <c r="M254" s="2"/>
      <c r="Q254"/>
      <c r="R254"/>
      <c r="S254"/>
      <c r="T254"/>
    </row>
    <row r="255" spans="10:20" s="1" customFormat="1" x14ac:dyDescent="0.2">
      <c r="J255"/>
      <c r="K255"/>
      <c r="L255"/>
      <c r="M255" s="2"/>
      <c r="Q255"/>
      <c r="R255"/>
      <c r="S255"/>
      <c r="T255"/>
    </row>
    <row r="256" spans="10:20" s="1" customFormat="1" x14ac:dyDescent="0.2">
      <c r="J256"/>
      <c r="K256"/>
      <c r="L256"/>
      <c r="M256" s="2"/>
      <c r="Q256"/>
      <c r="R256"/>
      <c r="S256"/>
      <c r="T256"/>
    </row>
    <row r="257" spans="10:20" s="1" customFormat="1" x14ac:dyDescent="0.2">
      <c r="J257"/>
      <c r="K257"/>
      <c r="L257"/>
      <c r="M257" s="2"/>
      <c r="Q257"/>
      <c r="R257"/>
      <c r="S257"/>
      <c r="T257"/>
    </row>
    <row r="258" spans="10:20" s="1" customFormat="1" x14ac:dyDescent="0.2">
      <c r="J258"/>
      <c r="K258"/>
      <c r="L258"/>
      <c r="M258" s="2"/>
      <c r="Q258"/>
      <c r="R258"/>
      <c r="S258"/>
      <c r="T258"/>
    </row>
    <row r="259" spans="10:20" s="1" customFormat="1" x14ac:dyDescent="0.2">
      <c r="J259"/>
      <c r="K259"/>
      <c r="L259"/>
      <c r="M259" s="2"/>
      <c r="Q259"/>
      <c r="R259"/>
      <c r="S259"/>
      <c r="T259"/>
    </row>
    <row r="260" spans="10:20" s="1" customFormat="1" x14ac:dyDescent="0.2">
      <c r="J260"/>
      <c r="K260"/>
      <c r="L260"/>
      <c r="M260" s="2"/>
      <c r="Q260"/>
      <c r="R260"/>
      <c r="S260"/>
      <c r="T260"/>
    </row>
    <row r="261" spans="10:20" s="1" customFormat="1" x14ac:dyDescent="0.2">
      <c r="J261"/>
      <c r="K261"/>
      <c r="L261"/>
      <c r="M261" s="2"/>
      <c r="Q261"/>
      <c r="R261"/>
      <c r="S261"/>
      <c r="T261"/>
    </row>
    <row r="262" spans="10:20" s="1" customFormat="1" x14ac:dyDescent="0.2">
      <c r="J262"/>
      <c r="K262"/>
      <c r="L262"/>
      <c r="M262" s="2"/>
      <c r="Q262"/>
      <c r="R262"/>
      <c r="S262"/>
      <c r="T262"/>
    </row>
    <row r="263" spans="10:20" s="1" customFormat="1" x14ac:dyDescent="0.2">
      <c r="J263"/>
      <c r="K263"/>
      <c r="L263"/>
      <c r="M263" s="2"/>
      <c r="Q263"/>
      <c r="R263"/>
      <c r="S263"/>
      <c r="T263"/>
    </row>
    <row r="264" spans="10:20" s="1" customFormat="1" x14ac:dyDescent="0.2">
      <c r="J264"/>
      <c r="K264"/>
      <c r="L264"/>
      <c r="M264" s="2"/>
      <c r="Q264"/>
      <c r="R264"/>
      <c r="S264"/>
      <c r="T264"/>
    </row>
    <row r="265" spans="10:20" s="1" customFormat="1" x14ac:dyDescent="0.2">
      <c r="J265"/>
      <c r="K265"/>
      <c r="L265"/>
      <c r="M265" s="2"/>
      <c r="Q265"/>
      <c r="R265"/>
      <c r="S265"/>
      <c r="T265"/>
    </row>
    <row r="266" spans="10:20" s="1" customFormat="1" x14ac:dyDescent="0.2">
      <c r="J266"/>
      <c r="K266"/>
      <c r="L266"/>
      <c r="M266" s="2"/>
      <c r="Q266"/>
      <c r="R266"/>
      <c r="S266"/>
      <c r="T266"/>
    </row>
    <row r="267" spans="10:20" s="1" customFormat="1" x14ac:dyDescent="0.2">
      <c r="J267"/>
      <c r="K267"/>
      <c r="L267"/>
      <c r="M267" s="2"/>
      <c r="Q267"/>
      <c r="R267"/>
      <c r="S267"/>
      <c r="T267"/>
    </row>
    <row r="268" spans="10:20" s="1" customFormat="1" x14ac:dyDescent="0.2">
      <c r="J268"/>
      <c r="K268"/>
      <c r="L268"/>
      <c r="M268" s="2"/>
      <c r="Q268"/>
      <c r="R268"/>
      <c r="S268"/>
      <c r="T268"/>
    </row>
    <row r="269" spans="10:20" s="1" customFormat="1" x14ac:dyDescent="0.2">
      <c r="J269"/>
      <c r="K269"/>
      <c r="L269"/>
      <c r="M269" s="2"/>
      <c r="Q269"/>
      <c r="R269"/>
      <c r="S269"/>
      <c r="T269"/>
    </row>
    <row r="270" spans="10:20" s="1" customFormat="1" x14ac:dyDescent="0.2">
      <c r="J270"/>
      <c r="K270"/>
      <c r="L270"/>
      <c r="M270" s="2"/>
      <c r="Q270"/>
      <c r="R270"/>
      <c r="S270"/>
      <c r="T270"/>
    </row>
    <row r="271" spans="10:20" s="1" customFormat="1" x14ac:dyDescent="0.2">
      <c r="J271"/>
      <c r="K271"/>
      <c r="L271"/>
      <c r="M271" s="2"/>
      <c r="Q271"/>
      <c r="R271"/>
      <c r="S271"/>
      <c r="T271"/>
    </row>
    <row r="272" spans="10:20" s="1" customFormat="1" x14ac:dyDescent="0.2">
      <c r="J272"/>
      <c r="K272"/>
      <c r="L272"/>
      <c r="M272" s="2"/>
      <c r="Q272"/>
      <c r="R272"/>
      <c r="S272"/>
      <c r="T272"/>
    </row>
    <row r="273" spans="10:20" s="1" customFormat="1" x14ac:dyDescent="0.2">
      <c r="J273"/>
      <c r="K273"/>
      <c r="L273"/>
      <c r="M273" s="2"/>
      <c r="Q273"/>
      <c r="R273"/>
      <c r="S273"/>
      <c r="T273"/>
    </row>
    <row r="274" spans="10:20" s="1" customFormat="1" x14ac:dyDescent="0.2">
      <c r="J274"/>
      <c r="K274"/>
      <c r="L274"/>
      <c r="M274" s="2"/>
      <c r="Q274"/>
      <c r="R274"/>
      <c r="S274"/>
      <c r="T274"/>
    </row>
    <row r="275" spans="10:20" s="1" customFormat="1" x14ac:dyDescent="0.2">
      <c r="J275"/>
      <c r="K275"/>
      <c r="L275"/>
      <c r="M275" s="2"/>
      <c r="Q275"/>
      <c r="R275"/>
      <c r="S275"/>
      <c r="T275"/>
    </row>
    <row r="276" spans="10:20" s="1" customFormat="1" x14ac:dyDescent="0.2">
      <c r="J276"/>
      <c r="K276"/>
      <c r="L276"/>
      <c r="M276" s="2"/>
      <c r="Q276"/>
      <c r="R276"/>
      <c r="S276"/>
      <c r="T276"/>
    </row>
    <row r="277" spans="10:20" s="1" customFormat="1" x14ac:dyDescent="0.2">
      <c r="J277"/>
      <c r="K277"/>
      <c r="L277"/>
      <c r="M277" s="2"/>
      <c r="Q277"/>
      <c r="R277"/>
      <c r="S277"/>
      <c r="T277"/>
    </row>
    <row r="278" spans="10:20" s="1" customFormat="1" x14ac:dyDescent="0.2">
      <c r="J278"/>
      <c r="K278"/>
      <c r="L278"/>
      <c r="M278" s="2"/>
      <c r="Q278"/>
      <c r="R278"/>
      <c r="S278"/>
      <c r="T278"/>
    </row>
    <row r="279" spans="10:20" s="1" customFormat="1" x14ac:dyDescent="0.2">
      <c r="J279"/>
      <c r="K279"/>
      <c r="L279"/>
      <c r="M279" s="2"/>
      <c r="Q279"/>
      <c r="R279"/>
      <c r="S279"/>
      <c r="T279"/>
    </row>
    <row r="280" spans="10:20" s="1" customFormat="1" x14ac:dyDescent="0.2">
      <c r="J280"/>
      <c r="K280"/>
      <c r="L280"/>
      <c r="M280" s="2"/>
      <c r="Q280"/>
      <c r="R280"/>
      <c r="S280"/>
      <c r="T280"/>
    </row>
    <row r="281" spans="10:20" s="1" customFormat="1" x14ac:dyDescent="0.2">
      <c r="J281"/>
      <c r="K281"/>
      <c r="L281"/>
      <c r="M281" s="2"/>
      <c r="Q281"/>
      <c r="R281"/>
      <c r="S281"/>
      <c r="T281"/>
    </row>
    <row r="282" spans="10:20" s="1" customFormat="1" x14ac:dyDescent="0.2">
      <c r="J282"/>
      <c r="K282"/>
      <c r="L282"/>
      <c r="M282" s="2"/>
      <c r="Q282"/>
      <c r="R282"/>
      <c r="S282"/>
      <c r="T282"/>
    </row>
    <row r="283" spans="10:20" s="1" customFormat="1" x14ac:dyDescent="0.2">
      <c r="J283"/>
      <c r="K283"/>
      <c r="L283"/>
      <c r="M283" s="2"/>
      <c r="Q283"/>
      <c r="R283"/>
      <c r="S283"/>
      <c r="T283"/>
    </row>
    <row r="284" spans="10:20" s="1" customFormat="1" x14ac:dyDescent="0.2">
      <c r="J284"/>
      <c r="K284"/>
      <c r="L284"/>
      <c r="M284" s="2"/>
      <c r="Q284"/>
      <c r="R284"/>
      <c r="S284"/>
      <c r="T284"/>
    </row>
    <row r="285" spans="10:20" s="1" customFormat="1" x14ac:dyDescent="0.2">
      <c r="J285"/>
      <c r="K285"/>
      <c r="L285"/>
      <c r="M285" s="2"/>
      <c r="Q285"/>
      <c r="R285"/>
      <c r="S285"/>
      <c r="T285"/>
    </row>
    <row r="286" spans="10:20" s="1" customFormat="1" x14ac:dyDescent="0.2">
      <c r="J286"/>
      <c r="K286"/>
      <c r="L286"/>
      <c r="M286" s="2"/>
      <c r="Q286"/>
      <c r="R286"/>
      <c r="S286"/>
      <c r="T286"/>
    </row>
    <row r="287" spans="10:20" s="1" customFormat="1" x14ac:dyDescent="0.2">
      <c r="J287"/>
      <c r="K287"/>
      <c r="L287"/>
      <c r="M287" s="2"/>
      <c r="Q287"/>
      <c r="R287"/>
      <c r="S287"/>
      <c r="T287"/>
    </row>
    <row r="288" spans="10:20" s="1" customFormat="1" x14ac:dyDescent="0.2">
      <c r="J288"/>
      <c r="K288"/>
      <c r="L288"/>
      <c r="M288" s="2"/>
      <c r="Q288"/>
      <c r="R288"/>
      <c r="S288"/>
      <c r="T288"/>
    </row>
    <row r="289" spans="10:20" s="1" customFormat="1" x14ac:dyDescent="0.2">
      <c r="J289"/>
      <c r="K289"/>
      <c r="L289"/>
      <c r="M289" s="2"/>
      <c r="Q289"/>
      <c r="R289"/>
      <c r="S289"/>
      <c r="T289"/>
    </row>
    <row r="290" spans="10:20" s="1" customFormat="1" x14ac:dyDescent="0.2">
      <c r="J290"/>
      <c r="K290"/>
      <c r="L290"/>
      <c r="M290" s="2"/>
      <c r="Q290"/>
      <c r="R290"/>
      <c r="S290"/>
      <c r="T290"/>
    </row>
    <row r="291" spans="10:20" s="1" customFormat="1" x14ac:dyDescent="0.2">
      <c r="J291"/>
      <c r="K291"/>
      <c r="L291"/>
      <c r="M291" s="2"/>
      <c r="Q291"/>
      <c r="R291"/>
      <c r="S291"/>
      <c r="T291"/>
    </row>
    <row r="292" spans="10:20" s="1" customFormat="1" x14ac:dyDescent="0.2">
      <c r="J292"/>
      <c r="K292"/>
      <c r="L292"/>
      <c r="M292" s="2"/>
      <c r="Q292"/>
      <c r="R292"/>
      <c r="S292"/>
      <c r="T292"/>
    </row>
    <row r="293" spans="10:20" s="1" customFormat="1" x14ac:dyDescent="0.2">
      <c r="J293"/>
      <c r="K293"/>
      <c r="L293"/>
      <c r="M293" s="2"/>
      <c r="Q293"/>
      <c r="R293"/>
      <c r="S293"/>
      <c r="T293"/>
    </row>
    <row r="294" spans="10:20" s="1" customFormat="1" x14ac:dyDescent="0.2">
      <c r="J294"/>
      <c r="K294"/>
      <c r="L294"/>
      <c r="M294" s="2"/>
      <c r="Q294"/>
      <c r="R294"/>
      <c r="S294"/>
      <c r="T294"/>
    </row>
    <row r="295" spans="10:20" s="1" customFormat="1" x14ac:dyDescent="0.2">
      <c r="J295"/>
      <c r="K295"/>
      <c r="L295"/>
      <c r="M295" s="2"/>
      <c r="Q295"/>
      <c r="R295"/>
      <c r="S295"/>
      <c r="T295"/>
    </row>
    <row r="296" spans="10:20" s="1" customFormat="1" x14ac:dyDescent="0.2">
      <c r="J296"/>
      <c r="K296"/>
      <c r="L296"/>
      <c r="M296" s="2"/>
      <c r="Q296"/>
      <c r="R296"/>
      <c r="S296"/>
      <c r="T296"/>
    </row>
    <row r="297" spans="10:20" s="1" customFormat="1" x14ac:dyDescent="0.2">
      <c r="J297"/>
      <c r="K297"/>
      <c r="L297"/>
      <c r="M297" s="2"/>
      <c r="Q297"/>
      <c r="R297"/>
      <c r="S297"/>
      <c r="T297"/>
    </row>
    <row r="298" spans="10:20" s="1" customFormat="1" x14ac:dyDescent="0.2">
      <c r="J298"/>
      <c r="K298"/>
      <c r="L298"/>
      <c r="M298" s="2"/>
      <c r="Q298"/>
      <c r="R298"/>
      <c r="S298"/>
      <c r="T298"/>
    </row>
    <row r="299" spans="10:20" s="1" customFormat="1" x14ac:dyDescent="0.2">
      <c r="J299"/>
      <c r="K299"/>
      <c r="L299"/>
      <c r="M299" s="2"/>
      <c r="Q299"/>
      <c r="R299"/>
      <c r="S299"/>
      <c r="T299"/>
    </row>
    <row r="300" spans="10:20" s="1" customFormat="1" x14ac:dyDescent="0.2">
      <c r="J300"/>
      <c r="K300"/>
      <c r="L300"/>
      <c r="M300" s="2"/>
      <c r="Q300"/>
      <c r="R300"/>
      <c r="S300"/>
      <c r="T300"/>
    </row>
    <row r="301" spans="10:20" s="1" customFormat="1" x14ac:dyDescent="0.2">
      <c r="J301"/>
      <c r="K301"/>
      <c r="L301"/>
      <c r="M301" s="2"/>
      <c r="Q301"/>
      <c r="R301"/>
      <c r="S301"/>
      <c r="T301"/>
    </row>
    <row r="302" spans="10:20" s="1" customFormat="1" x14ac:dyDescent="0.2">
      <c r="J302"/>
      <c r="K302"/>
      <c r="L302"/>
      <c r="M302" s="2"/>
      <c r="Q302"/>
      <c r="R302"/>
      <c r="S302"/>
      <c r="T302"/>
    </row>
    <row r="303" spans="10:20" s="1" customFormat="1" x14ac:dyDescent="0.2">
      <c r="J303"/>
      <c r="K303"/>
      <c r="L303"/>
      <c r="M303" s="2"/>
      <c r="Q303"/>
      <c r="R303"/>
      <c r="S303"/>
      <c r="T303"/>
    </row>
    <row r="304" spans="10:20" s="1" customFormat="1" x14ac:dyDescent="0.2">
      <c r="J304"/>
      <c r="K304"/>
      <c r="L304"/>
      <c r="M304" s="2"/>
      <c r="Q304"/>
      <c r="R304"/>
      <c r="S304"/>
      <c r="T304"/>
    </row>
    <row r="305" spans="10:20" s="1" customFormat="1" x14ac:dyDescent="0.2">
      <c r="J305"/>
      <c r="K305"/>
      <c r="L305"/>
      <c r="M305" s="2"/>
      <c r="Q305"/>
      <c r="R305"/>
      <c r="S305"/>
      <c r="T305"/>
    </row>
    <row r="306" spans="10:20" s="1" customFormat="1" x14ac:dyDescent="0.2">
      <c r="J306"/>
      <c r="K306"/>
      <c r="L306"/>
      <c r="M306" s="2"/>
      <c r="Q306"/>
      <c r="R306"/>
      <c r="S306"/>
      <c r="T306"/>
    </row>
    <row r="307" spans="10:20" s="1" customFormat="1" x14ac:dyDescent="0.2">
      <c r="J307"/>
      <c r="K307"/>
      <c r="L307"/>
      <c r="M307" s="2"/>
      <c r="Q307"/>
      <c r="R307"/>
      <c r="S307"/>
      <c r="T307"/>
    </row>
    <row r="308" spans="10:20" s="1" customFormat="1" x14ac:dyDescent="0.2">
      <c r="J308"/>
      <c r="K308"/>
      <c r="L308"/>
      <c r="M308" s="2"/>
      <c r="Q308"/>
      <c r="R308"/>
      <c r="S308"/>
      <c r="T308"/>
    </row>
    <row r="309" spans="10:20" s="1" customFormat="1" x14ac:dyDescent="0.2">
      <c r="J309"/>
      <c r="K309"/>
      <c r="L309"/>
      <c r="M309" s="2"/>
      <c r="Q309"/>
      <c r="R309"/>
      <c r="S309"/>
      <c r="T309"/>
    </row>
    <row r="310" spans="10:20" s="1" customFormat="1" x14ac:dyDescent="0.2">
      <c r="J310"/>
      <c r="K310"/>
      <c r="L310"/>
      <c r="M310" s="2"/>
      <c r="Q310"/>
      <c r="R310"/>
      <c r="S310"/>
      <c r="T310"/>
    </row>
    <row r="311" spans="10:20" s="1" customFormat="1" x14ac:dyDescent="0.2">
      <c r="J311"/>
      <c r="K311"/>
      <c r="L311"/>
      <c r="M311" s="2"/>
      <c r="Q311"/>
      <c r="R311"/>
      <c r="S311"/>
      <c r="T311"/>
    </row>
    <row r="312" spans="10:20" s="1" customFormat="1" x14ac:dyDescent="0.2">
      <c r="J312"/>
      <c r="K312"/>
      <c r="L312"/>
      <c r="M312" s="2"/>
      <c r="Q312"/>
      <c r="R312"/>
      <c r="S312"/>
      <c r="T312"/>
    </row>
    <row r="313" spans="10:20" s="1" customFormat="1" x14ac:dyDescent="0.2">
      <c r="J313"/>
      <c r="K313"/>
      <c r="L313"/>
      <c r="M313" s="2"/>
      <c r="Q313"/>
      <c r="R313"/>
      <c r="S313"/>
      <c r="T313"/>
    </row>
    <row r="314" spans="10:20" s="1" customFormat="1" x14ac:dyDescent="0.2">
      <c r="J314"/>
      <c r="K314"/>
      <c r="L314"/>
      <c r="M314" s="2"/>
      <c r="Q314"/>
      <c r="R314"/>
      <c r="S314"/>
      <c r="T314"/>
    </row>
    <row r="315" spans="10:20" s="1" customFormat="1" x14ac:dyDescent="0.2">
      <c r="J315"/>
      <c r="K315"/>
      <c r="L315"/>
      <c r="M315" s="2"/>
      <c r="Q315"/>
      <c r="R315"/>
      <c r="S315"/>
      <c r="T315"/>
    </row>
    <row r="316" spans="10:20" s="1" customFormat="1" x14ac:dyDescent="0.2">
      <c r="J316"/>
      <c r="K316"/>
      <c r="L316"/>
      <c r="M316" s="2"/>
      <c r="Q316"/>
      <c r="R316"/>
      <c r="S316"/>
      <c r="T316"/>
    </row>
    <row r="317" spans="10:20" s="1" customFormat="1" x14ac:dyDescent="0.2">
      <c r="J317"/>
      <c r="K317"/>
      <c r="L317"/>
      <c r="M317" s="2"/>
      <c r="Q317"/>
      <c r="R317"/>
      <c r="S317"/>
      <c r="T317"/>
    </row>
    <row r="318" spans="10:20" s="1" customFormat="1" x14ac:dyDescent="0.2">
      <c r="J318"/>
      <c r="K318"/>
      <c r="L318"/>
      <c r="M318" s="2"/>
      <c r="Q318"/>
      <c r="R318"/>
      <c r="S318"/>
      <c r="T318"/>
    </row>
    <row r="319" spans="10:20" s="1" customFormat="1" x14ac:dyDescent="0.2">
      <c r="J319"/>
      <c r="K319"/>
      <c r="L319"/>
      <c r="M319" s="2"/>
      <c r="Q319"/>
      <c r="R319"/>
      <c r="S319"/>
      <c r="T319"/>
    </row>
    <row r="320" spans="10:20" s="1" customFormat="1" x14ac:dyDescent="0.2">
      <c r="J320"/>
      <c r="K320"/>
      <c r="L320"/>
      <c r="M320" s="2"/>
      <c r="Q320"/>
      <c r="R320"/>
      <c r="S320"/>
      <c r="T320"/>
    </row>
    <row r="321" spans="10:20" s="1" customFormat="1" x14ac:dyDescent="0.2">
      <c r="J321"/>
      <c r="K321"/>
      <c r="L321"/>
      <c r="M321" s="2"/>
      <c r="Q321"/>
      <c r="R321"/>
      <c r="S321"/>
      <c r="T321"/>
    </row>
    <row r="322" spans="10:20" s="1" customFormat="1" x14ac:dyDescent="0.2">
      <c r="J322"/>
      <c r="K322"/>
      <c r="L322"/>
      <c r="M322" s="2"/>
      <c r="Q322"/>
      <c r="R322"/>
      <c r="S322"/>
      <c r="T322"/>
    </row>
    <row r="323" spans="10:20" s="1" customFormat="1" x14ac:dyDescent="0.2">
      <c r="J323"/>
      <c r="K323"/>
      <c r="L323"/>
      <c r="M323" s="2"/>
      <c r="Q323"/>
      <c r="R323"/>
      <c r="S323"/>
      <c r="T323"/>
    </row>
    <row r="324" spans="10:20" s="1" customFormat="1" x14ac:dyDescent="0.2">
      <c r="J324"/>
      <c r="K324"/>
      <c r="L324"/>
      <c r="M324" s="2"/>
      <c r="Q324"/>
      <c r="R324"/>
      <c r="S324"/>
      <c r="T324"/>
    </row>
    <row r="325" spans="10:20" s="1" customFormat="1" x14ac:dyDescent="0.2">
      <c r="J325"/>
      <c r="K325"/>
      <c r="L325"/>
      <c r="M325" s="2"/>
      <c r="Q325"/>
      <c r="R325"/>
      <c r="S325"/>
      <c r="T325"/>
    </row>
    <row r="326" spans="10:20" s="1" customFormat="1" x14ac:dyDescent="0.2">
      <c r="J326"/>
      <c r="K326"/>
      <c r="L326"/>
      <c r="M326" s="2"/>
      <c r="Q326"/>
      <c r="R326"/>
      <c r="S326"/>
      <c r="T326"/>
    </row>
    <row r="327" spans="10:20" s="1" customFormat="1" x14ac:dyDescent="0.2">
      <c r="J327"/>
      <c r="K327"/>
      <c r="L327"/>
      <c r="M327" s="2"/>
      <c r="Q327"/>
      <c r="R327"/>
      <c r="S327"/>
      <c r="T327"/>
    </row>
    <row r="328" spans="10:20" s="1" customFormat="1" x14ac:dyDescent="0.2">
      <c r="J328"/>
      <c r="K328"/>
      <c r="L328"/>
      <c r="M328" s="2"/>
      <c r="Q328"/>
      <c r="R328"/>
      <c r="S328"/>
      <c r="T328"/>
    </row>
    <row r="329" spans="10:20" s="1" customFormat="1" x14ac:dyDescent="0.2">
      <c r="J329"/>
      <c r="K329"/>
      <c r="L329"/>
      <c r="M329" s="2"/>
      <c r="Q329"/>
      <c r="R329"/>
      <c r="S329"/>
      <c r="T329"/>
    </row>
    <row r="330" spans="10:20" s="1" customFormat="1" x14ac:dyDescent="0.2">
      <c r="J330"/>
      <c r="K330"/>
      <c r="L330"/>
      <c r="M330" s="2"/>
      <c r="Q330"/>
      <c r="R330"/>
      <c r="S330"/>
      <c r="T330"/>
    </row>
    <row r="331" spans="10:20" s="1" customFormat="1" x14ac:dyDescent="0.2">
      <c r="J331"/>
      <c r="K331"/>
      <c r="L331"/>
      <c r="M331" s="2"/>
      <c r="Q331"/>
      <c r="R331"/>
      <c r="S331"/>
      <c r="T331"/>
    </row>
    <row r="332" spans="10:20" s="1" customFormat="1" x14ac:dyDescent="0.2">
      <c r="J332"/>
      <c r="K332"/>
      <c r="L332"/>
      <c r="M332" s="2"/>
      <c r="Q332"/>
      <c r="R332"/>
      <c r="S332"/>
      <c r="T332"/>
    </row>
    <row r="333" spans="10:20" s="1" customFormat="1" x14ac:dyDescent="0.2">
      <c r="J333"/>
      <c r="K333"/>
      <c r="L333"/>
      <c r="M333" s="2"/>
      <c r="Q333"/>
      <c r="R333"/>
      <c r="S333"/>
      <c r="T333"/>
    </row>
    <row r="334" spans="10:20" s="1" customFormat="1" x14ac:dyDescent="0.2">
      <c r="J334"/>
      <c r="K334"/>
      <c r="L334"/>
      <c r="M334" s="2"/>
      <c r="Q334"/>
      <c r="R334"/>
      <c r="S334"/>
      <c r="T334"/>
    </row>
    <row r="335" spans="10:20" s="1" customFormat="1" x14ac:dyDescent="0.2">
      <c r="J335"/>
      <c r="K335"/>
      <c r="L335"/>
      <c r="M335" s="2"/>
      <c r="Q335"/>
      <c r="R335"/>
      <c r="S335"/>
      <c r="T335"/>
    </row>
    <row r="336" spans="10:20" s="1" customFormat="1" x14ac:dyDescent="0.2">
      <c r="J336"/>
      <c r="K336"/>
      <c r="L336"/>
      <c r="M336" s="2"/>
      <c r="Q336"/>
      <c r="R336"/>
      <c r="S336"/>
      <c r="T336"/>
    </row>
    <row r="337" spans="10:20" s="1" customFormat="1" x14ac:dyDescent="0.2">
      <c r="J337"/>
      <c r="K337"/>
      <c r="L337"/>
      <c r="M337" s="2"/>
      <c r="Q337"/>
      <c r="R337"/>
      <c r="S337"/>
      <c r="T337"/>
    </row>
    <row r="338" spans="10:20" s="1" customFormat="1" x14ac:dyDescent="0.2">
      <c r="J338"/>
      <c r="K338"/>
      <c r="L338"/>
      <c r="M338" s="2"/>
      <c r="Q338"/>
      <c r="R338"/>
      <c r="S338"/>
      <c r="T338"/>
    </row>
    <row r="339" spans="10:20" s="1" customFormat="1" x14ac:dyDescent="0.2">
      <c r="J339"/>
      <c r="K339"/>
      <c r="L339"/>
      <c r="M339" s="2"/>
      <c r="Q339"/>
      <c r="R339"/>
      <c r="S339"/>
      <c r="T339"/>
    </row>
    <row r="340" spans="10:20" s="1" customFormat="1" x14ac:dyDescent="0.2">
      <c r="J340"/>
      <c r="K340"/>
      <c r="L340"/>
      <c r="M340" s="2"/>
      <c r="Q340"/>
      <c r="R340"/>
      <c r="S340"/>
      <c r="T340"/>
    </row>
    <row r="341" spans="10:20" s="1" customFormat="1" x14ac:dyDescent="0.2">
      <c r="J341"/>
      <c r="K341"/>
      <c r="L341"/>
      <c r="M341" s="2"/>
      <c r="Q341"/>
      <c r="R341"/>
      <c r="S341"/>
      <c r="T341"/>
    </row>
    <row r="342" spans="10:20" s="1" customFormat="1" x14ac:dyDescent="0.2">
      <c r="J342"/>
      <c r="K342"/>
      <c r="L342"/>
      <c r="M342" s="2"/>
      <c r="Q342"/>
      <c r="R342"/>
      <c r="S342"/>
      <c r="T342"/>
    </row>
    <row r="343" spans="10:20" s="1" customFormat="1" x14ac:dyDescent="0.2">
      <c r="J343"/>
      <c r="K343"/>
      <c r="L343"/>
      <c r="M343" s="2"/>
      <c r="Q343"/>
      <c r="R343"/>
      <c r="S343"/>
      <c r="T343"/>
    </row>
    <row r="344" spans="10:20" s="1" customFormat="1" x14ac:dyDescent="0.2">
      <c r="J344"/>
      <c r="K344"/>
      <c r="L344"/>
      <c r="M344" s="2"/>
      <c r="Q344"/>
      <c r="R344"/>
      <c r="S344"/>
      <c r="T344"/>
    </row>
    <row r="345" spans="10:20" s="1" customFormat="1" x14ac:dyDescent="0.2">
      <c r="J345"/>
      <c r="K345"/>
      <c r="L345"/>
      <c r="M345" s="2"/>
      <c r="Q345"/>
      <c r="R345"/>
      <c r="S345"/>
      <c r="T345"/>
    </row>
    <row r="346" spans="10:20" s="1" customFormat="1" x14ac:dyDescent="0.2">
      <c r="J346"/>
      <c r="K346"/>
      <c r="L346"/>
      <c r="M346" s="2"/>
      <c r="Q346"/>
      <c r="R346"/>
      <c r="S346"/>
      <c r="T346"/>
    </row>
    <row r="347" spans="10:20" s="1" customFormat="1" x14ac:dyDescent="0.2">
      <c r="J347"/>
      <c r="K347"/>
      <c r="L347"/>
      <c r="M347" s="2"/>
      <c r="Q347"/>
      <c r="R347"/>
      <c r="S347"/>
      <c r="T347"/>
    </row>
    <row r="348" spans="10:20" s="1" customFormat="1" x14ac:dyDescent="0.2">
      <c r="J348"/>
      <c r="K348"/>
      <c r="L348"/>
      <c r="M348" s="2"/>
      <c r="Q348"/>
      <c r="R348"/>
      <c r="S348"/>
      <c r="T348"/>
    </row>
    <row r="349" spans="10:20" s="1" customFormat="1" x14ac:dyDescent="0.2">
      <c r="J349"/>
      <c r="K349"/>
      <c r="L349"/>
      <c r="M349" s="2"/>
      <c r="Q349"/>
      <c r="R349"/>
      <c r="S349"/>
      <c r="T349"/>
    </row>
    <row r="350" spans="10:20" s="1" customFormat="1" x14ac:dyDescent="0.2">
      <c r="J350"/>
      <c r="K350"/>
      <c r="L350"/>
      <c r="M350" s="2"/>
      <c r="Q350"/>
      <c r="R350"/>
      <c r="S350"/>
      <c r="T350"/>
    </row>
    <row r="351" spans="10:20" s="1" customFormat="1" x14ac:dyDescent="0.2">
      <c r="J351"/>
      <c r="K351"/>
      <c r="L351"/>
      <c r="M351" s="2"/>
      <c r="Q351"/>
      <c r="R351"/>
      <c r="S351"/>
      <c r="T351"/>
    </row>
    <row r="352" spans="10:20" s="1" customFormat="1" x14ac:dyDescent="0.2">
      <c r="J352"/>
      <c r="K352"/>
      <c r="L352"/>
      <c r="M352" s="2"/>
      <c r="Q352"/>
      <c r="R352"/>
      <c r="S352"/>
      <c r="T352"/>
    </row>
    <row r="353" spans="10:20" s="1" customFormat="1" x14ac:dyDescent="0.2">
      <c r="J353"/>
      <c r="K353"/>
      <c r="L353"/>
      <c r="M353" s="2"/>
      <c r="Q353"/>
      <c r="R353"/>
      <c r="S353"/>
      <c r="T353"/>
    </row>
    <row r="354" spans="10:20" s="1" customFormat="1" x14ac:dyDescent="0.2">
      <c r="J354"/>
      <c r="K354"/>
      <c r="L354"/>
      <c r="M354" s="2"/>
      <c r="Q354"/>
      <c r="R354"/>
      <c r="S354"/>
      <c r="T354"/>
    </row>
    <row r="355" spans="10:20" s="1" customFormat="1" x14ac:dyDescent="0.2">
      <c r="J355"/>
      <c r="K355"/>
      <c r="L355"/>
      <c r="M355" s="2"/>
      <c r="Q355"/>
      <c r="R355"/>
      <c r="S355"/>
      <c r="T355"/>
    </row>
    <row r="356" spans="10:20" s="1" customFormat="1" x14ac:dyDescent="0.2">
      <c r="J356"/>
      <c r="K356"/>
      <c r="L356"/>
      <c r="M356" s="2"/>
      <c r="Q356"/>
      <c r="R356"/>
      <c r="S356"/>
      <c r="T356"/>
    </row>
    <row r="357" spans="10:20" s="1" customFormat="1" x14ac:dyDescent="0.2">
      <c r="J357"/>
      <c r="K357"/>
      <c r="L357"/>
      <c r="M357" s="2"/>
      <c r="Q357"/>
      <c r="R357"/>
      <c r="S357"/>
      <c r="T357"/>
    </row>
    <row r="358" spans="10:20" s="1" customFormat="1" x14ac:dyDescent="0.2">
      <c r="J358"/>
      <c r="K358"/>
      <c r="L358"/>
      <c r="M358" s="2"/>
      <c r="Q358"/>
      <c r="R358"/>
      <c r="S358"/>
      <c r="T358"/>
    </row>
    <row r="359" spans="10:20" s="1" customFormat="1" x14ac:dyDescent="0.2">
      <c r="J359"/>
      <c r="K359"/>
      <c r="L359"/>
      <c r="M359" s="2"/>
      <c r="Q359"/>
      <c r="R359"/>
      <c r="S359"/>
      <c r="T359"/>
    </row>
    <row r="360" spans="10:20" s="1" customFormat="1" x14ac:dyDescent="0.2">
      <c r="J360"/>
      <c r="K360"/>
      <c r="L360"/>
      <c r="M360" s="2"/>
      <c r="Q360"/>
      <c r="R360"/>
      <c r="S360"/>
      <c r="T360"/>
    </row>
    <row r="361" spans="10:20" s="1" customFormat="1" x14ac:dyDescent="0.2">
      <c r="J361"/>
      <c r="K361"/>
      <c r="L361"/>
      <c r="M361" s="2"/>
      <c r="Q361"/>
      <c r="R361"/>
      <c r="S361"/>
      <c r="T361"/>
    </row>
    <row r="362" spans="10:20" s="1" customFormat="1" x14ac:dyDescent="0.2">
      <c r="J362"/>
      <c r="K362"/>
      <c r="L362"/>
      <c r="M362" s="2"/>
      <c r="Q362"/>
      <c r="R362"/>
      <c r="S362"/>
      <c r="T362"/>
    </row>
    <row r="363" spans="10:20" s="1" customFormat="1" x14ac:dyDescent="0.2">
      <c r="J363"/>
      <c r="K363"/>
      <c r="L363"/>
      <c r="M363" s="2"/>
      <c r="Q363"/>
      <c r="R363"/>
      <c r="S363"/>
      <c r="T363"/>
    </row>
    <row r="364" spans="10:20" s="1" customFormat="1" x14ac:dyDescent="0.2">
      <c r="J364"/>
      <c r="K364"/>
      <c r="L364"/>
      <c r="M364" s="2"/>
      <c r="Q364"/>
      <c r="R364"/>
      <c r="S364"/>
      <c r="T364"/>
    </row>
    <row r="365" spans="10:20" s="1" customFormat="1" x14ac:dyDescent="0.2">
      <c r="J365"/>
      <c r="K365"/>
      <c r="L365"/>
      <c r="M365" s="2"/>
      <c r="Q365"/>
      <c r="R365"/>
      <c r="S365"/>
      <c r="T365"/>
    </row>
    <row r="366" spans="10:20" s="1" customFormat="1" x14ac:dyDescent="0.2">
      <c r="J366"/>
      <c r="K366"/>
      <c r="L366"/>
      <c r="M366" s="2"/>
      <c r="Q366"/>
      <c r="R366"/>
      <c r="S366"/>
      <c r="T366"/>
    </row>
    <row r="367" spans="10:20" s="1" customFormat="1" x14ac:dyDescent="0.2">
      <c r="J367"/>
      <c r="K367"/>
      <c r="L367"/>
      <c r="M367" s="2"/>
      <c r="Q367"/>
      <c r="R367"/>
      <c r="S367"/>
      <c r="T367"/>
    </row>
    <row r="368" spans="10:20" s="1" customFormat="1" x14ac:dyDescent="0.2">
      <c r="J368"/>
      <c r="K368"/>
      <c r="L368"/>
      <c r="M368" s="2"/>
      <c r="Q368"/>
      <c r="R368"/>
      <c r="S368"/>
      <c r="T368"/>
    </row>
    <row r="369" spans="10:20" s="1" customFormat="1" x14ac:dyDescent="0.2">
      <c r="J369"/>
      <c r="K369"/>
      <c r="L369"/>
      <c r="M369" s="2"/>
      <c r="Q369"/>
      <c r="R369"/>
      <c r="S369"/>
      <c r="T369"/>
    </row>
    <row r="370" spans="10:20" s="1" customFormat="1" x14ac:dyDescent="0.2">
      <c r="J370"/>
      <c r="K370"/>
      <c r="L370"/>
      <c r="M370" s="2"/>
      <c r="Q370"/>
      <c r="R370"/>
      <c r="S370"/>
      <c r="T370"/>
    </row>
    <row r="371" spans="10:20" s="1" customFormat="1" x14ac:dyDescent="0.2">
      <c r="J371"/>
      <c r="K371"/>
      <c r="L371"/>
      <c r="M371" s="2"/>
      <c r="Q371"/>
      <c r="R371"/>
      <c r="S371"/>
      <c r="T371"/>
    </row>
    <row r="372" spans="10:20" s="1" customFormat="1" x14ac:dyDescent="0.2">
      <c r="J372"/>
      <c r="K372"/>
      <c r="L372"/>
      <c r="M372" s="2"/>
      <c r="Q372"/>
      <c r="R372"/>
      <c r="S372"/>
      <c r="T372"/>
    </row>
    <row r="373" spans="10:20" s="1" customFormat="1" x14ac:dyDescent="0.2">
      <c r="J373"/>
      <c r="K373"/>
      <c r="L373"/>
      <c r="M373" s="2"/>
      <c r="Q373"/>
      <c r="R373"/>
      <c r="S373"/>
      <c r="T373"/>
    </row>
    <row r="374" spans="10:20" s="1" customFormat="1" x14ac:dyDescent="0.2">
      <c r="J374"/>
      <c r="K374"/>
      <c r="L374"/>
      <c r="M374" s="2"/>
      <c r="Q374"/>
      <c r="R374"/>
      <c r="S374"/>
      <c r="T374"/>
    </row>
    <row r="375" spans="10:20" s="1" customFormat="1" x14ac:dyDescent="0.2">
      <c r="J375"/>
      <c r="K375"/>
      <c r="L375"/>
      <c r="M375" s="2"/>
      <c r="Q375"/>
      <c r="R375"/>
      <c r="S375"/>
      <c r="T375"/>
    </row>
    <row r="376" spans="10:20" s="1" customFormat="1" x14ac:dyDescent="0.2">
      <c r="J376"/>
      <c r="K376"/>
      <c r="L376"/>
      <c r="M376" s="2"/>
      <c r="Q376"/>
      <c r="R376"/>
      <c r="S376"/>
      <c r="T376"/>
    </row>
    <row r="377" spans="10:20" s="1" customFormat="1" x14ac:dyDescent="0.2">
      <c r="J377"/>
      <c r="K377"/>
      <c r="L377"/>
      <c r="M377" s="2"/>
      <c r="Q377"/>
      <c r="R377"/>
      <c r="S377"/>
      <c r="T377"/>
    </row>
    <row r="378" spans="10:20" s="1" customFormat="1" x14ac:dyDescent="0.2">
      <c r="J378"/>
      <c r="K378"/>
      <c r="L378"/>
      <c r="M378" s="2"/>
      <c r="Q378"/>
      <c r="R378"/>
      <c r="S378"/>
      <c r="T378"/>
    </row>
    <row r="379" spans="10:20" s="1" customFormat="1" x14ac:dyDescent="0.2">
      <c r="J379"/>
      <c r="K379"/>
      <c r="L379"/>
      <c r="M379" s="2"/>
      <c r="Q379"/>
      <c r="R379"/>
      <c r="S379"/>
      <c r="T379"/>
    </row>
    <row r="380" spans="10:20" s="1" customFormat="1" x14ac:dyDescent="0.2">
      <c r="J380"/>
      <c r="K380"/>
      <c r="L380"/>
      <c r="M380" s="2"/>
      <c r="Q380"/>
      <c r="R380"/>
      <c r="S380"/>
      <c r="T380"/>
    </row>
    <row r="381" spans="10:20" s="1" customFormat="1" x14ac:dyDescent="0.2">
      <c r="J381"/>
      <c r="K381"/>
      <c r="L381"/>
      <c r="M381" s="2"/>
      <c r="Q381"/>
      <c r="R381"/>
      <c r="S381"/>
      <c r="T381"/>
    </row>
    <row r="382" spans="10:20" s="1" customFormat="1" x14ac:dyDescent="0.2">
      <c r="J382"/>
      <c r="K382"/>
      <c r="L382"/>
      <c r="M382" s="2"/>
      <c r="Q382"/>
      <c r="R382"/>
      <c r="S382"/>
      <c r="T382"/>
    </row>
    <row r="383" spans="10:20" s="1" customFormat="1" x14ac:dyDescent="0.2">
      <c r="J383"/>
      <c r="K383"/>
      <c r="L383"/>
      <c r="M383" s="2"/>
      <c r="Q383"/>
      <c r="R383"/>
      <c r="S383"/>
      <c r="T383"/>
    </row>
    <row r="384" spans="10:20" s="1" customFormat="1" x14ac:dyDescent="0.2">
      <c r="J384"/>
      <c r="K384"/>
      <c r="L384"/>
      <c r="M384" s="2"/>
      <c r="Q384"/>
      <c r="R384"/>
      <c r="S384"/>
      <c r="T384"/>
    </row>
    <row r="385" spans="10:20" s="1" customFormat="1" x14ac:dyDescent="0.2">
      <c r="J385"/>
      <c r="K385"/>
      <c r="L385"/>
      <c r="M385" s="2"/>
      <c r="Q385"/>
      <c r="R385"/>
      <c r="S385"/>
      <c r="T385"/>
    </row>
    <row r="386" spans="10:20" s="1" customFormat="1" x14ac:dyDescent="0.2">
      <c r="J386"/>
      <c r="K386"/>
      <c r="L386"/>
      <c r="M386" s="2"/>
      <c r="Q386"/>
      <c r="R386"/>
      <c r="S386"/>
      <c r="T386"/>
    </row>
    <row r="387" spans="10:20" s="1" customFormat="1" x14ac:dyDescent="0.2">
      <c r="J387"/>
      <c r="K387"/>
      <c r="L387"/>
      <c r="M387" s="2"/>
      <c r="Q387"/>
      <c r="R387"/>
      <c r="S387"/>
      <c r="T387"/>
    </row>
    <row r="388" spans="10:20" s="1" customFormat="1" x14ac:dyDescent="0.2">
      <c r="J388"/>
      <c r="K388"/>
      <c r="L388"/>
      <c r="M388" s="2"/>
      <c r="Q388"/>
      <c r="R388"/>
      <c r="S388"/>
      <c r="T388"/>
    </row>
    <row r="389" spans="10:20" s="1" customFormat="1" x14ac:dyDescent="0.2">
      <c r="J389"/>
      <c r="K389"/>
      <c r="L389"/>
      <c r="M389" s="2"/>
      <c r="Q389"/>
      <c r="R389"/>
      <c r="S389"/>
      <c r="T389"/>
    </row>
    <row r="390" spans="10:20" s="1" customFormat="1" x14ac:dyDescent="0.2">
      <c r="J390"/>
      <c r="K390"/>
      <c r="L390"/>
      <c r="M390" s="2"/>
      <c r="Q390"/>
      <c r="R390"/>
      <c r="S390"/>
      <c r="T390"/>
    </row>
    <row r="391" spans="10:20" s="1" customFormat="1" x14ac:dyDescent="0.2">
      <c r="J391"/>
      <c r="K391"/>
      <c r="L391"/>
      <c r="M391" s="2"/>
      <c r="Q391"/>
      <c r="R391"/>
      <c r="S391"/>
      <c r="T391"/>
    </row>
    <row r="392" spans="10:20" s="1" customFormat="1" x14ac:dyDescent="0.2">
      <c r="J392"/>
      <c r="K392"/>
      <c r="L392"/>
      <c r="M392" s="2"/>
      <c r="Q392"/>
      <c r="R392"/>
      <c r="S392"/>
      <c r="T392"/>
    </row>
    <row r="393" spans="10:20" s="1" customFormat="1" x14ac:dyDescent="0.2">
      <c r="J393"/>
      <c r="K393"/>
      <c r="L393"/>
      <c r="M393" s="2"/>
      <c r="Q393"/>
      <c r="R393"/>
      <c r="S393"/>
      <c r="T393"/>
    </row>
    <row r="394" spans="10:20" s="1" customFormat="1" x14ac:dyDescent="0.2">
      <c r="J394"/>
      <c r="K394"/>
      <c r="L394"/>
      <c r="M394" s="2"/>
      <c r="Q394"/>
      <c r="R394"/>
      <c r="S394"/>
      <c r="T394"/>
    </row>
    <row r="395" spans="10:20" s="1" customFormat="1" x14ac:dyDescent="0.2">
      <c r="J395"/>
      <c r="K395"/>
      <c r="L395"/>
      <c r="M395" s="2"/>
      <c r="Q395"/>
      <c r="R395"/>
      <c r="S395"/>
      <c r="T395"/>
    </row>
    <row r="396" spans="10:20" s="1" customFormat="1" x14ac:dyDescent="0.2">
      <c r="J396"/>
      <c r="K396"/>
      <c r="L396"/>
      <c r="M396" s="2"/>
      <c r="Q396"/>
      <c r="R396"/>
      <c r="S396"/>
      <c r="T396"/>
    </row>
    <row r="397" spans="10:20" s="1" customFormat="1" x14ac:dyDescent="0.2">
      <c r="J397"/>
      <c r="K397"/>
      <c r="L397"/>
      <c r="M397" s="2"/>
      <c r="Q397"/>
      <c r="R397"/>
      <c r="S397"/>
      <c r="T397"/>
    </row>
    <row r="398" spans="10:20" s="1" customFormat="1" x14ac:dyDescent="0.2">
      <c r="J398"/>
      <c r="K398"/>
      <c r="L398"/>
      <c r="M398" s="2"/>
      <c r="Q398"/>
      <c r="R398"/>
      <c r="S398"/>
      <c r="T398"/>
    </row>
    <row r="399" spans="10:20" s="1" customFormat="1" x14ac:dyDescent="0.2">
      <c r="J399"/>
      <c r="K399"/>
      <c r="L399"/>
      <c r="M399" s="2"/>
      <c r="Q399"/>
      <c r="R399"/>
      <c r="S399"/>
      <c r="T399"/>
    </row>
    <row r="400" spans="10:20" s="1" customFormat="1" x14ac:dyDescent="0.2">
      <c r="J400"/>
      <c r="K400"/>
      <c r="L400"/>
      <c r="M400" s="2"/>
      <c r="Q400"/>
      <c r="R400"/>
      <c r="S400"/>
      <c r="T400"/>
    </row>
    <row r="401" spans="10:20" s="1" customFormat="1" x14ac:dyDescent="0.2">
      <c r="J401"/>
      <c r="K401"/>
      <c r="L401"/>
      <c r="M401" s="2"/>
      <c r="Q401"/>
      <c r="R401"/>
      <c r="S401"/>
      <c r="T401"/>
    </row>
    <row r="402" spans="10:20" s="1" customFormat="1" x14ac:dyDescent="0.2">
      <c r="J402"/>
      <c r="K402"/>
      <c r="L402"/>
      <c r="M402" s="2"/>
      <c r="Q402"/>
      <c r="R402"/>
      <c r="S402"/>
      <c r="T402"/>
    </row>
    <row r="403" spans="10:20" s="1" customFormat="1" x14ac:dyDescent="0.2">
      <c r="J403"/>
      <c r="K403"/>
      <c r="L403"/>
      <c r="M403" s="2"/>
      <c r="Q403"/>
      <c r="R403"/>
      <c r="S403"/>
      <c r="T403"/>
    </row>
    <row r="404" spans="10:20" s="1" customFormat="1" x14ac:dyDescent="0.2">
      <c r="J404"/>
      <c r="K404"/>
      <c r="L404"/>
      <c r="M404" s="2"/>
      <c r="Q404"/>
      <c r="R404"/>
      <c r="S404"/>
      <c r="T404"/>
    </row>
    <row r="405" spans="10:20" s="1" customFormat="1" x14ac:dyDescent="0.2">
      <c r="J405"/>
      <c r="K405"/>
      <c r="L405"/>
      <c r="M405" s="2"/>
      <c r="Q405"/>
      <c r="R405"/>
      <c r="S405"/>
      <c r="T405"/>
    </row>
    <row r="406" spans="10:20" s="1" customFormat="1" x14ac:dyDescent="0.2">
      <c r="J406"/>
      <c r="K406"/>
      <c r="L406"/>
      <c r="M406" s="2"/>
      <c r="Q406"/>
      <c r="R406"/>
      <c r="S406"/>
      <c r="T406"/>
    </row>
    <row r="407" spans="10:20" s="1" customFormat="1" x14ac:dyDescent="0.2">
      <c r="J407"/>
      <c r="K407"/>
      <c r="L407"/>
      <c r="M407" s="2"/>
      <c r="Q407"/>
      <c r="R407"/>
      <c r="S407"/>
      <c r="T407"/>
    </row>
    <row r="408" spans="10:20" s="1" customFormat="1" x14ac:dyDescent="0.2">
      <c r="J408"/>
      <c r="K408"/>
      <c r="L408"/>
      <c r="M408" s="2"/>
      <c r="Q408"/>
      <c r="R408"/>
      <c r="S408"/>
      <c r="T408"/>
    </row>
    <row r="409" spans="10:20" s="1" customFormat="1" x14ac:dyDescent="0.2">
      <c r="J409"/>
      <c r="K409"/>
      <c r="L409"/>
      <c r="M409" s="2"/>
      <c r="Q409"/>
      <c r="R409"/>
      <c r="S409"/>
      <c r="T409"/>
    </row>
    <row r="410" spans="10:20" s="1" customFormat="1" x14ac:dyDescent="0.2">
      <c r="J410"/>
      <c r="K410"/>
      <c r="L410"/>
      <c r="M410" s="2"/>
      <c r="Q410"/>
      <c r="R410"/>
      <c r="S410"/>
      <c r="T410"/>
    </row>
    <row r="411" spans="10:20" s="1" customFormat="1" x14ac:dyDescent="0.2">
      <c r="J411"/>
      <c r="K411"/>
      <c r="L411"/>
      <c r="M411" s="2"/>
      <c r="Q411"/>
      <c r="R411"/>
      <c r="S411"/>
      <c r="T411"/>
    </row>
    <row r="412" spans="10:20" s="1" customFormat="1" x14ac:dyDescent="0.2">
      <c r="J412"/>
      <c r="K412"/>
      <c r="L412"/>
      <c r="M412" s="2"/>
      <c r="Q412"/>
      <c r="R412"/>
      <c r="S412"/>
      <c r="T412"/>
    </row>
    <row r="413" spans="10:20" s="1" customFormat="1" x14ac:dyDescent="0.2">
      <c r="J413"/>
      <c r="K413"/>
      <c r="L413"/>
      <c r="M413" s="2"/>
      <c r="Q413"/>
      <c r="R413"/>
      <c r="S413"/>
      <c r="T413"/>
    </row>
    <row r="414" spans="10:20" s="1" customFormat="1" x14ac:dyDescent="0.2">
      <c r="J414"/>
      <c r="K414"/>
      <c r="L414"/>
      <c r="M414" s="2"/>
      <c r="Q414"/>
      <c r="R414"/>
      <c r="S414"/>
      <c r="T414"/>
    </row>
    <row r="415" spans="10:20" s="1" customFormat="1" x14ac:dyDescent="0.2">
      <c r="J415"/>
      <c r="K415"/>
      <c r="L415"/>
      <c r="M415" s="2"/>
      <c r="Q415"/>
      <c r="R415"/>
      <c r="S415"/>
      <c r="T415"/>
    </row>
    <row r="416" spans="10:20" s="1" customFormat="1" x14ac:dyDescent="0.2">
      <c r="J416"/>
      <c r="K416"/>
      <c r="L416"/>
      <c r="M416" s="2"/>
      <c r="Q416"/>
      <c r="R416"/>
      <c r="S416"/>
      <c r="T416"/>
    </row>
    <row r="417" spans="10:20" s="1" customFormat="1" x14ac:dyDescent="0.2">
      <c r="J417"/>
      <c r="K417"/>
      <c r="L417"/>
      <c r="M417" s="2"/>
      <c r="Q417"/>
      <c r="R417"/>
      <c r="S417"/>
      <c r="T417"/>
    </row>
    <row r="418" spans="10:20" s="1" customFormat="1" x14ac:dyDescent="0.2">
      <c r="J418"/>
      <c r="K418"/>
      <c r="L418"/>
      <c r="M418" s="2"/>
      <c r="Q418"/>
      <c r="R418"/>
      <c r="S418"/>
      <c r="T418"/>
    </row>
    <row r="419" spans="10:20" s="1" customFormat="1" x14ac:dyDescent="0.2">
      <c r="J419"/>
      <c r="K419"/>
      <c r="L419"/>
      <c r="M419" s="2"/>
      <c r="Q419"/>
      <c r="R419"/>
      <c r="S419"/>
      <c r="T419"/>
    </row>
    <row r="420" spans="10:20" s="1" customFormat="1" x14ac:dyDescent="0.2">
      <c r="J420"/>
      <c r="K420"/>
      <c r="L420"/>
      <c r="M420" s="2"/>
      <c r="Q420"/>
      <c r="R420"/>
      <c r="S420"/>
      <c r="T420"/>
    </row>
    <row r="421" spans="10:20" s="1" customFormat="1" x14ac:dyDescent="0.2">
      <c r="J421"/>
      <c r="K421"/>
      <c r="L421"/>
      <c r="M421" s="2"/>
      <c r="Q421"/>
      <c r="R421"/>
      <c r="S421"/>
      <c r="T421"/>
    </row>
    <row r="422" spans="10:20" s="1" customFormat="1" x14ac:dyDescent="0.2">
      <c r="J422"/>
      <c r="K422"/>
      <c r="L422"/>
      <c r="M422" s="2"/>
      <c r="Q422"/>
      <c r="R422"/>
      <c r="S422"/>
      <c r="T422"/>
    </row>
    <row r="423" spans="10:20" s="1" customFormat="1" x14ac:dyDescent="0.2">
      <c r="J423"/>
      <c r="K423"/>
      <c r="L423"/>
      <c r="M423" s="2"/>
      <c r="Q423"/>
      <c r="R423"/>
      <c r="S423"/>
      <c r="T423"/>
    </row>
    <row r="424" spans="10:20" s="1" customFormat="1" x14ac:dyDescent="0.2">
      <c r="J424"/>
      <c r="K424"/>
      <c r="L424"/>
      <c r="M424" s="2"/>
      <c r="Q424"/>
      <c r="R424"/>
      <c r="S424"/>
      <c r="T424"/>
    </row>
    <row r="425" spans="10:20" s="1" customFormat="1" x14ac:dyDescent="0.2">
      <c r="J425"/>
      <c r="K425"/>
      <c r="L425"/>
      <c r="M425" s="2"/>
      <c r="Q425"/>
      <c r="R425"/>
      <c r="S425"/>
      <c r="T425"/>
    </row>
    <row r="426" spans="10:20" s="1" customFormat="1" x14ac:dyDescent="0.2">
      <c r="J426"/>
      <c r="K426"/>
      <c r="L426"/>
      <c r="M426" s="2"/>
      <c r="Q426"/>
      <c r="R426"/>
      <c r="S426"/>
      <c r="T426"/>
    </row>
    <row r="427" spans="10:20" s="1" customFormat="1" x14ac:dyDescent="0.2">
      <c r="J427"/>
      <c r="K427"/>
      <c r="L427"/>
      <c r="M427" s="2"/>
      <c r="Q427"/>
      <c r="R427"/>
      <c r="S427"/>
      <c r="T427"/>
    </row>
    <row r="428" spans="10:20" s="1" customFormat="1" x14ac:dyDescent="0.2">
      <c r="J428"/>
      <c r="K428"/>
      <c r="L428"/>
      <c r="M428" s="2"/>
      <c r="Q428"/>
      <c r="R428"/>
      <c r="S428"/>
      <c r="T428"/>
    </row>
    <row r="429" spans="10:20" s="1" customFormat="1" x14ac:dyDescent="0.2">
      <c r="J429"/>
      <c r="K429"/>
      <c r="L429"/>
      <c r="M429" s="2"/>
      <c r="Q429"/>
      <c r="R429"/>
      <c r="S429"/>
      <c r="T429"/>
    </row>
    <row r="430" spans="10:20" s="1" customFormat="1" x14ac:dyDescent="0.2">
      <c r="J430"/>
      <c r="K430"/>
      <c r="L430"/>
      <c r="M430" s="2"/>
      <c r="Q430"/>
      <c r="R430"/>
      <c r="S430"/>
      <c r="T430"/>
    </row>
    <row r="431" spans="10:20" s="1" customFormat="1" x14ac:dyDescent="0.2">
      <c r="J431"/>
      <c r="K431"/>
      <c r="L431"/>
      <c r="M431" s="2"/>
      <c r="Q431"/>
      <c r="R431"/>
      <c r="S431"/>
      <c r="T431"/>
    </row>
    <row r="432" spans="10:20" s="1" customFormat="1" x14ac:dyDescent="0.2">
      <c r="J432"/>
      <c r="K432"/>
      <c r="L432"/>
      <c r="M432" s="2"/>
      <c r="Q432"/>
      <c r="R432"/>
      <c r="S432"/>
      <c r="T432"/>
    </row>
    <row r="433" spans="10:20" s="1" customFormat="1" x14ac:dyDescent="0.2">
      <c r="J433"/>
      <c r="K433"/>
      <c r="L433"/>
      <c r="M433" s="2"/>
      <c r="Q433"/>
      <c r="R433"/>
      <c r="S433"/>
      <c r="T433"/>
    </row>
    <row r="434" spans="10:20" s="1" customFormat="1" x14ac:dyDescent="0.2">
      <c r="J434"/>
      <c r="K434"/>
      <c r="L434"/>
      <c r="M434" s="2"/>
      <c r="Q434"/>
      <c r="R434"/>
      <c r="S434"/>
      <c r="T434"/>
    </row>
    <row r="435" spans="10:20" s="1" customFormat="1" x14ac:dyDescent="0.2">
      <c r="J435"/>
      <c r="K435"/>
      <c r="L435"/>
      <c r="M435" s="2"/>
      <c r="Q435"/>
      <c r="R435"/>
      <c r="S435"/>
      <c r="T435"/>
    </row>
    <row r="436" spans="10:20" s="1" customFormat="1" x14ac:dyDescent="0.2">
      <c r="J436"/>
      <c r="K436"/>
      <c r="L436"/>
      <c r="M436" s="2"/>
      <c r="Q436"/>
      <c r="R436"/>
      <c r="S436"/>
      <c r="T436"/>
    </row>
    <row r="437" spans="10:20" s="1" customFormat="1" x14ac:dyDescent="0.2">
      <c r="J437"/>
      <c r="K437"/>
      <c r="L437"/>
      <c r="M437" s="2"/>
      <c r="Q437"/>
      <c r="R437"/>
      <c r="S437"/>
      <c r="T437"/>
    </row>
    <row r="438" spans="10:20" s="1" customFormat="1" x14ac:dyDescent="0.2">
      <c r="J438"/>
      <c r="K438"/>
      <c r="L438"/>
      <c r="M438" s="2"/>
      <c r="Q438"/>
      <c r="R438"/>
      <c r="S438"/>
      <c r="T438"/>
    </row>
    <row r="439" spans="10:20" s="1" customFormat="1" x14ac:dyDescent="0.2">
      <c r="J439"/>
      <c r="K439"/>
      <c r="L439"/>
      <c r="M439" s="2"/>
      <c r="Q439"/>
      <c r="R439"/>
      <c r="S439"/>
      <c r="T439"/>
    </row>
    <row r="440" spans="10:20" s="1" customFormat="1" x14ac:dyDescent="0.2">
      <c r="J440"/>
      <c r="K440"/>
      <c r="L440"/>
      <c r="M440" s="2"/>
      <c r="Q440"/>
      <c r="R440"/>
      <c r="S440"/>
      <c r="T440"/>
    </row>
    <row r="441" spans="10:20" s="1" customFormat="1" x14ac:dyDescent="0.2">
      <c r="J441"/>
      <c r="K441"/>
      <c r="L441"/>
      <c r="M441" s="2"/>
      <c r="Q441"/>
      <c r="R441"/>
      <c r="S441"/>
      <c r="T441"/>
    </row>
    <row r="442" spans="10:20" s="1" customFormat="1" x14ac:dyDescent="0.2">
      <c r="J442"/>
      <c r="K442"/>
      <c r="L442"/>
      <c r="M442" s="2"/>
      <c r="Q442"/>
      <c r="R442"/>
      <c r="S442"/>
      <c r="T442"/>
    </row>
    <row r="443" spans="10:20" s="1" customFormat="1" x14ac:dyDescent="0.2">
      <c r="J443"/>
      <c r="K443"/>
      <c r="L443"/>
      <c r="M443" s="2"/>
      <c r="Q443"/>
      <c r="R443"/>
      <c r="S443"/>
      <c r="T443"/>
    </row>
    <row r="444" spans="10:20" s="1" customFormat="1" x14ac:dyDescent="0.2">
      <c r="J444"/>
      <c r="K444"/>
      <c r="L444"/>
      <c r="M444" s="2"/>
      <c r="Q444"/>
      <c r="R444"/>
      <c r="S444"/>
      <c r="T444"/>
    </row>
    <row r="445" spans="10:20" s="1" customFormat="1" x14ac:dyDescent="0.2">
      <c r="J445"/>
      <c r="K445"/>
      <c r="L445"/>
      <c r="M445" s="2"/>
      <c r="Q445"/>
      <c r="R445"/>
      <c r="S445"/>
      <c r="T445"/>
    </row>
    <row r="446" spans="10:20" s="1" customFormat="1" x14ac:dyDescent="0.2">
      <c r="J446"/>
      <c r="K446"/>
      <c r="L446"/>
      <c r="M446" s="2"/>
      <c r="Q446"/>
      <c r="R446"/>
      <c r="S446"/>
      <c r="T446"/>
    </row>
    <row r="447" spans="10:20" s="1" customFormat="1" x14ac:dyDescent="0.2">
      <c r="J447"/>
      <c r="K447"/>
      <c r="L447"/>
      <c r="M447" s="2"/>
      <c r="Q447"/>
      <c r="R447"/>
      <c r="S447"/>
      <c r="T447"/>
    </row>
    <row r="448" spans="10:20" s="1" customFormat="1" x14ac:dyDescent="0.2">
      <c r="J448"/>
      <c r="K448"/>
      <c r="L448"/>
      <c r="M448" s="2"/>
      <c r="Q448"/>
      <c r="R448"/>
      <c r="S448"/>
      <c r="T448"/>
    </row>
    <row r="449" spans="10:20" s="1" customFormat="1" x14ac:dyDescent="0.2">
      <c r="J449"/>
      <c r="K449"/>
      <c r="L449"/>
      <c r="M449" s="2"/>
      <c r="Q449"/>
      <c r="R449"/>
      <c r="S449"/>
      <c r="T449"/>
    </row>
    <row r="450" spans="10:20" s="1" customFormat="1" x14ac:dyDescent="0.2">
      <c r="J450"/>
      <c r="K450"/>
      <c r="L450"/>
      <c r="M450" s="2"/>
      <c r="Q450"/>
      <c r="R450"/>
      <c r="S450"/>
      <c r="T450"/>
    </row>
    <row r="451" spans="10:20" s="1" customFormat="1" x14ac:dyDescent="0.2">
      <c r="J451"/>
      <c r="K451"/>
      <c r="L451"/>
      <c r="M451" s="2"/>
      <c r="Q451"/>
      <c r="R451"/>
      <c r="S451"/>
      <c r="T451"/>
    </row>
    <row r="452" spans="10:20" s="1" customFormat="1" x14ac:dyDescent="0.2">
      <c r="J452"/>
      <c r="K452"/>
      <c r="L452"/>
      <c r="M452" s="2"/>
      <c r="Q452"/>
      <c r="R452"/>
      <c r="S452"/>
      <c r="T452"/>
    </row>
    <row r="453" spans="10:20" s="1" customFormat="1" x14ac:dyDescent="0.2">
      <c r="J453"/>
      <c r="K453"/>
      <c r="L453"/>
      <c r="M453" s="2"/>
      <c r="Q453"/>
      <c r="R453"/>
      <c r="S453"/>
      <c r="T453"/>
    </row>
    <row r="454" spans="10:20" s="1" customFormat="1" x14ac:dyDescent="0.2">
      <c r="J454"/>
      <c r="K454"/>
      <c r="L454"/>
      <c r="M454" s="2"/>
      <c r="Q454"/>
      <c r="R454"/>
      <c r="S454"/>
      <c r="T454"/>
    </row>
    <row r="455" spans="10:20" s="1" customFormat="1" x14ac:dyDescent="0.2">
      <c r="J455"/>
      <c r="K455"/>
      <c r="L455"/>
      <c r="M455" s="2"/>
      <c r="Q455"/>
      <c r="R455"/>
      <c r="S455"/>
      <c r="T455"/>
    </row>
    <row r="456" spans="10:20" s="1" customFormat="1" x14ac:dyDescent="0.2">
      <c r="J456"/>
      <c r="K456"/>
      <c r="L456"/>
      <c r="M456" s="2"/>
      <c r="Q456"/>
      <c r="R456"/>
      <c r="S456"/>
      <c r="T456"/>
    </row>
    <row r="457" spans="10:20" s="1" customFormat="1" x14ac:dyDescent="0.2">
      <c r="J457"/>
      <c r="K457"/>
      <c r="L457"/>
      <c r="M457" s="2"/>
      <c r="Q457"/>
      <c r="R457"/>
      <c r="S457"/>
      <c r="T457"/>
    </row>
    <row r="458" spans="10:20" s="1" customFormat="1" x14ac:dyDescent="0.2">
      <c r="J458"/>
      <c r="K458"/>
      <c r="L458"/>
      <c r="M458" s="2"/>
      <c r="Q458"/>
      <c r="R458"/>
      <c r="S458"/>
      <c r="T458"/>
    </row>
    <row r="459" spans="10:20" s="1" customFormat="1" x14ac:dyDescent="0.2">
      <c r="J459"/>
      <c r="K459"/>
      <c r="L459"/>
      <c r="M459" s="2"/>
      <c r="Q459"/>
      <c r="R459"/>
      <c r="S459"/>
      <c r="T459"/>
    </row>
    <row r="460" spans="10:20" s="1" customFormat="1" x14ac:dyDescent="0.2">
      <c r="J460"/>
      <c r="K460"/>
      <c r="L460"/>
      <c r="M460" s="2"/>
      <c r="Q460"/>
      <c r="R460"/>
      <c r="S460"/>
      <c r="T460"/>
    </row>
    <row r="461" spans="10:20" s="1" customFormat="1" x14ac:dyDescent="0.2">
      <c r="J461"/>
      <c r="K461"/>
      <c r="L461"/>
      <c r="M461" s="2"/>
      <c r="Q461"/>
      <c r="R461"/>
      <c r="S461"/>
      <c r="T461"/>
    </row>
    <row r="462" spans="10:20" s="1" customFormat="1" x14ac:dyDescent="0.2">
      <c r="J462"/>
      <c r="K462"/>
      <c r="L462"/>
      <c r="M462" s="2"/>
      <c r="Q462"/>
      <c r="R462"/>
      <c r="S462"/>
      <c r="T462"/>
    </row>
    <row r="463" spans="10:20" s="1" customFormat="1" x14ac:dyDescent="0.2">
      <c r="J463"/>
      <c r="K463"/>
      <c r="L463"/>
      <c r="M463" s="2"/>
      <c r="Q463"/>
      <c r="R463"/>
      <c r="S463"/>
      <c r="T463"/>
    </row>
    <row r="464" spans="10:20" s="1" customFormat="1" x14ac:dyDescent="0.2">
      <c r="J464"/>
      <c r="K464"/>
      <c r="L464"/>
      <c r="M464" s="2"/>
      <c r="Q464"/>
      <c r="R464"/>
      <c r="S464"/>
      <c r="T464"/>
    </row>
    <row r="465" spans="10:20" s="1" customFormat="1" x14ac:dyDescent="0.2">
      <c r="J465"/>
      <c r="K465"/>
      <c r="L465"/>
      <c r="M465" s="2"/>
      <c r="Q465"/>
      <c r="R465"/>
      <c r="S465"/>
      <c r="T465"/>
    </row>
    <row r="466" spans="10:20" s="1" customFormat="1" x14ac:dyDescent="0.2">
      <c r="J466"/>
      <c r="K466"/>
      <c r="L466"/>
      <c r="M466" s="2"/>
      <c r="Q466"/>
      <c r="R466"/>
      <c r="S466"/>
      <c r="T466"/>
    </row>
    <row r="467" spans="10:20" s="1" customFormat="1" x14ac:dyDescent="0.2">
      <c r="J467"/>
      <c r="K467"/>
      <c r="L467"/>
      <c r="M467" s="2"/>
      <c r="Q467"/>
      <c r="R467"/>
      <c r="S467"/>
      <c r="T467"/>
    </row>
    <row r="468" spans="10:20" s="1" customFormat="1" x14ac:dyDescent="0.2">
      <c r="J468"/>
      <c r="K468"/>
      <c r="L468"/>
      <c r="M468" s="2"/>
      <c r="Q468"/>
      <c r="R468"/>
      <c r="S468"/>
      <c r="T468"/>
    </row>
    <row r="469" spans="10:20" s="1" customFormat="1" x14ac:dyDescent="0.2">
      <c r="J469"/>
      <c r="K469"/>
      <c r="L469"/>
      <c r="M469" s="2"/>
      <c r="Q469"/>
      <c r="R469"/>
      <c r="S469"/>
      <c r="T469"/>
    </row>
    <row r="470" spans="10:20" s="1" customFormat="1" x14ac:dyDescent="0.2">
      <c r="J470"/>
      <c r="K470"/>
      <c r="L470"/>
      <c r="M470" s="2"/>
      <c r="Q470"/>
      <c r="R470"/>
      <c r="S470"/>
      <c r="T470"/>
    </row>
    <row r="471" spans="10:20" s="1" customFormat="1" x14ac:dyDescent="0.2">
      <c r="J471"/>
      <c r="K471"/>
      <c r="L471"/>
      <c r="M471" s="2"/>
      <c r="Q471"/>
      <c r="R471"/>
      <c r="S471"/>
      <c r="T471"/>
    </row>
    <row r="472" spans="10:20" s="1" customFormat="1" x14ac:dyDescent="0.2">
      <c r="J472"/>
      <c r="K472"/>
      <c r="L472"/>
      <c r="M472" s="2"/>
      <c r="Q472"/>
      <c r="R472"/>
      <c r="S472"/>
      <c r="T472"/>
    </row>
    <row r="473" spans="10:20" s="1" customFormat="1" x14ac:dyDescent="0.2">
      <c r="J473"/>
      <c r="K473"/>
      <c r="L473"/>
      <c r="M473" s="2"/>
      <c r="Q473"/>
      <c r="R473"/>
      <c r="S473"/>
      <c r="T473"/>
    </row>
    <row r="474" spans="10:20" s="1" customFormat="1" x14ac:dyDescent="0.2">
      <c r="J474"/>
      <c r="K474"/>
      <c r="L474"/>
      <c r="M474" s="2"/>
      <c r="Q474"/>
      <c r="R474"/>
      <c r="S474"/>
      <c r="T474"/>
    </row>
    <row r="475" spans="10:20" s="1" customFormat="1" x14ac:dyDescent="0.2">
      <c r="J475"/>
      <c r="K475"/>
      <c r="L475"/>
      <c r="M475" s="2"/>
      <c r="Q475"/>
      <c r="R475"/>
      <c r="S475"/>
      <c r="T475"/>
    </row>
    <row r="476" spans="10:20" s="1" customFormat="1" x14ac:dyDescent="0.2">
      <c r="J476"/>
      <c r="K476"/>
      <c r="L476"/>
      <c r="M476" s="2"/>
      <c r="Q476"/>
      <c r="R476"/>
      <c r="S476"/>
      <c r="T476"/>
    </row>
    <row r="477" spans="10:20" s="1" customFormat="1" x14ac:dyDescent="0.2">
      <c r="J477"/>
      <c r="K477"/>
      <c r="L477"/>
      <c r="M477" s="2"/>
      <c r="Q477"/>
      <c r="R477"/>
      <c r="S477"/>
      <c r="T477"/>
    </row>
    <row r="478" spans="10:20" s="1" customFormat="1" x14ac:dyDescent="0.2">
      <c r="J478"/>
      <c r="K478"/>
      <c r="L478"/>
      <c r="M478" s="2"/>
      <c r="Q478"/>
      <c r="R478"/>
      <c r="S478"/>
      <c r="T478"/>
    </row>
    <row r="479" spans="10:20" s="1" customFormat="1" x14ac:dyDescent="0.2">
      <c r="J479"/>
      <c r="K479"/>
      <c r="L479"/>
      <c r="M479" s="2"/>
      <c r="Q479"/>
      <c r="R479"/>
      <c r="S479"/>
      <c r="T479"/>
    </row>
    <row r="480" spans="10:20" s="1" customFormat="1" x14ac:dyDescent="0.2">
      <c r="J480"/>
      <c r="K480"/>
      <c r="L480"/>
      <c r="M480" s="2"/>
      <c r="Q480"/>
      <c r="R480"/>
      <c r="S480"/>
      <c r="T480"/>
    </row>
    <row r="481" spans="10:20" s="1" customFormat="1" x14ac:dyDescent="0.2">
      <c r="J481"/>
      <c r="K481"/>
      <c r="L481"/>
      <c r="M481" s="2"/>
      <c r="Q481"/>
      <c r="R481"/>
      <c r="S481"/>
      <c r="T481"/>
    </row>
    <row r="482" spans="10:20" s="1" customFormat="1" x14ac:dyDescent="0.2">
      <c r="J482"/>
      <c r="K482"/>
      <c r="L482"/>
      <c r="M482" s="2"/>
      <c r="Q482"/>
      <c r="R482"/>
      <c r="S482"/>
      <c r="T482"/>
    </row>
    <row r="483" spans="10:20" s="1" customFormat="1" x14ac:dyDescent="0.2">
      <c r="J483"/>
      <c r="K483"/>
      <c r="L483"/>
      <c r="M483" s="2"/>
      <c r="Q483"/>
      <c r="R483"/>
      <c r="S483"/>
      <c r="T483"/>
    </row>
    <row r="484" spans="10:20" s="1" customFormat="1" x14ac:dyDescent="0.2">
      <c r="J484"/>
      <c r="K484"/>
      <c r="L484"/>
      <c r="M484" s="2"/>
      <c r="Q484"/>
      <c r="R484"/>
      <c r="S484"/>
      <c r="T484"/>
    </row>
    <row r="485" spans="10:20" s="1" customFormat="1" x14ac:dyDescent="0.2">
      <c r="J485"/>
      <c r="K485"/>
      <c r="L485"/>
      <c r="M485" s="2"/>
      <c r="Q485"/>
      <c r="R485"/>
      <c r="S485"/>
      <c r="T485"/>
    </row>
    <row r="486" spans="10:20" s="1" customFormat="1" x14ac:dyDescent="0.2">
      <c r="J486"/>
      <c r="K486"/>
      <c r="L486"/>
      <c r="M486" s="2"/>
      <c r="Q486"/>
      <c r="R486"/>
      <c r="S486"/>
      <c r="T486"/>
    </row>
    <row r="487" spans="10:20" s="1" customFormat="1" x14ac:dyDescent="0.2">
      <c r="J487"/>
      <c r="K487"/>
      <c r="L487"/>
      <c r="M487" s="2"/>
      <c r="Q487"/>
      <c r="R487"/>
      <c r="S487"/>
      <c r="T487"/>
    </row>
    <row r="488" spans="10:20" s="1" customFormat="1" x14ac:dyDescent="0.2">
      <c r="J488"/>
      <c r="K488"/>
      <c r="L488"/>
      <c r="M488" s="2"/>
      <c r="Q488"/>
      <c r="R488"/>
      <c r="S488"/>
      <c r="T488"/>
    </row>
    <row r="489" spans="10:20" s="1" customFormat="1" x14ac:dyDescent="0.2">
      <c r="J489"/>
      <c r="K489"/>
      <c r="L489"/>
      <c r="M489" s="2"/>
      <c r="Q489"/>
      <c r="R489"/>
      <c r="S489"/>
      <c r="T489"/>
    </row>
    <row r="490" spans="10:20" s="1" customFormat="1" x14ac:dyDescent="0.2">
      <c r="J490"/>
      <c r="K490"/>
      <c r="L490"/>
      <c r="M490" s="2"/>
      <c r="Q490"/>
      <c r="R490"/>
      <c r="S490"/>
      <c r="T490"/>
    </row>
    <row r="491" spans="10:20" s="1" customFormat="1" x14ac:dyDescent="0.2">
      <c r="J491"/>
      <c r="K491"/>
      <c r="L491"/>
      <c r="M491" s="2"/>
      <c r="Q491"/>
      <c r="R491"/>
      <c r="S491"/>
      <c r="T491"/>
    </row>
    <row r="492" spans="10:20" s="1" customFormat="1" x14ac:dyDescent="0.2">
      <c r="J492"/>
      <c r="K492"/>
      <c r="L492"/>
      <c r="M492" s="2"/>
      <c r="Q492"/>
      <c r="R492"/>
      <c r="S492"/>
      <c r="T492"/>
    </row>
    <row r="493" spans="10:20" s="1" customFormat="1" x14ac:dyDescent="0.2">
      <c r="J493"/>
      <c r="K493"/>
      <c r="L493"/>
      <c r="M493" s="2"/>
      <c r="Q493"/>
      <c r="R493"/>
      <c r="S493"/>
      <c r="T493"/>
    </row>
    <row r="494" spans="10:20" s="1" customFormat="1" x14ac:dyDescent="0.2">
      <c r="J494"/>
      <c r="K494"/>
      <c r="L494"/>
      <c r="M494" s="2"/>
      <c r="Q494"/>
      <c r="R494"/>
      <c r="S494"/>
      <c r="T494"/>
    </row>
    <row r="495" spans="10:20" s="1" customFormat="1" x14ac:dyDescent="0.2">
      <c r="J495"/>
      <c r="K495"/>
      <c r="L495"/>
      <c r="M495" s="2"/>
      <c r="Q495"/>
      <c r="R495"/>
      <c r="S495"/>
      <c r="T495"/>
    </row>
    <row r="496" spans="10:20" s="1" customFormat="1" x14ac:dyDescent="0.2">
      <c r="J496"/>
      <c r="K496"/>
      <c r="L496"/>
      <c r="M496" s="2"/>
      <c r="Q496"/>
      <c r="R496"/>
      <c r="S496"/>
      <c r="T496"/>
    </row>
    <row r="497" spans="10:20" s="1" customFormat="1" x14ac:dyDescent="0.2">
      <c r="J497"/>
      <c r="K497"/>
      <c r="L497"/>
      <c r="M497" s="2"/>
      <c r="Q497"/>
      <c r="R497"/>
      <c r="S497"/>
      <c r="T497"/>
    </row>
    <row r="498" spans="10:20" s="1" customFormat="1" x14ac:dyDescent="0.2">
      <c r="J498"/>
      <c r="K498"/>
      <c r="L498"/>
      <c r="M498" s="2"/>
      <c r="Q498"/>
      <c r="R498"/>
      <c r="S498"/>
      <c r="T498"/>
    </row>
    <row r="499" spans="10:20" s="1" customFormat="1" x14ac:dyDescent="0.2">
      <c r="J499"/>
      <c r="K499"/>
      <c r="L499"/>
      <c r="M499" s="2"/>
      <c r="Q499"/>
      <c r="R499"/>
      <c r="S499"/>
      <c r="T499"/>
    </row>
    <row r="500" spans="10:20" s="1" customFormat="1" x14ac:dyDescent="0.2">
      <c r="J500"/>
      <c r="K500"/>
      <c r="L500"/>
      <c r="M500" s="2"/>
      <c r="Q500"/>
      <c r="R500"/>
      <c r="S500"/>
      <c r="T500"/>
    </row>
    <row r="501" spans="10:20" s="1" customFormat="1" x14ac:dyDescent="0.2">
      <c r="J501"/>
      <c r="K501"/>
      <c r="L501"/>
      <c r="M501" s="2"/>
      <c r="Q501"/>
      <c r="R501"/>
      <c r="S501"/>
      <c r="T501"/>
    </row>
    <row r="502" spans="10:20" s="1" customFormat="1" x14ac:dyDescent="0.2">
      <c r="J502"/>
      <c r="K502"/>
      <c r="L502"/>
      <c r="M502" s="2"/>
      <c r="Q502"/>
      <c r="R502"/>
      <c r="S502"/>
      <c r="T502"/>
    </row>
    <row r="503" spans="10:20" s="1" customFormat="1" x14ac:dyDescent="0.2">
      <c r="J503"/>
      <c r="K503"/>
      <c r="L503"/>
      <c r="M503" s="2"/>
      <c r="Q503"/>
      <c r="R503"/>
      <c r="S503"/>
      <c r="T503"/>
    </row>
    <row r="504" spans="10:20" s="1" customFormat="1" x14ac:dyDescent="0.2">
      <c r="J504"/>
      <c r="K504"/>
      <c r="L504"/>
      <c r="M504" s="2"/>
      <c r="Q504"/>
      <c r="R504"/>
      <c r="S504"/>
      <c r="T504"/>
    </row>
    <row r="505" spans="10:20" s="1" customFormat="1" x14ac:dyDescent="0.2">
      <c r="J505"/>
      <c r="K505"/>
      <c r="L505"/>
      <c r="M505" s="2"/>
      <c r="Q505"/>
      <c r="R505"/>
      <c r="S505"/>
      <c r="T505"/>
    </row>
    <row r="506" spans="10:20" s="1" customFormat="1" x14ac:dyDescent="0.2">
      <c r="J506"/>
      <c r="K506"/>
      <c r="L506"/>
      <c r="M506" s="2"/>
      <c r="Q506"/>
      <c r="R506"/>
      <c r="S506"/>
      <c r="T506"/>
    </row>
    <row r="507" spans="10:20" s="1" customFormat="1" x14ac:dyDescent="0.2">
      <c r="J507"/>
      <c r="K507"/>
      <c r="L507"/>
      <c r="M507" s="2"/>
      <c r="Q507"/>
      <c r="R507"/>
      <c r="S507"/>
      <c r="T507"/>
    </row>
    <row r="508" spans="10:20" s="1" customFormat="1" x14ac:dyDescent="0.2">
      <c r="J508"/>
      <c r="K508"/>
      <c r="L508"/>
      <c r="M508" s="2"/>
      <c r="Q508"/>
      <c r="R508"/>
      <c r="S508"/>
      <c r="T508"/>
    </row>
    <row r="509" spans="10:20" s="1" customFormat="1" x14ac:dyDescent="0.2">
      <c r="J509"/>
      <c r="K509"/>
      <c r="L509"/>
      <c r="M509" s="2"/>
      <c r="Q509"/>
      <c r="R509"/>
      <c r="S509"/>
      <c r="T509"/>
    </row>
    <row r="510" spans="10:20" s="1" customFormat="1" x14ac:dyDescent="0.2">
      <c r="J510"/>
      <c r="K510"/>
      <c r="L510"/>
      <c r="M510" s="2"/>
      <c r="Q510"/>
      <c r="R510"/>
      <c r="S510"/>
      <c r="T510"/>
    </row>
    <row r="511" spans="10:20" s="1" customFormat="1" x14ac:dyDescent="0.2">
      <c r="J511"/>
      <c r="K511"/>
      <c r="L511"/>
      <c r="M511" s="2"/>
      <c r="Q511"/>
      <c r="R511"/>
      <c r="S511"/>
      <c r="T511"/>
    </row>
    <row r="512" spans="10:20" s="1" customFormat="1" x14ac:dyDescent="0.2">
      <c r="J512"/>
      <c r="K512"/>
      <c r="L512"/>
      <c r="M512" s="2"/>
      <c r="Q512"/>
      <c r="R512"/>
      <c r="S512"/>
      <c r="T512"/>
    </row>
    <row r="513" spans="10:20" s="1" customFormat="1" x14ac:dyDescent="0.2">
      <c r="J513"/>
      <c r="K513"/>
      <c r="L513"/>
      <c r="M513" s="2"/>
      <c r="Q513"/>
      <c r="R513"/>
      <c r="S513"/>
      <c r="T513"/>
    </row>
    <row r="514" spans="10:20" s="1" customFormat="1" x14ac:dyDescent="0.2">
      <c r="J514"/>
      <c r="K514"/>
      <c r="L514"/>
      <c r="M514" s="2"/>
      <c r="Q514"/>
      <c r="R514"/>
      <c r="S514"/>
      <c r="T514"/>
    </row>
    <row r="515" spans="10:20" s="1" customFormat="1" x14ac:dyDescent="0.2">
      <c r="J515"/>
      <c r="K515"/>
      <c r="L515"/>
      <c r="M515" s="2"/>
      <c r="Q515"/>
      <c r="R515"/>
      <c r="S515"/>
      <c r="T515"/>
    </row>
    <row r="516" spans="10:20" s="1" customFormat="1" x14ac:dyDescent="0.2">
      <c r="J516"/>
      <c r="K516"/>
      <c r="L516"/>
      <c r="M516" s="2"/>
      <c r="Q516"/>
      <c r="R516"/>
      <c r="S516"/>
      <c r="T516"/>
    </row>
    <row r="517" spans="10:20" s="1" customFormat="1" x14ac:dyDescent="0.2">
      <c r="J517"/>
      <c r="K517"/>
      <c r="L517"/>
      <c r="M517" s="2"/>
      <c r="Q517"/>
      <c r="R517"/>
      <c r="S517"/>
      <c r="T517"/>
    </row>
    <row r="518" spans="10:20" s="1" customFormat="1" x14ac:dyDescent="0.2">
      <c r="J518"/>
      <c r="K518"/>
      <c r="L518"/>
      <c r="M518" s="2"/>
      <c r="Q518"/>
      <c r="R518"/>
      <c r="S518"/>
      <c r="T518"/>
    </row>
    <row r="519" spans="10:20" s="1" customFormat="1" x14ac:dyDescent="0.2">
      <c r="J519"/>
      <c r="K519"/>
      <c r="L519"/>
      <c r="M519" s="2"/>
      <c r="Q519"/>
      <c r="R519"/>
      <c r="S519"/>
      <c r="T519"/>
    </row>
    <row r="520" spans="10:20" s="1" customFormat="1" x14ac:dyDescent="0.2">
      <c r="J520"/>
      <c r="K520"/>
      <c r="L520"/>
      <c r="M520" s="2"/>
      <c r="Q520"/>
      <c r="R520"/>
      <c r="S520"/>
      <c r="T520"/>
    </row>
    <row r="521" spans="10:20" s="1" customFormat="1" x14ac:dyDescent="0.2">
      <c r="J521"/>
      <c r="K521"/>
      <c r="L521"/>
      <c r="M521" s="2"/>
      <c r="Q521"/>
      <c r="R521"/>
      <c r="S521"/>
      <c r="T521"/>
    </row>
    <row r="522" spans="10:20" s="1" customFormat="1" x14ac:dyDescent="0.2">
      <c r="J522"/>
      <c r="K522"/>
      <c r="L522"/>
      <c r="M522" s="2"/>
      <c r="Q522"/>
      <c r="R522"/>
      <c r="S522"/>
      <c r="T522"/>
    </row>
    <row r="523" spans="10:20" s="1" customFormat="1" x14ac:dyDescent="0.2">
      <c r="J523"/>
      <c r="K523"/>
      <c r="L523"/>
      <c r="M523" s="2"/>
      <c r="Q523"/>
      <c r="R523"/>
      <c r="S523"/>
      <c r="T523"/>
    </row>
    <row r="524" spans="10:20" s="1" customFormat="1" x14ac:dyDescent="0.2">
      <c r="J524"/>
      <c r="K524"/>
      <c r="L524"/>
      <c r="M524" s="2"/>
      <c r="Q524"/>
      <c r="R524"/>
      <c r="S524"/>
      <c r="T524"/>
    </row>
    <row r="525" spans="10:20" s="1" customFormat="1" x14ac:dyDescent="0.2">
      <c r="J525"/>
      <c r="K525"/>
      <c r="L525"/>
      <c r="M525" s="2"/>
      <c r="Q525"/>
      <c r="R525"/>
      <c r="S525"/>
      <c r="T525"/>
    </row>
    <row r="526" spans="10:20" s="1" customFormat="1" x14ac:dyDescent="0.2">
      <c r="J526"/>
      <c r="K526"/>
      <c r="L526"/>
      <c r="M526" s="2"/>
      <c r="Q526"/>
      <c r="R526"/>
      <c r="S526"/>
      <c r="T526"/>
    </row>
    <row r="527" spans="10:20" s="1" customFormat="1" x14ac:dyDescent="0.2">
      <c r="J527"/>
      <c r="K527"/>
      <c r="L527"/>
      <c r="M527" s="2"/>
      <c r="Q527"/>
      <c r="R527"/>
      <c r="S527"/>
      <c r="T527"/>
    </row>
    <row r="528" spans="10:20" s="1" customFormat="1" x14ac:dyDescent="0.2">
      <c r="J528"/>
      <c r="K528"/>
      <c r="L528"/>
      <c r="M528" s="2"/>
      <c r="Q528"/>
      <c r="R528"/>
      <c r="S528"/>
      <c r="T528"/>
    </row>
    <row r="529" spans="10:20" s="1" customFormat="1" x14ac:dyDescent="0.2">
      <c r="J529"/>
      <c r="K529"/>
      <c r="L529"/>
      <c r="M529" s="2"/>
      <c r="Q529"/>
      <c r="R529"/>
      <c r="S529"/>
      <c r="T529"/>
    </row>
    <row r="530" spans="10:20" s="1" customFormat="1" x14ac:dyDescent="0.2">
      <c r="J530"/>
      <c r="K530"/>
      <c r="L530"/>
      <c r="M530" s="2"/>
      <c r="Q530"/>
      <c r="R530"/>
      <c r="S530"/>
      <c r="T530"/>
    </row>
    <row r="531" spans="10:20" s="1" customFormat="1" x14ac:dyDescent="0.2">
      <c r="J531"/>
      <c r="K531"/>
      <c r="L531"/>
      <c r="M531" s="2"/>
      <c r="Q531"/>
      <c r="R531"/>
      <c r="S531"/>
      <c r="T531"/>
    </row>
    <row r="532" spans="10:20" s="1" customFormat="1" x14ac:dyDescent="0.2">
      <c r="J532"/>
      <c r="K532"/>
      <c r="L532"/>
      <c r="M532" s="2"/>
      <c r="Q532"/>
      <c r="R532"/>
      <c r="S532"/>
      <c r="T532"/>
    </row>
    <row r="533" spans="10:20" s="1" customFormat="1" x14ac:dyDescent="0.2">
      <c r="J533"/>
      <c r="K533"/>
      <c r="L533"/>
      <c r="M533" s="2"/>
      <c r="Q533"/>
      <c r="R533"/>
      <c r="S533"/>
      <c r="T533"/>
    </row>
    <row r="534" spans="10:20" s="1" customFormat="1" x14ac:dyDescent="0.2">
      <c r="J534"/>
      <c r="K534"/>
      <c r="L534"/>
      <c r="M534" s="2"/>
      <c r="Q534"/>
      <c r="R534"/>
      <c r="S534"/>
      <c r="T534"/>
    </row>
    <row r="535" spans="10:20" s="1" customFormat="1" x14ac:dyDescent="0.2">
      <c r="J535"/>
      <c r="K535"/>
      <c r="L535"/>
      <c r="M535" s="2"/>
      <c r="Q535"/>
      <c r="R535"/>
      <c r="S535"/>
      <c r="T535"/>
    </row>
    <row r="536" spans="10:20" s="1" customFormat="1" x14ac:dyDescent="0.2">
      <c r="J536"/>
      <c r="K536"/>
      <c r="L536"/>
      <c r="M536" s="2"/>
      <c r="Q536"/>
      <c r="R536"/>
      <c r="S536"/>
      <c r="T536"/>
    </row>
    <row r="537" spans="10:20" s="1" customFormat="1" x14ac:dyDescent="0.2">
      <c r="J537"/>
      <c r="K537"/>
      <c r="L537"/>
      <c r="M537" s="2"/>
      <c r="Q537"/>
      <c r="R537"/>
      <c r="S537"/>
      <c r="T537"/>
    </row>
    <row r="538" spans="10:20" s="1" customFormat="1" x14ac:dyDescent="0.2">
      <c r="J538"/>
      <c r="K538"/>
      <c r="L538"/>
      <c r="M538" s="2"/>
      <c r="Q538"/>
      <c r="R538"/>
      <c r="S538"/>
      <c r="T538"/>
    </row>
    <row r="539" spans="10:20" s="1" customFormat="1" x14ac:dyDescent="0.2">
      <c r="J539"/>
      <c r="K539"/>
      <c r="L539"/>
      <c r="M539" s="2"/>
      <c r="Q539"/>
      <c r="R539"/>
      <c r="S539"/>
      <c r="T539"/>
    </row>
    <row r="540" spans="10:20" s="1" customFormat="1" x14ac:dyDescent="0.2">
      <c r="J540"/>
      <c r="K540"/>
      <c r="L540"/>
      <c r="M540" s="2"/>
      <c r="Q540"/>
      <c r="R540"/>
      <c r="S540"/>
      <c r="T540"/>
    </row>
    <row r="541" spans="10:20" s="1" customFormat="1" x14ac:dyDescent="0.2">
      <c r="J541"/>
      <c r="K541"/>
      <c r="L541"/>
      <c r="M541" s="2"/>
      <c r="Q541"/>
      <c r="R541"/>
      <c r="S541"/>
      <c r="T541"/>
    </row>
    <row r="542" spans="10:20" s="1" customFormat="1" x14ac:dyDescent="0.2">
      <c r="J542"/>
      <c r="K542"/>
      <c r="L542"/>
      <c r="M542" s="2"/>
      <c r="Q542"/>
      <c r="R542"/>
      <c r="S542"/>
      <c r="T542"/>
    </row>
    <row r="543" spans="10:20" s="1" customFormat="1" x14ac:dyDescent="0.2">
      <c r="J543"/>
      <c r="K543"/>
      <c r="L543"/>
      <c r="M543" s="2"/>
      <c r="Q543"/>
      <c r="R543"/>
      <c r="S543"/>
      <c r="T543"/>
    </row>
    <row r="544" spans="10:20" s="1" customFormat="1" x14ac:dyDescent="0.2">
      <c r="J544"/>
      <c r="K544"/>
      <c r="L544"/>
      <c r="M544" s="2"/>
      <c r="Q544"/>
      <c r="R544"/>
      <c r="S544"/>
      <c r="T544"/>
    </row>
    <row r="545" spans="10:20" s="1" customFormat="1" x14ac:dyDescent="0.2">
      <c r="J545"/>
      <c r="K545"/>
      <c r="L545"/>
      <c r="M545" s="2"/>
      <c r="Q545"/>
      <c r="R545"/>
      <c r="S545"/>
      <c r="T545"/>
    </row>
    <row r="546" spans="10:20" s="1" customFormat="1" x14ac:dyDescent="0.2">
      <c r="J546"/>
      <c r="K546"/>
      <c r="L546"/>
      <c r="M546" s="2"/>
      <c r="Q546"/>
      <c r="R546"/>
      <c r="S546"/>
      <c r="T546"/>
    </row>
    <row r="547" spans="10:20" s="1" customFormat="1" x14ac:dyDescent="0.2">
      <c r="J547"/>
      <c r="K547"/>
      <c r="L547"/>
      <c r="M547" s="2"/>
      <c r="Q547"/>
      <c r="R547"/>
      <c r="S547"/>
      <c r="T547"/>
    </row>
    <row r="548" spans="10:20" s="1" customFormat="1" x14ac:dyDescent="0.2">
      <c r="J548"/>
      <c r="K548"/>
      <c r="L548"/>
      <c r="M548" s="2"/>
      <c r="Q548"/>
      <c r="R548"/>
      <c r="S548"/>
      <c r="T548"/>
    </row>
    <row r="549" spans="10:20" s="1" customFormat="1" x14ac:dyDescent="0.2">
      <c r="J549"/>
      <c r="K549"/>
      <c r="L549"/>
      <c r="M549" s="2"/>
      <c r="Q549"/>
      <c r="R549"/>
      <c r="S549"/>
      <c r="T549"/>
    </row>
    <row r="550" spans="10:20" s="1" customFormat="1" x14ac:dyDescent="0.2">
      <c r="J550"/>
      <c r="K550"/>
      <c r="L550"/>
      <c r="M550" s="2"/>
      <c r="Q550"/>
      <c r="R550"/>
      <c r="S550"/>
      <c r="T550"/>
    </row>
    <row r="551" spans="10:20" s="1" customFormat="1" x14ac:dyDescent="0.2">
      <c r="J551"/>
      <c r="K551"/>
      <c r="L551"/>
      <c r="M551" s="2"/>
      <c r="Q551"/>
      <c r="R551"/>
      <c r="S551"/>
      <c r="T551"/>
    </row>
    <row r="552" spans="10:20" s="1" customFormat="1" x14ac:dyDescent="0.2">
      <c r="J552"/>
      <c r="K552"/>
      <c r="L552"/>
      <c r="M552" s="2"/>
      <c r="Q552"/>
      <c r="R552"/>
      <c r="S552"/>
      <c r="T552"/>
    </row>
    <row r="553" spans="10:20" s="1" customFormat="1" x14ac:dyDescent="0.2">
      <c r="J553"/>
      <c r="K553"/>
      <c r="L553"/>
      <c r="M553" s="2"/>
      <c r="Q553"/>
      <c r="R553"/>
      <c r="S553"/>
      <c r="T553"/>
    </row>
    <row r="554" spans="10:20" s="1" customFormat="1" x14ac:dyDescent="0.2">
      <c r="J554"/>
      <c r="K554"/>
      <c r="L554"/>
      <c r="M554" s="2"/>
      <c r="Q554"/>
      <c r="R554"/>
      <c r="S554"/>
      <c r="T554"/>
    </row>
    <row r="555" spans="10:20" s="1" customFormat="1" x14ac:dyDescent="0.2">
      <c r="J555"/>
      <c r="K555"/>
      <c r="L555"/>
      <c r="M555" s="2"/>
      <c r="Q555"/>
      <c r="R555"/>
      <c r="S555"/>
      <c r="T555"/>
    </row>
    <row r="556" spans="10:20" s="1" customFormat="1" x14ac:dyDescent="0.2">
      <c r="J556"/>
      <c r="K556"/>
      <c r="L556"/>
      <c r="M556" s="2"/>
      <c r="Q556"/>
      <c r="R556"/>
      <c r="S556"/>
      <c r="T556"/>
    </row>
    <row r="557" spans="10:20" s="1" customFormat="1" x14ac:dyDescent="0.2">
      <c r="J557"/>
      <c r="K557"/>
      <c r="L557"/>
      <c r="M557" s="2"/>
      <c r="Q557"/>
      <c r="R557"/>
      <c r="S557"/>
      <c r="T557"/>
    </row>
    <row r="558" spans="10:20" s="1" customFormat="1" x14ac:dyDescent="0.2">
      <c r="J558"/>
      <c r="K558"/>
      <c r="L558"/>
      <c r="M558" s="2"/>
      <c r="Q558"/>
      <c r="R558"/>
      <c r="S558"/>
      <c r="T558"/>
    </row>
    <row r="559" spans="10:20" s="1" customFormat="1" x14ac:dyDescent="0.2">
      <c r="J559"/>
      <c r="K559"/>
      <c r="L559"/>
      <c r="M559" s="2"/>
      <c r="Q559"/>
      <c r="R559"/>
      <c r="S559"/>
      <c r="T559"/>
    </row>
    <row r="560" spans="10:20" s="1" customFormat="1" x14ac:dyDescent="0.2">
      <c r="J560"/>
      <c r="K560"/>
      <c r="L560"/>
      <c r="M560" s="2"/>
      <c r="Q560"/>
      <c r="R560"/>
      <c r="S560"/>
      <c r="T560"/>
    </row>
    <row r="561" spans="10:20" s="1" customFormat="1" x14ac:dyDescent="0.2">
      <c r="J561"/>
      <c r="K561"/>
      <c r="L561"/>
      <c r="M561" s="2"/>
      <c r="Q561"/>
      <c r="R561"/>
      <c r="S561"/>
      <c r="T561"/>
    </row>
    <row r="562" spans="10:20" s="1" customFormat="1" x14ac:dyDescent="0.2">
      <c r="J562"/>
      <c r="K562"/>
      <c r="L562"/>
      <c r="M562" s="2"/>
      <c r="Q562"/>
      <c r="R562"/>
      <c r="S562"/>
      <c r="T562"/>
    </row>
    <row r="563" spans="10:20" s="1" customFormat="1" x14ac:dyDescent="0.2">
      <c r="J563"/>
      <c r="K563"/>
      <c r="L563"/>
      <c r="M563" s="2"/>
      <c r="Q563"/>
      <c r="R563"/>
      <c r="S563"/>
      <c r="T563"/>
    </row>
    <row r="564" spans="10:20" s="1" customFormat="1" x14ac:dyDescent="0.2">
      <c r="J564"/>
      <c r="K564"/>
      <c r="L564"/>
      <c r="M564" s="2"/>
      <c r="Q564"/>
      <c r="R564"/>
      <c r="S564"/>
      <c r="T564"/>
    </row>
    <row r="565" spans="10:20" s="1" customFormat="1" x14ac:dyDescent="0.2">
      <c r="J565"/>
      <c r="K565"/>
      <c r="L565"/>
      <c r="M565" s="2"/>
      <c r="Q565"/>
      <c r="R565"/>
      <c r="S565"/>
      <c r="T565"/>
    </row>
    <row r="566" spans="10:20" s="1" customFormat="1" x14ac:dyDescent="0.2">
      <c r="J566"/>
      <c r="K566"/>
      <c r="L566"/>
      <c r="M566" s="2"/>
      <c r="Q566"/>
      <c r="R566"/>
      <c r="S566"/>
      <c r="T566"/>
    </row>
    <row r="567" spans="10:20" s="1" customFormat="1" x14ac:dyDescent="0.2">
      <c r="J567"/>
      <c r="K567"/>
      <c r="L567"/>
      <c r="M567" s="2"/>
      <c r="Q567"/>
      <c r="R567"/>
      <c r="S567"/>
      <c r="T567"/>
    </row>
    <row r="568" spans="10:20" s="1" customFormat="1" x14ac:dyDescent="0.2">
      <c r="J568"/>
      <c r="K568"/>
      <c r="L568"/>
      <c r="M568" s="2"/>
      <c r="Q568"/>
      <c r="R568"/>
      <c r="S568"/>
      <c r="T568"/>
    </row>
    <row r="569" spans="10:20" s="1" customFormat="1" x14ac:dyDescent="0.2">
      <c r="J569"/>
      <c r="K569"/>
      <c r="L569"/>
      <c r="M569" s="2"/>
      <c r="Q569"/>
      <c r="R569"/>
      <c r="S569"/>
      <c r="T569"/>
    </row>
    <row r="570" spans="10:20" s="1" customFormat="1" x14ac:dyDescent="0.2">
      <c r="J570"/>
      <c r="K570"/>
      <c r="L570"/>
      <c r="M570" s="2"/>
      <c r="Q570"/>
      <c r="R570"/>
      <c r="S570"/>
      <c r="T570"/>
    </row>
    <row r="571" spans="10:20" s="1" customFormat="1" x14ac:dyDescent="0.2">
      <c r="J571"/>
      <c r="K571"/>
      <c r="L571"/>
      <c r="M571" s="2"/>
      <c r="Q571"/>
      <c r="R571"/>
      <c r="S571"/>
      <c r="T571"/>
    </row>
    <row r="572" spans="10:20" s="1" customFormat="1" x14ac:dyDescent="0.2">
      <c r="J572"/>
      <c r="K572"/>
      <c r="L572"/>
      <c r="M572" s="2"/>
      <c r="Q572"/>
      <c r="R572"/>
      <c r="S572"/>
      <c r="T572"/>
    </row>
    <row r="573" spans="10:20" s="1" customFormat="1" x14ac:dyDescent="0.2">
      <c r="J573"/>
      <c r="K573"/>
      <c r="L573"/>
      <c r="M573" s="2"/>
      <c r="Q573"/>
      <c r="R573"/>
      <c r="S573"/>
      <c r="T573"/>
    </row>
    <row r="574" spans="10:20" s="1" customFormat="1" x14ac:dyDescent="0.2">
      <c r="J574"/>
      <c r="K574"/>
      <c r="L574"/>
      <c r="M574" s="2"/>
      <c r="Q574"/>
      <c r="R574"/>
      <c r="S574"/>
      <c r="T574"/>
    </row>
    <row r="575" spans="10:20" s="1" customFormat="1" x14ac:dyDescent="0.2">
      <c r="J575"/>
      <c r="K575"/>
      <c r="L575"/>
      <c r="M575" s="2"/>
      <c r="Q575"/>
      <c r="R575"/>
      <c r="S575"/>
      <c r="T575"/>
    </row>
    <row r="576" spans="10:20" s="1" customFormat="1" x14ac:dyDescent="0.2">
      <c r="J576"/>
      <c r="K576"/>
      <c r="L576"/>
      <c r="M576" s="2"/>
      <c r="Q576"/>
      <c r="R576"/>
      <c r="S576"/>
      <c r="T576"/>
    </row>
    <row r="577" spans="10:20" s="1" customFormat="1" x14ac:dyDescent="0.2">
      <c r="J577"/>
      <c r="K577"/>
      <c r="L577"/>
      <c r="M577" s="2"/>
      <c r="Q577"/>
      <c r="R577"/>
      <c r="S577"/>
      <c r="T577"/>
    </row>
    <row r="578" spans="10:20" s="1" customFormat="1" x14ac:dyDescent="0.2">
      <c r="J578"/>
      <c r="K578"/>
      <c r="L578"/>
      <c r="M578" s="2"/>
      <c r="Q578"/>
      <c r="R578"/>
      <c r="S578"/>
      <c r="T578"/>
    </row>
    <row r="579" spans="10:20" s="1" customFormat="1" x14ac:dyDescent="0.2">
      <c r="J579"/>
      <c r="K579"/>
      <c r="L579"/>
      <c r="M579" s="2"/>
      <c r="Q579"/>
      <c r="R579"/>
      <c r="S579"/>
      <c r="T579"/>
    </row>
    <row r="580" spans="10:20" s="1" customFormat="1" x14ac:dyDescent="0.2">
      <c r="J580"/>
      <c r="K580"/>
      <c r="L580"/>
      <c r="M580" s="2"/>
      <c r="Q580"/>
      <c r="R580"/>
      <c r="S580"/>
      <c r="T580"/>
    </row>
    <row r="581" spans="10:20" s="1" customFormat="1" x14ac:dyDescent="0.2">
      <c r="J581"/>
      <c r="K581"/>
      <c r="L581"/>
      <c r="M581" s="2"/>
      <c r="Q581"/>
      <c r="R581"/>
      <c r="S581"/>
      <c r="T581"/>
    </row>
    <row r="582" spans="10:20" s="1" customFormat="1" x14ac:dyDescent="0.2">
      <c r="J582"/>
      <c r="K582"/>
      <c r="L582"/>
      <c r="M582" s="2"/>
      <c r="Q582"/>
      <c r="R582"/>
      <c r="S582"/>
      <c r="T582"/>
    </row>
    <row r="583" spans="10:20" s="1" customFormat="1" x14ac:dyDescent="0.2">
      <c r="J583"/>
      <c r="K583"/>
      <c r="L583"/>
      <c r="M583" s="2"/>
      <c r="Q583"/>
      <c r="R583"/>
      <c r="S583"/>
      <c r="T583"/>
    </row>
    <row r="584" spans="10:20" s="1" customFormat="1" x14ac:dyDescent="0.2">
      <c r="J584"/>
      <c r="K584"/>
      <c r="L584"/>
      <c r="M584" s="2"/>
      <c r="Q584"/>
      <c r="R584"/>
      <c r="S584"/>
      <c r="T584"/>
    </row>
    <row r="585" spans="10:20" s="1" customFormat="1" x14ac:dyDescent="0.2">
      <c r="J585"/>
      <c r="K585"/>
      <c r="L585"/>
      <c r="M585" s="2"/>
      <c r="Q585"/>
      <c r="R585"/>
      <c r="S585"/>
      <c r="T585"/>
    </row>
    <row r="586" spans="10:20" s="1" customFormat="1" x14ac:dyDescent="0.2">
      <c r="J586"/>
      <c r="K586"/>
      <c r="L586"/>
      <c r="M586" s="2"/>
      <c r="Q586"/>
      <c r="R586"/>
      <c r="S586"/>
      <c r="T586"/>
    </row>
    <row r="587" spans="10:20" s="1" customFormat="1" x14ac:dyDescent="0.2">
      <c r="J587"/>
      <c r="K587"/>
      <c r="L587"/>
      <c r="M587" s="2"/>
      <c r="Q587"/>
      <c r="R587"/>
      <c r="S587"/>
      <c r="T587"/>
    </row>
    <row r="588" spans="10:20" s="1" customFormat="1" x14ac:dyDescent="0.2">
      <c r="J588"/>
      <c r="K588"/>
      <c r="L588"/>
      <c r="M588" s="2"/>
      <c r="Q588"/>
      <c r="R588"/>
      <c r="S588"/>
      <c r="T588"/>
    </row>
    <row r="589" spans="10:20" s="1" customFormat="1" x14ac:dyDescent="0.2">
      <c r="J589"/>
      <c r="K589"/>
      <c r="L589"/>
      <c r="M589" s="2"/>
      <c r="Q589"/>
      <c r="R589"/>
      <c r="S589"/>
      <c r="T589"/>
    </row>
    <row r="590" spans="10:20" s="1" customFormat="1" x14ac:dyDescent="0.2">
      <c r="J590"/>
      <c r="K590"/>
      <c r="L590"/>
      <c r="M590" s="2"/>
      <c r="Q590"/>
      <c r="R590"/>
      <c r="S590"/>
      <c r="T590"/>
    </row>
    <row r="591" spans="10:20" s="1" customFormat="1" x14ac:dyDescent="0.2">
      <c r="J591"/>
      <c r="K591"/>
      <c r="L591"/>
      <c r="M591" s="2"/>
      <c r="Q591"/>
      <c r="R591"/>
      <c r="S591"/>
      <c r="T591"/>
    </row>
    <row r="592" spans="10:20" s="1" customFormat="1" x14ac:dyDescent="0.2">
      <c r="J592"/>
      <c r="K592"/>
      <c r="L592"/>
      <c r="M592" s="2"/>
      <c r="Q592"/>
      <c r="R592"/>
      <c r="S592"/>
      <c r="T592"/>
    </row>
    <row r="593" spans="10:20" s="1" customFormat="1" x14ac:dyDescent="0.2">
      <c r="J593"/>
      <c r="K593"/>
      <c r="L593"/>
      <c r="M593" s="2"/>
      <c r="Q593"/>
      <c r="R593"/>
      <c r="S593"/>
      <c r="T593"/>
    </row>
    <row r="594" spans="10:20" s="1" customFormat="1" x14ac:dyDescent="0.2">
      <c r="J594"/>
      <c r="K594"/>
      <c r="L594"/>
      <c r="M594" s="2"/>
      <c r="Q594"/>
      <c r="R594"/>
      <c r="S594"/>
      <c r="T594"/>
    </row>
    <row r="595" spans="10:20" s="1" customFormat="1" x14ac:dyDescent="0.2">
      <c r="J595"/>
      <c r="K595"/>
      <c r="L595"/>
      <c r="M595" s="2"/>
      <c r="Q595"/>
      <c r="R595"/>
      <c r="S595"/>
      <c r="T595"/>
    </row>
    <row r="596" spans="10:20" s="1" customFormat="1" x14ac:dyDescent="0.2">
      <c r="J596"/>
      <c r="K596"/>
      <c r="L596"/>
      <c r="M596" s="2"/>
      <c r="Q596"/>
      <c r="R596"/>
      <c r="S596"/>
      <c r="T596"/>
    </row>
    <row r="597" spans="10:20" s="1" customFormat="1" x14ac:dyDescent="0.2">
      <c r="J597"/>
      <c r="K597"/>
      <c r="L597"/>
      <c r="M597" s="2"/>
      <c r="Q597"/>
      <c r="R597"/>
      <c r="S597"/>
      <c r="T597"/>
    </row>
    <row r="598" spans="10:20" s="1" customFormat="1" x14ac:dyDescent="0.2">
      <c r="J598"/>
      <c r="K598"/>
      <c r="L598"/>
      <c r="M598" s="2"/>
      <c r="Q598"/>
      <c r="R598"/>
      <c r="S598"/>
      <c r="T598"/>
    </row>
    <row r="599" spans="10:20" s="1" customFormat="1" x14ac:dyDescent="0.2">
      <c r="J599"/>
      <c r="K599"/>
      <c r="L599"/>
      <c r="M599" s="2"/>
      <c r="Q599"/>
      <c r="R599"/>
      <c r="S599"/>
      <c r="T599"/>
    </row>
    <row r="600" spans="10:20" s="1" customFormat="1" x14ac:dyDescent="0.2">
      <c r="J600"/>
      <c r="K600"/>
      <c r="L600"/>
      <c r="M600" s="2"/>
      <c r="Q600"/>
      <c r="R600"/>
      <c r="S600"/>
      <c r="T600"/>
    </row>
    <row r="601" spans="10:20" s="1" customFormat="1" x14ac:dyDescent="0.2">
      <c r="J601"/>
      <c r="K601"/>
      <c r="L601"/>
      <c r="M601" s="2"/>
      <c r="Q601"/>
      <c r="R601"/>
      <c r="S601"/>
      <c r="T601"/>
    </row>
    <row r="602" spans="10:20" s="1" customFormat="1" x14ac:dyDescent="0.2">
      <c r="J602"/>
      <c r="K602"/>
      <c r="L602"/>
      <c r="M602" s="2"/>
      <c r="Q602"/>
      <c r="R602"/>
      <c r="S602"/>
      <c r="T602"/>
    </row>
    <row r="603" spans="10:20" s="1" customFormat="1" x14ac:dyDescent="0.2">
      <c r="J603"/>
      <c r="K603"/>
      <c r="L603"/>
      <c r="M603" s="2"/>
      <c r="Q603"/>
      <c r="R603"/>
      <c r="S603"/>
      <c r="T603"/>
    </row>
    <row r="604" spans="10:20" s="1" customFormat="1" x14ac:dyDescent="0.2">
      <c r="J604"/>
      <c r="K604"/>
      <c r="L604"/>
      <c r="M604" s="2"/>
      <c r="Q604"/>
      <c r="R604"/>
      <c r="S604"/>
      <c r="T604"/>
    </row>
    <row r="605" spans="10:20" s="1" customFormat="1" x14ac:dyDescent="0.2">
      <c r="J605"/>
      <c r="K605"/>
      <c r="L605"/>
      <c r="M605" s="2"/>
      <c r="Q605"/>
      <c r="R605"/>
      <c r="S605"/>
      <c r="T605"/>
    </row>
    <row r="606" spans="10:20" s="1" customFormat="1" x14ac:dyDescent="0.2">
      <c r="J606"/>
      <c r="K606"/>
      <c r="L606"/>
      <c r="M606" s="2"/>
      <c r="Q606"/>
      <c r="R606"/>
      <c r="S606"/>
      <c r="T606"/>
    </row>
    <row r="607" spans="10:20" s="1" customFormat="1" x14ac:dyDescent="0.2">
      <c r="J607"/>
      <c r="K607"/>
      <c r="L607"/>
      <c r="M607" s="2"/>
      <c r="Q607"/>
      <c r="R607"/>
      <c r="S607"/>
      <c r="T607"/>
    </row>
    <row r="608" spans="10:20" s="1" customFormat="1" x14ac:dyDescent="0.2">
      <c r="J608"/>
      <c r="K608"/>
      <c r="L608"/>
      <c r="M608" s="2"/>
      <c r="Q608"/>
      <c r="R608"/>
      <c r="S608"/>
      <c r="T608"/>
    </row>
    <row r="609" spans="10:20" s="1" customFormat="1" x14ac:dyDescent="0.2">
      <c r="J609"/>
      <c r="K609"/>
      <c r="L609"/>
      <c r="M609" s="2"/>
      <c r="Q609"/>
      <c r="R609"/>
      <c r="S609"/>
      <c r="T609"/>
    </row>
    <row r="610" spans="10:20" s="1" customFormat="1" x14ac:dyDescent="0.2">
      <c r="J610"/>
      <c r="K610"/>
      <c r="L610"/>
      <c r="M610" s="2"/>
      <c r="Q610"/>
      <c r="R610"/>
      <c r="S610"/>
      <c r="T610"/>
    </row>
    <row r="611" spans="10:20" s="1" customFormat="1" x14ac:dyDescent="0.2">
      <c r="J611"/>
      <c r="K611"/>
      <c r="L611"/>
      <c r="M611" s="2"/>
      <c r="Q611"/>
      <c r="R611"/>
      <c r="S611"/>
      <c r="T611"/>
    </row>
    <row r="612" spans="10:20" s="1" customFormat="1" x14ac:dyDescent="0.2">
      <c r="J612"/>
      <c r="K612"/>
      <c r="L612"/>
      <c r="M612" s="2"/>
      <c r="Q612"/>
      <c r="R612"/>
      <c r="S612"/>
      <c r="T612"/>
    </row>
    <row r="613" spans="10:20" s="1" customFormat="1" x14ac:dyDescent="0.2">
      <c r="J613"/>
      <c r="K613"/>
      <c r="L613"/>
      <c r="M613" s="2"/>
      <c r="Q613"/>
      <c r="R613"/>
      <c r="S613"/>
      <c r="T613"/>
    </row>
    <row r="614" spans="10:20" s="1" customFormat="1" x14ac:dyDescent="0.2">
      <c r="J614"/>
      <c r="K614"/>
      <c r="L614"/>
      <c r="M614" s="2"/>
      <c r="Q614"/>
      <c r="R614"/>
      <c r="S614"/>
      <c r="T614"/>
    </row>
    <row r="615" spans="10:20" s="1" customFormat="1" x14ac:dyDescent="0.2">
      <c r="J615"/>
      <c r="K615"/>
      <c r="L615"/>
      <c r="M615" s="2"/>
      <c r="Q615"/>
      <c r="R615"/>
      <c r="S615"/>
      <c r="T615"/>
    </row>
    <row r="616" spans="10:20" s="1" customFormat="1" x14ac:dyDescent="0.2">
      <c r="J616"/>
      <c r="K616"/>
      <c r="L616"/>
      <c r="M616" s="2"/>
      <c r="Q616"/>
      <c r="R616"/>
      <c r="S616"/>
      <c r="T616"/>
    </row>
    <row r="617" spans="10:20" s="1" customFormat="1" x14ac:dyDescent="0.2">
      <c r="J617"/>
      <c r="K617"/>
      <c r="L617"/>
      <c r="M617" s="2"/>
      <c r="Q617"/>
      <c r="R617"/>
      <c r="S617"/>
      <c r="T617"/>
    </row>
    <row r="618" spans="10:20" s="1" customFormat="1" x14ac:dyDescent="0.2">
      <c r="J618"/>
      <c r="K618"/>
      <c r="L618"/>
      <c r="M618" s="2"/>
      <c r="Q618"/>
      <c r="R618"/>
      <c r="S618"/>
      <c r="T618"/>
    </row>
    <row r="619" spans="10:20" s="1" customFormat="1" x14ac:dyDescent="0.2">
      <c r="J619"/>
      <c r="K619"/>
      <c r="L619"/>
      <c r="M619" s="2"/>
      <c r="Q619"/>
      <c r="R619"/>
      <c r="S619"/>
      <c r="T619"/>
    </row>
    <row r="620" spans="10:20" s="1" customFormat="1" x14ac:dyDescent="0.2">
      <c r="J620"/>
      <c r="K620"/>
      <c r="L620"/>
      <c r="M620" s="2"/>
      <c r="Q620"/>
      <c r="R620"/>
      <c r="S620"/>
      <c r="T620"/>
    </row>
    <row r="621" spans="10:20" s="1" customFormat="1" x14ac:dyDescent="0.2">
      <c r="J621"/>
      <c r="K621"/>
      <c r="L621"/>
      <c r="M621" s="2"/>
      <c r="Q621"/>
      <c r="R621"/>
      <c r="S621"/>
      <c r="T621"/>
    </row>
    <row r="622" spans="10:20" s="1" customFormat="1" x14ac:dyDescent="0.2">
      <c r="J622"/>
      <c r="K622"/>
      <c r="L622"/>
      <c r="M622" s="2"/>
      <c r="Q622"/>
      <c r="R622"/>
      <c r="S622"/>
      <c r="T622"/>
    </row>
    <row r="623" spans="10:20" s="1" customFormat="1" x14ac:dyDescent="0.2">
      <c r="J623"/>
      <c r="K623"/>
      <c r="L623"/>
      <c r="M623" s="2"/>
      <c r="Q623"/>
      <c r="R623"/>
      <c r="S623"/>
      <c r="T623"/>
    </row>
    <row r="624" spans="10:20" s="1" customFormat="1" x14ac:dyDescent="0.2">
      <c r="J624"/>
      <c r="K624"/>
      <c r="L624"/>
      <c r="M624" s="2"/>
      <c r="Q624"/>
      <c r="R624"/>
      <c r="S624"/>
      <c r="T624"/>
    </row>
    <row r="625" spans="10:20" s="1" customFormat="1" x14ac:dyDescent="0.2">
      <c r="J625"/>
      <c r="K625"/>
      <c r="L625"/>
      <c r="M625" s="2"/>
      <c r="Q625"/>
      <c r="R625"/>
      <c r="S625"/>
      <c r="T625"/>
    </row>
    <row r="626" spans="10:20" s="1" customFormat="1" x14ac:dyDescent="0.2">
      <c r="J626"/>
      <c r="K626"/>
      <c r="L626"/>
      <c r="M626" s="2"/>
      <c r="Q626"/>
      <c r="R626"/>
      <c r="S626"/>
      <c r="T626"/>
    </row>
    <row r="627" spans="10:20" s="1" customFormat="1" x14ac:dyDescent="0.2">
      <c r="J627"/>
      <c r="K627"/>
      <c r="L627"/>
      <c r="M627" s="2"/>
      <c r="Q627"/>
      <c r="R627"/>
      <c r="S627"/>
      <c r="T627"/>
    </row>
    <row r="628" spans="10:20" s="1" customFormat="1" x14ac:dyDescent="0.2">
      <c r="J628"/>
      <c r="K628"/>
      <c r="L628"/>
      <c r="M628" s="2"/>
      <c r="Q628"/>
      <c r="R628"/>
      <c r="S628"/>
      <c r="T628"/>
    </row>
    <row r="629" spans="10:20" s="1" customFormat="1" x14ac:dyDescent="0.2">
      <c r="J629"/>
      <c r="K629"/>
      <c r="L629"/>
      <c r="M629" s="2"/>
      <c r="Q629"/>
      <c r="R629"/>
      <c r="S629"/>
      <c r="T629"/>
    </row>
    <row r="630" spans="10:20" s="1" customFormat="1" x14ac:dyDescent="0.2">
      <c r="J630"/>
      <c r="K630"/>
      <c r="L630"/>
      <c r="M630" s="2"/>
      <c r="Q630"/>
      <c r="R630"/>
      <c r="S630"/>
      <c r="T630"/>
    </row>
    <row r="631" spans="10:20" s="1" customFormat="1" x14ac:dyDescent="0.2">
      <c r="J631"/>
      <c r="K631"/>
      <c r="L631"/>
      <c r="M631" s="2"/>
      <c r="Q631"/>
      <c r="R631"/>
      <c r="S631"/>
      <c r="T631"/>
    </row>
    <row r="632" spans="10:20" s="1" customFormat="1" x14ac:dyDescent="0.2">
      <c r="J632"/>
      <c r="K632"/>
      <c r="L632"/>
      <c r="M632" s="2"/>
      <c r="Q632"/>
      <c r="R632"/>
      <c r="S632"/>
      <c r="T632"/>
    </row>
    <row r="633" spans="10:20" s="1" customFormat="1" x14ac:dyDescent="0.2">
      <c r="J633"/>
      <c r="K633"/>
      <c r="L633"/>
      <c r="M633" s="2"/>
      <c r="Q633"/>
      <c r="R633"/>
      <c r="S633"/>
      <c r="T633"/>
    </row>
    <row r="634" spans="10:20" s="1" customFormat="1" x14ac:dyDescent="0.2">
      <c r="J634"/>
      <c r="K634"/>
      <c r="L634"/>
      <c r="M634" s="2"/>
      <c r="Q634"/>
      <c r="R634"/>
      <c r="S634"/>
      <c r="T634"/>
    </row>
    <row r="635" spans="10:20" s="1" customFormat="1" x14ac:dyDescent="0.2">
      <c r="J635"/>
      <c r="K635"/>
      <c r="L635"/>
      <c r="M635" s="2"/>
      <c r="Q635"/>
      <c r="R635"/>
      <c r="S635"/>
      <c r="T635"/>
    </row>
    <row r="636" spans="10:20" s="1" customFormat="1" x14ac:dyDescent="0.2">
      <c r="J636"/>
      <c r="K636"/>
      <c r="L636"/>
      <c r="M636" s="2"/>
      <c r="Q636"/>
      <c r="R636"/>
      <c r="S636"/>
      <c r="T636"/>
    </row>
    <row r="637" spans="10:20" s="1" customFormat="1" x14ac:dyDescent="0.2">
      <c r="J637"/>
      <c r="K637"/>
      <c r="L637"/>
      <c r="M637" s="2"/>
      <c r="Q637"/>
      <c r="R637"/>
      <c r="S637"/>
      <c r="T637"/>
    </row>
    <row r="638" spans="10:20" s="1" customFormat="1" x14ac:dyDescent="0.2">
      <c r="J638"/>
      <c r="K638"/>
      <c r="L638"/>
      <c r="M638" s="2"/>
      <c r="Q638"/>
      <c r="R638"/>
      <c r="S638"/>
      <c r="T638"/>
    </row>
    <row r="639" spans="10:20" s="1" customFormat="1" x14ac:dyDescent="0.2">
      <c r="J639"/>
      <c r="K639"/>
      <c r="L639"/>
      <c r="M639" s="2"/>
      <c r="Q639"/>
      <c r="R639"/>
      <c r="S639"/>
      <c r="T639"/>
    </row>
    <row r="640" spans="10:20" s="1" customFormat="1" x14ac:dyDescent="0.2">
      <c r="J640"/>
      <c r="K640"/>
      <c r="L640"/>
      <c r="M640" s="2"/>
      <c r="Q640"/>
      <c r="R640"/>
      <c r="S640"/>
      <c r="T640"/>
    </row>
    <row r="641" spans="10:20" s="1" customFormat="1" x14ac:dyDescent="0.2">
      <c r="J641"/>
      <c r="K641"/>
      <c r="L641"/>
      <c r="M641" s="2"/>
      <c r="Q641"/>
      <c r="R641"/>
      <c r="S641"/>
      <c r="T641"/>
    </row>
    <row r="642" spans="10:20" s="1" customFormat="1" x14ac:dyDescent="0.2">
      <c r="J642"/>
      <c r="K642"/>
      <c r="L642"/>
      <c r="M642" s="2"/>
      <c r="Q642"/>
      <c r="R642"/>
      <c r="S642"/>
      <c r="T642"/>
    </row>
    <row r="643" spans="10:20" s="1" customFormat="1" x14ac:dyDescent="0.2">
      <c r="J643"/>
      <c r="K643"/>
      <c r="L643"/>
      <c r="M643" s="2"/>
      <c r="Q643"/>
      <c r="R643"/>
      <c r="S643"/>
      <c r="T643"/>
    </row>
    <row r="644" spans="10:20" s="1" customFormat="1" x14ac:dyDescent="0.2">
      <c r="J644"/>
      <c r="K644"/>
      <c r="L644"/>
      <c r="M644" s="2"/>
      <c r="Q644"/>
      <c r="R644"/>
      <c r="S644"/>
      <c r="T644"/>
    </row>
    <row r="645" spans="10:20" s="1" customFormat="1" x14ac:dyDescent="0.2">
      <c r="J645"/>
      <c r="K645"/>
      <c r="L645"/>
      <c r="M645" s="2"/>
      <c r="Q645"/>
      <c r="R645"/>
      <c r="S645"/>
      <c r="T645"/>
    </row>
    <row r="646" spans="10:20" s="1" customFormat="1" x14ac:dyDescent="0.2">
      <c r="J646"/>
      <c r="K646"/>
      <c r="L646"/>
      <c r="M646" s="2"/>
      <c r="Q646"/>
      <c r="R646"/>
      <c r="S646"/>
      <c r="T646"/>
    </row>
    <row r="647" spans="10:20" s="1" customFormat="1" x14ac:dyDescent="0.2">
      <c r="J647"/>
      <c r="K647"/>
      <c r="L647"/>
      <c r="M647" s="2"/>
      <c r="Q647"/>
      <c r="R647"/>
      <c r="S647"/>
      <c r="T647"/>
    </row>
    <row r="648" spans="10:20" s="1" customFormat="1" x14ac:dyDescent="0.2">
      <c r="J648"/>
      <c r="K648"/>
      <c r="L648"/>
      <c r="M648" s="2"/>
      <c r="Q648"/>
      <c r="R648"/>
      <c r="S648"/>
      <c r="T648"/>
    </row>
    <row r="649" spans="10:20" s="1" customFormat="1" x14ac:dyDescent="0.2">
      <c r="J649"/>
      <c r="K649"/>
      <c r="L649"/>
      <c r="M649" s="2"/>
      <c r="Q649"/>
      <c r="R649"/>
      <c r="S649"/>
      <c r="T649"/>
    </row>
    <row r="650" spans="10:20" s="1" customFormat="1" x14ac:dyDescent="0.2">
      <c r="J650"/>
      <c r="K650"/>
      <c r="L650"/>
      <c r="M650" s="2"/>
      <c r="Q650"/>
      <c r="R650"/>
      <c r="S650"/>
      <c r="T650"/>
    </row>
    <row r="651" spans="10:20" s="1" customFormat="1" x14ac:dyDescent="0.2">
      <c r="J651"/>
      <c r="K651"/>
      <c r="L651"/>
      <c r="M651" s="2"/>
      <c r="Q651"/>
      <c r="R651"/>
      <c r="S651"/>
      <c r="T651"/>
    </row>
    <row r="652" spans="10:20" s="1" customFormat="1" x14ac:dyDescent="0.2">
      <c r="J652"/>
      <c r="K652"/>
      <c r="L652"/>
      <c r="M652" s="2"/>
      <c r="Q652"/>
      <c r="R652"/>
      <c r="S652"/>
      <c r="T652"/>
    </row>
    <row r="653" spans="10:20" s="1" customFormat="1" x14ac:dyDescent="0.2">
      <c r="J653"/>
      <c r="K653"/>
      <c r="L653"/>
      <c r="M653" s="2"/>
      <c r="Q653"/>
      <c r="R653"/>
      <c r="S653"/>
      <c r="T653"/>
    </row>
    <row r="654" spans="10:20" s="1" customFormat="1" x14ac:dyDescent="0.2">
      <c r="J654"/>
      <c r="K654"/>
      <c r="L654"/>
      <c r="M654" s="2"/>
      <c r="Q654"/>
      <c r="R654"/>
      <c r="S654"/>
      <c r="T654"/>
    </row>
    <row r="655" spans="10:20" s="1" customFormat="1" x14ac:dyDescent="0.2">
      <c r="J655"/>
      <c r="K655"/>
      <c r="L655"/>
      <c r="M655" s="2"/>
      <c r="Q655"/>
      <c r="R655"/>
      <c r="S655"/>
      <c r="T655"/>
    </row>
    <row r="656" spans="10:20" s="1" customFormat="1" x14ac:dyDescent="0.2">
      <c r="J656"/>
      <c r="K656"/>
      <c r="L656"/>
      <c r="M656" s="2"/>
      <c r="Q656"/>
      <c r="R656"/>
      <c r="S656"/>
      <c r="T656"/>
    </row>
    <row r="657" spans="10:20" s="1" customFormat="1" x14ac:dyDescent="0.2">
      <c r="J657"/>
      <c r="K657"/>
      <c r="L657"/>
      <c r="M657" s="2"/>
      <c r="Q657"/>
      <c r="R657"/>
      <c r="S657"/>
      <c r="T657"/>
    </row>
    <row r="658" spans="10:20" s="1" customFormat="1" x14ac:dyDescent="0.2">
      <c r="J658"/>
      <c r="K658"/>
      <c r="L658"/>
      <c r="M658" s="2"/>
      <c r="Q658"/>
      <c r="R658"/>
      <c r="S658"/>
      <c r="T658"/>
    </row>
    <row r="659" spans="10:20" s="1" customFormat="1" x14ac:dyDescent="0.2">
      <c r="J659"/>
      <c r="K659"/>
      <c r="L659"/>
      <c r="M659" s="2"/>
      <c r="Q659"/>
      <c r="R659"/>
      <c r="S659"/>
      <c r="T659"/>
    </row>
    <row r="660" spans="10:20" s="1" customFormat="1" x14ac:dyDescent="0.2">
      <c r="J660"/>
      <c r="K660"/>
      <c r="L660"/>
      <c r="M660" s="2"/>
      <c r="Q660"/>
      <c r="R660"/>
      <c r="S660"/>
      <c r="T660"/>
    </row>
    <row r="661" spans="10:20" s="1" customFormat="1" x14ac:dyDescent="0.2">
      <c r="J661"/>
      <c r="K661"/>
      <c r="L661"/>
      <c r="M661" s="2"/>
      <c r="Q661"/>
      <c r="R661"/>
      <c r="S661"/>
      <c r="T661"/>
    </row>
    <row r="662" spans="10:20" s="1" customFormat="1" x14ac:dyDescent="0.2">
      <c r="J662"/>
      <c r="K662"/>
      <c r="L662"/>
      <c r="M662" s="2"/>
      <c r="Q662"/>
      <c r="R662"/>
      <c r="S662"/>
      <c r="T662"/>
    </row>
    <row r="663" spans="10:20" s="1" customFormat="1" x14ac:dyDescent="0.2">
      <c r="J663"/>
      <c r="K663"/>
      <c r="L663"/>
      <c r="M663" s="2"/>
      <c r="Q663"/>
      <c r="R663"/>
      <c r="S663"/>
      <c r="T663"/>
    </row>
    <row r="664" spans="10:20" s="1" customFormat="1" x14ac:dyDescent="0.2">
      <c r="J664"/>
      <c r="K664"/>
      <c r="L664"/>
      <c r="M664" s="2"/>
      <c r="Q664"/>
      <c r="R664"/>
      <c r="S664"/>
      <c r="T664"/>
    </row>
    <row r="665" spans="10:20" s="1" customFormat="1" x14ac:dyDescent="0.2">
      <c r="J665"/>
      <c r="K665"/>
      <c r="L665"/>
      <c r="M665" s="2"/>
      <c r="Q665"/>
      <c r="R665"/>
      <c r="S665"/>
      <c r="T665"/>
    </row>
    <row r="666" spans="10:20" s="1" customFormat="1" x14ac:dyDescent="0.2">
      <c r="J666"/>
      <c r="K666"/>
      <c r="L666"/>
      <c r="M666" s="2"/>
      <c r="Q666"/>
      <c r="R666"/>
      <c r="S666"/>
      <c r="T666"/>
    </row>
    <row r="667" spans="10:20" s="1" customFormat="1" x14ac:dyDescent="0.2">
      <c r="J667"/>
      <c r="K667"/>
      <c r="L667"/>
      <c r="M667" s="2"/>
      <c r="Q667"/>
      <c r="R667"/>
      <c r="S667"/>
      <c r="T667"/>
    </row>
    <row r="668" spans="10:20" s="1" customFormat="1" x14ac:dyDescent="0.2">
      <c r="J668"/>
      <c r="K668"/>
      <c r="L668"/>
      <c r="M668" s="2"/>
      <c r="Q668"/>
      <c r="R668"/>
      <c r="S668"/>
      <c r="T668"/>
    </row>
    <row r="669" spans="10:20" s="1" customFormat="1" x14ac:dyDescent="0.2">
      <c r="J669"/>
      <c r="K669"/>
      <c r="L669"/>
      <c r="M669" s="2"/>
      <c r="Q669"/>
      <c r="R669"/>
      <c r="S669"/>
      <c r="T669"/>
    </row>
    <row r="670" spans="10:20" s="1" customFormat="1" x14ac:dyDescent="0.2">
      <c r="J670"/>
      <c r="K670"/>
      <c r="L670"/>
      <c r="M670" s="2"/>
      <c r="Q670"/>
      <c r="R670"/>
      <c r="S670"/>
      <c r="T670"/>
    </row>
    <row r="671" spans="10:20" s="1" customFormat="1" x14ac:dyDescent="0.2">
      <c r="J671"/>
      <c r="K671"/>
      <c r="L671"/>
      <c r="M671" s="2"/>
      <c r="Q671"/>
      <c r="R671"/>
      <c r="S671"/>
      <c r="T671"/>
    </row>
    <row r="672" spans="10:20" s="1" customFormat="1" x14ac:dyDescent="0.2">
      <c r="J672"/>
      <c r="K672"/>
      <c r="L672"/>
      <c r="M672" s="2"/>
      <c r="Q672"/>
      <c r="R672"/>
      <c r="S672"/>
      <c r="T672"/>
    </row>
    <row r="673" spans="10:20" s="1" customFormat="1" x14ac:dyDescent="0.2">
      <c r="J673"/>
      <c r="K673"/>
      <c r="L673"/>
      <c r="M673" s="2"/>
      <c r="Q673"/>
      <c r="R673"/>
      <c r="S673"/>
      <c r="T673"/>
    </row>
    <row r="674" spans="10:20" s="1" customFormat="1" x14ac:dyDescent="0.2">
      <c r="J674"/>
      <c r="K674"/>
      <c r="L674"/>
      <c r="M674" s="2"/>
      <c r="Q674"/>
      <c r="R674"/>
      <c r="S674"/>
      <c r="T674"/>
    </row>
    <row r="675" spans="10:20" s="1" customFormat="1" x14ac:dyDescent="0.2">
      <c r="J675"/>
      <c r="K675"/>
      <c r="L675"/>
      <c r="M675" s="2"/>
      <c r="Q675"/>
      <c r="R675"/>
      <c r="S675"/>
      <c r="T675"/>
    </row>
    <row r="676" spans="10:20" s="1" customFormat="1" x14ac:dyDescent="0.2">
      <c r="J676"/>
      <c r="K676"/>
      <c r="L676"/>
      <c r="M676" s="2"/>
      <c r="Q676"/>
      <c r="R676"/>
      <c r="S676"/>
      <c r="T676"/>
    </row>
    <row r="677" spans="10:20" s="1" customFormat="1" x14ac:dyDescent="0.2">
      <c r="J677"/>
      <c r="K677"/>
      <c r="L677"/>
      <c r="M677" s="2"/>
      <c r="Q677"/>
      <c r="R677"/>
      <c r="S677"/>
      <c r="T677"/>
    </row>
    <row r="678" spans="10:20" s="1" customFormat="1" x14ac:dyDescent="0.2">
      <c r="J678"/>
      <c r="K678"/>
      <c r="L678"/>
      <c r="M678" s="2"/>
      <c r="Q678"/>
      <c r="R678"/>
      <c r="S678"/>
      <c r="T678"/>
    </row>
    <row r="679" spans="10:20" s="1" customFormat="1" x14ac:dyDescent="0.2">
      <c r="J679"/>
      <c r="K679"/>
      <c r="L679"/>
      <c r="M679" s="2"/>
      <c r="Q679"/>
      <c r="R679"/>
      <c r="S679"/>
      <c r="T679"/>
    </row>
    <row r="680" spans="10:20" s="1" customFormat="1" x14ac:dyDescent="0.2">
      <c r="J680"/>
      <c r="K680"/>
      <c r="L680"/>
      <c r="M680" s="2"/>
      <c r="Q680"/>
      <c r="R680"/>
      <c r="S680"/>
      <c r="T680"/>
    </row>
    <row r="681" spans="10:20" s="1" customFormat="1" x14ac:dyDescent="0.2">
      <c r="J681"/>
      <c r="K681"/>
      <c r="L681"/>
      <c r="M681" s="2"/>
      <c r="Q681"/>
      <c r="R681"/>
      <c r="S681"/>
      <c r="T681"/>
    </row>
    <row r="682" spans="10:20" s="1" customFormat="1" x14ac:dyDescent="0.2">
      <c r="J682"/>
      <c r="K682"/>
      <c r="L682"/>
      <c r="M682" s="2"/>
      <c r="Q682"/>
      <c r="R682"/>
      <c r="S682"/>
      <c r="T682"/>
    </row>
    <row r="683" spans="10:20" s="1" customFormat="1" x14ac:dyDescent="0.2">
      <c r="J683"/>
      <c r="K683"/>
      <c r="L683"/>
      <c r="M683" s="2"/>
      <c r="Q683"/>
      <c r="R683"/>
      <c r="S683"/>
      <c r="T683"/>
    </row>
    <row r="684" spans="10:20" s="1" customFormat="1" x14ac:dyDescent="0.2">
      <c r="J684"/>
      <c r="K684"/>
      <c r="L684"/>
      <c r="M684" s="2"/>
      <c r="Q684"/>
      <c r="R684"/>
      <c r="S684"/>
      <c r="T684"/>
    </row>
    <row r="685" spans="10:20" s="1" customFormat="1" x14ac:dyDescent="0.2">
      <c r="J685"/>
      <c r="K685"/>
      <c r="L685"/>
      <c r="M685" s="2"/>
      <c r="Q685"/>
      <c r="R685"/>
      <c r="S685"/>
      <c r="T685"/>
    </row>
    <row r="686" spans="10:20" s="1" customFormat="1" x14ac:dyDescent="0.2">
      <c r="J686"/>
      <c r="K686"/>
      <c r="L686"/>
      <c r="M686" s="2"/>
      <c r="Q686"/>
      <c r="R686"/>
      <c r="S686"/>
      <c r="T686"/>
    </row>
    <row r="687" spans="10:20" s="1" customFormat="1" x14ac:dyDescent="0.2">
      <c r="J687"/>
      <c r="K687"/>
      <c r="L687"/>
      <c r="M687" s="2"/>
      <c r="Q687"/>
      <c r="R687"/>
      <c r="S687"/>
      <c r="T687"/>
    </row>
    <row r="688" spans="10:20" s="1" customFormat="1" x14ac:dyDescent="0.2">
      <c r="J688"/>
      <c r="K688"/>
      <c r="L688"/>
      <c r="M688" s="2"/>
      <c r="Q688"/>
      <c r="R688"/>
      <c r="S688"/>
      <c r="T688"/>
    </row>
    <row r="689" spans="10:20" s="1" customFormat="1" x14ac:dyDescent="0.2">
      <c r="J689"/>
      <c r="K689"/>
      <c r="L689"/>
      <c r="M689" s="2"/>
      <c r="Q689"/>
      <c r="R689"/>
      <c r="S689"/>
      <c r="T689"/>
    </row>
    <row r="690" spans="10:20" s="1" customFormat="1" x14ac:dyDescent="0.2">
      <c r="J690"/>
      <c r="K690"/>
      <c r="L690"/>
      <c r="M690" s="2"/>
      <c r="Q690"/>
      <c r="R690"/>
      <c r="S690"/>
      <c r="T690"/>
    </row>
    <row r="691" spans="10:20" s="1" customFormat="1" x14ac:dyDescent="0.2">
      <c r="J691"/>
      <c r="K691"/>
      <c r="L691"/>
      <c r="M691" s="2"/>
      <c r="Q691"/>
      <c r="R691"/>
      <c r="S691"/>
      <c r="T691"/>
    </row>
    <row r="692" spans="10:20" s="1" customFormat="1" x14ac:dyDescent="0.2">
      <c r="J692"/>
      <c r="K692"/>
      <c r="L692"/>
      <c r="M692" s="2"/>
      <c r="Q692"/>
      <c r="R692"/>
      <c r="S692"/>
      <c r="T692"/>
    </row>
    <row r="693" spans="10:20" s="1" customFormat="1" x14ac:dyDescent="0.2">
      <c r="J693"/>
      <c r="K693"/>
      <c r="L693"/>
      <c r="M693" s="2"/>
      <c r="Q693"/>
      <c r="R693"/>
      <c r="S693"/>
      <c r="T693"/>
    </row>
    <row r="694" spans="10:20" s="1" customFormat="1" x14ac:dyDescent="0.2">
      <c r="J694"/>
      <c r="K694"/>
      <c r="L694"/>
      <c r="M694" s="2"/>
      <c r="Q694"/>
      <c r="R694"/>
      <c r="S694"/>
      <c r="T694"/>
    </row>
    <row r="695" spans="10:20" s="1" customFormat="1" x14ac:dyDescent="0.2">
      <c r="J695"/>
      <c r="K695"/>
      <c r="L695"/>
      <c r="M695" s="2"/>
      <c r="Q695"/>
      <c r="R695"/>
      <c r="S695"/>
      <c r="T695"/>
    </row>
    <row r="696" spans="10:20" s="1" customFormat="1" x14ac:dyDescent="0.2">
      <c r="J696"/>
      <c r="K696"/>
      <c r="L696"/>
      <c r="M696" s="2"/>
      <c r="Q696"/>
      <c r="R696"/>
      <c r="S696"/>
      <c r="T696"/>
    </row>
    <row r="697" spans="10:20" s="1" customFormat="1" x14ac:dyDescent="0.2">
      <c r="J697"/>
      <c r="K697"/>
      <c r="L697"/>
      <c r="M697" s="2"/>
      <c r="Q697"/>
      <c r="R697"/>
      <c r="S697"/>
      <c r="T697"/>
    </row>
    <row r="698" spans="10:20" s="1" customFormat="1" x14ac:dyDescent="0.2">
      <c r="J698"/>
      <c r="K698"/>
      <c r="L698"/>
      <c r="M698" s="2"/>
      <c r="Q698"/>
      <c r="R698"/>
      <c r="S698"/>
      <c r="T698"/>
    </row>
    <row r="699" spans="10:20" s="1" customFormat="1" x14ac:dyDescent="0.2">
      <c r="J699"/>
      <c r="K699"/>
      <c r="L699"/>
      <c r="M699" s="2"/>
      <c r="Q699"/>
      <c r="R699"/>
      <c r="S699"/>
      <c r="T699"/>
    </row>
    <row r="700" spans="10:20" s="1" customFormat="1" x14ac:dyDescent="0.2">
      <c r="J700"/>
      <c r="K700"/>
      <c r="L700"/>
      <c r="M700" s="2"/>
      <c r="Q700"/>
      <c r="R700"/>
      <c r="S700"/>
      <c r="T700"/>
    </row>
    <row r="701" spans="10:20" s="1" customFormat="1" x14ac:dyDescent="0.2">
      <c r="J701"/>
      <c r="K701"/>
      <c r="L701"/>
      <c r="M701" s="2"/>
      <c r="Q701"/>
      <c r="R701"/>
      <c r="S701"/>
      <c r="T701"/>
    </row>
    <row r="702" spans="10:20" s="1" customFormat="1" x14ac:dyDescent="0.2">
      <c r="J702"/>
      <c r="K702"/>
      <c r="L702"/>
      <c r="M702" s="2"/>
      <c r="Q702"/>
      <c r="R702"/>
      <c r="S702"/>
      <c r="T702"/>
    </row>
    <row r="703" spans="10:20" s="1" customFormat="1" x14ac:dyDescent="0.2">
      <c r="J703"/>
      <c r="K703"/>
      <c r="L703"/>
      <c r="M703" s="2"/>
      <c r="Q703"/>
      <c r="R703"/>
      <c r="S703"/>
      <c r="T703"/>
    </row>
    <row r="704" spans="10:20" s="1" customFormat="1" x14ac:dyDescent="0.2">
      <c r="J704"/>
      <c r="K704"/>
      <c r="L704"/>
      <c r="M704" s="2"/>
      <c r="Q704"/>
      <c r="R704"/>
      <c r="S704"/>
      <c r="T704"/>
    </row>
    <row r="705" spans="10:20" s="1" customFormat="1" x14ac:dyDescent="0.2">
      <c r="J705"/>
      <c r="K705"/>
      <c r="L705"/>
      <c r="M705" s="2"/>
      <c r="Q705"/>
      <c r="R705"/>
      <c r="S705"/>
      <c r="T705"/>
    </row>
    <row r="706" spans="10:20" s="1" customFormat="1" x14ac:dyDescent="0.2">
      <c r="J706"/>
      <c r="K706"/>
      <c r="L706"/>
      <c r="M706" s="2"/>
      <c r="Q706"/>
      <c r="R706"/>
      <c r="S706"/>
      <c r="T706"/>
    </row>
    <row r="707" spans="10:20" s="1" customFormat="1" x14ac:dyDescent="0.2">
      <c r="J707"/>
      <c r="K707"/>
      <c r="L707"/>
      <c r="M707" s="2"/>
      <c r="Q707"/>
      <c r="R707"/>
      <c r="S707"/>
      <c r="T707"/>
    </row>
    <row r="708" spans="10:20" s="1" customFormat="1" x14ac:dyDescent="0.2">
      <c r="J708"/>
      <c r="K708"/>
      <c r="L708"/>
      <c r="M708" s="2"/>
      <c r="Q708"/>
      <c r="R708"/>
      <c r="S708"/>
      <c r="T708"/>
    </row>
    <row r="709" spans="10:20" s="1" customFormat="1" x14ac:dyDescent="0.2">
      <c r="J709"/>
      <c r="K709"/>
      <c r="L709"/>
      <c r="M709" s="2"/>
      <c r="Q709"/>
      <c r="R709"/>
      <c r="S709"/>
      <c r="T709"/>
    </row>
    <row r="710" spans="10:20" s="1" customFormat="1" x14ac:dyDescent="0.2">
      <c r="J710"/>
      <c r="K710"/>
      <c r="L710"/>
      <c r="M710" s="2"/>
      <c r="Q710"/>
      <c r="R710"/>
      <c r="S710"/>
      <c r="T710"/>
    </row>
    <row r="711" spans="10:20" s="1" customFormat="1" x14ac:dyDescent="0.2">
      <c r="J711"/>
      <c r="K711"/>
      <c r="L711"/>
      <c r="M711" s="2"/>
      <c r="Q711"/>
      <c r="R711"/>
      <c r="S711"/>
      <c r="T711"/>
    </row>
    <row r="712" spans="10:20" s="1" customFormat="1" x14ac:dyDescent="0.2">
      <c r="J712"/>
      <c r="K712"/>
      <c r="L712"/>
      <c r="M712" s="2"/>
      <c r="Q712"/>
      <c r="R712"/>
      <c r="S712"/>
      <c r="T712"/>
    </row>
    <row r="713" spans="10:20" s="1" customFormat="1" x14ac:dyDescent="0.2">
      <c r="J713"/>
      <c r="K713"/>
      <c r="L713"/>
      <c r="M713" s="2"/>
      <c r="Q713"/>
      <c r="R713"/>
      <c r="S713"/>
      <c r="T713"/>
    </row>
    <row r="714" spans="10:20" s="1" customFormat="1" x14ac:dyDescent="0.2">
      <c r="J714"/>
      <c r="K714"/>
      <c r="L714"/>
      <c r="M714" s="2"/>
      <c r="Q714"/>
      <c r="R714"/>
      <c r="S714"/>
      <c r="T714"/>
    </row>
    <row r="715" spans="10:20" s="1" customFormat="1" x14ac:dyDescent="0.2">
      <c r="J715"/>
      <c r="K715"/>
      <c r="L715"/>
      <c r="M715" s="2"/>
      <c r="Q715"/>
      <c r="R715"/>
      <c r="S715"/>
      <c r="T715"/>
    </row>
    <row r="716" spans="10:20" s="1" customFormat="1" x14ac:dyDescent="0.2">
      <c r="J716"/>
      <c r="K716"/>
      <c r="L716"/>
      <c r="M716" s="2"/>
      <c r="Q716"/>
      <c r="R716"/>
      <c r="S716"/>
      <c r="T716"/>
    </row>
    <row r="717" spans="10:20" s="1" customFormat="1" x14ac:dyDescent="0.2">
      <c r="J717"/>
      <c r="K717"/>
      <c r="L717"/>
      <c r="M717" s="2"/>
      <c r="Q717"/>
      <c r="R717"/>
      <c r="S717"/>
      <c r="T717"/>
    </row>
    <row r="718" spans="10:20" s="1" customFormat="1" x14ac:dyDescent="0.2">
      <c r="J718"/>
      <c r="K718"/>
      <c r="L718"/>
      <c r="M718" s="2"/>
      <c r="Q718"/>
      <c r="R718"/>
      <c r="S718"/>
      <c r="T718"/>
    </row>
    <row r="719" spans="10:20" s="1" customFormat="1" x14ac:dyDescent="0.2">
      <c r="J719"/>
      <c r="K719"/>
      <c r="L719"/>
      <c r="M719" s="2"/>
      <c r="Q719"/>
      <c r="R719"/>
      <c r="S719"/>
      <c r="T719"/>
    </row>
    <row r="720" spans="10:20" s="1" customFormat="1" x14ac:dyDescent="0.2">
      <c r="J720"/>
      <c r="K720"/>
      <c r="L720"/>
      <c r="M720" s="2"/>
      <c r="Q720"/>
      <c r="R720"/>
      <c r="S720"/>
      <c r="T720"/>
    </row>
    <row r="721" spans="10:20" s="1" customFormat="1" x14ac:dyDescent="0.2">
      <c r="J721"/>
      <c r="K721"/>
      <c r="L721"/>
      <c r="M721" s="2"/>
      <c r="Q721"/>
      <c r="R721"/>
      <c r="S721"/>
      <c r="T721"/>
    </row>
    <row r="722" spans="10:20" s="1" customFormat="1" x14ac:dyDescent="0.2">
      <c r="J722"/>
      <c r="K722"/>
      <c r="L722"/>
      <c r="M722" s="2"/>
      <c r="Q722"/>
      <c r="R722"/>
      <c r="S722"/>
      <c r="T722"/>
    </row>
    <row r="723" spans="10:20" s="1" customFormat="1" x14ac:dyDescent="0.2">
      <c r="J723"/>
      <c r="K723"/>
      <c r="L723"/>
      <c r="M723" s="2"/>
      <c r="Q723"/>
      <c r="R723"/>
      <c r="S723"/>
      <c r="T723"/>
    </row>
    <row r="724" spans="10:20" s="1" customFormat="1" x14ac:dyDescent="0.2">
      <c r="J724"/>
      <c r="K724"/>
      <c r="L724"/>
      <c r="M724" s="2"/>
      <c r="Q724"/>
      <c r="R724"/>
      <c r="S724"/>
      <c r="T724"/>
    </row>
    <row r="725" spans="10:20" s="1" customFormat="1" x14ac:dyDescent="0.2">
      <c r="J725"/>
      <c r="K725"/>
      <c r="L725"/>
      <c r="M725" s="2"/>
      <c r="Q725"/>
      <c r="R725"/>
      <c r="S725"/>
      <c r="T725"/>
    </row>
    <row r="726" spans="10:20" s="1" customFormat="1" x14ac:dyDescent="0.2">
      <c r="J726"/>
      <c r="K726"/>
      <c r="L726"/>
      <c r="M726" s="2"/>
      <c r="Q726"/>
      <c r="R726"/>
      <c r="S726"/>
      <c r="T726"/>
    </row>
    <row r="727" spans="10:20" s="1" customFormat="1" x14ac:dyDescent="0.2">
      <c r="J727"/>
      <c r="K727"/>
      <c r="L727"/>
      <c r="M727" s="2"/>
      <c r="Q727"/>
      <c r="R727"/>
      <c r="S727"/>
      <c r="T727"/>
    </row>
    <row r="728" spans="10:20" s="1" customFormat="1" x14ac:dyDescent="0.2">
      <c r="J728"/>
      <c r="K728"/>
      <c r="L728"/>
      <c r="M728" s="2"/>
      <c r="Q728"/>
      <c r="R728"/>
      <c r="S728"/>
      <c r="T728"/>
    </row>
    <row r="729" spans="10:20" s="1" customFormat="1" x14ac:dyDescent="0.2">
      <c r="J729"/>
      <c r="K729"/>
      <c r="L729"/>
      <c r="M729" s="2"/>
      <c r="Q729"/>
      <c r="R729"/>
      <c r="S729"/>
      <c r="T729"/>
    </row>
    <row r="730" spans="10:20" s="1" customFormat="1" x14ac:dyDescent="0.2">
      <c r="J730"/>
      <c r="K730"/>
      <c r="L730"/>
      <c r="M730" s="2"/>
      <c r="Q730"/>
      <c r="R730"/>
      <c r="S730"/>
      <c r="T730"/>
    </row>
    <row r="731" spans="10:20" s="1" customFormat="1" x14ac:dyDescent="0.2">
      <c r="J731"/>
      <c r="K731"/>
      <c r="L731"/>
      <c r="M731" s="2"/>
      <c r="Q731"/>
      <c r="R731"/>
      <c r="S731"/>
      <c r="T731"/>
    </row>
    <row r="732" spans="10:20" s="1" customFormat="1" x14ac:dyDescent="0.2">
      <c r="J732"/>
      <c r="K732"/>
      <c r="L732"/>
      <c r="M732" s="2"/>
      <c r="Q732"/>
      <c r="R732"/>
      <c r="S732"/>
      <c r="T732"/>
    </row>
  </sheetData>
  <mergeCells count="69">
    <mergeCell ref="R24:R25"/>
    <mergeCell ref="B27:B29"/>
    <mergeCell ref="E27:E29"/>
    <mergeCell ref="J27:J29"/>
    <mergeCell ref="K27:K29"/>
    <mergeCell ref="P27:P29"/>
    <mergeCell ref="R27:R29"/>
    <mergeCell ref="B24:B25"/>
    <mergeCell ref="E24:E25"/>
    <mergeCell ref="J24:J25"/>
    <mergeCell ref="K24:K25"/>
    <mergeCell ref="P24:P25"/>
    <mergeCell ref="B22:B23"/>
    <mergeCell ref="E22:E23"/>
    <mergeCell ref="P22:P23"/>
    <mergeCell ref="R22:R23"/>
    <mergeCell ref="J22:J23"/>
    <mergeCell ref="K22:K23"/>
    <mergeCell ref="I16:I17"/>
    <mergeCell ref="R16:R17"/>
    <mergeCell ref="T16:T17"/>
    <mergeCell ref="J16:J17"/>
    <mergeCell ref="K16:K17"/>
    <mergeCell ref="L16:L17"/>
    <mergeCell ref="M16:M17"/>
    <mergeCell ref="N16:N17"/>
    <mergeCell ref="P16:P17"/>
    <mergeCell ref="B16:B17"/>
    <mergeCell ref="D16:D17"/>
    <mergeCell ref="E16:E17"/>
    <mergeCell ref="F16:F17"/>
    <mergeCell ref="H16:H17"/>
    <mergeCell ref="R11:R12"/>
    <mergeCell ref="B11:B12"/>
    <mergeCell ref="E11:E12"/>
    <mergeCell ref="J11:J12"/>
    <mergeCell ref="K11:K12"/>
    <mergeCell ref="P11:P12"/>
    <mergeCell ref="R7:R8"/>
    <mergeCell ref="P7:P8"/>
    <mergeCell ref="B9:B10"/>
    <mergeCell ref="E9:E10"/>
    <mergeCell ref="J9:J10"/>
    <mergeCell ref="K9:K10"/>
    <mergeCell ref="P9:P10"/>
    <mergeCell ref="R9:R10"/>
    <mergeCell ref="L5:L6"/>
    <mergeCell ref="N5:N6"/>
    <mergeCell ref="P5:P6"/>
    <mergeCell ref="B7:B8"/>
    <mergeCell ref="E7:E8"/>
    <mergeCell ref="J7:J8"/>
    <mergeCell ref="K7:K8"/>
    <mergeCell ref="T9:T10"/>
    <mergeCell ref="B2:T2"/>
    <mergeCell ref="E60:F60"/>
    <mergeCell ref="J60:J62"/>
    <mergeCell ref="E61:F61"/>
    <mergeCell ref="E62:F62"/>
    <mergeCell ref="B5:B6"/>
    <mergeCell ref="D5:D6"/>
    <mergeCell ref="E5:E6"/>
    <mergeCell ref="F5:F6"/>
    <mergeCell ref="H5:H6"/>
    <mergeCell ref="R5:R6"/>
    <mergeCell ref="T5:T6"/>
    <mergeCell ref="I5:I6"/>
    <mergeCell ref="J5:J6"/>
    <mergeCell ref="K5:K6"/>
  </mergeCells>
  <conditionalFormatting sqref="I64:I69">
    <cfRule type="cellIs" dxfId="579" priority="98" stopIfTrue="1" operator="greaterThan">
      <formula>1.5%</formula>
    </cfRule>
    <cfRule type="cellIs" dxfId="578" priority="99" stopIfTrue="1" operator="lessThan">
      <formula>0%</formula>
    </cfRule>
  </conditionalFormatting>
  <conditionalFormatting sqref="I71">
    <cfRule type="cellIs" dxfId="577" priority="29" stopIfTrue="1" operator="lessThan">
      <formula>438</formula>
    </cfRule>
  </conditionalFormatting>
  <conditionalFormatting sqref="J3 B2 J70:J65536">
    <cfRule type="cellIs" dxfId="576" priority="126" stopIfTrue="1" operator="lessThan">
      <formula>438</formula>
    </cfRule>
  </conditionalFormatting>
  <conditionalFormatting sqref="J3">
    <cfRule type="cellIs" dxfId="575" priority="120" stopIfTrue="1" operator="lessThan">
      <formula>456.25</formula>
    </cfRule>
  </conditionalFormatting>
  <conditionalFormatting sqref="J4:J5">
    <cfRule type="cellIs" dxfId="574" priority="104" stopIfTrue="1" operator="lessThan">
      <formula>462</formula>
    </cfRule>
  </conditionalFormatting>
  <conditionalFormatting sqref="J7 J9 J11 J13:J16 J18:J22 J24 J26:J27 J30:J59">
    <cfRule type="cellIs" dxfId="573" priority="21" stopIfTrue="1" operator="lessThan">
      <formula>462</formula>
    </cfRule>
  </conditionalFormatting>
  <conditionalFormatting sqref="J64:J69">
    <cfRule type="cellIs" dxfId="572" priority="116" stopIfTrue="1" operator="lessThan">
      <formula>73%</formula>
    </cfRule>
  </conditionalFormatting>
  <conditionalFormatting sqref="K4:K5">
    <cfRule type="cellIs" dxfId="571" priority="101" stopIfTrue="1" operator="lessThan">
      <formula>540</formula>
    </cfRule>
  </conditionalFormatting>
  <conditionalFormatting sqref="K7 K9 K11 K13:K16 K18:K22 K24 K26:K27 K30:K55">
    <cfRule type="cellIs" dxfId="570" priority="18" stopIfTrue="1" operator="lessThan">
      <formula>540</formula>
    </cfRule>
  </conditionalFormatting>
  <conditionalFormatting sqref="K56:K58">
    <cfRule type="cellIs" dxfId="569" priority="111" stopIfTrue="1" operator="lessThan">
      <formula>456.25</formula>
    </cfRule>
    <cfRule type="cellIs" dxfId="568" priority="112" stopIfTrue="1" operator="lessThan">
      <formula>438</formula>
    </cfRule>
  </conditionalFormatting>
  <conditionalFormatting sqref="N7:N16 N18:N60">
    <cfRule type="cellIs" dxfId="567" priority="19" stopIfTrue="1" operator="greaterThan">
      <formula>1.1</formula>
    </cfRule>
  </conditionalFormatting>
  <conditionalFormatting sqref="N60:N61">
    <cfRule type="cellIs" dxfId="566" priority="114" stopIfTrue="1" operator="greaterThan">
      <formula>1.5%</formula>
    </cfRule>
    <cfRule type="cellIs" dxfId="565" priority="115" stopIfTrue="1" operator="lessThan">
      <formula>0%</formula>
    </cfRule>
  </conditionalFormatting>
  <conditionalFormatting sqref="P4:P5">
    <cfRule type="cellIs" dxfId="564" priority="100" stopIfTrue="1" operator="lessThan">
      <formula>0.74</formula>
    </cfRule>
  </conditionalFormatting>
  <conditionalFormatting sqref="P7">
    <cfRule type="cellIs" dxfId="563" priority="13" stopIfTrue="1" operator="lessThan">
      <formula>0.74</formula>
    </cfRule>
  </conditionalFormatting>
  <conditionalFormatting sqref="P9 P11">
    <cfRule type="cellIs" dxfId="562" priority="12" stopIfTrue="1" operator="lessThan">
      <formula>0.74</formula>
    </cfRule>
  </conditionalFormatting>
  <conditionalFormatting sqref="P13:P16">
    <cfRule type="cellIs" dxfId="561" priority="4" stopIfTrue="1" operator="lessThan">
      <formula>0.74</formula>
    </cfRule>
  </conditionalFormatting>
  <conditionalFormatting sqref="P18:P22 P24">
    <cfRule type="cellIs" dxfId="560" priority="3" stopIfTrue="1" operator="lessThan">
      <formula>0.74</formula>
    </cfRule>
  </conditionalFormatting>
  <conditionalFormatting sqref="P26:P27">
    <cfRule type="cellIs" dxfId="559" priority="1" stopIfTrue="1" operator="lessThan">
      <formula>0.74</formula>
    </cfRule>
  </conditionalFormatting>
  <conditionalFormatting sqref="P30:P59">
    <cfRule type="cellIs" dxfId="558" priority="17" stopIfTrue="1" operator="lessThan">
      <formula>0.74</formula>
    </cfRule>
  </conditionalFormatting>
  <conditionalFormatting sqref="R3">
    <cfRule type="cellIs" dxfId="557" priority="6" stopIfTrue="1" operator="lessThan">
      <formula>0.65</formula>
    </cfRule>
  </conditionalFormatting>
  <conditionalFormatting sqref="R4:R5">
    <cfRule type="cellIs" dxfId="556" priority="103" stopIfTrue="1" operator="lessThan">
      <formula>0.74</formula>
    </cfRule>
  </conditionalFormatting>
  <conditionalFormatting sqref="R7">
    <cfRule type="cellIs" dxfId="555" priority="14" stopIfTrue="1" operator="lessThan">
      <formula>0.74</formula>
    </cfRule>
  </conditionalFormatting>
  <conditionalFormatting sqref="R9">
    <cfRule type="cellIs" dxfId="554" priority="11" stopIfTrue="1" operator="lessThan">
      <formula>0.74</formula>
    </cfRule>
  </conditionalFormatting>
  <conditionalFormatting sqref="R11 R18:R22 R24 R30:R59">
    <cfRule type="cellIs" dxfId="553" priority="20" stopIfTrue="1" operator="lessThan">
      <formula>0.74</formula>
    </cfRule>
  </conditionalFormatting>
  <conditionalFormatting sqref="R13:R16">
    <cfRule type="cellIs" dxfId="552" priority="5" stopIfTrue="1" operator="lessThan">
      <formula>0.74</formula>
    </cfRule>
  </conditionalFormatting>
  <conditionalFormatting sqref="R26:R27">
    <cfRule type="cellIs" dxfId="551" priority="2" stopIfTrue="1" operator="lessThan">
      <formula>0.74</formula>
    </cfRule>
  </conditionalFormatting>
  <conditionalFormatting sqref="R60:R61">
    <cfRule type="cellIs" dxfId="550" priority="117" stopIfTrue="1" operator="lessThan">
      <formula>73%</formula>
    </cfRule>
  </conditionalFormatting>
  <conditionalFormatting sqref="S4:S61">
    <cfRule type="cellIs" dxfId="549" priority="15" stopIfTrue="1" operator="lessThan">
      <formula>75%</formula>
    </cfRule>
  </conditionalFormatting>
  <printOptions horizontalCentered="1"/>
  <pageMargins left="0.10312499999999999" right="0.5" top="0.25" bottom="0.27" header="0.25" footer="0.27"/>
  <pageSetup paperSize="5" scale="48" orientation="landscape" r:id="rId1"/>
  <headerFooter alignWithMargins="0"/>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3EE15-83CA-407F-A9BA-79862A973963}">
  <sheetPr codeName="Sheet3">
    <pageSetUpPr fitToPage="1"/>
  </sheetPr>
  <dimension ref="B2:U731"/>
  <sheetViews>
    <sheetView showZeros="0" showWhiteSpace="0" zoomScale="68" zoomScaleNormal="68" workbookViewId="0">
      <pane ySplit="3" topLeftCell="A4" activePane="bottomLeft" state="frozen"/>
      <selection activeCell="B2" sqref="B2:W2"/>
      <selection pane="bottomLeft" activeCell="B2" sqref="B2:W2"/>
    </sheetView>
  </sheetViews>
  <sheetFormatPr defaultColWidth="9.42578125" defaultRowHeight="12.75" x14ac:dyDescent="0.2"/>
  <cols>
    <col min="2" max="2" width="10.42578125" style="1" customWidth="1"/>
    <col min="3" max="3" width="31.42578125" style="1" customWidth="1"/>
    <col min="4" max="4" width="13.5703125" style="1" customWidth="1"/>
    <col min="5" max="5" width="13.42578125" style="1" customWidth="1"/>
    <col min="6" max="6" width="14.5703125" style="1" bestFit="1" customWidth="1"/>
    <col min="7" max="7" width="15.5703125" customWidth="1"/>
    <col min="8" max="8" width="15" customWidth="1"/>
    <col min="9" max="9" width="15.5703125" style="1" customWidth="1"/>
    <col min="10" max="10" width="14.42578125" customWidth="1"/>
    <col min="11" max="11" width="13.5703125" customWidth="1"/>
    <col min="12" max="12" width="11.42578125" customWidth="1"/>
    <col min="13" max="13" width="15" style="2" bestFit="1" customWidth="1"/>
    <col min="14" max="14" width="15.5703125" style="1" bestFit="1" customWidth="1"/>
    <col min="15" max="15" width="7.5703125" style="1" hidden="1" customWidth="1"/>
    <col min="16" max="16" width="13.42578125" style="1" customWidth="1"/>
    <col min="17" max="17" width="12" hidden="1" customWidth="1"/>
    <col min="18" max="18" width="14.42578125" customWidth="1"/>
    <col min="19" max="19" width="10.42578125" hidden="1" customWidth="1"/>
    <col min="20" max="20" width="14.42578125" customWidth="1"/>
    <col min="21" max="21" width="91" customWidth="1"/>
    <col min="22" max="22" width="12.5703125" customWidth="1"/>
    <col min="23" max="23" width="13.5703125" customWidth="1"/>
  </cols>
  <sheetData>
    <row r="2" spans="2:21" ht="24" thickBot="1" x14ac:dyDescent="0.4">
      <c r="B2" s="1022" t="s">
        <v>52</v>
      </c>
      <c r="C2" s="1022"/>
      <c r="D2" s="1022"/>
      <c r="E2" s="1022"/>
      <c r="F2" s="1022"/>
      <c r="G2" s="1022"/>
      <c r="H2" s="1022"/>
      <c r="I2" s="1022"/>
      <c r="J2" s="1022"/>
      <c r="K2" s="1022"/>
      <c r="L2" s="1022"/>
      <c r="M2" s="1022"/>
      <c r="N2" s="1022"/>
      <c r="O2" s="1022"/>
      <c r="P2" s="1022"/>
      <c r="Q2" s="1022"/>
      <c r="R2" s="1022"/>
      <c r="S2" s="1022"/>
      <c r="T2" s="1022"/>
      <c r="U2" s="1022"/>
    </row>
    <row r="3" spans="2:21" ht="80.25" thickTop="1" thickBot="1" x14ac:dyDescent="0.25">
      <c r="B3" s="37" t="s">
        <v>0</v>
      </c>
      <c r="C3" s="38" t="s">
        <v>2</v>
      </c>
      <c r="D3" s="38" t="s">
        <v>12</v>
      </c>
      <c r="E3" s="38" t="s">
        <v>11</v>
      </c>
      <c r="F3" s="38" t="s">
        <v>15</v>
      </c>
      <c r="G3" s="38" t="s">
        <v>9</v>
      </c>
      <c r="H3" s="38" t="s">
        <v>17</v>
      </c>
      <c r="I3" s="38" t="s">
        <v>5</v>
      </c>
      <c r="J3" s="38" t="s">
        <v>43</v>
      </c>
      <c r="K3" s="38" t="s">
        <v>4</v>
      </c>
      <c r="L3" s="38" t="s">
        <v>10</v>
      </c>
      <c r="M3" s="39" t="s">
        <v>34</v>
      </c>
      <c r="N3" s="40" t="s">
        <v>55</v>
      </c>
      <c r="O3" s="40" t="s">
        <v>8</v>
      </c>
      <c r="P3" s="41" t="s">
        <v>7</v>
      </c>
      <c r="Q3" s="41" t="s">
        <v>6</v>
      </c>
      <c r="R3" s="41" t="s">
        <v>47</v>
      </c>
      <c r="S3" s="41" t="s">
        <v>47</v>
      </c>
      <c r="T3" s="124" t="s">
        <v>94</v>
      </c>
      <c r="U3" s="5" t="s">
        <v>1</v>
      </c>
    </row>
    <row r="4" spans="2:21" s="19" customFormat="1" ht="24.75" customHeight="1" thickTop="1" x14ac:dyDescent="0.2">
      <c r="B4" s="1246">
        <v>42401</v>
      </c>
      <c r="C4" s="48" t="s">
        <v>29</v>
      </c>
      <c r="D4" s="1215">
        <v>4200</v>
      </c>
      <c r="E4" s="1217">
        <v>0.34166666666666662</v>
      </c>
      <c r="F4" s="1219">
        <f>SUM([16]February_2016!$J$8:$J$9)</f>
        <v>275.10000000000002</v>
      </c>
      <c r="G4" s="52">
        <f>SUM([16]February_2016!$F$8)</f>
        <v>3395</v>
      </c>
      <c r="H4" s="1219">
        <f>SUM([16]February_2016!$K$8:$K$9)</f>
        <v>272.68</v>
      </c>
      <c r="I4" s="1221">
        <f>SUM([16]February_2016!$N$8:$N$9)</f>
        <v>28</v>
      </c>
      <c r="J4" s="1223">
        <f>SUM([16]February_2016!$Q$8:$Q$9)</f>
        <v>487.19008264462809</v>
      </c>
      <c r="K4" s="1223">
        <f>SUM([16]February_2016!$E$8:$E$9)</f>
        <v>484</v>
      </c>
      <c r="L4" s="1223">
        <f>SUM([16]February_2016!$M$8:$M$9)</f>
        <v>101</v>
      </c>
      <c r="M4" s="122"/>
      <c r="N4" s="1225">
        <f>SUM([16]February_2016!$P$8:$P$9)</f>
        <v>0.87968011632134335</v>
      </c>
      <c r="O4" s="54"/>
      <c r="P4" s="1227">
        <f>(G4+G5)/(9*15000*(1/24))</f>
        <v>0.69866666666666666</v>
      </c>
      <c r="Q4" s="56"/>
      <c r="R4" s="1039">
        <f>(G4+G5)*24/(K4/60)/15000</f>
        <v>0.77950413223140491</v>
      </c>
      <c r="S4" s="1039">
        <f>(H4+H5)*24/(L4/60)/15000</f>
        <v>0.25918099009900991</v>
      </c>
      <c r="T4" s="1241">
        <f>(G4+G5)*24/(K4/60)/15300</f>
        <v>0.76421973748176952</v>
      </c>
      <c r="U4" s="1208" t="s">
        <v>78</v>
      </c>
    </row>
    <row r="5" spans="2:21" s="19" customFormat="1" ht="21" customHeight="1" x14ac:dyDescent="0.2">
      <c r="B5" s="1230"/>
      <c r="C5" s="48" t="s">
        <v>32</v>
      </c>
      <c r="D5" s="1216"/>
      <c r="E5" s="1218"/>
      <c r="F5" s="1220"/>
      <c r="G5" s="52">
        <f>SUM([16]February_2016!$F$9)</f>
        <v>535</v>
      </c>
      <c r="H5" s="1220"/>
      <c r="I5" s="1222"/>
      <c r="J5" s="1224"/>
      <c r="K5" s="1224"/>
      <c r="L5" s="1224"/>
      <c r="M5" s="54"/>
      <c r="N5" s="1226"/>
      <c r="O5" s="54"/>
      <c r="P5" s="1228"/>
      <c r="Q5" s="56"/>
      <c r="R5" s="1040"/>
      <c r="S5" s="1040"/>
      <c r="T5" s="1239"/>
      <c r="U5" s="1209"/>
    </row>
    <row r="6" spans="2:21" s="19" customFormat="1" ht="30.75" customHeight="1" x14ac:dyDescent="0.2">
      <c r="B6" s="47">
        <v>42402</v>
      </c>
      <c r="C6" s="48" t="s">
        <v>27</v>
      </c>
      <c r="D6" s="49">
        <v>4200</v>
      </c>
      <c r="E6" s="50">
        <v>0.32083333333333336</v>
      </c>
      <c r="F6" s="51">
        <f>SUM([16]February_2016!$J10)</f>
        <v>276.39999999999998</v>
      </c>
      <c r="G6" s="52">
        <f>SUM([16]February_2016!$F10)</f>
        <v>4164</v>
      </c>
      <c r="H6" s="51">
        <f>SUM([16]February_2016!$K10)</f>
        <v>274.82400000000001</v>
      </c>
      <c r="I6" s="53">
        <f>SUM([16]February_2016!$N10)</f>
        <v>32</v>
      </c>
      <c r="J6" s="54">
        <f>SUM([16]February_2016!$Q10)</f>
        <v>575.66820276497697</v>
      </c>
      <c r="K6" s="54">
        <f>SUM([16]February_2016!$E10)</f>
        <v>434</v>
      </c>
      <c r="L6" s="54">
        <f>SUM([16]February_2016!$M10)</f>
        <v>35</v>
      </c>
      <c r="M6" s="54">
        <f>SUM([16]February_2016!$H10)</f>
        <v>0</v>
      </c>
      <c r="N6" s="55">
        <f>SUM([16]February_2016!$P10)</f>
        <v>0.57018813314036365</v>
      </c>
      <c r="O6" s="54"/>
      <c r="P6" s="66">
        <f>(G6)/(9*15000*(1/24))</f>
        <v>0.74026666666666663</v>
      </c>
      <c r="Q6" s="56"/>
      <c r="R6" s="46">
        <f t="shared" ref="R6:S9" si="0">(G6)*24/(K6/60)/15000</f>
        <v>0.92106912442396316</v>
      </c>
      <c r="S6" s="46">
        <f t="shared" si="0"/>
        <v>0.75380297142857133</v>
      </c>
      <c r="T6" s="125">
        <f>(G6)*24/(K6/60)/15300</f>
        <v>0.90300894551368938</v>
      </c>
      <c r="U6" s="24" t="s">
        <v>79</v>
      </c>
    </row>
    <row r="7" spans="2:21" s="19" customFormat="1" ht="48" customHeight="1" x14ac:dyDescent="0.2">
      <c r="B7" s="47">
        <v>42403</v>
      </c>
      <c r="C7" s="48" t="s">
        <v>30</v>
      </c>
      <c r="D7" s="49">
        <v>4200</v>
      </c>
      <c r="E7" s="50">
        <v>0.33055555555555555</v>
      </c>
      <c r="F7" s="51">
        <f>SUM([16]February_2016!$J11)</f>
        <v>295.8</v>
      </c>
      <c r="G7" s="52">
        <f>SUM([16]February_2016!$F11)</f>
        <v>4465</v>
      </c>
      <c r="H7" s="51">
        <f>SUM([16]February_2016!$K11)</f>
        <v>294.69</v>
      </c>
      <c r="I7" s="53">
        <f>SUM([16]February_2016!$N11)</f>
        <v>18</v>
      </c>
      <c r="J7" s="54">
        <f>SUM([16]February_2016!$Q11)</f>
        <v>491.55963302752292</v>
      </c>
      <c r="K7" s="54">
        <f>SUM([16]February_2016!$E11)</f>
        <v>545</v>
      </c>
      <c r="L7" s="54">
        <f>SUM([16]February_2016!$M11)</f>
        <v>92</v>
      </c>
      <c r="M7" s="54">
        <f>SUM([16]February_2016!$H11)</f>
        <v>0</v>
      </c>
      <c r="N7" s="55">
        <f>SUM([16]February_2016!$P11)</f>
        <v>0.37525354969574498</v>
      </c>
      <c r="O7" s="54"/>
      <c r="P7" s="66">
        <f>(G7)/(9*15000*(1/24))</f>
        <v>0.7937777777777778</v>
      </c>
      <c r="Q7" s="56"/>
      <c r="R7" s="46">
        <f t="shared" si="0"/>
        <v>0.78649541284403668</v>
      </c>
      <c r="S7" s="46">
        <f t="shared" si="0"/>
        <v>0.30750260869565216</v>
      </c>
      <c r="T7" s="125">
        <f t="shared" ref="T7:T23" si="1">(G7)*24/(K7/60)/15300</f>
        <v>0.77107393416082026</v>
      </c>
      <c r="U7" s="24" t="s">
        <v>80</v>
      </c>
    </row>
    <row r="8" spans="2:21" s="19" customFormat="1" ht="30.75" customHeight="1" x14ac:dyDescent="0.2">
      <c r="B8" s="47">
        <v>42404</v>
      </c>
      <c r="C8" s="48" t="s">
        <v>42</v>
      </c>
      <c r="D8" s="49">
        <v>3500</v>
      </c>
      <c r="E8" s="50">
        <v>0.3298611111111111</v>
      </c>
      <c r="F8" s="51">
        <f>SUM([16]February_2016!$J12)</f>
        <v>253.5</v>
      </c>
      <c r="G8" s="52">
        <f>SUM([16]February_2016!$F12)</f>
        <v>3781</v>
      </c>
      <c r="H8" s="51">
        <f>SUM([16]February_2016!$K12)</f>
        <v>249.54600000000002</v>
      </c>
      <c r="I8" s="53">
        <f>SUM([16]February_2016!$N12)</f>
        <v>20.5</v>
      </c>
      <c r="J8" s="54">
        <f>SUM([16]February_2016!$Q12)</f>
        <v>509.79775280898872</v>
      </c>
      <c r="K8" s="54">
        <f>SUM([16]February_2016!$E12)</f>
        <v>445</v>
      </c>
      <c r="L8" s="54">
        <f>SUM([16]February_2016!$M12)</f>
        <v>61</v>
      </c>
      <c r="M8" s="54">
        <f>SUM([16]February_2016!$H12)</f>
        <v>0</v>
      </c>
      <c r="N8" s="55">
        <f>SUM([16]February_2016!$P12)</f>
        <v>1.5597633136094593</v>
      </c>
      <c r="O8" s="54"/>
      <c r="P8" s="66">
        <f>(G8)/(9*15000*(1/24))</f>
        <v>0.67217777777777776</v>
      </c>
      <c r="Q8" s="56"/>
      <c r="R8" s="46">
        <f t="shared" si="0"/>
        <v>0.81567640449438195</v>
      </c>
      <c r="S8" s="46">
        <f t="shared" si="0"/>
        <v>0.39272813114754107</v>
      </c>
      <c r="T8" s="125">
        <f t="shared" si="1"/>
        <v>0.79968274950429608</v>
      </c>
      <c r="U8" s="24" t="s">
        <v>102</v>
      </c>
    </row>
    <row r="9" spans="2:21" s="19" customFormat="1" ht="49.5" x14ac:dyDescent="0.2">
      <c r="B9" s="123">
        <v>42409</v>
      </c>
      <c r="C9" s="48" t="s">
        <v>29</v>
      </c>
      <c r="D9" s="49">
        <v>4900</v>
      </c>
      <c r="E9" s="50">
        <v>0.3263888888888889</v>
      </c>
      <c r="F9" s="51">
        <f>SUM([16]February_2016!$J13)</f>
        <v>354.70000000000005</v>
      </c>
      <c r="G9" s="52">
        <f>SUM([16]February_2016!$F13)</f>
        <v>5056</v>
      </c>
      <c r="H9" s="51">
        <f>SUM([16]February_2016!$K13)</f>
        <v>352.69600000000003</v>
      </c>
      <c r="I9" s="53">
        <f>SUM([16]February_2016!$N13)</f>
        <v>29</v>
      </c>
      <c r="J9" s="54">
        <f>SUM([16]February_2016!$Q13)</f>
        <v>494.87765089722677</v>
      </c>
      <c r="K9" s="54">
        <f>SUM([16]February_2016!$E13)</f>
        <v>613</v>
      </c>
      <c r="L9" s="54">
        <f>SUM([16]February_2016!$M13)</f>
        <v>63</v>
      </c>
      <c r="M9" s="54">
        <f>SUM([16]February_2016!$H13)</f>
        <v>0</v>
      </c>
      <c r="N9" s="55">
        <f>SUM([16]February_2016!$P13)</f>
        <v>0.56498449393854488</v>
      </c>
      <c r="O9" s="54"/>
      <c r="P9" s="66">
        <f>(G9)/(10.133*15000*(1/24))</f>
        <v>0.7983420507253528</v>
      </c>
      <c r="Q9" s="56"/>
      <c r="R9" s="46">
        <f t="shared" si="0"/>
        <v>0.79180424143556283</v>
      </c>
      <c r="S9" s="46">
        <f t="shared" si="0"/>
        <v>0.53744152380952392</v>
      </c>
      <c r="T9" s="125">
        <f t="shared" si="1"/>
        <v>0.77627866807408119</v>
      </c>
      <c r="U9" s="24" t="s">
        <v>81</v>
      </c>
    </row>
    <row r="10" spans="2:21" s="19" customFormat="1" ht="27" customHeight="1" x14ac:dyDescent="0.2">
      <c r="B10" s="1244">
        <v>42410</v>
      </c>
      <c r="C10" s="48" t="s">
        <v>29</v>
      </c>
      <c r="D10" s="49">
        <v>2800</v>
      </c>
      <c r="E10" s="1217">
        <v>0.31944444444444448</v>
      </c>
      <c r="F10" s="51">
        <f>SUM([16]February_2016!$J14)</f>
        <v>203.8</v>
      </c>
      <c r="G10" s="52">
        <f>SUM([16]February_2016!$F14)</f>
        <v>2926</v>
      </c>
      <c r="H10" s="51">
        <f>SUM([16]February_2016!$K14)</f>
        <v>202.61600000000001</v>
      </c>
      <c r="I10" s="53">
        <f>SUM([16]February_2016!$N14)</f>
        <v>19.75</v>
      </c>
      <c r="J10" s="1223">
        <f>SUM([16]February_2016!$Q14)</f>
        <v>476.50582362728784</v>
      </c>
      <c r="K10" s="1223">
        <f>SUM([16]February_2016!$E14)</f>
        <v>601</v>
      </c>
      <c r="L10" s="54">
        <f>SUM([16]February_2016!$M14)</f>
        <v>43</v>
      </c>
      <c r="M10" s="54">
        <f>SUM([16]February_2016!$H14)</f>
        <v>0</v>
      </c>
      <c r="N10" s="55">
        <f>SUM([16]February_2016!$P14)</f>
        <v>0.58096172718351202</v>
      </c>
      <c r="O10" s="54"/>
      <c r="P10" s="1227">
        <f>(G10+G11)/(10*15000*(1/24))</f>
        <v>0.76368000000000003</v>
      </c>
      <c r="Q10" s="56"/>
      <c r="R10" s="1039">
        <f>(G10+G11)*24/(K10/60)/15000</f>
        <v>0.7624093178036605</v>
      </c>
      <c r="S10" s="1039">
        <f>(H10+H11)*24/(L10/60)/15000</f>
        <v>0.72450530232558141</v>
      </c>
      <c r="T10" s="1237">
        <f>(G10+G11)*24/(K10/60)/15300</f>
        <v>0.74746011549378477</v>
      </c>
      <c r="U10" s="1208" t="s">
        <v>82</v>
      </c>
    </row>
    <row r="11" spans="2:21" s="19" customFormat="1" ht="24.75" customHeight="1" x14ac:dyDescent="0.2">
      <c r="B11" s="1245"/>
      <c r="C11" s="48" t="s">
        <v>45</v>
      </c>
      <c r="D11" s="49">
        <v>1800</v>
      </c>
      <c r="E11" s="1218"/>
      <c r="F11" s="51">
        <f>SUM([16]February_2016!$J15)</f>
        <v>126.16856999999999</v>
      </c>
      <c r="G11" s="52">
        <f>SUM([16]February_2016!$F15)</f>
        <v>1847</v>
      </c>
      <c r="H11" s="51">
        <f>SUM([16]February_2016!$K15)</f>
        <v>121.902</v>
      </c>
      <c r="I11" s="53">
        <f>SUM([16]February_2016!$N15)</f>
        <v>10</v>
      </c>
      <c r="J11" s="1224"/>
      <c r="K11" s="1224"/>
      <c r="L11" s="54">
        <f>SUM([16]February_2016!$M15)</f>
        <v>77</v>
      </c>
      <c r="M11" s="54">
        <f>SUM([16]February_2016!$H15)</f>
        <v>0</v>
      </c>
      <c r="N11" s="55">
        <f>SUM([16]February_2016!$P15)</f>
        <v>3.3816425120772848</v>
      </c>
      <c r="O11" s="54"/>
      <c r="P11" s="1228"/>
      <c r="Q11" s="56"/>
      <c r="R11" s="1040"/>
      <c r="S11" s="1040"/>
      <c r="T11" s="1239"/>
      <c r="U11" s="1209"/>
    </row>
    <row r="12" spans="2:21" s="19" customFormat="1" ht="41.25" customHeight="1" x14ac:dyDescent="0.2">
      <c r="B12" s="123">
        <v>42411</v>
      </c>
      <c r="C12" s="48" t="s">
        <v>27</v>
      </c>
      <c r="D12" s="49">
        <v>4200</v>
      </c>
      <c r="E12" s="50">
        <v>0.34027777777777773</v>
      </c>
      <c r="F12" s="51">
        <f>SUM([16]February_2016!$J16)</f>
        <v>293.40000000000003</v>
      </c>
      <c r="G12" s="52">
        <f>SUM([16]February_2016!$F16)</f>
        <v>4418</v>
      </c>
      <c r="H12" s="51">
        <f>SUM([16]February_2016!$K16)</f>
        <v>291.58800000000002</v>
      </c>
      <c r="I12" s="53">
        <f>SUM([16]February_2016!$N16)</f>
        <v>18</v>
      </c>
      <c r="J12" s="54">
        <f>SUM([16]February_2016!$Q16)</f>
        <v>516.72514619883032</v>
      </c>
      <c r="K12" s="54">
        <f>SUM([16]February_2016!$E16)</f>
        <v>513</v>
      </c>
      <c r="L12" s="54">
        <f>SUM([16]February_2016!$M16)</f>
        <v>45</v>
      </c>
      <c r="M12" s="54">
        <f>SUM([16]February_2016!$H16)</f>
        <v>0</v>
      </c>
      <c r="N12" s="55">
        <f>SUM([16]February_2016!$P16)</f>
        <v>0.61758691206544369</v>
      </c>
      <c r="O12" s="54"/>
      <c r="P12" s="66">
        <f>(G12)/(9*15000*(1/24))</f>
        <v>0.78542222222222224</v>
      </c>
      <c r="Q12" s="56"/>
      <c r="R12" s="46">
        <f>(G12)*24/(K12/60)/15000</f>
        <v>0.82676023391812858</v>
      </c>
      <c r="S12" s="46">
        <f>(H12)*24/(L12/60)/15000</f>
        <v>0.62205440000000001</v>
      </c>
      <c r="T12" s="125">
        <f t="shared" si="1"/>
        <v>0.81054924893934177</v>
      </c>
      <c r="U12" s="24" t="s">
        <v>83</v>
      </c>
    </row>
    <row r="13" spans="2:21" s="19" customFormat="1" ht="33" x14ac:dyDescent="0.2">
      <c r="B13" s="123">
        <v>42412</v>
      </c>
      <c r="C13" s="48" t="s">
        <v>31</v>
      </c>
      <c r="D13" s="49">
        <v>3500</v>
      </c>
      <c r="E13" s="50">
        <v>0.3263888888888889</v>
      </c>
      <c r="F13" s="51">
        <f>SUM([16]February_2016!$J17)</f>
        <v>256.60000000000002</v>
      </c>
      <c r="G13" s="52">
        <f>SUM([16]February_2016!$F17)</f>
        <v>3430</v>
      </c>
      <c r="H13" s="51">
        <f>SUM([16]February_2016!$K17)</f>
        <v>255.19199999999998</v>
      </c>
      <c r="I13" s="53">
        <f>SUM([16]February_2016!$N17)</f>
        <v>16</v>
      </c>
      <c r="J13" s="54">
        <f>SUM([16]February_2016!$Q17)</f>
        <v>447.39130434782606</v>
      </c>
      <c r="K13" s="54">
        <f>SUM([16]February_2016!$E17)</f>
        <v>460</v>
      </c>
      <c r="L13" s="54">
        <f>SUM([16]February_2016!$M17)</f>
        <v>93</v>
      </c>
      <c r="M13" s="54">
        <f>SUM([16]February_2016!$H17)</f>
        <v>0</v>
      </c>
      <c r="N13" s="55">
        <f>SUM([16]February_2016!$P17)</f>
        <v>0.54871395167577697</v>
      </c>
      <c r="O13" s="54"/>
      <c r="P13" s="66">
        <f>(G13)/(8*15000*(1/24))</f>
        <v>0.68600000000000005</v>
      </c>
      <c r="Q13" s="56"/>
      <c r="R13" s="46">
        <f>(G13)*24/(K13/60)/15000</f>
        <v>0.71582608695652172</v>
      </c>
      <c r="S13" s="46">
        <f>(H13)*24/(L13/60)/15000</f>
        <v>0.26342399999999994</v>
      </c>
      <c r="T13" s="125">
        <f t="shared" si="1"/>
        <v>0.70179028132992327</v>
      </c>
      <c r="U13" s="24" t="s">
        <v>84</v>
      </c>
    </row>
    <row r="14" spans="2:21" s="19" customFormat="1" ht="23.25" customHeight="1" x14ac:dyDescent="0.2">
      <c r="B14" s="1244">
        <v>42415</v>
      </c>
      <c r="C14" s="48" t="s">
        <v>32</v>
      </c>
      <c r="D14" s="1215">
        <v>5600</v>
      </c>
      <c r="E14" s="1217">
        <v>0.34097222222222223</v>
      </c>
      <c r="F14" s="1219">
        <f>SUM([16]February_2016!$J18)</f>
        <v>350.19999999999993</v>
      </c>
      <c r="G14" s="52">
        <f>SUM([16]February_2016!$F18)</f>
        <v>492</v>
      </c>
      <c r="H14" s="1219">
        <f>SUM([16]February_2016!$K18)</f>
        <v>347.80799999999999</v>
      </c>
      <c r="I14" s="1221">
        <f>SUM([16]February_2016!$N18)</f>
        <v>18.5</v>
      </c>
      <c r="J14" s="1223">
        <f>SUM([16]February_2016!$Q18)</f>
        <v>497.054794520548</v>
      </c>
      <c r="K14" s="1223">
        <f>SUM([16]February_2016!$E18)</f>
        <v>584</v>
      </c>
      <c r="L14" s="1223">
        <f>SUM([16]February_2016!$M18)</f>
        <v>98</v>
      </c>
      <c r="M14" s="54">
        <f>SUM([16]February_2016!$H18)</f>
        <v>0</v>
      </c>
      <c r="N14" s="1225">
        <f>SUM([16]February_2016!$P18)</f>
        <v>0.68303826384921174</v>
      </c>
      <c r="O14" s="54"/>
      <c r="P14" s="1227">
        <f>(G14+G15)/(9.9167*15000*(1/24))</f>
        <v>0.78058225014369698</v>
      </c>
      <c r="Q14" s="56"/>
      <c r="R14" s="1039">
        <f>(G14+G15)*24/(K14/60)/15000</f>
        <v>0.7952876712328768</v>
      </c>
      <c r="S14" s="1039">
        <f>(H14+H15)*24/(L14/60)/15000</f>
        <v>0.34070987755102039</v>
      </c>
      <c r="T14" s="1237">
        <f>(G14+G15)*24/(K14/60)/15300</f>
        <v>0.77969379532634975</v>
      </c>
      <c r="U14" s="1208" t="s">
        <v>85</v>
      </c>
    </row>
    <row r="15" spans="2:21" s="19" customFormat="1" ht="24.75" customHeight="1" x14ac:dyDescent="0.2">
      <c r="B15" s="1245"/>
      <c r="C15" s="48" t="s">
        <v>29</v>
      </c>
      <c r="D15" s="1216"/>
      <c r="E15" s="1218"/>
      <c r="F15" s="1220"/>
      <c r="G15" s="52">
        <f>SUM([16]February_2016!$F19)</f>
        <v>4346</v>
      </c>
      <c r="H15" s="1220"/>
      <c r="I15" s="1222"/>
      <c r="J15" s="1224"/>
      <c r="K15" s="1224"/>
      <c r="L15" s="1224"/>
      <c r="M15" s="54">
        <f>SUM([16]February_2016!$H19)</f>
        <v>0</v>
      </c>
      <c r="N15" s="1226"/>
      <c r="O15" s="54"/>
      <c r="P15" s="1228"/>
      <c r="Q15" s="56"/>
      <c r="R15" s="1040"/>
      <c r="S15" s="1040"/>
      <c r="T15" s="1239"/>
      <c r="U15" s="1209"/>
    </row>
    <row r="16" spans="2:21" s="19" customFormat="1" ht="33" customHeight="1" x14ac:dyDescent="0.2">
      <c r="B16" s="123">
        <v>42416</v>
      </c>
      <c r="C16" s="48" t="s">
        <v>30</v>
      </c>
      <c r="D16" s="49">
        <v>4200</v>
      </c>
      <c r="E16" s="50">
        <v>0.31944444444444448</v>
      </c>
      <c r="F16" s="51">
        <f>SUM([16]February_2016!$J20)</f>
        <v>291.7</v>
      </c>
      <c r="G16" s="52">
        <f>SUM([16]February_2016!$F20)</f>
        <v>4391</v>
      </c>
      <c r="H16" s="51">
        <f>SUM([16]February_2016!$K20)</f>
        <v>289.80600000000004</v>
      </c>
      <c r="I16" s="53">
        <f>SUM([16]February_2016!$N20)</f>
        <v>28</v>
      </c>
      <c r="J16" s="54">
        <f>SUM([16]February_2016!$Q20)</f>
        <v>514.5703125</v>
      </c>
      <c r="K16" s="54">
        <f>SUM([16]February_2016!$E20)</f>
        <v>512</v>
      </c>
      <c r="L16" s="54">
        <f>SUM([16]February_2016!$M20)</f>
        <v>69</v>
      </c>
      <c r="M16" s="54">
        <f>SUM([16]February_2016!$H20)</f>
        <v>0</v>
      </c>
      <c r="N16" s="55">
        <f>SUM([16]February_2016!$P20)</f>
        <v>0.64929722317447669</v>
      </c>
      <c r="O16" s="54"/>
      <c r="P16" s="66">
        <f>(G16)/(9*15000*(1/24))</f>
        <v>0.78062222222222222</v>
      </c>
      <c r="Q16" s="56"/>
      <c r="R16" s="46">
        <f>(G16)*24/(K16/60)/15000</f>
        <v>0.8233125</v>
      </c>
      <c r="S16" s="46">
        <f>(H16)*24/(L16/60)/15000</f>
        <v>0.403208347826087</v>
      </c>
      <c r="T16" s="125">
        <f t="shared" si="1"/>
        <v>0.80716911764705879</v>
      </c>
      <c r="U16" s="24" t="s">
        <v>86</v>
      </c>
    </row>
    <row r="17" spans="2:21" s="19" customFormat="1" ht="22.5" customHeight="1" x14ac:dyDescent="0.2">
      <c r="B17" s="1229">
        <v>42417</v>
      </c>
      <c r="C17" s="48" t="s">
        <v>27</v>
      </c>
      <c r="D17" s="49">
        <v>4200</v>
      </c>
      <c r="E17" s="1217">
        <v>0.32083333333333336</v>
      </c>
      <c r="F17" s="51">
        <f>SUM([16]February_2016!$J21)</f>
        <v>285</v>
      </c>
      <c r="G17" s="52">
        <f>SUM([16]February_2016!$F21)</f>
        <v>4278</v>
      </c>
      <c r="H17" s="51">
        <f>SUM([16]February_2016!$K21)</f>
        <v>282.34800000000001</v>
      </c>
      <c r="I17" s="53">
        <f>SUM([16]February_2016!$N21)</f>
        <v>32.75</v>
      </c>
      <c r="J17" s="1223">
        <f>SUM([16]February_2016!$Q21)</f>
        <v>550.81395348837214</v>
      </c>
      <c r="K17" s="1223">
        <f>SUM([16]February_2016!$E21)</f>
        <v>516</v>
      </c>
      <c r="L17" s="54">
        <f>SUM([16]February_2016!$M21)</f>
        <v>70</v>
      </c>
      <c r="M17" s="54">
        <f>SUM([16]February_2016!$H21)</f>
        <v>0</v>
      </c>
      <c r="N17" s="55">
        <f>SUM([16]February_2016!$P21)</f>
        <v>0.93052631578946898</v>
      </c>
      <c r="O17" s="54"/>
      <c r="P17" s="1227">
        <f>(G17+G18)/(9*15000*(1/24))</f>
        <v>0.84213333333333329</v>
      </c>
      <c r="Q17" s="56"/>
      <c r="R17" s="1039">
        <f>(G17+G18)*24/(K17/60)/15000</f>
        <v>0.88130232558139543</v>
      </c>
      <c r="S17" s="1039">
        <f>(H17+H18)*24/(L17/60)/15000</f>
        <v>0.42876617142857137</v>
      </c>
      <c r="T17" s="1237">
        <f>(G17+G18)*24/(K17/60)/15300</f>
        <v>0.86402188782489742</v>
      </c>
      <c r="U17" s="1208" t="s">
        <v>87</v>
      </c>
    </row>
    <row r="18" spans="2:21" s="19" customFormat="1" ht="24.75" customHeight="1" x14ac:dyDescent="0.2">
      <c r="B18" s="1230"/>
      <c r="C18" s="48" t="s">
        <v>29</v>
      </c>
      <c r="D18" s="49"/>
      <c r="E18" s="1218"/>
      <c r="F18" s="51">
        <f>SUM([16]February_2016!$J22)</f>
        <v>30.6</v>
      </c>
      <c r="G18" s="52">
        <f>SUM([16]February_2016!$F22)</f>
        <v>459</v>
      </c>
      <c r="H18" s="51">
        <f>SUM([16]February_2016!$K22)</f>
        <v>30.294</v>
      </c>
      <c r="I18" s="53">
        <f>SUM([16]February_2016!$N22)</f>
        <v>5.5</v>
      </c>
      <c r="J18" s="1224"/>
      <c r="K18" s="1224"/>
      <c r="L18" s="54">
        <f>SUM([16]February_2016!$M22)</f>
        <v>10</v>
      </c>
      <c r="M18" s="54">
        <f>SUM([16]February_2016!$H22)</f>
        <v>0</v>
      </c>
      <c r="N18" s="55">
        <f>SUM([16]February_2016!$P22)</f>
        <v>1.0000000000000029</v>
      </c>
      <c r="O18" s="54"/>
      <c r="P18" s="1228"/>
      <c r="Q18" s="56"/>
      <c r="R18" s="1040"/>
      <c r="S18" s="1040"/>
      <c r="T18" s="1239"/>
      <c r="U18" s="1209"/>
    </row>
    <row r="19" spans="2:21" s="19" customFormat="1" ht="15" customHeight="1" x14ac:dyDescent="0.2">
      <c r="B19" s="1229">
        <v>42418</v>
      </c>
      <c r="C19" s="48" t="s">
        <v>88</v>
      </c>
      <c r="D19" s="1215">
        <v>1400</v>
      </c>
      <c r="E19" s="1217">
        <v>0.38055555555555554</v>
      </c>
      <c r="F19" s="51">
        <f>SUM([16]February_2016!$J23)</f>
        <v>43.932367149758456</v>
      </c>
      <c r="G19" s="52">
        <f>SUM([16]February_2016!$F23)</f>
        <v>577</v>
      </c>
      <c r="H19" s="51">
        <f>SUM([16]February_2016!$K23)</f>
        <v>40.966999999999999</v>
      </c>
      <c r="I19" s="53">
        <f>SUM([16]February_2016!$N23)</f>
        <v>2.5</v>
      </c>
      <c r="J19" s="1223">
        <f>SUM([16]February_2016!$Q23)</f>
        <v>168.2029598308668</v>
      </c>
      <c r="K19" s="1223">
        <f>SUM([16]February_2016!$E23)</f>
        <v>473</v>
      </c>
      <c r="L19" s="54">
        <f>SUM([16]February_2016!$M23)</f>
        <v>90</v>
      </c>
      <c r="M19" s="54">
        <f>SUM([16]February_2016!$H23)</f>
        <v>0</v>
      </c>
      <c r="N19" s="55">
        <f>SUM([16]February_2016!$P23)</f>
        <v>6.7498460523422095</v>
      </c>
      <c r="O19" s="54"/>
      <c r="P19" s="1227">
        <f>(G19+G20+G21)/(9*15000*(1/24))</f>
        <v>0.23573333333333332</v>
      </c>
      <c r="Q19" s="56"/>
      <c r="R19" s="1039">
        <f>(G19+G20+G21)*24/(K19/60)/15000</f>
        <v>0.26912473572938689</v>
      </c>
      <c r="S19" s="1039">
        <f>(H19+H20+H21)*24/(L19/60)/15000</f>
        <v>0.1004224</v>
      </c>
      <c r="T19" s="1237">
        <f>(G19+G20+G21)*24/(K19/60)/15300</f>
        <v>0.2638477801268499</v>
      </c>
      <c r="U19" s="1208" t="s">
        <v>91</v>
      </c>
    </row>
    <row r="20" spans="2:21" s="19" customFormat="1" ht="17.25" customHeight="1" x14ac:dyDescent="0.2">
      <c r="B20" s="1240"/>
      <c r="C20" s="48" t="s">
        <v>89</v>
      </c>
      <c r="D20" s="1242"/>
      <c r="E20" s="1234"/>
      <c r="F20" s="51">
        <f>SUM([16]February_2016!$J24)</f>
        <v>43.932367149758456</v>
      </c>
      <c r="G20" s="52">
        <f>SUM([16]February_2016!$F24)</f>
        <v>607</v>
      </c>
      <c r="H20" s="51">
        <f>SUM([16]February_2016!$K24)</f>
        <v>43.096999999999994</v>
      </c>
      <c r="I20" s="53">
        <f>SUM([16]February_2016!$N24)</f>
        <v>4</v>
      </c>
      <c r="J20" s="1235"/>
      <c r="K20" s="1235"/>
      <c r="L20" s="54">
        <f>SUM([16]February_2016!$M24)</f>
        <v>127</v>
      </c>
      <c r="M20" s="54">
        <f>SUM([16]February_2016!$H24)</f>
        <v>0</v>
      </c>
      <c r="N20" s="55">
        <f>SUM([16]February_2016!$P24)</f>
        <v>1.9014844952716241</v>
      </c>
      <c r="O20" s="54"/>
      <c r="P20" s="1236"/>
      <c r="Q20" s="56"/>
      <c r="R20" s="1041"/>
      <c r="S20" s="1041"/>
      <c r="T20" s="1238"/>
      <c r="U20" s="1243"/>
    </row>
    <row r="21" spans="2:21" s="19" customFormat="1" ht="15" customHeight="1" x14ac:dyDescent="0.2">
      <c r="B21" s="1230"/>
      <c r="C21" s="48" t="s">
        <v>90</v>
      </c>
      <c r="D21" s="1216"/>
      <c r="E21" s="1218"/>
      <c r="F21" s="51">
        <f>SUM([16]February_2016!$J25)</f>
        <v>10.081999999999999</v>
      </c>
      <c r="G21" s="52">
        <f>SUM([16]February_2016!$F25)</f>
        <v>142</v>
      </c>
      <c r="H21" s="51">
        <f>SUM([16]February_2016!$K25)</f>
        <v>10.081999999999999</v>
      </c>
      <c r="I21" s="53">
        <f>SUM([16]February_2016!$N25)</f>
        <v>0</v>
      </c>
      <c r="J21" s="1224"/>
      <c r="K21" s="1224"/>
      <c r="L21" s="54">
        <f>SUM([16]February_2016!$M25)</f>
        <v>36</v>
      </c>
      <c r="M21" s="54">
        <f>SUM([16]February_2016!$H25)</f>
        <v>29</v>
      </c>
      <c r="N21" s="55">
        <f>SUM([16]February_2016!$P25)</f>
        <v>0</v>
      </c>
      <c r="O21" s="54"/>
      <c r="P21" s="1228"/>
      <c r="Q21" s="56"/>
      <c r="R21" s="1040"/>
      <c r="S21" s="1040"/>
      <c r="T21" s="1239"/>
      <c r="U21" s="1209"/>
    </row>
    <row r="22" spans="2:21" s="19" customFormat="1" ht="49.5" x14ac:dyDescent="0.2">
      <c r="B22" s="47">
        <v>42423</v>
      </c>
      <c r="C22" s="48" t="s">
        <v>33</v>
      </c>
      <c r="D22" s="49">
        <v>5600</v>
      </c>
      <c r="E22" s="50">
        <v>0.34027777777777773</v>
      </c>
      <c r="F22" s="51">
        <f>SUM([16]February_2016!$J26)</f>
        <v>395.1</v>
      </c>
      <c r="G22" s="52">
        <f>SUM([16]February_2016!$F26)</f>
        <v>5961</v>
      </c>
      <c r="H22" s="51">
        <f>SUM([16]February_2016!$K26)</f>
        <v>393.42600000000004</v>
      </c>
      <c r="I22" s="53">
        <f>SUM([16]February_2016!$N26)</f>
        <v>26</v>
      </c>
      <c r="J22" s="54">
        <f>SUM([16]February_2016!$Q26)</f>
        <v>433.5272727272727</v>
      </c>
      <c r="K22" s="54">
        <f>SUM([16]February_2016!$E26)</f>
        <v>825</v>
      </c>
      <c r="L22" s="54">
        <f>SUM([16]February_2016!$M26)</f>
        <v>218</v>
      </c>
      <c r="M22" s="54">
        <f>SUM([16]February_2016!$H26)</f>
        <v>9</v>
      </c>
      <c r="N22" s="55">
        <f>SUM([16]February_2016!$P26)</f>
        <v>0.42369020501138399</v>
      </c>
      <c r="O22" s="54"/>
      <c r="P22" s="66">
        <f>(G22)/(13.583*15000*(1/24))</f>
        <v>0.70217183243760584</v>
      </c>
      <c r="Q22" s="56"/>
      <c r="R22" s="46">
        <f>(G22)*24/(K22/60)/15000</f>
        <v>0.69364363636363635</v>
      </c>
      <c r="S22" s="46">
        <f>(H22)*24/(L22/60)/15000</f>
        <v>0.17325181651376151</v>
      </c>
      <c r="T22" s="125">
        <f t="shared" si="1"/>
        <v>0.68004278074866309</v>
      </c>
      <c r="U22" s="24" t="s">
        <v>92</v>
      </c>
    </row>
    <row r="23" spans="2:21" s="19" customFormat="1" ht="49.5" x14ac:dyDescent="0.2">
      <c r="B23" s="123">
        <v>42424</v>
      </c>
      <c r="C23" s="48" t="s">
        <v>29</v>
      </c>
      <c r="D23" s="49">
        <v>5600</v>
      </c>
      <c r="E23" s="50">
        <v>0.32291666666666669</v>
      </c>
      <c r="F23" s="51">
        <f>SUM([16]February_2016!$J27)</f>
        <v>296.8</v>
      </c>
      <c r="G23" s="52">
        <f>SUM([16]February_2016!$F27)</f>
        <v>4056</v>
      </c>
      <c r="H23" s="51">
        <f>SUM([16]February_2016!$K27)</f>
        <v>294.48600000000005</v>
      </c>
      <c r="I23" s="53">
        <f>SUM([16]February_2016!$N27)</f>
        <v>18</v>
      </c>
      <c r="J23" s="54">
        <f>SUM([16]February_2016!$Q27)</f>
        <v>434.57142857142856</v>
      </c>
      <c r="K23" s="54">
        <f>SUM([16]February_2016!$E27)</f>
        <v>560</v>
      </c>
      <c r="L23" s="54">
        <f>SUM([16]February_2016!$M27)</f>
        <v>113</v>
      </c>
      <c r="M23" s="54">
        <f>SUM([16]February_2016!$H27)</f>
        <v>66</v>
      </c>
      <c r="N23" s="55">
        <f>SUM([16]February_2016!$P27)</f>
        <v>0.77964959568731962</v>
      </c>
      <c r="O23" s="54"/>
      <c r="P23" s="66">
        <f>(G23)/(9.167*15000*(1/24))</f>
        <v>0.7079306207047017</v>
      </c>
      <c r="Q23" s="56"/>
      <c r="R23" s="46">
        <f>(G23)*24/(K23/60)/15000</f>
        <v>0.69531428571428566</v>
      </c>
      <c r="S23" s="46">
        <f>(H23)*24/(L23/60)/15000</f>
        <v>0.25018279646017705</v>
      </c>
      <c r="T23" s="125">
        <f t="shared" si="1"/>
        <v>0.68168067226890749</v>
      </c>
      <c r="U23" s="24" t="s">
        <v>93</v>
      </c>
    </row>
    <row r="24" spans="2:21" s="19" customFormat="1" ht="33" x14ac:dyDescent="0.2">
      <c r="B24" s="1213">
        <v>42425</v>
      </c>
      <c r="C24" s="48" t="s">
        <v>32</v>
      </c>
      <c r="D24" s="49">
        <v>2800</v>
      </c>
      <c r="E24" s="1217">
        <v>0.35069444444444442</v>
      </c>
      <c r="F24" s="51">
        <f>SUM([16]February_2016!$J28)</f>
        <v>153.39999999999998</v>
      </c>
      <c r="G24" s="52">
        <f>SUM([16]February_2016!$F28)</f>
        <v>2303</v>
      </c>
      <c r="H24" s="51">
        <f>SUM([16]February_2016!$K28)</f>
        <v>151.99800000000002</v>
      </c>
      <c r="I24" s="53">
        <f>SUM([16]February_2016!$N28)</f>
        <v>0</v>
      </c>
      <c r="J24" s="1223">
        <f>SUM([16]February_2016!$Q28)</f>
        <v>312.13483146067415</v>
      </c>
      <c r="K24" s="1223">
        <f>SUM([16]February_2016!$E28)</f>
        <v>623</v>
      </c>
      <c r="L24" s="54">
        <f>SUM([16]February_2016!$M28)</f>
        <v>123</v>
      </c>
      <c r="M24" s="54">
        <f>SUM([16]February_2016!$H28)</f>
        <v>0</v>
      </c>
      <c r="N24" s="55">
        <f>SUM([16]February_2016!$P28)</f>
        <v>0.91395045632331073</v>
      </c>
      <c r="O24" s="54"/>
      <c r="P24" s="1227">
        <f>(G24+G25)/(10.2167*15000*(1/24))</f>
        <v>0.50756114988205581</v>
      </c>
      <c r="Q24" s="56"/>
      <c r="R24" s="1039">
        <f>(G24+G25)*24/(K24/60)/15000</f>
        <v>0.4994157303370787</v>
      </c>
      <c r="S24" s="1039">
        <f>(H24+H25)*24/(L24/60)/15000</f>
        <v>0.16695102439024395</v>
      </c>
      <c r="T24" s="1237">
        <f>(G24+G25)*24/(K24/60)/15300</f>
        <v>0.48962326503635167</v>
      </c>
      <c r="U24" s="24" t="s">
        <v>95</v>
      </c>
    </row>
    <row r="25" spans="2:21" s="19" customFormat="1" ht="33" x14ac:dyDescent="0.2">
      <c r="B25" s="1214"/>
      <c r="C25" s="48" t="s">
        <v>27</v>
      </c>
      <c r="D25" s="49">
        <v>2250</v>
      </c>
      <c r="E25" s="1218"/>
      <c r="F25" s="51">
        <f>SUM([16]February_2016!$J29)</f>
        <v>64.3</v>
      </c>
      <c r="G25" s="52">
        <f>SUM([16]February_2016!$F29)</f>
        <v>938</v>
      </c>
      <c r="H25" s="51">
        <f>SUM([16]February_2016!$K29)</f>
        <v>61.908000000000001</v>
      </c>
      <c r="I25" s="53">
        <f>SUM([16]February_2016!$N29)</f>
        <v>0</v>
      </c>
      <c r="J25" s="1224"/>
      <c r="K25" s="1224"/>
      <c r="L25" s="54">
        <f>SUM([16]February_2016!$M29)</f>
        <v>82</v>
      </c>
      <c r="M25" s="54">
        <f>SUM([16]February_2016!$H29)</f>
        <v>0</v>
      </c>
      <c r="N25" s="55">
        <f>SUM([16]February_2016!$P29)</f>
        <v>3.7200622083981276</v>
      </c>
      <c r="O25" s="54"/>
      <c r="P25" s="1228"/>
      <c r="Q25" s="56"/>
      <c r="R25" s="1040"/>
      <c r="S25" s="1040"/>
      <c r="T25" s="1239"/>
      <c r="U25" s="24" t="s">
        <v>96</v>
      </c>
    </row>
    <row r="26" spans="2:21" s="19" customFormat="1" ht="33" x14ac:dyDescent="0.2">
      <c r="B26" s="47">
        <v>42426</v>
      </c>
      <c r="C26" s="48" t="s">
        <v>27</v>
      </c>
      <c r="D26" s="49">
        <v>1950</v>
      </c>
      <c r="E26" s="50">
        <v>0.33055555555555555</v>
      </c>
      <c r="F26" s="51">
        <f>SUM([16]February_2016!$J30)</f>
        <v>216.4</v>
      </c>
      <c r="G26" s="52">
        <f>SUM([16]February_2016!$F30)</f>
        <v>3200</v>
      </c>
      <c r="H26" s="51">
        <f>SUM([16]February_2016!$K30)</f>
        <v>215.00000000000003</v>
      </c>
      <c r="I26" s="53">
        <f>SUM([16]February_2016!$N30)</f>
        <v>9</v>
      </c>
      <c r="J26" s="54">
        <f>SUM([16]February_2016!$Q30)</f>
        <v>415.58441558441558</v>
      </c>
      <c r="K26" s="54">
        <f>SUM([16]February_2016!$E30)</f>
        <v>462</v>
      </c>
      <c r="L26" s="54">
        <f>SUM([16]February_2016!$M30)</f>
        <v>68</v>
      </c>
      <c r="M26" s="54">
        <f>SUM([16]February_2016!$H30)</f>
        <v>0</v>
      </c>
      <c r="N26" s="55">
        <f>SUM([16]February_2016!$P30)</f>
        <v>0.6469500924214312</v>
      </c>
      <c r="O26" s="54"/>
      <c r="P26" s="66">
        <f>(G26)/(8*15000*(1/24))</f>
        <v>0.64</v>
      </c>
      <c r="Q26" s="56"/>
      <c r="R26" s="46">
        <f>(G26)*24/(K26/60)/15000</f>
        <v>0.66493506493506493</v>
      </c>
      <c r="S26" s="46">
        <f>(H26)*24/(L26/60)/15000</f>
        <v>0.30352941176470594</v>
      </c>
      <c r="T26" s="125">
        <f>(G26)*24/(K26/60)/15300</f>
        <v>0.65189712248535769</v>
      </c>
      <c r="U26" s="24" t="s">
        <v>97</v>
      </c>
    </row>
    <row r="27" spans="2:21" s="19" customFormat="1" ht="17.25" customHeight="1" x14ac:dyDescent="0.2">
      <c r="B27" s="1229">
        <v>42429</v>
      </c>
      <c r="C27" s="48" t="s">
        <v>29</v>
      </c>
      <c r="D27" s="49"/>
      <c r="E27" s="1217">
        <v>0.4548611111111111</v>
      </c>
      <c r="F27" s="1219">
        <f>SUM([16]February_2016!$J31)</f>
        <v>104.2</v>
      </c>
      <c r="G27" s="52">
        <f>SUM([16]February_2016!$F31)</f>
        <v>1540</v>
      </c>
      <c r="H27" s="1219">
        <f>SUM([16]February_2016!$K31)</f>
        <v>102.696</v>
      </c>
      <c r="I27" s="1221">
        <f>SUM([16]February_2016!$N31)</f>
        <v>6</v>
      </c>
      <c r="J27" s="1223">
        <f>SUM([16]February_2016!$Q31)</f>
        <v>348.24626865671638</v>
      </c>
      <c r="K27" s="1223">
        <f>SUM([16]February_2016!$E31)</f>
        <v>536</v>
      </c>
      <c r="L27" s="1223">
        <f>SUM([16]February_2016!$M31)</f>
        <v>78</v>
      </c>
      <c r="M27" s="54">
        <f>SUM([16]February_2016!$H31)</f>
        <v>0</v>
      </c>
      <c r="N27" s="1225">
        <f>SUM([16]February_2016!$P31)</f>
        <v>1.4433781190019239</v>
      </c>
      <c r="O27" s="54"/>
      <c r="P27" s="1227">
        <f>(G27+G28+G29)/(12.85*15000*(1/24))</f>
        <v>0.38736186770428016</v>
      </c>
      <c r="Q27" s="56"/>
      <c r="R27" s="1039">
        <f>(G27+G28+G29)*24/(K27/60)/15000</f>
        <v>0.55719402985074629</v>
      </c>
      <c r="S27" s="46">
        <f>(H27)*24/(L27/60)/15000</f>
        <v>0.12639507692307689</v>
      </c>
      <c r="T27" s="1237">
        <f>(G27+G28+G29)*24/(K27/60)/15300</f>
        <v>0.54626865671641789</v>
      </c>
      <c r="U27" s="1208" t="s">
        <v>99</v>
      </c>
    </row>
    <row r="28" spans="2:21" s="19" customFormat="1" ht="18" customHeight="1" x14ac:dyDescent="0.2">
      <c r="B28" s="1240"/>
      <c r="C28" s="48" t="s">
        <v>32</v>
      </c>
      <c r="D28" s="49"/>
      <c r="E28" s="1234"/>
      <c r="F28" s="1220"/>
      <c r="G28" s="52">
        <f>SUM([16]February_2016!$F32)</f>
        <v>16</v>
      </c>
      <c r="H28" s="1220"/>
      <c r="I28" s="1222"/>
      <c r="J28" s="1235"/>
      <c r="K28" s="1235"/>
      <c r="L28" s="1224"/>
      <c r="M28" s="54"/>
      <c r="N28" s="1226"/>
      <c r="O28" s="54"/>
      <c r="P28" s="1236"/>
      <c r="Q28" s="56"/>
      <c r="R28" s="1041"/>
      <c r="S28" s="18"/>
      <c r="T28" s="1238"/>
      <c r="U28" s="1209"/>
    </row>
    <row r="29" spans="2:21" s="19" customFormat="1" ht="19.5" customHeight="1" x14ac:dyDescent="0.2">
      <c r="B29" s="1230"/>
      <c r="C29" s="48" t="s">
        <v>51</v>
      </c>
      <c r="D29" s="49">
        <v>1500</v>
      </c>
      <c r="E29" s="1218"/>
      <c r="F29" s="51">
        <f>SUM([16]February_2016!$J33)</f>
        <v>104.9</v>
      </c>
      <c r="G29" s="52">
        <f>SUM([16]February_2016!$F33)</f>
        <v>1555</v>
      </c>
      <c r="H29" s="51">
        <f>SUM([16]February_2016!$K33)</f>
        <v>102.63000000000001</v>
      </c>
      <c r="I29" s="53">
        <f>SUM([16]February_2016!$N33)</f>
        <v>5</v>
      </c>
      <c r="J29" s="1224"/>
      <c r="K29" s="1224"/>
      <c r="L29" s="54">
        <f>SUM([16]February_2016!$M33)</f>
        <v>60</v>
      </c>
      <c r="M29" s="54">
        <f>SUM([16]February_2016!$H33)</f>
        <v>0</v>
      </c>
      <c r="N29" s="55">
        <f>SUM([16]February_2016!$P33)</f>
        <v>2.1639656816015216</v>
      </c>
      <c r="O29" s="54"/>
      <c r="P29" s="1228"/>
      <c r="Q29" s="56"/>
      <c r="R29" s="1040"/>
      <c r="S29" s="18"/>
      <c r="T29" s="1239"/>
      <c r="U29" s="24" t="s">
        <v>98</v>
      </c>
    </row>
    <row r="30" spans="2:21" s="19" customFormat="1" ht="18" customHeight="1" thickBot="1" x14ac:dyDescent="0.25">
      <c r="B30" s="47"/>
      <c r="C30" s="48"/>
      <c r="D30" s="49"/>
      <c r="E30" s="50"/>
      <c r="F30" s="51"/>
      <c r="G30" s="52"/>
      <c r="H30" s="51"/>
      <c r="I30" s="53"/>
      <c r="J30" s="54"/>
      <c r="K30" s="54"/>
      <c r="L30" s="54"/>
      <c r="M30" s="54"/>
      <c r="N30" s="55"/>
      <c r="O30" s="54"/>
      <c r="P30" s="66"/>
      <c r="Q30" s="56"/>
      <c r="R30" s="46"/>
      <c r="S30" s="18"/>
      <c r="T30" s="126"/>
      <c r="U30" s="24"/>
    </row>
    <row r="31" spans="2:21" s="19" customFormat="1" ht="18" hidden="1" customHeight="1" x14ac:dyDescent="0.2">
      <c r="B31" s="47"/>
      <c r="C31" s="48"/>
      <c r="D31" s="49"/>
      <c r="E31" s="50"/>
      <c r="F31" s="51"/>
      <c r="G31" s="52"/>
      <c r="H31" s="51"/>
      <c r="I31" s="53"/>
      <c r="J31" s="54"/>
      <c r="K31" s="54"/>
      <c r="L31" s="54"/>
      <c r="M31" s="54"/>
      <c r="N31" s="55"/>
      <c r="O31" s="54"/>
      <c r="P31" s="66"/>
      <c r="Q31" s="56"/>
      <c r="R31" s="46"/>
      <c r="S31" s="18"/>
      <c r="T31" s="126"/>
      <c r="U31" s="24"/>
    </row>
    <row r="32" spans="2:21" s="19" customFormat="1" ht="18" hidden="1" customHeight="1" x14ac:dyDescent="0.2">
      <c r="B32" s="47"/>
      <c r="C32" s="48"/>
      <c r="D32" s="49"/>
      <c r="E32" s="50"/>
      <c r="F32" s="51"/>
      <c r="G32" s="52"/>
      <c r="H32" s="51"/>
      <c r="I32" s="53"/>
      <c r="J32" s="54"/>
      <c r="K32" s="54"/>
      <c r="L32" s="54"/>
      <c r="M32" s="54"/>
      <c r="N32" s="55"/>
      <c r="O32" s="54"/>
      <c r="P32" s="66"/>
      <c r="Q32" s="56"/>
      <c r="R32" s="46"/>
      <c r="S32" s="18"/>
      <c r="T32" s="126"/>
      <c r="U32" s="24"/>
    </row>
    <row r="33" spans="2:21" s="19" customFormat="1" ht="18" hidden="1" customHeight="1" x14ac:dyDescent="0.2">
      <c r="B33" s="47"/>
      <c r="C33" s="48"/>
      <c r="D33" s="49"/>
      <c r="E33" s="50"/>
      <c r="F33" s="51"/>
      <c r="G33" s="52"/>
      <c r="H33" s="51"/>
      <c r="I33" s="53"/>
      <c r="J33" s="54"/>
      <c r="K33" s="54"/>
      <c r="L33" s="54"/>
      <c r="M33" s="54"/>
      <c r="N33" s="55"/>
      <c r="O33" s="54"/>
      <c r="P33" s="66"/>
      <c r="Q33" s="56"/>
      <c r="R33" s="46"/>
      <c r="S33" s="18"/>
      <c r="T33" s="126"/>
      <c r="U33" s="24"/>
    </row>
    <row r="34" spans="2:21" s="19" customFormat="1" ht="18" hidden="1" customHeight="1" x14ac:dyDescent="0.2">
      <c r="B34" s="47"/>
      <c r="C34" s="48"/>
      <c r="D34" s="49"/>
      <c r="E34" s="50"/>
      <c r="F34" s="51"/>
      <c r="G34" s="52"/>
      <c r="H34" s="51"/>
      <c r="I34" s="53"/>
      <c r="J34" s="54"/>
      <c r="K34" s="54"/>
      <c r="L34" s="54"/>
      <c r="M34" s="54"/>
      <c r="N34" s="55"/>
      <c r="O34" s="54"/>
      <c r="P34" s="66"/>
      <c r="Q34" s="56"/>
      <c r="R34" s="46"/>
      <c r="S34" s="18"/>
      <c r="T34" s="126"/>
      <c r="U34" s="24"/>
    </row>
    <row r="35" spans="2:21" s="19" customFormat="1" ht="35.25" hidden="1" customHeight="1" x14ac:dyDescent="0.2">
      <c r="B35" s="47"/>
      <c r="C35" s="48"/>
      <c r="D35" s="49"/>
      <c r="E35" s="50"/>
      <c r="F35" s="51"/>
      <c r="G35" s="52"/>
      <c r="H35" s="51"/>
      <c r="I35" s="53"/>
      <c r="J35" s="54"/>
      <c r="K35" s="54"/>
      <c r="L35" s="54"/>
      <c r="M35" s="54"/>
      <c r="N35" s="55"/>
      <c r="O35" s="54"/>
      <c r="P35" s="66"/>
      <c r="Q35" s="56"/>
      <c r="R35" s="46"/>
      <c r="S35" s="18"/>
      <c r="T35" s="126"/>
      <c r="U35" s="24"/>
    </row>
    <row r="36" spans="2:21" s="19" customFormat="1" ht="35.25" hidden="1" customHeight="1" x14ac:dyDescent="0.2">
      <c r="B36" s="47"/>
      <c r="C36" s="48"/>
      <c r="D36" s="49"/>
      <c r="E36" s="50"/>
      <c r="F36" s="51"/>
      <c r="G36" s="52"/>
      <c r="H36" s="51"/>
      <c r="I36" s="53"/>
      <c r="J36" s="54"/>
      <c r="K36" s="54"/>
      <c r="L36" s="54"/>
      <c r="M36" s="54"/>
      <c r="N36" s="55"/>
      <c r="O36" s="54"/>
      <c r="P36" s="66"/>
      <c r="Q36" s="56"/>
      <c r="R36" s="46"/>
      <c r="S36" s="18"/>
      <c r="T36" s="126"/>
      <c r="U36" s="24"/>
    </row>
    <row r="37" spans="2:21" s="19" customFormat="1" ht="35.25" hidden="1" customHeight="1" x14ac:dyDescent="0.2">
      <c r="B37" s="47"/>
      <c r="C37" s="48"/>
      <c r="D37" s="49"/>
      <c r="E37" s="50"/>
      <c r="F37" s="51"/>
      <c r="G37" s="52"/>
      <c r="H37" s="51"/>
      <c r="I37" s="53"/>
      <c r="J37" s="54"/>
      <c r="K37" s="54"/>
      <c r="L37" s="54"/>
      <c r="M37" s="54"/>
      <c r="N37" s="55"/>
      <c r="O37" s="54"/>
      <c r="P37" s="66"/>
      <c r="Q37" s="56"/>
      <c r="R37" s="46"/>
      <c r="S37" s="18"/>
      <c r="T37" s="126"/>
      <c r="U37" s="24"/>
    </row>
    <row r="38" spans="2:21" s="19" customFormat="1" ht="31.5" hidden="1" customHeight="1" x14ac:dyDescent="0.2">
      <c r="B38" s="47"/>
      <c r="C38" s="48"/>
      <c r="D38" s="49"/>
      <c r="E38" s="50"/>
      <c r="F38" s="51"/>
      <c r="G38" s="52"/>
      <c r="H38" s="51"/>
      <c r="I38" s="53"/>
      <c r="J38" s="54"/>
      <c r="K38" s="54"/>
      <c r="L38" s="54"/>
      <c r="M38" s="54"/>
      <c r="N38" s="55"/>
      <c r="O38" s="54"/>
      <c r="P38" s="66"/>
      <c r="Q38" s="56"/>
      <c r="R38" s="46"/>
      <c r="S38" s="18"/>
      <c r="T38" s="126"/>
      <c r="U38" s="24"/>
    </row>
    <row r="39" spans="2:21" s="19" customFormat="1" ht="31.5" hidden="1" customHeight="1" x14ac:dyDescent="0.2">
      <c r="B39" s="47"/>
      <c r="C39" s="48"/>
      <c r="D39" s="49"/>
      <c r="E39" s="50"/>
      <c r="F39" s="51"/>
      <c r="G39" s="52"/>
      <c r="H39" s="51"/>
      <c r="I39" s="53"/>
      <c r="J39" s="54"/>
      <c r="K39" s="54"/>
      <c r="L39" s="54"/>
      <c r="M39" s="54"/>
      <c r="N39" s="55"/>
      <c r="O39" s="54"/>
      <c r="P39" s="66"/>
      <c r="Q39" s="56"/>
      <c r="R39" s="46"/>
      <c r="S39" s="18"/>
      <c r="T39" s="126"/>
      <c r="U39" s="24"/>
    </row>
    <row r="40" spans="2:21" s="19" customFormat="1" ht="31.5" hidden="1" customHeight="1" x14ac:dyDescent="0.2">
      <c r="B40" s="47"/>
      <c r="C40" s="48"/>
      <c r="D40" s="49"/>
      <c r="E40" s="50"/>
      <c r="F40" s="51"/>
      <c r="G40" s="52"/>
      <c r="H40" s="51"/>
      <c r="I40" s="53"/>
      <c r="J40" s="54"/>
      <c r="K40" s="54"/>
      <c r="L40" s="54"/>
      <c r="M40" s="54"/>
      <c r="N40" s="55"/>
      <c r="O40" s="54"/>
      <c r="P40" s="66"/>
      <c r="Q40" s="56"/>
      <c r="R40" s="46"/>
      <c r="S40" s="18"/>
      <c r="T40" s="126"/>
      <c r="U40" s="24"/>
    </row>
    <row r="41" spans="2:21" s="19" customFormat="1" ht="31.5" hidden="1" customHeight="1" x14ac:dyDescent="0.2">
      <c r="B41" s="47"/>
      <c r="C41" s="48"/>
      <c r="D41" s="49"/>
      <c r="E41" s="50"/>
      <c r="F41" s="51"/>
      <c r="G41" s="52"/>
      <c r="H41" s="51"/>
      <c r="I41" s="53"/>
      <c r="J41" s="54"/>
      <c r="K41" s="54"/>
      <c r="L41" s="54"/>
      <c r="M41" s="54"/>
      <c r="N41" s="55"/>
      <c r="O41" s="54"/>
      <c r="P41" s="66"/>
      <c r="Q41" s="56"/>
      <c r="R41" s="46"/>
      <c r="S41" s="18"/>
      <c r="T41" s="126"/>
      <c r="U41" s="24"/>
    </row>
    <row r="42" spans="2:21" s="19" customFormat="1" ht="31.5" hidden="1" customHeight="1" x14ac:dyDescent="0.2">
      <c r="B42" s="47"/>
      <c r="C42" s="48"/>
      <c r="D42" s="49"/>
      <c r="E42" s="50"/>
      <c r="F42" s="51"/>
      <c r="G42" s="52"/>
      <c r="H42" s="51"/>
      <c r="I42" s="53"/>
      <c r="J42" s="54"/>
      <c r="K42" s="54"/>
      <c r="L42" s="54"/>
      <c r="M42" s="54"/>
      <c r="N42" s="55"/>
      <c r="O42" s="54"/>
      <c r="P42" s="66"/>
      <c r="Q42" s="56"/>
      <c r="R42" s="46"/>
      <c r="S42" s="18"/>
      <c r="T42" s="126"/>
      <c r="U42" s="24"/>
    </row>
    <row r="43" spans="2:21" s="19" customFormat="1" ht="31.5" hidden="1" customHeight="1" x14ac:dyDescent="0.2">
      <c r="B43" s="47"/>
      <c r="C43" s="48"/>
      <c r="D43" s="49"/>
      <c r="E43" s="50"/>
      <c r="F43" s="51"/>
      <c r="G43" s="52"/>
      <c r="H43" s="51"/>
      <c r="I43" s="53"/>
      <c r="J43" s="54"/>
      <c r="K43" s="54"/>
      <c r="L43" s="54"/>
      <c r="M43" s="54"/>
      <c r="N43" s="55"/>
      <c r="O43" s="54"/>
      <c r="P43" s="66"/>
      <c r="Q43" s="56"/>
      <c r="R43" s="46"/>
      <c r="S43" s="18"/>
      <c r="T43" s="126"/>
      <c r="U43" s="24"/>
    </row>
    <row r="44" spans="2:21" s="19" customFormat="1" ht="31.5" hidden="1" customHeight="1" x14ac:dyDescent="0.2">
      <c r="B44" s="47"/>
      <c r="C44" s="48"/>
      <c r="D44" s="49"/>
      <c r="E44" s="50"/>
      <c r="F44" s="51"/>
      <c r="G44" s="52"/>
      <c r="H44" s="51"/>
      <c r="I44" s="53"/>
      <c r="J44" s="54"/>
      <c r="K44" s="54"/>
      <c r="L44" s="54"/>
      <c r="M44" s="54"/>
      <c r="N44" s="55"/>
      <c r="O44" s="54"/>
      <c r="P44" s="66"/>
      <c r="Q44" s="56"/>
      <c r="R44" s="46"/>
      <c r="S44" s="18"/>
      <c r="T44" s="126"/>
      <c r="U44" s="24"/>
    </row>
    <row r="45" spans="2:21" s="19" customFormat="1" ht="31.5" hidden="1" customHeight="1" x14ac:dyDescent="0.2">
      <c r="B45" s="47"/>
      <c r="C45" s="48"/>
      <c r="D45" s="49"/>
      <c r="E45" s="50"/>
      <c r="F45" s="51"/>
      <c r="G45" s="52"/>
      <c r="H45" s="51"/>
      <c r="I45" s="53"/>
      <c r="J45" s="54"/>
      <c r="K45" s="54"/>
      <c r="L45" s="54"/>
      <c r="M45" s="54"/>
      <c r="N45" s="55"/>
      <c r="O45" s="54"/>
      <c r="P45" s="66"/>
      <c r="Q45" s="56"/>
      <c r="R45" s="46"/>
      <c r="S45" s="18"/>
      <c r="T45" s="126"/>
      <c r="U45" s="24"/>
    </row>
    <row r="46" spans="2:21" s="19" customFormat="1" ht="31.5" hidden="1" customHeight="1" x14ac:dyDescent="0.2">
      <c r="B46" s="47"/>
      <c r="C46" s="48"/>
      <c r="D46" s="49"/>
      <c r="E46" s="50"/>
      <c r="F46" s="51"/>
      <c r="G46" s="52"/>
      <c r="H46" s="51"/>
      <c r="I46" s="53"/>
      <c r="J46" s="54"/>
      <c r="K46" s="54"/>
      <c r="L46" s="54"/>
      <c r="M46" s="54"/>
      <c r="N46" s="55"/>
      <c r="O46" s="54"/>
      <c r="P46" s="66"/>
      <c r="Q46" s="56"/>
      <c r="R46" s="46"/>
      <c r="S46" s="18"/>
      <c r="T46" s="126"/>
      <c r="U46" s="24"/>
    </row>
    <row r="47" spans="2:21" s="19" customFormat="1" ht="31.5" hidden="1" customHeight="1" x14ac:dyDescent="0.2">
      <c r="B47" s="47"/>
      <c r="C47" s="48"/>
      <c r="D47" s="49"/>
      <c r="E47" s="50"/>
      <c r="F47" s="51"/>
      <c r="G47" s="52"/>
      <c r="H47" s="51"/>
      <c r="I47" s="53"/>
      <c r="J47" s="54"/>
      <c r="K47" s="54"/>
      <c r="L47" s="54"/>
      <c r="M47" s="54"/>
      <c r="N47" s="55"/>
      <c r="O47" s="54"/>
      <c r="P47" s="66"/>
      <c r="Q47" s="56"/>
      <c r="R47" s="46"/>
      <c r="S47" s="18"/>
      <c r="T47" s="126"/>
      <c r="U47" s="24"/>
    </row>
    <row r="48" spans="2:21" s="19" customFormat="1" ht="31.5" hidden="1" customHeight="1" x14ac:dyDescent="0.2">
      <c r="B48" s="47"/>
      <c r="C48" s="48"/>
      <c r="D48" s="49"/>
      <c r="E48" s="50"/>
      <c r="F48" s="51"/>
      <c r="G48" s="52"/>
      <c r="H48" s="51"/>
      <c r="I48" s="53"/>
      <c r="J48" s="54"/>
      <c r="K48" s="54"/>
      <c r="L48" s="54"/>
      <c r="M48" s="54"/>
      <c r="N48" s="55"/>
      <c r="O48" s="54"/>
      <c r="P48" s="66"/>
      <c r="Q48" s="56"/>
      <c r="R48" s="46"/>
      <c r="S48" s="18"/>
      <c r="T48" s="126"/>
      <c r="U48" s="24"/>
    </row>
    <row r="49" spans="2:21" s="19" customFormat="1" ht="31.5" hidden="1" customHeight="1" x14ac:dyDescent="0.2">
      <c r="B49" s="47"/>
      <c r="C49" s="48"/>
      <c r="D49" s="49"/>
      <c r="E49" s="50"/>
      <c r="F49" s="51"/>
      <c r="G49" s="52"/>
      <c r="H49" s="51"/>
      <c r="I49" s="53"/>
      <c r="J49" s="54"/>
      <c r="K49" s="54"/>
      <c r="L49" s="54"/>
      <c r="M49" s="54"/>
      <c r="N49" s="55"/>
      <c r="O49" s="54"/>
      <c r="P49" s="66"/>
      <c r="Q49" s="56"/>
      <c r="R49" s="46"/>
      <c r="S49" s="18"/>
      <c r="T49" s="126"/>
      <c r="U49" s="24"/>
    </row>
    <row r="50" spans="2:21" s="19" customFormat="1" ht="31.5" hidden="1" customHeight="1" x14ac:dyDescent="0.2">
      <c r="B50" s="47"/>
      <c r="C50" s="48"/>
      <c r="D50" s="49"/>
      <c r="E50" s="50"/>
      <c r="F50" s="51"/>
      <c r="G50" s="52"/>
      <c r="H50" s="51"/>
      <c r="I50" s="53"/>
      <c r="J50" s="54"/>
      <c r="K50" s="54"/>
      <c r="L50" s="54"/>
      <c r="M50" s="54"/>
      <c r="N50" s="55"/>
      <c r="O50" s="54"/>
      <c r="P50" s="66"/>
      <c r="Q50" s="56"/>
      <c r="R50" s="46"/>
      <c r="S50" s="18"/>
      <c r="T50" s="126"/>
      <c r="U50" s="24"/>
    </row>
    <row r="51" spans="2:21" s="19" customFormat="1" ht="31.5" hidden="1" customHeight="1" x14ac:dyDescent="0.2">
      <c r="B51" s="47"/>
      <c r="C51" s="48"/>
      <c r="D51" s="49"/>
      <c r="E51" s="50"/>
      <c r="F51" s="51"/>
      <c r="G51" s="52"/>
      <c r="H51" s="51"/>
      <c r="I51" s="53"/>
      <c r="J51" s="54"/>
      <c r="K51" s="54"/>
      <c r="L51" s="54"/>
      <c r="M51" s="54"/>
      <c r="N51" s="55"/>
      <c r="O51" s="54"/>
      <c r="P51" s="66"/>
      <c r="Q51" s="56"/>
      <c r="R51" s="46"/>
      <c r="S51" s="18"/>
      <c r="T51" s="126"/>
      <c r="U51" s="24"/>
    </row>
    <row r="52" spans="2:21" s="19" customFormat="1" ht="31.5" hidden="1" customHeight="1" x14ac:dyDescent="0.2">
      <c r="B52" s="47"/>
      <c r="C52" s="48"/>
      <c r="D52" s="49"/>
      <c r="E52" s="50"/>
      <c r="F52" s="51"/>
      <c r="G52" s="52"/>
      <c r="H52" s="51"/>
      <c r="I52" s="53"/>
      <c r="J52" s="54"/>
      <c r="K52" s="54"/>
      <c r="L52" s="54"/>
      <c r="M52" s="54"/>
      <c r="N52" s="55"/>
      <c r="O52" s="54"/>
      <c r="P52" s="66"/>
      <c r="Q52" s="56"/>
      <c r="R52" s="46"/>
      <c r="S52" s="18"/>
      <c r="T52" s="126"/>
      <c r="U52" s="24"/>
    </row>
    <row r="53" spans="2:21" s="19" customFormat="1" ht="31.5" hidden="1" customHeight="1" x14ac:dyDescent="0.2">
      <c r="B53" s="47"/>
      <c r="C53" s="48"/>
      <c r="D53" s="49"/>
      <c r="E53" s="50"/>
      <c r="F53" s="51"/>
      <c r="G53" s="52"/>
      <c r="H53" s="51"/>
      <c r="I53" s="53"/>
      <c r="J53" s="54"/>
      <c r="K53" s="54"/>
      <c r="L53" s="54"/>
      <c r="M53" s="54"/>
      <c r="N53" s="55"/>
      <c r="O53" s="54"/>
      <c r="P53" s="66"/>
      <c r="Q53" s="56"/>
      <c r="R53" s="46"/>
      <c r="S53" s="18" t="e">
        <f>G53*24/(K53/60)/15400</f>
        <v>#DIV/0!</v>
      </c>
      <c r="T53" s="126"/>
      <c r="U53" s="24"/>
    </row>
    <row r="54" spans="2:21" s="19" customFormat="1" ht="31.5" hidden="1" customHeight="1" x14ac:dyDescent="0.2">
      <c r="B54" s="47"/>
      <c r="C54" s="48"/>
      <c r="D54" s="49"/>
      <c r="E54" s="50"/>
      <c r="F54" s="51"/>
      <c r="G54" s="52"/>
      <c r="H54" s="51"/>
      <c r="I54" s="53"/>
      <c r="J54" s="54"/>
      <c r="K54" s="54"/>
      <c r="L54" s="54"/>
      <c r="M54" s="67"/>
      <c r="N54" s="55"/>
      <c r="O54" s="54"/>
      <c r="P54" s="66"/>
      <c r="Q54" s="56"/>
      <c r="R54" s="46"/>
      <c r="S54" s="18" t="e">
        <f>G54*24/(K54/60)/15400</f>
        <v>#DIV/0!</v>
      </c>
      <c r="T54" s="126"/>
      <c r="U54" s="24"/>
    </row>
    <row r="55" spans="2:21" s="19" customFormat="1" ht="30" hidden="1" customHeight="1" x14ac:dyDescent="0.2">
      <c r="B55" s="47"/>
      <c r="C55" s="26"/>
      <c r="D55" s="27"/>
      <c r="E55" s="28"/>
      <c r="F55" s="29"/>
      <c r="G55" s="30"/>
      <c r="H55" s="29"/>
      <c r="I55" s="31"/>
      <c r="J55" s="32"/>
      <c r="K55" s="32"/>
      <c r="L55" s="32"/>
      <c r="M55" s="32"/>
      <c r="N55" s="33"/>
      <c r="O55" s="32"/>
      <c r="P55" s="46"/>
      <c r="Q55" s="34"/>
      <c r="R55" s="46"/>
      <c r="S55" s="18"/>
      <c r="T55" s="126"/>
      <c r="U55" s="24"/>
    </row>
    <row r="56" spans="2:21" s="19" customFormat="1" ht="20.25" hidden="1" x14ac:dyDescent="0.2">
      <c r="B56" s="47"/>
      <c r="C56" s="26"/>
      <c r="D56" s="27"/>
      <c r="E56" s="28"/>
      <c r="F56" s="29"/>
      <c r="G56" s="30"/>
      <c r="H56" s="29"/>
      <c r="I56" s="31"/>
      <c r="J56" s="32"/>
      <c r="K56" s="32"/>
      <c r="L56" s="32"/>
      <c r="M56" s="32"/>
      <c r="N56" s="33"/>
      <c r="O56" s="32"/>
      <c r="P56" s="46"/>
      <c r="Q56" s="34"/>
      <c r="R56" s="46"/>
      <c r="S56" s="18"/>
      <c r="T56" s="126"/>
      <c r="U56" s="24"/>
    </row>
    <row r="57" spans="2:21" s="19" customFormat="1" ht="21" hidden="1" thickBot="1" x14ac:dyDescent="0.25">
      <c r="B57" s="47"/>
      <c r="C57" s="75"/>
      <c r="D57" s="71"/>
      <c r="E57" s="73"/>
      <c r="F57" s="76"/>
      <c r="G57" s="77"/>
      <c r="H57" s="76"/>
      <c r="I57" s="78"/>
      <c r="J57" s="72"/>
      <c r="K57" s="72"/>
      <c r="L57" s="72"/>
      <c r="M57" s="72"/>
      <c r="N57" s="79"/>
      <c r="O57" s="80"/>
      <c r="P57" s="70"/>
      <c r="Q57" s="81"/>
      <c r="R57" s="70"/>
      <c r="S57" s="82"/>
      <c r="T57" s="127"/>
      <c r="U57" s="83"/>
    </row>
    <row r="58" spans="2:21" s="19" customFormat="1" ht="21" customHeight="1" thickBot="1" x14ac:dyDescent="0.35">
      <c r="B58" s="35" t="s">
        <v>3</v>
      </c>
      <c r="C58" s="36"/>
      <c r="D58" s="57">
        <f>SUM(D4:D56)</f>
        <v>68400</v>
      </c>
      <c r="E58" s="58">
        <f>AVERAGE(E4:E56)</f>
        <v>0.34097222222222223</v>
      </c>
      <c r="F58" s="59">
        <f>SUM(F4:F56)</f>
        <v>4726.0153042995162</v>
      </c>
      <c r="G58" s="57">
        <f>SUM(G4:G56)</f>
        <v>68878</v>
      </c>
      <c r="H58" s="59">
        <f>SUM(H4:H56)</f>
        <v>4682.2800000000007</v>
      </c>
      <c r="I58" s="60">
        <f>SUM(I4:I56)</f>
        <v>346.5</v>
      </c>
      <c r="J58" s="61">
        <f>G58/(K58/60)</f>
        <v>449.88896146309605</v>
      </c>
      <c r="K58" s="57">
        <f>SUM(K4:K56)</f>
        <v>9186</v>
      </c>
      <c r="L58" s="57">
        <f>SUM(L4:L56)</f>
        <v>1852</v>
      </c>
      <c r="M58" s="60">
        <f>SUM(M4:M56)</f>
        <v>104</v>
      </c>
      <c r="N58" s="87">
        <f>(F58-H58)/F58</f>
        <v>9.2541605313311414E-3</v>
      </c>
      <c r="O58" s="62">
        <f>SUM(O4:O56)</f>
        <v>0</v>
      </c>
      <c r="P58" s="63">
        <f>AVERAGE(P4:P54)</f>
        <v>0.67778998656457023</v>
      </c>
      <c r="Q58" s="64"/>
      <c r="R58" s="63">
        <f>G58*24/(K58/60)/15000</f>
        <v>0.71982233834095366</v>
      </c>
      <c r="S58" s="63">
        <f>H58*24/(L58/60)/15000</f>
        <v>0.24270997840172789</v>
      </c>
      <c r="T58" s="128">
        <f>G58*24/(K58/60)/15300</f>
        <v>0.70570817484407222</v>
      </c>
      <c r="U58" s="21"/>
    </row>
    <row r="59" spans="2:21" ht="16.5" customHeight="1" thickTop="1" x14ac:dyDescent="0.25">
      <c r="B59" s="11"/>
      <c r="C59" s="22" t="s">
        <v>35</v>
      </c>
      <c r="D59" s="42">
        <v>37600</v>
      </c>
      <c r="E59" s="1082" t="s">
        <v>39</v>
      </c>
      <c r="F59" s="1082"/>
      <c r="G59" s="43">
        <f>(D60/D59)</f>
        <v>1.8318617021276595</v>
      </c>
      <c r="H59" s="44"/>
      <c r="I59" s="44"/>
      <c r="J59" s="1210">
        <v>0</v>
      </c>
      <c r="K59" s="12"/>
      <c r="L59" s="12"/>
      <c r="M59" s="13"/>
      <c r="N59" s="14"/>
      <c r="O59" s="12"/>
      <c r="P59" s="15"/>
      <c r="Q59" s="16"/>
      <c r="R59" s="15"/>
      <c r="S59" s="15"/>
      <c r="T59" s="15"/>
      <c r="U59" s="17" t="s">
        <v>48</v>
      </c>
    </row>
    <row r="60" spans="2:21" ht="14.25" customHeight="1" x14ac:dyDescent="0.25">
      <c r="B60" s="11"/>
      <c r="C60" s="22" t="s">
        <v>38</v>
      </c>
      <c r="D60" s="42">
        <f>G58</f>
        <v>68878</v>
      </c>
      <c r="E60" s="1082" t="s">
        <v>36</v>
      </c>
      <c r="F60" s="1082"/>
      <c r="G60" s="42">
        <f>January_16!G61+D60</f>
        <v>141324</v>
      </c>
      <c r="H60" s="44"/>
      <c r="I60" s="45" t="s">
        <v>40</v>
      </c>
      <c r="J60" s="1211"/>
      <c r="K60" s="12"/>
      <c r="L60" s="12"/>
      <c r="M60" s="13"/>
      <c r="N60" s="14"/>
      <c r="O60" s="12"/>
      <c r="P60" s="15"/>
      <c r="Q60" s="16"/>
      <c r="R60" s="15"/>
      <c r="S60" s="15"/>
      <c r="T60" s="15"/>
      <c r="U60" s="17"/>
    </row>
    <row r="61" spans="2:21" ht="17.25" thickBot="1" x14ac:dyDescent="0.3">
      <c r="C61" s="23" t="s">
        <v>41</v>
      </c>
      <c r="D61" s="42">
        <f>D59-D60</f>
        <v>-31278</v>
      </c>
      <c r="E61" s="1082" t="s">
        <v>37</v>
      </c>
      <c r="F61" s="1082"/>
      <c r="G61" s="42">
        <f>January_16!G62+D59</f>
        <v>115870</v>
      </c>
      <c r="H61" s="44"/>
      <c r="I61" s="44"/>
      <c r="J61" s="1212"/>
      <c r="P61" s="10"/>
      <c r="U61" s="17"/>
    </row>
    <row r="62" spans="2:21" ht="17.25" thickTop="1" x14ac:dyDescent="0.2">
      <c r="B62" s="7"/>
      <c r="C62" s="88" t="s">
        <v>19</v>
      </c>
      <c r="D62" s="89" t="s">
        <v>14</v>
      </c>
      <c r="E62" s="89" t="s">
        <v>23</v>
      </c>
      <c r="F62" s="89" t="s">
        <v>24</v>
      </c>
      <c r="G62" s="90" t="s">
        <v>15</v>
      </c>
      <c r="H62" s="89" t="s">
        <v>17</v>
      </c>
      <c r="I62" s="89" t="s">
        <v>16</v>
      </c>
      <c r="J62" s="91">
        <v>0</v>
      </c>
    </row>
    <row r="63" spans="2:21" ht="16.5" x14ac:dyDescent="0.25">
      <c r="B63" s="8"/>
      <c r="C63" s="92">
        <v>1</v>
      </c>
      <c r="D63" s="93" t="s">
        <v>20</v>
      </c>
      <c r="E63" s="94">
        <f>SUM(G4:G5,G6,G9,G10,G12,G14:G15,G17:G18,G23:G25,G26,G27:G28)</f>
        <v>42122</v>
      </c>
      <c r="F63" s="95">
        <f>SUM(K4,K6,K9,K10,K12,K14,K17:K18,K23,K24,K26,K27)</f>
        <v>5926</v>
      </c>
      <c r="G63" s="96">
        <f>SUM(F4,F6,F9,F10,F12,F14:F15,F17:F18,F23,F24:F25,F26,F27)</f>
        <v>2904.3</v>
      </c>
      <c r="H63" s="96">
        <f>SUM(H4,H6,H9,H10,H12,H14:H15,H17:H18,H23,H24:H25,H26,H27)</f>
        <v>2880.9419999999996</v>
      </c>
      <c r="I63" s="97">
        <f t="shared" ref="I63:I68" si="2">(G63-H63)/G63</f>
        <v>8.0425575870263499E-3</v>
      </c>
      <c r="J63" s="98">
        <f>(E63+G11+G29)*24/(F63/60)/15000</f>
        <v>0.73747958150523119</v>
      </c>
      <c r="P63" s="65"/>
    </row>
    <row r="64" spans="2:21" s="1" customFormat="1" ht="16.5" x14ac:dyDescent="0.25">
      <c r="B64" s="8"/>
      <c r="C64" s="99">
        <v>2</v>
      </c>
      <c r="D64" s="100" t="s">
        <v>21</v>
      </c>
      <c r="E64" s="101">
        <f>SUM(G7,G16,G22)</f>
        <v>14817</v>
      </c>
      <c r="F64" s="102">
        <f>SUM(K7,K16,K22)</f>
        <v>1882</v>
      </c>
      <c r="G64" s="103">
        <f>SUM(F7,F16,F22)</f>
        <v>982.6</v>
      </c>
      <c r="H64" s="103">
        <f>SUM(H7,H16,H22)</f>
        <v>977.92200000000014</v>
      </c>
      <c r="I64" s="97">
        <f t="shared" si="2"/>
        <v>4.7608385914918415E-3</v>
      </c>
      <c r="J64" s="98">
        <f>(E64)*24/(F64/60)/15000</f>
        <v>0.75580871413390016</v>
      </c>
      <c r="K64"/>
      <c r="L64"/>
      <c r="M64" s="2"/>
      <c r="Q64"/>
      <c r="R64"/>
      <c r="S64"/>
      <c r="T64"/>
      <c r="U64"/>
    </row>
    <row r="65" spans="2:21" s="1" customFormat="1" ht="16.5" x14ac:dyDescent="0.25">
      <c r="B65" s="8"/>
      <c r="C65" s="99">
        <v>3</v>
      </c>
      <c r="D65" s="100" t="s">
        <v>18</v>
      </c>
      <c r="E65" s="101">
        <f>SUM(G8,G13)</f>
        <v>7211</v>
      </c>
      <c r="F65" s="102">
        <f>SUM(K8,K13)</f>
        <v>905</v>
      </c>
      <c r="G65" s="101">
        <f>SUM(F8,F13)</f>
        <v>510.1</v>
      </c>
      <c r="H65" s="101">
        <f>SUM(H8,H13)</f>
        <v>504.738</v>
      </c>
      <c r="I65" s="97">
        <f t="shared" si="2"/>
        <v>1.0511664379533469E-2</v>
      </c>
      <c r="J65" s="98">
        <f>(E65)*24/(F65/60)/15000</f>
        <v>0.76492375690607728</v>
      </c>
      <c r="K65"/>
      <c r="L65"/>
      <c r="M65" s="2"/>
      <c r="P65" s="8"/>
      <c r="Q65"/>
      <c r="R65"/>
      <c r="S65" s="6"/>
      <c r="T65" s="6"/>
      <c r="U65"/>
    </row>
    <row r="66" spans="2:21" s="1" customFormat="1" ht="16.5" x14ac:dyDescent="0.25">
      <c r="B66" s="8"/>
      <c r="C66" s="104">
        <v>4</v>
      </c>
      <c r="D66" s="105" t="s">
        <v>26</v>
      </c>
      <c r="E66" s="106">
        <f>SUM(G11,G29)</f>
        <v>3402</v>
      </c>
      <c r="F66" s="107">
        <f>SUM(K10,K27)</f>
        <v>1137</v>
      </c>
      <c r="G66" s="108">
        <f>SUM(F11,F29)</f>
        <v>231.06856999999999</v>
      </c>
      <c r="H66" s="108">
        <f>SUM(H11,H29)</f>
        <v>224.53200000000001</v>
      </c>
      <c r="I66" s="109">
        <f t="shared" si="2"/>
        <v>2.8288442690409966E-2</v>
      </c>
      <c r="J66" s="98">
        <f>(E66+G10+G27+G28)*24/(F66/60)/15000</f>
        <v>0.66566754617414248</v>
      </c>
      <c r="K66"/>
      <c r="L66"/>
      <c r="M66" s="2"/>
      <c r="Q66"/>
      <c r="R66"/>
      <c r="S66" s="6"/>
      <c r="T66" s="6"/>
      <c r="U66"/>
    </row>
    <row r="67" spans="2:21" s="1" customFormat="1" ht="16.5" x14ac:dyDescent="0.25">
      <c r="B67" s="8"/>
      <c r="C67" s="104">
        <v>5</v>
      </c>
      <c r="D67" s="105" t="s">
        <v>25</v>
      </c>
      <c r="E67" s="106">
        <f>SUM(G19:G21)</f>
        <v>1326</v>
      </c>
      <c r="F67" s="107">
        <f>SUM(K19)</f>
        <v>473</v>
      </c>
      <c r="G67" s="108">
        <f>SUM(F19:F21)</f>
        <v>97.946734299516905</v>
      </c>
      <c r="H67" s="108">
        <f>SUM(H19:H21)</f>
        <v>94.145999999999987</v>
      </c>
      <c r="I67" s="109">
        <f t="shared" si="2"/>
        <v>3.8804094150749695E-2</v>
      </c>
      <c r="J67" s="98">
        <f>(E67)*24/(F67/60)/15000</f>
        <v>0.26912473572938689</v>
      </c>
      <c r="K67"/>
      <c r="L67"/>
      <c r="M67" s="2"/>
      <c r="Q67"/>
      <c r="R67"/>
      <c r="S67"/>
      <c r="T67"/>
      <c r="U67"/>
    </row>
    <row r="68" spans="2:21" s="1" customFormat="1" ht="17.25" thickBot="1" x14ac:dyDescent="0.3">
      <c r="C68" s="112"/>
      <c r="D68" s="113" t="s">
        <v>22</v>
      </c>
      <c r="E68" s="114">
        <f>SUM(E63:E67)</f>
        <v>68878</v>
      </c>
      <c r="F68" s="115">
        <f>K58</f>
        <v>9186</v>
      </c>
      <c r="G68" s="116">
        <f>SUM(G63:G67)</f>
        <v>4726.0153042995171</v>
      </c>
      <c r="H68" s="116">
        <f>SUM(H63:H67)</f>
        <v>4682.28</v>
      </c>
      <c r="I68" s="117">
        <f t="shared" si="2"/>
        <v>9.2541605313315248E-3</v>
      </c>
      <c r="J68" s="118">
        <f>E68*24/(F68/60)/15000</f>
        <v>0.71982233834095366</v>
      </c>
      <c r="K68"/>
      <c r="L68"/>
      <c r="M68" s="2"/>
      <c r="Q68"/>
      <c r="R68"/>
      <c r="S68"/>
      <c r="T68"/>
      <c r="U68"/>
    </row>
    <row r="69" spans="2:21" s="1" customFormat="1" ht="13.5" thickTop="1" x14ac:dyDescent="0.2">
      <c r="J69"/>
      <c r="K69"/>
      <c r="L69"/>
      <c r="M69" s="2"/>
      <c r="Q69"/>
      <c r="R69"/>
      <c r="S69"/>
      <c r="T69"/>
      <c r="U69"/>
    </row>
    <row r="70" spans="2:21" s="1" customFormat="1" x14ac:dyDescent="0.2">
      <c r="E70" s="3"/>
      <c r="F70" s="119"/>
      <c r="G70" s="120"/>
      <c r="H70" s="120"/>
      <c r="I70"/>
      <c r="J70"/>
      <c r="K70"/>
      <c r="L70"/>
      <c r="M70" s="2"/>
      <c r="Q70"/>
      <c r="R70"/>
      <c r="S70"/>
      <c r="T70"/>
      <c r="U70"/>
    </row>
    <row r="71" spans="2:21" s="1" customFormat="1" ht="13.5" customHeight="1" x14ac:dyDescent="0.2">
      <c r="J71"/>
      <c r="K71"/>
      <c r="L71"/>
      <c r="M71" s="2"/>
      <c r="Q71"/>
      <c r="R71"/>
      <c r="S71"/>
      <c r="T71"/>
      <c r="U71" s="9"/>
    </row>
    <row r="72" spans="2:21" s="1" customFormat="1" ht="12.75" customHeight="1" x14ac:dyDescent="0.2">
      <c r="J72"/>
      <c r="K72"/>
      <c r="L72"/>
      <c r="M72" s="2"/>
      <c r="Q72"/>
      <c r="R72"/>
      <c r="S72"/>
      <c r="T72"/>
      <c r="U72" s="9"/>
    </row>
    <row r="73" spans="2:21" s="1" customFormat="1" ht="12.75" customHeight="1" x14ac:dyDescent="0.2">
      <c r="J73"/>
      <c r="K73"/>
      <c r="L73"/>
      <c r="M73" s="2"/>
      <c r="Q73"/>
      <c r="R73"/>
      <c r="S73"/>
      <c r="T73"/>
      <c r="U73" s="9"/>
    </row>
    <row r="74" spans="2:21" s="1" customFormat="1" ht="12.75" customHeight="1" x14ac:dyDescent="0.2">
      <c r="J74"/>
      <c r="K74"/>
      <c r="L74"/>
      <c r="M74" s="2"/>
      <c r="Q74"/>
      <c r="R74"/>
      <c r="S74"/>
      <c r="T74"/>
      <c r="U74" s="9"/>
    </row>
    <row r="75" spans="2:21" s="1" customFormat="1" ht="12.75" customHeight="1" x14ac:dyDescent="0.2">
      <c r="J75"/>
      <c r="K75"/>
      <c r="L75"/>
      <c r="M75" s="2"/>
      <c r="Q75"/>
      <c r="R75"/>
      <c r="S75"/>
      <c r="T75"/>
      <c r="U75" s="9"/>
    </row>
    <row r="76" spans="2:21" s="1" customFormat="1" ht="12.75" customHeight="1" x14ac:dyDescent="0.2">
      <c r="J76"/>
      <c r="K76"/>
      <c r="L76"/>
      <c r="M76" s="2"/>
      <c r="Q76"/>
      <c r="R76"/>
      <c r="S76"/>
      <c r="T76"/>
      <c r="U76" s="9"/>
    </row>
    <row r="77" spans="2:21" s="1" customFormat="1" ht="12.75" customHeight="1" x14ac:dyDescent="0.2">
      <c r="J77"/>
      <c r="K77"/>
      <c r="L77"/>
      <c r="M77" s="2"/>
      <c r="Q77"/>
      <c r="R77"/>
      <c r="S77"/>
      <c r="T77"/>
      <c r="U77" s="9"/>
    </row>
    <row r="78" spans="2:21" s="1" customFormat="1" x14ac:dyDescent="0.2">
      <c r="J78"/>
      <c r="K78"/>
      <c r="L78"/>
      <c r="M78" s="2"/>
      <c r="Q78"/>
      <c r="R78"/>
      <c r="S78"/>
      <c r="T78"/>
      <c r="U78" s="9"/>
    </row>
    <row r="79" spans="2:21" s="1" customFormat="1" ht="12.75" customHeight="1" x14ac:dyDescent="0.2">
      <c r="J79"/>
      <c r="K79"/>
      <c r="L79"/>
      <c r="M79" s="2"/>
      <c r="Q79"/>
      <c r="R79"/>
      <c r="S79"/>
      <c r="T79"/>
      <c r="U79" s="9"/>
    </row>
    <row r="80" spans="2:21" s="1" customFormat="1" ht="12.75" customHeight="1" x14ac:dyDescent="0.2">
      <c r="J80"/>
      <c r="K80"/>
      <c r="L80"/>
      <c r="M80" s="2"/>
      <c r="Q80"/>
      <c r="R80"/>
      <c r="S80"/>
      <c r="T80"/>
      <c r="U80" s="9"/>
    </row>
    <row r="81" spans="10:21" s="1" customFormat="1" ht="12.75" customHeight="1" x14ac:dyDescent="0.2">
      <c r="J81"/>
      <c r="K81"/>
      <c r="L81"/>
      <c r="M81" s="2"/>
      <c r="Q81"/>
      <c r="R81"/>
      <c r="S81"/>
      <c r="T81"/>
      <c r="U81" s="9"/>
    </row>
    <row r="82" spans="10:21" s="1" customFormat="1" ht="12.75" customHeight="1" x14ac:dyDescent="0.2">
      <c r="J82"/>
      <c r="K82"/>
      <c r="L82"/>
      <c r="M82" s="2"/>
      <c r="Q82"/>
      <c r="R82"/>
      <c r="S82"/>
      <c r="T82"/>
      <c r="U82" s="9"/>
    </row>
    <row r="83" spans="10:21" s="1" customFormat="1" ht="12.75" customHeight="1" x14ac:dyDescent="0.2">
      <c r="J83"/>
      <c r="K83"/>
      <c r="L83"/>
      <c r="M83" s="2"/>
      <c r="Q83"/>
      <c r="R83"/>
      <c r="S83"/>
      <c r="T83"/>
      <c r="U83" s="9"/>
    </row>
    <row r="84" spans="10:21" s="1" customFormat="1" x14ac:dyDescent="0.2">
      <c r="J84"/>
      <c r="K84"/>
      <c r="L84"/>
      <c r="M84" s="2"/>
      <c r="Q84"/>
      <c r="R84"/>
      <c r="S84"/>
      <c r="T84"/>
      <c r="U84"/>
    </row>
    <row r="85" spans="10:21" s="1" customFormat="1" x14ac:dyDescent="0.2">
      <c r="J85"/>
      <c r="K85"/>
      <c r="L85"/>
      <c r="M85" s="2"/>
      <c r="Q85"/>
      <c r="R85"/>
      <c r="S85"/>
      <c r="T85"/>
      <c r="U85"/>
    </row>
    <row r="86" spans="10:21" s="1" customFormat="1" x14ac:dyDescent="0.2">
      <c r="J86"/>
      <c r="K86"/>
      <c r="L86"/>
      <c r="M86" s="2"/>
      <c r="Q86"/>
      <c r="R86"/>
      <c r="S86"/>
      <c r="T86"/>
      <c r="U86"/>
    </row>
    <row r="87" spans="10:21" s="1" customFormat="1" x14ac:dyDescent="0.2">
      <c r="J87"/>
      <c r="K87"/>
      <c r="L87"/>
      <c r="M87" s="2"/>
      <c r="Q87"/>
      <c r="R87"/>
      <c r="S87"/>
      <c r="T87"/>
      <c r="U87"/>
    </row>
    <row r="88" spans="10:21" s="1" customFormat="1" x14ac:dyDescent="0.2">
      <c r="J88"/>
      <c r="K88"/>
      <c r="L88"/>
      <c r="M88" s="2"/>
      <c r="Q88"/>
      <c r="R88"/>
      <c r="S88"/>
      <c r="T88"/>
      <c r="U88"/>
    </row>
    <row r="89" spans="10:21" s="1" customFormat="1" x14ac:dyDescent="0.2">
      <c r="J89"/>
      <c r="K89"/>
      <c r="L89"/>
      <c r="M89" s="2"/>
      <c r="Q89"/>
      <c r="R89"/>
      <c r="S89"/>
      <c r="T89"/>
      <c r="U89"/>
    </row>
    <row r="90" spans="10:21" s="1" customFormat="1" x14ac:dyDescent="0.2">
      <c r="J90"/>
      <c r="K90"/>
      <c r="L90"/>
      <c r="M90" s="2"/>
      <c r="Q90"/>
      <c r="R90"/>
      <c r="S90"/>
      <c r="T90"/>
      <c r="U90"/>
    </row>
    <row r="91" spans="10:21" s="1" customFormat="1" x14ac:dyDescent="0.2">
      <c r="J91"/>
      <c r="K91"/>
      <c r="L91"/>
      <c r="M91" s="2"/>
      <c r="Q91"/>
      <c r="R91"/>
      <c r="S91"/>
      <c r="T91"/>
      <c r="U91"/>
    </row>
    <row r="92" spans="10:21" s="1" customFormat="1" x14ac:dyDescent="0.2">
      <c r="J92"/>
      <c r="K92"/>
      <c r="L92"/>
      <c r="M92" s="2"/>
      <c r="Q92"/>
      <c r="R92"/>
      <c r="S92"/>
      <c r="T92"/>
      <c r="U92"/>
    </row>
    <row r="93" spans="10:21" s="1" customFormat="1" x14ac:dyDescent="0.2">
      <c r="J93"/>
      <c r="K93"/>
      <c r="L93"/>
      <c r="M93" s="2"/>
      <c r="Q93"/>
      <c r="R93"/>
      <c r="S93"/>
      <c r="T93"/>
      <c r="U93"/>
    </row>
    <row r="94" spans="10:21" s="1" customFormat="1" x14ac:dyDescent="0.2">
      <c r="J94"/>
      <c r="K94"/>
      <c r="L94"/>
      <c r="M94" s="2"/>
      <c r="Q94"/>
      <c r="R94"/>
      <c r="S94"/>
      <c r="T94"/>
      <c r="U94"/>
    </row>
    <row r="95" spans="10:21" s="1" customFormat="1" x14ac:dyDescent="0.2">
      <c r="J95"/>
      <c r="K95"/>
      <c r="L95"/>
      <c r="M95" s="2"/>
      <c r="Q95"/>
      <c r="R95"/>
      <c r="S95"/>
      <c r="T95"/>
      <c r="U95"/>
    </row>
    <row r="96" spans="10:21" s="1" customFormat="1" x14ac:dyDescent="0.2">
      <c r="J96"/>
      <c r="K96"/>
      <c r="L96"/>
      <c r="M96" s="2"/>
      <c r="Q96"/>
      <c r="R96"/>
      <c r="S96"/>
      <c r="T96"/>
      <c r="U96"/>
    </row>
    <row r="97" spans="10:21" s="1" customFormat="1" x14ac:dyDescent="0.2">
      <c r="J97"/>
      <c r="K97"/>
      <c r="L97"/>
      <c r="M97" s="2"/>
      <c r="Q97"/>
      <c r="R97"/>
      <c r="S97"/>
      <c r="T97"/>
      <c r="U97"/>
    </row>
    <row r="98" spans="10:21" s="1" customFormat="1" x14ac:dyDescent="0.2">
      <c r="J98"/>
      <c r="K98"/>
      <c r="L98"/>
      <c r="M98" s="2"/>
      <c r="Q98"/>
      <c r="R98"/>
      <c r="S98"/>
      <c r="T98"/>
      <c r="U98"/>
    </row>
    <row r="99" spans="10:21" s="1" customFormat="1" x14ac:dyDescent="0.2">
      <c r="J99"/>
      <c r="K99"/>
      <c r="L99"/>
      <c r="M99" s="2"/>
      <c r="Q99"/>
      <c r="R99"/>
      <c r="S99"/>
      <c r="T99"/>
      <c r="U99"/>
    </row>
    <row r="100" spans="10:21" s="1" customFormat="1" x14ac:dyDescent="0.2">
      <c r="J100"/>
      <c r="K100"/>
      <c r="L100"/>
      <c r="M100" s="2"/>
      <c r="Q100"/>
      <c r="R100"/>
      <c r="S100"/>
      <c r="T100"/>
      <c r="U100"/>
    </row>
    <row r="101" spans="10:21" s="1" customFormat="1" x14ac:dyDescent="0.2">
      <c r="J101"/>
      <c r="K101"/>
      <c r="L101"/>
      <c r="M101" s="2"/>
      <c r="Q101"/>
      <c r="R101"/>
      <c r="S101"/>
      <c r="T101"/>
      <c r="U101"/>
    </row>
    <row r="102" spans="10:21" s="1" customFormat="1" x14ac:dyDescent="0.2">
      <c r="J102"/>
      <c r="K102"/>
      <c r="L102"/>
      <c r="M102" s="2"/>
      <c r="Q102"/>
      <c r="R102"/>
      <c r="S102"/>
      <c r="T102"/>
      <c r="U102"/>
    </row>
    <row r="103" spans="10:21" s="1" customFormat="1" x14ac:dyDescent="0.2">
      <c r="J103"/>
      <c r="K103"/>
      <c r="L103"/>
      <c r="M103" s="2"/>
      <c r="Q103"/>
      <c r="R103"/>
      <c r="S103"/>
      <c r="T103"/>
      <c r="U103"/>
    </row>
    <row r="104" spans="10:21" s="1" customFormat="1" x14ac:dyDescent="0.2">
      <c r="J104"/>
      <c r="K104"/>
      <c r="L104"/>
      <c r="M104" s="2"/>
      <c r="Q104"/>
      <c r="R104"/>
      <c r="S104"/>
      <c r="T104"/>
      <c r="U104"/>
    </row>
    <row r="105" spans="10:21" s="1" customFormat="1" x14ac:dyDescent="0.2">
      <c r="J105"/>
      <c r="K105"/>
      <c r="L105"/>
      <c r="M105" s="2"/>
      <c r="Q105"/>
      <c r="R105"/>
      <c r="S105"/>
      <c r="T105"/>
      <c r="U105"/>
    </row>
    <row r="106" spans="10:21" s="1" customFormat="1" x14ac:dyDescent="0.2">
      <c r="J106"/>
      <c r="K106"/>
      <c r="L106"/>
      <c r="M106" s="2"/>
      <c r="Q106"/>
      <c r="R106"/>
      <c r="S106"/>
      <c r="T106"/>
      <c r="U106"/>
    </row>
    <row r="107" spans="10:21" s="1" customFormat="1" x14ac:dyDescent="0.2">
      <c r="J107"/>
      <c r="K107"/>
      <c r="L107"/>
      <c r="M107" s="2"/>
      <c r="Q107"/>
      <c r="R107"/>
      <c r="S107"/>
      <c r="T107"/>
      <c r="U107"/>
    </row>
    <row r="108" spans="10:21" s="1" customFormat="1" x14ac:dyDescent="0.2">
      <c r="J108"/>
      <c r="K108"/>
      <c r="L108"/>
      <c r="M108" s="2"/>
      <c r="Q108"/>
      <c r="R108"/>
      <c r="S108"/>
      <c r="T108"/>
      <c r="U108"/>
    </row>
    <row r="109" spans="10:21" s="1" customFormat="1" x14ac:dyDescent="0.2">
      <c r="J109"/>
      <c r="K109"/>
      <c r="L109"/>
      <c r="M109" s="2"/>
      <c r="Q109"/>
      <c r="R109"/>
      <c r="S109"/>
      <c r="T109"/>
      <c r="U109"/>
    </row>
    <row r="110" spans="10:21" s="1" customFormat="1" x14ac:dyDescent="0.2">
      <c r="J110"/>
      <c r="K110"/>
      <c r="L110"/>
      <c r="M110" s="2"/>
      <c r="Q110"/>
      <c r="R110"/>
      <c r="S110"/>
      <c r="T110"/>
      <c r="U110"/>
    </row>
    <row r="111" spans="10:21" s="1" customFormat="1" x14ac:dyDescent="0.2">
      <c r="J111"/>
      <c r="K111"/>
      <c r="L111"/>
      <c r="M111" s="2"/>
      <c r="Q111"/>
      <c r="R111"/>
      <c r="S111"/>
      <c r="T111"/>
      <c r="U111"/>
    </row>
    <row r="112" spans="10:21" s="1" customFormat="1" x14ac:dyDescent="0.2">
      <c r="J112"/>
      <c r="K112"/>
      <c r="L112"/>
      <c r="M112" s="2"/>
      <c r="Q112"/>
      <c r="R112"/>
      <c r="S112"/>
      <c r="T112"/>
      <c r="U112"/>
    </row>
    <row r="113" spans="10:21" s="1" customFormat="1" x14ac:dyDescent="0.2">
      <c r="J113"/>
      <c r="K113"/>
      <c r="L113"/>
      <c r="M113" s="2"/>
      <c r="Q113"/>
      <c r="R113"/>
      <c r="S113"/>
      <c r="T113"/>
      <c r="U113"/>
    </row>
    <row r="114" spans="10:21" s="1" customFormat="1" x14ac:dyDescent="0.2">
      <c r="J114"/>
      <c r="K114"/>
      <c r="L114"/>
      <c r="M114" s="2"/>
      <c r="Q114"/>
      <c r="R114"/>
      <c r="S114"/>
      <c r="T114"/>
      <c r="U114"/>
    </row>
    <row r="115" spans="10:21" s="1" customFormat="1" x14ac:dyDescent="0.2">
      <c r="J115"/>
      <c r="K115"/>
      <c r="L115"/>
      <c r="M115" s="2"/>
      <c r="Q115"/>
      <c r="R115"/>
      <c r="S115"/>
      <c r="T115"/>
      <c r="U115"/>
    </row>
    <row r="116" spans="10:21" s="1" customFormat="1" x14ac:dyDescent="0.2">
      <c r="J116"/>
      <c r="K116"/>
      <c r="L116"/>
      <c r="M116" s="2"/>
      <c r="Q116"/>
      <c r="R116"/>
      <c r="S116"/>
      <c r="T116"/>
      <c r="U116"/>
    </row>
    <row r="117" spans="10:21" s="1" customFormat="1" x14ac:dyDescent="0.2">
      <c r="J117"/>
      <c r="K117"/>
      <c r="L117"/>
      <c r="M117" s="2"/>
      <c r="Q117"/>
      <c r="R117"/>
      <c r="S117"/>
      <c r="T117"/>
      <c r="U117"/>
    </row>
    <row r="118" spans="10:21" s="1" customFormat="1" x14ac:dyDescent="0.2">
      <c r="J118"/>
      <c r="K118"/>
      <c r="L118"/>
      <c r="M118" s="2"/>
      <c r="Q118"/>
      <c r="R118"/>
      <c r="S118"/>
      <c r="T118"/>
      <c r="U118"/>
    </row>
    <row r="119" spans="10:21" s="1" customFormat="1" x14ac:dyDescent="0.2">
      <c r="J119"/>
      <c r="K119"/>
      <c r="L119"/>
      <c r="M119" s="2"/>
      <c r="Q119"/>
      <c r="R119"/>
      <c r="S119"/>
      <c r="T119"/>
      <c r="U119"/>
    </row>
    <row r="120" spans="10:21" s="1" customFormat="1" x14ac:dyDescent="0.2">
      <c r="J120"/>
      <c r="K120"/>
      <c r="L120"/>
      <c r="M120" s="2"/>
      <c r="Q120"/>
      <c r="R120"/>
      <c r="S120"/>
      <c r="T120"/>
      <c r="U120"/>
    </row>
    <row r="121" spans="10:21" s="1" customFormat="1" x14ac:dyDescent="0.2">
      <c r="J121"/>
      <c r="K121"/>
      <c r="L121"/>
      <c r="M121" s="2"/>
      <c r="Q121"/>
      <c r="R121"/>
      <c r="S121"/>
      <c r="T121"/>
      <c r="U121"/>
    </row>
    <row r="122" spans="10:21" s="1" customFormat="1" x14ac:dyDescent="0.2">
      <c r="J122"/>
      <c r="K122"/>
      <c r="L122"/>
      <c r="M122" s="2"/>
      <c r="Q122"/>
      <c r="R122"/>
      <c r="S122"/>
      <c r="T122"/>
      <c r="U122"/>
    </row>
    <row r="123" spans="10:21" s="1" customFormat="1" x14ac:dyDescent="0.2">
      <c r="J123"/>
      <c r="K123"/>
      <c r="L123"/>
      <c r="M123" s="2"/>
      <c r="Q123"/>
      <c r="R123"/>
      <c r="S123"/>
      <c r="T123"/>
      <c r="U123"/>
    </row>
    <row r="124" spans="10:21" s="1" customFormat="1" x14ac:dyDescent="0.2">
      <c r="J124"/>
      <c r="K124"/>
      <c r="L124"/>
      <c r="M124" s="2"/>
      <c r="Q124"/>
      <c r="R124"/>
      <c r="S124"/>
      <c r="T124"/>
      <c r="U124"/>
    </row>
    <row r="125" spans="10:21" s="1" customFormat="1" x14ac:dyDescent="0.2">
      <c r="J125"/>
      <c r="K125"/>
      <c r="L125"/>
      <c r="M125" s="2"/>
      <c r="Q125"/>
      <c r="R125"/>
      <c r="S125"/>
      <c r="T125"/>
      <c r="U125"/>
    </row>
    <row r="126" spans="10:21" s="1" customFormat="1" x14ac:dyDescent="0.2">
      <c r="J126"/>
      <c r="K126"/>
      <c r="L126"/>
      <c r="M126" s="2"/>
      <c r="Q126"/>
      <c r="R126"/>
      <c r="S126"/>
      <c r="T126"/>
      <c r="U126"/>
    </row>
    <row r="127" spans="10:21" s="1" customFormat="1" x14ac:dyDescent="0.2">
      <c r="J127"/>
      <c r="K127"/>
      <c r="L127"/>
      <c r="M127" s="2"/>
      <c r="Q127"/>
      <c r="R127"/>
      <c r="S127"/>
      <c r="T127"/>
      <c r="U127"/>
    </row>
    <row r="128" spans="10:21" s="1" customFormat="1" x14ac:dyDescent="0.2">
      <c r="J128"/>
      <c r="K128"/>
      <c r="L128"/>
      <c r="M128" s="2"/>
      <c r="Q128"/>
      <c r="R128"/>
      <c r="S128"/>
      <c r="T128"/>
      <c r="U128"/>
    </row>
    <row r="129" spans="10:21" s="1" customFormat="1" x14ac:dyDescent="0.2">
      <c r="J129"/>
      <c r="K129"/>
      <c r="L129"/>
      <c r="M129" s="2"/>
      <c r="Q129"/>
      <c r="R129"/>
      <c r="S129"/>
      <c r="T129"/>
      <c r="U129"/>
    </row>
    <row r="130" spans="10:21" s="1" customFormat="1" x14ac:dyDescent="0.2">
      <c r="J130"/>
      <c r="K130"/>
      <c r="L130"/>
      <c r="M130" s="2"/>
      <c r="Q130"/>
      <c r="R130"/>
      <c r="S130"/>
      <c r="T130"/>
      <c r="U130"/>
    </row>
    <row r="131" spans="10:21" s="1" customFormat="1" x14ac:dyDescent="0.2">
      <c r="J131"/>
      <c r="K131"/>
      <c r="L131"/>
      <c r="M131" s="2"/>
      <c r="Q131"/>
      <c r="R131"/>
      <c r="S131"/>
      <c r="T131"/>
      <c r="U131"/>
    </row>
    <row r="132" spans="10:21" s="1" customFormat="1" x14ac:dyDescent="0.2">
      <c r="J132"/>
      <c r="K132"/>
      <c r="L132"/>
      <c r="M132" s="2"/>
      <c r="Q132"/>
      <c r="R132"/>
      <c r="S132"/>
      <c r="T132"/>
      <c r="U132"/>
    </row>
    <row r="133" spans="10:21" s="1" customFormat="1" x14ac:dyDescent="0.2">
      <c r="J133"/>
      <c r="K133"/>
      <c r="L133"/>
      <c r="M133" s="2"/>
      <c r="Q133"/>
      <c r="R133"/>
      <c r="S133"/>
      <c r="T133"/>
      <c r="U133"/>
    </row>
    <row r="134" spans="10:21" s="1" customFormat="1" x14ac:dyDescent="0.2">
      <c r="J134"/>
      <c r="K134"/>
      <c r="L134"/>
      <c r="M134" s="2"/>
      <c r="Q134"/>
      <c r="R134"/>
      <c r="S134"/>
      <c r="T134"/>
      <c r="U134"/>
    </row>
    <row r="135" spans="10:21" s="1" customFormat="1" x14ac:dyDescent="0.2">
      <c r="J135"/>
      <c r="K135"/>
      <c r="L135"/>
      <c r="M135" s="2"/>
      <c r="Q135"/>
      <c r="R135"/>
      <c r="S135"/>
      <c r="T135"/>
      <c r="U135"/>
    </row>
    <row r="136" spans="10:21" s="1" customFormat="1" x14ac:dyDescent="0.2">
      <c r="J136"/>
      <c r="K136"/>
      <c r="L136"/>
      <c r="M136" s="2"/>
      <c r="Q136"/>
      <c r="R136"/>
      <c r="S136"/>
      <c r="T136"/>
      <c r="U136"/>
    </row>
    <row r="137" spans="10:21" s="1" customFormat="1" x14ac:dyDescent="0.2">
      <c r="J137"/>
      <c r="K137"/>
      <c r="L137"/>
      <c r="M137" s="2"/>
      <c r="Q137"/>
      <c r="R137"/>
      <c r="S137"/>
      <c r="T137"/>
      <c r="U137"/>
    </row>
    <row r="138" spans="10:21" s="1" customFormat="1" x14ac:dyDescent="0.2">
      <c r="J138"/>
      <c r="K138"/>
      <c r="L138"/>
      <c r="M138" s="2"/>
      <c r="Q138"/>
      <c r="R138"/>
      <c r="S138"/>
      <c r="T138"/>
      <c r="U138"/>
    </row>
    <row r="139" spans="10:21" s="1" customFormat="1" x14ac:dyDescent="0.2">
      <c r="J139"/>
      <c r="K139"/>
      <c r="L139"/>
      <c r="M139" s="2"/>
      <c r="Q139"/>
      <c r="R139"/>
      <c r="S139"/>
      <c r="T139"/>
      <c r="U139"/>
    </row>
    <row r="140" spans="10:21" s="1" customFormat="1" x14ac:dyDescent="0.2">
      <c r="J140"/>
      <c r="K140"/>
      <c r="L140"/>
      <c r="M140" s="2"/>
      <c r="Q140"/>
      <c r="R140"/>
      <c r="S140"/>
      <c r="T140"/>
      <c r="U140"/>
    </row>
    <row r="141" spans="10:21" s="1" customFormat="1" x14ac:dyDescent="0.2">
      <c r="J141"/>
      <c r="K141"/>
      <c r="L141"/>
      <c r="M141" s="2"/>
      <c r="Q141"/>
      <c r="R141"/>
      <c r="S141"/>
      <c r="T141"/>
      <c r="U141"/>
    </row>
    <row r="142" spans="10:21" s="1" customFormat="1" x14ac:dyDescent="0.2">
      <c r="J142"/>
      <c r="K142"/>
      <c r="L142"/>
      <c r="M142" s="2"/>
      <c r="Q142"/>
      <c r="R142"/>
      <c r="S142"/>
      <c r="T142"/>
      <c r="U142"/>
    </row>
    <row r="143" spans="10:21" s="1" customFormat="1" x14ac:dyDescent="0.2">
      <c r="J143"/>
      <c r="K143"/>
      <c r="L143"/>
      <c r="M143" s="2"/>
      <c r="Q143"/>
      <c r="R143"/>
      <c r="S143"/>
      <c r="T143"/>
      <c r="U143"/>
    </row>
    <row r="144" spans="10:21" s="1" customFormat="1" x14ac:dyDescent="0.2">
      <c r="J144"/>
      <c r="K144"/>
      <c r="L144"/>
      <c r="M144" s="2"/>
      <c r="Q144"/>
      <c r="R144"/>
      <c r="S144"/>
      <c r="T144"/>
      <c r="U144"/>
    </row>
    <row r="145" spans="10:21" s="1" customFormat="1" x14ac:dyDescent="0.2">
      <c r="J145"/>
      <c r="K145"/>
      <c r="L145"/>
      <c r="M145" s="2"/>
      <c r="Q145"/>
      <c r="R145"/>
      <c r="S145"/>
      <c r="T145"/>
      <c r="U145"/>
    </row>
    <row r="146" spans="10:21" s="1" customFormat="1" x14ac:dyDescent="0.2">
      <c r="J146"/>
      <c r="K146"/>
      <c r="L146"/>
      <c r="M146" s="2"/>
      <c r="Q146"/>
      <c r="R146"/>
      <c r="S146"/>
      <c r="T146"/>
      <c r="U146"/>
    </row>
    <row r="147" spans="10:21" s="1" customFormat="1" x14ac:dyDescent="0.2">
      <c r="J147"/>
      <c r="K147"/>
      <c r="L147"/>
      <c r="M147" s="2"/>
      <c r="Q147"/>
      <c r="R147"/>
      <c r="S147"/>
      <c r="T147"/>
      <c r="U147"/>
    </row>
    <row r="148" spans="10:21" s="1" customFormat="1" x14ac:dyDescent="0.2">
      <c r="J148"/>
      <c r="K148"/>
      <c r="L148"/>
      <c r="M148" s="2"/>
      <c r="Q148"/>
      <c r="R148"/>
      <c r="S148"/>
      <c r="T148"/>
      <c r="U148"/>
    </row>
    <row r="149" spans="10:21" s="1" customFormat="1" x14ac:dyDescent="0.2">
      <c r="J149"/>
      <c r="K149"/>
      <c r="L149"/>
      <c r="M149" s="2"/>
      <c r="Q149"/>
      <c r="R149"/>
      <c r="S149"/>
      <c r="T149"/>
      <c r="U149"/>
    </row>
    <row r="150" spans="10:21" s="1" customFormat="1" x14ac:dyDescent="0.2">
      <c r="J150"/>
      <c r="K150"/>
      <c r="L150"/>
      <c r="M150" s="2"/>
      <c r="Q150"/>
      <c r="R150"/>
      <c r="S150"/>
      <c r="T150"/>
      <c r="U150"/>
    </row>
    <row r="151" spans="10:21" s="1" customFormat="1" x14ac:dyDescent="0.2">
      <c r="J151"/>
      <c r="K151"/>
      <c r="L151"/>
      <c r="M151" s="2"/>
      <c r="Q151"/>
      <c r="R151"/>
      <c r="S151"/>
      <c r="T151"/>
      <c r="U151"/>
    </row>
    <row r="152" spans="10:21" s="1" customFormat="1" x14ac:dyDescent="0.2">
      <c r="J152"/>
      <c r="K152"/>
      <c r="L152"/>
      <c r="M152" s="2"/>
      <c r="Q152"/>
      <c r="R152"/>
      <c r="S152"/>
      <c r="T152"/>
      <c r="U152"/>
    </row>
    <row r="153" spans="10:21" s="1" customFormat="1" x14ac:dyDescent="0.2">
      <c r="J153"/>
      <c r="K153"/>
      <c r="L153"/>
      <c r="M153" s="2"/>
      <c r="Q153"/>
      <c r="R153"/>
      <c r="S153"/>
      <c r="T153"/>
      <c r="U153"/>
    </row>
    <row r="154" spans="10:21" s="1" customFormat="1" x14ac:dyDescent="0.2">
      <c r="J154"/>
      <c r="K154"/>
      <c r="L154"/>
      <c r="M154" s="2"/>
      <c r="Q154"/>
      <c r="R154"/>
      <c r="S154"/>
      <c r="T154"/>
      <c r="U154"/>
    </row>
    <row r="155" spans="10:21" s="1" customFormat="1" x14ac:dyDescent="0.2">
      <c r="J155"/>
      <c r="K155"/>
      <c r="L155"/>
      <c r="M155" s="2"/>
      <c r="Q155"/>
      <c r="R155"/>
      <c r="S155"/>
      <c r="T155"/>
      <c r="U155"/>
    </row>
    <row r="156" spans="10:21" s="1" customFormat="1" x14ac:dyDescent="0.2">
      <c r="J156"/>
      <c r="K156"/>
      <c r="L156"/>
      <c r="M156" s="2"/>
      <c r="Q156"/>
      <c r="R156"/>
      <c r="S156"/>
      <c r="T156"/>
      <c r="U156"/>
    </row>
    <row r="157" spans="10:21" s="1" customFormat="1" x14ac:dyDescent="0.2">
      <c r="J157"/>
      <c r="K157"/>
      <c r="L157"/>
      <c r="M157" s="2"/>
      <c r="Q157"/>
      <c r="R157"/>
      <c r="S157"/>
      <c r="T157"/>
      <c r="U157"/>
    </row>
    <row r="158" spans="10:21" s="1" customFormat="1" x14ac:dyDescent="0.2">
      <c r="J158"/>
      <c r="K158"/>
      <c r="L158"/>
      <c r="M158" s="2"/>
      <c r="Q158"/>
      <c r="R158"/>
      <c r="S158"/>
      <c r="T158"/>
      <c r="U158"/>
    </row>
    <row r="159" spans="10:21" s="1" customFormat="1" x14ac:dyDescent="0.2">
      <c r="J159"/>
      <c r="K159"/>
      <c r="L159"/>
      <c r="M159" s="2"/>
      <c r="Q159"/>
      <c r="R159"/>
      <c r="S159"/>
      <c r="T159"/>
      <c r="U159"/>
    </row>
    <row r="160" spans="10:21" s="1" customFormat="1" x14ac:dyDescent="0.2">
      <c r="J160"/>
      <c r="K160"/>
      <c r="L160"/>
      <c r="M160" s="2"/>
      <c r="Q160"/>
      <c r="R160"/>
      <c r="S160"/>
      <c r="T160"/>
      <c r="U160"/>
    </row>
    <row r="161" spans="10:21" s="1" customFormat="1" x14ac:dyDescent="0.2">
      <c r="J161"/>
      <c r="K161"/>
      <c r="L161"/>
      <c r="M161" s="2"/>
      <c r="Q161"/>
      <c r="R161"/>
      <c r="S161"/>
      <c r="T161"/>
      <c r="U161"/>
    </row>
    <row r="162" spans="10:21" s="1" customFormat="1" x14ac:dyDescent="0.2">
      <c r="J162"/>
      <c r="K162"/>
      <c r="L162"/>
      <c r="M162" s="2"/>
      <c r="Q162"/>
      <c r="R162"/>
      <c r="S162"/>
      <c r="T162"/>
      <c r="U162"/>
    </row>
    <row r="163" spans="10:21" s="1" customFormat="1" x14ac:dyDescent="0.2">
      <c r="J163"/>
      <c r="K163"/>
      <c r="L163"/>
      <c r="M163" s="2"/>
      <c r="Q163"/>
      <c r="R163"/>
      <c r="S163"/>
      <c r="T163"/>
      <c r="U163"/>
    </row>
    <row r="164" spans="10:21" s="1" customFormat="1" x14ac:dyDescent="0.2">
      <c r="J164"/>
      <c r="K164"/>
      <c r="L164"/>
      <c r="M164" s="2"/>
      <c r="Q164"/>
      <c r="R164"/>
      <c r="S164"/>
      <c r="T164"/>
      <c r="U164"/>
    </row>
    <row r="165" spans="10:21" s="1" customFormat="1" x14ac:dyDescent="0.2">
      <c r="J165"/>
      <c r="K165"/>
      <c r="L165"/>
      <c r="M165" s="2"/>
      <c r="Q165"/>
      <c r="R165"/>
      <c r="S165"/>
      <c r="T165"/>
      <c r="U165"/>
    </row>
    <row r="166" spans="10:21" s="1" customFormat="1" x14ac:dyDescent="0.2">
      <c r="J166"/>
      <c r="K166"/>
      <c r="L166"/>
      <c r="M166" s="2"/>
      <c r="Q166"/>
      <c r="R166"/>
      <c r="S166"/>
      <c r="T166"/>
      <c r="U166"/>
    </row>
    <row r="167" spans="10:21" s="1" customFormat="1" x14ac:dyDescent="0.2">
      <c r="J167"/>
      <c r="K167"/>
      <c r="L167"/>
      <c r="M167" s="2"/>
      <c r="Q167"/>
      <c r="R167"/>
      <c r="S167"/>
      <c r="T167"/>
      <c r="U167"/>
    </row>
    <row r="168" spans="10:21" s="1" customFormat="1" x14ac:dyDescent="0.2">
      <c r="J168"/>
      <c r="K168"/>
      <c r="L168"/>
      <c r="M168" s="2"/>
      <c r="Q168"/>
      <c r="R168"/>
      <c r="S168"/>
      <c r="T168"/>
      <c r="U168"/>
    </row>
    <row r="169" spans="10:21" s="1" customFormat="1" x14ac:dyDescent="0.2">
      <c r="J169"/>
      <c r="K169"/>
      <c r="L169"/>
      <c r="M169" s="2"/>
      <c r="Q169"/>
      <c r="R169"/>
      <c r="S169"/>
      <c r="T169"/>
      <c r="U169"/>
    </row>
    <row r="170" spans="10:21" s="1" customFormat="1" x14ac:dyDescent="0.2">
      <c r="J170"/>
      <c r="K170"/>
      <c r="L170"/>
      <c r="M170" s="2"/>
      <c r="Q170"/>
      <c r="R170"/>
      <c r="S170"/>
      <c r="T170"/>
      <c r="U170"/>
    </row>
    <row r="171" spans="10:21" s="1" customFormat="1" x14ac:dyDescent="0.2">
      <c r="J171"/>
      <c r="K171"/>
      <c r="L171"/>
      <c r="M171" s="2"/>
      <c r="Q171"/>
      <c r="R171"/>
      <c r="S171"/>
      <c r="T171"/>
      <c r="U171"/>
    </row>
    <row r="172" spans="10:21" s="1" customFormat="1" x14ac:dyDescent="0.2">
      <c r="J172"/>
      <c r="K172"/>
      <c r="L172"/>
      <c r="M172" s="2"/>
      <c r="Q172"/>
      <c r="R172"/>
      <c r="S172"/>
      <c r="T172"/>
      <c r="U172"/>
    </row>
    <row r="173" spans="10:21" s="1" customFormat="1" x14ac:dyDescent="0.2">
      <c r="J173"/>
      <c r="K173"/>
      <c r="L173"/>
      <c r="M173" s="2"/>
      <c r="Q173"/>
      <c r="R173"/>
      <c r="S173"/>
      <c r="T173"/>
      <c r="U173"/>
    </row>
    <row r="174" spans="10:21" s="1" customFormat="1" x14ac:dyDescent="0.2">
      <c r="J174"/>
      <c r="K174"/>
      <c r="L174"/>
      <c r="M174" s="2"/>
      <c r="Q174"/>
      <c r="R174"/>
      <c r="S174"/>
      <c r="T174"/>
      <c r="U174"/>
    </row>
    <row r="175" spans="10:21" s="1" customFormat="1" x14ac:dyDescent="0.2">
      <c r="J175"/>
      <c r="K175"/>
      <c r="L175"/>
      <c r="M175" s="2"/>
      <c r="Q175"/>
      <c r="R175"/>
      <c r="S175"/>
      <c r="T175"/>
      <c r="U175"/>
    </row>
    <row r="176" spans="10:21" s="1" customFormat="1" x14ac:dyDescent="0.2">
      <c r="J176"/>
      <c r="K176"/>
      <c r="L176"/>
      <c r="M176" s="2"/>
      <c r="Q176"/>
      <c r="R176"/>
      <c r="S176"/>
      <c r="T176"/>
      <c r="U176"/>
    </row>
    <row r="177" spans="10:21" s="1" customFormat="1" x14ac:dyDescent="0.2">
      <c r="J177"/>
      <c r="K177"/>
      <c r="L177"/>
      <c r="M177" s="2"/>
      <c r="Q177"/>
      <c r="R177"/>
      <c r="S177"/>
      <c r="T177"/>
      <c r="U177"/>
    </row>
    <row r="178" spans="10:21" s="1" customFormat="1" x14ac:dyDescent="0.2">
      <c r="J178"/>
      <c r="K178"/>
      <c r="L178"/>
      <c r="M178" s="2"/>
      <c r="Q178"/>
      <c r="R178"/>
      <c r="S178"/>
      <c r="T178"/>
      <c r="U178"/>
    </row>
    <row r="179" spans="10:21" s="1" customFormat="1" x14ac:dyDescent="0.2">
      <c r="J179"/>
      <c r="K179"/>
      <c r="L179"/>
      <c r="M179" s="2"/>
      <c r="Q179"/>
      <c r="R179"/>
      <c r="S179"/>
      <c r="T179"/>
      <c r="U179"/>
    </row>
    <row r="180" spans="10:21" s="1" customFormat="1" x14ac:dyDescent="0.2">
      <c r="J180"/>
      <c r="K180"/>
      <c r="L180"/>
      <c r="M180" s="2"/>
      <c r="Q180"/>
      <c r="R180"/>
      <c r="S180"/>
      <c r="T180"/>
      <c r="U180"/>
    </row>
    <row r="181" spans="10:21" s="1" customFormat="1" x14ac:dyDescent="0.2">
      <c r="J181"/>
      <c r="K181"/>
      <c r="L181"/>
      <c r="M181" s="2"/>
      <c r="Q181"/>
      <c r="R181"/>
      <c r="S181"/>
      <c r="T181"/>
      <c r="U181"/>
    </row>
    <row r="182" spans="10:21" s="1" customFormat="1" x14ac:dyDescent="0.2">
      <c r="J182"/>
      <c r="K182"/>
      <c r="L182"/>
      <c r="M182" s="2"/>
      <c r="Q182"/>
      <c r="R182"/>
      <c r="S182"/>
      <c r="T182"/>
      <c r="U182"/>
    </row>
    <row r="183" spans="10:21" s="1" customFormat="1" x14ac:dyDescent="0.2">
      <c r="J183"/>
      <c r="K183"/>
      <c r="L183"/>
      <c r="M183" s="2"/>
      <c r="Q183"/>
      <c r="R183"/>
      <c r="S183"/>
      <c r="T183"/>
      <c r="U183"/>
    </row>
    <row r="184" spans="10:21" s="1" customFormat="1" x14ac:dyDescent="0.2">
      <c r="J184"/>
      <c r="K184"/>
      <c r="L184"/>
      <c r="M184" s="2"/>
      <c r="Q184"/>
      <c r="R184"/>
      <c r="S184"/>
      <c r="T184"/>
      <c r="U184"/>
    </row>
    <row r="185" spans="10:21" s="1" customFormat="1" x14ac:dyDescent="0.2">
      <c r="J185"/>
      <c r="K185"/>
      <c r="L185"/>
      <c r="M185" s="2"/>
      <c r="Q185"/>
      <c r="R185"/>
      <c r="S185"/>
      <c r="T185"/>
      <c r="U185"/>
    </row>
    <row r="186" spans="10:21" s="1" customFormat="1" x14ac:dyDescent="0.2">
      <c r="J186"/>
      <c r="K186"/>
      <c r="L186"/>
      <c r="M186" s="2"/>
      <c r="Q186"/>
      <c r="R186"/>
      <c r="S186"/>
      <c r="T186"/>
      <c r="U186"/>
    </row>
    <row r="187" spans="10:21" s="1" customFormat="1" x14ac:dyDescent="0.2">
      <c r="J187"/>
      <c r="K187"/>
      <c r="L187"/>
      <c r="M187" s="2"/>
      <c r="Q187"/>
      <c r="R187"/>
      <c r="S187"/>
      <c r="T187"/>
      <c r="U187"/>
    </row>
    <row r="188" spans="10:21" s="1" customFormat="1" x14ac:dyDescent="0.2">
      <c r="J188"/>
      <c r="K188"/>
      <c r="L188"/>
      <c r="M188" s="2"/>
      <c r="Q188"/>
      <c r="R188"/>
      <c r="S188"/>
      <c r="T188"/>
      <c r="U188"/>
    </row>
    <row r="189" spans="10:21" s="1" customFormat="1" x14ac:dyDescent="0.2">
      <c r="J189"/>
      <c r="K189"/>
      <c r="L189"/>
      <c r="M189" s="2"/>
      <c r="Q189"/>
      <c r="R189"/>
      <c r="S189"/>
      <c r="T189"/>
      <c r="U189"/>
    </row>
    <row r="190" spans="10:21" s="1" customFormat="1" x14ac:dyDescent="0.2">
      <c r="J190"/>
      <c r="K190"/>
      <c r="L190"/>
      <c r="M190" s="2"/>
      <c r="Q190"/>
      <c r="R190"/>
      <c r="S190"/>
      <c r="T190"/>
      <c r="U190"/>
    </row>
    <row r="191" spans="10:21" s="1" customFormat="1" x14ac:dyDescent="0.2">
      <c r="J191"/>
      <c r="K191"/>
      <c r="L191"/>
      <c r="M191" s="2"/>
      <c r="Q191"/>
      <c r="R191"/>
      <c r="S191"/>
      <c r="T191"/>
      <c r="U191"/>
    </row>
    <row r="192" spans="10:21" s="1" customFormat="1" x14ac:dyDescent="0.2">
      <c r="J192"/>
      <c r="K192"/>
      <c r="L192"/>
      <c r="M192" s="2"/>
      <c r="Q192"/>
      <c r="R192"/>
      <c r="S192"/>
      <c r="T192"/>
      <c r="U192"/>
    </row>
    <row r="193" spans="10:21" s="1" customFormat="1" x14ac:dyDescent="0.2">
      <c r="J193"/>
      <c r="K193"/>
      <c r="L193"/>
      <c r="M193" s="2"/>
      <c r="Q193"/>
      <c r="R193"/>
      <c r="S193"/>
      <c r="T193"/>
      <c r="U193"/>
    </row>
    <row r="194" spans="10:21" s="1" customFormat="1" x14ac:dyDescent="0.2">
      <c r="J194"/>
      <c r="K194"/>
      <c r="L194"/>
      <c r="M194" s="2"/>
      <c r="Q194"/>
      <c r="R194"/>
      <c r="S194"/>
      <c r="T194"/>
      <c r="U194"/>
    </row>
    <row r="195" spans="10:21" s="1" customFormat="1" x14ac:dyDescent="0.2">
      <c r="J195"/>
      <c r="K195"/>
      <c r="L195"/>
      <c r="M195" s="2"/>
      <c r="Q195"/>
      <c r="R195"/>
      <c r="S195"/>
      <c r="T195"/>
      <c r="U195"/>
    </row>
    <row r="196" spans="10:21" s="1" customFormat="1" x14ac:dyDescent="0.2">
      <c r="J196"/>
      <c r="K196"/>
      <c r="L196"/>
      <c r="M196" s="2"/>
      <c r="Q196"/>
      <c r="R196"/>
      <c r="S196"/>
      <c r="T196"/>
      <c r="U196"/>
    </row>
    <row r="197" spans="10:21" s="1" customFormat="1" x14ac:dyDescent="0.2">
      <c r="J197"/>
      <c r="K197"/>
      <c r="L197"/>
      <c r="M197" s="2"/>
      <c r="Q197"/>
      <c r="R197"/>
      <c r="S197"/>
      <c r="T197"/>
      <c r="U197"/>
    </row>
    <row r="198" spans="10:21" s="1" customFormat="1" x14ac:dyDescent="0.2">
      <c r="J198"/>
      <c r="K198"/>
      <c r="L198"/>
      <c r="M198" s="2"/>
      <c r="Q198"/>
      <c r="R198"/>
      <c r="S198"/>
      <c r="T198"/>
      <c r="U198"/>
    </row>
    <row r="199" spans="10:21" s="1" customFormat="1" x14ac:dyDescent="0.2">
      <c r="J199"/>
      <c r="K199"/>
      <c r="L199"/>
      <c r="M199" s="2"/>
      <c r="Q199"/>
      <c r="R199"/>
      <c r="S199"/>
      <c r="T199"/>
      <c r="U199"/>
    </row>
    <row r="200" spans="10:21" s="1" customFormat="1" x14ac:dyDescent="0.2">
      <c r="J200"/>
      <c r="K200"/>
      <c r="L200"/>
      <c r="M200" s="2"/>
      <c r="Q200"/>
      <c r="R200"/>
      <c r="S200"/>
      <c r="T200"/>
      <c r="U200"/>
    </row>
    <row r="201" spans="10:21" s="1" customFormat="1" x14ac:dyDescent="0.2">
      <c r="J201"/>
      <c r="K201"/>
      <c r="L201"/>
      <c r="M201" s="2"/>
      <c r="Q201"/>
      <c r="R201"/>
      <c r="S201"/>
      <c r="T201"/>
      <c r="U201"/>
    </row>
    <row r="202" spans="10:21" s="1" customFormat="1" x14ac:dyDescent="0.2">
      <c r="J202"/>
      <c r="K202"/>
      <c r="L202"/>
      <c r="M202" s="2"/>
      <c r="Q202"/>
      <c r="R202"/>
      <c r="S202"/>
      <c r="T202"/>
      <c r="U202"/>
    </row>
    <row r="203" spans="10:21" s="1" customFormat="1" x14ac:dyDescent="0.2">
      <c r="J203"/>
      <c r="K203"/>
      <c r="L203"/>
      <c r="M203" s="2"/>
      <c r="Q203"/>
      <c r="R203"/>
      <c r="S203"/>
      <c r="T203"/>
      <c r="U203"/>
    </row>
    <row r="204" spans="10:21" s="1" customFormat="1" x14ac:dyDescent="0.2">
      <c r="J204"/>
      <c r="K204"/>
      <c r="L204"/>
      <c r="M204" s="2"/>
      <c r="Q204"/>
      <c r="R204"/>
      <c r="S204"/>
      <c r="T204"/>
      <c r="U204"/>
    </row>
    <row r="205" spans="10:21" s="1" customFormat="1" x14ac:dyDescent="0.2">
      <c r="J205"/>
      <c r="K205"/>
      <c r="L205"/>
      <c r="M205" s="2"/>
      <c r="Q205"/>
      <c r="R205"/>
      <c r="S205"/>
      <c r="T205"/>
      <c r="U205"/>
    </row>
    <row r="206" spans="10:21" s="1" customFormat="1" x14ac:dyDescent="0.2">
      <c r="J206"/>
      <c r="K206"/>
      <c r="L206"/>
      <c r="M206" s="2"/>
      <c r="Q206"/>
      <c r="R206"/>
      <c r="S206"/>
      <c r="T206"/>
      <c r="U206"/>
    </row>
    <row r="207" spans="10:21" s="1" customFormat="1" x14ac:dyDescent="0.2">
      <c r="J207"/>
      <c r="K207"/>
      <c r="L207"/>
      <c r="M207" s="2"/>
      <c r="Q207"/>
      <c r="R207"/>
      <c r="S207"/>
      <c r="T207"/>
      <c r="U207"/>
    </row>
    <row r="208" spans="10:21" s="1" customFormat="1" x14ac:dyDescent="0.2">
      <c r="J208"/>
      <c r="K208"/>
      <c r="L208"/>
      <c r="M208" s="2"/>
      <c r="Q208"/>
      <c r="R208"/>
      <c r="S208"/>
      <c r="T208"/>
      <c r="U208"/>
    </row>
    <row r="209" spans="10:21" s="1" customFormat="1" x14ac:dyDescent="0.2">
      <c r="J209"/>
      <c r="K209"/>
      <c r="L209"/>
      <c r="M209" s="2"/>
      <c r="Q209"/>
      <c r="R209"/>
      <c r="S209"/>
      <c r="T209"/>
      <c r="U209"/>
    </row>
    <row r="210" spans="10:21" s="1" customFormat="1" x14ac:dyDescent="0.2">
      <c r="J210"/>
      <c r="K210"/>
      <c r="L210"/>
      <c r="M210" s="2"/>
      <c r="Q210"/>
      <c r="R210"/>
      <c r="S210"/>
      <c r="T210"/>
      <c r="U210"/>
    </row>
    <row r="211" spans="10:21" s="1" customFormat="1" x14ac:dyDescent="0.2">
      <c r="J211"/>
      <c r="K211"/>
      <c r="L211"/>
      <c r="M211" s="2"/>
      <c r="Q211"/>
      <c r="R211"/>
      <c r="S211"/>
      <c r="T211"/>
      <c r="U211"/>
    </row>
    <row r="212" spans="10:21" s="1" customFormat="1" x14ac:dyDescent="0.2">
      <c r="J212"/>
      <c r="K212"/>
      <c r="L212"/>
      <c r="M212" s="2"/>
      <c r="Q212"/>
      <c r="R212"/>
      <c r="S212"/>
      <c r="T212"/>
      <c r="U212"/>
    </row>
    <row r="213" spans="10:21" s="1" customFormat="1" x14ac:dyDescent="0.2">
      <c r="J213"/>
      <c r="K213"/>
      <c r="L213"/>
      <c r="M213" s="2"/>
      <c r="Q213"/>
      <c r="R213"/>
      <c r="S213"/>
      <c r="T213"/>
      <c r="U213"/>
    </row>
    <row r="214" spans="10:21" s="1" customFormat="1" x14ac:dyDescent="0.2">
      <c r="J214"/>
      <c r="K214"/>
      <c r="L214"/>
      <c r="M214" s="2"/>
      <c r="Q214"/>
      <c r="R214"/>
      <c r="S214"/>
      <c r="T214"/>
      <c r="U214"/>
    </row>
    <row r="215" spans="10:21" s="1" customFormat="1" x14ac:dyDescent="0.2">
      <c r="J215"/>
      <c r="K215"/>
      <c r="L215"/>
      <c r="M215" s="2"/>
      <c r="Q215"/>
      <c r="R215"/>
      <c r="S215"/>
      <c r="T215"/>
      <c r="U215"/>
    </row>
    <row r="216" spans="10:21" s="1" customFormat="1" x14ac:dyDescent="0.2">
      <c r="J216"/>
      <c r="K216"/>
      <c r="L216"/>
      <c r="M216" s="2"/>
      <c r="Q216"/>
      <c r="R216"/>
      <c r="S216"/>
      <c r="T216"/>
      <c r="U216"/>
    </row>
    <row r="217" spans="10:21" s="1" customFormat="1" x14ac:dyDescent="0.2">
      <c r="J217"/>
      <c r="K217"/>
      <c r="L217"/>
      <c r="M217" s="2"/>
      <c r="Q217"/>
      <c r="R217"/>
      <c r="S217"/>
      <c r="T217"/>
      <c r="U217"/>
    </row>
    <row r="218" spans="10:21" s="1" customFormat="1" x14ac:dyDescent="0.2">
      <c r="J218"/>
      <c r="K218"/>
      <c r="L218"/>
      <c r="M218" s="2"/>
      <c r="Q218"/>
      <c r="R218"/>
      <c r="S218"/>
      <c r="T218"/>
      <c r="U218"/>
    </row>
    <row r="219" spans="10:21" s="1" customFormat="1" x14ac:dyDescent="0.2">
      <c r="J219"/>
      <c r="K219"/>
      <c r="L219"/>
      <c r="M219" s="2"/>
      <c r="Q219"/>
      <c r="R219"/>
      <c r="S219"/>
      <c r="T219"/>
      <c r="U219"/>
    </row>
    <row r="220" spans="10:21" s="1" customFormat="1" x14ac:dyDescent="0.2">
      <c r="J220"/>
      <c r="K220"/>
      <c r="L220"/>
      <c r="M220" s="2"/>
      <c r="Q220"/>
      <c r="R220"/>
      <c r="S220"/>
      <c r="T220"/>
      <c r="U220"/>
    </row>
    <row r="221" spans="10:21" s="1" customFormat="1" x14ac:dyDescent="0.2">
      <c r="J221"/>
      <c r="K221"/>
      <c r="L221"/>
      <c r="M221" s="2"/>
      <c r="Q221"/>
      <c r="R221"/>
      <c r="S221"/>
      <c r="T221"/>
      <c r="U221"/>
    </row>
    <row r="222" spans="10:21" s="1" customFormat="1" x14ac:dyDescent="0.2">
      <c r="J222"/>
      <c r="K222"/>
      <c r="L222"/>
      <c r="M222" s="2"/>
      <c r="Q222"/>
      <c r="R222"/>
      <c r="S222"/>
      <c r="T222"/>
      <c r="U222"/>
    </row>
    <row r="223" spans="10:21" s="1" customFormat="1" x14ac:dyDescent="0.2">
      <c r="J223"/>
      <c r="K223"/>
      <c r="L223"/>
      <c r="M223" s="2"/>
      <c r="Q223"/>
      <c r="R223"/>
      <c r="S223"/>
      <c r="T223"/>
      <c r="U223"/>
    </row>
    <row r="224" spans="10:21" s="1" customFormat="1" x14ac:dyDescent="0.2">
      <c r="J224"/>
      <c r="K224"/>
      <c r="L224"/>
      <c r="M224" s="2"/>
      <c r="Q224"/>
      <c r="R224"/>
      <c r="S224"/>
      <c r="T224"/>
      <c r="U224"/>
    </row>
    <row r="225" spans="10:21" s="1" customFormat="1" x14ac:dyDescent="0.2">
      <c r="J225"/>
      <c r="K225"/>
      <c r="L225"/>
      <c r="M225" s="2"/>
      <c r="Q225"/>
      <c r="R225"/>
      <c r="S225"/>
      <c r="T225"/>
      <c r="U225"/>
    </row>
    <row r="226" spans="10:21" s="1" customFormat="1" x14ac:dyDescent="0.2">
      <c r="J226"/>
      <c r="K226"/>
      <c r="L226"/>
      <c r="M226" s="2"/>
      <c r="Q226"/>
      <c r="R226"/>
      <c r="S226"/>
      <c r="T226"/>
      <c r="U226"/>
    </row>
    <row r="227" spans="10:21" s="1" customFormat="1" x14ac:dyDescent="0.2">
      <c r="J227"/>
      <c r="K227"/>
      <c r="L227"/>
      <c r="M227" s="2"/>
      <c r="Q227"/>
      <c r="R227"/>
      <c r="S227"/>
      <c r="T227"/>
      <c r="U227"/>
    </row>
    <row r="228" spans="10:21" s="1" customFormat="1" x14ac:dyDescent="0.2">
      <c r="J228"/>
      <c r="K228"/>
      <c r="L228"/>
      <c r="M228" s="2"/>
      <c r="Q228"/>
      <c r="R228"/>
      <c r="S228"/>
      <c r="T228"/>
      <c r="U228"/>
    </row>
    <row r="229" spans="10:21" s="1" customFormat="1" x14ac:dyDescent="0.2">
      <c r="J229"/>
      <c r="K229"/>
      <c r="L229"/>
      <c r="M229" s="2"/>
      <c r="Q229"/>
      <c r="R229"/>
      <c r="S229"/>
      <c r="T229"/>
      <c r="U229"/>
    </row>
    <row r="230" spans="10:21" s="1" customFormat="1" x14ac:dyDescent="0.2">
      <c r="J230"/>
      <c r="K230"/>
      <c r="L230"/>
      <c r="M230" s="2"/>
      <c r="Q230"/>
      <c r="R230"/>
      <c r="S230"/>
      <c r="T230"/>
      <c r="U230"/>
    </row>
    <row r="231" spans="10:21" s="1" customFormat="1" x14ac:dyDescent="0.2">
      <c r="J231"/>
      <c r="K231"/>
      <c r="L231"/>
      <c r="M231" s="2"/>
      <c r="Q231"/>
      <c r="R231"/>
      <c r="S231"/>
      <c r="T231"/>
      <c r="U231"/>
    </row>
    <row r="232" spans="10:21" s="1" customFormat="1" x14ac:dyDescent="0.2">
      <c r="J232"/>
      <c r="K232"/>
      <c r="L232"/>
      <c r="M232" s="2"/>
      <c r="Q232"/>
      <c r="R232"/>
      <c r="S232"/>
      <c r="T232"/>
      <c r="U232"/>
    </row>
    <row r="233" spans="10:21" s="1" customFormat="1" x14ac:dyDescent="0.2">
      <c r="J233"/>
      <c r="K233"/>
      <c r="L233"/>
      <c r="M233" s="2"/>
      <c r="Q233"/>
      <c r="R233"/>
      <c r="S233"/>
      <c r="T233"/>
      <c r="U233"/>
    </row>
    <row r="234" spans="10:21" s="1" customFormat="1" x14ac:dyDescent="0.2">
      <c r="J234"/>
      <c r="K234"/>
      <c r="L234"/>
      <c r="M234" s="2"/>
      <c r="Q234"/>
      <c r="R234"/>
      <c r="S234"/>
      <c r="T234"/>
      <c r="U234"/>
    </row>
    <row r="235" spans="10:21" s="1" customFormat="1" x14ac:dyDescent="0.2">
      <c r="J235"/>
      <c r="K235"/>
      <c r="L235"/>
      <c r="M235" s="2"/>
      <c r="Q235"/>
      <c r="R235"/>
      <c r="S235"/>
      <c r="T235"/>
      <c r="U235"/>
    </row>
    <row r="236" spans="10:21" s="1" customFormat="1" x14ac:dyDescent="0.2">
      <c r="J236"/>
      <c r="K236"/>
      <c r="L236"/>
      <c r="M236" s="2"/>
      <c r="Q236"/>
      <c r="R236"/>
      <c r="S236"/>
      <c r="T236"/>
      <c r="U236"/>
    </row>
    <row r="237" spans="10:21" s="1" customFormat="1" x14ac:dyDescent="0.2">
      <c r="J237"/>
      <c r="K237"/>
      <c r="L237"/>
      <c r="M237" s="2"/>
      <c r="Q237"/>
      <c r="R237"/>
      <c r="S237"/>
      <c r="T237"/>
      <c r="U237"/>
    </row>
    <row r="238" spans="10:21" s="1" customFormat="1" x14ac:dyDescent="0.2">
      <c r="J238"/>
      <c r="K238"/>
      <c r="L238"/>
      <c r="M238" s="2"/>
      <c r="Q238"/>
      <c r="R238"/>
      <c r="S238"/>
      <c r="T238"/>
      <c r="U238"/>
    </row>
    <row r="239" spans="10:21" s="1" customFormat="1" x14ac:dyDescent="0.2">
      <c r="J239"/>
      <c r="K239"/>
      <c r="L239"/>
      <c r="M239" s="2"/>
      <c r="Q239"/>
      <c r="R239"/>
      <c r="S239"/>
      <c r="T239"/>
      <c r="U239"/>
    </row>
    <row r="240" spans="10:21" s="1" customFormat="1" x14ac:dyDescent="0.2">
      <c r="J240"/>
      <c r="K240"/>
      <c r="L240"/>
      <c r="M240" s="2"/>
      <c r="Q240"/>
      <c r="R240"/>
      <c r="S240"/>
      <c r="T240"/>
      <c r="U240"/>
    </row>
    <row r="241" spans="10:21" s="1" customFormat="1" x14ac:dyDescent="0.2">
      <c r="J241"/>
      <c r="K241"/>
      <c r="L241"/>
      <c r="M241" s="2"/>
      <c r="Q241"/>
      <c r="R241"/>
      <c r="S241"/>
      <c r="T241"/>
      <c r="U241"/>
    </row>
    <row r="242" spans="10:21" s="1" customFormat="1" x14ac:dyDescent="0.2">
      <c r="J242"/>
      <c r="K242"/>
      <c r="L242"/>
      <c r="M242" s="2"/>
      <c r="Q242"/>
      <c r="R242"/>
      <c r="S242"/>
      <c r="T242"/>
      <c r="U242"/>
    </row>
    <row r="243" spans="10:21" s="1" customFormat="1" x14ac:dyDescent="0.2">
      <c r="J243"/>
      <c r="K243"/>
      <c r="L243"/>
      <c r="M243" s="2"/>
      <c r="Q243"/>
      <c r="R243"/>
      <c r="S243"/>
      <c r="T243"/>
      <c r="U243"/>
    </row>
    <row r="244" spans="10:21" s="1" customFormat="1" x14ac:dyDescent="0.2">
      <c r="J244"/>
      <c r="K244"/>
      <c r="L244"/>
      <c r="M244" s="2"/>
      <c r="Q244"/>
      <c r="R244"/>
      <c r="S244"/>
      <c r="T244"/>
      <c r="U244"/>
    </row>
    <row r="245" spans="10:21" s="1" customFormat="1" x14ac:dyDescent="0.2">
      <c r="J245"/>
      <c r="K245"/>
      <c r="L245"/>
      <c r="M245" s="2"/>
      <c r="Q245"/>
      <c r="R245"/>
      <c r="S245"/>
      <c r="T245"/>
      <c r="U245"/>
    </row>
    <row r="246" spans="10:21" s="1" customFormat="1" x14ac:dyDescent="0.2">
      <c r="J246"/>
      <c r="K246"/>
      <c r="L246"/>
      <c r="M246" s="2"/>
      <c r="Q246"/>
      <c r="R246"/>
      <c r="S246"/>
      <c r="T246"/>
      <c r="U246"/>
    </row>
    <row r="247" spans="10:21" s="1" customFormat="1" x14ac:dyDescent="0.2">
      <c r="J247"/>
      <c r="K247"/>
      <c r="L247"/>
      <c r="M247" s="2"/>
      <c r="Q247"/>
      <c r="R247"/>
      <c r="S247"/>
      <c r="T247"/>
      <c r="U247"/>
    </row>
    <row r="248" spans="10:21" s="1" customFormat="1" x14ac:dyDescent="0.2">
      <c r="J248"/>
      <c r="K248"/>
      <c r="L248"/>
      <c r="M248" s="2"/>
      <c r="Q248"/>
      <c r="R248"/>
      <c r="S248"/>
      <c r="T248"/>
      <c r="U248"/>
    </row>
    <row r="249" spans="10:21" s="1" customFormat="1" x14ac:dyDescent="0.2">
      <c r="J249"/>
      <c r="K249"/>
      <c r="L249"/>
      <c r="M249" s="2"/>
      <c r="Q249"/>
      <c r="R249"/>
      <c r="S249"/>
      <c r="T249"/>
      <c r="U249"/>
    </row>
    <row r="250" spans="10:21" s="1" customFormat="1" x14ac:dyDescent="0.2">
      <c r="J250"/>
      <c r="K250"/>
      <c r="L250"/>
      <c r="M250" s="2"/>
      <c r="Q250"/>
      <c r="R250"/>
      <c r="S250"/>
      <c r="T250"/>
      <c r="U250"/>
    </row>
    <row r="251" spans="10:21" s="1" customFormat="1" x14ac:dyDescent="0.2">
      <c r="J251"/>
      <c r="K251"/>
      <c r="L251"/>
      <c r="M251" s="2"/>
      <c r="Q251"/>
      <c r="R251"/>
      <c r="S251"/>
      <c r="T251"/>
      <c r="U251"/>
    </row>
    <row r="252" spans="10:21" s="1" customFormat="1" x14ac:dyDescent="0.2">
      <c r="J252"/>
      <c r="K252"/>
      <c r="L252"/>
      <c r="M252" s="2"/>
      <c r="Q252"/>
      <c r="R252"/>
      <c r="S252"/>
      <c r="T252"/>
      <c r="U252"/>
    </row>
    <row r="253" spans="10:21" s="1" customFormat="1" x14ac:dyDescent="0.2">
      <c r="J253"/>
      <c r="K253"/>
      <c r="L253"/>
      <c r="M253" s="2"/>
      <c r="Q253"/>
      <c r="R253"/>
      <c r="S253"/>
      <c r="T253"/>
      <c r="U253"/>
    </row>
    <row r="254" spans="10:21" s="1" customFormat="1" x14ac:dyDescent="0.2">
      <c r="J254"/>
      <c r="K254"/>
      <c r="L254"/>
      <c r="M254" s="2"/>
      <c r="Q254"/>
      <c r="R254"/>
      <c r="S254"/>
      <c r="T254"/>
      <c r="U254"/>
    </row>
    <row r="255" spans="10:21" s="1" customFormat="1" x14ac:dyDescent="0.2">
      <c r="J255"/>
      <c r="K255"/>
      <c r="L255"/>
      <c r="M255" s="2"/>
      <c r="Q255"/>
      <c r="R255"/>
      <c r="S255"/>
      <c r="T255"/>
      <c r="U255"/>
    </row>
    <row r="256" spans="10:21" s="1" customFormat="1" x14ac:dyDescent="0.2">
      <c r="J256"/>
      <c r="K256"/>
      <c r="L256"/>
      <c r="M256" s="2"/>
      <c r="Q256"/>
      <c r="R256"/>
      <c r="S256"/>
      <c r="T256"/>
      <c r="U256"/>
    </row>
    <row r="257" spans="10:21" s="1" customFormat="1" x14ac:dyDescent="0.2">
      <c r="J257"/>
      <c r="K257"/>
      <c r="L257"/>
      <c r="M257" s="2"/>
      <c r="Q257"/>
      <c r="R257"/>
      <c r="S257"/>
      <c r="T257"/>
      <c r="U257"/>
    </row>
    <row r="258" spans="10:21" s="1" customFormat="1" x14ac:dyDescent="0.2">
      <c r="J258"/>
      <c r="K258"/>
      <c r="L258"/>
      <c r="M258" s="2"/>
      <c r="Q258"/>
      <c r="R258"/>
      <c r="S258"/>
      <c r="T258"/>
      <c r="U258"/>
    </row>
    <row r="259" spans="10:21" s="1" customFormat="1" x14ac:dyDescent="0.2">
      <c r="J259"/>
      <c r="K259"/>
      <c r="L259"/>
      <c r="M259" s="2"/>
      <c r="Q259"/>
      <c r="R259"/>
      <c r="S259"/>
      <c r="T259"/>
      <c r="U259"/>
    </row>
    <row r="260" spans="10:21" s="1" customFormat="1" x14ac:dyDescent="0.2">
      <c r="J260"/>
      <c r="K260"/>
      <c r="L260"/>
      <c r="M260" s="2"/>
      <c r="Q260"/>
      <c r="R260"/>
      <c r="S260"/>
      <c r="T260"/>
      <c r="U260"/>
    </row>
    <row r="261" spans="10:21" s="1" customFormat="1" x14ac:dyDescent="0.2">
      <c r="J261"/>
      <c r="K261"/>
      <c r="L261"/>
      <c r="M261" s="2"/>
      <c r="Q261"/>
      <c r="R261"/>
      <c r="S261"/>
      <c r="T261"/>
      <c r="U261"/>
    </row>
    <row r="262" spans="10:21" s="1" customFormat="1" x14ac:dyDescent="0.2">
      <c r="J262"/>
      <c r="K262"/>
      <c r="L262"/>
      <c r="M262" s="2"/>
      <c r="Q262"/>
      <c r="R262"/>
      <c r="S262"/>
      <c r="T262"/>
      <c r="U262"/>
    </row>
    <row r="263" spans="10:21" s="1" customFormat="1" x14ac:dyDescent="0.2">
      <c r="J263"/>
      <c r="K263"/>
      <c r="L263"/>
      <c r="M263" s="2"/>
      <c r="Q263"/>
      <c r="R263"/>
      <c r="S263"/>
      <c r="T263"/>
      <c r="U263"/>
    </row>
    <row r="264" spans="10:21" s="1" customFormat="1" x14ac:dyDescent="0.2">
      <c r="J264"/>
      <c r="K264"/>
      <c r="L264"/>
      <c r="M264" s="2"/>
      <c r="Q264"/>
      <c r="R264"/>
      <c r="S264"/>
      <c r="T264"/>
      <c r="U264"/>
    </row>
    <row r="265" spans="10:21" s="1" customFormat="1" x14ac:dyDescent="0.2">
      <c r="J265"/>
      <c r="K265"/>
      <c r="L265"/>
      <c r="M265" s="2"/>
      <c r="Q265"/>
      <c r="R265"/>
      <c r="S265"/>
      <c r="T265"/>
      <c r="U265"/>
    </row>
    <row r="266" spans="10:21" s="1" customFormat="1" x14ac:dyDescent="0.2">
      <c r="J266"/>
      <c r="K266"/>
      <c r="L266"/>
      <c r="M266" s="2"/>
      <c r="Q266"/>
      <c r="R266"/>
      <c r="S266"/>
      <c r="T266"/>
      <c r="U266"/>
    </row>
    <row r="267" spans="10:21" s="1" customFormat="1" x14ac:dyDescent="0.2">
      <c r="J267"/>
      <c r="K267"/>
      <c r="L267"/>
      <c r="M267" s="2"/>
      <c r="Q267"/>
      <c r="R267"/>
      <c r="S267"/>
      <c r="T267"/>
      <c r="U267"/>
    </row>
    <row r="268" spans="10:21" s="1" customFormat="1" x14ac:dyDescent="0.2">
      <c r="J268"/>
      <c r="K268"/>
      <c r="L268"/>
      <c r="M268" s="2"/>
      <c r="Q268"/>
      <c r="R268"/>
      <c r="S268"/>
      <c r="T268"/>
      <c r="U268"/>
    </row>
    <row r="269" spans="10:21" s="1" customFormat="1" x14ac:dyDescent="0.2">
      <c r="J269"/>
      <c r="K269"/>
      <c r="L269"/>
      <c r="M269" s="2"/>
      <c r="Q269"/>
      <c r="R269"/>
      <c r="S269"/>
      <c r="T269"/>
      <c r="U269"/>
    </row>
    <row r="270" spans="10:21" s="1" customFormat="1" x14ac:dyDescent="0.2">
      <c r="J270"/>
      <c r="K270"/>
      <c r="L270"/>
      <c r="M270" s="2"/>
      <c r="Q270"/>
      <c r="R270"/>
      <c r="S270"/>
      <c r="T270"/>
      <c r="U270"/>
    </row>
    <row r="271" spans="10:21" s="1" customFormat="1" x14ac:dyDescent="0.2">
      <c r="J271"/>
      <c r="K271"/>
      <c r="L271"/>
      <c r="M271" s="2"/>
      <c r="Q271"/>
      <c r="R271"/>
      <c r="S271"/>
      <c r="T271"/>
      <c r="U271"/>
    </row>
    <row r="272" spans="10:21" s="1" customFormat="1" x14ac:dyDescent="0.2">
      <c r="J272"/>
      <c r="K272"/>
      <c r="L272"/>
      <c r="M272" s="2"/>
      <c r="Q272"/>
      <c r="R272"/>
      <c r="S272"/>
      <c r="T272"/>
      <c r="U272"/>
    </row>
    <row r="273" spans="10:21" s="1" customFormat="1" x14ac:dyDescent="0.2">
      <c r="J273"/>
      <c r="K273"/>
      <c r="L273"/>
      <c r="M273" s="2"/>
      <c r="Q273"/>
      <c r="R273"/>
      <c r="S273"/>
      <c r="T273"/>
      <c r="U273"/>
    </row>
    <row r="274" spans="10:21" s="1" customFormat="1" x14ac:dyDescent="0.2">
      <c r="J274"/>
      <c r="K274"/>
      <c r="L274"/>
      <c r="M274" s="2"/>
      <c r="Q274"/>
      <c r="R274"/>
      <c r="S274"/>
      <c r="T274"/>
      <c r="U274"/>
    </row>
    <row r="275" spans="10:21" s="1" customFormat="1" x14ac:dyDescent="0.2">
      <c r="J275"/>
      <c r="K275"/>
      <c r="L275"/>
      <c r="M275" s="2"/>
      <c r="Q275"/>
      <c r="R275"/>
      <c r="S275"/>
      <c r="T275"/>
      <c r="U275"/>
    </row>
    <row r="276" spans="10:21" s="1" customFormat="1" x14ac:dyDescent="0.2">
      <c r="J276"/>
      <c r="K276"/>
      <c r="L276"/>
      <c r="M276" s="2"/>
      <c r="Q276"/>
      <c r="R276"/>
      <c r="S276"/>
      <c r="T276"/>
      <c r="U276"/>
    </row>
    <row r="277" spans="10:21" s="1" customFormat="1" x14ac:dyDescent="0.2">
      <c r="J277"/>
      <c r="K277"/>
      <c r="L277"/>
      <c r="M277" s="2"/>
      <c r="Q277"/>
      <c r="R277"/>
      <c r="S277"/>
      <c r="T277"/>
      <c r="U277"/>
    </row>
    <row r="278" spans="10:21" s="1" customFormat="1" x14ac:dyDescent="0.2">
      <c r="J278"/>
      <c r="K278"/>
      <c r="L278"/>
      <c r="M278" s="2"/>
      <c r="Q278"/>
      <c r="R278"/>
      <c r="S278"/>
      <c r="T278"/>
      <c r="U278"/>
    </row>
    <row r="279" spans="10:21" s="1" customFormat="1" x14ac:dyDescent="0.2">
      <c r="J279"/>
      <c r="K279"/>
      <c r="L279"/>
      <c r="M279" s="2"/>
      <c r="Q279"/>
      <c r="R279"/>
      <c r="S279"/>
      <c r="T279"/>
      <c r="U279"/>
    </row>
    <row r="280" spans="10:21" s="1" customFormat="1" x14ac:dyDescent="0.2">
      <c r="J280"/>
      <c r="K280"/>
      <c r="L280"/>
      <c r="M280" s="2"/>
      <c r="Q280"/>
      <c r="R280"/>
      <c r="S280"/>
      <c r="T280"/>
      <c r="U280"/>
    </row>
    <row r="281" spans="10:21" s="1" customFormat="1" x14ac:dyDescent="0.2">
      <c r="J281"/>
      <c r="K281"/>
      <c r="L281"/>
      <c r="M281" s="2"/>
      <c r="Q281"/>
      <c r="R281"/>
      <c r="S281"/>
      <c r="T281"/>
      <c r="U281"/>
    </row>
    <row r="282" spans="10:21" s="1" customFormat="1" x14ac:dyDescent="0.2">
      <c r="J282"/>
      <c r="K282"/>
      <c r="L282"/>
      <c r="M282" s="2"/>
      <c r="Q282"/>
      <c r="R282"/>
      <c r="S282"/>
      <c r="T282"/>
      <c r="U282"/>
    </row>
    <row r="283" spans="10:21" s="1" customFormat="1" x14ac:dyDescent="0.2">
      <c r="J283"/>
      <c r="K283"/>
      <c r="L283"/>
      <c r="M283" s="2"/>
      <c r="Q283"/>
      <c r="R283"/>
      <c r="S283"/>
      <c r="T283"/>
      <c r="U283"/>
    </row>
    <row r="284" spans="10:21" s="1" customFormat="1" x14ac:dyDescent="0.2">
      <c r="J284"/>
      <c r="K284"/>
      <c r="L284"/>
      <c r="M284" s="2"/>
      <c r="Q284"/>
      <c r="R284"/>
      <c r="S284"/>
      <c r="T284"/>
      <c r="U284"/>
    </row>
    <row r="285" spans="10:21" s="1" customFormat="1" x14ac:dyDescent="0.2">
      <c r="J285"/>
      <c r="K285"/>
      <c r="L285"/>
      <c r="M285" s="2"/>
      <c r="Q285"/>
      <c r="R285"/>
      <c r="S285"/>
      <c r="T285"/>
      <c r="U285"/>
    </row>
    <row r="286" spans="10:21" s="1" customFormat="1" x14ac:dyDescent="0.2">
      <c r="J286"/>
      <c r="K286"/>
      <c r="L286"/>
      <c r="M286" s="2"/>
      <c r="Q286"/>
      <c r="R286"/>
      <c r="S286"/>
      <c r="T286"/>
      <c r="U286"/>
    </row>
    <row r="287" spans="10:21" s="1" customFormat="1" x14ac:dyDescent="0.2">
      <c r="J287"/>
      <c r="K287"/>
      <c r="L287"/>
      <c r="M287" s="2"/>
      <c r="Q287"/>
      <c r="R287"/>
      <c r="S287"/>
      <c r="T287"/>
      <c r="U287"/>
    </row>
    <row r="288" spans="10:21" s="1" customFormat="1" x14ac:dyDescent="0.2">
      <c r="J288"/>
      <c r="K288"/>
      <c r="L288"/>
      <c r="M288" s="2"/>
      <c r="Q288"/>
      <c r="R288"/>
      <c r="S288"/>
      <c r="T288"/>
      <c r="U288"/>
    </row>
    <row r="289" spans="10:21" s="1" customFormat="1" x14ac:dyDescent="0.2">
      <c r="J289"/>
      <c r="K289"/>
      <c r="L289"/>
      <c r="M289" s="2"/>
      <c r="Q289"/>
      <c r="R289"/>
      <c r="S289"/>
      <c r="T289"/>
      <c r="U289"/>
    </row>
    <row r="290" spans="10:21" s="1" customFormat="1" x14ac:dyDescent="0.2">
      <c r="J290"/>
      <c r="K290"/>
      <c r="L290"/>
      <c r="M290" s="2"/>
      <c r="Q290"/>
      <c r="R290"/>
      <c r="S290"/>
      <c r="T290"/>
      <c r="U290"/>
    </row>
    <row r="291" spans="10:21" s="1" customFormat="1" x14ac:dyDescent="0.2">
      <c r="J291"/>
      <c r="K291"/>
      <c r="L291"/>
      <c r="M291" s="2"/>
      <c r="Q291"/>
      <c r="R291"/>
      <c r="S291"/>
      <c r="T291"/>
      <c r="U291"/>
    </row>
    <row r="292" spans="10:21" s="1" customFormat="1" x14ac:dyDescent="0.2">
      <c r="J292"/>
      <c r="K292"/>
      <c r="L292"/>
      <c r="M292" s="2"/>
      <c r="Q292"/>
      <c r="R292"/>
      <c r="S292"/>
      <c r="T292"/>
      <c r="U292"/>
    </row>
    <row r="293" spans="10:21" s="1" customFormat="1" x14ac:dyDescent="0.2">
      <c r="J293"/>
      <c r="K293"/>
      <c r="L293"/>
      <c r="M293" s="2"/>
      <c r="Q293"/>
      <c r="R293"/>
      <c r="S293"/>
      <c r="T293"/>
      <c r="U293"/>
    </row>
    <row r="294" spans="10:21" s="1" customFormat="1" x14ac:dyDescent="0.2">
      <c r="J294"/>
      <c r="K294"/>
      <c r="L294"/>
      <c r="M294" s="2"/>
      <c r="Q294"/>
      <c r="R294"/>
      <c r="S294"/>
      <c r="T294"/>
      <c r="U294"/>
    </row>
    <row r="295" spans="10:21" s="1" customFormat="1" x14ac:dyDescent="0.2">
      <c r="J295"/>
      <c r="K295"/>
      <c r="L295"/>
      <c r="M295" s="2"/>
      <c r="Q295"/>
      <c r="R295"/>
      <c r="S295"/>
      <c r="T295"/>
      <c r="U295"/>
    </row>
    <row r="296" spans="10:21" s="1" customFormat="1" x14ac:dyDescent="0.2">
      <c r="J296"/>
      <c r="K296"/>
      <c r="L296"/>
      <c r="M296" s="2"/>
      <c r="Q296"/>
      <c r="R296"/>
      <c r="S296"/>
      <c r="T296"/>
      <c r="U296"/>
    </row>
    <row r="297" spans="10:21" s="1" customFormat="1" x14ac:dyDescent="0.2">
      <c r="J297"/>
      <c r="K297"/>
      <c r="L297"/>
      <c r="M297" s="2"/>
      <c r="Q297"/>
      <c r="R297"/>
      <c r="S297"/>
      <c r="T297"/>
      <c r="U297"/>
    </row>
    <row r="298" spans="10:21" s="1" customFormat="1" x14ac:dyDescent="0.2">
      <c r="J298"/>
      <c r="K298"/>
      <c r="L298"/>
      <c r="M298" s="2"/>
      <c r="Q298"/>
      <c r="R298"/>
      <c r="S298"/>
      <c r="T298"/>
      <c r="U298"/>
    </row>
    <row r="299" spans="10:21" s="1" customFormat="1" x14ac:dyDescent="0.2">
      <c r="J299"/>
      <c r="K299"/>
      <c r="L299"/>
      <c r="M299" s="2"/>
      <c r="Q299"/>
      <c r="R299"/>
      <c r="S299"/>
      <c r="T299"/>
      <c r="U299"/>
    </row>
    <row r="300" spans="10:21" s="1" customFormat="1" x14ac:dyDescent="0.2">
      <c r="J300"/>
      <c r="K300"/>
      <c r="L300"/>
      <c r="M300" s="2"/>
      <c r="Q300"/>
      <c r="R300"/>
      <c r="S300"/>
      <c r="T300"/>
      <c r="U300"/>
    </row>
    <row r="301" spans="10:21" s="1" customFormat="1" x14ac:dyDescent="0.2">
      <c r="J301"/>
      <c r="K301"/>
      <c r="L301"/>
      <c r="M301" s="2"/>
      <c r="Q301"/>
      <c r="R301"/>
      <c r="S301"/>
      <c r="T301"/>
      <c r="U301"/>
    </row>
    <row r="302" spans="10:21" s="1" customFormat="1" x14ac:dyDescent="0.2">
      <c r="J302"/>
      <c r="K302"/>
      <c r="L302"/>
      <c r="M302" s="2"/>
      <c r="Q302"/>
      <c r="R302"/>
      <c r="S302"/>
      <c r="T302"/>
      <c r="U302"/>
    </row>
    <row r="303" spans="10:21" s="1" customFormat="1" x14ac:dyDescent="0.2">
      <c r="J303"/>
      <c r="K303"/>
      <c r="L303"/>
      <c r="M303" s="2"/>
      <c r="Q303"/>
      <c r="R303"/>
      <c r="S303"/>
      <c r="T303"/>
      <c r="U303"/>
    </row>
    <row r="304" spans="10:21" s="1" customFormat="1" x14ac:dyDescent="0.2">
      <c r="J304"/>
      <c r="K304"/>
      <c r="L304"/>
      <c r="M304" s="2"/>
      <c r="Q304"/>
      <c r="R304"/>
      <c r="S304"/>
      <c r="T304"/>
      <c r="U304"/>
    </row>
    <row r="305" spans="10:21" s="1" customFormat="1" x14ac:dyDescent="0.2">
      <c r="J305"/>
      <c r="K305"/>
      <c r="L305"/>
      <c r="M305" s="2"/>
      <c r="Q305"/>
      <c r="R305"/>
      <c r="S305"/>
      <c r="T305"/>
      <c r="U305"/>
    </row>
    <row r="306" spans="10:21" s="1" customFormat="1" x14ac:dyDescent="0.2">
      <c r="J306"/>
      <c r="K306"/>
      <c r="L306"/>
      <c r="M306" s="2"/>
      <c r="Q306"/>
      <c r="R306"/>
      <c r="S306"/>
      <c r="T306"/>
      <c r="U306"/>
    </row>
    <row r="307" spans="10:21" s="1" customFormat="1" x14ac:dyDescent="0.2">
      <c r="J307"/>
      <c r="K307"/>
      <c r="L307"/>
      <c r="M307" s="2"/>
      <c r="Q307"/>
      <c r="R307"/>
      <c r="S307"/>
      <c r="T307"/>
      <c r="U307"/>
    </row>
    <row r="308" spans="10:21" s="1" customFormat="1" x14ac:dyDescent="0.2">
      <c r="J308"/>
      <c r="K308"/>
      <c r="L308"/>
      <c r="M308" s="2"/>
      <c r="Q308"/>
      <c r="R308"/>
      <c r="S308"/>
      <c r="T308"/>
      <c r="U308"/>
    </row>
    <row r="309" spans="10:21" s="1" customFormat="1" x14ac:dyDescent="0.2">
      <c r="J309"/>
      <c r="K309"/>
      <c r="L309"/>
      <c r="M309" s="2"/>
      <c r="Q309"/>
      <c r="R309"/>
      <c r="S309"/>
      <c r="T309"/>
      <c r="U309"/>
    </row>
    <row r="310" spans="10:21" s="1" customFormat="1" x14ac:dyDescent="0.2">
      <c r="J310"/>
      <c r="K310"/>
      <c r="L310"/>
      <c r="M310" s="2"/>
      <c r="Q310"/>
      <c r="R310"/>
      <c r="S310"/>
      <c r="T310"/>
      <c r="U310"/>
    </row>
    <row r="311" spans="10:21" s="1" customFormat="1" x14ac:dyDescent="0.2">
      <c r="J311"/>
      <c r="K311"/>
      <c r="L311"/>
      <c r="M311" s="2"/>
      <c r="Q311"/>
      <c r="R311"/>
      <c r="S311"/>
      <c r="T311"/>
      <c r="U311"/>
    </row>
    <row r="312" spans="10:21" s="1" customFormat="1" x14ac:dyDescent="0.2">
      <c r="J312"/>
      <c r="K312"/>
      <c r="L312"/>
      <c r="M312" s="2"/>
      <c r="Q312"/>
      <c r="R312"/>
      <c r="S312"/>
      <c r="T312"/>
      <c r="U312"/>
    </row>
    <row r="313" spans="10:21" s="1" customFormat="1" x14ac:dyDescent="0.2">
      <c r="J313"/>
      <c r="K313"/>
      <c r="L313"/>
      <c r="M313" s="2"/>
      <c r="Q313"/>
      <c r="R313"/>
      <c r="S313"/>
      <c r="T313"/>
      <c r="U313"/>
    </row>
    <row r="314" spans="10:21" s="1" customFormat="1" x14ac:dyDescent="0.2">
      <c r="J314"/>
      <c r="K314"/>
      <c r="L314"/>
      <c r="M314" s="2"/>
      <c r="Q314"/>
      <c r="R314"/>
      <c r="S314"/>
      <c r="T314"/>
      <c r="U314"/>
    </row>
    <row r="315" spans="10:21" s="1" customFormat="1" x14ac:dyDescent="0.2">
      <c r="J315"/>
      <c r="K315"/>
      <c r="L315"/>
      <c r="M315" s="2"/>
      <c r="Q315"/>
      <c r="R315"/>
      <c r="S315"/>
      <c r="T315"/>
      <c r="U315"/>
    </row>
    <row r="316" spans="10:21" s="1" customFormat="1" x14ac:dyDescent="0.2">
      <c r="J316"/>
      <c r="K316"/>
      <c r="L316"/>
      <c r="M316" s="2"/>
      <c r="Q316"/>
      <c r="R316"/>
      <c r="S316"/>
      <c r="T316"/>
      <c r="U316"/>
    </row>
    <row r="317" spans="10:21" s="1" customFormat="1" x14ac:dyDescent="0.2">
      <c r="J317"/>
      <c r="K317"/>
      <c r="L317"/>
      <c r="M317" s="2"/>
      <c r="Q317"/>
      <c r="R317"/>
      <c r="S317"/>
      <c r="T317"/>
      <c r="U317"/>
    </row>
    <row r="318" spans="10:21" s="1" customFormat="1" x14ac:dyDescent="0.2">
      <c r="J318"/>
      <c r="K318"/>
      <c r="L318"/>
      <c r="M318" s="2"/>
      <c r="Q318"/>
      <c r="R318"/>
      <c r="S318"/>
      <c r="T318"/>
      <c r="U318"/>
    </row>
    <row r="319" spans="10:21" s="1" customFormat="1" x14ac:dyDescent="0.2">
      <c r="J319"/>
      <c r="K319"/>
      <c r="L319"/>
      <c r="M319" s="2"/>
      <c r="Q319"/>
      <c r="R319"/>
      <c r="S319"/>
      <c r="T319"/>
      <c r="U319"/>
    </row>
    <row r="320" spans="10:21" s="1" customFormat="1" x14ac:dyDescent="0.2">
      <c r="J320"/>
      <c r="K320"/>
      <c r="L320"/>
      <c r="M320" s="2"/>
      <c r="Q320"/>
      <c r="R320"/>
      <c r="S320"/>
      <c r="T320"/>
      <c r="U320"/>
    </row>
    <row r="321" spans="10:21" s="1" customFormat="1" x14ac:dyDescent="0.2">
      <c r="J321"/>
      <c r="K321"/>
      <c r="L321"/>
      <c r="M321" s="2"/>
      <c r="Q321"/>
      <c r="R321"/>
      <c r="S321"/>
      <c r="T321"/>
      <c r="U321"/>
    </row>
    <row r="322" spans="10:21" s="1" customFormat="1" x14ac:dyDescent="0.2">
      <c r="J322"/>
      <c r="K322"/>
      <c r="L322"/>
      <c r="M322" s="2"/>
      <c r="Q322"/>
      <c r="R322"/>
      <c r="S322"/>
      <c r="T322"/>
      <c r="U322"/>
    </row>
    <row r="323" spans="10:21" s="1" customFormat="1" x14ac:dyDescent="0.2">
      <c r="J323"/>
      <c r="K323"/>
      <c r="L323"/>
      <c r="M323" s="2"/>
      <c r="Q323"/>
      <c r="R323"/>
      <c r="S323"/>
      <c r="T323"/>
      <c r="U323"/>
    </row>
    <row r="324" spans="10:21" s="1" customFormat="1" x14ac:dyDescent="0.2">
      <c r="J324"/>
      <c r="K324"/>
      <c r="L324"/>
      <c r="M324" s="2"/>
      <c r="Q324"/>
      <c r="R324"/>
      <c r="S324"/>
      <c r="T324"/>
      <c r="U324"/>
    </row>
    <row r="325" spans="10:21" s="1" customFormat="1" x14ac:dyDescent="0.2">
      <c r="J325"/>
      <c r="K325"/>
      <c r="L325"/>
      <c r="M325" s="2"/>
      <c r="Q325"/>
      <c r="R325"/>
      <c r="S325"/>
      <c r="T325"/>
      <c r="U325"/>
    </row>
    <row r="326" spans="10:21" s="1" customFormat="1" x14ac:dyDescent="0.2">
      <c r="J326"/>
      <c r="K326"/>
      <c r="L326"/>
      <c r="M326" s="2"/>
      <c r="Q326"/>
      <c r="R326"/>
      <c r="S326"/>
      <c r="T326"/>
      <c r="U326"/>
    </row>
    <row r="327" spans="10:21" s="1" customFormat="1" x14ac:dyDescent="0.2">
      <c r="J327"/>
      <c r="K327"/>
      <c r="L327"/>
      <c r="M327" s="2"/>
      <c r="Q327"/>
      <c r="R327"/>
      <c r="S327"/>
      <c r="T327"/>
      <c r="U327"/>
    </row>
    <row r="328" spans="10:21" s="1" customFormat="1" x14ac:dyDescent="0.2">
      <c r="J328"/>
      <c r="K328"/>
      <c r="L328"/>
      <c r="M328" s="2"/>
      <c r="Q328"/>
      <c r="R328"/>
      <c r="S328"/>
      <c r="T328"/>
      <c r="U328"/>
    </row>
    <row r="329" spans="10:21" s="1" customFormat="1" x14ac:dyDescent="0.2">
      <c r="J329"/>
      <c r="K329"/>
      <c r="L329"/>
      <c r="M329" s="2"/>
      <c r="Q329"/>
      <c r="R329"/>
      <c r="S329"/>
      <c r="T329"/>
      <c r="U329"/>
    </row>
    <row r="330" spans="10:21" s="1" customFormat="1" x14ac:dyDescent="0.2">
      <c r="J330"/>
      <c r="K330"/>
      <c r="L330"/>
      <c r="M330" s="2"/>
      <c r="Q330"/>
      <c r="R330"/>
      <c r="S330"/>
      <c r="T330"/>
      <c r="U330"/>
    </row>
    <row r="331" spans="10:21" s="1" customFormat="1" x14ac:dyDescent="0.2">
      <c r="J331"/>
      <c r="K331"/>
      <c r="L331"/>
      <c r="M331" s="2"/>
      <c r="Q331"/>
      <c r="R331"/>
      <c r="S331"/>
      <c r="T331"/>
      <c r="U331"/>
    </row>
    <row r="332" spans="10:21" s="1" customFormat="1" x14ac:dyDescent="0.2">
      <c r="J332"/>
      <c r="K332"/>
      <c r="L332"/>
      <c r="M332" s="2"/>
      <c r="Q332"/>
      <c r="R332"/>
      <c r="S332"/>
      <c r="T332"/>
      <c r="U332"/>
    </row>
    <row r="333" spans="10:21" s="1" customFormat="1" x14ac:dyDescent="0.2">
      <c r="J333"/>
      <c r="K333"/>
      <c r="L333"/>
      <c r="M333" s="2"/>
      <c r="Q333"/>
      <c r="R333"/>
      <c r="S333"/>
      <c r="T333"/>
      <c r="U333"/>
    </row>
    <row r="334" spans="10:21" s="1" customFormat="1" x14ac:dyDescent="0.2">
      <c r="J334"/>
      <c r="K334"/>
      <c r="L334"/>
      <c r="M334" s="2"/>
      <c r="Q334"/>
      <c r="R334"/>
      <c r="S334"/>
      <c r="T334"/>
      <c r="U334"/>
    </row>
    <row r="335" spans="10:21" s="1" customFormat="1" x14ac:dyDescent="0.2">
      <c r="J335"/>
      <c r="K335"/>
      <c r="L335"/>
      <c r="M335" s="2"/>
      <c r="Q335"/>
      <c r="R335"/>
      <c r="S335"/>
      <c r="T335"/>
      <c r="U335"/>
    </row>
    <row r="336" spans="10:21" s="1" customFormat="1" x14ac:dyDescent="0.2">
      <c r="J336"/>
      <c r="K336"/>
      <c r="L336"/>
      <c r="M336" s="2"/>
      <c r="Q336"/>
      <c r="R336"/>
      <c r="S336"/>
      <c r="T336"/>
      <c r="U336"/>
    </row>
    <row r="337" spans="10:21" s="1" customFormat="1" x14ac:dyDescent="0.2">
      <c r="J337"/>
      <c r="K337"/>
      <c r="L337"/>
      <c r="M337" s="2"/>
      <c r="Q337"/>
      <c r="R337"/>
      <c r="S337"/>
      <c r="T337"/>
      <c r="U337"/>
    </row>
    <row r="338" spans="10:21" s="1" customFormat="1" x14ac:dyDescent="0.2">
      <c r="J338"/>
      <c r="K338"/>
      <c r="L338"/>
      <c r="M338" s="2"/>
      <c r="Q338"/>
      <c r="R338"/>
      <c r="S338"/>
      <c r="T338"/>
      <c r="U338"/>
    </row>
    <row r="339" spans="10:21" s="1" customFormat="1" x14ac:dyDescent="0.2">
      <c r="J339"/>
      <c r="K339"/>
      <c r="L339"/>
      <c r="M339" s="2"/>
      <c r="Q339"/>
      <c r="R339"/>
      <c r="S339"/>
      <c r="T339"/>
      <c r="U339"/>
    </row>
    <row r="340" spans="10:21" s="1" customFormat="1" x14ac:dyDescent="0.2">
      <c r="J340"/>
      <c r="K340"/>
      <c r="L340"/>
      <c r="M340" s="2"/>
      <c r="Q340"/>
      <c r="R340"/>
      <c r="S340"/>
      <c r="T340"/>
      <c r="U340"/>
    </row>
    <row r="341" spans="10:21" s="1" customFormat="1" x14ac:dyDescent="0.2">
      <c r="J341"/>
      <c r="K341"/>
      <c r="L341"/>
      <c r="M341" s="2"/>
      <c r="Q341"/>
      <c r="R341"/>
      <c r="S341"/>
      <c r="T341"/>
      <c r="U341"/>
    </row>
    <row r="342" spans="10:21" s="1" customFormat="1" x14ac:dyDescent="0.2">
      <c r="J342"/>
      <c r="K342"/>
      <c r="L342"/>
      <c r="M342" s="2"/>
      <c r="Q342"/>
      <c r="R342"/>
      <c r="S342"/>
      <c r="T342"/>
      <c r="U342"/>
    </row>
    <row r="343" spans="10:21" s="1" customFormat="1" x14ac:dyDescent="0.2">
      <c r="J343"/>
      <c r="K343"/>
      <c r="L343"/>
      <c r="M343" s="2"/>
      <c r="Q343"/>
      <c r="R343"/>
      <c r="S343"/>
      <c r="T343"/>
      <c r="U343"/>
    </row>
    <row r="344" spans="10:21" s="1" customFormat="1" x14ac:dyDescent="0.2">
      <c r="J344"/>
      <c r="K344"/>
      <c r="L344"/>
      <c r="M344" s="2"/>
      <c r="Q344"/>
      <c r="R344"/>
      <c r="S344"/>
      <c r="T344"/>
      <c r="U344"/>
    </row>
    <row r="345" spans="10:21" s="1" customFormat="1" x14ac:dyDescent="0.2">
      <c r="J345"/>
      <c r="K345"/>
      <c r="L345"/>
      <c r="M345" s="2"/>
      <c r="Q345"/>
      <c r="R345"/>
      <c r="S345"/>
      <c r="T345"/>
      <c r="U345"/>
    </row>
    <row r="346" spans="10:21" s="1" customFormat="1" x14ac:dyDescent="0.2">
      <c r="J346"/>
      <c r="K346"/>
      <c r="L346"/>
      <c r="M346" s="2"/>
      <c r="Q346"/>
      <c r="R346"/>
      <c r="S346"/>
      <c r="T346"/>
      <c r="U346"/>
    </row>
    <row r="347" spans="10:21" s="1" customFormat="1" x14ac:dyDescent="0.2">
      <c r="J347"/>
      <c r="K347"/>
      <c r="L347"/>
      <c r="M347" s="2"/>
      <c r="Q347"/>
      <c r="R347"/>
      <c r="S347"/>
      <c r="T347"/>
      <c r="U347"/>
    </row>
    <row r="348" spans="10:21" s="1" customFormat="1" x14ac:dyDescent="0.2">
      <c r="J348"/>
      <c r="K348"/>
      <c r="L348"/>
      <c r="M348" s="2"/>
      <c r="Q348"/>
      <c r="R348"/>
      <c r="S348"/>
      <c r="T348"/>
      <c r="U348"/>
    </row>
    <row r="349" spans="10:21" s="1" customFormat="1" x14ac:dyDescent="0.2">
      <c r="J349"/>
      <c r="K349"/>
      <c r="L349"/>
      <c r="M349" s="2"/>
      <c r="Q349"/>
      <c r="R349"/>
      <c r="S349"/>
      <c r="T349"/>
      <c r="U349"/>
    </row>
    <row r="350" spans="10:21" s="1" customFormat="1" x14ac:dyDescent="0.2">
      <c r="J350"/>
      <c r="K350"/>
      <c r="L350"/>
      <c r="M350" s="2"/>
      <c r="Q350"/>
      <c r="R350"/>
      <c r="S350"/>
      <c r="T350"/>
      <c r="U350"/>
    </row>
    <row r="351" spans="10:21" s="1" customFormat="1" x14ac:dyDescent="0.2">
      <c r="J351"/>
      <c r="K351"/>
      <c r="L351"/>
      <c r="M351" s="2"/>
      <c r="Q351"/>
      <c r="R351"/>
      <c r="S351"/>
      <c r="T351"/>
      <c r="U351"/>
    </row>
    <row r="352" spans="10:21" s="1" customFormat="1" x14ac:dyDescent="0.2">
      <c r="J352"/>
      <c r="K352"/>
      <c r="L352"/>
      <c r="M352" s="2"/>
      <c r="Q352"/>
      <c r="R352"/>
      <c r="S352"/>
      <c r="T352"/>
      <c r="U352"/>
    </row>
    <row r="353" spans="10:21" s="1" customFormat="1" x14ac:dyDescent="0.2">
      <c r="J353"/>
      <c r="K353"/>
      <c r="L353"/>
      <c r="M353" s="2"/>
      <c r="Q353"/>
      <c r="R353"/>
      <c r="S353"/>
      <c r="T353"/>
      <c r="U353"/>
    </row>
    <row r="354" spans="10:21" s="1" customFormat="1" x14ac:dyDescent="0.2">
      <c r="J354"/>
      <c r="K354"/>
      <c r="L354"/>
      <c r="M354" s="2"/>
      <c r="Q354"/>
      <c r="R354"/>
      <c r="S354"/>
      <c r="T354"/>
      <c r="U354"/>
    </row>
    <row r="355" spans="10:21" s="1" customFormat="1" x14ac:dyDescent="0.2">
      <c r="J355"/>
      <c r="K355"/>
      <c r="L355"/>
      <c r="M355" s="2"/>
      <c r="Q355"/>
      <c r="R355"/>
      <c r="S355"/>
      <c r="T355"/>
      <c r="U355"/>
    </row>
    <row r="356" spans="10:21" s="1" customFormat="1" x14ac:dyDescent="0.2">
      <c r="J356"/>
      <c r="K356"/>
      <c r="L356"/>
      <c r="M356" s="2"/>
      <c r="Q356"/>
      <c r="R356"/>
      <c r="S356"/>
      <c r="T356"/>
      <c r="U356"/>
    </row>
    <row r="357" spans="10:21" s="1" customFormat="1" x14ac:dyDescent="0.2">
      <c r="J357"/>
      <c r="K357"/>
      <c r="L357"/>
      <c r="M357" s="2"/>
      <c r="Q357"/>
      <c r="R357"/>
      <c r="S357"/>
      <c r="T357"/>
      <c r="U357"/>
    </row>
    <row r="358" spans="10:21" s="1" customFormat="1" x14ac:dyDescent="0.2">
      <c r="J358"/>
      <c r="K358"/>
      <c r="L358"/>
      <c r="M358" s="2"/>
      <c r="Q358"/>
      <c r="R358"/>
      <c r="S358"/>
      <c r="T358"/>
      <c r="U358"/>
    </row>
    <row r="359" spans="10:21" s="1" customFormat="1" x14ac:dyDescent="0.2">
      <c r="J359"/>
      <c r="K359"/>
      <c r="L359"/>
      <c r="M359" s="2"/>
      <c r="Q359"/>
      <c r="R359"/>
      <c r="S359"/>
      <c r="T359"/>
      <c r="U359"/>
    </row>
    <row r="360" spans="10:21" s="1" customFormat="1" x14ac:dyDescent="0.2">
      <c r="J360"/>
      <c r="K360"/>
      <c r="L360"/>
      <c r="M360" s="2"/>
      <c r="Q360"/>
      <c r="R360"/>
      <c r="S360"/>
      <c r="T360"/>
      <c r="U360"/>
    </row>
    <row r="361" spans="10:21" s="1" customFormat="1" x14ac:dyDescent="0.2">
      <c r="J361"/>
      <c r="K361"/>
      <c r="L361"/>
      <c r="M361" s="2"/>
      <c r="Q361"/>
      <c r="R361"/>
      <c r="S361"/>
      <c r="T361"/>
      <c r="U361"/>
    </row>
    <row r="362" spans="10:21" s="1" customFormat="1" x14ac:dyDescent="0.2">
      <c r="J362"/>
      <c r="K362"/>
      <c r="L362"/>
      <c r="M362" s="2"/>
      <c r="Q362"/>
      <c r="R362"/>
      <c r="S362"/>
      <c r="T362"/>
      <c r="U362"/>
    </row>
    <row r="363" spans="10:21" s="1" customFormat="1" x14ac:dyDescent="0.2">
      <c r="J363"/>
      <c r="K363"/>
      <c r="L363"/>
      <c r="M363" s="2"/>
      <c r="Q363"/>
      <c r="R363"/>
      <c r="S363"/>
      <c r="T363"/>
      <c r="U363"/>
    </row>
    <row r="364" spans="10:21" s="1" customFormat="1" x14ac:dyDescent="0.2">
      <c r="J364"/>
      <c r="K364"/>
      <c r="L364"/>
      <c r="M364" s="2"/>
      <c r="Q364"/>
      <c r="R364"/>
      <c r="S364"/>
      <c r="T364"/>
      <c r="U364"/>
    </row>
    <row r="365" spans="10:21" s="1" customFormat="1" x14ac:dyDescent="0.2">
      <c r="J365"/>
      <c r="K365"/>
      <c r="L365"/>
      <c r="M365" s="2"/>
      <c r="Q365"/>
      <c r="R365"/>
      <c r="S365"/>
      <c r="T365"/>
      <c r="U365"/>
    </row>
    <row r="366" spans="10:21" s="1" customFormat="1" x14ac:dyDescent="0.2">
      <c r="J366"/>
      <c r="K366"/>
      <c r="L366"/>
      <c r="M366" s="2"/>
      <c r="Q366"/>
      <c r="R366"/>
      <c r="S366"/>
      <c r="T366"/>
      <c r="U366"/>
    </row>
    <row r="367" spans="10:21" s="1" customFormat="1" x14ac:dyDescent="0.2">
      <c r="J367"/>
      <c r="K367"/>
      <c r="L367"/>
      <c r="M367" s="2"/>
      <c r="Q367"/>
      <c r="R367"/>
      <c r="S367"/>
      <c r="T367"/>
      <c r="U367"/>
    </row>
    <row r="368" spans="10:21" s="1" customFormat="1" x14ac:dyDescent="0.2">
      <c r="J368"/>
      <c r="K368"/>
      <c r="L368"/>
      <c r="M368" s="2"/>
      <c r="Q368"/>
      <c r="R368"/>
      <c r="S368"/>
      <c r="T368"/>
      <c r="U368"/>
    </row>
    <row r="369" spans="10:21" s="1" customFormat="1" x14ac:dyDescent="0.2">
      <c r="J369"/>
      <c r="K369"/>
      <c r="L369"/>
      <c r="M369" s="2"/>
      <c r="Q369"/>
      <c r="R369"/>
      <c r="S369"/>
      <c r="T369"/>
      <c r="U369"/>
    </row>
    <row r="370" spans="10:21" s="1" customFormat="1" x14ac:dyDescent="0.2">
      <c r="J370"/>
      <c r="K370"/>
      <c r="L370"/>
      <c r="M370" s="2"/>
      <c r="Q370"/>
      <c r="R370"/>
      <c r="S370"/>
      <c r="T370"/>
      <c r="U370"/>
    </row>
    <row r="371" spans="10:21" s="1" customFormat="1" x14ac:dyDescent="0.2">
      <c r="J371"/>
      <c r="K371"/>
      <c r="L371"/>
      <c r="M371" s="2"/>
      <c r="Q371"/>
      <c r="R371"/>
      <c r="S371"/>
      <c r="T371"/>
      <c r="U371"/>
    </row>
    <row r="372" spans="10:21" s="1" customFormat="1" x14ac:dyDescent="0.2">
      <c r="J372"/>
      <c r="K372"/>
      <c r="L372"/>
      <c r="M372" s="2"/>
      <c r="Q372"/>
      <c r="R372"/>
      <c r="S372"/>
      <c r="T372"/>
      <c r="U372"/>
    </row>
    <row r="373" spans="10:21" s="1" customFormat="1" x14ac:dyDescent="0.2">
      <c r="J373"/>
      <c r="K373"/>
      <c r="L373"/>
      <c r="M373" s="2"/>
      <c r="Q373"/>
      <c r="R373"/>
      <c r="S373"/>
      <c r="T373"/>
      <c r="U373"/>
    </row>
    <row r="374" spans="10:21" s="1" customFormat="1" x14ac:dyDescent="0.2">
      <c r="J374"/>
      <c r="K374"/>
      <c r="L374"/>
      <c r="M374" s="2"/>
      <c r="Q374"/>
      <c r="R374"/>
      <c r="S374"/>
      <c r="T374"/>
      <c r="U374"/>
    </row>
    <row r="375" spans="10:21" s="1" customFormat="1" x14ac:dyDescent="0.2">
      <c r="J375"/>
      <c r="K375"/>
      <c r="L375"/>
      <c r="M375" s="2"/>
      <c r="Q375"/>
      <c r="R375"/>
      <c r="S375"/>
      <c r="T375"/>
      <c r="U375"/>
    </row>
    <row r="376" spans="10:21" s="1" customFormat="1" x14ac:dyDescent="0.2">
      <c r="J376"/>
      <c r="K376"/>
      <c r="L376"/>
      <c r="M376" s="2"/>
      <c r="Q376"/>
      <c r="R376"/>
      <c r="S376"/>
      <c r="T376"/>
      <c r="U376"/>
    </row>
    <row r="377" spans="10:21" s="1" customFormat="1" x14ac:dyDescent="0.2">
      <c r="J377"/>
      <c r="K377"/>
      <c r="L377"/>
      <c r="M377" s="2"/>
      <c r="Q377"/>
      <c r="R377"/>
      <c r="S377"/>
      <c r="T377"/>
      <c r="U377"/>
    </row>
    <row r="378" spans="10:21" s="1" customFormat="1" x14ac:dyDescent="0.2">
      <c r="J378"/>
      <c r="K378"/>
      <c r="L378"/>
      <c r="M378" s="2"/>
      <c r="Q378"/>
      <c r="R378"/>
      <c r="S378"/>
      <c r="T378"/>
      <c r="U378"/>
    </row>
    <row r="379" spans="10:21" s="1" customFormat="1" x14ac:dyDescent="0.2">
      <c r="J379"/>
      <c r="K379"/>
      <c r="L379"/>
      <c r="M379" s="2"/>
      <c r="Q379"/>
      <c r="R379"/>
      <c r="S379"/>
      <c r="T379"/>
      <c r="U379"/>
    </row>
    <row r="380" spans="10:21" s="1" customFormat="1" x14ac:dyDescent="0.2">
      <c r="J380"/>
      <c r="K380"/>
      <c r="L380"/>
      <c r="M380" s="2"/>
      <c r="Q380"/>
      <c r="R380"/>
      <c r="S380"/>
      <c r="T380"/>
      <c r="U380"/>
    </row>
    <row r="381" spans="10:21" s="1" customFormat="1" x14ac:dyDescent="0.2">
      <c r="J381"/>
      <c r="K381"/>
      <c r="L381"/>
      <c r="M381" s="2"/>
      <c r="Q381"/>
      <c r="R381"/>
      <c r="S381"/>
      <c r="T381"/>
      <c r="U381"/>
    </row>
    <row r="382" spans="10:21" s="1" customFormat="1" x14ac:dyDescent="0.2">
      <c r="J382"/>
      <c r="K382"/>
      <c r="L382"/>
      <c r="M382" s="2"/>
      <c r="Q382"/>
      <c r="R382"/>
      <c r="S382"/>
      <c r="T382"/>
      <c r="U382"/>
    </row>
    <row r="383" spans="10:21" s="1" customFormat="1" x14ac:dyDescent="0.2">
      <c r="J383"/>
      <c r="K383"/>
      <c r="L383"/>
      <c r="M383" s="2"/>
      <c r="Q383"/>
      <c r="R383"/>
      <c r="S383"/>
      <c r="T383"/>
      <c r="U383"/>
    </row>
    <row r="384" spans="10:21" s="1" customFormat="1" x14ac:dyDescent="0.2">
      <c r="J384"/>
      <c r="K384"/>
      <c r="L384"/>
      <c r="M384" s="2"/>
      <c r="Q384"/>
      <c r="R384"/>
      <c r="S384"/>
      <c r="T384"/>
      <c r="U384"/>
    </row>
    <row r="385" spans="10:21" s="1" customFormat="1" x14ac:dyDescent="0.2">
      <c r="J385"/>
      <c r="K385"/>
      <c r="L385"/>
      <c r="M385" s="2"/>
      <c r="Q385"/>
      <c r="R385"/>
      <c r="S385"/>
      <c r="T385"/>
      <c r="U385"/>
    </row>
    <row r="386" spans="10:21" s="1" customFormat="1" x14ac:dyDescent="0.2">
      <c r="J386"/>
      <c r="K386"/>
      <c r="L386"/>
      <c r="M386" s="2"/>
      <c r="Q386"/>
      <c r="R386"/>
      <c r="S386"/>
      <c r="T386"/>
      <c r="U386"/>
    </row>
    <row r="387" spans="10:21" s="1" customFormat="1" x14ac:dyDescent="0.2">
      <c r="J387"/>
      <c r="K387"/>
      <c r="L387"/>
      <c r="M387" s="2"/>
      <c r="Q387"/>
      <c r="R387"/>
      <c r="S387"/>
      <c r="T387"/>
      <c r="U387"/>
    </row>
    <row r="388" spans="10:21" s="1" customFormat="1" x14ac:dyDescent="0.2">
      <c r="J388"/>
      <c r="K388"/>
      <c r="L388"/>
      <c r="M388" s="2"/>
      <c r="Q388"/>
      <c r="R388"/>
      <c r="S388"/>
      <c r="T388"/>
      <c r="U388"/>
    </row>
    <row r="389" spans="10:21" s="1" customFormat="1" x14ac:dyDescent="0.2">
      <c r="J389"/>
      <c r="K389"/>
      <c r="L389"/>
      <c r="M389" s="2"/>
      <c r="Q389"/>
      <c r="R389"/>
      <c r="S389"/>
      <c r="T389"/>
      <c r="U389"/>
    </row>
    <row r="390" spans="10:21" s="1" customFormat="1" x14ac:dyDescent="0.2">
      <c r="J390"/>
      <c r="K390"/>
      <c r="L390"/>
      <c r="M390" s="2"/>
      <c r="Q390"/>
      <c r="R390"/>
      <c r="S390"/>
      <c r="T390"/>
      <c r="U390"/>
    </row>
    <row r="391" spans="10:21" s="1" customFormat="1" x14ac:dyDescent="0.2">
      <c r="J391"/>
      <c r="K391"/>
      <c r="L391"/>
      <c r="M391" s="2"/>
      <c r="Q391"/>
      <c r="R391"/>
      <c r="S391"/>
      <c r="T391"/>
      <c r="U391"/>
    </row>
    <row r="392" spans="10:21" s="1" customFormat="1" x14ac:dyDescent="0.2">
      <c r="J392"/>
      <c r="K392"/>
      <c r="L392"/>
      <c r="M392" s="2"/>
      <c r="Q392"/>
      <c r="R392"/>
      <c r="S392"/>
      <c r="T392"/>
      <c r="U392"/>
    </row>
    <row r="393" spans="10:21" s="1" customFormat="1" x14ac:dyDescent="0.2">
      <c r="J393"/>
      <c r="K393"/>
      <c r="L393"/>
      <c r="M393" s="2"/>
      <c r="Q393"/>
      <c r="R393"/>
      <c r="S393"/>
      <c r="T393"/>
      <c r="U393"/>
    </row>
    <row r="394" spans="10:21" s="1" customFormat="1" x14ac:dyDescent="0.2">
      <c r="J394"/>
      <c r="K394"/>
      <c r="L394"/>
      <c r="M394" s="2"/>
      <c r="Q394"/>
      <c r="R394"/>
      <c r="S394"/>
      <c r="T394"/>
      <c r="U394"/>
    </row>
    <row r="395" spans="10:21" s="1" customFormat="1" x14ac:dyDescent="0.2">
      <c r="J395"/>
      <c r="K395"/>
      <c r="L395"/>
      <c r="M395" s="2"/>
      <c r="Q395"/>
      <c r="R395"/>
      <c r="S395"/>
      <c r="T395"/>
      <c r="U395"/>
    </row>
    <row r="396" spans="10:21" s="1" customFormat="1" x14ac:dyDescent="0.2">
      <c r="J396"/>
      <c r="K396"/>
      <c r="L396"/>
      <c r="M396" s="2"/>
      <c r="Q396"/>
      <c r="R396"/>
      <c r="S396"/>
      <c r="T396"/>
      <c r="U396"/>
    </row>
    <row r="397" spans="10:21" s="1" customFormat="1" x14ac:dyDescent="0.2">
      <c r="J397"/>
      <c r="K397"/>
      <c r="L397"/>
      <c r="M397" s="2"/>
      <c r="Q397"/>
      <c r="R397"/>
      <c r="S397"/>
      <c r="T397"/>
      <c r="U397"/>
    </row>
    <row r="398" spans="10:21" s="1" customFormat="1" x14ac:dyDescent="0.2">
      <c r="J398"/>
      <c r="K398"/>
      <c r="L398"/>
      <c r="M398" s="2"/>
      <c r="Q398"/>
      <c r="R398"/>
      <c r="S398"/>
      <c r="T398"/>
      <c r="U398"/>
    </row>
    <row r="399" spans="10:21" s="1" customFormat="1" x14ac:dyDescent="0.2">
      <c r="J399"/>
      <c r="K399"/>
      <c r="L399"/>
      <c r="M399" s="2"/>
      <c r="Q399"/>
      <c r="R399"/>
      <c r="S399"/>
      <c r="T399"/>
      <c r="U399"/>
    </row>
    <row r="400" spans="10:21" s="1" customFormat="1" x14ac:dyDescent="0.2">
      <c r="J400"/>
      <c r="K400"/>
      <c r="L400"/>
      <c r="M400" s="2"/>
      <c r="Q400"/>
      <c r="R400"/>
      <c r="S400"/>
      <c r="T400"/>
      <c r="U400"/>
    </row>
    <row r="401" spans="10:21" s="1" customFormat="1" x14ac:dyDescent="0.2">
      <c r="J401"/>
      <c r="K401"/>
      <c r="L401"/>
      <c r="M401" s="2"/>
      <c r="Q401"/>
      <c r="R401"/>
      <c r="S401"/>
      <c r="T401"/>
      <c r="U401"/>
    </row>
    <row r="402" spans="10:21" s="1" customFormat="1" x14ac:dyDescent="0.2">
      <c r="J402"/>
      <c r="K402"/>
      <c r="L402"/>
      <c r="M402" s="2"/>
      <c r="Q402"/>
      <c r="R402"/>
      <c r="S402"/>
      <c r="T402"/>
      <c r="U402"/>
    </row>
    <row r="403" spans="10:21" s="1" customFormat="1" x14ac:dyDescent="0.2">
      <c r="J403"/>
      <c r="K403"/>
      <c r="L403"/>
      <c r="M403" s="2"/>
      <c r="Q403"/>
      <c r="R403"/>
      <c r="S403"/>
      <c r="T403"/>
      <c r="U403"/>
    </row>
    <row r="404" spans="10:21" s="1" customFormat="1" x14ac:dyDescent="0.2">
      <c r="J404"/>
      <c r="K404"/>
      <c r="L404"/>
      <c r="M404" s="2"/>
      <c r="Q404"/>
      <c r="R404"/>
      <c r="S404"/>
      <c r="T404"/>
      <c r="U404"/>
    </row>
    <row r="405" spans="10:21" s="1" customFormat="1" x14ac:dyDescent="0.2">
      <c r="J405"/>
      <c r="K405"/>
      <c r="L405"/>
      <c r="M405" s="2"/>
      <c r="Q405"/>
      <c r="R405"/>
      <c r="S405"/>
      <c r="T405"/>
      <c r="U405"/>
    </row>
    <row r="406" spans="10:21" s="1" customFormat="1" x14ac:dyDescent="0.2">
      <c r="J406"/>
      <c r="K406"/>
      <c r="L406"/>
      <c r="M406" s="2"/>
      <c r="Q406"/>
      <c r="R406"/>
      <c r="S406"/>
      <c r="T406"/>
      <c r="U406"/>
    </row>
    <row r="407" spans="10:21" s="1" customFormat="1" x14ac:dyDescent="0.2">
      <c r="J407"/>
      <c r="K407"/>
      <c r="L407"/>
      <c r="M407" s="2"/>
      <c r="Q407"/>
      <c r="R407"/>
      <c r="S407"/>
      <c r="T407"/>
      <c r="U407"/>
    </row>
    <row r="408" spans="10:21" s="1" customFormat="1" x14ac:dyDescent="0.2">
      <c r="J408"/>
      <c r="K408"/>
      <c r="L408"/>
      <c r="M408" s="2"/>
      <c r="Q408"/>
      <c r="R408"/>
      <c r="S408"/>
      <c r="T408"/>
      <c r="U408"/>
    </row>
    <row r="409" spans="10:21" s="1" customFormat="1" x14ac:dyDescent="0.2">
      <c r="J409"/>
      <c r="K409"/>
      <c r="L409"/>
      <c r="M409" s="2"/>
      <c r="Q409"/>
      <c r="R409"/>
      <c r="S409"/>
      <c r="T409"/>
      <c r="U409"/>
    </row>
    <row r="410" spans="10:21" s="1" customFormat="1" x14ac:dyDescent="0.2">
      <c r="J410"/>
      <c r="K410"/>
      <c r="L410"/>
      <c r="M410" s="2"/>
      <c r="Q410"/>
      <c r="R410"/>
      <c r="S410"/>
      <c r="T410"/>
      <c r="U410"/>
    </row>
    <row r="411" spans="10:21" s="1" customFormat="1" x14ac:dyDescent="0.2">
      <c r="J411"/>
      <c r="K411"/>
      <c r="L411"/>
      <c r="M411" s="2"/>
      <c r="Q411"/>
      <c r="R411"/>
      <c r="S411"/>
      <c r="T411"/>
      <c r="U411"/>
    </row>
    <row r="412" spans="10:21" s="1" customFormat="1" x14ac:dyDescent="0.2">
      <c r="J412"/>
      <c r="K412"/>
      <c r="L412"/>
      <c r="M412" s="2"/>
      <c r="Q412"/>
      <c r="R412"/>
      <c r="S412"/>
      <c r="T412"/>
      <c r="U412"/>
    </row>
    <row r="413" spans="10:21" s="1" customFormat="1" x14ac:dyDescent="0.2">
      <c r="J413"/>
      <c r="K413"/>
      <c r="L413"/>
      <c r="M413" s="2"/>
      <c r="Q413"/>
      <c r="R413"/>
      <c r="S413"/>
      <c r="T413"/>
      <c r="U413"/>
    </row>
    <row r="414" spans="10:21" s="1" customFormat="1" x14ac:dyDescent="0.2">
      <c r="J414"/>
      <c r="K414"/>
      <c r="L414"/>
      <c r="M414" s="2"/>
      <c r="Q414"/>
      <c r="R414"/>
      <c r="S414"/>
      <c r="T414"/>
      <c r="U414"/>
    </row>
    <row r="415" spans="10:21" s="1" customFormat="1" x14ac:dyDescent="0.2">
      <c r="J415"/>
      <c r="K415"/>
      <c r="L415"/>
      <c r="M415" s="2"/>
      <c r="Q415"/>
      <c r="R415"/>
      <c r="S415"/>
      <c r="T415"/>
      <c r="U415"/>
    </row>
    <row r="416" spans="10:21" s="1" customFormat="1" x14ac:dyDescent="0.2">
      <c r="J416"/>
      <c r="K416"/>
      <c r="L416"/>
      <c r="M416" s="2"/>
      <c r="Q416"/>
      <c r="R416"/>
      <c r="S416"/>
      <c r="T416"/>
      <c r="U416"/>
    </row>
    <row r="417" spans="10:21" s="1" customFormat="1" x14ac:dyDescent="0.2">
      <c r="J417"/>
      <c r="K417"/>
      <c r="L417"/>
      <c r="M417" s="2"/>
      <c r="Q417"/>
      <c r="R417"/>
      <c r="S417"/>
      <c r="T417"/>
      <c r="U417"/>
    </row>
    <row r="418" spans="10:21" s="1" customFormat="1" x14ac:dyDescent="0.2">
      <c r="J418"/>
      <c r="K418"/>
      <c r="L418"/>
      <c r="M418" s="2"/>
      <c r="Q418"/>
      <c r="R418"/>
      <c r="S418"/>
      <c r="T418"/>
      <c r="U418"/>
    </row>
    <row r="419" spans="10:21" s="1" customFormat="1" x14ac:dyDescent="0.2">
      <c r="J419"/>
      <c r="K419"/>
      <c r="L419"/>
      <c r="M419" s="2"/>
      <c r="Q419"/>
      <c r="R419"/>
      <c r="S419"/>
      <c r="T419"/>
      <c r="U419"/>
    </row>
    <row r="420" spans="10:21" s="1" customFormat="1" x14ac:dyDescent="0.2">
      <c r="J420"/>
      <c r="K420"/>
      <c r="L420"/>
      <c r="M420" s="2"/>
      <c r="Q420"/>
      <c r="R420"/>
      <c r="S420"/>
      <c r="T420"/>
      <c r="U420"/>
    </row>
    <row r="421" spans="10:21" s="1" customFormat="1" x14ac:dyDescent="0.2">
      <c r="J421"/>
      <c r="K421"/>
      <c r="L421"/>
      <c r="M421" s="2"/>
      <c r="Q421"/>
      <c r="R421"/>
      <c r="S421"/>
      <c r="T421"/>
      <c r="U421"/>
    </row>
    <row r="422" spans="10:21" s="1" customFormat="1" x14ac:dyDescent="0.2">
      <c r="J422"/>
      <c r="K422"/>
      <c r="L422"/>
      <c r="M422" s="2"/>
      <c r="Q422"/>
      <c r="R422"/>
      <c r="S422"/>
      <c r="T422"/>
      <c r="U422"/>
    </row>
    <row r="423" spans="10:21" s="1" customFormat="1" x14ac:dyDescent="0.2">
      <c r="J423"/>
      <c r="K423"/>
      <c r="L423"/>
      <c r="M423" s="2"/>
      <c r="Q423"/>
      <c r="R423"/>
      <c r="S423"/>
      <c r="T423"/>
      <c r="U423"/>
    </row>
    <row r="424" spans="10:21" s="1" customFormat="1" x14ac:dyDescent="0.2">
      <c r="J424"/>
      <c r="K424"/>
      <c r="L424"/>
      <c r="M424" s="2"/>
      <c r="Q424"/>
      <c r="R424"/>
      <c r="S424"/>
      <c r="T424"/>
      <c r="U424"/>
    </row>
    <row r="425" spans="10:21" s="1" customFormat="1" x14ac:dyDescent="0.2">
      <c r="J425"/>
      <c r="K425"/>
      <c r="L425"/>
      <c r="M425" s="2"/>
      <c r="Q425"/>
      <c r="R425"/>
      <c r="S425"/>
      <c r="T425"/>
      <c r="U425"/>
    </row>
    <row r="426" spans="10:21" s="1" customFormat="1" x14ac:dyDescent="0.2">
      <c r="J426"/>
      <c r="K426"/>
      <c r="L426"/>
      <c r="M426" s="2"/>
      <c r="Q426"/>
      <c r="R426"/>
      <c r="S426"/>
      <c r="T426"/>
      <c r="U426"/>
    </row>
    <row r="427" spans="10:21" s="1" customFormat="1" x14ac:dyDescent="0.2">
      <c r="J427"/>
      <c r="K427"/>
      <c r="L427"/>
      <c r="M427" s="2"/>
      <c r="Q427"/>
      <c r="R427"/>
      <c r="S427"/>
      <c r="T427"/>
      <c r="U427"/>
    </row>
    <row r="428" spans="10:21" s="1" customFormat="1" x14ac:dyDescent="0.2">
      <c r="J428"/>
      <c r="K428"/>
      <c r="L428"/>
      <c r="M428" s="2"/>
      <c r="Q428"/>
      <c r="R428"/>
      <c r="S428"/>
      <c r="T428"/>
      <c r="U428"/>
    </row>
    <row r="429" spans="10:21" s="1" customFormat="1" x14ac:dyDescent="0.2">
      <c r="J429"/>
      <c r="K429"/>
      <c r="L429"/>
      <c r="M429" s="2"/>
      <c r="Q429"/>
      <c r="R429"/>
      <c r="S429"/>
      <c r="T429"/>
      <c r="U429"/>
    </row>
    <row r="430" spans="10:21" s="1" customFormat="1" x14ac:dyDescent="0.2">
      <c r="J430"/>
      <c r="K430"/>
      <c r="L430"/>
      <c r="M430" s="2"/>
      <c r="Q430"/>
      <c r="R430"/>
      <c r="S430"/>
      <c r="T430"/>
      <c r="U430"/>
    </row>
    <row r="431" spans="10:21" s="1" customFormat="1" x14ac:dyDescent="0.2">
      <c r="J431"/>
      <c r="K431"/>
      <c r="L431"/>
      <c r="M431" s="2"/>
      <c r="Q431"/>
      <c r="R431"/>
      <c r="S431"/>
      <c r="T431"/>
      <c r="U431"/>
    </row>
    <row r="432" spans="10:21" s="1" customFormat="1" x14ac:dyDescent="0.2">
      <c r="J432"/>
      <c r="K432"/>
      <c r="L432"/>
      <c r="M432" s="2"/>
      <c r="Q432"/>
      <c r="R432"/>
      <c r="S432"/>
      <c r="T432"/>
      <c r="U432"/>
    </row>
    <row r="433" spans="10:21" s="1" customFormat="1" x14ac:dyDescent="0.2">
      <c r="J433"/>
      <c r="K433"/>
      <c r="L433"/>
      <c r="M433" s="2"/>
      <c r="Q433"/>
      <c r="R433"/>
      <c r="S433"/>
      <c r="T433"/>
      <c r="U433"/>
    </row>
    <row r="434" spans="10:21" s="1" customFormat="1" x14ac:dyDescent="0.2">
      <c r="J434"/>
      <c r="K434"/>
      <c r="L434"/>
      <c r="M434" s="2"/>
      <c r="Q434"/>
      <c r="R434"/>
      <c r="S434"/>
      <c r="T434"/>
      <c r="U434"/>
    </row>
    <row r="435" spans="10:21" s="1" customFormat="1" x14ac:dyDescent="0.2">
      <c r="J435"/>
      <c r="K435"/>
      <c r="L435"/>
      <c r="M435" s="2"/>
      <c r="Q435"/>
      <c r="R435"/>
      <c r="S435"/>
      <c r="T435"/>
      <c r="U435"/>
    </row>
    <row r="436" spans="10:21" s="1" customFormat="1" x14ac:dyDescent="0.2">
      <c r="J436"/>
      <c r="K436"/>
      <c r="L436"/>
      <c r="M436" s="2"/>
      <c r="Q436"/>
      <c r="R436"/>
      <c r="S436"/>
      <c r="T436"/>
      <c r="U436"/>
    </row>
    <row r="437" spans="10:21" s="1" customFormat="1" x14ac:dyDescent="0.2">
      <c r="J437"/>
      <c r="K437"/>
      <c r="L437"/>
      <c r="M437" s="2"/>
      <c r="Q437"/>
      <c r="R437"/>
      <c r="S437"/>
      <c r="T437"/>
      <c r="U437"/>
    </row>
    <row r="438" spans="10:21" s="1" customFormat="1" x14ac:dyDescent="0.2">
      <c r="J438"/>
      <c r="K438"/>
      <c r="L438"/>
      <c r="M438" s="2"/>
      <c r="Q438"/>
      <c r="R438"/>
      <c r="S438"/>
      <c r="T438"/>
      <c r="U438"/>
    </row>
    <row r="439" spans="10:21" s="1" customFormat="1" x14ac:dyDescent="0.2">
      <c r="J439"/>
      <c r="K439"/>
      <c r="L439"/>
      <c r="M439" s="2"/>
      <c r="Q439"/>
      <c r="R439"/>
      <c r="S439"/>
      <c r="T439"/>
      <c r="U439"/>
    </row>
    <row r="440" spans="10:21" s="1" customFormat="1" x14ac:dyDescent="0.2">
      <c r="J440"/>
      <c r="K440"/>
      <c r="L440"/>
      <c r="M440" s="2"/>
      <c r="Q440"/>
      <c r="R440"/>
      <c r="S440"/>
      <c r="T440"/>
      <c r="U440"/>
    </row>
    <row r="441" spans="10:21" s="1" customFormat="1" x14ac:dyDescent="0.2">
      <c r="J441"/>
      <c r="K441"/>
      <c r="L441"/>
      <c r="M441" s="2"/>
      <c r="Q441"/>
      <c r="R441"/>
      <c r="S441"/>
      <c r="T441"/>
      <c r="U441"/>
    </row>
    <row r="442" spans="10:21" s="1" customFormat="1" x14ac:dyDescent="0.2">
      <c r="J442"/>
      <c r="K442"/>
      <c r="L442"/>
      <c r="M442" s="2"/>
      <c r="Q442"/>
      <c r="R442"/>
      <c r="S442"/>
      <c r="T442"/>
      <c r="U442"/>
    </row>
    <row r="443" spans="10:21" s="1" customFormat="1" x14ac:dyDescent="0.2">
      <c r="J443"/>
      <c r="K443"/>
      <c r="L443"/>
      <c r="M443" s="2"/>
      <c r="Q443"/>
      <c r="R443"/>
      <c r="S443"/>
      <c r="T443"/>
      <c r="U443"/>
    </row>
    <row r="444" spans="10:21" s="1" customFormat="1" x14ac:dyDescent="0.2">
      <c r="J444"/>
      <c r="K444"/>
      <c r="L444"/>
      <c r="M444" s="2"/>
      <c r="Q444"/>
      <c r="R444"/>
      <c r="S444"/>
      <c r="T444"/>
      <c r="U444"/>
    </row>
    <row r="445" spans="10:21" s="1" customFormat="1" x14ac:dyDescent="0.2">
      <c r="J445"/>
      <c r="K445"/>
      <c r="L445"/>
      <c r="M445" s="2"/>
      <c r="Q445"/>
      <c r="R445"/>
      <c r="S445"/>
      <c r="T445"/>
      <c r="U445"/>
    </row>
    <row r="446" spans="10:21" s="1" customFormat="1" x14ac:dyDescent="0.2">
      <c r="J446"/>
      <c r="K446"/>
      <c r="L446"/>
      <c r="M446" s="2"/>
      <c r="Q446"/>
      <c r="R446"/>
      <c r="S446"/>
      <c r="T446"/>
      <c r="U446"/>
    </row>
    <row r="447" spans="10:21" s="1" customFormat="1" x14ac:dyDescent="0.2">
      <c r="J447"/>
      <c r="K447"/>
      <c r="L447"/>
      <c r="M447" s="2"/>
      <c r="Q447"/>
      <c r="R447"/>
      <c r="S447"/>
      <c r="T447"/>
      <c r="U447"/>
    </row>
    <row r="448" spans="10:21" s="1" customFormat="1" x14ac:dyDescent="0.2">
      <c r="J448"/>
      <c r="K448"/>
      <c r="L448"/>
      <c r="M448" s="2"/>
      <c r="Q448"/>
      <c r="R448"/>
      <c r="S448"/>
      <c r="T448"/>
      <c r="U448"/>
    </row>
    <row r="449" spans="10:21" s="1" customFormat="1" x14ac:dyDescent="0.2">
      <c r="J449"/>
      <c r="K449"/>
      <c r="L449"/>
      <c r="M449" s="2"/>
      <c r="Q449"/>
      <c r="R449"/>
      <c r="S449"/>
      <c r="T449"/>
      <c r="U449"/>
    </row>
    <row r="450" spans="10:21" s="1" customFormat="1" x14ac:dyDescent="0.2">
      <c r="J450"/>
      <c r="K450"/>
      <c r="L450"/>
      <c r="M450" s="2"/>
      <c r="Q450"/>
      <c r="R450"/>
      <c r="S450"/>
      <c r="T450"/>
      <c r="U450"/>
    </row>
    <row r="451" spans="10:21" s="1" customFormat="1" x14ac:dyDescent="0.2">
      <c r="J451"/>
      <c r="K451"/>
      <c r="L451"/>
      <c r="M451" s="2"/>
      <c r="Q451"/>
      <c r="R451"/>
      <c r="S451"/>
      <c r="T451"/>
      <c r="U451"/>
    </row>
    <row r="452" spans="10:21" s="1" customFormat="1" x14ac:dyDescent="0.2">
      <c r="J452"/>
      <c r="K452"/>
      <c r="L452"/>
      <c r="M452" s="2"/>
      <c r="Q452"/>
      <c r="R452"/>
      <c r="S452"/>
      <c r="T452"/>
      <c r="U452"/>
    </row>
    <row r="453" spans="10:21" s="1" customFormat="1" x14ac:dyDescent="0.2">
      <c r="J453"/>
      <c r="K453"/>
      <c r="L453"/>
      <c r="M453" s="2"/>
      <c r="Q453"/>
      <c r="R453"/>
      <c r="S453"/>
      <c r="T453"/>
      <c r="U453"/>
    </row>
    <row r="454" spans="10:21" s="1" customFormat="1" x14ac:dyDescent="0.2">
      <c r="J454"/>
      <c r="K454"/>
      <c r="L454"/>
      <c r="M454" s="2"/>
      <c r="Q454"/>
      <c r="R454"/>
      <c r="S454"/>
      <c r="T454"/>
      <c r="U454"/>
    </row>
    <row r="455" spans="10:21" s="1" customFormat="1" x14ac:dyDescent="0.2">
      <c r="J455"/>
      <c r="K455"/>
      <c r="L455"/>
      <c r="M455" s="2"/>
      <c r="Q455"/>
      <c r="R455"/>
      <c r="S455"/>
      <c r="T455"/>
      <c r="U455"/>
    </row>
    <row r="456" spans="10:21" s="1" customFormat="1" x14ac:dyDescent="0.2">
      <c r="J456"/>
      <c r="K456"/>
      <c r="L456"/>
      <c r="M456" s="2"/>
      <c r="Q456"/>
      <c r="R456"/>
      <c r="S456"/>
      <c r="T456"/>
      <c r="U456"/>
    </row>
    <row r="457" spans="10:21" s="1" customFormat="1" x14ac:dyDescent="0.2">
      <c r="J457"/>
      <c r="K457"/>
      <c r="L457"/>
      <c r="M457" s="2"/>
      <c r="Q457"/>
      <c r="R457"/>
      <c r="S457"/>
      <c r="T457"/>
      <c r="U457"/>
    </row>
    <row r="458" spans="10:21" s="1" customFormat="1" x14ac:dyDescent="0.2">
      <c r="J458"/>
      <c r="K458"/>
      <c r="L458"/>
      <c r="M458" s="2"/>
      <c r="Q458"/>
      <c r="R458"/>
      <c r="S458"/>
      <c r="T458"/>
      <c r="U458"/>
    </row>
    <row r="459" spans="10:21" s="1" customFormat="1" x14ac:dyDescent="0.2">
      <c r="J459"/>
      <c r="K459"/>
      <c r="L459"/>
      <c r="M459" s="2"/>
      <c r="Q459"/>
      <c r="R459"/>
      <c r="S459"/>
      <c r="T459"/>
      <c r="U459"/>
    </row>
    <row r="460" spans="10:21" s="1" customFormat="1" x14ac:dyDescent="0.2">
      <c r="J460"/>
      <c r="K460"/>
      <c r="L460"/>
      <c r="M460" s="2"/>
      <c r="Q460"/>
      <c r="R460"/>
      <c r="S460"/>
      <c r="T460"/>
      <c r="U460"/>
    </row>
    <row r="461" spans="10:21" s="1" customFormat="1" x14ac:dyDescent="0.2">
      <c r="J461"/>
      <c r="K461"/>
      <c r="L461"/>
      <c r="M461" s="2"/>
      <c r="Q461"/>
      <c r="R461"/>
      <c r="S461"/>
      <c r="T461"/>
      <c r="U461"/>
    </row>
    <row r="462" spans="10:21" s="1" customFormat="1" x14ac:dyDescent="0.2">
      <c r="J462"/>
      <c r="K462"/>
      <c r="L462"/>
      <c r="M462" s="2"/>
      <c r="Q462"/>
      <c r="R462"/>
      <c r="S462"/>
      <c r="T462"/>
      <c r="U462"/>
    </row>
    <row r="463" spans="10:21" s="1" customFormat="1" x14ac:dyDescent="0.2">
      <c r="J463"/>
      <c r="K463"/>
      <c r="L463"/>
      <c r="M463" s="2"/>
      <c r="Q463"/>
      <c r="R463"/>
      <c r="S463"/>
      <c r="T463"/>
      <c r="U463"/>
    </row>
    <row r="464" spans="10:21" s="1" customFormat="1" x14ac:dyDescent="0.2">
      <c r="J464"/>
      <c r="K464"/>
      <c r="L464"/>
      <c r="M464" s="2"/>
      <c r="Q464"/>
      <c r="R464"/>
      <c r="S464"/>
      <c r="T464"/>
      <c r="U464"/>
    </row>
    <row r="465" spans="10:21" s="1" customFormat="1" x14ac:dyDescent="0.2">
      <c r="J465"/>
      <c r="K465"/>
      <c r="L465"/>
      <c r="M465" s="2"/>
      <c r="Q465"/>
      <c r="R465"/>
      <c r="S465"/>
      <c r="T465"/>
      <c r="U465"/>
    </row>
    <row r="466" spans="10:21" s="1" customFormat="1" x14ac:dyDescent="0.2">
      <c r="J466"/>
      <c r="K466"/>
      <c r="L466"/>
      <c r="M466" s="2"/>
      <c r="Q466"/>
      <c r="R466"/>
      <c r="S466"/>
      <c r="T466"/>
      <c r="U466"/>
    </row>
    <row r="467" spans="10:21" s="1" customFormat="1" x14ac:dyDescent="0.2">
      <c r="J467"/>
      <c r="K467"/>
      <c r="L467"/>
      <c r="M467" s="2"/>
      <c r="Q467"/>
      <c r="R467"/>
      <c r="S467"/>
      <c r="T467"/>
      <c r="U467"/>
    </row>
    <row r="468" spans="10:21" s="1" customFormat="1" x14ac:dyDescent="0.2">
      <c r="J468"/>
      <c r="K468"/>
      <c r="L468"/>
      <c r="M468" s="2"/>
      <c r="Q468"/>
      <c r="R468"/>
      <c r="S468"/>
      <c r="T468"/>
      <c r="U468"/>
    </row>
    <row r="469" spans="10:21" s="1" customFormat="1" x14ac:dyDescent="0.2">
      <c r="J469"/>
      <c r="K469"/>
      <c r="L469"/>
      <c r="M469" s="2"/>
      <c r="Q469"/>
      <c r="R469"/>
      <c r="S469"/>
      <c r="T469"/>
      <c r="U469"/>
    </row>
    <row r="470" spans="10:21" s="1" customFormat="1" x14ac:dyDescent="0.2">
      <c r="J470"/>
      <c r="K470"/>
      <c r="L470"/>
      <c r="M470" s="2"/>
      <c r="Q470"/>
      <c r="R470"/>
      <c r="S470"/>
      <c r="T470"/>
      <c r="U470"/>
    </row>
    <row r="471" spans="10:21" s="1" customFormat="1" x14ac:dyDescent="0.2">
      <c r="J471"/>
      <c r="K471"/>
      <c r="L471"/>
      <c r="M471" s="2"/>
      <c r="Q471"/>
      <c r="R471"/>
      <c r="S471"/>
      <c r="T471"/>
      <c r="U471"/>
    </row>
    <row r="472" spans="10:21" s="1" customFormat="1" x14ac:dyDescent="0.2">
      <c r="J472"/>
      <c r="K472"/>
      <c r="L472"/>
      <c r="M472" s="2"/>
      <c r="Q472"/>
      <c r="R472"/>
      <c r="S472"/>
      <c r="T472"/>
      <c r="U472"/>
    </row>
    <row r="473" spans="10:21" s="1" customFormat="1" x14ac:dyDescent="0.2">
      <c r="J473"/>
      <c r="K473"/>
      <c r="L473"/>
      <c r="M473" s="2"/>
      <c r="Q473"/>
      <c r="R473"/>
      <c r="S473"/>
      <c r="T473"/>
      <c r="U473"/>
    </row>
    <row r="474" spans="10:21" s="1" customFormat="1" x14ac:dyDescent="0.2">
      <c r="J474"/>
      <c r="K474"/>
      <c r="L474"/>
      <c r="M474" s="2"/>
      <c r="Q474"/>
      <c r="R474"/>
      <c r="S474"/>
      <c r="T474"/>
      <c r="U474"/>
    </row>
    <row r="475" spans="10:21" s="1" customFormat="1" x14ac:dyDescent="0.2">
      <c r="J475"/>
      <c r="K475"/>
      <c r="L475"/>
      <c r="M475" s="2"/>
      <c r="Q475"/>
      <c r="R475"/>
      <c r="S475"/>
      <c r="T475"/>
      <c r="U475"/>
    </row>
    <row r="476" spans="10:21" s="1" customFormat="1" x14ac:dyDescent="0.2">
      <c r="J476"/>
      <c r="K476"/>
      <c r="L476"/>
      <c r="M476" s="2"/>
      <c r="Q476"/>
      <c r="R476"/>
      <c r="S476"/>
      <c r="T476"/>
      <c r="U476"/>
    </row>
    <row r="477" spans="10:21" s="1" customFormat="1" x14ac:dyDescent="0.2">
      <c r="J477"/>
      <c r="K477"/>
      <c r="L477"/>
      <c r="M477" s="2"/>
      <c r="Q477"/>
      <c r="R477"/>
      <c r="S477"/>
      <c r="T477"/>
      <c r="U477"/>
    </row>
    <row r="478" spans="10:21" s="1" customFormat="1" x14ac:dyDescent="0.2">
      <c r="J478"/>
      <c r="K478"/>
      <c r="L478"/>
      <c r="M478" s="2"/>
      <c r="Q478"/>
      <c r="R478"/>
      <c r="S478"/>
      <c r="T478"/>
      <c r="U478"/>
    </row>
    <row r="479" spans="10:21" s="1" customFormat="1" x14ac:dyDescent="0.2">
      <c r="J479"/>
      <c r="K479"/>
      <c r="L479"/>
      <c r="M479" s="2"/>
      <c r="Q479"/>
      <c r="R479"/>
      <c r="S479"/>
      <c r="T479"/>
      <c r="U479"/>
    </row>
    <row r="480" spans="10:21" s="1" customFormat="1" x14ac:dyDescent="0.2">
      <c r="J480"/>
      <c r="K480"/>
      <c r="L480"/>
      <c r="M480" s="2"/>
      <c r="Q480"/>
      <c r="R480"/>
      <c r="S480"/>
      <c r="T480"/>
      <c r="U480"/>
    </row>
    <row r="481" spans="10:21" s="1" customFormat="1" x14ac:dyDescent="0.2">
      <c r="J481"/>
      <c r="K481"/>
      <c r="L481"/>
      <c r="M481" s="2"/>
      <c r="Q481"/>
      <c r="R481"/>
      <c r="S481"/>
      <c r="T481"/>
      <c r="U481"/>
    </row>
    <row r="482" spans="10:21" s="1" customFormat="1" x14ac:dyDescent="0.2">
      <c r="J482"/>
      <c r="K482"/>
      <c r="L482"/>
      <c r="M482" s="2"/>
      <c r="Q482"/>
      <c r="R482"/>
      <c r="S482"/>
      <c r="T482"/>
      <c r="U482"/>
    </row>
    <row r="483" spans="10:21" s="1" customFormat="1" x14ac:dyDescent="0.2">
      <c r="J483"/>
      <c r="K483"/>
      <c r="L483"/>
      <c r="M483" s="2"/>
      <c r="Q483"/>
      <c r="R483"/>
      <c r="S483"/>
      <c r="T483"/>
      <c r="U483"/>
    </row>
    <row r="484" spans="10:21" s="1" customFormat="1" x14ac:dyDescent="0.2">
      <c r="J484"/>
      <c r="K484"/>
      <c r="L484"/>
      <c r="M484" s="2"/>
      <c r="Q484"/>
      <c r="R484"/>
      <c r="S484"/>
      <c r="T484"/>
      <c r="U484"/>
    </row>
    <row r="485" spans="10:21" s="1" customFormat="1" x14ac:dyDescent="0.2">
      <c r="J485"/>
      <c r="K485"/>
      <c r="L485"/>
      <c r="M485" s="2"/>
      <c r="Q485"/>
      <c r="R485"/>
      <c r="S485"/>
      <c r="T485"/>
      <c r="U485"/>
    </row>
    <row r="486" spans="10:21" s="1" customFormat="1" x14ac:dyDescent="0.2">
      <c r="J486"/>
      <c r="K486"/>
      <c r="L486"/>
      <c r="M486" s="2"/>
      <c r="Q486"/>
      <c r="R486"/>
      <c r="S486"/>
      <c r="T486"/>
      <c r="U486"/>
    </row>
    <row r="487" spans="10:21" s="1" customFormat="1" x14ac:dyDescent="0.2">
      <c r="J487"/>
      <c r="K487"/>
      <c r="L487"/>
      <c r="M487" s="2"/>
      <c r="Q487"/>
      <c r="R487"/>
      <c r="S487"/>
      <c r="T487"/>
      <c r="U487"/>
    </row>
    <row r="488" spans="10:21" s="1" customFormat="1" x14ac:dyDescent="0.2">
      <c r="J488"/>
      <c r="K488"/>
      <c r="L488"/>
      <c r="M488" s="2"/>
      <c r="Q488"/>
      <c r="R488"/>
      <c r="S488"/>
      <c r="T488"/>
      <c r="U488"/>
    </row>
    <row r="489" spans="10:21" s="1" customFormat="1" x14ac:dyDescent="0.2">
      <c r="J489"/>
      <c r="K489"/>
      <c r="L489"/>
      <c r="M489" s="2"/>
      <c r="Q489"/>
      <c r="R489"/>
      <c r="S489"/>
      <c r="T489"/>
      <c r="U489"/>
    </row>
    <row r="490" spans="10:21" s="1" customFormat="1" x14ac:dyDescent="0.2">
      <c r="J490"/>
      <c r="K490"/>
      <c r="L490"/>
      <c r="M490" s="2"/>
      <c r="Q490"/>
      <c r="R490"/>
      <c r="S490"/>
      <c r="T490"/>
      <c r="U490"/>
    </row>
    <row r="491" spans="10:21" s="1" customFormat="1" x14ac:dyDescent="0.2">
      <c r="J491"/>
      <c r="K491"/>
      <c r="L491"/>
      <c r="M491" s="2"/>
      <c r="Q491"/>
      <c r="R491"/>
      <c r="S491"/>
      <c r="T491"/>
      <c r="U491"/>
    </row>
    <row r="492" spans="10:21" s="1" customFormat="1" x14ac:dyDescent="0.2">
      <c r="J492"/>
      <c r="K492"/>
      <c r="L492"/>
      <c r="M492" s="2"/>
      <c r="Q492"/>
      <c r="R492"/>
      <c r="S492"/>
      <c r="T492"/>
      <c r="U492"/>
    </row>
    <row r="493" spans="10:21" s="1" customFormat="1" x14ac:dyDescent="0.2">
      <c r="J493"/>
      <c r="K493"/>
      <c r="L493"/>
      <c r="M493" s="2"/>
      <c r="Q493"/>
      <c r="R493"/>
      <c r="S493"/>
      <c r="T493"/>
      <c r="U493"/>
    </row>
    <row r="494" spans="10:21" s="1" customFormat="1" x14ac:dyDescent="0.2">
      <c r="J494"/>
      <c r="K494"/>
      <c r="L494"/>
      <c r="M494" s="2"/>
      <c r="Q494"/>
      <c r="R494"/>
      <c r="S494"/>
      <c r="T494"/>
      <c r="U494"/>
    </row>
    <row r="495" spans="10:21" s="1" customFormat="1" x14ac:dyDescent="0.2">
      <c r="J495"/>
      <c r="K495"/>
      <c r="L495"/>
      <c r="M495" s="2"/>
      <c r="Q495"/>
      <c r="R495"/>
      <c r="S495"/>
      <c r="T495"/>
      <c r="U495"/>
    </row>
    <row r="496" spans="10:21" s="1" customFormat="1" x14ac:dyDescent="0.2">
      <c r="J496"/>
      <c r="K496"/>
      <c r="L496"/>
      <c r="M496" s="2"/>
      <c r="Q496"/>
      <c r="R496"/>
      <c r="S496"/>
      <c r="T496"/>
      <c r="U496"/>
    </row>
    <row r="497" spans="10:21" s="1" customFormat="1" x14ac:dyDescent="0.2">
      <c r="J497"/>
      <c r="K497"/>
      <c r="L497"/>
      <c r="M497" s="2"/>
      <c r="Q497"/>
      <c r="R497"/>
      <c r="S497"/>
      <c r="T497"/>
      <c r="U497"/>
    </row>
    <row r="498" spans="10:21" s="1" customFormat="1" x14ac:dyDescent="0.2">
      <c r="J498"/>
      <c r="K498"/>
      <c r="L498"/>
      <c r="M498" s="2"/>
      <c r="Q498"/>
      <c r="R498"/>
      <c r="S498"/>
      <c r="T498"/>
      <c r="U498"/>
    </row>
    <row r="499" spans="10:21" s="1" customFormat="1" x14ac:dyDescent="0.2">
      <c r="J499"/>
      <c r="K499"/>
      <c r="L499"/>
      <c r="M499" s="2"/>
      <c r="Q499"/>
      <c r="R499"/>
      <c r="S499"/>
      <c r="T499"/>
      <c r="U499"/>
    </row>
    <row r="500" spans="10:21" s="1" customFormat="1" x14ac:dyDescent="0.2">
      <c r="J500"/>
      <c r="K500"/>
      <c r="L500"/>
      <c r="M500" s="2"/>
      <c r="Q500"/>
      <c r="R500"/>
      <c r="S500"/>
      <c r="T500"/>
      <c r="U500"/>
    </row>
    <row r="501" spans="10:21" s="1" customFormat="1" x14ac:dyDescent="0.2">
      <c r="J501"/>
      <c r="K501"/>
      <c r="L501"/>
      <c r="M501" s="2"/>
      <c r="Q501"/>
      <c r="R501"/>
      <c r="S501"/>
      <c r="T501"/>
      <c r="U501"/>
    </row>
    <row r="502" spans="10:21" s="1" customFormat="1" x14ac:dyDescent="0.2">
      <c r="J502"/>
      <c r="K502"/>
      <c r="L502"/>
      <c r="M502" s="2"/>
      <c r="Q502"/>
      <c r="R502"/>
      <c r="S502"/>
      <c r="T502"/>
      <c r="U502"/>
    </row>
    <row r="503" spans="10:21" s="1" customFormat="1" x14ac:dyDescent="0.2">
      <c r="J503"/>
      <c r="K503"/>
      <c r="L503"/>
      <c r="M503" s="2"/>
      <c r="Q503"/>
      <c r="R503"/>
      <c r="S503"/>
      <c r="T503"/>
      <c r="U503"/>
    </row>
    <row r="504" spans="10:21" s="1" customFormat="1" x14ac:dyDescent="0.2">
      <c r="J504"/>
      <c r="K504"/>
      <c r="L504"/>
      <c r="M504" s="2"/>
      <c r="Q504"/>
      <c r="R504"/>
      <c r="S504"/>
      <c r="T504"/>
      <c r="U504"/>
    </row>
    <row r="505" spans="10:21" s="1" customFormat="1" x14ac:dyDescent="0.2">
      <c r="J505"/>
      <c r="K505"/>
      <c r="L505"/>
      <c r="M505" s="2"/>
      <c r="Q505"/>
      <c r="R505"/>
      <c r="S505"/>
      <c r="T505"/>
      <c r="U505"/>
    </row>
    <row r="506" spans="10:21" s="1" customFormat="1" x14ac:dyDescent="0.2">
      <c r="J506"/>
      <c r="K506"/>
      <c r="L506"/>
      <c r="M506" s="2"/>
      <c r="Q506"/>
      <c r="R506"/>
      <c r="S506"/>
      <c r="T506"/>
      <c r="U506"/>
    </row>
    <row r="507" spans="10:21" s="1" customFormat="1" x14ac:dyDescent="0.2">
      <c r="J507"/>
      <c r="K507"/>
      <c r="L507"/>
      <c r="M507" s="2"/>
      <c r="Q507"/>
      <c r="R507"/>
      <c r="S507"/>
      <c r="T507"/>
      <c r="U507"/>
    </row>
    <row r="508" spans="10:21" s="1" customFormat="1" x14ac:dyDescent="0.2">
      <c r="J508"/>
      <c r="K508"/>
      <c r="L508"/>
      <c r="M508" s="2"/>
      <c r="Q508"/>
      <c r="R508"/>
      <c r="S508"/>
      <c r="T508"/>
      <c r="U508"/>
    </row>
    <row r="509" spans="10:21" s="1" customFormat="1" x14ac:dyDescent="0.2">
      <c r="J509"/>
      <c r="K509"/>
      <c r="L509"/>
      <c r="M509" s="2"/>
      <c r="Q509"/>
      <c r="R509"/>
      <c r="S509"/>
      <c r="T509"/>
      <c r="U509"/>
    </row>
    <row r="510" spans="10:21" s="1" customFormat="1" x14ac:dyDescent="0.2">
      <c r="J510"/>
      <c r="K510"/>
      <c r="L510"/>
      <c r="M510" s="2"/>
      <c r="Q510"/>
      <c r="R510"/>
      <c r="S510"/>
      <c r="T510"/>
      <c r="U510"/>
    </row>
    <row r="511" spans="10:21" s="1" customFormat="1" x14ac:dyDescent="0.2">
      <c r="J511"/>
      <c r="K511"/>
      <c r="L511"/>
      <c r="M511" s="2"/>
      <c r="Q511"/>
      <c r="R511"/>
      <c r="S511"/>
      <c r="T511"/>
      <c r="U511"/>
    </row>
    <row r="512" spans="10:21" s="1" customFormat="1" x14ac:dyDescent="0.2">
      <c r="J512"/>
      <c r="K512"/>
      <c r="L512"/>
      <c r="M512" s="2"/>
      <c r="Q512"/>
      <c r="R512"/>
      <c r="S512"/>
      <c r="T512"/>
      <c r="U512"/>
    </row>
    <row r="513" spans="10:21" s="1" customFormat="1" x14ac:dyDescent="0.2">
      <c r="J513"/>
      <c r="K513"/>
      <c r="L513"/>
      <c r="M513" s="2"/>
      <c r="Q513"/>
      <c r="R513"/>
      <c r="S513"/>
      <c r="T513"/>
      <c r="U513"/>
    </row>
    <row r="514" spans="10:21" s="1" customFormat="1" x14ac:dyDescent="0.2">
      <c r="J514"/>
      <c r="K514"/>
      <c r="L514"/>
      <c r="M514" s="2"/>
      <c r="Q514"/>
      <c r="R514"/>
      <c r="S514"/>
      <c r="T514"/>
      <c r="U514"/>
    </row>
    <row r="515" spans="10:21" s="1" customFormat="1" x14ac:dyDescent="0.2">
      <c r="J515"/>
      <c r="K515"/>
      <c r="L515"/>
      <c r="M515" s="2"/>
      <c r="Q515"/>
      <c r="R515"/>
      <c r="S515"/>
      <c r="T515"/>
      <c r="U515"/>
    </row>
    <row r="516" spans="10:21" s="1" customFormat="1" x14ac:dyDescent="0.2">
      <c r="J516"/>
      <c r="K516"/>
      <c r="L516"/>
      <c r="M516" s="2"/>
      <c r="Q516"/>
      <c r="R516"/>
      <c r="S516"/>
      <c r="T516"/>
      <c r="U516"/>
    </row>
    <row r="517" spans="10:21" s="1" customFormat="1" x14ac:dyDescent="0.2">
      <c r="J517"/>
      <c r="K517"/>
      <c r="L517"/>
      <c r="M517" s="2"/>
      <c r="Q517"/>
      <c r="R517"/>
      <c r="S517"/>
      <c r="T517"/>
      <c r="U517"/>
    </row>
    <row r="518" spans="10:21" s="1" customFormat="1" x14ac:dyDescent="0.2">
      <c r="J518"/>
      <c r="K518"/>
      <c r="L518"/>
      <c r="M518" s="2"/>
      <c r="Q518"/>
      <c r="R518"/>
      <c r="S518"/>
      <c r="T518"/>
      <c r="U518"/>
    </row>
    <row r="519" spans="10:21" s="1" customFormat="1" x14ac:dyDescent="0.2">
      <c r="J519"/>
      <c r="K519"/>
      <c r="L519"/>
      <c r="M519" s="2"/>
      <c r="Q519"/>
      <c r="R519"/>
      <c r="S519"/>
      <c r="T519"/>
      <c r="U519"/>
    </row>
    <row r="520" spans="10:21" s="1" customFormat="1" x14ac:dyDescent="0.2">
      <c r="J520"/>
      <c r="K520"/>
      <c r="L520"/>
      <c r="M520" s="2"/>
      <c r="Q520"/>
      <c r="R520"/>
      <c r="S520"/>
      <c r="T520"/>
      <c r="U520"/>
    </row>
    <row r="521" spans="10:21" s="1" customFormat="1" x14ac:dyDescent="0.2">
      <c r="J521"/>
      <c r="K521"/>
      <c r="L521"/>
      <c r="M521" s="2"/>
      <c r="Q521"/>
      <c r="R521"/>
      <c r="S521"/>
      <c r="T521"/>
      <c r="U521"/>
    </row>
    <row r="522" spans="10:21" s="1" customFormat="1" x14ac:dyDescent="0.2">
      <c r="J522"/>
      <c r="K522"/>
      <c r="L522"/>
      <c r="M522" s="2"/>
      <c r="Q522"/>
      <c r="R522"/>
      <c r="S522"/>
      <c r="T522"/>
      <c r="U522"/>
    </row>
    <row r="523" spans="10:21" s="1" customFormat="1" x14ac:dyDescent="0.2">
      <c r="J523"/>
      <c r="K523"/>
      <c r="L523"/>
      <c r="M523" s="2"/>
      <c r="Q523"/>
      <c r="R523"/>
      <c r="S523"/>
      <c r="T523"/>
      <c r="U523"/>
    </row>
    <row r="524" spans="10:21" s="1" customFormat="1" x14ac:dyDescent="0.2">
      <c r="J524"/>
      <c r="K524"/>
      <c r="L524"/>
      <c r="M524" s="2"/>
      <c r="Q524"/>
      <c r="R524"/>
      <c r="S524"/>
      <c r="T524"/>
      <c r="U524"/>
    </row>
    <row r="525" spans="10:21" s="1" customFormat="1" x14ac:dyDescent="0.2">
      <c r="J525"/>
      <c r="K525"/>
      <c r="L525"/>
      <c r="M525" s="2"/>
      <c r="Q525"/>
      <c r="R525"/>
      <c r="S525"/>
      <c r="T525"/>
      <c r="U525"/>
    </row>
    <row r="526" spans="10:21" s="1" customFormat="1" x14ac:dyDescent="0.2">
      <c r="J526"/>
      <c r="K526"/>
      <c r="L526"/>
      <c r="M526" s="2"/>
      <c r="Q526"/>
      <c r="R526"/>
      <c r="S526"/>
      <c r="T526"/>
      <c r="U526"/>
    </row>
    <row r="527" spans="10:21" s="1" customFormat="1" x14ac:dyDescent="0.2">
      <c r="J527"/>
      <c r="K527"/>
      <c r="L527"/>
      <c r="M527" s="2"/>
      <c r="Q527"/>
      <c r="R527"/>
      <c r="S527"/>
      <c r="T527"/>
      <c r="U527"/>
    </row>
    <row r="528" spans="10:21" s="1" customFormat="1" x14ac:dyDescent="0.2">
      <c r="J528"/>
      <c r="K528"/>
      <c r="L528"/>
      <c r="M528" s="2"/>
      <c r="Q528"/>
      <c r="R528"/>
      <c r="S528"/>
      <c r="T528"/>
      <c r="U528"/>
    </row>
    <row r="529" spans="10:21" s="1" customFormat="1" x14ac:dyDescent="0.2">
      <c r="J529"/>
      <c r="K529"/>
      <c r="L529"/>
      <c r="M529" s="2"/>
      <c r="Q529"/>
      <c r="R529"/>
      <c r="S529"/>
      <c r="T529"/>
      <c r="U529"/>
    </row>
    <row r="530" spans="10:21" s="1" customFormat="1" x14ac:dyDescent="0.2">
      <c r="J530"/>
      <c r="K530"/>
      <c r="L530"/>
      <c r="M530" s="2"/>
      <c r="Q530"/>
      <c r="R530"/>
      <c r="S530"/>
      <c r="T530"/>
      <c r="U530"/>
    </row>
    <row r="531" spans="10:21" s="1" customFormat="1" x14ac:dyDescent="0.2">
      <c r="J531"/>
      <c r="K531"/>
      <c r="L531"/>
      <c r="M531" s="2"/>
      <c r="Q531"/>
      <c r="R531"/>
      <c r="S531"/>
      <c r="T531"/>
      <c r="U531"/>
    </row>
    <row r="532" spans="10:21" s="1" customFormat="1" x14ac:dyDescent="0.2">
      <c r="J532"/>
      <c r="K532"/>
      <c r="L532"/>
      <c r="M532" s="2"/>
      <c r="Q532"/>
      <c r="R532"/>
      <c r="S532"/>
      <c r="T532"/>
      <c r="U532"/>
    </row>
    <row r="533" spans="10:21" s="1" customFormat="1" x14ac:dyDescent="0.2">
      <c r="J533"/>
      <c r="K533"/>
      <c r="L533"/>
      <c r="M533" s="2"/>
      <c r="Q533"/>
      <c r="R533"/>
      <c r="S533"/>
      <c r="T533"/>
      <c r="U533"/>
    </row>
    <row r="534" spans="10:21" s="1" customFormat="1" x14ac:dyDescent="0.2">
      <c r="J534"/>
      <c r="K534"/>
      <c r="L534"/>
      <c r="M534" s="2"/>
      <c r="Q534"/>
      <c r="R534"/>
      <c r="S534"/>
      <c r="T534"/>
      <c r="U534"/>
    </row>
    <row r="535" spans="10:21" s="1" customFormat="1" x14ac:dyDescent="0.2">
      <c r="J535"/>
      <c r="K535"/>
      <c r="L535"/>
      <c r="M535" s="2"/>
      <c r="Q535"/>
      <c r="R535"/>
      <c r="S535"/>
      <c r="T535"/>
      <c r="U535"/>
    </row>
    <row r="536" spans="10:21" s="1" customFormat="1" x14ac:dyDescent="0.2">
      <c r="J536"/>
      <c r="K536"/>
      <c r="L536"/>
      <c r="M536" s="2"/>
      <c r="Q536"/>
      <c r="R536"/>
      <c r="S536"/>
      <c r="T536"/>
      <c r="U536"/>
    </row>
    <row r="537" spans="10:21" s="1" customFormat="1" x14ac:dyDescent="0.2">
      <c r="J537"/>
      <c r="K537"/>
      <c r="L537"/>
      <c r="M537" s="2"/>
      <c r="Q537"/>
      <c r="R537"/>
      <c r="S537"/>
      <c r="T537"/>
      <c r="U537"/>
    </row>
    <row r="538" spans="10:21" s="1" customFormat="1" x14ac:dyDescent="0.2">
      <c r="J538"/>
      <c r="K538"/>
      <c r="L538"/>
      <c r="M538" s="2"/>
      <c r="Q538"/>
      <c r="R538"/>
      <c r="S538"/>
      <c r="T538"/>
      <c r="U538"/>
    </row>
    <row r="539" spans="10:21" s="1" customFormat="1" x14ac:dyDescent="0.2">
      <c r="J539"/>
      <c r="K539"/>
      <c r="L539"/>
      <c r="M539" s="2"/>
      <c r="Q539"/>
      <c r="R539"/>
      <c r="S539"/>
      <c r="T539"/>
      <c r="U539"/>
    </row>
    <row r="540" spans="10:21" s="1" customFormat="1" x14ac:dyDescent="0.2">
      <c r="J540"/>
      <c r="K540"/>
      <c r="L540"/>
      <c r="M540" s="2"/>
      <c r="Q540"/>
      <c r="R540"/>
      <c r="S540"/>
      <c r="T540"/>
      <c r="U540"/>
    </row>
    <row r="541" spans="10:21" s="1" customFormat="1" x14ac:dyDescent="0.2">
      <c r="J541"/>
      <c r="K541"/>
      <c r="L541"/>
      <c r="M541" s="2"/>
      <c r="Q541"/>
      <c r="R541"/>
      <c r="S541"/>
      <c r="T541"/>
      <c r="U541"/>
    </row>
    <row r="542" spans="10:21" s="1" customFormat="1" x14ac:dyDescent="0.2">
      <c r="J542"/>
      <c r="K542"/>
      <c r="L542"/>
      <c r="M542" s="2"/>
      <c r="Q542"/>
      <c r="R542"/>
      <c r="S542"/>
      <c r="T542"/>
      <c r="U542"/>
    </row>
    <row r="543" spans="10:21" s="1" customFormat="1" x14ac:dyDescent="0.2">
      <c r="J543"/>
      <c r="K543"/>
      <c r="L543"/>
      <c r="M543" s="2"/>
      <c r="Q543"/>
      <c r="R543"/>
      <c r="S543"/>
      <c r="T543"/>
      <c r="U543"/>
    </row>
    <row r="544" spans="10:21" s="1" customFormat="1" x14ac:dyDescent="0.2">
      <c r="J544"/>
      <c r="K544"/>
      <c r="L544"/>
      <c r="M544" s="2"/>
      <c r="Q544"/>
      <c r="R544"/>
      <c r="S544"/>
      <c r="T544"/>
      <c r="U544"/>
    </row>
    <row r="545" spans="10:21" s="1" customFormat="1" x14ac:dyDescent="0.2">
      <c r="J545"/>
      <c r="K545"/>
      <c r="L545"/>
      <c r="M545" s="2"/>
      <c r="Q545"/>
      <c r="R545"/>
      <c r="S545"/>
      <c r="T545"/>
      <c r="U545"/>
    </row>
    <row r="546" spans="10:21" s="1" customFormat="1" x14ac:dyDescent="0.2">
      <c r="J546"/>
      <c r="K546"/>
      <c r="L546"/>
      <c r="M546" s="2"/>
      <c r="Q546"/>
      <c r="R546"/>
      <c r="S546"/>
      <c r="T546"/>
      <c r="U546"/>
    </row>
    <row r="547" spans="10:21" s="1" customFormat="1" x14ac:dyDescent="0.2">
      <c r="J547"/>
      <c r="K547"/>
      <c r="L547"/>
      <c r="M547" s="2"/>
      <c r="Q547"/>
      <c r="R547"/>
      <c r="S547"/>
      <c r="T547"/>
      <c r="U547"/>
    </row>
    <row r="548" spans="10:21" s="1" customFormat="1" x14ac:dyDescent="0.2">
      <c r="J548"/>
      <c r="K548"/>
      <c r="L548"/>
      <c r="M548" s="2"/>
      <c r="Q548"/>
      <c r="R548"/>
      <c r="S548"/>
      <c r="T548"/>
      <c r="U548"/>
    </row>
    <row r="549" spans="10:21" s="1" customFormat="1" x14ac:dyDescent="0.2">
      <c r="J549"/>
      <c r="K549"/>
      <c r="L549"/>
      <c r="M549" s="2"/>
      <c r="Q549"/>
      <c r="R549"/>
      <c r="S549"/>
      <c r="T549"/>
      <c r="U549"/>
    </row>
    <row r="550" spans="10:21" s="1" customFormat="1" x14ac:dyDescent="0.2">
      <c r="J550"/>
      <c r="K550"/>
      <c r="L550"/>
      <c r="M550" s="2"/>
      <c r="Q550"/>
      <c r="R550"/>
      <c r="S550"/>
      <c r="T550"/>
      <c r="U550"/>
    </row>
    <row r="551" spans="10:21" s="1" customFormat="1" x14ac:dyDescent="0.2">
      <c r="J551"/>
      <c r="K551"/>
      <c r="L551"/>
      <c r="M551" s="2"/>
      <c r="Q551"/>
      <c r="R551"/>
      <c r="S551"/>
      <c r="T551"/>
      <c r="U551"/>
    </row>
    <row r="552" spans="10:21" s="1" customFormat="1" x14ac:dyDescent="0.2">
      <c r="J552"/>
      <c r="K552"/>
      <c r="L552"/>
      <c r="M552" s="2"/>
      <c r="Q552"/>
      <c r="R552"/>
      <c r="S552"/>
      <c r="T552"/>
      <c r="U552"/>
    </row>
    <row r="553" spans="10:21" s="1" customFormat="1" x14ac:dyDescent="0.2">
      <c r="J553"/>
      <c r="K553"/>
      <c r="L553"/>
      <c r="M553" s="2"/>
      <c r="Q553"/>
      <c r="R553"/>
      <c r="S553"/>
      <c r="T553"/>
      <c r="U553"/>
    </row>
    <row r="554" spans="10:21" s="1" customFormat="1" x14ac:dyDescent="0.2">
      <c r="J554"/>
      <c r="K554"/>
      <c r="L554"/>
      <c r="M554" s="2"/>
      <c r="Q554"/>
      <c r="R554"/>
      <c r="S554"/>
      <c r="T554"/>
      <c r="U554"/>
    </row>
    <row r="555" spans="10:21" s="1" customFormat="1" x14ac:dyDescent="0.2">
      <c r="J555"/>
      <c r="K555"/>
      <c r="L555"/>
      <c r="M555" s="2"/>
      <c r="Q555"/>
      <c r="R555"/>
      <c r="S555"/>
      <c r="T555"/>
      <c r="U555"/>
    </row>
    <row r="556" spans="10:21" s="1" customFormat="1" x14ac:dyDescent="0.2">
      <c r="J556"/>
      <c r="K556"/>
      <c r="L556"/>
      <c r="M556" s="2"/>
      <c r="Q556"/>
      <c r="R556"/>
      <c r="S556"/>
      <c r="T556"/>
      <c r="U556"/>
    </row>
    <row r="557" spans="10:21" s="1" customFormat="1" x14ac:dyDescent="0.2">
      <c r="J557"/>
      <c r="K557"/>
      <c r="L557"/>
      <c r="M557" s="2"/>
      <c r="Q557"/>
      <c r="R557"/>
      <c r="S557"/>
      <c r="T557"/>
      <c r="U557"/>
    </row>
    <row r="558" spans="10:21" s="1" customFormat="1" x14ac:dyDescent="0.2">
      <c r="J558"/>
      <c r="K558"/>
      <c r="L558"/>
      <c r="M558" s="2"/>
      <c r="Q558"/>
      <c r="R558"/>
      <c r="S558"/>
      <c r="T558"/>
      <c r="U558"/>
    </row>
    <row r="559" spans="10:21" s="1" customFormat="1" x14ac:dyDescent="0.2">
      <c r="J559"/>
      <c r="K559"/>
      <c r="L559"/>
      <c r="M559" s="2"/>
      <c r="Q559"/>
      <c r="R559"/>
      <c r="S559"/>
      <c r="T559"/>
      <c r="U559"/>
    </row>
    <row r="560" spans="10:21" s="1" customFormat="1" x14ac:dyDescent="0.2">
      <c r="J560"/>
      <c r="K560"/>
      <c r="L560"/>
      <c r="M560" s="2"/>
      <c r="Q560"/>
      <c r="R560"/>
      <c r="S560"/>
      <c r="T560"/>
      <c r="U560"/>
    </row>
    <row r="561" spans="10:21" s="1" customFormat="1" x14ac:dyDescent="0.2">
      <c r="J561"/>
      <c r="K561"/>
      <c r="L561"/>
      <c r="M561" s="2"/>
      <c r="Q561"/>
      <c r="R561"/>
      <c r="S561"/>
      <c r="T561"/>
      <c r="U561"/>
    </row>
    <row r="562" spans="10:21" s="1" customFormat="1" x14ac:dyDescent="0.2">
      <c r="J562"/>
      <c r="K562"/>
      <c r="L562"/>
      <c r="M562" s="2"/>
      <c r="Q562"/>
      <c r="R562"/>
      <c r="S562"/>
      <c r="T562"/>
      <c r="U562"/>
    </row>
    <row r="563" spans="10:21" s="1" customFormat="1" x14ac:dyDescent="0.2">
      <c r="J563"/>
      <c r="K563"/>
      <c r="L563"/>
      <c r="M563" s="2"/>
      <c r="Q563"/>
      <c r="R563"/>
      <c r="S563"/>
      <c r="T563"/>
      <c r="U563"/>
    </row>
    <row r="564" spans="10:21" s="1" customFormat="1" x14ac:dyDescent="0.2">
      <c r="J564"/>
      <c r="K564"/>
      <c r="L564"/>
      <c r="M564" s="2"/>
      <c r="Q564"/>
      <c r="R564"/>
      <c r="S564"/>
      <c r="T564"/>
      <c r="U564"/>
    </row>
    <row r="565" spans="10:21" s="1" customFormat="1" x14ac:dyDescent="0.2">
      <c r="J565"/>
      <c r="K565"/>
      <c r="L565"/>
      <c r="M565" s="2"/>
      <c r="Q565"/>
      <c r="R565"/>
      <c r="S565"/>
      <c r="T565"/>
      <c r="U565"/>
    </row>
    <row r="566" spans="10:21" s="1" customFormat="1" x14ac:dyDescent="0.2">
      <c r="J566"/>
      <c r="K566"/>
      <c r="L566"/>
      <c r="M566" s="2"/>
      <c r="Q566"/>
      <c r="R566"/>
      <c r="S566"/>
      <c r="T566"/>
      <c r="U566"/>
    </row>
    <row r="567" spans="10:21" s="1" customFormat="1" x14ac:dyDescent="0.2">
      <c r="J567"/>
      <c r="K567"/>
      <c r="L567"/>
      <c r="M567" s="2"/>
      <c r="Q567"/>
      <c r="R567"/>
      <c r="S567"/>
      <c r="T567"/>
      <c r="U567"/>
    </row>
    <row r="568" spans="10:21" s="1" customFormat="1" x14ac:dyDescent="0.2">
      <c r="J568"/>
      <c r="K568"/>
      <c r="L568"/>
      <c r="M568" s="2"/>
      <c r="Q568"/>
      <c r="R568"/>
      <c r="S568"/>
      <c r="T568"/>
      <c r="U568"/>
    </row>
    <row r="569" spans="10:21" s="1" customFormat="1" x14ac:dyDescent="0.2">
      <c r="J569"/>
      <c r="K569"/>
      <c r="L569"/>
      <c r="M569" s="2"/>
      <c r="Q569"/>
      <c r="R569"/>
      <c r="S569"/>
      <c r="T569"/>
      <c r="U569"/>
    </row>
    <row r="570" spans="10:21" s="1" customFormat="1" x14ac:dyDescent="0.2">
      <c r="J570"/>
      <c r="K570"/>
      <c r="L570"/>
      <c r="M570" s="2"/>
      <c r="Q570"/>
      <c r="R570"/>
      <c r="S570"/>
      <c r="T570"/>
      <c r="U570"/>
    </row>
    <row r="571" spans="10:21" s="1" customFormat="1" x14ac:dyDescent="0.2">
      <c r="J571"/>
      <c r="K571"/>
      <c r="L571"/>
      <c r="M571" s="2"/>
      <c r="Q571"/>
      <c r="R571"/>
      <c r="S571"/>
      <c r="T571"/>
      <c r="U571"/>
    </row>
    <row r="572" spans="10:21" s="1" customFormat="1" x14ac:dyDescent="0.2">
      <c r="J572"/>
      <c r="K572"/>
      <c r="L572"/>
      <c r="M572" s="2"/>
      <c r="Q572"/>
      <c r="R572"/>
      <c r="S572"/>
      <c r="T572"/>
      <c r="U572"/>
    </row>
    <row r="573" spans="10:21" s="1" customFormat="1" x14ac:dyDescent="0.2">
      <c r="J573"/>
      <c r="K573"/>
      <c r="L573"/>
      <c r="M573" s="2"/>
      <c r="Q573"/>
      <c r="R573"/>
      <c r="S573"/>
      <c r="T573"/>
      <c r="U573"/>
    </row>
    <row r="574" spans="10:21" s="1" customFormat="1" x14ac:dyDescent="0.2">
      <c r="J574"/>
      <c r="K574"/>
      <c r="L574"/>
      <c r="M574" s="2"/>
      <c r="Q574"/>
      <c r="R574"/>
      <c r="S574"/>
      <c r="T574"/>
      <c r="U574"/>
    </row>
    <row r="575" spans="10:21" s="1" customFormat="1" x14ac:dyDescent="0.2">
      <c r="J575"/>
      <c r="K575"/>
      <c r="L575"/>
      <c r="M575" s="2"/>
      <c r="Q575"/>
      <c r="R575"/>
      <c r="S575"/>
      <c r="T575"/>
      <c r="U575"/>
    </row>
    <row r="576" spans="10:21" s="1" customFormat="1" x14ac:dyDescent="0.2">
      <c r="J576"/>
      <c r="K576"/>
      <c r="L576"/>
      <c r="M576" s="2"/>
      <c r="Q576"/>
      <c r="R576"/>
      <c r="S576"/>
      <c r="T576"/>
      <c r="U576"/>
    </row>
    <row r="577" spans="10:21" s="1" customFormat="1" x14ac:dyDescent="0.2">
      <c r="J577"/>
      <c r="K577"/>
      <c r="L577"/>
      <c r="M577" s="2"/>
      <c r="Q577"/>
      <c r="R577"/>
      <c r="S577"/>
      <c r="T577"/>
      <c r="U577"/>
    </row>
    <row r="578" spans="10:21" s="1" customFormat="1" x14ac:dyDescent="0.2">
      <c r="J578"/>
      <c r="K578"/>
      <c r="L578"/>
      <c r="M578" s="2"/>
      <c r="Q578"/>
      <c r="R578"/>
      <c r="S578"/>
      <c r="T578"/>
      <c r="U578"/>
    </row>
    <row r="579" spans="10:21" s="1" customFormat="1" x14ac:dyDescent="0.2">
      <c r="J579"/>
      <c r="K579"/>
      <c r="L579"/>
      <c r="M579" s="2"/>
      <c r="Q579"/>
      <c r="R579"/>
      <c r="S579"/>
      <c r="T579"/>
      <c r="U579"/>
    </row>
    <row r="580" spans="10:21" s="1" customFormat="1" x14ac:dyDescent="0.2">
      <c r="J580"/>
      <c r="K580"/>
      <c r="L580"/>
      <c r="M580" s="2"/>
      <c r="Q580"/>
      <c r="R580"/>
      <c r="S580"/>
      <c r="T580"/>
      <c r="U580"/>
    </row>
    <row r="581" spans="10:21" s="1" customFormat="1" x14ac:dyDescent="0.2">
      <c r="J581"/>
      <c r="K581"/>
      <c r="L581"/>
      <c r="M581" s="2"/>
      <c r="Q581"/>
      <c r="R581"/>
      <c r="S581"/>
      <c r="T581"/>
      <c r="U581"/>
    </row>
    <row r="582" spans="10:21" s="1" customFormat="1" x14ac:dyDescent="0.2">
      <c r="J582"/>
      <c r="K582"/>
      <c r="L582"/>
      <c r="M582" s="2"/>
      <c r="Q582"/>
      <c r="R582"/>
      <c r="S582"/>
      <c r="T582"/>
      <c r="U582"/>
    </row>
    <row r="583" spans="10:21" s="1" customFormat="1" x14ac:dyDescent="0.2">
      <c r="J583"/>
      <c r="K583"/>
      <c r="L583"/>
      <c r="M583" s="2"/>
      <c r="Q583"/>
      <c r="R583"/>
      <c r="S583"/>
      <c r="T583"/>
      <c r="U583"/>
    </row>
    <row r="584" spans="10:21" s="1" customFormat="1" x14ac:dyDescent="0.2">
      <c r="J584"/>
      <c r="K584"/>
      <c r="L584"/>
      <c r="M584" s="2"/>
      <c r="Q584"/>
      <c r="R584"/>
      <c r="S584"/>
      <c r="T584"/>
      <c r="U584"/>
    </row>
    <row r="585" spans="10:21" s="1" customFormat="1" x14ac:dyDescent="0.2">
      <c r="J585"/>
      <c r="K585"/>
      <c r="L585"/>
      <c r="M585" s="2"/>
      <c r="Q585"/>
      <c r="R585"/>
      <c r="S585"/>
      <c r="T585"/>
      <c r="U585"/>
    </row>
    <row r="586" spans="10:21" s="1" customFormat="1" x14ac:dyDescent="0.2">
      <c r="J586"/>
      <c r="K586"/>
      <c r="L586"/>
      <c r="M586" s="2"/>
      <c r="Q586"/>
      <c r="R586"/>
      <c r="S586"/>
      <c r="T586"/>
      <c r="U586"/>
    </row>
    <row r="587" spans="10:21" s="1" customFormat="1" x14ac:dyDescent="0.2">
      <c r="J587"/>
      <c r="K587"/>
      <c r="L587"/>
      <c r="M587" s="2"/>
      <c r="Q587"/>
      <c r="R587"/>
      <c r="S587"/>
      <c r="T587"/>
      <c r="U587"/>
    </row>
    <row r="588" spans="10:21" s="1" customFormat="1" x14ac:dyDescent="0.2">
      <c r="J588"/>
      <c r="K588"/>
      <c r="L588"/>
      <c r="M588" s="2"/>
      <c r="Q588"/>
      <c r="R588"/>
      <c r="S588"/>
      <c r="T588"/>
      <c r="U588"/>
    </row>
    <row r="589" spans="10:21" s="1" customFormat="1" x14ac:dyDescent="0.2">
      <c r="J589"/>
      <c r="K589"/>
      <c r="L589"/>
      <c r="M589" s="2"/>
      <c r="Q589"/>
      <c r="R589"/>
      <c r="S589"/>
      <c r="T589"/>
      <c r="U589"/>
    </row>
    <row r="590" spans="10:21" s="1" customFormat="1" x14ac:dyDescent="0.2">
      <c r="J590"/>
      <c r="K590"/>
      <c r="L590"/>
      <c r="M590" s="2"/>
      <c r="Q590"/>
      <c r="R590"/>
      <c r="S590"/>
      <c r="T590"/>
      <c r="U590"/>
    </row>
    <row r="591" spans="10:21" s="1" customFormat="1" x14ac:dyDescent="0.2">
      <c r="J591"/>
      <c r="K591"/>
      <c r="L591"/>
      <c r="M591" s="2"/>
      <c r="Q591"/>
      <c r="R591"/>
      <c r="S591"/>
      <c r="T591"/>
      <c r="U591"/>
    </row>
    <row r="592" spans="10:21" s="1" customFormat="1" x14ac:dyDescent="0.2">
      <c r="J592"/>
      <c r="K592"/>
      <c r="L592"/>
      <c r="M592" s="2"/>
      <c r="Q592"/>
      <c r="R592"/>
      <c r="S592"/>
      <c r="T592"/>
      <c r="U592"/>
    </row>
    <row r="593" spans="10:21" s="1" customFormat="1" x14ac:dyDescent="0.2">
      <c r="J593"/>
      <c r="K593"/>
      <c r="L593"/>
      <c r="M593" s="2"/>
      <c r="Q593"/>
      <c r="R593"/>
      <c r="S593"/>
      <c r="T593"/>
      <c r="U593"/>
    </row>
    <row r="594" spans="10:21" s="1" customFormat="1" x14ac:dyDescent="0.2">
      <c r="J594"/>
      <c r="K594"/>
      <c r="L594"/>
      <c r="M594" s="2"/>
      <c r="Q594"/>
      <c r="R594"/>
      <c r="S594"/>
      <c r="T594"/>
      <c r="U594"/>
    </row>
    <row r="595" spans="10:21" s="1" customFormat="1" x14ac:dyDescent="0.2">
      <c r="J595"/>
      <c r="K595"/>
      <c r="L595"/>
      <c r="M595" s="2"/>
      <c r="Q595"/>
      <c r="R595"/>
      <c r="S595"/>
      <c r="T595"/>
      <c r="U595"/>
    </row>
    <row r="596" spans="10:21" s="1" customFormat="1" x14ac:dyDescent="0.2">
      <c r="J596"/>
      <c r="K596"/>
      <c r="L596"/>
      <c r="M596" s="2"/>
      <c r="Q596"/>
      <c r="R596"/>
      <c r="S596"/>
      <c r="T596"/>
      <c r="U596"/>
    </row>
    <row r="597" spans="10:21" s="1" customFormat="1" x14ac:dyDescent="0.2">
      <c r="J597"/>
      <c r="K597"/>
      <c r="L597"/>
      <c r="M597" s="2"/>
      <c r="Q597"/>
      <c r="R597"/>
      <c r="S597"/>
      <c r="T597"/>
      <c r="U597"/>
    </row>
    <row r="598" spans="10:21" s="1" customFormat="1" x14ac:dyDescent="0.2">
      <c r="J598"/>
      <c r="K598"/>
      <c r="L598"/>
      <c r="M598" s="2"/>
      <c r="Q598"/>
      <c r="R598"/>
      <c r="S598"/>
      <c r="T598"/>
      <c r="U598"/>
    </row>
    <row r="599" spans="10:21" s="1" customFormat="1" x14ac:dyDescent="0.2">
      <c r="J599"/>
      <c r="K599"/>
      <c r="L599"/>
      <c r="M599" s="2"/>
      <c r="Q599"/>
      <c r="R599"/>
      <c r="S599"/>
      <c r="T599"/>
      <c r="U599"/>
    </row>
    <row r="600" spans="10:21" s="1" customFormat="1" x14ac:dyDescent="0.2">
      <c r="J600"/>
      <c r="K600"/>
      <c r="L600"/>
      <c r="M600" s="2"/>
      <c r="Q600"/>
      <c r="R600"/>
      <c r="S600"/>
      <c r="T600"/>
      <c r="U600"/>
    </row>
    <row r="601" spans="10:21" s="1" customFormat="1" x14ac:dyDescent="0.2">
      <c r="J601"/>
      <c r="K601"/>
      <c r="L601"/>
      <c r="M601" s="2"/>
      <c r="Q601"/>
      <c r="R601"/>
      <c r="S601"/>
      <c r="T601"/>
      <c r="U601"/>
    </row>
    <row r="602" spans="10:21" s="1" customFormat="1" x14ac:dyDescent="0.2">
      <c r="J602"/>
      <c r="K602"/>
      <c r="L602"/>
      <c r="M602" s="2"/>
      <c r="Q602"/>
      <c r="R602"/>
      <c r="S602"/>
      <c r="T602"/>
      <c r="U602"/>
    </row>
    <row r="603" spans="10:21" s="1" customFormat="1" x14ac:dyDescent="0.2">
      <c r="J603"/>
      <c r="K603"/>
      <c r="L603"/>
      <c r="M603" s="2"/>
      <c r="Q603"/>
      <c r="R603"/>
      <c r="S603"/>
      <c r="T603"/>
      <c r="U603"/>
    </row>
    <row r="604" spans="10:21" s="1" customFormat="1" x14ac:dyDescent="0.2">
      <c r="J604"/>
      <c r="K604"/>
      <c r="L604"/>
      <c r="M604" s="2"/>
      <c r="Q604"/>
      <c r="R604"/>
      <c r="S604"/>
      <c r="T604"/>
      <c r="U604"/>
    </row>
    <row r="605" spans="10:21" s="1" customFormat="1" x14ac:dyDescent="0.2">
      <c r="J605"/>
      <c r="K605"/>
      <c r="L605"/>
      <c r="M605" s="2"/>
      <c r="Q605"/>
      <c r="R605"/>
      <c r="S605"/>
      <c r="T605"/>
      <c r="U605"/>
    </row>
    <row r="606" spans="10:21" s="1" customFormat="1" x14ac:dyDescent="0.2">
      <c r="J606"/>
      <c r="K606"/>
      <c r="L606"/>
      <c r="M606" s="2"/>
      <c r="Q606"/>
      <c r="R606"/>
      <c r="S606"/>
      <c r="T606"/>
      <c r="U606"/>
    </row>
    <row r="607" spans="10:21" s="1" customFormat="1" x14ac:dyDescent="0.2">
      <c r="J607"/>
      <c r="K607"/>
      <c r="L607"/>
      <c r="M607" s="2"/>
      <c r="Q607"/>
      <c r="R607"/>
      <c r="S607"/>
      <c r="T607"/>
      <c r="U607"/>
    </row>
    <row r="608" spans="10:21" s="1" customFormat="1" x14ac:dyDescent="0.2">
      <c r="J608"/>
      <c r="K608"/>
      <c r="L608"/>
      <c r="M608" s="2"/>
      <c r="Q608"/>
      <c r="R608"/>
      <c r="S608"/>
      <c r="T608"/>
      <c r="U608"/>
    </row>
    <row r="609" spans="10:21" s="1" customFormat="1" x14ac:dyDescent="0.2">
      <c r="J609"/>
      <c r="K609"/>
      <c r="L609"/>
      <c r="M609" s="2"/>
      <c r="Q609"/>
      <c r="R609"/>
      <c r="S609"/>
      <c r="T609"/>
      <c r="U609"/>
    </row>
    <row r="610" spans="10:21" s="1" customFormat="1" x14ac:dyDescent="0.2">
      <c r="J610"/>
      <c r="K610"/>
      <c r="L610"/>
      <c r="M610" s="2"/>
      <c r="Q610"/>
      <c r="R610"/>
      <c r="S610"/>
      <c r="T610"/>
      <c r="U610"/>
    </row>
    <row r="611" spans="10:21" s="1" customFormat="1" x14ac:dyDescent="0.2">
      <c r="J611"/>
      <c r="K611"/>
      <c r="L611"/>
      <c r="M611" s="2"/>
      <c r="Q611"/>
      <c r="R611"/>
      <c r="S611"/>
      <c r="T611"/>
      <c r="U611"/>
    </row>
    <row r="612" spans="10:21" s="1" customFormat="1" x14ac:dyDescent="0.2">
      <c r="J612"/>
      <c r="K612"/>
      <c r="L612"/>
      <c r="M612" s="2"/>
      <c r="Q612"/>
      <c r="R612"/>
      <c r="S612"/>
      <c r="T612"/>
      <c r="U612"/>
    </row>
    <row r="613" spans="10:21" s="1" customFormat="1" x14ac:dyDescent="0.2">
      <c r="J613"/>
      <c r="K613"/>
      <c r="L613"/>
      <c r="M613" s="2"/>
      <c r="Q613"/>
      <c r="R613"/>
      <c r="S613"/>
      <c r="T613"/>
      <c r="U613"/>
    </row>
    <row r="614" spans="10:21" s="1" customFormat="1" x14ac:dyDescent="0.2">
      <c r="J614"/>
      <c r="K614"/>
      <c r="L614"/>
      <c r="M614" s="2"/>
      <c r="Q614"/>
      <c r="R614"/>
      <c r="S614"/>
      <c r="T614"/>
      <c r="U614"/>
    </row>
    <row r="615" spans="10:21" s="1" customFormat="1" x14ac:dyDescent="0.2">
      <c r="J615"/>
      <c r="K615"/>
      <c r="L615"/>
      <c r="M615" s="2"/>
      <c r="Q615"/>
      <c r="R615"/>
      <c r="S615"/>
      <c r="T615"/>
      <c r="U615"/>
    </row>
    <row r="616" spans="10:21" s="1" customFormat="1" x14ac:dyDescent="0.2">
      <c r="J616"/>
      <c r="K616"/>
      <c r="L616"/>
      <c r="M616" s="2"/>
      <c r="Q616"/>
      <c r="R616"/>
      <c r="S616"/>
      <c r="T616"/>
      <c r="U616"/>
    </row>
    <row r="617" spans="10:21" s="1" customFormat="1" x14ac:dyDescent="0.2">
      <c r="J617"/>
      <c r="K617"/>
      <c r="L617"/>
      <c r="M617" s="2"/>
      <c r="Q617"/>
      <c r="R617"/>
      <c r="S617"/>
      <c r="T617"/>
      <c r="U617"/>
    </row>
    <row r="618" spans="10:21" s="1" customFormat="1" x14ac:dyDescent="0.2">
      <c r="J618"/>
      <c r="K618"/>
      <c r="L618"/>
      <c r="M618" s="2"/>
      <c r="Q618"/>
      <c r="R618"/>
      <c r="S618"/>
      <c r="T618"/>
      <c r="U618"/>
    </row>
    <row r="619" spans="10:21" s="1" customFormat="1" x14ac:dyDescent="0.2">
      <c r="J619"/>
      <c r="K619"/>
      <c r="L619"/>
      <c r="M619" s="2"/>
      <c r="Q619"/>
      <c r="R619"/>
      <c r="S619"/>
      <c r="T619"/>
      <c r="U619"/>
    </row>
    <row r="620" spans="10:21" s="1" customFormat="1" x14ac:dyDescent="0.2">
      <c r="J620"/>
      <c r="K620"/>
      <c r="L620"/>
      <c r="M620" s="2"/>
      <c r="Q620"/>
      <c r="R620"/>
      <c r="S620"/>
      <c r="T620"/>
      <c r="U620"/>
    </row>
    <row r="621" spans="10:21" s="1" customFormat="1" x14ac:dyDescent="0.2">
      <c r="J621"/>
      <c r="K621"/>
      <c r="L621"/>
      <c r="M621" s="2"/>
      <c r="Q621"/>
      <c r="R621"/>
      <c r="S621"/>
      <c r="T621"/>
      <c r="U621"/>
    </row>
    <row r="622" spans="10:21" s="1" customFormat="1" x14ac:dyDescent="0.2">
      <c r="J622"/>
      <c r="K622"/>
      <c r="L622"/>
      <c r="M622" s="2"/>
      <c r="Q622"/>
      <c r="R622"/>
      <c r="S622"/>
      <c r="T622"/>
      <c r="U622"/>
    </row>
    <row r="623" spans="10:21" s="1" customFormat="1" x14ac:dyDescent="0.2">
      <c r="J623"/>
      <c r="K623"/>
      <c r="L623"/>
      <c r="M623" s="2"/>
      <c r="Q623"/>
      <c r="R623"/>
      <c r="S623"/>
      <c r="T623"/>
      <c r="U623"/>
    </row>
    <row r="624" spans="10:21" s="1" customFormat="1" x14ac:dyDescent="0.2">
      <c r="J624"/>
      <c r="K624"/>
      <c r="L624"/>
      <c r="M624" s="2"/>
      <c r="Q624"/>
      <c r="R624"/>
      <c r="S624"/>
      <c r="T624"/>
      <c r="U624"/>
    </row>
    <row r="625" spans="10:21" s="1" customFormat="1" x14ac:dyDescent="0.2">
      <c r="J625"/>
      <c r="K625"/>
      <c r="L625"/>
      <c r="M625" s="2"/>
      <c r="Q625"/>
      <c r="R625"/>
      <c r="S625"/>
      <c r="T625"/>
      <c r="U625"/>
    </row>
    <row r="626" spans="10:21" s="1" customFormat="1" x14ac:dyDescent="0.2">
      <c r="J626"/>
      <c r="K626"/>
      <c r="L626"/>
      <c r="M626" s="2"/>
      <c r="Q626"/>
      <c r="R626"/>
      <c r="S626"/>
      <c r="T626"/>
      <c r="U626"/>
    </row>
    <row r="627" spans="10:21" s="1" customFormat="1" x14ac:dyDescent="0.2">
      <c r="J627"/>
      <c r="K627"/>
      <c r="L627"/>
      <c r="M627" s="2"/>
      <c r="Q627"/>
      <c r="R627"/>
      <c r="S627"/>
      <c r="T627"/>
      <c r="U627"/>
    </row>
    <row r="628" spans="10:21" s="1" customFormat="1" x14ac:dyDescent="0.2">
      <c r="J628"/>
      <c r="K628"/>
      <c r="L628"/>
      <c r="M628" s="2"/>
      <c r="Q628"/>
      <c r="R628"/>
      <c r="S628"/>
      <c r="T628"/>
      <c r="U628"/>
    </row>
    <row r="629" spans="10:21" s="1" customFormat="1" x14ac:dyDescent="0.2">
      <c r="J629"/>
      <c r="K629"/>
      <c r="L629"/>
      <c r="M629" s="2"/>
      <c r="Q629"/>
      <c r="R629"/>
      <c r="S629"/>
      <c r="T629"/>
      <c r="U629"/>
    </row>
    <row r="630" spans="10:21" s="1" customFormat="1" x14ac:dyDescent="0.2">
      <c r="J630"/>
      <c r="K630"/>
      <c r="L630"/>
      <c r="M630" s="2"/>
      <c r="Q630"/>
      <c r="R630"/>
      <c r="S630"/>
      <c r="T630"/>
      <c r="U630"/>
    </row>
    <row r="631" spans="10:21" s="1" customFormat="1" x14ac:dyDescent="0.2">
      <c r="J631"/>
      <c r="K631"/>
      <c r="L631"/>
      <c r="M631" s="2"/>
      <c r="Q631"/>
      <c r="R631"/>
      <c r="S631"/>
      <c r="T631"/>
      <c r="U631"/>
    </row>
    <row r="632" spans="10:21" s="1" customFormat="1" x14ac:dyDescent="0.2">
      <c r="J632"/>
      <c r="K632"/>
      <c r="L632"/>
      <c r="M632" s="2"/>
      <c r="Q632"/>
      <c r="R632"/>
      <c r="S632"/>
      <c r="T632"/>
      <c r="U632"/>
    </row>
    <row r="633" spans="10:21" s="1" customFormat="1" x14ac:dyDescent="0.2">
      <c r="J633"/>
      <c r="K633"/>
      <c r="L633"/>
      <c r="M633" s="2"/>
      <c r="Q633"/>
      <c r="R633"/>
      <c r="S633"/>
      <c r="T633"/>
      <c r="U633"/>
    </row>
    <row r="634" spans="10:21" s="1" customFormat="1" x14ac:dyDescent="0.2">
      <c r="J634"/>
      <c r="K634"/>
      <c r="L634"/>
      <c r="M634" s="2"/>
      <c r="Q634"/>
      <c r="R634"/>
      <c r="S634"/>
      <c r="T634"/>
      <c r="U634"/>
    </row>
    <row r="635" spans="10:21" s="1" customFormat="1" x14ac:dyDescent="0.2">
      <c r="J635"/>
      <c r="K635"/>
      <c r="L635"/>
      <c r="M635" s="2"/>
      <c r="Q635"/>
      <c r="R635"/>
      <c r="S635"/>
      <c r="T635"/>
      <c r="U635"/>
    </row>
    <row r="636" spans="10:21" s="1" customFormat="1" x14ac:dyDescent="0.2">
      <c r="J636"/>
      <c r="K636"/>
      <c r="L636"/>
      <c r="M636" s="2"/>
      <c r="Q636"/>
      <c r="R636"/>
      <c r="S636"/>
      <c r="T636"/>
      <c r="U636"/>
    </row>
    <row r="637" spans="10:21" s="1" customFormat="1" x14ac:dyDescent="0.2">
      <c r="J637"/>
      <c r="K637"/>
      <c r="L637"/>
      <c r="M637" s="2"/>
      <c r="Q637"/>
      <c r="R637"/>
      <c r="S637"/>
      <c r="T637"/>
      <c r="U637"/>
    </row>
    <row r="638" spans="10:21" s="1" customFormat="1" x14ac:dyDescent="0.2">
      <c r="J638"/>
      <c r="K638"/>
      <c r="L638"/>
      <c r="M638" s="2"/>
      <c r="Q638"/>
      <c r="R638"/>
      <c r="S638"/>
      <c r="T638"/>
      <c r="U638"/>
    </row>
    <row r="639" spans="10:21" s="1" customFormat="1" x14ac:dyDescent="0.2">
      <c r="J639"/>
      <c r="K639"/>
      <c r="L639"/>
      <c r="M639" s="2"/>
      <c r="Q639"/>
      <c r="R639"/>
      <c r="S639"/>
      <c r="T639"/>
      <c r="U639"/>
    </row>
    <row r="640" spans="10:21" s="1" customFormat="1" x14ac:dyDescent="0.2">
      <c r="J640"/>
      <c r="K640"/>
      <c r="L640"/>
      <c r="M640" s="2"/>
      <c r="Q640"/>
      <c r="R640"/>
      <c r="S640"/>
      <c r="T640"/>
      <c r="U640"/>
    </row>
    <row r="641" spans="10:21" s="1" customFormat="1" x14ac:dyDescent="0.2">
      <c r="J641"/>
      <c r="K641"/>
      <c r="L641"/>
      <c r="M641" s="2"/>
      <c r="Q641"/>
      <c r="R641"/>
      <c r="S641"/>
      <c r="T641"/>
      <c r="U641"/>
    </row>
    <row r="642" spans="10:21" s="1" customFormat="1" x14ac:dyDescent="0.2">
      <c r="J642"/>
      <c r="K642"/>
      <c r="L642"/>
      <c r="M642" s="2"/>
      <c r="Q642"/>
      <c r="R642"/>
      <c r="S642"/>
      <c r="T642"/>
      <c r="U642"/>
    </row>
    <row r="643" spans="10:21" s="1" customFormat="1" x14ac:dyDescent="0.2">
      <c r="J643"/>
      <c r="K643"/>
      <c r="L643"/>
      <c r="M643" s="2"/>
      <c r="Q643"/>
      <c r="R643"/>
      <c r="S643"/>
      <c r="T643"/>
      <c r="U643"/>
    </row>
    <row r="644" spans="10:21" s="1" customFormat="1" x14ac:dyDescent="0.2">
      <c r="J644"/>
      <c r="K644"/>
      <c r="L644"/>
      <c r="M644" s="2"/>
      <c r="Q644"/>
      <c r="R644"/>
      <c r="S644"/>
      <c r="T644"/>
      <c r="U644"/>
    </row>
    <row r="645" spans="10:21" s="1" customFormat="1" x14ac:dyDescent="0.2">
      <c r="J645"/>
      <c r="K645"/>
      <c r="L645"/>
      <c r="M645" s="2"/>
      <c r="Q645"/>
      <c r="R645"/>
      <c r="S645"/>
      <c r="T645"/>
      <c r="U645"/>
    </row>
    <row r="646" spans="10:21" s="1" customFormat="1" x14ac:dyDescent="0.2">
      <c r="J646"/>
      <c r="K646"/>
      <c r="L646"/>
      <c r="M646" s="2"/>
      <c r="Q646"/>
      <c r="R646"/>
      <c r="S646"/>
      <c r="T646"/>
      <c r="U646"/>
    </row>
    <row r="647" spans="10:21" s="1" customFormat="1" x14ac:dyDescent="0.2">
      <c r="J647"/>
      <c r="K647"/>
      <c r="L647"/>
      <c r="M647" s="2"/>
      <c r="Q647"/>
      <c r="R647"/>
      <c r="S647"/>
      <c r="T647"/>
      <c r="U647"/>
    </row>
    <row r="648" spans="10:21" s="1" customFormat="1" x14ac:dyDescent="0.2">
      <c r="J648"/>
      <c r="K648"/>
      <c r="L648"/>
      <c r="M648" s="2"/>
      <c r="Q648"/>
      <c r="R648"/>
      <c r="S648"/>
      <c r="T648"/>
      <c r="U648"/>
    </row>
    <row r="649" spans="10:21" s="1" customFormat="1" x14ac:dyDescent="0.2">
      <c r="J649"/>
      <c r="K649"/>
      <c r="L649"/>
      <c r="M649" s="2"/>
      <c r="Q649"/>
      <c r="R649"/>
      <c r="S649"/>
      <c r="T649"/>
      <c r="U649"/>
    </row>
    <row r="650" spans="10:21" s="1" customFormat="1" x14ac:dyDescent="0.2">
      <c r="J650"/>
      <c r="K650"/>
      <c r="L650"/>
      <c r="M650" s="2"/>
      <c r="Q650"/>
      <c r="R650"/>
      <c r="S650"/>
      <c r="T650"/>
      <c r="U650"/>
    </row>
    <row r="651" spans="10:21" s="1" customFormat="1" x14ac:dyDescent="0.2">
      <c r="J651"/>
      <c r="K651"/>
      <c r="L651"/>
      <c r="M651" s="2"/>
      <c r="Q651"/>
      <c r="R651"/>
      <c r="S651"/>
      <c r="T651"/>
      <c r="U651"/>
    </row>
    <row r="652" spans="10:21" s="1" customFormat="1" x14ac:dyDescent="0.2">
      <c r="J652"/>
      <c r="K652"/>
      <c r="L652"/>
      <c r="M652" s="2"/>
      <c r="Q652"/>
      <c r="R652"/>
      <c r="S652"/>
      <c r="T652"/>
      <c r="U652"/>
    </row>
    <row r="653" spans="10:21" s="1" customFormat="1" x14ac:dyDescent="0.2">
      <c r="J653"/>
      <c r="K653"/>
      <c r="L653"/>
      <c r="M653" s="2"/>
      <c r="Q653"/>
      <c r="R653"/>
      <c r="S653"/>
      <c r="T653"/>
      <c r="U653"/>
    </row>
    <row r="654" spans="10:21" s="1" customFormat="1" x14ac:dyDescent="0.2">
      <c r="J654"/>
      <c r="K654"/>
      <c r="L654"/>
      <c r="M654" s="2"/>
      <c r="Q654"/>
      <c r="R654"/>
      <c r="S654"/>
      <c r="T654"/>
      <c r="U654"/>
    </row>
    <row r="655" spans="10:21" s="1" customFormat="1" x14ac:dyDescent="0.2">
      <c r="J655"/>
      <c r="K655"/>
      <c r="L655"/>
      <c r="M655" s="2"/>
      <c r="Q655"/>
      <c r="R655"/>
      <c r="S655"/>
      <c r="T655"/>
      <c r="U655"/>
    </row>
    <row r="656" spans="10:21" s="1" customFormat="1" x14ac:dyDescent="0.2">
      <c r="J656"/>
      <c r="K656"/>
      <c r="L656"/>
      <c r="M656" s="2"/>
      <c r="Q656"/>
      <c r="R656"/>
      <c r="S656"/>
      <c r="T656"/>
      <c r="U656"/>
    </row>
    <row r="657" spans="10:21" s="1" customFormat="1" x14ac:dyDescent="0.2">
      <c r="J657"/>
      <c r="K657"/>
      <c r="L657"/>
      <c r="M657" s="2"/>
      <c r="Q657"/>
      <c r="R657"/>
      <c r="S657"/>
      <c r="T657"/>
      <c r="U657"/>
    </row>
    <row r="658" spans="10:21" s="1" customFormat="1" x14ac:dyDescent="0.2">
      <c r="J658"/>
      <c r="K658"/>
      <c r="L658"/>
      <c r="M658" s="2"/>
      <c r="Q658"/>
      <c r="R658"/>
      <c r="S658"/>
      <c r="T658"/>
      <c r="U658"/>
    </row>
    <row r="659" spans="10:21" s="1" customFormat="1" x14ac:dyDescent="0.2">
      <c r="J659"/>
      <c r="K659"/>
      <c r="L659"/>
      <c r="M659" s="2"/>
      <c r="Q659"/>
      <c r="R659"/>
      <c r="S659"/>
      <c r="T659"/>
      <c r="U659"/>
    </row>
    <row r="660" spans="10:21" s="1" customFormat="1" x14ac:dyDescent="0.2">
      <c r="J660"/>
      <c r="K660"/>
      <c r="L660"/>
      <c r="M660" s="2"/>
      <c r="Q660"/>
      <c r="R660"/>
      <c r="S660"/>
      <c r="T660"/>
      <c r="U660"/>
    </row>
    <row r="661" spans="10:21" s="1" customFormat="1" x14ac:dyDescent="0.2">
      <c r="J661"/>
      <c r="K661"/>
      <c r="L661"/>
      <c r="M661" s="2"/>
      <c r="Q661"/>
      <c r="R661"/>
      <c r="S661"/>
      <c r="T661"/>
      <c r="U661"/>
    </row>
    <row r="662" spans="10:21" s="1" customFormat="1" x14ac:dyDescent="0.2">
      <c r="J662"/>
      <c r="K662"/>
      <c r="L662"/>
      <c r="M662" s="2"/>
      <c r="Q662"/>
      <c r="R662"/>
      <c r="S662"/>
      <c r="T662"/>
      <c r="U662"/>
    </row>
    <row r="663" spans="10:21" s="1" customFormat="1" x14ac:dyDescent="0.2">
      <c r="J663"/>
      <c r="K663"/>
      <c r="L663"/>
      <c r="M663" s="2"/>
      <c r="Q663"/>
      <c r="R663"/>
      <c r="S663"/>
      <c r="T663"/>
      <c r="U663"/>
    </row>
    <row r="664" spans="10:21" s="1" customFormat="1" x14ac:dyDescent="0.2">
      <c r="J664"/>
      <c r="K664"/>
      <c r="L664"/>
      <c r="M664" s="2"/>
      <c r="Q664"/>
      <c r="R664"/>
      <c r="S664"/>
      <c r="T664"/>
      <c r="U664"/>
    </row>
    <row r="665" spans="10:21" s="1" customFormat="1" x14ac:dyDescent="0.2">
      <c r="J665"/>
      <c r="K665"/>
      <c r="L665"/>
      <c r="M665" s="2"/>
      <c r="Q665"/>
      <c r="R665"/>
      <c r="S665"/>
      <c r="T665"/>
      <c r="U665"/>
    </row>
    <row r="666" spans="10:21" s="1" customFormat="1" x14ac:dyDescent="0.2">
      <c r="J666"/>
      <c r="K666"/>
      <c r="L666"/>
      <c r="M666" s="2"/>
      <c r="Q666"/>
      <c r="R666"/>
      <c r="S666"/>
      <c r="T666"/>
      <c r="U666"/>
    </row>
    <row r="667" spans="10:21" s="1" customFormat="1" x14ac:dyDescent="0.2">
      <c r="J667"/>
      <c r="K667"/>
      <c r="L667"/>
      <c r="M667" s="2"/>
      <c r="Q667"/>
      <c r="R667"/>
      <c r="S667"/>
      <c r="T667"/>
      <c r="U667"/>
    </row>
    <row r="668" spans="10:21" s="1" customFormat="1" x14ac:dyDescent="0.2">
      <c r="J668"/>
      <c r="K668"/>
      <c r="L668"/>
      <c r="M668" s="2"/>
      <c r="Q668"/>
      <c r="R668"/>
      <c r="S668"/>
      <c r="T668"/>
      <c r="U668"/>
    </row>
    <row r="669" spans="10:21" s="1" customFormat="1" x14ac:dyDescent="0.2">
      <c r="J669"/>
      <c r="K669"/>
      <c r="L669"/>
      <c r="M669" s="2"/>
      <c r="Q669"/>
      <c r="R669"/>
      <c r="S669"/>
      <c r="T669"/>
      <c r="U669"/>
    </row>
    <row r="670" spans="10:21" s="1" customFormat="1" x14ac:dyDescent="0.2">
      <c r="J670"/>
      <c r="K670"/>
      <c r="L670"/>
      <c r="M670" s="2"/>
      <c r="Q670"/>
      <c r="R670"/>
      <c r="S670"/>
      <c r="T670"/>
      <c r="U670"/>
    </row>
    <row r="671" spans="10:21" s="1" customFormat="1" x14ac:dyDescent="0.2">
      <c r="J671"/>
      <c r="K671"/>
      <c r="L671"/>
      <c r="M671" s="2"/>
      <c r="Q671"/>
      <c r="R671"/>
      <c r="S671"/>
      <c r="T671"/>
      <c r="U671"/>
    </row>
    <row r="672" spans="10:21" s="1" customFormat="1" x14ac:dyDescent="0.2">
      <c r="J672"/>
      <c r="K672"/>
      <c r="L672"/>
      <c r="M672" s="2"/>
      <c r="Q672"/>
      <c r="R672"/>
      <c r="S672"/>
      <c r="T672"/>
      <c r="U672"/>
    </row>
    <row r="673" spans="10:21" s="1" customFormat="1" x14ac:dyDescent="0.2">
      <c r="J673"/>
      <c r="K673"/>
      <c r="L673"/>
      <c r="M673" s="2"/>
      <c r="Q673"/>
      <c r="R673"/>
      <c r="S673"/>
      <c r="T673"/>
      <c r="U673"/>
    </row>
    <row r="674" spans="10:21" s="1" customFormat="1" x14ac:dyDescent="0.2">
      <c r="J674"/>
      <c r="K674"/>
      <c r="L674"/>
      <c r="M674" s="2"/>
      <c r="Q674"/>
      <c r="R674"/>
      <c r="S674"/>
      <c r="T674"/>
      <c r="U674"/>
    </row>
    <row r="675" spans="10:21" s="1" customFormat="1" x14ac:dyDescent="0.2">
      <c r="J675"/>
      <c r="K675"/>
      <c r="L675"/>
      <c r="M675" s="2"/>
      <c r="Q675"/>
      <c r="R675"/>
      <c r="S675"/>
      <c r="T675"/>
      <c r="U675"/>
    </row>
    <row r="676" spans="10:21" s="1" customFormat="1" x14ac:dyDescent="0.2">
      <c r="J676"/>
      <c r="K676"/>
      <c r="L676"/>
      <c r="M676" s="2"/>
      <c r="Q676"/>
      <c r="R676"/>
      <c r="S676"/>
      <c r="T676"/>
      <c r="U676"/>
    </row>
    <row r="677" spans="10:21" s="1" customFormat="1" x14ac:dyDescent="0.2">
      <c r="J677"/>
      <c r="K677"/>
      <c r="L677"/>
      <c r="M677" s="2"/>
      <c r="Q677"/>
      <c r="R677"/>
      <c r="S677"/>
      <c r="T677"/>
      <c r="U677"/>
    </row>
    <row r="678" spans="10:21" s="1" customFormat="1" x14ac:dyDescent="0.2">
      <c r="J678"/>
      <c r="K678"/>
      <c r="L678"/>
      <c r="M678" s="2"/>
      <c r="Q678"/>
      <c r="R678"/>
      <c r="S678"/>
      <c r="T678"/>
      <c r="U678"/>
    </row>
    <row r="679" spans="10:21" s="1" customFormat="1" x14ac:dyDescent="0.2">
      <c r="J679"/>
      <c r="K679"/>
      <c r="L679"/>
      <c r="M679" s="2"/>
      <c r="Q679"/>
      <c r="R679"/>
      <c r="S679"/>
      <c r="T679"/>
      <c r="U679"/>
    </row>
    <row r="680" spans="10:21" s="1" customFormat="1" x14ac:dyDescent="0.2">
      <c r="J680"/>
      <c r="K680"/>
      <c r="L680"/>
      <c r="M680" s="2"/>
      <c r="Q680"/>
      <c r="R680"/>
      <c r="S680"/>
      <c r="T680"/>
      <c r="U680"/>
    </row>
    <row r="681" spans="10:21" s="1" customFormat="1" x14ac:dyDescent="0.2">
      <c r="J681"/>
      <c r="K681"/>
      <c r="L681"/>
      <c r="M681" s="2"/>
      <c r="Q681"/>
      <c r="R681"/>
      <c r="S681"/>
      <c r="T681"/>
      <c r="U681"/>
    </row>
    <row r="682" spans="10:21" s="1" customFormat="1" x14ac:dyDescent="0.2">
      <c r="J682"/>
      <c r="K682"/>
      <c r="L682"/>
      <c r="M682" s="2"/>
      <c r="Q682"/>
      <c r="R682"/>
      <c r="S682"/>
      <c r="T682"/>
      <c r="U682"/>
    </row>
    <row r="683" spans="10:21" s="1" customFormat="1" x14ac:dyDescent="0.2">
      <c r="J683"/>
      <c r="K683"/>
      <c r="L683"/>
      <c r="M683" s="2"/>
      <c r="Q683"/>
      <c r="R683"/>
      <c r="S683"/>
      <c r="T683"/>
      <c r="U683"/>
    </row>
    <row r="684" spans="10:21" s="1" customFormat="1" x14ac:dyDescent="0.2">
      <c r="J684"/>
      <c r="K684"/>
      <c r="L684"/>
      <c r="M684" s="2"/>
      <c r="Q684"/>
      <c r="R684"/>
      <c r="S684"/>
      <c r="T684"/>
      <c r="U684"/>
    </row>
    <row r="685" spans="10:21" s="1" customFormat="1" x14ac:dyDescent="0.2">
      <c r="J685"/>
      <c r="K685"/>
      <c r="L685"/>
      <c r="M685" s="2"/>
      <c r="Q685"/>
      <c r="R685"/>
      <c r="S685"/>
      <c r="T685"/>
      <c r="U685"/>
    </row>
    <row r="686" spans="10:21" s="1" customFormat="1" x14ac:dyDescent="0.2">
      <c r="J686"/>
      <c r="K686"/>
      <c r="L686"/>
      <c r="M686" s="2"/>
      <c r="Q686"/>
      <c r="R686"/>
      <c r="S686"/>
      <c r="T686"/>
      <c r="U686"/>
    </row>
    <row r="687" spans="10:21" s="1" customFormat="1" x14ac:dyDescent="0.2">
      <c r="J687"/>
      <c r="K687"/>
      <c r="L687"/>
      <c r="M687" s="2"/>
      <c r="Q687"/>
      <c r="R687"/>
      <c r="S687"/>
      <c r="T687"/>
      <c r="U687"/>
    </row>
    <row r="688" spans="10:21" s="1" customFormat="1" x14ac:dyDescent="0.2">
      <c r="J688"/>
      <c r="K688"/>
      <c r="L688"/>
      <c r="M688" s="2"/>
      <c r="Q688"/>
      <c r="R688"/>
      <c r="S688"/>
      <c r="T688"/>
      <c r="U688"/>
    </row>
    <row r="689" spans="10:21" s="1" customFormat="1" x14ac:dyDescent="0.2">
      <c r="J689"/>
      <c r="K689"/>
      <c r="L689"/>
      <c r="M689" s="2"/>
      <c r="Q689"/>
      <c r="R689"/>
      <c r="S689"/>
      <c r="T689"/>
      <c r="U689"/>
    </row>
    <row r="690" spans="10:21" s="1" customFormat="1" x14ac:dyDescent="0.2">
      <c r="J690"/>
      <c r="K690"/>
      <c r="L690"/>
      <c r="M690" s="2"/>
      <c r="Q690"/>
      <c r="R690"/>
      <c r="S690"/>
      <c r="T690"/>
      <c r="U690"/>
    </row>
    <row r="691" spans="10:21" s="1" customFormat="1" x14ac:dyDescent="0.2">
      <c r="J691"/>
      <c r="K691"/>
      <c r="L691"/>
      <c r="M691" s="2"/>
      <c r="Q691"/>
      <c r="R691"/>
      <c r="S691"/>
      <c r="T691"/>
      <c r="U691"/>
    </row>
    <row r="692" spans="10:21" s="1" customFormat="1" x14ac:dyDescent="0.2">
      <c r="J692"/>
      <c r="K692"/>
      <c r="L692"/>
      <c r="M692" s="2"/>
      <c r="Q692"/>
      <c r="R692"/>
      <c r="S692"/>
      <c r="T692"/>
      <c r="U692"/>
    </row>
    <row r="693" spans="10:21" s="1" customFormat="1" x14ac:dyDescent="0.2">
      <c r="J693"/>
      <c r="K693"/>
      <c r="L693"/>
      <c r="M693" s="2"/>
      <c r="Q693"/>
      <c r="R693"/>
      <c r="S693"/>
      <c r="T693"/>
      <c r="U693"/>
    </row>
    <row r="694" spans="10:21" s="1" customFormat="1" x14ac:dyDescent="0.2">
      <c r="J694"/>
      <c r="K694"/>
      <c r="L694"/>
      <c r="M694" s="2"/>
      <c r="Q694"/>
      <c r="R694"/>
      <c r="S694"/>
      <c r="T694"/>
      <c r="U694"/>
    </row>
    <row r="695" spans="10:21" s="1" customFormat="1" x14ac:dyDescent="0.2">
      <c r="J695"/>
      <c r="K695"/>
      <c r="L695"/>
      <c r="M695" s="2"/>
      <c r="Q695"/>
      <c r="R695"/>
      <c r="S695"/>
      <c r="T695"/>
      <c r="U695"/>
    </row>
    <row r="696" spans="10:21" s="1" customFormat="1" x14ac:dyDescent="0.2">
      <c r="J696"/>
      <c r="K696"/>
      <c r="L696"/>
      <c r="M696" s="2"/>
      <c r="Q696"/>
      <c r="R696"/>
      <c r="S696"/>
      <c r="T696"/>
      <c r="U696"/>
    </row>
    <row r="697" spans="10:21" s="1" customFormat="1" x14ac:dyDescent="0.2">
      <c r="J697"/>
      <c r="K697"/>
      <c r="L697"/>
      <c r="M697" s="2"/>
      <c r="Q697"/>
      <c r="R697"/>
      <c r="S697"/>
      <c r="T697"/>
      <c r="U697"/>
    </row>
    <row r="698" spans="10:21" s="1" customFormat="1" x14ac:dyDescent="0.2">
      <c r="J698"/>
      <c r="K698"/>
      <c r="L698"/>
      <c r="M698" s="2"/>
      <c r="Q698"/>
      <c r="R698"/>
      <c r="S698"/>
      <c r="T698"/>
      <c r="U698"/>
    </row>
    <row r="699" spans="10:21" s="1" customFormat="1" x14ac:dyDescent="0.2">
      <c r="J699"/>
      <c r="K699"/>
      <c r="L699"/>
      <c r="M699" s="2"/>
      <c r="Q699"/>
      <c r="R699"/>
      <c r="S699"/>
      <c r="T699"/>
      <c r="U699"/>
    </row>
    <row r="700" spans="10:21" s="1" customFormat="1" x14ac:dyDescent="0.2">
      <c r="J700"/>
      <c r="K700"/>
      <c r="L700"/>
      <c r="M700" s="2"/>
      <c r="Q700"/>
      <c r="R700"/>
      <c r="S700"/>
      <c r="T700"/>
      <c r="U700"/>
    </row>
    <row r="701" spans="10:21" s="1" customFormat="1" x14ac:dyDescent="0.2">
      <c r="J701"/>
      <c r="K701"/>
      <c r="L701"/>
      <c r="M701" s="2"/>
      <c r="Q701"/>
      <c r="R701"/>
      <c r="S701"/>
      <c r="T701"/>
      <c r="U701"/>
    </row>
    <row r="702" spans="10:21" s="1" customFormat="1" x14ac:dyDescent="0.2">
      <c r="J702"/>
      <c r="K702"/>
      <c r="L702"/>
      <c r="M702" s="2"/>
      <c r="Q702"/>
      <c r="R702"/>
      <c r="S702"/>
      <c r="T702"/>
      <c r="U702"/>
    </row>
    <row r="703" spans="10:21" s="1" customFormat="1" x14ac:dyDescent="0.2">
      <c r="J703"/>
      <c r="K703"/>
      <c r="L703"/>
      <c r="M703" s="2"/>
      <c r="Q703"/>
      <c r="R703"/>
      <c r="S703"/>
      <c r="T703"/>
      <c r="U703"/>
    </row>
    <row r="704" spans="10:21" s="1" customFormat="1" x14ac:dyDescent="0.2">
      <c r="J704"/>
      <c r="K704"/>
      <c r="L704"/>
      <c r="M704" s="2"/>
      <c r="Q704"/>
      <c r="R704"/>
      <c r="S704"/>
      <c r="T704"/>
      <c r="U704"/>
    </row>
    <row r="705" spans="10:21" s="1" customFormat="1" x14ac:dyDescent="0.2">
      <c r="J705"/>
      <c r="K705"/>
      <c r="L705"/>
      <c r="M705" s="2"/>
      <c r="Q705"/>
      <c r="R705"/>
      <c r="S705"/>
      <c r="T705"/>
      <c r="U705"/>
    </row>
    <row r="706" spans="10:21" s="1" customFormat="1" x14ac:dyDescent="0.2">
      <c r="J706"/>
      <c r="K706"/>
      <c r="L706"/>
      <c r="M706" s="2"/>
      <c r="Q706"/>
      <c r="R706"/>
      <c r="S706"/>
      <c r="T706"/>
      <c r="U706"/>
    </row>
    <row r="707" spans="10:21" s="1" customFormat="1" x14ac:dyDescent="0.2">
      <c r="J707"/>
      <c r="K707"/>
      <c r="L707"/>
      <c r="M707" s="2"/>
      <c r="Q707"/>
      <c r="R707"/>
      <c r="S707"/>
      <c r="T707"/>
      <c r="U707"/>
    </row>
    <row r="708" spans="10:21" s="1" customFormat="1" x14ac:dyDescent="0.2">
      <c r="J708"/>
      <c r="K708"/>
      <c r="L708"/>
      <c r="M708" s="2"/>
      <c r="Q708"/>
      <c r="R708"/>
      <c r="S708"/>
      <c r="T708"/>
      <c r="U708"/>
    </row>
    <row r="709" spans="10:21" s="1" customFormat="1" x14ac:dyDescent="0.2">
      <c r="J709"/>
      <c r="K709"/>
      <c r="L709"/>
      <c r="M709" s="2"/>
      <c r="Q709"/>
      <c r="R709"/>
      <c r="S709"/>
      <c r="T709"/>
      <c r="U709"/>
    </row>
    <row r="710" spans="10:21" s="1" customFormat="1" x14ac:dyDescent="0.2">
      <c r="J710"/>
      <c r="K710"/>
      <c r="L710"/>
      <c r="M710" s="2"/>
      <c r="Q710"/>
      <c r="R710"/>
      <c r="S710"/>
      <c r="T710"/>
      <c r="U710"/>
    </row>
    <row r="711" spans="10:21" s="1" customFormat="1" x14ac:dyDescent="0.2">
      <c r="J711"/>
      <c r="K711"/>
      <c r="L711"/>
      <c r="M711" s="2"/>
      <c r="Q711"/>
      <c r="R711"/>
      <c r="S711"/>
      <c r="T711"/>
      <c r="U711"/>
    </row>
    <row r="712" spans="10:21" s="1" customFormat="1" x14ac:dyDescent="0.2">
      <c r="J712"/>
      <c r="K712"/>
      <c r="L712"/>
      <c r="M712" s="2"/>
      <c r="Q712"/>
      <c r="R712"/>
      <c r="S712"/>
      <c r="T712"/>
      <c r="U712"/>
    </row>
    <row r="713" spans="10:21" s="1" customFormat="1" x14ac:dyDescent="0.2">
      <c r="J713"/>
      <c r="K713"/>
      <c r="L713"/>
      <c r="M713" s="2"/>
      <c r="Q713"/>
      <c r="R713"/>
      <c r="S713"/>
      <c r="T713"/>
      <c r="U713"/>
    </row>
    <row r="714" spans="10:21" s="1" customFormat="1" x14ac:dyDescent="0.2">
      <c r="J714"/>
      <c r="K714"/>
      <c r="L714"/>
      <c r="M714" s="2"/>
      <c r="Q714"/>
      <c r="R714"/>
      <c r="S714"/>
      <c r="T714"/>
      <c r="U714"/>
    </row>
    <row r="715" spans="10:21" s="1" customFormat="1" x14ac:dyDescent="0.2">
      <c r="J715"/>
      <c r="K715"/>
      <c r="L715"/>
      <c r="M715" s="2"/>
      <c r="Q715"/>
      <c r="R715"/>
      <c r="S715"/>
      <c r="T715"/>
      <c r="U715"/>
    </row>
    <row r="716" spans="10:21" s="1" customFormat="1" x14ac:dyDescent="0.2">
      <c r="J716"/>
      <c r="K716"/>
      <c r="L716"/>
      <c r="M716" s="2"/>
      <c r="Q716"/>
      <c r="R716"/>
      <c r="S716"/>
      <c r="T716"/>
      <c r="U716"/>
    </row>
    <row r="717" spans="10:21" s="1" customFormat="1" x14ac:dyDescent="0.2">
      <c r="J717"/>
      <c r="K717"/>
      <c r="L717"/>
      <c r="M717" s="2"/>
      <c r="Q717"/>
      <c r="R717"/>
      <c r="S717"/>
      <c r="T717"/>
      <c r="U717"/>
    </row>
    <row r="718" spans="10:21" s="1" customFormat="1" x14ac:dyDescent="0.2">
      <c r="J718"/>
      <c r="K718"/>
      <c r="L718"/>
      <c r="M718" s="2"/>
      <c r="Q718"/>
      <c r="R718"/>
      <c r="S718"/>
      <c r="T718"/>
      <c r="U718"/>
    </row>
    <row r="719" spans="10:21" s="1" customFormat="1" x14ac:dyDescent="0.2">
      <c r="J719"/>
      <c r="K719"/>
      <c r="L719"/>
      <c r="M719" s="2"/>
      <c r="Q719"/>
      <c r="R719"/>
      <c r="S719"/>
      <c r="T719"/>
      <c r="U719"/>
    </row>
    <row r="720" spans="10:21" s="1" customFormat="1" x14ac:dyDescent="0.2">
      <c r="J720"/>
      <c r="K720"/>
      <c r="L720"/>
      <c r="M720" s="2"/>
      <c r="Q720"/>
      <c r="R720"/>
      <c r="S720"/>
      <c r="T720"/>
      <c r="U720"/>
    </row>
    <row r="721" spans="10:21" s="1" customFormat="1" x14ac:dyDescent="0.2">
      <c r="J721"/>
      <c r="K721"/>
      <c r="L721"/>
      <c r="M721" s="2"/>
      <c r="Q721"/>
      <c r="R721"/>
      <c r="S721"/>
      <c r="T721"/>
      <c r="U721"/>
    </row>
    <row r="722" spans="10:21" s="1" customFormat="1" x14ac:dyDescent="0.2">
      <c r="J722"/>
      <c r="K722"/>
      <c r="L722"/>
      <c r="M722" s="2"/>
      <c r="Q722"/>
      <c r="R722"/>
      <c r="S722"/>
      <c r="T722"/>
      <c r="U722"/>
    </row>
    <row r="723" spans="10:21" s="1" customFormat="1" x14ac:dyDescent="0.2">
      <c r="J723"/>
      <c r="K723"/>
      <c r="L723"/>
      <c r="M723" s="2"/>
      <c r="Q723"/>
      <c r="R723"/>
      <c r="S723"/>
      <c r="T723"/>
      <c r="U723"/>
    </row>
    <row r="724" spans="10:21" s="1" customFormat="1" x14ac:dyDescent="0.2">
      <c r="J724"/>
      <c r="K724"/>
      <c r="L724"/>
      <c r="M724" s="2"/>
      <c r="Q724"/>
      <c r="R724"/>
      <c r="S724"/>
      <c r="T724"/>
      <c r="U724"/>
    </row>
    <row r="725" spans="10:21" s="1" customFormat="1" x14ac:dyDescent="0.2">
      <c r="J725"/>
      <c r="K725"/>
      <c r="L725"/>
      <c r="M725" s="2"/>
      <c r="Q725"/>
      <c r="R725"/>
      <c r="S725"/>
      <c r="T725"/>
      <c r="U725"/>
    </row>
    <row r="726" spans="10:21" s="1" customFormat="1" x14ac:dyDescent="0.2">
      <c r="J726"/>
      <c r="K726"/>
      <c r="L726"/>
      <c r="M726" s="2"/>
      <c r="Q726"/>
      <c r="R726"/>
      <c r="S726"/>
      <c r="T726"/>
      <c r="U726"/>
    </row>
    <row r="727" spans="10:21" s="1" customFormat="1" x14ac:dyDescent="0.2">
      <c r="J727"/>
      <c r="K727"/>
      <c r="L727"/>
      <c r="M727" s="2"/>
      <c r="Q727"/>
      <c r="R727"/>
      <c r="S727"/>
      <c r="T727"/>
      <c r="U727"/>
    </row>
    <row r="728" spans="10:21" s="1" customFormat="1" x14ac:dyDescent="0.2">
      <c r="J728"/>
      <c r="K728"/>
      <c r="L728"/>
      <c r="M728" s="2"/>
      <c r="Q728"/>
      <c r="R728"/>
      <c r="S728"/>
      <c r="T728"/>
      <c r="U728"/>
    </row>
    <row r="729" spans="10:21" s="1" customFormat="1" x14ac:dyDescent="0.2">
      <c r="J729"/>
      <c r="K729"/>
      <c r="L729"/>
      <c r="M729" s="2"/>
      <c r="Q729"/>
      <c r="R729"/>
      <c r="S729"/>
      <c r="T729"/>
      <c r="U729"/>
    </row>
    <row r="730" spans="10:21" s="1" customFormat="1" x14ac:dyDescent="0.2">
      <c r="J730"/>
      <c r="K730"/>
      <c r="L730"/>
      <c r="M730" s="2"/>
      <c r="Q730"/>
      <c r="R730"/>
      <c r="S730"/>
      <c r="T730"/>
      <c r="U730"/>
    </row>
    <row r="731" spans="10:21" s="1" customFormat="1" x14ac:dyDescent="0.2">
      <c r="J731"/>
      <c r="K731"/>
      <c r="L731"/>
      <c r="M731" s="2"/>
      <c r="Q731"/>
      <c r="R731"/>
      <c r="S731"/>
      <c r="T731"/>
      <c r="U731"/>
    </row>
  </sheetData>
  <mergeCells count="84">
    <mergeCell ref="B19:B21"/>
    <mergeCell ref="J19:J21"/>
    <mergeCell ref="K19:K21"/>
    <mergeCell ref="P19:P21"/>
    <mergeCell ref="R19:R21"/>
    <mergeCell ref="U17:U18"/>
    <mergeCell ref="N14:N15"/>
    <mergeCell ref="L14:L15"/>
    <mergeCell ref="P14:P15"/>
    <mergeCell ref="U14:U15"/>
    <mergeCell ref="U10:U11"/>
    <mergeCell ref="F14:F15"/>
    <mergeCell ref="R14:R15"/>
    <mergeCell ref="K14:K15"/>
    <mergeCell ref="P10:P11"/>
    <mergeCell ref="J10:J11"/>
    <mergeCell ref="K10:K11"/>
    <mergeCell ref="E59:F59"/>
    <mergeCell ref="J59:J61"/>
    <mergeCell ref="E60:F60"/>
    <mergeCell ref="E61:F61"/>
    <mergeCell ref="H14:H15"/>
    <mergeCell ref="I14:I15"/>
    <mergeCell ref="E19:E21"/>
    <mergeCell ref="F27:F28"/>
    <mergeCell ref="H27:H28"/>
    <mergeCell ref="E14:E15"/>
    <mergeCell ref="J14:J15"/>
    <mergeCell ref="B2:U2"/>
    <mergeCell ref="B4:B5"/>
    <mergeCell ref="D4:D5"/>
    <mergeCell ref="E4:E5"/>
    <mergeCell ref="F4:F5"/>
    <mergeCell ref="H4:H5"/>
    <mergeCell ref="I4:I5"/>
    <mergeCell ref="U4:U5"/>
    <mergeCell ref="P4:P5"/>
    <mergeCell ref="K4:K5"/>
    <mergeCell ref="N4:N5"/>
    <mergeCell ref="J4:J5"/>
    <mergeCell ref="S4:S5"/>
    <mergeCell ref="R24:R25"/>
    <mergeCell ref="D19:D21"/>
    <mergeCell ref="U19:U21"/>
    <mergeCell ref="R4:R5"/>
    <mergeCell ref="B17:B18"/>
    <mergeCell ref="E17:E18"/>
    <mergeCell ref="P17:P18"/>
    <mergeCell ref="R17:R18"/>
    <mergeCell ref="J17:J18"/>
    <mergeCell ref="K17:K18"/>
    <mergeCell ref="R10:R11"/>
    <mergeCell ref="L4:L5"/>
    <mergeCell ref="B14:B15"/>
    <mergeCell ref="D14:D15"/>
    <mergeCell ref="B10:B11"/>
    <mergeCell ref="E10:E11"/>
    <mergeCell ref="B24:B25"/>
    <mergeCell ref="E24:E25"/>
    <mergeCell ref="J24:J25"/>
    <mergeCell ref="K24:K25"/>
    <mergeCell ref="P24:P25"/>
    <mergeCell ref="S24:S25"/>
    <mergeCell ref="T24:T25"/>
    <mergeCell ref="T4:T5"/>
    <mergeCell ref="S10:S11"/>
    <mergeCell ref="T10:T11"/>
    <mergeCell ref="S14:S15"/>
    <mergeCell ref="T14:T15"/>
    <mergeCell ref="S19:S21"/>
    <mergeCell ref="T19:T21"/>
    <mergeCell ref="S17:S18"/>
    <mergeCell ref="T17:T18"/>
    <mergeCell ref="T27:T29"/>
    <mergeCell ref="U27:U28"/>
    <mergeCell ref="B27:B29"/>
    <mergeCell ref="E27:E29"/>
    <mergeCell ref="N27:N28"/>
    <mergeCell ref="L27:L28"/>
    <mergeCell ref="K27:K29"/>
    <mergeCell ref="J27:J29"/>
    <mergeCell ref="I27:I28"/>
    <mergeCell ref="P27:P29"/>
    <mergeCell ref="R27:R29"/>
  </mergeCells>
  <conditionalFormatting sqref="I63:I68">
    <cfRule type="cellIs" dxfId="548" priority="61" stopIfTrue="1" operator="lessThan">
      <formula>0%</formula>
    </cfRule>
    <cfRule type="cellIs" dxfId="547" priority="60" stopIfTrue="1" operator="greaterThan">
      <formula>1.5%</formula>
    </cfRule>
  </conditionalFormatting>
  <conditionalFormatting sqref="I70">
    <cfRule type="cellIs" dxfId="546" priority="49" stopIfTrue="1" operator="lessThan">
      <formula>438</formula>
    </cfRule>
  </conditionalFormatting>
  <conditionalFormatting sqref="J3 B2 J69:J65536">
    <cfRule type="cellIs" dxfId="545" priority="81" stopIfTrue="1" operator="lessThan">
      <formula>438</formula>
    </cfRule>
  </conditionalFormatting>
  <conditionalFormatting sqref="J3">
    <cfRule type="cellIs" dxfId="544" priority="78" stopIfTrue="1" operator="lessThan">
      <formula>456.25</formula>
    </cfRule>
  </conditionalFormatting>
  <conditionalFormatting sqref="J4">
    <cfRule type="cellIs" dxfId="543" priority="70" stopIfTrue="1" operator="lessThan">
      <formula>462</formula>
    </cfRule>
  </conditionalFormatting>
  <conditionalFormatting sqref="J6:J10 J12:J14 J30:J58">
    <cfRule type="cellIs" dxfId="542" priority="48" stopIfTrue="1" operator="lessThan">
      <formula>462</formula>
    </cfRule>
  </conditionalFormatting>
  <conditionalFormatting sqref="J16:J17 J19">
    <cfRule type="cellIs" dxfId="541" priority="21" stopIfTrue="1" operator="lessThan">
      <formula>462</formula>
    </cfRule>
  </conditionalFormatting>
  <conditionalFormatting sqref="J22:J24 J26:J27">
    <cfRule type="cellIs" dxfId="540" priority="10" stopIfTrue="1" operator="lessThan">
      <formula>462</formula>
    </cfRule>
  </conditionalFormatting>
  <conditionalFormatting sqref="J63:J68">
    <cfRule type="cellIs" dxfId="539" priority="76" stopIfTrue="1" operator="lessThan">
      <formula>73%</formula>
    </cfRule>
  </conditionalFormatting>
  <conditionalFormatting sqref="K4">
    <cfRule type="cellIs" dxfId="538" priority="63" stopIfTrue="1" operator="lessThan">
      <formula>540</formula>
    </cfRule>
  </conditionalFormatting>
  <conditionalFormatting sqref="K6:K10 K12:K14 K30:K54">
    <cfRule type="cellIs" dxfId="537" priority="45" stopIfTrue="1" operator="lessThan">
      <formula>540</formula>
    </cfRule>
  </conditionalFormatting>
  <conditionalFormatting sqref="K16:K17 K19">
    <cfRule type="cellIs" dxfId="536" priority="19" stopIfTrue="1" operator="lessThan">
      <formula>540</formula>
    </cfRule>
  </conditionalFormatting>
  <conditionalFormatting sqref="K22:K24 K26:K27">
    <cfRule type="cellIs" dxfId="535" priority="8" stopIfTrue="1" operator="lessThan">
      <formula>540</formula>
    </cfRule>
  </conditionalFormatting>
  <conditionalFormatting sqref="K55:K57">
    <cfRule type="cellIs" dxfId="534" priority="72" stopIfTrue="1" operator="lessThan">
      <formula>438</formula>
    </cfRule>
    <cfRule type="cellIs" dxfId="533" priority="71" stopIfTrue="1" operator="lessThan">
      <formula>456.25</formula>
    </cfRule>
  </conditionalFormatting>
  <conditionalFormatting sqref="N6:N14">
    <cfRule type="cellIs" dxfId="532" priority="46" stopIfTrue="1" operator="greaterThan">
      <formula>1.1</formula>
    </cfRule>
  </conditionalFormatting>
  <conditionalFormatting sqref="N16:N27 N29:N59">
    <cfRule type="cellIs" dxfId="531" priority="9" stopIfTrue="1" operator="greaterThan">
      <formula>1.1</formula>
    </cfRule>
  </conditionalFormatting>
  <conditionalFormatting sqref="N59:N60">
    <cfRule type="cellIs" dxfId="530" priority="74" stopIfTrue="1" operator="greaterThan">
      <formula>1.5%</formula>
    </cfRule>
    <cfRule type="cellIs" dxfId="529" priority="75" stopIfTrue="1" operator="lessThan">
      <formula>0%</formula>
    </cfRule>
  </conditionalFormatting>
  <conditionalFormatting sqref="P4 R4:T4 R58:T58">
    <cfRule type="cellIs" dxfId="528" priority="69" stopIfTrue="1" operator="lessThan">
      <formula>0.74</formula>
    </cfRule>
  </conditionalFormatting>
  <conditionalFormatting sqref="P6:P10">
    <cfRule type="cellIs" dxfId="527" priority="27" stopIfTrue="1" operator="lessThan">
      <formula>0.74</formula>
    </cfRule>
  </conditionalFormatting>
  <conditionalFormatting sqref="P12:P14 R12:T14">
    <cfRule type="cellIs" dxfId="526" priority="22" stopIfTrue="1" operator="lessThan">
      <formula>0.74</formula>
    </cfRule>
  </conditionalFormatting>
  <conditionalFormatting sqref="P16:P17 P19">
    <cfRule type="cellIs" dxfId="525" priority="14" stopIfTrue="1" operator="lessThan">
      <formula>0.74</formula>
    </cfRule>
  </conditionalFormatting>
  <conditionalFormatting sqref="P22:P24">
    <cfRule type="cellIs" dxfId="524" priority="5" stopIfTrue="1" operator="lessThan">
      <formula>0.74</formula>
    </cfRule>
  </conditionalFormatting>
  <conditionalFormatting sqref="P26:P27">
    <cfRule type="cellIs" dxfId="523" priority="2" stopIfTrue="1" operator="lessThan">
      <formula>0.74</formula>
    </cfRule>
  </conditionalFormatting>
  <conditionalFormatting sqref="P30:P58">
    <cfRule type="cellIs" dxfId="522" priority="44" stopIfTrue="1" operator="lessThan">
      <formula>0.74</formula>
    </cfRule>
  </conditionalFormatting>
  <conditionalFormatting sqref="R30:R57">
    <cfRule type="cellIs" dxfId="521" priority="47" stopIfTrue="1" operator="lessThan">
      <formula>0.74</formula>
    </cfRule>
  </conditionalFormatting>
  <conditionalFormatting sqref="R59:R60">
    <cfRule type="cellIs" dxfId="520" priority="77" stopIfTrue="1" operator="lessThan">
      <formula>73%</formula>
    </cfRule>
  </conditionalFormatting>
  <conditionalFormatting sqref="R3:T3">
    <cfRule type="cellIs" dxfId="519" priority="33" stopIfTrue="1" operator="lessThan">
      <formula>0.65</formula>
    </cfRule>
  </conditionalFormatting>
  <conditionalFormatting sqref="R6:T10">
    <cfRule type="cellIs" dxfId="518" priority="25" stopIfTrue="1" operator="lessThan">
      <formula>0.74</formula>
    </cfRule>
  </conditionalFormatting>
  <conditionalFormatting sqref="R16:T17 R19:T19">
    <cfRule type="cellIs" dxfId="517" priority="13" stopIfTrue="1" operator="lessThan">
      <formula>0.74</formula>
    </cfRule>
  </conditionalFormatting>
  <conditionalFormatting sqref="R22:T24">
    <cfRule type="cellIs" dxfId="516" priority="4" stopIfTrue="1" operator="lessThan">
      <formula>0.74</formula>
    </cfRule>
  </conditionalFormatting>
  <conditionalFormatting sqref="R26:T27">
    <cfRule type="cellIs" dxfId="515" priority="1" stopIfTrue="1" operator="lessThan">
      <formula>0.74</formula>
    </cfRule>
  </conditionalFormatting>
  <conditionalFormatting sqref="S28:S29 S30:T57">
    <cfRule type="cellIs" dxfId="514" priority="42" stopIfTrue="1" operator="lessThan">
      <formula>75%</formula>
    </cfRule>
  </conditionalFormatting>
  <conditionalFormatting sqref="S59:T60">
    <cfRule type="cellIs" dxfId="513" priority="80" stopIfTrue="1" operator="lessThan">
      <formula>75%</formula>
    </cfRule>
  </conditionalFormatting>
  <printOptions horizontalCentered="1"/>
  <pageMargins left="0.10312499999999999" right="0.5" top="0.25" bottom="0.27" header="0.25" footer="0.27"/>
  <pageSetup paperSize="5" scale="52" orientation="landscape" r:id="rId1"/>
  <headerFooter alignWithMargins="0"/>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00805-EBBF-40E5-832D-223CF7076DB5}">
  <sheetPr codeName="Sheet4">
    <pageSetUpPr fitToPage="1"/>
  </sheetPr>
  <dimension ref="B2:U732"/>
  <sheetViews>
    <sheetView showZeros="0" showWhiteSpace="0" zoomScale="70" zoomScaleNormal="70" workbookViewId="0">
      <pane ySplit="3" topLeftCell="A16" activePane="bottomLeft" state="frozen"/>
      <selection activeCell="B2" sqref="B2:W2"/>
      <selection pane="bottomLeft" activeCell="B2" sqref="B2:W2"/>
    </sheetView>
  </sheetViews>
  <sheetFormatPr defaultColWidth="9.42578125" defaultRowHeight="12.75" x14ac:dyDescent="0.2"/>
  <cols>
    <col min="2" max="2" width="10.42578125" style="1" customWidth="1"/>
    <col min="3" max="3" width="31.42578125" style="1" customWidth="1"/>
    <col min="4" max="4" width="13.5703125" style="1" customWidth="1"/>
    <col min="5" max="5" width="13.42578125" style="1" customWidth="1"/>
    <col min="6" max="6" width="14.5703125" style="1" bestFit="1" customWidth="1"/>
    <col min="7" max="7" width="15.5703125" customWidth="1"/>
    <col min="8" max="8" width="15" customWidth="1"/>
    <col min="9" max="9" width="15.5703125" style="1" customWidth="1"/>
    <col min="10" max="10" width="14.42578125" customWidth="1"/>
    <col min="11" max="11" width="13.5703125" customWidth="1"/>
    <col min="12" max="12" width="11.42578125" customWidth="1"/>
    <col min="13" max="13" width="15" style="2" bestFit="1" customWidth="1"/>
    <col min="14" max="14" width="15.5703125" style="1" bestFit="1" customWidth="1"/>
    <col min="15" max="15" width="7.5703125" style="1" hidden="1" customWidth="1"/>
    <col min="16" max="16" width="13.42578125" style="1" customWidth="1"/>
    <col min="17" max="17" width="12" hidden="1" customWidth="1"/>
    <col min="18" max="18" width="14.42578125" customWidth="1"/>
    <col min="19" max="19" width="10.42578125" hidden="1" customWidth="1"/>
    <col min="20" max="20" width="14.42578125" customWidth="1"/>
    <col min="21" max="21" width="91" customWidth="1"/>
    <col min="22" max="22" width="12.5703125" customWidth="1"/>
    <col min="23" max="23" width="13.5703125" customWidth="1"/>
  </cols>
  <sheetData>
    <row r="2" spans="2:21" ht="24" thickBot="1" x14ac:dyDescent="0.4">
      <c r="B2" s="1022" t="s">
        <v>52</v>
      </c>
      <c r="C2" s="1022"/>
      <c r="D2" s="1022"/>
      <c r="E2" s="1022"/>
      <c r="F2" s="1022"/>
      <c r="G2" s="1022"/>
      <c r="H2" s="1022"/>
      <c r="I2" s="1022"/>
      <c r="J2" s="1022"/>
      <c r="K2" s="1022"/>
      <c r="L2" s="1022"/>
      <c r="M2" s="1022"/>
      <c r="N2" s="1022"/>
      <c r="O2" s="1022"/>
      <c r="P2" s="1022"/>
      <c r="Q2" s="1022"/>
      <c r="R2" s="1022"/>
      <c r="S2" s="1022"/>
      <c r="T2" s="1022"/>
      <c r="U2" s="1022"/>
    </row>
    <row r="3" spans="2:21" ht="80.25" thickTop="1" thickBot="1" x14ac:dyDescent="0.25">
      <c r="B3" s="37" t="s">
        <v>0</v>
      </c>
      <c r="C3" s="38" t="s">
        <v>2</v>
      </c>
      <c r="D3" s="38" t="s">
        <v>12</v>
      </c>
      <c r="E3" s="38" t="s">
        <v>11</v>
      </c>
      <c r="F3" s="38" t="s">
        <v>15</v>
      </c>
      <c r="G3" s="38" t="s">
        <v>9</v>
      </c>
      <c r="H3" s="38" t="s">
        <v>17</v>
      </c>
      <c r="I3" s="38" t="s">
        <v>5</v>
      </c>
      <c r="J3" s="38" t="s">
        <v>43</v>
      </c>
      <c r="K3" s="38" t="s">
        <v>4</v>
      </c>
      <c r="L3" s="38" t="s">
        <v>10</v>
      </c>
      <c r="M3" s="39" t="s">
        <v>34</v>
      </c>
      <c r="N3" s="40" t="s">
        <v>55</v>
      </c>
      <c r="O3" s="40" t="s">
        <v>8</v>
      </c>
      <c r="P3" s="41" t="s">
        <v>7</v>
      </c>
      <c r="Q3" s="41" t="s">
        <v>6</v>
      </c>
      <c r="R3" s="41" t="s">
        <v>47</v>
      </c>
      <c r="S3" s="41" t="s">
        <v>47</v>
      </c>
      <c r="T3" s="124" t="s">
        <v>94</v>
      </c>
      <c r="U3" s="5" t="s">
        <v>1</v>
      </c>
    </row>
    <row r="4" spans="2:21" s="19" customFormat="1" ht="36" customHeight="1" thickTop="1" x14ac:dyDescent="0.2">
      <c r="B4" s="123">
        <v>42430</v>
      </c>
      <c r="C4" s="48" t="s">
        <v>28</v>
      </c>
      <c r="D4" s="49">
        <v>3500</v>
      </c>
      <c r="E4" s="50">
        <v>0.4145833333333333</v>
      </c>
      <c r="F4" s="51">
        <f>SUM([16]March_2016!$J8)</f>
        <v>254.2</v>
      </c>
      <c r="G4" s="52">
        <f>SUM([16]March_2016!$F8)</f>
        <v>3818</v>
      </c>
      <c r="H4" s="51">
        <f>SUM([16]March_2016!$K8)</f>
        <v>251.988</v>
      </c>
      <c r="I4" s="53">
        <f>SUM([16]March_2016!$N8)</f>
        <v>12</v>
      </c>
      <c r="J4" s="54">
        <f>SUM([16]March_2016!$Q8)</f>
        <v>353.51851851851848</v>
      </c>
      <c r="K4" s="54">
        <f>SUM([16]March_2016!$E8)</f>
        <v>648</v>
      </c>
      <c r="L4" s="54">
        <f>SUM([16]March_2016!$M8)</f>
        <v>163</v>
      </c>
      <c r="M4" s="122"/>
      <c r="N4" s="55">
        <f>SUM([16]March_2016!$P8)</f>
        <v>0.8701809598741107</v>
      </c>
      <c r="O4" s="54"/>
      <c r="P4" s="66">
        <f>(G4)/(12.75*15000*(1/24))</f>
        <v>0.47912156862745098</v>
      </c>
      <c r="Q4" s="56"/>
      <c r="R4" s="46">
        <f>(G4)*24/(K4/60)/15000</f>
        <v>0.56562962962962959</v>
      </c>
      <c r="S4" s="46">
        <f>(H4+H5)*24/(L4/60)/15000</f>
        <v>0.31668338650306749</v>
      </c>
      <c r="T4" s="125">
        <f>(G4)*24/(K4/60)/15300</f>
        <v>0.55453885257806823</v>
      </c>
      <c r="U4" s="24" t="s">
        <v>104</v>
      </c>
    </row>
    <row r="5" spans="2:21" s="19" customFormat="1" ht="49.5" x14ac:dyDescent="0.2">
      <c r="B5" s="123">
        <v>42431</v>
      </c>
      <c r="C5" s="48" t="s">
        <v>30</v>
      </c>
      <c r="D5" s="49">
        <v>4200</v>
      </c>
      <c r="E5" s="50">
        <v>0.375</v>
      </c>
      <c r="F5" s="51">
        <f>SUM([16]March_2016!$J9)</f>
        <v>287.39999999999998</v>
      </c>
      <c r="G5" s="52">
        <f>SUM([16]March_2016!$F9)</f>
        <v>4329</v>
      </c>
      <c r="H5" s="51">
        <f>SUM([16]March_2016!$K9)</f>
        <v>285.714</v>
      </c>
      <c r="I5" s="53">
        <f>SUM([16]March_2016!$N9)</f>
        <v>27.25</v>
      </c>
      <c r="J5" s="54">
        <f>SUM([16]March_2016!$Q9)</f>
        <v>355.32147742818057</v>
      </c>
      <c r="K5" s="54">
        <f>SUM([16]March_2016!$E9)</f>
        <v>731</v>
      </c>
      <c r="L5" s="54">
        <f>SUM([16]March_2016!$M9)</f>
        <v>203</v>
      </c>
      <c r="M5" s="54"/>
      <c r="N5" s="55">
        <f>SUM([16]March_2016!$P9)</f>
        <v>0.58663883089769608</v>
      </c>
      <c r="O5" s="54"/>
      <c r="P5" s="66">
        <f>(G5)/(12*15000*(1/24))</f>
        <v>0.57720000000000005</v>
      </c>
      <c r="Q5" s="56"/>
      <c r="R5" s="46">
        <f>(G5)*24/(K5/60)/15000</f>
        <v>0.56851436388508891</v>
      </c>
      <c r="S5" s="46">
        <f>(H5+H6)*24/(L5/60)/15000</f>
        <v>0.26294636453201975</v>
      </c>
      <c r="T5" s="125">
        <f>(G5)*24/(K5/60)/15300</f>
        <v>0.55736702341675382</v>
      </c>
      <c r="U5" s="24" t="s">
        <v>100</v>
      </c>
    </row>
    <row r="6" spans="2:21" s="19" customFormat="1" ht="33" x14ac:dyDescent="0.2">
      <c r="B6" s="123">
        <v>42432</v>
      </c>
      <c r="C6" s="48" t="s">
        <v>27</v>
      </c>
      <c r="D6" s="49">
        <v>4200</v>
      </c>
      <c r="E6" s="50">
        <v>0.33680555555555558</v>
      </c>
      <c r="F6" s="51">
        <f>SUM([16]March_2016!$J10)</f>
        <v>272.3</v>
      </c>
      <c r="G6" s="52">
        <f>SUM([16]March_2016!$F10)</f>
        <v>4038</v>
      </c>
      <c r="H6" s="51">
        <f>SUM([16]March_2016!$K10)</f>
        <v>270.30800000000005</v>
      </c>
      <c r="I6" s="53">
        <f>SUM([16]March_2016!$N10)</f>
        <v>40</v>
      </c>
      <c r="J6" s="54">
        <f>SUM([16]March_2016!$Q10)</f>
        <v>425.05263157894734</v>
      </c>
      <c r="K6" s="54">
        <f>SUM([16]March_2016!$E10)</f>
        <v>570</v>
      </c>
      <c r="L6" s="54">
        <f>SUM([16]March_2016!$M10)</f>
        <v>82</v>
      </c>
      <c r="M6" s="54"/>
      <c r="N6" s="55">
        <f>SUM([16]March_2016!$P10)</f>
        <v>0.73154608887255301</v>
      </c>
      <c r="O6" s="54"/>
      <c r="P6" s="66">
        <f>(G6)/(9.33*15000*(1/24))</f>
        <v>0.69247588424437301</v>
      </c>
      <c r="Q6" s="56"/>
      <c r="R6" s="46">
        <f>(G6)*24/(K6/60)/15000</f>
        <v>0.68008421052631574</v>
      </c>
      <c r="S6" s="46">
        <f>(H6+H7)*24/(L6/60)/15000</f>
        <v>0.51577287804878047</v>
      </c>
      <c r="T6" s="125">
        <f>(G6)*24/(K6/60)/15300</f>
        <v>0.66674922600619191</v>
      </c>
      <c r="U6" s="24" t="s">
        <v>101</v>
      </c>
    </row>
    <row r="7" spans="2:21" s="19" customFormat="1" ht="20.25" x14ac:dyDescent="0.2">
      <c r="B7" s="1229">
        <v>42433</v>
      </c>
      <c r="C7" s="48" t="s">
        <v>29</v>
      </c>
      <c r="D7" s="49">
        <v>2800</v>
      </c>
      <c r="E7" s="1217">
        <v>0.35416666666666669</v>
      </c>
      <c r="F7" s="51">
        <f>SUM([16]March_2016!$J11)</f>
        <v>172.2</v>
      </c>
      <c r="G7" s="52">
        <f>SUM([16]March_2016!$F11)</f>
        <v>2378</v>
      </c>
      <c r="H7" s="51">
        <f>SUM([16]March_2016!$K11)</f>
        <v>170.24800000000002</v>
      </c>
      <c r="I7" s="53">
        <f>SUM([16]March_2016!$N11)</f>
        <v>7</v>
      </c>
      <c r="J7" s="1223">
        <f>SUM([16]March_2016!$Q11)</f>
        <v>377.42514970059881</v>
      </c>
      <c r="K7" s="1223">
        <f>SUM([16]March_2016!$E11)</f>
        <v>668</v>
      </c>
      <c r="L7" s="54">
        <f>SUM([16]March_2016!$M11)</f>
        <v>52</v>
      </c>
      <c r="M7" s="54"/>
      <c r="N7" s="55">
        <f>SUM([16]March_2016!$P11)</f>
        <v>1.1335656213704819</v>
      </c>
      <c r="O7" s="54"/>
      <c r="P7" s="1227">
        <f>(G7+G8)/(11*15000*(1/24))</f>
        <v>0.61119999999999997</v>
      </c>
      <c r="Q7" s="56"/>
      <c r="R7" s="1039">
        <f>(G7+G8)*24/(K7/60)/15000</f>
        <v>0.60388023952095815</v>
      </c>
      <c r="S7" s="46">
        <f>(H7+H8)*24/(L7/60)/15000</f>
        <v>0.53655138461538454</v>
      </c>
      <c r="T7" s="1237">
        <f>(G7+G8)*24/(K7/60)/15300</f>
        <v>0.59203945051074325</v>
      </c>
      <c r="U7" s="1208" t="s">
        <v>103</v>
      </c>
    </row>
    <row r="8" spans="2:21" s="19" customFormat="1" ht="20.25" x14ac:dyDescent="0.2">
      <c r="B8" s="1230"/>
      <c r="C8" s="48" t="s">
        <v>45</v>
      </c>
      <c r="D8" s="49">
        <v>1500</v>
      </c>
      <c r="E8" s="1218"/>
      <c r="F8" s="51">
        <f>SUM([16]March_2016!$J12)</f>
        <v>124.59743999999999</v>
      </c>
      <c r="G8" s="52">
        <f>SUM([16]March_2016!$F12)</f>
        <v>1824</v>
      </c>
      <c r="H8" s="51">
        <f>SUM([16]March_2016!$K12)</f>
        <v>120.384</v>
      </c>
      <c r="I8" s="53">
        <f>SUM([16]March_2016!$N12)</f>
        <v>9</v>
      </c>
      <c r="J8" s="1224"/>
      <c r="K8" s="1224"/>
      <c r="L8" s="54">
        <f>SUM([16]March_2016!$M12)</f>
        <v>77</v>
      </c>
      <c r="M8" s="54"/>
      <c r="N8" s="55">
        <f>SUM([16]March_2016!$P12)</f>
        <v>3.3816425120772884</v>
      </c>
      <c r="O8" s="54"/>
      <c r="P8" s="1228"/>
      <c r="Q8" s="56"/>
      <c r="R8" s="1040"/>
      <c r="S8" s="46"/>
      <c r="T8" s="1239"/>
      <c r="U8" s="1209"/>
    </row>
    <row r="9" spans="2:21" s="19" customFormat="1" ht="49.5" x14ac:dyDescent="0.2">
      <c r="B9" s="123">
        <v>42436</v>
      </c>
      <c r="C9" s="48" t="s">
        <v>29</v>
      </c>
      <c r="D9" s="49">
        <v>4200</v>
      </c>
      <c r="E9" s="50">
        <v>0.3611111111111111</v>
      </c>
      <c r="F9" s="51">
        <f>SUM([16]March_2016!$J13)</f>
        <v>236.5</v>
      </c>
      <c r="G9" s="52">
        <f>SUM([16]March_2016!$F13)</f>
        <v>3235</v>
      </c>
      <c r="H9" s="51">
        <f>SUM([16]March_2016!$K13)</f>
        <v>233.27</v>
      </c>
      <c r="I9" s="53">
        <f>SUM([16]March_2016!$N13)</f>
        <v>39.75</v>
      </c>
      <c r="J9" s="54">
        <f>SUM([16]March_2016!$Q13)</f>
        <v>308.58505564387917</v>
      </c>
      <c r="K9" s="54">
        <f>SUM([16]March_2016!$E13)</f>
        <v>629</v>
      </c>
      <c r="L9" s="54">
        <f>SUM([16]March_2016!$M13)</f>
        <v>212</v>
      </c>
      <c r="M9" s="54"/>
      <c r="N9" s="55">
        <f>SUM([16]March_2016!$P13)</f>
        <v>1.3657505285412219</v>
      </c>
      <c r="O9" s="54"/>
      <c r="P9" s="66">
        <f>(G9)/(10.3167*15000*(1/24))</f>
        <v>0.50171081838184695</v>
      </c>
      <c r="Q9" s="56"/>
      <c r="R9" s="46">
        <f>(G9)*24/(K9/60)/15000</f>
        <v>0.49373608903020672</v>
      </c>
      <c r="S9" s="46">
        <f>(H9+H10)*24/(L9/60)/15000</f>
        <v>0.24990792452830188</v>
      </c>
      <c r="T9" s="125">
        <f>(G9)*24/(K9/60)/15300</f>
        <v>0.48405498924530072</v>
      </c>
      <c r="U9" s="24" t="s">
        <v>105</v>
      </c>
    </row>
    <row r="10" spans="2:21" s="19" customFormat="1" ht="37.5" customHeight="1" x14ac:dyDescent="0.2">
      <c r="B10" s="123">
        <v>42437</v>
      </c>
      <c r="C10" s="48" t="s">
        <v>29</v>
      </c>
      <c r="D10" s="49">
        <v>4200</v>
      </c>
      <c r="E10" s="50">
        <v>0.33333333333333331</v>
      </c>
      <c r="F10" s="51">
        <f>SUM([16]March_2016!$J14)</f>
        <v>320.39999999999998</v>
      </c>
      <c r="G10" s="52">
        <f>SUM([16]March_2016!$F14)</f>
        <v>4695</v>
      </c>
      <c r="H10" s="51">
        <f>SUM([16]March_2016!$K14)</f>
        <v>318.61</v>
      </c>
      <c r="I10" s="53">
        <f>SUM([16]March_2016!$N14)</f>
        <v>26</v>
      </c>
      <c r="J10" s="54">
        <f>SUM([16]March_2016!$Q14)</f>
        <v>422.33883058470764</v>
      </c>
      <c r="K10" s="54">
        <f>SUM([16]March_2016!$E14)</f>
        <v>667</v>
      </c>
      <c r="L10" s="54">
        <f>SUM([16]March_2016!$M14)</f>
        <v>54</v>
      </c>
      <c r="M10" s="54"/>
      <c r="N10" s="55">
        <f>SUM([16]March_2016!$P14)</f>
        <v>0.55867665418226087</v>
      </c>
      <c r="O10" s="54"/>
      <c r="P10" s="66">
        <f>(G10)/(10.95*15000*(1/24))</f>
        <v>0.68602739726027395</v>
      </c>
      <c r="Q10" s="56"/>
      <c r="R10" s="46">
        <f>(G10)*24/(K10/60)/15000</f>
        <v>0.6757421289355322</v>
      </c>
      <c r="S10" s="46">
        <f>(H10+H11)*24/(L10/60)/15000</f>
        <v>1.0533511111111111</v>
      </c>
      <c r="T10" s="125">
        <f>(G10)*24/(K10/60)/15300</f>
        <v>0.66249228327012954</v>
      </c>
      <c r="U10" s="24" t="s">
        <v>106</v>
      </c>
    </row>
    <row r="11" spans="2:21" s="19" customFormat="1" ht="32.25" customHeight="1" x14ac:dyDescent="0.2">
      <c r="B11" s="1213">
        <v>42438</v>
      </c>
      <c r="C11" s="48" t="s">
        <v>27</v>
      </c>
      <c r="D11" s="49">
        <v>4200</v>
      </c>
      <c r="E11" s="1217">
        <v>0.31597222222222221</v>
      </c>
      <c r="F11" s="51">
        <f>SUM([16]March_2016!$J15)</f>
        <v>275.70000000000005</v>
      </c>
      <c r="G11" s="52">
        <f>SUM([16]March_2016!$F15)</f>
        <v>4150</v>
      </c>
      <c r="H11" s="51">
        <f>SUM([16]March_2016!$K15)</f>
        <v>273.90000000000003</v>
      </c>
      <c r="I11" s="53">
        <f>SUM([16]March_2016!$N15)</f>
        <v>35</v>
      </c>
      <c r="J11" s="1223">
        <f>SUM([16]March_2016!$Q15)</f>
        <v>403.56564019448945</v>
      </c>
      <c r="K11" s="1223">
        <f>SUM([16]March_2016!$E15)</f>
        <v>617</v>
      </c>
      <c r="L11" s="54">
        <f>SUM([16]March_2016!$M15)</f>
        <v>134</v>
      </c>
      <c r="M11" s="54"/>
      <c r="N11" s="55">
        <f>SUM([16]March_2016!$P15)</f>
        <v>0.65288356909684842</v>
      </c>
      <c r="O11" s="54"/>
      <c r="P11" s="1227">
        <f>(G11)/(10.117*15000*(1/24))</f>
        <v>0.65632104378768408</v>
      </c>
      <c r="Q11" s="56"/>
      <c r="R11" s="1039">
        <f>(G11)*24/(K11/60)/15000</f>
        <v>0.64570502431118315</v>
      </c>
      <c r="S11" s="46">
        <f>(H11+H12)*24/(L11/60)/15000</f>
        <v>0.20856788059701498</v>
      </c>
      <c r="T11" s="1237">
        <f>(G11)*24/(K11/60)/15300</f>
        <v>0.63304414148155208</v>
      </c>
      <c r="U11" s="1208" t="s">
        <v>108</v>
      </c>
    </row>
    <row r="12" spans="2:21" s="19" customFormat="1" ht="20.25" x14ac:dyDescent="0.2">
      <c r="B12" s="1214"/>
      <c r="C12" s="48" t="s">
        <v>107</v>
      </c>
      <c r="D12" s="49"/>
      <c r="E12" s="1218"/>
      <c r="F12" s="51">
        <f>SUM([16]March_2016!$J16)</f>
        <v>19.7</v>
      </c>
      <c r="G12" s="52">
        <f>SUM([16]March_2016!$F16)</f>
        <v>261</v>
      </c>
      <c r="H12" s="51">
        <f>SUM([16]March_2016!$K16)</f>
        <v>17.225999999999999</v>
      </c>
      <c r="I12" s="53">
        <f>SUM([16]March_2016!$N16)</f>
        <v>0</v>
      </c>
      <c r="J12" s="1224"/>
      <c r="K12" s="1224"/>
      <c r="L12" s="54">
        <f>SUM([16]March_2016!$M16)</f>
        <v>0</v>
      </c>
      <c r="M12" s="54"/>
      <c r="N12" s="55">
        <f>SUM([16]March_2016!$P16)</f>
        <v>12.558375634517768</v>
      </c>
      <c r="O12" s="54"/>
      <c r="P12" s="1228"/>
      <c r="Q12" s="56"/>
      <c r="R12" s="1040"/>
      <c r="S12" s="46"/>
      <c r="T12" s="1239"/>
      <c r="U12" s="1209"/>
    </row>
    <row r="13" spans="2:21" s="19" customFormat="1" ht="49.5" x14ac:dyDescent="0.2">
      <c r="B13" s="123">
        <v>42439</v>
      </c>
      <c r="C13" s="48" t="s">
        <v>31</v>
      </c>
      <c r="D13" s="49">
        <v>3750</v>
      </c>
      <c r="E13" s="50">
        <v>0.375</v>
      </c>
      <c r="F13" s="51">
        <f>SUM([16]March_2016!$J17)</f>
        <v>204.3</v>
      </c>
      <c r="G13" s="52">
        <f>SUM([16]March_2016!$F17)</f>
        <v>2722</v>
      </c>
      <c r="H13" s="51">
        <f>SUM([16]March_2016!$K17)</f>
        <v>202.51679999999999</v>
      </c>
      <c r="I13" s="53">
        <f>SUM([16]March_2016!$N17)</f>
        <v>16</v>
      </c>
      <c r="J13" s="54">
        <f>SUM([16]March_2016!$Q17)</f>
        <v>292.68817204301075</v>
      </c>
      <c r="K13" s="54">
        <f>SUM([16]March_2016!$E17)</f>
        <v>558</v>
      </c>
      <c r="L13" s="54">
        <f>SUM([16]March_2016!$M17)</f>
        <v>260</v>
      </c>
      <c r="M13" s="54"/>
      <c r="N13" s="55">
        <f>SUM([16]March_2016!$P17)</f>
        <v>0.87283406754773474</v>
      </c>
      <c r="O13" s="54"/>
      <c r="P13" s="66">
        <f>(G13)/(9.133*15000*(1/24))</f>
        <v>0.47686411912843535</v>
      </c>
      <c r="Q13" s="56"/>
      <c r="R13" s="46">
        <f t="shared" ref="R13:R18" si="0">(G13)*24/(K13/60)/15000</f>
        <v>0.46830107526881715</v>
      </c>
      <c r="S13" s="46">
        <f t="shared" ref="S13:S18" si="1">(H13+H14)*24/(L13/60)/15000</f>
        <v>0.11375645538461539</v>
      </c>
      <c r="T13" s="125">
        <f t="shared" ref="T13:T18" si="2">(G13)*24/(K13/60)/15300</f>
        <v>0.45911870124393839</v>
      </c>
      <c r="U13" s="24" t="s">
        <v>109</v>
      </c>
    </row>
    <row r="14" spans="2:21" s="19" customFormat="1" ht="31.5" customHeight="1" x14ac:dyDescent="0.2">
      <c r="B14" s="123">
        <v>42440</v>
      </c>
      <c r="C14" s="48" t="s">
        <v>31</v>
      </c>
      <c r="D14" s="49"/>
      <c r="E14" s="50">
        <v>0.34375</v>
      </c>
      <c r="F14" s="51">
        <f>SUM([16]March_2016!$J18)</f>
        <v>105.8</v>
      </c>
      <c r="G14" s="52">
        <f>SUM([16]March_2016!$F18)</f>
        <v>1419</v>
      </c>
      <c r="H14" s="51">
        <f>SUM([16]March_2016!$K18)</f>
        <v>105.57359999999998</v>
      </c>
      <c r="I14" s="53">
        <f>SUM([16]March_2016!$N18)</f>
        <v>4.5</v>
      </c>
      <c r="J14" s="54">
        <f>SUM([16]March_2016!$Q18)</f>
        <v>341.92771084337346</v>
      </c>
      <c r="K14" s="54">
        <f>SUM([16]March_2016!$E18)</f>
        <v>249</v>
      </c>
      <c r="L14" s="54">
        <f>SUM([16]March_2016!$M18)</f>
        <v>76</v>
      </c>
      <c r="M14" s="54">
        <f>SUM([16]March_2016!$H18)</f>
        <v>0</v>
      </c>
      <c r="N14" s="55">
        <f>SUM([16]March_2016!$P18)</f>
        <v>0.21398865784500223</v>
      </c>
      <c r="O14" s="54"/>
      <c r="P14" s="66">
        <f>(G14)/(8*15000*(1/24))</f>
        <v>0.2838</v>
      </c>
      <c r="Q14" s="56"/>
      <c r="R14" s="46">
        <f t="shared" si="0"/>
        <v>0.54708433734939754</v>
      </c>
      <c r="S14" s="46">
        <f t="shared" si="1"/>
        <v>0.38096538947368419</v>
      </c>
      <c r="T14" s="125">
        <f t="shared" si="2"/>
        <v>0.53635719347980149</v>
      </c>
      <c r="U14" s="24" t="s">
        <v>110</v>
      </c>
    </row>
    <row r="15" spans="2:21" s="19" customFormat="1" ht="64.5" customHeight="1" x14ac:dyDescent="0.2">
      <c r="B15" s="123">
        <v>42444</v>
      </c>
      <c r="C15" s="48" t="s">
        <v>30</v>
      </c>
      <c r="D15" s="49">
        <v>2800</v>
      </c>
      <c r="E15" s="50">
        <v>0.32500000000000001</v>
      </c>
      <c r="F15" s="51">
        <f>SUM([16]March_2016!$J19)</f>
        <v>198.4</v>
      </c>
      <c r="G15" s="52">
        <f>SUM([16]March_2016!$F19)</f>
        <v>2924</v>
      </c>
      <c r="H15" s="51">
        <f>SUM([16]March_2016!$K19)</f>
        <v>196.024</v>
      </c>
      <c r="I15" s="53">
        <f>SUM([16]March_2016!$N19)</f>
        <v>33</v>
      </c>
      <c r="J15" s="54">
        <f>SUM([16]March_2016!$Q19)</f>
        <v>310.51327433628319</v>
      </c>
      <c r="K15" s="54">
        <f>SUM([16]March_2016!$E19)</f>
        <v>565</v>
      </c>
      <c r="L15" s="54">
        <f>SUM([16]March_2016!$M19)</f>
        <v>255</v>
      </c>
      <c r="M15" s="54">
        <f>SUM([16]March_2016!$H19)</f>
        <v>0</v>
      </c>
      <c r="N15" s="55">
        <f>SUM([16]March_2016!$P19)</f>
        <v>1.1975806451612927</v>
      </c>
      <c r="O15" s="54"/>
      <c r="P15" s="66">
        <f>(G15)/(9.25*15000*(1/24))</f>
        <v>0.50577297297297297</v>
      </c>
      <c r="Q15" s="56"/>
      <c r="R15" s="46">
        <f t="shared" si="0"/>
        <v>0.49682123893805308</v>
      </c>
      <c r="S15" s="46">
        <f t="shared" si="1"/>
        <v>0.19339218823529414</v>
      </c>
      <c r="T15" s="125">
        <f t="shared" si="2"/>
        <v>0.4870796460176991</v>
      </c>
      <c r="U15" s="24" t="s">
        <v>111</v>
      </c>
    </row>
    <row r="16" spans="2:21" s="19" customFormat="1" ht="33" x14ac:dyDescent="0.2">
      <c r="B16" s="123">
        <v>42445</v>
      </c>
      <c r="C16" s="48" t="s">
        <v>29</v>
      </c>
      <c r="D16" s="49">
        <v>4900</v>
      </c>
      <c r="E16" s="50">
        <v>0.32847222222222222</v>
      </c>
      <c r="F16" s="51">
        <f>SUM([16]March_2016!$J20)</f>
        <v>320.8</v>
      </c>
      <c r="G16" s="52">
        <f>SUM([16]March_2016!$F20)</f>
        <v>4534</v>
      </c>
      <c r="H16" s="51">
        <f>SUM([16]March_2016!$K20)</f>
        <v>317.67400000000004</v>
      </c>
      <c r="I16" s="53">
        <f>SUM([16]March_2016!$N20)</f>
        <v>47</v>
      </c>
      <c r="J16" s="54">
        <f>SUM([16]March_2016!$Q20)</f>
        <v>448.17133443163095</v>
      </c>
      <c r="K16" s="54">
        <f>SUM([16]March_2016!$E20)</f>
        <v>607</v>
      </c>
      <c r="L16" s="54">
        <f>SUM([16]March_2016!$M20)</f>
        <v>130</v>
      </c>
      <c r="M16" s="54">
        <f>SUM([16]March_2016!$H20)</f>
        <v>0</v>
      </c>
      <c r="N16" s="55">
        <f>SUM([16]March_2016!$P20)</f>
        <v>0.97443890274313483</v>
      </c>
      <c r="O16" s="54"/>
      <c r="P16" s="66">
        <f>(G16)/(9.95*15000*(1/24))</f>
        <v>0.72908542713567837</v>
      </c>
      <c r="Q16" s="56"/>
      <c r="R16" s="46">
        <f t="shared" si="0"/>
        <v>0.71707413509060947</v>
      </c>
      <c r="S16" s="46">
        <f t="shared" si="1"/>
        <v>0.44795963076923084</v>
      </c>
      <c r="T16" s="125">
        <f t="shared" si="2"/>
        <v>0.70301385793197002</v>
      </c>
      <c r="U16" s="24" t="s">
        <v>112</v>
      </c>
    </row>
    <row r="17" spans="2:21" s="19" customFormat="1" ht="33.75" customHeight="1" x14ac:dyDescent="0.2">
      <c r="B17" s="123">
        <v>42446</v>
      </c>
      <c r="C17" s="48" t="s">
        <v>29</v>
      </c>
      <c r="D17" s="49">
        <v>4900</v>
      </c>
      <c r="E17" s="50">
        <v>0.36458333333333331</v>
      </c>
      <c r="F17" s="51">
        <f>SUM([16]March_2016!$J21)</f>
        <v>291.55</v>
      </c>
      <c r="G17" s="52">
        <f>SUM([16]March_2016!$F21)</f>
        <v>4208</v>
      </c>
      <c r="H17" s="51">
        <f>SUM([16]March_2016!$K21)</f>
        <v>288.93799999999999</v>
      </c>
      <c r="I17" s="53">
        <f>SUM([16]March_2016!$N21)</f>
        <v>21</v>
      </c>
      <c r="J17" s="54">
        <f>SUM([16]March_2016!$Q21)</f>
        <v>439.09565217391304</v>
      </c>
      <c r="K17" s="54">
        <f>SUM([16]March_2016!$E21)</f>
        <v>575</v>
      </c>
      <c r="L17" s="54">
        <f>SUM([16]March_2016!$M21)</f>
        <v>48</v>
      </c>
      <c r="M17" s="54">
        <f>SUM([16]March_2016!$H21)</f>
        <v>0</v>
      </c>
      <c r="N17" s="55">
        <f>SUM([16]March_2016!$P21)</f>
        <v>0.89590121762991703</v>
      </c>
      <c r="O17" s="54"/>
      <c r="P17" s="66">
        <f>(G17)/(10.33*15000*(1/24))</f>
        <v>0.65177153920619557</v>
      </c>
      <c r="Q17" s="56"/>
      <c r="R17" s="46">
        <f t="shared" si="0"/>
        <v>0.70255304347826086</v>
      </c>
      <c r="S17" s="46">
        <f t="shared" si="1"/>
        <v>1.0493400000000002</v>
      </c>
      <c r="T17" s="125">
        <f t="shared" si="2"/>
        <v>0.68877749360613805</v>
      </c>
      <c r="U17" s="24" t="s">
        <v>113</v>
      </c>
    </row>
    <row r="18" spans="2:21" s="19" customFormat="1" ht="49.5" x14ac:dyDescent="0.2">
      <c r="B18" s="123">
        <v>42447</v>
      </c>
      <c r="C18" s="48" t="s">
        <v>27</v>
      </c>
      <c r="D18" s="49">
        <v>3500</v>
      </c>
      <c r="E18" s="50">
        <v>0.33402777777777781</v>
      </c>
      <c r="F18" s="51">
        <f>SUM([16]March_2016!$J22)</f>
        <v>237.29999999999998</v>
      </c>
      <c r="G18" s="52">
        <f>SUM([16]March_2016!$F22)</f>
        <v>3517</v>
      </c>
      <c r="H18" s="51">
        <f>SUM([16]March_2016!$K22)</f>
        <v>235.73200000000003</v>
      </c>
      <c r="I18" s="53">
        <f>SUM([16]March_2016!$N22)</f>
        <v>34</v>
      </c>
      <c r="J18" s="54">
        <f>SUM([16]March_2016!$Q22)</f>
        <v>436.89440993788816</v>
      </c>
      <c r="K18" s="54">
        <f>SUM([16]March_2016!$E22)</f>
        <v>483</v>
      </c>
      <c r="L18" s="54">
        <f>SUM([16]March_2016!$M22)</f>
        <v>93</v>
      </c>
      <c r="M18" s="54">
        <f>SUM([16]March_2016!$H22)</f>
        <v>0</v>
      </c>
      <c r="N18" s="55">
        <f>SUM([16]March_2016!$P22)</f>
        <v>0.66076696165189863</v>
      </c>
      <c r="O18" s="54"/>
      <c r="P18" s="66">
        <f>(G18)/(8*15000*(1/24))</f>
        <v>0.70340000000000003</v>
      </c>
      <c r="Q18" s="56"/>
      <c r="R18" s="46">
        <f t="shared" si="0"/>
        <v>0.69903105590062098</v>
      </c>
      <c r="S18" s="46">
        <f t="shared" si="1"/>
        <v>0.54739612903225798</v>
      </c>
      <c r="T18" s="125">
        <f t="shared" si="2"/>
        <v>0.68532456460845192</v>
      </c>
      <c r="U18" s="24" t="s">
        <v>114</v>
      </c>
    </row>
    <row r="19" spans="2:21" s="19" customFormat="1" ht="27.75" customHeight="1" x14ac:dyDescent="0.2">
      <c r="B19" s="1213">
        <v>42450</v>
      </c>
      <c r="C19" s="48" t="s">
        <v>32</v>
      </c>
      <c r="D19" s="1215">
        <v>4200</v>
      </c>
      <c r="E19" s="1217">
        <v>0.40625</v>
      </c>
      <c r="F19" s="1219">
        <f>SUM([16]March_2016!$J23)</f>
        <v>297</v>
      </c>
      <c r="G19" s="52">
        <f>SUM([16]March_2016!$F23)</f>
        <v>1869</v>
      </c>
      <c r="H19" s="1219">
        <f>SUM([16]March_2016!$K23)</f>
        <v>294.55799999999999</v>
      </c>
      <c r="I19" s="1221">
        <f>SUM([16]March_2016!$N23)</f>
        <v>18</v>
      </c>
      <c r="J19" s="1223">
        <f>SUM([16]March_2016!$Q23)</f>
        <v>299.85312117503059</v>
      </c>
      <c r="K19" s="1223">
        <f>SUM([16]March_2016!$E23)</f>
        <v>817</v>
      </c>
      <c r="L19" s="1223">
        <f>SUM([16]March_2016!$M23)</f>
        <v>249</v>
      </c>
      <c r="M19" s="132">
        <f>SUM([16]March_2016!$H23)</f>
        <v>0</v>
      </c>
      <c r="N19" s="1225">
        <f>SUM([16]March_2016!$P23)</f>
        <v>0.82222222222222474</v>
      </c>
      <c r="O19" s="54"/>
      <c r="P19" s="1227">
        <f>(G19+G20)/(13.45*15000*(1/24))</f>
        <v>0.48571003717472117</v>
      </c>
      <c r="Q19" s="56"/>
      <c r="R19" s="1039">
        <f>(G19+G20)*24/(K19/60)/15000</f>
        <v>0.4797649938800489</v>
      </c>
      <c r="S19" s="46">
        <f>(H19+H20)*24/(L19/60)/15000</f>
        <v>0.11356453012048191</v>
      </c>
      <c r="T19" s="1237">
        <f>(G19+G20)*24/(K19/60)/15300</f>
        <v>0.47035783713730284</v>
      </c>
      <c r="U19" s="1208" t="s">
        <v>115</v>
      </c>
    </row>
    <row r="20" spans="2:21" s="19" customFormat="1" ht="27.75" customHeight="1" x14ac:dyDescent="0.2">
      <c r="B20" s="1214"/>
      <c r="C20" s="48" t="s">
        <v>29</v>
      </c>
      <c r="D20" s="1216"/>
      <c r="E20" s="1218"/>
      <c r="F20" s="1220"/>
      <c r="G20" s="52">
        <f>SUM([16]March_2016!$F24)</f>
        <v>2214</v>
      </c>
      <c r="H20" s="1220"/>
      <c r="I20" s="1222"/>
      <c r="J20" s="1224"/>
      <c r="K20" s="1224"/>
      <c r="L20" s="1224"/>
      <c r="M20" s="132"/>
      <c r="N20" s="1226"/>
      <c r="O20" s="54"/>
      <c r="P20" s="1228"/>
      <c r="Q20" s="56"/>
      <c r="R20" s="1040"/>
      <c r="S20" s="46"/>
      <c r="T20" s="1239"/>
      <c r="U20" s="1209"/>
    </row>
    <row r="21" spans="2:21" s="19" customFormat="1" ht="66" x14ac:dyDescent="0.2">
      <c r="B21" s="123">
        <v>42451</v>
      </c>
      <c r="C21" s="48" t="s">
        <v>33</v>
      </c>
      <c r="D21" s="49">
        <v>5600</v>
      </c>
      <c r="E21" s="50">
        <v>0.33194444444444443</v>
      </c>
      <c r="F21" s="84">
        <f>SUM([16]March_2016!$J25)</f>
        <v>390.7</v>
      </c>
      <c r="G21" s="52">
        <f>SUM([16]March_2016!$F25)</f>
        <v>5886</v>
      </c>
      <c r="H21" s="84">
        <f>SUM([16]March_2016!$K25)</f>
        <v>388.476</v>
      </c>
      <c r="I21" s="85">
        <f>SUM([16]March_2016!$N25)</f>
        <v>28</v>
      </c>
      <c r="J21" s="130">
        <f>SUM([16]March_2016!$Q25)</f>
        <v>429.11300121506684</v>
      </c>
      <c r="K21" s="130">
        <f>SUM([16]March_2016!$E25)</f>
        <v>823</v>
      </c>
      <c r="L21" s="130">
        <f>SUM([16]March_2016!$M25)</f>
        <v>143</v>
      </c>
      <c r="M21" s="130">
        <f>SUM([16]March_2016!$H25)</f>
        <v>0</v>
      </c>
      <c r="N21" s="86">
        <f>SUM([16]March_2016!$P25)</f>
        <v>0.56923470693626554</v>
      </c>
      <c r="O21" s="54"/>
      <c r="P21" s="66">
        <f>(G21)/(13.55*15000*(1/24))</f>
        <v>0.69502583025830256</v>
      </c>
      <c r="Q21" s="56"/>
      <c r="R21" s="129">
        <f>(G21)*24/(K21/60)/15000</f>
        <v>0.68658080194410687</v>
      </c>
      <c r="S21" s="46">
        <f>(H21+H22)*24/(L21/60)/15000</f>
        <v>0.44148990209790206</v>
      </c>
      <c r="T21" s="131">
        <f>(G21)*24/(K21/60)/15300</f>
        <v>0.67311843327853615</v>
      </c>
      <c r="U21" s="24" t="s">
        <v>116</v>
      </c>
    </row>
    <row r="22" spans="2:21" s="19" customFormat="1" ht="34.5" customHeight="1" x14ac:dyDescent="0.2">
      <c r="B22" s="123">
        <v>42452</v>
      </c>
      <c r="C22" s="48" t="s">
        <v>27</v>
      </c>
      <c r="D22" s="49">
        <v>4200</v>
      </c>
      <c r="E22" s="50">
        <v>0.38194444444444442</v>
      </c>
      <c r="F22" s="84">
        <f>SUM([16]March_2016!$J26)</f>
        <v>271.8</v>
      </c>
      <c r="G22" s="52">
        <f>SUM([16]March_2016!$F26)</f>
        <v>4035</v>
      </c>
      <c r="H22" s="84">
        <f>SUM([16]March_2016!$K26)</f>
        <v>269.16000000000003</v>
      </c>
      <c r="I22" s="85">
        <f>SUM([16]March_2016!$N26)</f>
        <v>41</v>
      </c>
      <c r="J22" s="130">
        <f>SUM([16]March_2016!$Q26)</f>
        <v>433.09481216457959</v>
      </c>
      <c r="K22" s="130">
        <f>SUM([16]March_2016!$E26)</f>
        <v>559</v>
      </c>
      <c r="L22" s="130">
        <f>SUM([16]March_2016!$M26)</f>
        <v>114</v>
      </c>
      <c r="M22" s="130">
        <f>SUM([16]March_2016!$H26)</f>
        <v>0</v>
      </c>
      <c r="N22" s="86">
        <f>SUM([16]March_2016!$P26)</f>
        <v>0.97130242825606561</v>
      </c>
      <c r="O22" s="54"/>
      <c r="P22" s="66">
        <f>(G22)/(10.483*15000*(1/24))</f>
        <v>0.6158542401984165</v>
      </c>
      <c r="Q22" s="56"/>
      <c r="R22" s="129">
        <f>(G22)*24/(K22/60)/15000</f>
        <v>0.69295169946332746</v>
      </c>
      <c r="S22" s="46">
        <f>(H22+H23)*24/(L22/60)/15000</f>
        <v>0.4759882105263159</v>
      </c>
      <c r="T22" s="131">
        <f>(G22)*24/(K22/60)/15300</f>
        <v>0.67936441123855629</v>
      </c>
      <c r="U22" s="24" t="s">
        <v>117</v>
      </c>
    </row>
    <row r="23" spans="2:21" s="19" customFormat="1" ht="33" x14ac:dyDescent="0.2">
      <c r="B23" s="123">
        <v>42453</v>
      </c>
      <c r="C23" s="48" t="s">
        <v>42</v>
      </c>
      <c r="D23" s="49">
        <v>4200</v>
      </c>
      <c r="E23" s="50">
        <v>0.31944444444444448</v>
      </c>
      <c r="F23" s="84">
        <f>SUM([16]March_2016!$J27)</f>
        <v>299.10000000000002</v>
      </c>
      <c r="G23" s="52">
        <f>SUM([16]March_2016!$F27)</f>
        <v>4486</v>
      </c>
      <c r="H23" s="84">
        <f>SUM([16]March_2016!$K27)</f>
        <v>296.07600000000002</v>
      </c>
      <c r="I23" s="85">
        <f>SUM([16]March_2016!$N27)</f>
        <v>24</v>
      </c>
      <c r="J23" s="130">
        <f>SUM([16]March_2016!$Q27)</f>
        <v>417.95031055900625</v>
      </c>
      <c r="K23" s="130">
        <f>SUM([16]March_2016!$E27)</f>
        <v>644</v>
      </c>
      <c r="L23" s="130">
        <f>SUM([16]March_2016!$M27)</f>
        <v>52</v>
      </c>
      <c r="M23" s="130">
        <f>SUM([16]March_2016!$H27)</f>
        <v>0</v>
      </c>
      <c r="N23" s="86">
        <f>SUM([16]March_2016!$P27)</f>
        <v>1.011033099297894</v>
      </c>
      <c r="O23" s="54"/>
      <c r="P23" s="66">
        <f>(G23)/(10.567*15000*(1/24))</f>
        <v>0.67924671146020632</v>
      </c>
      <c r="Q23" s="56"/>
      <c r="R23" s="129">
        <f>(G23)*24/(K23/60)/15000</f>
        <v>0.66872049689440993</v>
      </c>
      <c r="S23" s="46">
        <f>(H23+H24)*24/(L23/60)/15000</f>
        <v>0.96155446153846169</v>
      </c>
      <c r="T23" s="131">
        <f>(G23)*24/(K23/60)/15300</f>
        <v>0.65560833028863719</v>
      </c>
      <c r="U23" s="24" t="s">
        <v>118</v>
      </c>
    </row>
    <row r="24" spans="2:21" s="19" customFormat="1" ht="24.75" customHeight="1" x14ac:dyDescent="0.2">
      <c r="B24" s="1213">
        <v>42458</v>
      </c>
      <c r="C24" s="48" t="s">
        <v>32</v>
      </c>
      <c r="D24" s="1215">
        <v>4200</v>
      </c>
      <c r="E24" s="1217">
        <v>0.45277777777777778</v>
      </c>
      <c r="F24" s="1219">
        <f>SUM([16]March_2016!$J28)</f>
        <v>228.5</v>
      </c>
      <c r="G24" s="52">
        <f>SUM([16]March_2016!$F28)</f>
        <v>518</v>
      </c>
      <c r="H24" s="1219">
        <f>SUM([16]March_2016!$K28)</f>
        <v>224.76600000000002</v>
      </c>
      <c r="I24" s="1221">
        <f>SUM([16]March_2016!$N28)</f>
        <v>13</v>
      </c>
      <c r="J24" s="1223">
        <f>SUM([16]March_2016!$Q28)</f>
        <v>461.4084507042254</v>
      </c>
      <c r="K24" s="1223">
        <f>SUM([16]March_2016!$E28)</f>
        <v>426</v>
      </c>
      <c r="L24" s="1223">
        <f>SUM([16]March_2016!$M28)</f>
        <v>26</v>
      </c>
      <c r="M24" s="130">
        <f>SUM([16]March_2016!$H28)</f>
        <v>0</v>
      </c>
      <c r="N24" s="1225">
        <f>SUM([16]March_2016!$P28)</f>
        <v>1.6341356673960528</v>
      </c>
      <c r="O24" s="54"/>
      <c r="P24" s="1227">
        <f>(G24+G25)/(9.967*15000*(1/24))</f>
        <v>0.52589545500150492</v>
      </c>
      <c r="Q24" s="56"/>
      <c r="R24" s="1039">
        <f>(G24+G25)*24/(K24/60)/15000</f>
        <v>0.73825352112676057</v>
      </c>
      <c r="S24" s="46">
        <f>(H24+H25)*24/(L24/60)/15000</f>
        <v>0.82990523076923084</v>
      </c>
      <c r="T24" s="1237">
        <f>(G24+G25)*24/(K24/60)/15300</f>
        <v>0.72377796188898091</v>
      </c>
      <c r="U24" s="1208" t="s">
        <v>119</v>
      </c>
    </row>
    <row r="25" spans="2:21" s="19" customFormat="1" ht="22.5" customHeight="1" x14ac:dyDescent="0.2">
      <c r="B25" s="1214"/>
      <c r="C25" s="48" t="s">
        <v>29</v>
      </c>
      <c r="D25" s="1216"/>
      <c r="E25" s="1218"/>
      <c r="F25" s="1220"/>
      <c r="G25" s="52">
        <f>SUM([16]March_2016!$F29)</f>
        <v>2758</v>
      </c>
      <c r="H25" s="1220"/>
      <c r="I25" s="1222"/>
      <c r="J25" s="1224"/>
      <c r="K25" s="1224"/>
      <c r="L25" s="1224"/>
      <c r="M25" s="54"/>
      <c r="N25" s="1226"/>
      <c r="O25" s="54"/>
      <c r="P25" s="1228"/>
      <c r="Q25" s="56"/>
      <c r="R25" s="1040"/>
      <c r="S25" s="46"/>
      <c r="T25" s="1239"/>
      <c r="U25" s="1209"/>
    </row>
    <row r="26" spans="2:21" s="19" customFormat="1" ht="33" x14ac:dyDescent="0.2">
      <c r="B26" s="1213">
        <v>42459</v>
      </c>
      <c r="C26" s="48" t="s">
        <v>29</v>
      </c>
      <c r="D26" s="49"/>
      <c r="E26" s="1217">
        <v>0.34930555555555554</v>
      </c>
      <c r="F26" s="84">
        <f>SUM([16]March_2016!$J30)</f>
        <v>57</v>
      </c>
      <c r="G26" s="52">
        <f>SUM([16]March_2016!$F30)</f>
        <v>689</v>
      </c>
      <c r="H26" s="84">
        <f>SUM([16]March_2016!$K30)</f>
        <v>55.164000000000001</v>
      </c>
      <c r="I26" s="85">
        <f>SUM([16]March_2016!$N30)</f>
        <v>20</v>
      </c>
      <c r="J26" s="1223">
        <f>SUM([16]March_2016!$Q30)</f>
        <v>450.25641025641028</v>
      </c>
      <c r="K26" s="1223">
        <f>SUM([16]March_2016!$E30)</f>
        <v>585</v>
      </c>
      <c r="L26" s="130">
        <f>SUM([16]March_2016!$M30)</f>
        <v>97</v>
      </c>
      <c r="M26" s="130">
        <f>SUM([16]March_2016!$H30)</f>
        <v>0</v>
      </c>
      <c r="N26" s="86">
        <f>SUM([16]March_2016!$P30)</f>
        <v>3.2210526315789445</v>
      </c>
      <c r="O26" s="54"/>
      <c r="P26" s="1227">
        <f>(G26+G27)/(10.133*15000*(1/24))</f>
        <v>0.69318069673344518</v>
      </c>
      <c r="Q26" s="56"/>
      <c r="R26" s="1039">
        <f>(G26+G27)*24/(K26/60)/15000</f>
        <v>0.72041025641025636</v>
      </c>
      <c r="S26" s="46">
        <f>(H26+H27)*24/(L26/60)/15000</f>
        <v>0.29634309278350512</v>
      </c>
      <c r="T26" s="1237">
        <f>(G26+G27)*24/(K26/60)/15300</f>
        <v>0.70628456510809445</v>
      </c>
      <c r="U26" s="24" t="s">
        <v>120</v>
      </c>
    </row>
    <row r="27" spans="2:21" s="19" customFormat="1" ht="33" x14ac:dyDescent="0.2">
      <c r="B27" s="1214"/>
      <c r="C27" s="48" t="s">
        <v>27</v>
      </c>
      <c r="D27" s="49">
        <v>4200</v>
      </c>
      <c r="E27" s="1218"/>
      <c r="F27" s="84">
        <f>SUM([16]March_2016!$J31)</f>
        <v>245.8</v>
      </c>
      <c r="G27" s="52">
        <f>SUM([16]March_2016!$F31)</f>
        <v>3701</v>
      </c>
      <c r="H27" s="84">
        <f>SUM([16]March_2016!$K31)</f>
        <v>244.26600000000002</v>
      </c>
      <c r="I27" s="85">
        <f>SUM([16]March_2016!$N31)</f>
        <v>31</v>
      </c>
      <c r="J27" s="1224"/>
      <c r="K27" s="1224"/>
      <c r="L27" s="130">
        <f>SUM([16]March_2016!$M31)</f>
        <v>66</v>
      </c>
      <c r="M27" s="130">
        <f>SUM([16]March_2016!$H31)</f>
        <v>0</v>
      </c>
      <c r="N27" s="86">
        <f>SUM([16]March_2016!$P31)</f>
        <v>0.62408462164360934</v>
      </c>
      <c r="O27" s="54"/>
      <c r="P27" s="1228"/>
      <c r="Q27" s="56"/>
      <c r="R27" s="1040"/>
      <c r="S27" s="46"/>
      <c r="T27" s="1239"/>
      <c r="U27" s="24" t="s">
        <v>121</v>
      </c>
    </row>
    <row r="28" spans="2:21" s="19" customFormat="1" ht="20.25" x14ac:dyDescent="0.2">
      <c r="B28" s="1213">
        <v>42460</v>
      </c>
      <c r="C28" s="48" t="s">
        <v>27</v>
      </c>
      <c r="D28" s="49"/>
      <c r="E28" s="1217">
        <v>0.34375</v>
      </c>
      <c r="F28" s="84">
        <f>SUM([16]March_2016!$J32)</f>
        <v>48.2</v>
      </c>
      <c r="G28" s="52">
        <f>SUM([16]March_2016!$F32)</f>
        <v>706</v>
      </c>
      <c r="H28" s="84">
        <f>SUM([16]March_2016!$K32)</f>
        <v>46.596000000000004</v>
      </c>
      <c r="I28" s="85">
        <f>SUM([16]March_2016!$N32)</f>
        <v>15.5</v>
      </c>
      <c r="J28" s="1223">
        <f>SUM([16]March_2016!$Q32)</f>
        <v>329.90228013029321</v>
      </c>
      <c r="K28" s="1223">
        <f>SUM([16]March_2016!$E32)</f>
        <v>614</v>
      </c>
      <c r="L28" s="130">
        <f>SUM([16]March_2016!$M32)</f>
        <v>41</v>
      </c>
      <c r="M28" s="130">
        <f>SUM([16]March_2016!$H32)</f>
        <v>0</v>
      </c>
      <c r="N28" s="86">
        <f>SUM([16]March_2016!$P32)</f>
        <v>3.3278008298755171</v>
      </c>
      <c r="O28" s="54"/>
      <c r="P28" s="1227">
        <f>(G28+G29)/(10.067*15000*(1/24))</f>
        <v>0.53656501440349658</v>
      </c>
      <c r="Q28" s="56"/>
      <c r="R28" s="1039">
        <f>(G28+G29)*24/(K28/60)/15000</f>
        <v>0.52784364820846907</v>
      </c>
      <c r="S28" s="46">
        <f>(H28+H29)*24/(L28/60)/15000</f>
        <v>0.52171551219512191</v>
      </c>
      <c r="T28" s="1237">
        <f>(G28+G29)*24/(K28/60)/15300</f>
        <v>0.51749377275340103</v>
      </c>
      <c r="U28" s="24" t="s">
        <v>122</v>
      </c>
    </row>
    <row r="29" spans="2:21" s="19" customFormat="1" ht="33" x14ac:dyDescent="0.2">
      <c r="B29" s="1214"/>
      <c r="C29" s="48" t="s">
        <v>30</v>
      </c>
      <c r="D29" s="49">
        <v>4200</v>
      </c>
      <c r="E29" s="1218"/>
      <c r="F29" s="84">
        <f>SUM([16]March_2016!$J33)</f>
        <v>178.60000000000002</v>
      </c>
      <c r="G29" s="52">
        <f>SUM([16]March_2016!$F33)</f>
        <v>2670</v>
      </c>
      <c r="H29" s="84">
        <f>SUM([16]March_2016!$K33)</f>
        <v>176.22</v>
      </c>
      <c r="I29" s="85">
        <f>SUM([16]March_2016!$N33)</f>
        <v>25</v>
      </c>
      <c r="J29" s="1224"/>
      <c r="K29" s="1224"/>
      <c r="L29" s="130">
        <f>SUM([16]March_2016!$M33)</f>
        <v>168</v>
      </c>
      <c r="M29" s="130">
        <f>SUM([16]March_2016!$H33)</f>
        <v>0</v>
      </c>
      <c r="N29" s="86">
        <f>SUM([16]March_2016!$P33)</f>
        <v>1.3325867861142351</v>
      </c>
      <c r="O29" s="54"/>
      <c r="P29" s="1228"/>
      <c r="Q29" s="56"/>
      <c r="R29" s="1040"/>
      <c r="S29" s="46"/>
      <c r="T29" s="1239"/>
      <c r="U29" s="24" t="s">
        <v>123</v>
      </c>
    </row>
    <row r="30" spans="2:21" s="19" customFormat="1" ht="18" customHeight="1" x14ac:dyDescent="0.2">
      <c r="B30" s="47"/>
      <c r="C30" s="48"/>
      <c r="D30" s="49"/>
      <c r="E30" s="50"/>
      <c r="F30" s="51"/>
      <c r="G30" s="52"/>
      <c r="H30" s="51"/>
      <c r="I30" s="53"/>
      <c r="J30" s="54"/>
      <c r="K30" s="54"/>
      <c r="L30" s="54"/>
      <c r="M30" s="54"/>
      <c r="N30" s="55"/>
      <c r="O30" s="54"/>
      <c r="P30" s="66"/>
      <c r="Q30" s="56"/>
      <c r="R30" s="46"/>
      <c r="S30" s="18"/>
      <c r="T30" s="126"/>
      <c r="U30" s="24"/>
    </row>
    <row r="31" spans="2:21" s="19" customFormat="1" ht="18" customHeight="1" x14ac:dyDescent="0.2">
      <c r="B31" s="47"/>
      <c r="C31" s="48"/>
      <c r="D31" s="49"/>
      <c r="E31" s="50"/>
      <c r="F31" s="51"/>
      <c r="G31" s="52"/>
      <c r="H31" s="51"/>
      <c r="I31" s="53"/>
      <c r="J31" s="54"/>
      <c r="K31" s="54"/>
      <c r="L31" s="54"/>
      <c r="M31" s="54"/>
      <c r="N31" s="55"/>
      <c r="O31" s="54"/>
      <c r="P31" s="66"/>
      <c r="Q31" s="56"/>
      <c r="R31" s="46"/>
      <c r="S31" s="18"/>
      <c r="T31" s="126"/>
      <c r="U31" s="24"/>
    </row>
    <row r="32" spans="2:21" s="19" customFormat="1" ht="18" customHeight="1" thickBot="1" x14ac:dyDescent="0.25">
      <c r="B32" s="47"/>
      <c r="C32" s="48"/>
      <c r="D32" s="49"/>
      <c r="E32" s="50"/>
      <c r="F32" s="51"/>
      <c r="G32" s="52"/>
      <c r="H32" s="51"/>
      <c r="I32" s="53"/>
      <c r="J32" s="54"/>
      <c r="K32" s="54"/>
      <c r="L32" s="54"/>
      <c r="M32" s="54"/>
      <c r="N32" s="55"/>
      <c r="O32" s="54"/>
      <c r="P32" s="66"/>
      <c r="Q32" s="56"/>
      <c r="R32" s="46"/>
      <c r="S32" s="18"/>
      <c r="T32" s="126"/>
      <c r="U32" s="24"/>
    </row>
    <row r="33" spans="2:21" s="19" customFormat="1" ht="18" hidden="1" customHeight="1" x14ac:dyDescent="0.2">
      <c r="B33" s="47"/>
      <c r="C33" s="48"/>
      <c r="D33" s="49"/>
      <c r="E33" s="50"/>
      <c r="F33" s="51"/>
      <c r="G33" s="52"/>
      <c r="H33" s="51"/>
      <c r="I33" s="53"/>
      <c r="J33" s="54"/>
      <c r="K33" s="54"/>
      <c r="L33" s="54"/>
      <c r="M33" s="54"/>
      <c r="N33" s="55"/>
      <c r="O33" s="54"/>
      <c r="P33" s="66"/>
      <c r="Q33" s="56"/>
      <c r="R33" s="46"/>
      <c r="S33" s="18"/>
      <c r="T33" s="126"/>
      <c r="U33" s="24"/>
    </row>
    <row r="34" spans="2:21" s="19" customFormat="1" ht="18" hidden="1" customHeight="1" x14ac:dyDescent="0.2">
      <c r="B34" s="47"/>
      <c r="C34" s="48"/>
      <c r="D34" s="49"/>
      <c r="E34" s="50"/>
      <c r="F34" s="51"/>
      <c r="G34" s="52"/>
      <c r="H34" s="51"/>
      <c r="I34" s="53"/>
      <c r="J34" s="54"/>
      <c r="K34" s="54"/>
      <c r="L34" s="54"/>
      <c r="M34" s="54"/>
      <c r="N34" s="55"/>
      <c r="O34" s="54"/>
      <c r="P34" s="66"/>
      <c r="Q34" s="56"/>
      <c r="R34" s="46"/>
      <c r="S34" s="18"/>
      <c r="T34" s="126"/>
      <c r="U34" s="24"/>
    </row>
    <row r="35" spans="2:21" s="19" customFormat="1" ht="35.25" hidden="1" customHeight="1" x14ac:dyDescent="0.2">
      <c r="B35" s="47"/>
      <c r="C35" s="48"/>
      <c r="D35" s="49"/>
      <c r="E35" s="50"/>
      <c r="F35" s="51"/>
      <c r="G35" s="52"/>
      <c r="H35" s="51"/>
      <c r="I35" s="53"/>
      <c r="J35" s="54"/>
      <c r="K35" s="54"/>
      <c r="L35" s="54"/>
      <c r="M35" s="54"/>
      <c r="N35" s="55"/>
      <c r="O35" s="54"/>
      <c r="P35" s="66"/>
      <c r="Q35" s="56"/>
      <c r="R35" s="46"/>
      <c r="S35" s="18"/>
      <c r="T35" s="126"/>
      <c r="U35" s="24"/>
    </row>
    <row r="36" spans="2:21" s="19" customFormat="1" ht="35.25" hidden="1" customHeight="1" x14ac:dyDescent="0.2">
      <c r="B36" s="47"/>
      <c r="C36" s="48"/>
      <c r="D36" s="49"/>
      <c r="E36" s="50"/>
      <c r="F36" s="51"/>
      <c r="G36" s="52"/>
      <c r="H36" s="51"/>
      <c r="I36" s="53"/>
      <c r="J36" s="54"/>
      <c r="K36" s="54"/>
      <c r="L36" s="54"/>
      <c r="M36" s="54"/>
      <c r="N36" s="55"/>
      <c r="O36" s="54"/>
      <c r="P36" s="66"/>
      <c r="Q36" s="56"/>
      <c r="R36" s="46"/>
      <c r="S36" s="18"/>
      <c r="T36" s="126"/>
      <c r="U36" s="24"/>
    </row>
    <row r="37" spans="2:21" s="19" customFormat="1" ht="35.25" hidden="1" customHeight="1" x14ac:dyDescent="0.2">
      <c r="B37" s="47"/>
      <c r="C37" s="48"/>
      <c r="D37" s="49"/>
      <c r="E37" s="50"/>
      <c r="F37" s="51"/>
      <c r="G37" s="52"/>
      <c r="H37" s="51"/>
      <c r="I37" s="53"/>
      <c r="J37" s="54"/>
      <c r="K37" s="54"/>
      <c r="L37" s="54"/>
      <c r="M37" s="54"/>
      <c r="N37" s="55"/>
      <c r="O37" s="54"/>
      <c r="P37" s="66"/>
      <c r="Q37" s="56"/>
      <c r="R37" s="46"/>
      <c r="S37" s="18"/>
      <c r="T37" s="126"/>
      <c r="U37" s="24"/>
    </row>
    <row r="38" spans="2:21" s="19" customFormat="1" ht="31.5" hidden="1" customHeight="1" x14ac:dyDescent="0.2">
      <c r="B38" s="47"/>
      <c r="C38" s="48"/>
      <c r="D38" s="49"/>
      <c r="E38" s="50"/>
      <c r="F38" s="51"/>
      <c r="G38" s="52"/>
      <c r="H38" s="51"/>
      <c r="I38" s="53"/>
      <c r="J38" s="54"/>
      <c r="K38" s="54"/>
      <c r="L38" s="54"/>
      <c r="M38" s="54"/>
      <c r="N38" s="55"/>
      <c r="O38" s="54"/>
      <c r="P38" s="66"/>
      <c r="Q38" s="56"/>
      <c r="R38" s="46"/>
      <c r="S38" s="18"/>
      <c r="T38" s="126"/>
      <c r="U38" s="24"/>
    </row>
    <row r="39" spans="2:21" s="19" customFormat="1" ht="31.5" hidden="1" customHeight="1" x14ac:dyDescent="0.2">
      <c r="B39" s="47"/>
      <c r="C39" s="48"/>
      <c r="D39" s="49"/>
      <c r="E39" s="50"/>
      <c r="F39" s="51"/>
      <c r="G39" s="52"/>
      <c r="H39" s="51"/>
      <c r="I39" s="53"/>
      <c r="J39" s="54"/>
      <c r="K39" s="54"/>
      <c r="L39" s="54"/>
      <c r="M39" s="54"/>
      <c r="N39" s="55"/>
      <c r="O39" s="54"/>
      <c r="P39" s="66"/>
      <c r="Q39" s="56"/>
      <c r="R39" s="46"/>
      <c r="S39" s="18"/>
      <c r="T39" s="126"/>
      <c r="U39" s="24"/>
    </row>
    <row r="40" spans="2:21" s="19" customFormat="1" ht="31.5" hidden="1" customHeight="1" x14ac:dyDescent="0.2">
      <c r="B40" s="47"/>
      <c r="C40" s="48"/>
      <c r="D40" s="49"/>
      <c r="E40" s="50"/>
      <c r="F40" s="51"/>
      <c r="G40" s="52"/>
      <c r="H40" s="51"/>
      <c r="I40" s="53"/>
      <c r="J40" s="54"/>
      <c r="K40" s="54"/>
      <c r="L40" s="54"/>
      <c r="M40" s="54"/>
      <c r="N40" s="55"/>
      <c r="O40" s="54"/>
      <c r="P40" s="66"/>
      <c r="Q40" s="56"/>
      <c r="R40" s="46"/>
      <c r="S40" s="18"/>
      <c r="T40" s="126"/>
      <c r="U40" s="24"/>
    </row>
    <row r="41" spans="2:21" s="19" customFormat="1" ht="31.5" hidden="1" customHeight="1" x14ac:dyDescent="0.2">
      <c r="B41" s="47"/>
      <c r="C41" s="48"/>
      <c r="D41" s="49"/>
      <c r="E41" s="50"/>
      <c r="F41" s="51"/>
      <c r="G41" s="52"/>
      <c r="H41" s="51"/>
      <c r="I41" s="53"/>
      <c r="J41" s="54"/>
      <c r="K41" s="54"/>
      <c r="L41" s="54"/>
      <c r="M41" s="54"/>
      <c r="N41" s="55"/>
      <c r="O41" s="54"/>
      <c r="P41" s="66"/>
      <c r="Q41" s="56"/>
      <c r="R41" s="46"/>
      <c r="S41" s="18"/>
      <c r="T41" s="126"/>
      <c r="U41" s="24"/>
    </row>
    <row r="42" spans="2:21" s="19" customFormat="1" ht="31.5" hidden="1" customHeight="1" x14ac:dyDescent="0.2">
      <c r="B42" s="47"/>
      <c r="C42" s="48"/>
      <c r="D42" s="49"/>
      <c r="E42" s="50"/>
      <c r="F42" s="51"/>
      <c r="G42" s="52"/>
      <c r="H42" s="51"/>
      <c r="I42" s="53"/>
      <c r="J42" s="54"/>
      <c r="K42" s="54"/>
      <c r="L42" s="54"/>
      <c r="M42" s="54"/>
      <c r="N42" s="55"/>
      <c r="O42" s="54"/>
      <c r="P42" s="66"/>
      <c r="Q42" s="56"/>
      <c r="R42" s="46"/>
      <c r="S42" s="18"/>
      <c r="T42" s="126"/>
      <c r="U42" s="24"/>
    </row>
    <row r="43" spans="2:21" s="19" customFormat="1" ht="31.5" hidden="1" customHeight="1" x14ac:dyDescent="0.2">
      <c r="B43" s="47"/>
      <c r="C43" s="48"/>
      <c r="D43" s="49"/>
      <c r="E43" s="50"/>
      <c r="F43" s="51"/>
      <c r="G43" s="52"/>
      <c r="H43" s="51"/>
      <c r="I43" s="53"/>
      <c r="J43" s="54"/>
      <c r="K43" s="54"/>
      <c r="L43" s="54"/>
      <c r="M43" s="54"/>
      <c r="N43" s="55"/>
      <c r="O43" s="54"/>
      <c r="P43" s="66"/>
      <c r="Q43" s="56"/>
      <c r="R43" s="46"/>
      <c r="S43" s="18"/>
      <c r="T43" s="126"/>
      <c r="U43" s="24"/>
    </row>
    <row r="44" spans="2:21" s="19" customFormat="1" ht="31.5" hidden="1" customHeight="1" x14ac:dyDescent="0.2">
      <c r="B44" s="47"/>
      <c r="C44" s="48"/>
      <c r="D44" s="49"/>
      <c r="E44" s="50"/>
      <c r="F44" s="51"/>
      <c r="G44" s="52"/>
      <c r="H44" s="51"/>
      <c r="I44" s="53"/>
      <c r="J44" s="54"/>
      <c r="K44" s="54"/>
      <c r="L44" s="54"/>
      <c r="M44" s="54"/>
      <c r="N44" s="55"/>
      <c r="O44" s="54"/>
      <c r="P44" s="66"/>
      <c r="Q44" s="56"/>
      <c r="R44" s="46"/>
      <c r="S44" s="18"/>
      <c r="T44" s="126"/>
      <c r="U44" s="24"/>
    </row>
    <row r="45" spans="2:21" s="19" customFormat="1" ht="31.5" hidden="1" customHeight="1" x14ac:dyDescent="0.2">
      <c r="B45" s="47"/>
      <c r="C45" s="48"/>
      <c r="D45" s="49"/>
      <c r="E45" s="50"/>
      <c r="F45" s="51"/>
      <c r="G45" s="52"/>
      <c r="H45" s="51"/>
      <c r="I45" s="53"/>
      <c r="J45" s="54"/>
      <c r="K45" s="54"/>
      <c r="L45" s="54"/>
      <c r="M45" s="54"/>
      <c r="N45" s="55"/>
      <c r="O45" s="54"/>
      <c r="P45" s="66"/>
      <c r="Q45" s="56"/>
      <c r="R45" s="46"/>
      <c r="S45" s="18"/>
      <c r="T45" s="126"/>
      <c r="U45" s="24"/>
    </row>
    <row r="46" spans="2:21" s="19" customFormat="1" ht="31.5" hidden="1" customHeight="1" x14ac:dyDescent="0.2">
      <c r="B46" s="47"/>
      <c r="C46" s="48"/>
      <c r="D46" s="49"/>
      <c r="E46" s="50"/>
      <c r="F46" s="51"/>
      <c r="G46" s="52"/>
      <c r="H46" s="51"/>
      <c r="I46" s="53"/>
      <c r="J46" s="54"/>
      <c r="K46" s="54"/>
      <c r="L46" s="54"/>
      <c r="M46" s="54"/>
      <c r="N46" s="55"/>
      <c r="O46" s="54"/>
      <c r="P46" s="66"/>
      <c r="Q46" s="56"/>
      <c r="R46" s="46"/>
      <c r="S46" s="18"/>
      <c r="T46" s="126"/>
      <c r="U46" s="24"/>
    </row>
    <row r="47" spans="2:21" s="19" customFormat="1" ht="31.5" hidden="1" customHeight="1" x14ac:dyDescent="0.2">
      <c r="B47" s="47"/>
      <c r="C47" s="48"/>
      <c r="D47" s="49"/>
      <c r="E47" s="50"/>
      <c r="F47" s="51"/>
      <c r="G47" s="52"/>
      <c r="H47" s="51"/>
      <c r="I47" s="53"/>
      <c r="J47" s="54"/>
      <c r="K47" s="54"/>
      <c r="L47" s="54"/>
      <c r="M47" s="54"/>
      <c r="N47" s="55"/>
      <c r="O47" s="54"/>
      <c r="P47" s="66"/>
      <c r="Q47" s="56"/>
      <c r="R47" s="46"/>
      <c r="S47" s="18"/>
      <c r="T47" s="126"/>
      <c r="U47" s="24"/>
    </row>
    <row r="48" spans="2:21" s="19" customFormat="1" ht="31.5" hidden="1" customHeight="1" x14ac:dyDescent="0.2">
      <c r="B48" s="47"/>
      <c r="C48" s="48"/>
      <c r="D48" s="49"/>
      <c r="E48" s="50"/>
      <c r="F48" s="51"/>
      <c r="G48" s="52"/>
      <c r="H48" s="51"/>
      <c r="I48" s="53"/>
      <c r="J48" s="54"/>
      <c r="K48" s="54"/>
      <c r="L48" s="54"/>
      <c r="M48" s="54"/>
      <c r="N48" s="55"/>
      <c r="O48" s="54"/>
      <c r="P48" s="66"/>
      <c r="Q48" s="56"/>
      <c r="R48" s="46"/>
      <c r="S48" s="18"/>
      <c r="T48" s="126"/>
      <c r="U48" s="24"/>
    </row>
    <row r="49" spans="2:21" s="19" customFormat="1" ht="31.5" hidden="1" customHeight="1" x14ac:dyDescent="0.2">
      <c r="B49" s="47"/>
      <c r="C49" s="48"/>
      <c r="D49" s="49"/>
      <c r="E49" s="50"/>
      <c r="F49" s="51"/>
      <c r="G49" s="52"/>
      <c r="H49" s="51"/>
      <c r="I49" s="53"/>
      <c r="J49" s="54"/>
      <c r="K49" s="54"/>
      <c r="L49" s="54"/>
      <c r="M49" s="54"/>
      <c r="N49" s="55"/>
      <c r="O49" s="54"/>
      <c r="P49" s="66"/>
      <c r="Q49" s="56"/>
      <c r="R49" s="46"/>
      <c r="S49" s="18"/>
      <c r="T49" s="126"/>
      <c r="U49" s="24"/>
    </row>
    <row r="50" spans="2:21" s="19" customFormat="1" ht="31.5" hidden="1" customHeight="1" x14ac:dyDescent="0.2">
      <c r="B50" s="47"/>
      <c r="C50" s="48"/>
      <c r="D50" s="49"/>
      <c r="E50" s="50"/>
      <c r="F50" s="51"/>
      <c r="G50" s="52"/>
      <c r="H50" s="51"/>
      <c r="I50" s="53"/>
      <c r="J50" s="54"/>
      <c r="K50" s="54"/>
      <c r="L50" s="54"/>
      <c r="M50" s="54"/>
      <c r="N50" s="55"/>
      <c r="O50" s="54"/>
      <c r="P50" s="66"/>
      <c r="Q50" s="56"/>
      <c r="R50" s="46"/>
      <c r="S50" s="18"/>
      <c r="T50" s="126"/>
      <c r="U50" s="24"/>
    </row>
    <row r="51" spans="2:21" s="19" customFormat="1" ht="31.5" hidden="1" customHeight="1" x14ac:dyDescent="0.2">
      <c r="B51" s="47"/>
      <c r="C51" s="48"/>
      <c r="D51" s="49"/>
      <c r="E51" s="50"/>
      <c r="F51" s="51"/>
      <c r="G51" s="52"/>
      <c r="H51" s="51"/>
      <c r="I51" s="53"/>
      <c r="J51" s="54"/>
      <c r="K51" s="54"/>
      <c r="L51" s="54"/>
      <c r="M51" s="54"/>
      <c r="N51" s="55"/>
      <c r="O51" s="54"/>
      <c r="P51" s="66"/>
      <c r="Q51" s="56"/>
      <c r="R51" s="46"/>
      <c r="S51" s="18"/>
      <c r="T51" s="126"/>
      <c r="U51" s="24"/>
    </row>
    <row r="52" spans="2:21" s="19" customFormat="1" ht="31.5" hidden="1" customHeight="1" x14ac:dyDescent="0.2">
      <c r="B52" s="47"/>
      <c r="C52" s="48"/>
      <c r="D52" s="49"/>
      <c r="E52" s="50"/>
      <c r="F52" s="51"/>
      <c r="G52" s="52"/>
      <c r="H52" s="51"/>
      <c r="I52" s="53"/>
      <c r="J52" s="54"/>
      <c r="K52" s="54"/>
      <c r="L52" s="54"/>
      <c r="M52" s="54"/>
      <c r="N52" s="55"/>
      <c r="O52" s="54"/>
      <c r="P52" s="66"/>
      <c r="Q52" s="56"/>
      <c r="R52" s="46"/>
      <c r="S52" s="18"/>
      <c r="T52" s="126"/>
      <c r="U52" s="24"/>
    </row>
    <row r="53" spans="2:21" s="19" customFormat="1" ht="31.5" hidden="1" customHeight="1" x14ac:dyDescent="0.2">
      <c r="B53" s="47"/>
      <c r="C53" s="48"/>
      <c r="D53" s="49"/>
      <c r="E53" s="50"/>
      <c r="F53" s="51"/>
      <c r="G53" s="52"/>
      <c r="H53" s="51"/>
      <c r="I53" s="53"/>
      <c r="J53" s="54"/>
      <c r="K53" s="54"/>
      <c r="L53" s="54"/>
      <c r="M53" s="54"/>
      <c r="N53" s="55"/>
      <c r="O53" s="54"/>
      <c r="P53" s="66"/>
      <c r="Q53" s="56"/>
      <c r="R53" s="46"/>
      <c r="S53" s="18" t="e">
        <f>G53*24/(K53/60)/15400</f>
        <v>#DIV/0!</v>
      </c>
      <c r="T53" s="126"/>
      <c r="U53" s="24"/>
    </row>
    <row r="54" spans="2:21" s="19" customFormat="1" ht="31.5" hidden="1" customHeight="1" x14ac:dyDescent="0.2">
      <c r="B54" s="47"/>
      <c r="C54" s="48"/>
      <c r="D54" s="49"/>
      <c r="E54" s="50"/>
      <c r="F54" s="51"/>
      <c r="G54" s="52"/>
      <c r="H54" s="51"/>
      <c r="I54" s="53"/>
      <c r="J54" s="54"/>
      <c r="K54" s="54"/>
      <c r="L54" s="54"/>
      <c r="M54" s="67"/>
      <c r="N54" s="55"/>
      <c r="O54" s="54"/>
      <c r="P54" s="66"/>
      <c r="Q54" s="56"/>
      <c r="R54" s="46"/>
      <c r="S54" s="18" t="e">
        <f>G54*24/(K54/60)/15400</f>
        <v>#DIV/0!</v>
      </c>
      <c r="T54" s="126"/>
      <c r="U54" s="24"/>
    </row>
    <row r="55" spans="2:21" s="19" customFormat="1" ht="30" hidden="1" customHeight="1" x14ac:dyDescent="0.2">
      <c r="B55" s="47"/>
      <c r="C55" s="26"/>
      <c r="D55" s="27"/>
      <c r="E55" s="28"/>
      <c r="F55" s="29"/>
      <c r="G55" s="30"/>
      <c r="H55" s="29"/>
      <c r="I55" s="31"/>
      <c r="J55" s="32"/>
      <c r="K55" s="32"/>
      <c r="L55" s="32"/>
      <c r="M55" s="32"/>
      <c r="N55" s="33"/>
      <c r="O55" s="32"/>
      <c r="P55" s="46"/>
      <c r="Q55" s="34"/>
      <c r="R55" s="46"/>
      <c r="S55" s="18"/>
      <c r="T55" s="126"/>
      <c r="U55" s="24"/>
    </row>
    <row r="56" spans="2:21" s="19" customFormat="1" ht="20.25" hidden="1" x14ac:dyDescent="0.2">
      <c r="B56" s="47"/>
      <c r="C56" s="26"/>
      <c r="D56" s="27"/>
      <c r="E56" s="28"/>
      <c r="F56" s="29"/>
      <c r="G56" s="30"/>
      <c r="H56" s="29"/>
      <c r="I56" s="31"/>
      <c r="J56" s="32"/>
      <c r="K56" s="32"/>
      <c r="L56" s="32"/>
      <c r="M56" s="32"/>
      <c r="N56" s="33"/>
      <c r="O56" s="32"/>
      <c r="P56" s="46"/>
      <c r="Q56" s="34"/>
      <c r="R56" s="46"/>
      <c r="S56" s="18"/>
      <c r="T56" s="126"/>
      <c r="U56" s="24"/>
    </row>
    <row r="57" spans="2:21" s="19" customFormat="1" ht="21" hidden="1" thickBot="1" x14ac:dyDescent="0.25">
      <c r="B57" s="47"/>
      <c r="C57" s="75"/>
      <c r="D57" s="71"/>
      <c r="E57" s="73"/>
      <c r="F57" s="76"/>
      <c r="G57" s="77"/>
      <c r="H57" s="76"/>
      <c r="I57" s="78"/>
      <c r="J57" s="72"/>
      <c r="K57" s="72"/>
      <c r="L57" s="72"/>
      <c r="M57" s="72"/>
      <c r="N57" s="79"/>
      <c r="O57" s="80"/>
      <c r="P57" s="70"/>
      <c r="Q57" s="81"/>
      <c r="R57" s="70"/>
      <c r="S57" s="82"/>
      <c r="T57" s="127"/>
      <c r="U57" s="83"/>
    </row>
    <row r="58" spans="2:21" s="19" customFormat="1" ht="21" customHeight="1" thickBot="1" x14ac:dyDescent="0.35">
      <c r="B58" s="35" t="s">
        <v>3</v>
      </c>
      <c r="C58" s="36"/>
      <c r="D58" s="57">
        <f>SUM(D4:D56)</f>
        <v>79450</v>
      </c>
      <c r="E58" s="58">
        <f>AVERAGE(E4:E56)</f>
        <v>0.35736111111111113</v>
      </c>
      <c r="F58" s="59">
        <f>SUM(F4:F56)</f>
        <v>5337.8474400000014</v>
      </c>
      <c r="G58" s="57">
        <f>SUM(G4:G56)</f>
        <v>77584</v>
      </c>
      <c r="H58" s="59">
        <f>SUM(H4:H56)</f>
        <v>5283.3883999999989</v>
      </c>
      <c r="I58" s="60">
        <f>SUM(I4:I56)</f>
        <v>567</v>
      </c>
      <c r="J58" s="61">
        <f>(G58-G12)/(K58/60)</f>
        <v>385.49065226422931</v>
      </c>
      <c r="K58" s="57">
        <f>SUM(K4:K56)</f>
        <v>12035</v>
      </c>
      <c r="L58" s="57">
        <f>SUM(L4:L56)</f>
        <v>2795</v>
      </c>
      <c r="M58" s="60">
        <f>SUM(M4:M56)</f>
        <v>0</v>
      </c>
      <c r="N58" s="87">
        <f>((F58-F12)-(H58-H12))/(F58-F12)</f>
        <v>9.7750279747795561E-3</v>
      </c>
      <c r="O58" s="62">
        <f>SUM(O4:O56)</f>
        <v>0</v>
      </c>
      <c r="P58" s="63">
        <f>AVERAGE(P4:P54)</f>
        <v>0.58931143779875028</v>
      </c>
      <c r="Q58" s="64"/>
      <c r="R58" s="63">
        <f>(G58-G12)*24/(K58/60)/15000</f>
        <v>0.61678504362276687</v>
      </c>
      <c r="S58" s="63">
        <f>H58*24/(L58/60)/15000</f>
        <v>0.18146879656529513</v>
      </c>
      <c r="T58" s="128">
        <f>(G58-G12)*24/(K58/60)/15300</f>
        <v>0.60469121923800673</v>
      </c>
      <c r="U58" s="21"/>
    </row>
    <row r="59" spans="2:21" ht="16.5" customHeight="1" thickTop="1" x14ac:dyDescent="0.25">
      <c r="B59" s="11"/>
      <c r="C59" s="22" t="s">
        <v>35</v>
      </c>
      <c r="D59" s="42">
        <v>80340</v>
      </c>
      <c r="E59" s="1082" t="s">
        <v>39</v>
      </c>
      <c r="F59" s="1082"/>
      <c r="G59" s="43">
        <f>(D60/D59)</f>
        <v>0.96569579288025886</v>
      </c>
      <c r="H59" s="44"/>
      <c r="I59" s="44"/>
      <c r="J59" s="1210">
        <v>0</v>
      </c>
      <c r="K59" s="12"/>
      <c r="L59" s="12"/>
      <c r="M59" s="13"/>
      <c r="N59" s="14"/>
      <c r="O59" s="12"/>
      <c r="P59" s="15"/>
      <c r="Q59" s="16"/>
      <c r="R59" s="15"/>
      <c r="S59" s="15"/>
      <c r="T59" s="15"/>
      <c r="U59" s="17" t="s">
        <v>48</v>
      </c>
    </row>
    <row r="60" spans="2:21" ht="14.25" customHeight="1" x14ac:dyDescent="0.25">
      <c r="B60" s="11"/>
      <c r="C60" s="22" t="s">
        <v>38</v>
      </c>
      <c r="D60" s="42">
        <f>G58</f>
        <v>77584</v>
      </c>
      <c r="E60" s="1082" t="s">
        <v>36</v>
      </c>
      <c r="F60" s="1082"/>
      <c r="G60" s="42">
        <f>February_16!G60+March_16!D60</f>
        <v>218908</v>
      </c>
      <c r="H60" s="44"/>
      <c r="I60" s="45" t="s">
        <v>40</v>
      </c>
      <c r="J60" s="1211"/>
      <c r="K60" s="12"/>
      <c r="L60" s="12"/>
      <c r="M60" s="13"/>
      <c r="N60" s="14"/>
      <c r="O60" s="12"/>
      <c r="P60" s="15"/>
      <c r="Q60" s="16"/>
      <c r="R60" s="15"/>
      <c r="S60" s="15"/>
      <c r="T60" s="15"/>
      <c r="U60" s="17"/>
    </row>
    <row r="61" spans="2:21" ht="17.25" thickBot="1" x14ac:dyDescent="0.3">
      <c r="C61" s="23" t="s">
        <v>41</v>
      </c>
      <c r="D61" s="42">
        <f>D59-D60</f>
        <v>2756</v>
      </c>
      <c r="E61" s="1082" t="s">
        <v>37</v>
      </c>
      <c r="F61" s="1082"/>
      <c r="G61" s="42">
        <f>February_16!G61+March_16!D59</f>
        <v>196210</v>
      </c>
      <c r="H61" s="44"/>
      <c r="I61" s="44"/>
      <c r="J61" s="1212"/>
      <c r="P61" s="10"/>
      <c r="U61" s="17"/>
    </row>
    <row r="62" spans="2:21" ht="17.25" thickTop="1" x14ac:dyDescent="0.2">
      <c r="B62" s="7"/>
      <c r="C62" s="88" t="s">
        <v>19</v>
      </c>
      <c r="D62" s="89" t="s">
        <v>14</v>
      </c>
      <c r="E62" s="89" t="s">
        <v>23</v>
      </c>
      <c r="F62" s="89" t="s">
        <v>24</v>
      </c>
      <c r="G62" s="90" t="s">
        <v>15</v>
      </c>
      <c r="H62" s="89" t="s">
        <v>17</v>
      </c>
      <c r="I62" s="89" t="s">
        <v>16</v>
      </c>
      <c r="J62" s="91">
        <v>0</v>
      </c>
    </row>
    <row r="63" spans="2:21" ht="16.5" x14ac:dyDescent="0.25">
      <c r="B63" s="8"/>
      <c r="C63" s="92">
        <v>1</v>
      </c>
      <c r="D63" s="93" t="s">
        <v>20</v>
      </c>
      <c r="E63" s="94">
        <f>SUM(G6,G7,G9,G10,G11,G16,G17,G18,G19:G20,G22,G24:G25,G26:G27,G28)</f>
        <v>47245</v>
      </c>
      <c r="F63" s="95">
        <f>SUM(K6,K7,K9,K10,K11,K16,K17,K18,K19,K22,K24,K26,K28)</f>
        <v>7817</v>
      </c>
      <c r="G63" s="96">
        <f>SUM(F6,F7,F9,F10,F11,F16,F17,F18,F19,F22,F24,F26:F27,F28)</f>
        <v>3275.05</v>
      </c>
      <c r="H63" s="96">
        <f>SUM(H6,H7,H9,H10,H11,H16,H17,H18,H19,H22,H24,H26:H27,H28)</f>
        <v>3243.19</v>
      </c>
      <c r="I63" s="97">
        <f t="shared" ref="I63:I68" si="3">(G63-H63)/G63</f>
        <v>9.7280957542633315E-3</v>
      </c>
      <c r="J63" s="98">
        <f>(E63+G8+G29)*24/(F63/60)/15000</f>
        <v>0.63540283996418068</v>
      </c>
      <c r="P63" s="65"/>
    </row>
    <row r="64" spans="2:21" s="1" customFormat="1" ht="16.5" x14ac:dyDescent="0.25">
      <c r="B64" s="8"/>
      <c r="C64" s="99">
        <v>2</v>
      </c>
      <c r="D64" s="100" t="s">
        <v>21</v>
      </c>
      <c r="E64" s="101">
        <f>SUM(G5,G15,G21,G29)</f>
        <v>15809</v>
      </c>
      <c r="F64" s="102">
        <f>SUM(K5,K15,K21,K28)</f>
        <v>2733</v>
      </c>
      <c r="G64" s="103">
        <f>SUM(F5,F15,F21,F29)</f>
        <v>1055.0999999999999</v>
      </c>
      <c r="H64" s="103">
        <f>SUM(H5,H15,H21,H29)</f>
        <v>1046.434</v>
      </c>
      <c r="I64" s="97">
        <f t="shared" si="3"/>
        <v>8.2134394844090054E-3</v>
      </c>
      <c r="J64" s="98">
        <f>(E64+G28)*24/(F64/60)/15000</f>
        <v>0.58010976948408355</v>
      </c>
      <c r="K64"/>
      <c r="L64"/>
      <c r="M64" s="2"/>
      <c r="Q64"/>
      <c r="R64"/>
      <c r="S64"/>
      <c r="T64"/>
      <c r="U64"/>
    </row>
    <row r="65" spans="2:21" s="1" customFormat="1" ht="16.5" x14ac:dyDescent="0.25">
      <c r="B65" s="8"/>
      <c r="C65" s="92">
        <v>3</v>
      </c>
      <c r="D65" s="100" t="s">
        <v>124</v>
      </c>
      <c r="E65" s="101"/>
      <c r="F65" s="102"/>
      <c r="G65" s="103"/>
      <c r="H65" s="103"/>
      <c r="I65" s="97"/>
      <c r="J65" s="98"/>
      <c r="K65"/>
      <c r="L65"/>
      <c r="M65" s="2"/>
      <c r="Q65"/>
      <c r="R65"/>
      <c r="S65"/>
      <c r="T65"/>
      <c r="U65"/>
    </row>
    <row r="66" spans="2:21" s="1" customFormat="1" ht="16.5" x14ac:dyDescent="0.25">
      <c r="B66" s="8"/>
      <c r="C66" s="99">
        <v>4</v>
      </c>
      <c r="D66" s="100" t="s">
        <v>18</v>
      </c>
      <c r="E66" s="101">
        <f>SUM(G4,G13,G14,G23)</f>
        <v>12445</v>
      </c>
      <c r="F66" s="102">
        <f>SUM(K4,K13,K14,K23)</f>
        <v>2099</v>
      </c>
      <c r="G66" s="101">
        <f>SUM(F4,F13,F14,F23)</f>
        <v>863.4</v>
      </c>
      <c r="H66" s="101">
        <f>SUM(H4,H13,H14,H23)</f>
        <v>856.15440000000001</v>
      </c>
      <c r="I66" s="97">
        <f t="shared" si="3"/>
        <v>8.3919388464210893E-3</v>
      </c>
      <c r="J66" s="98">
        <f>(E66)*24/(F66/60)/15000</f>
        <v>0.56918532634587904</v>
      </c>
      <c r="K66"/>
      <c r="L66"/>
      <c r="M66" s="2"/>
      <c r="P66" s="8"/>
      <c r="Q66"/>
      <c r="R66"/>
      <c r="S66" s="6"/>
      <c r="T66" s="6"/>
      <c r="U66"/>
    </row>
    <row r="67" spans="2:21" s="1" customFormat="1" ht="16.5" x14ac:dyDescent="0.25">
      <c r="B67" s="8"/>
      <c r="C67" s="92">
        <v>5</v>
      </c>
      <c r="D67" s="105" t="s">
        <v>26</v>
      </c>
      <c r="E67" s="106">
        <f>SUM(G8)</f>
        <v>1824</v>
      </c>
      <c r="F67" s="107">
        <f>SUM(K7)</f>
        <v>668</v>
      </c>
      <c r="G67" s="108">
        <f>SUM(F8)</f>
        <v>124.59743999999999</v>
      </c>
      <c r="H67" s="108">
        <f>SUM(H8)</f>
        <v>120.384</v>
      </c>
      <c r="I67" s="97">
        <f t="shared" si="3"/>
        <v>3.3816425120772882E-2</v>
      </c>
      <c r="J67" s="98">
        <f>(E67+G7)*24/(F67/60)/15000</f>
        <v>0.60388023952095815</v>
      </c>
      <c r="K67"/>
      <c r="L67"/>
      <c r="M67" s="2"/>
      <c r="Q67"/>
      <c r="R67"/>
      <c r="S67" s="6"/>
      <c r="T67" s="6"/>
      <c r="U67"/>
    </row>
    <row r="68" spans="2:21" s="1" customFormat="1" ht="16.5" x14ac:dyDescent="0.25">
      <c r="B68" s="8"/>
      <c r="C68" s="99">
        <v>6</v>
      </c>
      <c r="D68" s="105" t="s">
        <v>25</v>
      </c>
      <c r="E68" s="106"/>
      <c r="F68" s="107"/>
      <c r="G68" s="108"/>
      <c r="H68" s="108"/>
      <c r="I68" s="109" t="e">
        <f t="shared" si="3"/>
        <v>#DIV/0!</v>
      </c>
      <c r="J68" s="111" t="e">
        <f>(E68)*24/(F68/60)/15000</f>
        <v>#DIV/0!</v>
      </c>
      <c r="K68"/>
      <c r="L68"/>
      <c r="M68" s="2"/>
      <c r="Q68"/>
      <c r="R68"/>
      <c r="S68"/>
      <c r="T68"/>
      <c r="U68"/>
    </row>
    <row r="69" spans="2:21" s="1" customFormat="1" ht="17.25" thickBot="1" x14ac:dyDescent="0.3">
      <c r="C69" s="112"/>
      <c r="D69" s="113" t="s">
        <v>22</v>
      </c>
      <c r="E69" s="114">
        <f>SUM(E63:E68)</f>
        <v>77323</v>
      </c>
      <c r="F69" s="115">
        <f>K58</f>
        <v>12035</v>
      </c>
      <c r="G69" s="116">
        <f>SUM(G63:G68)+F12</f>
        <v>5337.8474399999986</v>
      </c>
      <c r="H69" s="116">
        <f>SUM(H63:H68)+H12</f>
        <v>5283.3883999999998</v>
      </c>
      <c r="I69" s="117">
        <f>((G69-F12)-(H69-H12))/(G69-F12)</f>
        <v>9.7750279747788778E-3</v>
      </c>
      <c r="J69" s="118">
        <f>E69*24/(F69/60)/15000</f>
        <v>0.61678504362276687</v>
      </c>
      <c r="K69"/>
      <c r="L69"/>
      <c r="M69" s="2"/>
      <c r="Q69"/>
      <c r="R69"/>
      <c r="S69"/>
      <c r="T69"/>
      <c r="U69"/>
    </row>
    <row r="70" spans="2:21" s="1" customFormat="1" ht="13.5" thickTop="1" x14ac:dyDescent="0.2">
      <c r="J70"/>
      <c r="K70"/>
      <c r="L70"/>
      <c r="M70" s="2"/>
      <c r="Q70"/>
      <c r="R70"/>
      <c r="S70"/>
      <c r="T70"/>
      <c r="U70"/>
    </row>
    <row r="71" spans="2:21" s="1" customFormat="1" x14ac:dyDescent="0.2">
      <c r="E71" s="3"/>
      <c r="F71" s="119"/>
      <c r="G71" s="120"/>
      <c r="H71" s="120"/>
      <c r="I71"/>
      <c r="J71"/>
      <c r="K71"/>
      <c r="L71"/>
      <c r="M71" s="2"/>
      <c r="Q71"/>
      <c r="R71"/>
      <c r="S71"/>
      <c r="T71"/>
      <c r="U71"/>
    </row>
    <row r="72" spans="2:21" s="1" customFormat="1" ht="13.5" customHeight="1" x14ac:dyDescent="0.2">
      <c r="J72"/>
      <c r="K72"/>
      <c r="L72"/>
      <c r="M72" s="2"/>
      <c r="Q72"/>
      <c r="R72"/>
      <c r="S72"/>
      <c r="T72"/>
      <c r="U72" s="9"/>
    </row>
    <row r="73" spans="2:21" s="1" customFormat="1" ht="12.75" customHeight="1" x14ac:dyDescent="0.2">
      <c r="J73"/>
      <c r="K73"/>
      <c r="L73"/>
      <c r="M73" s="2"/>
      <c r="Q73"/>
      <c r="R73"/>
      <c r="S73"/>
      <c r="T73"/>
      <c r="U73" s="9"/>
    </row>
    <row r="74" spans="2:21" s="1" customFormat="1" ht="12.75" customHeight="1" x14ac:dyDescent="0.2">
      <c r="J74"/>
      <c r="K74"/>
      <c r="L74"/>
      <c r="M74" s="2"/>
      <c r="Q74"/>
      <c r="R74"/>
      <c r="S74"/>
      <c r="T74"/>
      <c r="U74" s="9"/>
    </row>
    <row r="75" spans="2:21" s="1" customFormat="1" ht="12.75" customHeight="1" x14ac:dyDescent="0.2">
      <c r="J75"/>
      <c r="K75"/>
      <c r="L75"/>
      <c r="M75" s="2"/>
      <c r="Q75"/>
      <c r="R75"/>
      <c r="S75"/>
      <c r="T75"/>
      <c r="U75" s="9"/>
    </row>
    <row r="76" spans="2:21" s="1" customFormat="1" ht="12.75" customHeight="1" x14ac:dyDescent="0.2">
      <c r="J76"/>
      <c r="K76"/>
      <c r="L76"/>
      <c r="M76" s="2"/>
      <c r="Q76"/>
      <c r="R76"/>
      <c r="S76"/>
      <c r="T76"/>
      <c r="U76" s="9"/>
    </row>
    <row r="77" spans="2:21" s="1" customFormat="1" ht="12.75" customHeight="1" x14ac:dyDescent="0.2">
      <c r="J77"/>
      <c r="K77"/>
      <c r="L77"/>
      <c r="M77" s="2"/>
      <c r="Q77"/>
      <c r="R77"/>
      <c r="S77"/>
      <c r="T77"/>
      <c r="U77" s="9"/>
    </row>
    <row r="78" spans="2:21" s="1" customFormat="1" ht="12.75" customHeight="1" x14ac:dyDescent="0.2">
      <c r="J78"/>
      <c r="K78"/>
      <c r="L78"/>
      <c r="M78" s="2"/>
      <c r="Q78"/>
      <c r="R78"/>
      <c r="S78"/>
      <c r="T78"/>
      <c r="U78" s="9"/>
    </row>
    <row r="79" spans="2:21" s="1" customFormat="1" x14ac:dyDescent="0.2">
      <c r="J79"/>
      <c r="K79"/>
      <c r="L79"/>
      <c r="M79" s="2"/>
      <c r="Q79"/>
      <c r="R79"/>
      <c r="S79"/>
      <c r="T79"/>
      <c r="U79" s="9"/>
    </row>
    <row r="80" spans="2:21" s="1" customFormat="1" ht="12.75" customHeight="1" x14ac:dyDescent="0.2">
      <c r="J80"/>
      <c r="K80"/>
      <c r="L80"/>
      <c r="M80" s="2"/>
      <c r="Q80"/>
      <c r="R80"/>
      <c r="S80"/>
      <c r="T80"/>
      <c r="U80" s="9"/>
    </row>
    <row r="81" spans="10:21" s="1" customFormat="1" ht="12.75" customHeight="1" x14ac:dyDescent="0.2">
      <c r="J81"/>
      <c r="K81"/>
      <c r="L81"/>
      <c r="M81" s="2"/>
      <c r="Q81"/>
      <c r="R81"/>
      <c r="S81"/>
      <c r="T81"/>
      <c r="U81" s="9"/>
    </row>
    <row r="82" spans="10:21" s="1" customFormat="1" ht="12.75" customHeight="1" x14ac:dyDescent="0.2">
      <c r="J82"/>
      <c r="K82"/>
      <c r="L82"/>
      <c r="M82" s="2"/>
      <c r="Q82"/>
      <c r="R82"/>
      <c r="S82"/>
      <c r="T82"/>
      <c r="U82" s="9"/>
    </row>
    <row r="83" spans="10:21" s="1" customFormat="1" ht="12.75" customHeight="1" x14ac:dyDescent="0.2">
      <c r="J83"/>
      <c r="K83"/>
      <c r="L83"/>
      <c r="M83" s="2"/>
      <c r="Q83"/>
      <c r="R83"/>
      <c r="S83"/>
      <c r="T83"/>
      <c r="U83" s="9"/>
    </row>
    <row r="84" spans="10:21" s="1" customFormat="1" ht="12.75" customHeight="1" x14ac:dyDescent="0.2">
      <c r="J84"/>
      <c r="K84"/>
      <c r="L84"/>
      <c r="M84" s="2"/>
      <c r="Q84"/>
      <c r="R84"/>
      <c r="S84"/>
      <c r="T84"/>
      <c r="U84" s="9"/>
    </row>
    <row r="85" spans="10:21" s="1" customFormat="1" x14ac:dyDescent="0.2">
      <c r="J85"/>
      <c r="K85"/>
      <c r="L85"/>
      <c r="M85" s="2"/>
      <c r="Q85"/>
      <c r="R85"/>
      <c r="S85"/>
      <c r="T85"/>
      <c r="U85"/>
    </row>
    <row r="86" spans="10:21" s="1" customFormat="1" x14ac:dyDescent="0.2">
      <c r="J86"/>
      <c r="K86"/>
      <c r="L86"/>
      <c r="M86" s="2"/>
      <c r="Q86"/>
      <c r="R86"/>
      <c r="S86"/>
      <c r="T86"/>
      <c r="U86"/>
    </row>
    <row r="87" spans="10:21" s="1" customFormat="1" x14ac:dyDescent="0.2">
      <c r="J87"/>
      <c r="K87"/>
      <c r="L87"/>
      <c r="M87" s="2"/>
      <c r="Q87"/>
      <c r="R87"/>
      <c r="S87"/>
      <c r="T87"/>
      <c r="U87"/>
    </row>
    <row r="88" spans="10:21" s="1" customFormat="1" x14ac:dyDescent="0.2">
      <c r="J88"/>
      <c r="K88"/>
      <c r="L88"/>
      <c r="M88" s="2"/>
      <c r="Q88"/>
      <c r="R88"/>
      <c r="S88"/>
      <c r="T88"/>
      <c r="U88"/>
    </row>
    <row r="89" spans="10:21" s="1" customFormat="1" x14ac:dyDescent="0.2">
      <c r="J89"/>
      <c r="K89"/>
      <c r="L89"/>
      <c r="M89" s="2"/>
      <c r="Q89"/>
      <c r="R89"/>
      <c r="S89"/>
      <c r="T89"/>
      <c r="U89"/>
    </row>
    <row r="90" spans="10:21" s="1" customFormat="1" x14ac:dyDescent="0.2">
      <c r="J90"/>
      <c r="K90"/>
      <c r="L90"/>
      <c r="M90" s="2"/>
      <c r="Q90"/>
      <c r="R90"/>
      <c r="S90"/>
      <c r="T90"/>
      <c r="U90"/>
    </row>
    <row r="91" spans="10:21" s="1" customFormat="1" x14ac:dyDescent="0.2">
      <c r="J91"/>
      <c r="K91"/>
      <c r="L91"/>
      <c r="M91" s="2"/>
      <c r="Q91"/>
      <c r="R91"/>
      <c r="S91"/>
      <c r="T91"/>
      <c r="U91"/>
    </row>
    <row r="92" spans="10:21" s="1" customFormat="1" x14ac:dyDescent="0.2">
      <c r="J92"/>
      <c r="K92"/>
      <c r="L92"/>
      <c r="M92" s="2"/>
      <c r="Q92"/>
      <c r="R92"/>
      <c r="S92"/>
      <c r="T92"/>
      <c r="U92"/>
    </row>
    <row r="93" spans="10:21" s="1" customFormat="1" x14ac:dyDescent="0.2">
      <c r="J93"/>
      <c r="K93"/>
      <c r="L93"/>
      <c r="M93" s="2"/>
      <c r="Q93"/>
      <c r="R93"/>
      <c r="S93"/>
      <c r="T93"/>
      <c r="U93"/>
    </row>
    <row r="94" spans="10:21" s="1" customFormat="1" x14ac:dyDescent="0.2">
      <c r="J94"/>
      <c r="K94"/>
      <c r="L94"/>
      <c r="M94" s="2"/>
      <c r="Q94"/>
      <c r="R94"/>
      <c r="S94"/>
      <c r="T94"/>
      <c r="U94"/>
    </row>
    <row r="95" spans="10:21" s="1" customFormat="1" x14ac:dyDescent="0.2">
      <c r="J95"/>
      <c r="K95"/>
      <c r="L95"/>
      <c r="M95" s="2"/>
      <c r="Q95"/>
      <c r="R95"/>
      <c r="S95"/>
      <c r="T95"/>
      <c r="U95"/>
    </row>
    <row r="96" spans="10:21" s="1" customFormat="1" x14ac:dyDescent="0.2">
      <c r="J96"/>
      <c r="K96"/>
      <c r="L96"/>
      <c r="M96" s="2"/>
      <c r="Q96"/>
      <c r="R96"/>
      <c r="S96"/>
      <c r="T96"/>
      <c r="U96"/>
    </row>
    <row r="97" spans="10:21" s="1" customFormat="1" x14ac:dyDescent="0.2">
      <c r="J97"/>
      <c r="K97"/>
      <c r="L97"/>
      <c r="M97" s="2"/>
      <c r="Q97"/>
      <c r="R97"/>
      <c r="S97"/>
      <c r="T97"/>
      <c r="U97"/>
    </row>
    <row r="98" spans="10:21" s="1" customFormat="1" x14ac:dyDescent="0.2">
      <c r="J98"/>
      <c r="K98"/>
      <c r="L98"/>
      <c r="M98" s="2"/>
      <c r="Q98"/>
      <c r="R98"/>
      <c r="S98"/>
      <c r="T98"/>
      <c r="U98"/>
    </row>
    <row r="99" spans="10:21" s="1" customFormat="1" x14ac:dyDescent="0.2">
      <c r="J99"/>
      <c r="K99"/>
      <c r="L99"/>
      <c r="M99" s="2"/>
      <c r="Q99"/>
      <c r="R99"/>
      <c r="S99"/>
      <c r="T99"/>
      <c r="U99"/>
    </row>
    <row r="100" spans="10:21" s="1" customFormat="1" x14ac:dyDescent="0.2">
      <c r="J100"/>
      <c r="K100"/>
      <c r="L100"/>
      <c r="M100" s="2"/>
      <c r="Q100"/>
      <c r="R100"/>
      <c r="S100"/>
      <c r="T100"/>
      <c r="U100"/>
    </row>
    <row r="101" spans="10:21" s="1" customFormat="1" x14ac:dyDescent="0.2">
      <c r="J101"/>
      <c r="K101"/>
      <c r="L101"/>
      <c r="M101" s="2"/>
      <c r="Q101"/>
      <c r="R101"/>
      <c r="S101"/>
      <c r="T101"/>
      <c r="U101"/>
    </row>
    <row r="102" spans="10:21" s="1" customFormat="1" x14ac:dyDescent="0.2">
      <c r="J102"/>
      <c r="K102"/>
      <c r="L102"/>
      <c r="M102" s="2"/>
      <c r="Q102"/>
      <c r="R102"/>
      <c r="S102"/>
      <c r="T102"/>
      <c r="U102"/>
    </row>
    <row r="103" spans="10:21" s="1" customFormat="1" x14ac:dyDescent="0.2">
      <c r="J103"/>
      <c r="K103"/>
      <c r="L103"/>
      <c r="M103" s="2"/>
      <c r="Q103"/>
      <c r="R103"/>
      <c r="S103"/>
      <c r="T103"/>
      <c r="U103"/>
    </row>
    <row r="104" spans="10:21" s="1" customFormat="1" x14ac:dyDescent="0.2">
      <c r="J104"/>
      <c r="K104"/>
      <c r="L104"/>
      <c r="M104" s="2"/>
      <c r="Q104"/>
      <c r="R104"/>
      <c r="S104"/>
      <c r="T104"/>
      <c r="U104"/>
    </row>
    <row r="105" spans="10:21" s="1" customFormat="1" x14ac:dyDescent="0.2">
      <c r="J105"/>
      <c r="K105"/>
      <c r="L105"/>
      <c r="M105" s="2"/>
      <c r="Q105"/>
      <c r="R105"/>
      <c r="S105"/>
      <c r="T105"/>
      <c r="U105"/>
    </row>
    <row r="106" spans="10:21" s="1" customFormat="1" x14ac:dyDescent="0.2">
      <c r="J106"/>
      <c r="K106"/>
      <c r="L106"/>
      <c r="M106" s="2"/>
      <c r="Q106"/>
      <c r="R106"/>
      <c r="S106"/>
      <c r="T106"/>
      <c r="U106"/>
    </row>
    <row r="107" spans="10:21" s="1" customFormat="1" x14ac:dyDescent="0.2">
      <c r="J107"/>
      <c r="K107"/>
      <c r="L107"/>
      <c r="M107" s="2"/>
      <c r="Q107"/>
      <c r="R107"/>
      <c r="S107"/>
      <c r="T107"/>
      <c r="U107"/>
    </row>
    <row r="108" spans="10:21" s="1" customFormat="1" x14ac:dyDescent="0.2">
      <c r="J108"/>
      <c r="K108"/>
      <c r="L108"/>
      <c r="M108" s="2"/>
      <c r="Q108"/>
      <c r="R108"/>
      <c r="S108"/>
      <c r="T108"/>
      <c r="U108"/>
    </row>
    <row r="109" spans="10:21" s="1" customFormat="1" x14ac:dyDescent="0.2">
      <c r="J109"/>
      <c r="K109"/>
      <c r="L109"/>
      <c r="M109" s="2"/>
      <c r="Q109"/>
      <c r="R109"/>
      <c r="S109"/>
      <c r="T109"/>
      <c r="U109"/>
    </row>
    <row r="110" spans="10:21" s="1" customFormat="1" x14ac:dyDescent="0.2">
      <c r="J110"/>
      <c r="K110"/>
      <c r="L110"/>
      <c r="M110" s="2"/>
      <c r="Q110"/>
      <c r="R110"/>
      <c r="S110"/>
      <c r="T110"/>
      <c r="U110"/>
    </row>
    <row r="111" spans="10:21" s="1" customFormat="1" x14ac:dyDescent="0.2">
      <c r="J111"/>
      <c r="K111"/>
      <c r="L111"/>
      <c r="M111" s="2"/>
      <c r="Q111"/>
      <c r="R111"/>
      <c r="S111"/>
      <c r="T111"/>
      <c r="U111"/>
    </row>
    <row r="112" spans="10:21" s="1" customFormat="1" x14ac:dyDescent="0.2">
      <c r="J112"/>
      <c r="K112"/>
      <c r="L112"/>
      <c r="M112" s="2"/>
      <c r="Q112"/>
      <c r="R112"/>
      <c r="S112"/>
      <c r="T112"/>
      <c r="U112"/>
    </row>
    <row r="113" spans="10:21" s="1" customFormat="1" x14ac:dyDescent="0.2">
      <c r="J113"/>
      <c r="K113"/>
      <c r="L113"/>
      <c r="M113" s="2"/>
      <c r="Q113"/>
      <c r="R113"/>
      <c r="S113"/>
      <c r="T113"/>
      <c r="U113"/>
    </row>
    <row r="114" spans="10:21" s="1" customFormat="1" x14ac:dyDescent="0.2">
      <c r="J114"/>
      <c r="K114"/>
      <c r="L114"/>
      <c r="M114" s="2"/>
      <c r="Q114"/>
      <c r="R114"/>
      <c r="S114"/>
      <c r="T114"/>
      <c r="U114"/>
    </row>
    <row r="115" spans="10:21" s="1" customFormat="1" x14ac:dyDescent="0.2">
      <c r="J115"/>
      <c r="K115"/>
      <c r="L115"/>
      <c r="M115" s="2"/>
      <c r="Q115"/>
      <c r="R115"/>
      <c r="S115"/>
      <c r="T115"/>
      <c r="U115"/>
    </row>
    <row r="116" spans="10:21" s="1" customFormat="1" x14ac:dyDescent="0.2">
      <c r="J116"/>
      <c r="K116"/>
      <c r="L116"/>
      <c r="M116" s="2"/>
      <c r="Q116"/>
      <c r="R116"/>
      <c r="S116"/>
      <c r="T116"/>
      <c r="U116"/>
    </row>
    <row r="117" spans="10:21" s="1" customFormat="1" x14ac:dyDescent="0.2">
      <c r="J117"/>
      <c r="K117"/>
      <c r="L117"/>
      <c r="M117" s="2"/>
      <c r="Q117"/>
      <c r="R117"/>
      <c r="S117"/>
      <c r="T117"/>
      <c r="U117"/>
    </row>
    <row r="118" spans="10:21" s="1" customFormat="1" x14ac:dyDescent="0.2">
      <c r="J118"/>
      <c r="K118"/>
      <c r="L118"/>
      <c r="M118" s="2"/>
      <c r="Q118"/>
      <c r="R118"/>
      <c r="S118"/>
      <c r="T118"/>
      <c r="U118"/>
    </row>
    <row r="119" spans="10:21" s="1" customFormat="1" x14ac:dyDescent="0.2">
      <c r="J119"/>
      <c r="K119"/>
      <c r="L119"/>
      <c r="M119" s="2"/>
      <c r="Q119"/>
      <c r="R119"/>
      <c r="S119"/>
      <c r="T119"/>
      <c r="U119"/>
    </row>
    <row r="120" spans="10:21" s="1" customFormat="1" x14ac:dyDescent="0.2">
      <c r="J120"/>
      <c r="K120"/>
      <c r="L120"/>
      <c r="M120" s="2"/>
      <c r="Q120"/>
      <c r="R120"/>
      <c r="S120"/>
      <c r="T120"/>
      <c r="U120"/>
    </row>
    <row r="121" spans="10:21" s="1" customFormat="1" x14ac:dyDescent="0.2">
      <c r="J121"/>
      <c r="K121"/>
      <c r="L121"/>
      <c r="M121" s="2"/>
      <c r="Q121"/>
      <c r="R121"/>
      <c r="S121"/>
      <c r="T121"/>
      <c r="U121"/>
    </row>
    <row r="122" spans="10:21" s="1" customFormat="1" x14ac:dyDescent="0.2">
      <c r="J122"/>
      <c r="K122"/>
      <c r="L122"/>
      <c r="M122" s="2"/>
      <c r="Q122"/>
      <c r="R122"/>
      <c r="S122"/>
      <c r="T122"/>
      <c r="U122"/>
    </row>
    <row r="123" spans="10:21" s="1" customFormat="1" x14ac:dyDescent="0.2">
      <c r="J123"/>
      <c r="K123"/>
      <c r="L123"/>
      <c r="M123" s="2"/>
      <c r="Q123"/>
      <c r="R123"/>
      <c r="S123"/>
      <c r="T123"/>
      <c r="U123"/>
    </row>
    <row r="124" spans="10:21" s="1" customFormat="1" x14ac:dyDescent="0.2">
      <c r="J124"/>
      <c r="K124"/>
      <c r="L124"/>
      <c r="M124" s="2"/>
      <c r="Q124"/>
      <c r="R124"/>
      <c r="S124"/>
      <c r="T124"/>
      <c r="U124"/>
    </row>
    <row r="125" spans="10:21" s="1" customFormat="1" x14ac:dyDescent="0.2">
      <c r="J125"/>
      <c r="K125"/>
      <c r="L125"/>
      <c r="M125" s="2"/>
      <c r="Q125"/>
      <c r="R125"/>
      <c r="S125"/>
      <c r="T125"/>
      <c r="U125"/>
    </row>
    <row r="126" spans="10:21" s="1" customFormat="1" x14ac:dyDescent="0.2">
      <c r="J126"/>
      <c r="K126"/>
      <c r="L126"/>
      <c r="M126" s="2"/>
      <c r="Q126"/>
      <c r="R126"/>
      <c r="S126"/>
      <c r="T126"/>
      <c r="U126"/>
    </row>
    <row r="127" spans="10:21" s="1" customFormat="1" x14ac:dyDescent="0.2">
      <c r="J127"/>
      <c r="K127"/>
      <c r="L127"/>
      <c r="M127" s="2"/>
      <c r="Q127"/>
      <c r="R127"/>
      <c r="S127"/>
      <c r="T127"/>
      <c r="U127"/>
    </row>
    <row r="128" spans="10:21" s="1" customFormat="1" x14ac:dyDescent="0.2">
      <c r="J128"/>
      <c r="K128"/>
      <c r="L128"/>
      <c r="M128" s="2"/>
      <c r="Q128"/>
      <c r="R128"/>
      <c r="S128"/>
      <c r="T128"/>
      <c r="U128"/>
    </row>
    <row r="129" spans="10:21" s="1" customFormat="1" x14ac:dyDescent="0.2">
      <c r="J129"/>
      <c r="K129"/>
      <c r="L129"/>
      <c r="M129" s="2"/>
      <c r="Q129"/>
      <c r="R129"/>
      <c r="S129"/>
      <c r="T129"/>
      <c r="U129"/>
    </row>
    <row r="130" spans="10:21" s="1" customFormat="1" x14ac:dyDescent="0.2">
      <c r="J130"/>
      <c r="K130"/>
      <c r="L130"/>
      <c r="M130" s="2"/>
      <c r="Q130"/>
      <c r="R130"/>
      <c r="S130"/>
      <c r="T130"/>
      <c r="U130"/>
    </row>
    <row r="131" spans="10:21" s="1" customFormat="1" x14ac:dyDescent="0.2">
      <c r="J131"/>
      <c r="K131"/>
      <c r="L131"/>
      <c r="M131" s="2"/>
      <c r="Q131"/>
      <c r="R131"/>
      <c r="S131"/>
      <c r="T131"/>
      <c r="U131"/>
    </row>
    <row r="132" spans="10:21" s="1" customFormat="1" x14ac:dyDescent="0.2">
      <c r="J132"/>
      <c r="K132"/>
      <c r="L132"/>
      <c r="M132" s="2"/>
      <c r="Q132"/>
      <c r="R132"/>
      <c r="S132"/>
      <c r="T132"/>
      <c r="U132"/>
    </row>
    <row r="133" spans="10:21" s="1" customFormat="1" x14ac:dyDescent="0.2">
      <c r="J133"/>
      <c r="K133"/>
      <c r="L133"/>
      <c r="M133" s="2"/>
      <c r="Q133"/>
      <c r="R133"/>
      <c r="S133"/>
      <c r="T133"/>
      <c r="U133"/>
    </row>
    <row r="134" spans="10:21" s="1" customFormat="1" x14ac:dyDescent="0.2">
      <c r="J134"/>
      <c r="K134"/>
      <c r="L134"/>
      <c r="M134" s="2"/>
      <c r="Q134"/>
      <c r="R134"/>
      <c r="S134"/>
      <c r="T134"/>
      <c r="U134"/>
    </row>
    <row r="135" spans="10:21" s="1" customFormat="1" x14ac:dyDescent="0.2">
      <c r="J135"/>
      <c r="K135"/>
      <c r="L135"/>
      <c r="M135" s="2"/>
      <c r="Q135"/>
      <c r="R135"/>
      <c r="S135"/>
      <c r="T135"/>
      <c r="U135"/>
    </row>
    <row r="136" spans="10:21" s="1" customFormat="1" x14ac:dyDescent="0.2">
      <c r="J136"/>
      <c r="K136"/>
      <c r="L136"/>
      <c r="M136" s="2"/>
      <c r="Q136"/>
      <c r="R136"/>
      <c r="S136"/>
      <c r="T136"/>
      <c r="U136"/>
    </row>
    <row r="137" spans="10:21" s="1" customFormat="1" x14ac:dyDescent="0.2">
      <c r="J137"/>
      <c r="K137"/>
      <c r="L137"/>
      <c r="M137" s="2"/>
      <c r="Q137"/>
      <c r="R137"/>
      <c r="S137"/>
      <c r="T137"/>
      <c r="U137"/>
    </row>
    <row r="138" spans="10:21" s="1" customFormat="1" x14ac:dyDescent="0.2">
      <c r="J138"/>
      <c r="K138"/>
      <c r="L138"/>
      <c r="M138" s="2"/>
      <c r="Q138"/>
      <c r="R138"/>
      <c r="S138"/>
      <c r="T138"/>
      <c r="U138"/>
    </row>
    <row r="139" spans="10:21" s="1" customFormat="1" x14ac:dyDescent="0.2">
      <c r="J139"/>
      <c r="K139"/>
      <c r="L139"/>
      <c r="M139" s="2"/>
      <c r="Q139"/>
      <c r="R139"/>
      <c r="S139"/>
      <c r="T139"/>
      <c r="U139"/>
    </row>
    <row r="140" spans="10:21" s="1" customFormat="1" x14ac:dyDescent="0.2">
      <c r="J140"/>
      <c r="K140"/>
      <c r="L140"/>
      <c r="M140" s="2"/>
      <c r="Q140"/>
      <c r="R140"/>
      <c r="S140"/>
      <c r="T140"/>
      <c r="U140"/>
    </row>
    <row r="141" spans="10:21" s="1" customFormat="1" x14ac:dyDescent="0.2">
      <c r="J141"/>
      <c r="K141"/>
      <c r="L141"/>
      <c r="M141" s="2"/>
      <c r="Q141"/>
      <c r="R141"/>
      <c r="S141"/>
      <c r="T141"/>
      <c r="U141"/>
    </row>
    <row r="142" spans="10:21" s="1" customFormat="1" x14ac:dyDescent="0.2">
      <c r="J142"/>
      <c r="K142"/>
      <c r="L142"/>
      <c r="M142" s="2"/>
      <c r="Q142"/>
      <c r="R142"/>
      <c r="S142"/>
      <c r="T142"/>
      <c r="U142"/>
    </row>
    <row r="143" spans="10:21" s="1" customFormat="1" x14ac:dyDescent="0.2">
      <c r="J143"/>
      <c r="K143"/>
      <c r="L143"/>
      <c r="M143" s="2"/>
      <c r="Q143"/>
      <c r="R143"/>
      <c r="S143"/>
      <c r="T143"/>
      <c r="U143"/>
    </row>
    <row r="144" spans="10:21" s="1" customFormat="1" x14ac:dyDescent="0.2">
      <c r="J144"/>
      <c r="K144"/>
      <c r="L144"/>
      <c r="M144" s="2"/>
      <c r="Q144"/>
      <c r="R144"/>
      <c r="S144"/>
      <c r="T144"/>
      <c r="U144"/>
    </row>
    <row r="145" spans="10:21" s="1" customFormat="1" x14ac:dyDescent="0.2">
      <c r="J145"/>
      <c r="K145"/>
      <c r="L145"/>
      <c r="M145" s="2"/>
      <c r="Q145"/>
      <c r="R145"/>
      <c r="S145"/>
      <c r="T145"/>
      <c r="U145"/>
    </row>
    <row r="146" spans="10:21" s="1" customFormat="1" x14ac:dyDescent="0.2">
      <c r="J146"/>
      <c r="K146"/>
      <c r="L146"/>
      <c r="M146" s="2"/>
      <c r="Q146"/>
      <c r="R146"/>
      <c r="S146"/>
      <c r="T146"/>
      <c r="U146"/>
    </row>
    <row r="147" spans="10:21" s="1" customFormat="1" x14ac:dyDescent="0.2">
      <c r="J147"/>
      <c r="K147"/>
      <c r="L147"/>
      <c r="M147" s="2"/>
      <c r="Q147"/>
      <c r="R147"/>
      <c r="S147"/>
      <c r="T147"/>
      <c r="U147"/>
    </row>
    <row r="148" spans="10:21" s="1" customFormat="1" x14ac:dyDescent="0.2">
      <c r="J148"/>
      <c r="K148"/>
      <c r="L148"/>
      <c r="M148" s="2"/>
      <c r="Q148"/>
      <c r="R148"/>
      <c r="S148"/>
      <c r="T148"/>
      <c r="U148"/>
    </row>
    <row r="149" spans="10:21" s="1" customFormat="1" x14ac:dyDescent="0.2">
      <c r="J149"/>
      <c r="K149"/>
      <c r="L149"/>
      <c r="M149" s="2"/>
      <c r="Q149"/>
      <c r="R149"/>
      <c r="S149"/>
      <c r="T149"/>
      <c r="U149"/>
    </row>
    <row r="150" spans="10:21" s="1" customFormat="1" x14ac:dyDescent="0.2">
      <c r="J150"/>
      <c r="K150"/>
      <c r="L150"/>
      <c r="M150" s="2"/>
      <c r="Q150"/>
      <c r="R150"/>
      <c r="S150"/>
      <c r="T150"/>
      <c r="U150"/>
    </row>
    <row r="151" spans="10:21" s="1" customFormat="1" x14ac:dyDescent="0.2">
      <c r="J151"/>
      <c r="K151"/>
      <c r="L151"/>
      <c r="M151" s="2"/>
      <c r="Q151"/>
      <c r="R151"/>
      <c r="S151"/>
      <c r="T151"/>
      <c r="U151"/>
    </row>
    <row r="152" spans="10:21" s="1" customFormat="1" x14ac:dyDescent="0.2">
      <c r="J152"/>
      <c r="K152"/>
      <c r="L152"/>
      <c r="M152" s="2"/>
      <c r="Q152"/>
      <c r="R152"/>
      <c r="S152"/>
      <c r="T152"/>
      <c r="U152"/>
    </row>
    <row r="153" spans="10:21" s="1" customFormat="1" x14ac:dyDescent="0.2">
      <c r="J153"/>
      <c r="K153"/>
      <c r="L153"/>
      <c r="M153" s="2"/>
      <c r="Q153"/>
      <c r="R153"/>
      <c r="S153"/>
      <c r="T153"/>
      <c r="U153"/>
    </row>
    <row r="154" spans="10:21" s="1" customFormat="1" x14ac:dyDescent="0.2">
      <c r="J154"/>
      <c r="K154"/>
      <c r="L154"/>
      <c r="M154" s="2"/>
      <c r="Q154"/>
      <c r="R154"/>
      <c r="S154"/>
      <c r="T154"/>
      <c r="U154"/>
    </row>
    <row r="155" spans="10:21" s="1" customFormat="1" x14ac:dyDescent="0.2">
      <c r="J155"/>
      <c r="K155"/>
      <c r="L155"/>
      <c r="M155" s="2"/>
      <c r="Q155"/>
      <c r="R155"/>
      <c r="S155"/>
      <c r="T155"/>
      <c r="U155"/>
    </row>
    <row r="156" spans="10:21" s="1" customFormat="1" x14ac:dyDescent="0.2">
      <c r="J156"/>
      <c r="K156"/>
      <c r="L156"/>
      <c r="M156" s="2"/>
      <c r="Q156"/>
      <c r="R156"/>
      <c r="S156"/>
      <c r="T156"/>
      <c r="U156"/>
    </row>
    <row r="157" spans="10:21" s="1" customFormat="1" x14ac:dyDescent="0.2">
      <c r="J157"/>
      <c r="K157"/>
      <c r="L157"/>
      <c r="M157" s="2"/>
      <c r="Q157"/>
      <c r="R157"/>
      <c r="S157"/>
      <c r="T157"/>
      <c r="U157"/>
    </row>
    <row r="158" spans="10:21" s="1" customFormat="1" x14ac:dyDescent="0.2">
      <c r="J158"/>
      <c r="K158"/>
      <c r="L158"/>
      <c r="M158" s="2"/>
      <c r="Q158"/>
      <c r="R158"/>
      <c r="S158"/>
      <c r="T158"/>
      <c r="U158"/>
    </row>
    <row r="159" spans="10:21" s="1" customFormat="1" x14ac:dyDescent="0.2">
      <c r="J159"/>
      <c r="K159"/>
      <c r="L159"/>
      <c r="M159" s="2"/>
      <c r="Q159"/>
      <c r="R159"/>
      <c r="S159"/>
      <c r="T159"/>
      <c r="U159"/>
    </row>
    <row r="160" spans="10:21" s="1" customFormat="1" x14ac:dyDescent="0.2">
      <c r="J160"/>
      <c r="K160"/>
      <c r="L160"/>
      <c r="M160" s="2"/>
      <c r="Q160"/>
      <c r="R160"/>
      <c r="S160"/>
      <c r="T160"/>
      <c r="U160"/>
    </row>
    <row r="161" spans="10:21" s="1" customFormat="1" x14ac:dyDescent="0.2">
      <c r="J161"/>
      <c r="K161"/>
      <c r="L161"/>
      <c r="M161" s="2"/>
      <c r="Q161"/>
      <c r="R161"/>
      <c r="S161"/>
      <c r="T161"/>
      <c r="U161"/>
    </row>
    <row r="162" spans="10:21" s="1" customFormat="1" x14ac:dyDescent="0.2">
      <c r="J162"/>
      <c r="K162"/>
      <c r="L162"/>
      <c r="M162" s="2"/>
      <c r="Q162"/>
      <c r="R162"/>
      <c r="S162"/>
      <c r="T162"/>
      <c r="U162"/>
    </row>
    <row r="163" spans="10:21" s="1" customFormat="1" x14ac:dyDescent="0.2">
      <c r="J163"/>
      <c r="K163"/>
      <c r="L163"/>
      <c r="M163" s="2"/>
      <c r="Q163"/>
      <c r="R163"/>
      <c r="S163"/>
      <c r="T163"/>
      <c r="U163"/>
    </row>
    <row r="164" spans="10:21" s="1" customFormat="1" x14ac:dyDescent="0.2">
      <c r="J164"/>
      <c r="K164"/>
      <c r="L164"/>
      <c r="M164" s="2"/>
      <c r="Q164"/>
      <c r="R164"/>
      <c r="S164"/>
      <c r="T164"/>
      <c r="U164"/>
    </row>
    <row r="165" spans="10:21" s="1" customFormat="1" x14ac:dyDescent="0.2">
      <c r="J165"/>
      <c r="K165"/>
      <c r="L165"/>
      <c r="M165" s="2"/>
      <c r="Q165"/>
      <c r="R165"/>
      <c r="S165"/>
      <c r="T165"/>
      <c r="U165"/>
    </row>
    <row r="166" spans="10:21" s="1" customFormat="1" x14ac:dyDescent="0.2">
      <c r="J166"/>
      <c r="K166"/>
      <c r="L166"/>
      <c r="M166" s="2"/>
      <c r="Q166"/>
      <c r="R166"/>
      <c r="S166"/>
      <c r="T166"/>
      <c r="U166"/>
    </row>
    <row r="167" spans="10:21" s="1" customFormat="1" x14ac:dyDescent="0.2">
      <c r="J167"/>
      <c r="K167"/>
      <c r="L167"/>
      <c r="M167" s="2"/>
      <c r="Q167"/>
      <c r="R167"/>
      <c r="S167"/>
      <c r="T167"/>
      <c r="U167"/>
    </row>
    <row r="168" spans="10:21" s="1" customFormat="1" x14ac:dyDescent="0.2">
      <c r="J168"/>
      <c r="K168"/>
      <c r="L168"/>
      <c r="M168" s="2"/>
      <c r="Q168"/>
      <c r="R168"/>
      <c r="S168"/>
      <c r="T168"/>
      <c r="U168"/>
    </row>
    <row r="169" spans="10:21" s="1" customFormat="1" x14ac:dyDescent="0.2">
      <c r="J169"/>
      <c r="K169"/>
      <c r="L169"/>
      <c r="M169" s="2"/>
      <c r="Q169"/>
      <c r="R169"/>
      <c r="S169"/>
      <c r="T169"/>
      <c r="U169"/>
    </row>
    <row r="170" spans="10:21" s="1" customFormat="1" x14ac:dyDescent="0.2">
      <c r="J170"/>
      <c r="K170"/>
      <c r="L170"/>
      <c r="M170" s="2"/>
      <c r="Q170"/>
      <c r="R170"/>
      <c r="S170"/>
      <c r="T170"/>
      <c r="U170"/>
    </row>
    <row r="171" spans="10:21" s="1" customFormat="1" x14ac:dyDescent="0.2">
      <c r="J171"/>
      <c r="K171"/>
      <c r="L171"/>
      <c r="M171" s="2"/>
      <c r="Q171"/>
      <c r="R171"/>
      <c r="S171"/>
      <c r="T171"/>
      <c r="U171"/>
    </row>
    <row r="172" spans="10:21" s="1" customFormat="1" x14ac:dyDescent="0.2">
      <c r="J172"/>
      <c r="K172"/>
      <c r="L172"/>
      <c r="M172" s="2"/>
      <c r="Q172"/>
      <c r="R172"/>
      <c r="S172"/>
      <c r="T172"/>
      <c r="U172"/>
    </row>
    <row r="173" spans="10:21" s="1" customFormat="1" x14ac:dyDescent="0.2">
      <c r="J173"/>
      <c r="K173"/>
      <c r="L173"/>
      <c r="M173" s="2"/>
      <c r="Q173"/>
      <c r="R173"/>
      <c r="S173"/>
      <c r="T173"/>
      <c r="U173"/>
    </row>
    <row r="174" spans="10:21" s="1" customFormat="1" x14ac:dyDescent="0.2">
      <c r="J174"/>
      <c r="K174"/>
      <c r="L174"/>
      <c r="M174" s="2"/>
      <c r="Q174"/>
      <c r="R174"/>
      <c r="S174"/>
      <c r="T174"/>
      <c r="U174"/>
    </row>
    <row r="175" spans="10:21" s="1" customFormat="1" x14ac:dyDescent="0.2">
      <c r="J175"/>
      <c r="K175"/>
      <c r="L175"/>
      <c r="M175" s="2"/>
      <c r="Q175"/>
      <c r="R175"/>
      <c r="S175"/>
      <c r="T175"/>
      <c r="U175"/>
    </row>
    <row r="176" spans="10:21" s="1" customFormat="1" x14ac:dyDescent="0.2">
      <c r="J176"/>
      <c r="K176"/>
      <c r="L176"/>
      <c r="M176" s="2"/>
      <c r="Q176"/>
      <c r="R176"/>
      <c r="S176"/>
      <c r="T176"/>
      <c r="U176"/>
    </row>
    <row r="177" spans="10:21" s="1" customFormat="1" x14ac:dyDescent="0.2">
      <c r="J177"/>
      <c r="K177"/>
      <c r="L177"/>
      <c r="M177" s="2"/>
      <c r="Q177"/>
      <c r="R177"/>
      <c r="S177"/>
      <c r="T177"/>
      <c r="U177"/>
    </row>
    <row r="178" spans="10:21" s="1" customFormat="1" x14ac:dyDescent="0.2">
      <c r="J178"/>
      <c r="K178"/>
      <c r="L178"/>
      <c r="M178" s="2"/>
      <c r="Q178"/>
      <c r="R178"/>
      <c r="S178"/>
      <c r="T178"/>
      <c r="U178"/>
    </row>
    <row r="179" spans="10:21" s="1" customFormat="1" x14ac:dyDescent="0.2">
      <c r="J179"/>
      <c r="K179"/>
      <c r="L179"/>
      <c r="M179" s="2"/>
      <c r="Q179"/>
      <c r="R179"/>
      <c r="S179"/>
      <c r="T179"/>
      <c r="U179"/>
    </row>
    <row r="180" spans="10:21" s="1" customFormat="1" x14ac:dyDescent="0.2">
      <c r="J180"/>
      <c r="K180"/>
      <c r="L180"/>
      <c r="M180" s="2"/>
      <c r="Q180"/>
      <c r="R180"/>
      <c r="S180"/>
      <c r="T180"/>
      <c r="U180"/>
    </row>
    <row r="181" spans="10:21" s="1" customFormat="1" x14ac:dyDescent="0.2">
      <c r="J181"/>
      <c r="K181"/>
      <c r="L181"/>
      <c r="M181" s="2"/>
      <c r="Q181"/>
      <c r="R181"/>
      <c r="S181"/>
      <c r="T181"/>
      <c r="U181"/>
    </row>
    <row r="182" spans="10:21" s="1" customFormat="1" x14ac:dyDescent="0.2">
      <c r="J182"/>
      <c r="K182"/>
      <c r="L182"/>
      <c r="M182" s="2"/>
      <c r="Q182"/>
      <c r="R182"/>
      <c r="S182"/>
      <c r="T182"/>
      <c r="U182"/>
    </row>
    <row r="183" spans="10:21" s="1" customFormat="1" x14ac:dyDescent="0.2">
      <c r="J183"/>
      <c r="K183"/>
      <c r="L183"/>
      <c r="M183" s="2"/>
      <c r="Q183"/>
      <c r="R183"/>
      <c r="S183"/>
      <c r="T183"/>
      <c r="U183"/>
    </row>
    <row r="184" spans="10:21" s="1" customFormat="1" x14ac:dyDescent="0.2">
      <c r="J184"/>
      <c r="K184"/>
      <c r="L184"/>
      <c r="M184" s="2"/>
      <c r="Q184"/>
      <c r="R184"/>
      <c r="S184"/>
      <c r="T184"/>
      <c r="U184"/>
    </row>
    <row r="185" spans="10:21" s="1" customFormat="1" x14ac:dyDescent="0.2">
      <c r="J185"/>
      <c r="K185"/>
      <c r="L185"/>
      <c r="M185" s="2"/>
      <c r="Q185"/>
      <c r="R185"/>
      <c r="S185"/>
      <c r="T185"/>
      <c r="U185"/>
    </row>
    <row r="186" spans="10:21" s="1" customFormat="1" x14ac:dyDescent="0.2">
      <c r="J186"/>
      <c r="K186"/>
      <c r="L186"/>
      <c r="M186" s="2"/>
      <c r="Q186"/>
      <c r="R186"/>
      <c r="S186"/>
      <c r="T186"/>
      <c r="U186"/>
    </row>
    <row r="187" spans="10:21" s="1" customFormat="1" x14ac:dyDescent="0.2">
      <c r="J187"/>
      <c r="K187"/>
      <c r="L187"/>
      <c r="M187" s="2"/>
      <c r="Q187"/>
      <c r="R187"/>
      <c r="S187"/>
      <c r="T187"/>
      <c r="U187"/>
    </row>
    <row r="188" spans="10:21" s="1" customFormat="1" x14ac:dyDescent="0.2">
      <c r="J188"/>
      <c r="K188"/>
      <c r="L188"/>
      <c r="M188" s="2"/>
      <c r="Q188"/>
      <c r="R188"/>
      <c r="S188"/>
      <c r="T188"/>
      <c r="U188"/>
    </row>
    <row r="189" spans="10:21" s="1" customFormat="1" x14ac:dyDescent="0.2">
      <c r="J189"/>
      <c r="K189"/>
      <c r="L189"/>
      <c r="M189" s="2"/>
      <c r="Q189"/>
      <c r="R189"/>
      <c r="S189"/>
      <c r="T189"/>
      <c r="U189"/>
    </row>
    <row r="190" spans="10:21" s="1" customFormat="1" x14ac:dyDescent="0.2">
      <c r="J190"/>
      <c r="K190"/>
      <c r="L190"/>
      <c r="M190" s="2"/>
      <c r="Q190"/>
      <c r="R190"/>
      <c r="S190"/>
      <c r="T190"/>
      <c r="U190"/>
    </row>
    <row r="191" spans="10:21" s="1" customFormat="1" x14ac:dyDescent="0.2">
      <c r="J191"/>
      <c r="K191"/>
      <c r="L191"/>
      <c r="M191" s="2"/>
      <c r="Q191"/>
      <c r="R191"/>
      <c r="S191"/>
      <c r="T191"/>
      <c r="U191"/>
    </row>
    <row r="192" spans="10:21" s="1" customFormat="1" x14ac:dyDescent="0.2">
      <c r="J192"/>
      <c r="K192"/>
      <c r="L192"/>
      <c r="M192" s="2"/>
      <c r="Q192"/>
      <c r="R192"/>
      <c r="S192"/>
      <c r="T192"/>
      <c r="U192"/>
    </row>
    <row r="193" spans="10:21" s="1" customFormat="1" x14ac:dyDescent="0.2">
      <c r="J193"/>
      <c r="K193"/>
      <c r="L193"/>
      <c r="M193" s="2"/>
      <c r="Q193"/>
      <c r="R193"/>
      <c r="S193"/>
      <c r="T193"/>
      <c r="U193"/>
    </row>
    <row r="194" spans="10:21" s="1" customFormat="1" x14ac:dyDescent="0.2">
      <c r="J194"/>
      <c r="K194"/>
      <c r="L194"/>
      <c r="M194" s="2"/>
      <c r="Q194"/>
      <c r="R194"/>
      <c r="S194"/>
      <c r="T194"/>
      <c r="U194"/>
    </row>
    <row r="195" spans="10:21" s="1" customFormat="1" x14ac:dyDescent="0.2">
      <c r="J195"/>
      <c r="K195"/>
      <c r="L195"/>
      <c r="M195" s="2"/>
      <c r="Q195"/>
      <c r="R195"/>
      <c r="S195"/>
      <c r="T195"/>
      <c r="U195"/>
    </row>
    <row r="196" spans="10:21" s="1" customFormat="1" x14ac:dyDescent="0.2">
      <c r="J196"/>
      <c r="K196"/>
      <c r="L196"/>
      <c r="M196" s="2"/>
      <c r="Q196"/>
      <c r="R196"/>
      <c r="S196"/>
      <c r="T196"/>
      <c r="U196"/>
    </row>
    <row r="197" spans="10:21" s="1" customFormat="1" x14ac:dyDescent="0.2">
      <c r="J197"/>
      <c r="K197"/>
      <c r="L197"/>
      <c r="M197" s="2"/>
      <c r="Q197"/>
      <c r="R197"/>
      <c r="S197"/>
      <c r="T197"/>
      <c r="U197"/>
    </row>
    <row r="198" spans="10:21" s="1" customFormat="1" x14ac:dyDescent="0.2">
      <c r="J198"/>
      <c r="K198"/>
      <c r="L198"/>
      <c r="M198" s="2"/>
      <c r="Q198"/>
      <c r="R198"/>
      <c r="S198"/>
      <c r="T198"/>
      <c r="U198"/>
    </row>
    <row r="199" spans="10:21" s="1" customFormat="1" x14ac:dyDescent="0.2">
      <c r="J199"/>
      <c r="K199"/>
      <c r="L199"/>
      <c r="M199" s="2"/>
      <c r="Q199"/>
      <c r="R199"/>
      <c r="S199"/>
      <c r="T199"/>
      <c r="U199"/>
    </row>
    <row r="200" spans="10:21" s="1" customFormat="1" x14ac:dyDescent="0.2">
      <c r="J200"/>
      <c r="K200"/>
      <c r="L200"/>
      <c r="M200" s="2"/>
      <c r="Q200"/>
      <c r="R200"/>
      <c r="S200"/>
      <c r="T200"/>
      <c r="U200"/>
    </row>
    <row r="201" spans="10:21" s="1" customFormat="1" x14ac:dyDescent="0.2">
      <c r="J201"/>
      <c r="K201"/>
      <c r="L201"/>
      <c r="M201" s="2"/>
      <c r="Q201"/>
      <c r="R201"/>
      <c r="S201"/>
      <c r="T201"/>
      <c r="U201"/>
    </row>
    <row r="202" spans="10:21" s="1" customFormat="1" x14ac:dyDescent="0.2">
      <c r="J202"/>
      <c r="K202"/>
      <c r="L202"/>
      <c r="M202" s="2"/>
      <c r="Q202"/>
      <c r="R202"/>
      <c r="S202"/>
      <c r="T202"/>
      <c r="U202"/>
    </row>
    <row r="203" spans="10:21" s="1" customFormat="1" x14ac:dyDescent="0.2">
      <c r="J203"/>
      <c r="K203"/>
      <c r="L203"/>
      <c r="M203" s="2"/>
      <c r="Q203"/>
      <c r="R203"/>
      <c r="S203"/>
      <c r="T203"/>
      <c r="U203"/>
    </row>
    <row r="204" spans="10:21" s="1" customFormat="1" x14ac:dyDescent="0.2">
      <c r="J204"/>
      <c r="K204"/>
      <c r="L204"/>
      <c r="M204" s="2"/>
      <c r="Q204"/>
      <c r="R204"/>
      <c r="S204"/>
      <c r="T204"/>
      <c r="U204"/>
    </row>
    <row r="205" spans="10:21" s="1" customFormat="1" x14ac:dyDescent="0.2">
      <c r="J205"/>
      <c r="K205"/>
      <c r="L205"/>
      <c r="M205" s="2"/>
      <c r="Q205"/>
      <c r="R205"/>
      <c r="S205"/>
      <c r="T205"/>
      <c r="U205"/>
    </row>
    <row r="206" spans="10:21" s="1" customFormat="1" x14ac:dyDescent="0.2">
      <c r="J206"/>
      <c r="K206"/>
      <c r="L206"/>
      <c r="M206" s="2"/>
      <c r="Q206"/>
      <c r="R206"/>
      <c r="S206"/>
      <c r="T206"/>
      <c r="U206"/>
    </row>
    <row r="207" spans="10:21" s="1" customFormat="1" x14ac:dyDescent="0.2">
      <c r="J207"/>
      <c r="K207"/>
      <c r="L207"/>
      <c r="M207" s="2"/>
      <c r="Q207"/>
      <c r="R207"/>
      <c r="S207"/>
      <c r="T207"/>
      <c r="U207"/>
    </row>
    <row r="208" spans="10:21" s="1" customFormat="1" x14ac:dyDescent="0.2">
      <c r="J208"/>
      <c r="K208"/>
      <c r="L208"/>
      <c r="M208" s="2"/>
      <c r="Q208"/>
      <c r="R208"/>
      <c r="S208"/>
      <c r="T208"/>
      <c r="U208"/>
    </row>
    <row r="209" spans="10:21" s="1" customFormat="1" x14ac:dyDescent="0.2">
      <c r="J209"/>
      <c r="K209"/>
      <c r="L209"/>
      <c r="M209" s="2"/>
      <c r="Q209"/>
      <c r="R209"/>
      <c r="S209"/>
      <c r="T209"/>
      <c r="U209"/>
    </row>
    <row r="210" spans="10:21" s="1" customFormat="1" x14ac:dyDescent="0.2">
      <c r="J210"/>
      <c r="K210"/>
      <c r="L210"/>
      <c r="M210" s="2"/>
      <c r="Q210"/>
      <c r="R210"/>
      <c r="S210"/>
      <c r="T210"/>
      <c r="U210"/>
    </row>
    <row r="211" spans="10:21" s="1" customFormat="1" x14ac:dyDescent="0.2">
      <c r="J211"/>
      <c r="K211"/>
      <c r="L211"/>
      <c r="M211" s="2"/>
      <c r="Q211"/>
      <c r="R211"/>
      <c r="S211"/>
      <c r="T211"/>
      <c r="U211"/>
    </row>
    <row r="212" spans="10:21" s="1" customFormat="1" x14ac:dyDescent="0.2">
      <c r="J212"/>
      <c r="K212"/>
      <c r="L212"/>
      <c r="M212" s="2"/>
      <c r="Q212"/>
      <c r="R212"/>
      <c r="S212"/>
      <c r="T212"/>
      <c r="U212"/>
    </row>
    <row r="213" spans="10:21" s="1" customFormat="1" x14ac:dyDescent="0.2">
      <c r="J213"/>
      <c r="K213"/>
      <c r="L213"/>
      <c r="M213" s="2"/>
      <c r="Q213"/>
      <c r="R213"/>
      <c r="S213"/>
      <c r="T213"/>
      <c r="U213"/>
    </row>
    <row r="214" spans="10:21" s="1" customFormat="1" x14ac:dyDescent="0.2">
      <c r="J214"/>
      <c r="K214"/>
      <c r="L214"/>
      <c r="M214" s="2"/>
      <c r="Q214"/>
      <c r="R214"/>
      <c r="S214"/>
      <c r="T214"/>
      <c r="U214"/>
    </row>
    <row r="215" spans="10:21" s="1" customFormat="1" x14ac:dyDescent="0.2">
      <c r="J215"/>
      <c r="K215"/>
      <c r="L215"/>
      <c r="M215" s="2"/>
      <c r="Q215"/>
      <c r="R215"/>
      <c r="S215"/>
      <c r="T215"/>
      <c r="U215"/>
    </row>
    <row r="216" spans="10:21" s="1" customFormat="1" x14ac:dyDescent="0.2">
      <c r="J216"/>
      <c r="K216"/>
      <c r="L216"/>
      <c r="M216" s="2"/>
      <c r="Q216"/>
      <c r="R216"/>
      <c r="S216"/>
      <c r="T216"/>
      <c r="U216"/>
    </row>
    <row r="217" spans="10:21" s="1" customFormat="1" x14ac:dyDescent="0.2">
      <c r="J217"/>
      <c r="K217"/>
      <c r="L217"/>
      <c r="M217" s="2"/>
      <c r="Q217"/>
      <c r="R217"/>
      <c r="S217"/>
      <c r="T217"/>
      <c r="U217"/>
    </row>
    <row r="218" spans="10:21" s="1" customFormat="1" x14ac:dyDescent="0.2">
      <c r="J218"/>
      <c r="K218"/>
      <c r="L218"/>
      <c r="M218" s="2"/>
      <c r="Q218"/>
      <c r="R218"/>
      <c r="S218"/>
      <c r="T218"/>
      <c r="U218"/>
    </row>
    <row r="219" spans="10:21" s="1" customFormat="1" x14ac:dyDescent="0.2">
      <c r="J219"/>
      <c r="K219"/>
      <c r="L219"/>
      <c r="M219" s="2"/>
      <c r="Q219"/>
      <c r="R219"/>
      <c r="S219"/>
      <c r="T219"/>
      <c r="U219"/>
    </row>
    <row r="220" spans="10:21" s="1" customFormat="1" x14ac:dyDescent="0.2">
      <c r="J220"/>
      <c r="K220"/>
      <c r="L220"/>
      <c r="M220" s="2"/>
      <c r="Q220"/>
      <c r="R220"/>
      <c r="S220"/>
      <c r="T220"/>
      <c r="U220"/>
    </row>
    <row r="221" spans="10:21" s="1" customFormat="1" x14ac:dyDescent="0.2">
      <c r="J221"/>
      <c r="K221"/>
      <c r="L221"/>
      <c r="M221" s="2"/>
      <c r="Q221"/>
      <c r="R221"/>
      <c r="S221"/>
      <c r="T221"/>
      <c r="U221"/>
    </row>
    <row r="222" spans="10:21" s="1" customFormat="1" x14ac:dyDescent="0.2">
      <c r="J222"/>
      <c r="K222"/>
      <c r="L222"/>
      <c r="M222" s="2"/>
      <c r="Q222"/>
      <c r="R222"/>
      <c r="S222"/>
      <c r="T222"/>
      <c r="U222"/>
    </row>
    <row r="223" spans="10:21" s="1" customFormat="1" x14ac:dyDescent="0.2">
      <c r="J223"/>
      <c r="K223"/>
      <c r="L223"/>
      <c r="M223" s="2"/>
      <c r="Q223"/>
      <c r="R223"/>
      <c r="S223"/>
      <c r="T223"/>
      <c r="U223"/>
    </row>
    <row r="224" spans="10:21" s="1" customFormat="1" x14ac:dyDescent="0.2">
      <c r="J224"/>
      <c r="K224"/>
      <c r="L224"/>
      <c r="M224" s="2"/>
      <c r="Q224"/>
      <c r="R224"/>
      <c r="S224"/>
      <c r="T224"/>
      <c r="U224"/>
    </row>
    <row r="225" spans="10:21" s="1" customFormat="1" x14ac:dyDescent="0.2">
      <c r="J225"/>
      <c r="K225"/>
      <c r="L225"/>
      <c r="M225" s="2"/>
      <c r="Q225"/>
      <c r="R225"/>
      <c r="S225"/>
      <c r="T225"/>
      <c r="U225"/>
    </row>
    <row r="226" spans="10:21" s="1" customFormat="1" x14ac:dyDescent="0.2">
      <c r="J226"/>
      <c r="K226"/>
      <c r="L226"/>
      <c r="M226" s="2"/>
      <c r="Q226"/>
      <c r="R226"/>
      <c r="S226"/>
      <c r="T226"/>
      <c r="U226"/>
    </row>
    <row r="227" spans="10:21" s="1" customFormat="1" x14ac:dyDescent="0.2">
      <c r="J227"/>
      <c r="K227"/>
      <c r="L227"/>
      <c r="M227" s="2"/>
      <c r="Q227"/>
      <c r="R227"/>
      <c r="S227"/>
      <c r="T227"/>
      <c r="U227"/>
    </row>
    <row r="228" spans="10:21" s="1" customFormat="1" x14ac:dyDescent="0.2">
      <c r="J228"/>
      <c r="K228"/>
      <c r="L228"/>
      <c r="M228" s="2"/>
      <c r="Q228"/>
      <c r="R228"/>
      <c r="S228"/>
      <c r="T228"/>
      <c r="U228"/>
    </row>
    <row r="229" spans="10:21" s="1" customFormat="1" x14ac:dyDescent="0.2">
      <c r="J229"/>
      <c r="K229"/>
      <c r="L229"/>
      <c r="M229" s="2"/>
      <c r="Q229"/>
      <c r="R229"/>
      <c r="S229"/>
      <c r="T229"/>
      <c r="U229"/>
    </row>
    <row r="230" spans="10:21" s="1" customFormat="1" x14ac:dyDescent="0.2">
      <c r="J230"/>
      <c r="K230"/>
      <c r="L230"/>
      <c r="M230" s="2"/>
      <c r="Q230"/>
      <c r="R230"/>
      <c r="S230"/>
      <c r="T230"/>
      <c r="U230"/>
    </row>
    <row r="231" spans="10:21" s="1" customFormat="1" x14ac:dyDescent="0.2">
      <c r="J231"/>
      <c r="K231"/>
      <c r="L231"/>
      <c r="M231" s="2"/>
      <c r="Q231"/>
      <c r="R231"/>
      <c r="S231"/>
      <c r="T231"/>
      <c r="U231"/>
    </row>
    <row r="232" spans="10:21" s="1" customFormat="1" x14ac:dyDescent="0.2">
      <c r="J232"/>
      <c r="K232"/>
      <c r="L232"/>
      <c r="M232" s="2"/>
      <c r="Q232"/>
      <c r="R232"/>
      <c r="S232"/>
      <c r="T232"/>
      <c r="U232"/>
    </row>
    <row r="233" spans="10:21" s="1" customFormat="1" x14ac:dyDescent="0.2">
      <c r="J233"/>
      <c r="K233"/>
      <c r="L233"/>
      <c r="M233" s="2"/>
      <c r="Q233"/>
      <c r="R233"/>
      <c r="S233"/>
      <c r="T233"/>
      <c r="U233"/>
    </row>
    <row r="234" spans="10:21" s="1" customFormat="1" x14ac:dyDescent="0.2">
      <c r="J234"/>
      <c r="K234"/>
      <c r="L234"/>
      <c r="M234" s="2"/>
      <c r="Q234"/>
      <c r="R234"/>
      <c r="S234"/>
      <c r="T234"/>
      <c r="U234"/>
    </row>
    <row r="235" spans="10:21" s="1" customFormat="1" x14ac:dyDescent="0.2">
      <c r="J235"/>
      <c r="K235"/>
      <c r="L235"/>
      <c r="M235" s="2"/>
      <c r="Q235"/>
      <c r="R235"/>
      <c r="S235"/>
      <c r="T235"/>
      <c r="U235"/>
    </row>
    <row r="236" spans="10:21" s="1" customFormat="1" x14ac:dyDescent="0.2">
      <c r="J236"/>
      <c r="K236"/>
      <c r="L236"/>
      <c r="M236" s="2"/>
      <c r="Q236"/>
      <c r="R236"/>
      <c r="S236"/>
      <c r="T236"/>
      <c r="U236"/>
    </row>
    <row r="237" spans="10:21" s="1" customFormat="1" x14ac:dyDescent="0.2">
      <c r="J237"/>
      <c r="K237"/>
      <c r="L237"/>
      <c r="M237" s="2"/>
      <c r="Q237"/>
      <c r="R237"/>
      <c r="S237"/>
      <c r="T237"/>
      <c r="U237"/>
    </row>
    <row r="238" spans="10:21" s="1" customFormat="1" x14ac:dyDescent="0.2">
      <c r="J238"/>
      <c r="K238"/>
      <c r="L238"/>
      <c r="M238" s="2"/>
      <c r="Q238"/>
      <c r="R238"/>
      <c r="S238"/>
      <c r="T238"/>
      <c r="U238"/>
    </row>
    <row r="239" spans="10:21" s="1" customFormat="1" x14ac:dyDescent="0.2">
      <c r="J239"/>
      <c r="K239"/>
      <c r="L239"/>
      <c r="M239" s="2"/>
      <c r="Q239"/>
      <c r="R239"/>
      <c r="S239"/>
      <c r="T239"/>
      <c r="U239"/>
    </row>
    <row r="240" spans="10:21" s="1" customFormat="1" x14ac:dyDescent="0.2">
      <c r="J240"/>
      <c r="K240"/>
      <c r="L240"/>
      <c r="M240" s="2"/>
      <c r="Q240"/>
      <c r="R240"/>
      <c r="S240"/>
      <c r="T240"/>
      <c r="U240"/>
    </row>
    <row r="241" spans="10:21" s="1" customFormat="1" x14ac:dyDescent="0.2">
      <c r="J241"/>
      <c r="K241"/>
      <c r="L241"/>
      <c r="M241" s="2"/>
      <c r="Q241"/>
      <c r="R241"/>
      <c r="S241"/>
      <c r="T241"/>
      <c r="U241"/>
    </row>
    <row r="242" spans="10:21" s="1" customFormat="1" x14ac:dyDescent="0.2">
      <c r="J242"/>
      <c r="K242"/>
      <c r="L242"/>
      <c r="M242" s="2"/>
      <c r="Q242"/>
      <c r="R242"/>
      <c r="S242"/>
      <c r="T242"/>
      <c r="U242"/>
    </row>
    <row r="243" spans="10:21" s="1" customFormat="1" x14ac:dyDescent="0.2">
      <c r="J243"/>
      <c r="K243"/>
      <c r="L243"/>
      <c r="M243" s="2"/>
      <c r="Q243"/>
      <c r="R243"/>
      <c r="S243"/>
      <c r="T243"/>
      <c r="U243"/>
    </row>
    <row r="244" spans="10:21" s="1" customFormat="1" x14ac:dyDescent="0.2">
      <c r="J244"/>
      <c r="K244"/>
      <c r="L244"/>
      <c r="M244" s="2"/>
      <c r="Q244"/>
      <c r="R244"/>
      <c r="S244"/>
      <c r="T244"/>
      <c r="U244"/>
    </row>
    <row r="245" spans="10:21" s="1" customFormat="1" x14ac:dyDescent="0.2">
      <c r="J245"/>
      <c r="K245"/>
      <c r="L245"/>
      <c r="M245" s="2"/>
      <c r="Q245"/>
      <c r="R245"/>
      <c r="S245"/>
      <c r="T245"/>
      <c r="U245"/>
    </row>
    <row r="246" spans="10:21" s="1" customFormat="1" x14ac:dyDescent="0.2">
      <c r="J246"/>
      <c r="K246"/>
      <c r="L246"/>
      <c r="M246" s="2"/>
      <c r="Q246"/>
      <c r="R246"/>
      <c r="S246"/>
      <c r="T246"/>
      <c r="U246"/>
    </row>
    <row r="247" spans="10:21" s="1" customFormat="1" x14ac:dyDescent="0.2">
      <c r="J247"/>
      <c r="K247"/>
      <c r="L247"/>
      <c r="M247" s="2"/>
      <c r="Q247"/>
      <c r="R247"/>
      <c r="S247"/>
      <c r="T247"/>
      <c r="U247"/>
    </row>
    <row r="248" spans="10:21" s="1" customFormat="1" x14ac:dyDescent="0.2">
      <c r="J248"/>
      <c r="K248"/>
      <c r="L248"/>
      <c r="M248" s="2"/>
      <c r="Q248"/>
      <c r="R248"/>
      <c r="S248"/>
      <c r="T248"/>
      <c r="U248"/>
    </row>
    <row r="249" spans="10:21" s="1" customFormat="1" x14ac:dyDescent="0.2">
      <c r="J249"/>
      <c r="K249"/>
      <c r="L249"/>
      <c r="M249" s="2"/>
      <c r="Q249"/>
      <c r="R249"/>
      <c r="S249"/>
      <c r="T249"/>
      <c r="U249"/>
    </row>
    <row r="250" spans="10:21" s="1" customFormat="1" x14ac:dyDescent="0.2">
      <c r="J250"/>
      <c r="K250"/>
      <c r="L250"/>
      <c r="M250" s="2"/>
      <c r="Q250"/>
      <c r="R250"/>
      <c r="S250"/>
      <c r="T250"/>
      <c r="U250"/>
    </row>
    <row r="251" spans="10:21" s="1" customFormat="1" x14ac:dyDescent="0.2">
      <c r="J251"/>
      <c r="K251"/>
      <c r="L251"/>
      <c r="M251" s="2"/>
      <c r="Q251"/>
      <c r="R251"/>
      <c r="S251"/>
      <c r="T251"/>
      <c r="U251"/>
    </row>
    <row r="252" spans="10:21" s="1" customFormat="1" x14ac:dyDescent="0.2">
      <c r="J252"/>
      <c r="K252"/>
      <c r="L252"/>
      <c r="M252" s="2"/>
      <c r="Q252"/>
      <c r="R252"/>
      <c r="S252"/>
      <c r="T252"/>
      <c r="U252"/>
    </row>
    <row r="253" spans="10:21" s="1" customFormat="1" x14ac:dyDescent="0.2">
      <c r="J253"/>
      <c r="K253"/>
      <c r="L253"/>
      <c r="M253" s="2"/>
      <c r="Q253"/>
      <c r="R253"/>
      <c r="S253"/>
      <c r="T253"/>
      <c r="U253"/>
    </row>
    <row r="254" spans="10:21" s="1" customFormat="1" x14ac:dyDescent="0.2">
      <c r="J254"/>
      <c r="K254"/>
      <c r="L254"/>
      <c r="M254" s="2"/>
      <c r="Q254"/>
      <c r="R254"/>
      <c r="S254"/>
      <c r="T254"/>
      <c r="U254"/>
    </row>
    <row r="255" spans="10:21" s="1" customFormat="1" x14ac:dyDescent="0.2">
      <c r="J255"/>
      <c r="K255"/>
      <c r="L255"/>
      <c r="M255" s="2"/>
      <c r="Q255"/>
      <c r="R255"/>
      <c r="S255"/>
      <c r="T255"/>
      <c r="U255"/>
    </row>
    <row r="256" spans="10:21" s="1" customFormat="1" x14ac:dyDescent="0.2">
      <c r="J256"/>
      <c r="K256"/>
      <c r="L256"/>
      <c r="M256" s="2"/>
      <c r="Q256"/>
      <c r="R256"/>
      <c r="S256"/>
      <c r="T256"/>
      <c r="U256"/>
    </row>
    <row r="257" spans="10:21" s="1" customFormat="1" x14ac:dyDescent="0.2">
      <c r="J257"/>
      <c r="K257"/>
      <c r="L257"/>
      <c r="M257" s="2"/>
      <c r="Q257"/>
      <c r="R257"/>
      <c r="S257"/>
      <c r="T257"/>
      <c r="U257"/>
    </row>
    <row r="258" spans="10:21" s="1" customFormat="1" x14ac:dyDescent="0.2">
      <c r="J258"/>
      <c r="K258"/>
      <c r="L258"/>
      <c r="M258" s="2"/>
      <c r="Q258"/>
      <c r="R258"/>
      <c r="S258"/>
      <c r="T258"/>
      <c r="U258"/>
    </row>
    <row r="259" spans="10:21" s="1" customFormat="1" x14ac:dyDescent="0.2">
      <c r="J259"/>
      <c r="K259"/>
      <c r="L259"/>
      <c r="M259" s="2"/>
      <c r="Q259"/>
      <c r="R259"/>
      <c r="S259"/>
      <c r="T259"/>
      <c r="U259"/>
    </row>
    <row r="260" spans="10:21" s="1" customFormat="1" x14ac:dyDescent="0.2">
      <c r="J260"/>
      <c r="K260"/>
      <c r="L260"/>
      <c r="M260" s="2"/>
      <c r="Q260"/>
      <c r="R260"/>
      <c r="S260"/>
      <c r="T260"/>
      <c r="U260"/>
    </row>
    <row r="261" spans="10:21" s="1" customFormat="1" x14ac:dyDescent="0.2">
      <c r="J261"/>
      <c r="K261"/>
      <c r="L261"/>
      <c r="M261" s="2"/>
      <c r="Q261"/>
      <c r="R261"/>
      <c r="S261"/>
      <c r="T261"/>
      <c r="U261"/>
    </row>
    <row r="262" spans="10:21" s="1" customFormat="1" x14ac:dyDescent="0.2">
      <c r="J262"/>
      <c r="K262"/>
      <c r="L262"/>
      <c r="M262" s="2"/>
      <c r="Q262"/>
      <c r="R262"/>
      <c r="S262"/>
      <c r="T262"/>
      <c r="U262"/>
    </row>
    <row r="263" spans="10:21" s="1" customFormat="1" x14ac:dyDescent="0.2">
      <c r="J263"/>
      <c r="K263"/>
      <c r="L263"/>
      <c r="M263" s="2"/>
      <c r="Q263"/>
      <c r="R263"/>
      <c r="S263"/>
      <c r="T263"/>
      <c r="U263"/>
    </row>
    <row r="264" spans="10:21" s="1" customFormat="1" x14ac:dyDescent="0.2">
      <c r="J264"/>
      <c r="K264"/>
      <c r="L264"/>
      <c r="M264" s="2"/>
      <c r="Q264"/>
      <c r="R264"/>
      <c r="S264"/>
      <c r="T264"/>
      <c r="U264"/>
    </row>
    <row r="265" spans="10:21" s="1" customFormat="1" x14ac:dyDescent="0.2">
      <c r="J265"/>
      <c r="K265"/>
      <c r="L265"/>
      <c r="M265" s="2"/>
      <c r="Q265"/>
      <c r="R265"/>
      <c r="S265"/>
      <c r="T265"/>
      <c r="U265"/>
    </row>
    <row r="266" spans="10:21" s="1" customFormat="1" x14ac:dyDescent="0.2">
      <c r="J266"/>
      <c r="K266"/>
      <c r="L266"/>
      <c r="M266" s="2"/>
      <c r="Q266"/>
      <c r="R266"/>
      <c r="S266"/>
      <c r="T266"/>
      <c r="U266"/>
    </row>
    <row r="267" spans="10:21" s="1" customFormat="1" x14ac:dyDescent="0.2">
      <c r="J267"/>
      <c r="K267"/>
      <c r="L267"/>
      <c r="M267" s="2"/>
      <c r="Q267"/>
      <c r="R267"/>
      <c r="S267"/>
      <c r="T267"/>
      <c r="U267"/>
    </row>
    <row r="268" spans="10:21" s="1" customFormat="1" x14ac:dyDescent="0.2">
      <c r="J268"/>
      <c r="K268"/>
      <c r="L268"/>
      <c r="M268" s="2"/>
      <c r="Q268"/>
      <c r="R268"/>
      <c r="S268"/>
      <c r="T268"/>
      <c r="U268"/>
    </row>
    <row r="269" spans="10:21" s="1" customFormat="1" x14ac:dyDescent="0.2">
      <c r="J269"/>
      <c r="K269"/>
      <c r="L269"/>
      <c r="M269" s="2"/>
      <c r="Q269"/>
      <c r="R269"/>
      <c r="S269"/>
      <c r="T269"/>
      <c r="U269"/>
    </row>
    <row r="270" spans="10:21" s="1" customFormat="1" x14ac:dyDescent="0.2">
      <c r="J270"/>
      <c r="K270"/>
      <c r="L270"/>
      <c r="M270" s="2"/>
      <c r="Q270"/>
      <c r="R270"/>
      <c r="S270"/>
      <c r="T270"/>
      <c r="U270"/>
    </row>
    <row r="271" spans="10:21" s="1" customFormat="1" x14ac:dyDescent="0.2">
      <c r="J271"/>
      <c r="K271"/>
      <c r="L271"/>
      <c r="M271" s="2"/>
      <c r="Q271"/>
      <c r="R271"/>
      <c r="S271"/>
      <c r="T271"/>
      <c r="U271"/>
    </row>
    <row r="272" spans="10:21" s="1" customFormat="1" x14ac:dyDescent="0.2">
      <c r="J272"/>
      <c r="K272"/>
      <c r="L272"/>
      <c r="M272" s="2"/>
      <c r="Q272"/>
      <c r="R272"/>
      <c r="S272"/>
      <c r="T272"/>
      <c r="U272"/>
    </row>
    <row r="273" spans="10:21" s="1" customFormat="1" x14ac:dyDescent="0.2">
      <c r="J273"/>
      <c r="K273"/>
      <c r="L273"/>
      <c r="M273" s="2"/>
      <c r="Q273"/>
      <c r="R273"/>
      <c r="S273"/>
      <c r="T273"/>
      <c r="U273"/>
    </row>
    <row r="274" spans="10:21" s="1" customFormat="1" x14ac:dyDescent="0.2">
      <c r="J274"/>
      <c r="K274"/>
      <c r="L274"/>
      <c r="M274" s="2"/>
      <c r="Q274"/>
      <c r="R274"/>
      <c r="S274"/>
      <c r="T274"/>
      <c r="U274"/>
    </row>
    <row r="275" spans="10:21" s="1" customFormat="1" x14ac:dyDescent="0.2">
      <c r="J275"/>
      <c r="K275"/>
      <c r="L275"/>
      <c r="M275" s="2"/>
      <c r="Q275"/>
      <c r="R275"/>
      <c r="S275"/>
      <c r="T275"/>
      <c r="U275"/>
    </row>
    <row r="276" spans="10:21" s="1" customFormat="1" x14ac:dyDescent="0.2">
      <c r="J276"/>
      <c r="K276"/>
      <c r="L276"/>
      <c r="M276" s="2"/>
      <c r="Q276"/>
      <c r="R276"/>
      <c r="S276"/>
      <c r="T276"/>
      <c r="U276"/>
    </row>
    <row r="277" spans="10:21" s="1" customFormat="1" x14ac:dyDescent="0.2">
      <c r="J277"/>
      <c r="K277"/>
      <c r="L277"/>
      <c r="M277" s="2"/>
      <c r="Q277"/>
      <c r="R277"/>
      <c r="S277"/>
      <c r="T277"/>
      <c r="U277"/>
    </row>
    <row r="278" spans="10:21" s="1" customFormat="1" x14ac:dyDescent="0.2">
      <c r="J278"/>
      <c r="K278"/>
      <c r="L278"/>
      <c r="M278" s="2"/>
      <c r="Q278"/>
      <c r="R278"/>
      <c r="S278"/>
      <c r="T278"/>
      <c r="U278"/>
    </row>
    <row r="279" spans="10:21" s="1" customFormat="1" x14ac:dyDescent="0.2">
      <c r="J279"/>
      <c r="K279"/>
      <c r="L279"/>
      <c r="M279" s="2"/>
      <c r="Q279"/>
      <c r="R279"/>
      <c r="S279"/>
      <c r="T279"/>
      <c r="U279"/>
    </row>
    <row r="280" spans="10:21" s="1" customFormat="1" x14ac:dyDescent="0.2">
      <c r="J280"/>
      <c r="K280"/>
      <c r="L280"/>
      <c r="M280" s="2"/>
      <c r="Q280"/>
      <c r="R280"/>
      <c r="S280"/>
      <c r="T280"/>
      <c r="U280"/>
    </row>
    <row r="281" spans="10:21" s="1" customFormat="1" x14ac:dyDescent="0.2">
      <c r="J281"/>
      <c r="K281"/>
      <c r="L281"/>
      <c r="M281" s="2"/>
      <c r="Q281"/>
      <c r="R281"/>
      <c r="S281"/>
      <c r="T281"/>
      <c r="U281"/>
    </row>
    <row r="282" spans="10:21" s="1" customFormat="1" x14ac:dyDescent="0.2">
      <c r="J282"/>
      <c r="K282"/>
      <c r="L282"/>
      <c r="M282" s="2"/>
      <c r="Q282"/>
      <c r="R282"/>
      <c r="S282"/>
      <c r="T282"/>
      <c r="U282"/>
    </row>
    <row r="283" spans="10:21" s="1" customFormat="1" x14ac:dyDescent="0.2">
      <c r="J283"/>
      <c r="K283"/>
      <c r="L283"/>
      <c r="M283" s="2"/>
      <c r="Q283"/>
      <c r="R283"/>
      <c r="S283"/>
      <c r="T283"/>
      <c r="U283"/>
    </row>
    <row r="284" spans="10:21" s="1" customFormat="1" x14ac:dyDescent="0.2">
      <c r="J284"/>
      <c r="K284"/>
      <c r="L284"/>
      <c r="M284" s="2"/>
      <c r="Q284"/>
      <c r="R284"/>
      <c r="S284"/>
      <c r="T284"/>
      <c r="U284"/>
    </row>
    <row r="285" spans="10:21" s="1" customFormat="1" x14ac:dyDescent="0.2">
      <c r="J285"/>
      <c r="K285"/>
      <c r="L285"/>
      <c r="M285" s="2"/>
      <c r="Q285"/>
      <c r="R285"/>
      <c r="S285"/>
      <c r="T285"/>
      <c r="U285"/>
    </row>
    <row r="286" spans="10:21" s="1" customFormat="1" x14ac:dyDescent="0.2">
      <c r="J286"/>
      <c r="K286"/>
      <c r="L286"/>
      <c r="M286" s="2"/>
      <c r="Q286"/>
      <c r="R286"/>
      <c r="S286"/>
      <c r="T286"/>
      <c r="U286"/>
    </row>
    <row r="287" spans="10:21" s="1" customFormat="1" x14ac:dyDescent="0.2">
      <c r="J287"/>
      <c r="K287"/>
      <c r="L287"/>
      <c r="M287" s="2"/>
      <c r="Q287"/>
      <c r="R287"/>
      <c r="S287"/>
      <c r="T287"/>
      <c r="U287"/>
    </row>
    <row r="288" spans="10:21" s="1" customFormat="1" x14ac:dyDescent="0.2">
      <c r="J288"/>
      <c r="K288"/>
      <c r="L288"/>
      <c r="M288" s="2"/>
      <c r="Q288"/>
      <c r="R288"/>
      <c r="S288"/>
      <c r="T288"/>
      <c r="U288"/>
    </row>
    <row r="289" spans="10:21" s="1" customFormat="1" x14ac:dyDescent="0.2">
      <c r="J289"/>
      <c r="K289"/>
      <c r="L289"/>
      <c r="M289" s="2"/>
      <c r="Q289"/>
      <c r="R289"/>
      <c r="S289"/>
      <c r="T289"/>
      <c r="U289"/>
    </row>
    <row r="290" spans="10:21" s="1" customFormat="1" x14ac:dyDescent="0.2">
      <c r="J290"/>
      <c r="K290"/>
      <c r="L290"/>
      <c r="M290" s="2"/>
      <c r="Q290"/>
      <c r="R290"/>
      <c r="S290"/>
      <c r="T290"/>
      <c r="U290"/>
    </row>
    <row r="291" spans="10:21" s="1" customFormat="1" x14ac:dyDescent="0.2">
      <c r="J291"/>
      <c r="K291"/>
      <c r="L291"/>
      <c r="M291" s="2"/>
      <c r="Q291"/>
      <c r="R291"/>
      <c r="S291"/>
      <c r="T291"/>
      <c r="U291"/>
    </row>
    <row r="292" spans="10:21" s="1" customFormat="1" x14ac:dyDescent="0.2">
      <c r="J292"/>
      <c r="K292"/>
      <c r="L292"/>
      <c r="M292" s="2"/>
      <c r="Q292"/>
      <c r="R292"/>
      <c r="S292"/>
      <c r="T292"/>
      <c r="U292"/>
    </row>
    <row r="293" spans="10:21" s="1" customFormat="1" x14ac:dyDescent="0.2">
      <c r="J293"/>
      <c r="K293"/>
      <c r="L293"/>
      <c r="M293" s="2"/>
      <c r="Q293"/>
      <c r="R293"/>
      <c r="S293"/>
      <c r="T293"/>
      <c r="U293"/>
    </row>
    <row r="294" spans="10:21" s="1" customFormat="1" x14ac:dyDescent="0.2">
      <c r="J294"/>
      <c r="K294"/>
      <c r="L294"/>
      <c r="M294" s="2"/>
      <c r="Q294"/>
      <c r="R294"/>
      <c r="S294"/>
      <c r="T294"/>
      <c r="U294"/>
    </row>
    <row r="295" spans="10:21" s="1" customFormat="1" x14ac:dyDescent="0.2">
      <c r="J295"/>
      <c r="K295"/>
      <c r="L295"/>
      <c r="M295" s="2"/>
      <c r="Q295"/>
      <c r="R295"/>
      <c r="S295"/>
      <c r="T295"/>
      <c r="U295"/>
    </row>
    <row r="296" spans="10:21" s="1" customFormat="1" x14ac:dyDescent="0.2">
      <c r="J296"/>
      <c r="K296"/>
      <c r="L296"/>
      <c r="M296" s="2"/>
      <c r="Q296"/>
      <c r="R296"/>
      <c r="S296"/>
      <c r="T296"/>
      <c r="U296"/>
    </row>
    <row r="297" spans="10:21" s="1" customFormat="1" x14ac:dyDescent="0.2">
      <c r="J297"/>
      <c r="K297"/>
      <c r="L297"/>
      <c r="M297" s="2"/>
      <c r="Q297"/>
      <c r="R297"/>
      <c r="S297"/>
      <c r="T297"/>
      <c r="U297"/>
    </row>
    <row r="298" spans="10:21" s="1" customFormat="1" x14ac:dyDescent="0.2">
      <c r="J298"/>
      <c r="K298"/>
      <c r="L298"/>
      <c r="M298" s="2"/>
      <c r="Q298"/>
      <c r="R298"/>
      <c r="S298"/>
      <c r="T298"/>
      <c r="U298"/>
    </row>
    <row r="299" spans="10:21" s="1" customFormat="1" x14ac:dyDescent="0.2">
      <c r="J299"/>
      <c r="K299"/>
      <c r="L299"/>
      <c r="M299" s="2"/>
      <c r="Q299"/>
      <c r="R299"/>
      <c r="S299"/>
      <c r="T299"/>
      <c r="U299"/>
    </row>
    <row r="300" spans="10:21" s="1" customFormat="1" x14ac:dyDescent="0.2">
      <c r="J300"/>
      <c r="K300"/>
      <c r="L300"/>
      <c r="M300" s="2"/>
      <c r="Q300"/>
      <c r="R300"/>
      <c r="S300"/>
      <c r="T300"/>
      <c r="U300"/>
    </row>
    <row r="301" spans="10:21" s="1" customFormat="1" x14ac:dyDescent="0.2">
      <c r="J301"/>
      <c r="K301"/>
      <c r="L301"/>
      <c r="M301" s="2"/>
      <c r="Q301"/>
      <c r="R301"/>
      <c r="S301"/>
      <c r="T301"/>
      <c r="U301"/>
    </row>
    <row r="302" spans="10:21" s="1" customFormat="1" x14ac:dyDescent="0.2">
      <c r="J302"/>
      <c r="K302"/>
      <c r="L302"/>
      <c r="M302" s="2"/>
      <c r="Q302"/>
      <c r="R302"/>
      <c r="S302"/>
      <c r="T302"/>
      <c r="U302"/>
    </row>
    <row r="303" spans="10:21" s="1" customFormat="1" x14ac:dyDescent="0.2">
      <c r="J303"/>
      <c r="K303"/>
      <c r="L303"/>
      <c r="M303" s="2"/>
      <c r="Q303"/>
      <c r="R303"/>
      <c r="S303"/>
      <c r="T303"/>
      <c r="U303"/>
    </row>
    <row r="304" spans="10:21" s="1" customFormat="1" x14ac:dyDescent="0.2">
      <c r="J304"/>
      <c r="K304"/>
      <c r="L304"/>
      <c r="M304" s="2"/>
      <c r="Q304"/>
      <c r="R304"/>
      <c r="S304"/>
      <c r="T304"/>
      <c r="U304"/>
    </row>
    <row r="305" spans="10:21" s="1" customFormat="1" x14ac:dyDescent="0.2">
      <c r="J305"/>
      <c r="K305"/>
      <c r="L305"/>
      <c r="M305" s="2"/>
      <c r="Q305"/>
      <c r="R305"/>
      <c r="S305"/>
      <c r="T305"/>
      <c r="U305"/>
    </row>
    <row r="306" spans="10:21" s="1" customFormat="1" x14ac:dyDescent="0.2">
      <c r="J306"/>
      <c r="K306"/>
      <c r="L306"/>
      <c r="M306" s="2"/>
      <c r="Q306"/>
      <c r="R306"/>
      <c r="S306"/>
      <c r="T306"/>
      <c r="U306"/>
    </row>
    <row r="307" spans="10:21" s="1" customFormat="1" x14ac:dyDescent="0.2">
      <c r="J307"/>
      <c r="K307"/>
      <c r="L307"/>
      <c r="M307" s="2"/>
      <c r="Q307"/>
      <c r="R307"/>
      <c r="S307"/>
      <c r="T307"/>
      <c r="U307"/>
    </row>
    <row r="308" spans="10:21" s="1" customFormat="1" x14ac:dyDescent="0.2">
      <c r="J308"/>
      <c r="K308"/>
      <c r="L308"/>
      <c r="M308" s="2"/>
      <c r="Q308"/>
      <c r="R308"/>
      <c r="S308"/>
      <c r="T308"/>
      <c r="U308"/>
    </row>
    <row r="309" spans="10:21" s="1" customFormat="1" x14ac:dyDescent="0.2">
      <c r="J309"/>
      <c r="K309"/>
      <c r="L309"/>
      <c r="M309" s="2"/>
      <c r="Q309"/>
      <c r="R309"/>
      <c r="S309"/>
      <c r="T309"/>
      <c r="U309"/>
    </row>
    <row r="310" spans="10:21" s="1" customFormat="1" x14ac:dyDescent="0.2">
      <c r="J310"/>
      <c r="K310"/>
      <c r="L310"/>
      <c r="M310" s="2"/>
      <c r="Q310"/>
      <c r="R310"/>
      <c r="S310"/>
      <c r="T310"/>
      <c r="U310"/>
    </row>
    <row r="311" spans="10:21" s="1" customFormat="1" x14ac:dyDescent="0.2">
      <c r="J311"/>
      <c r="K311"/>
      <c r="L311"/>
      <c r="M311" s="2"/>
      <c r="Q311"/>
      <c r="R311"/>
      <c r="S311"/>
      <c r="T311"/>
      <c r="U311"/>
    </row>
    <row r="312" spans="10:21" s="1" customFormat="1" x14ac:dyDescent="0.2">
      <c r="J312"/>
      <c r="K312"/>
      <c r="L312"/>
      <c r="M312" s="2"/>
      <c r="Q312"/>
      <c r="R312"/>
      <c r="S312"/>
      <c r="T312"/>
      <c r="U312"/>
    </row>
    <row r="313" spans="10:21" s="1" customFormat="1" x14ac:dyDescent="0.2">
      <c r="J313"/>
      <c r="K313"/>
      <c r="L313"/>
      <c r="M313" s="2"/>
      <c r="Q313"/>
      <c r="R313"/>
      <c r="S313"/>
      <c r="T313"/>
      <c r="U313"/>
    </row>
    <row r="314" spans="10:21" s="1" customFormat="1" x14ac:dyDescent="0.2">
      <c r="J314"/>
      <c r="K314"/>
      <c r="L314"/>
      <c r="M314" s="2"/>
      <c r="Q314"/>
      <c r="R314"/>
      <c r="S314"/>
      <c r="T314"/>
      <c r="U314"/>
    </row>
    <row r="315" spans="10:21" s="1" customFormat="1" x14ac:dyDescent="0.2">
      <c r="J315"/>
      <c r="K315"/>
      <c r="L315"/>
      <c r="M315" s="2"/>
      <c r="Q315"/>
      <c r="R315"/>
      <c r="S315"/>
      <c r="T315"/>
      <c r="U315"/>
    </row>
    <row r="316" spans="10:21" s="1" customFormat="1" x14ac:dyDescent="0.2">
      <c r="J316"/>
      <c r="K316"/>
      <c r="L316"/>
      <c r="M316" s="2"/>
      <c r="Q316"/>
      <c r="R316"/>
      <c r="S316"/>
      <c r="T316"/>
      <c r="U316"/>
    </row>
    <row r="317" spans="10:21" s="1" customFormat="1" x14ac:dyDescent="0.2">
      <c r="J317"/>
      <c r="K317"/>
      <c r="L317"/>
      <c r="M317" s="2"/>
      <c r="Q317"/>
      <c r="R317"/>
      <c r="S317"/>
      <c r="T317"/>
      <c r="U317"/>
    </row>
    <row r="318" spans="10:21" s="1" customFormat="1" x14ac:dyDescent="0.2">
      <c r="J318"/>
      <c r="K318"/>
      <c r="L318"/>
      <c r="M318" s="2"/>
      <c r="Q318"/>
      <c r="R318"/>
      <c r="S318"/>
      <c r="T318"/>
      <c r="U318"/>
    </row>
    <row r="319" spans="10:21" s="1" customFormat="1" x14ac:dyDescent="0.2">
      <c r="J319"/>
      <c r="K319"/>
      <c r="L319"/>
      <c r="M319" s="2"/>
      <c r="Q319"/>
      <c r="R319"/>
      <c r="S319"/>
      <c r="T319"/>
      <c r="U319"/>
    </row>
    <row r="320" spans="10:21" s="1" customFormat="1" x14ac:dyDescent="0.2">
      <c r="J320"/>
      <c r="K320"/>
      <c r="L320"/>
      <c r="M320" s="2"/>
      <c r="Q320"/>
      <c r="R320"/>
      <c r="S320"/>
      <c r="T320"/>
      <c r="U320"/>
    </row>
    <row r="321" spans="10:21" s="1" customFormat="1" x14ac:dyDescent="0.2">
      <c r="J321"/>
      <c r="K321"/>
      <c r="L321"/>
      <c r="M321" s="2"/>
      <c r="Q321"/>
      <c r="R321"/>
      <c r="S321"/>
      <c r="T321"/>
      <c r="U321"/>
    </row>
    <row r="322" spans="10:21" s="1" customFormat="1" x14ac:dyDescent="0.2">
      <c r="J322"/>
      <c r="K322"/>
      <c r="L322"/>
      <c r="M322" s="2"/>
      <c r="Q322"/>
      <c r="R322"/>
      <c r="S322"/>
      <c r="T322"/>
      <c r="U322"/>
    </row>
    <row r="323" spans="10:21" s="1" customFormat="1" x14ac:dyDescent="0.2">
      <c r="J323"/>
      <c r="K323"/>
      <c r="L323"/>
      <c r="M323" s="2"/>
      <c r="Q323"/>
      <c r="R323"/>
      <c r="S323"/>
      <c r="T323"/>
      <c r="U323"/>
    </row>
    <row r="324" spans="10:21" s="1" customFormat="1" x14ac:dyDescent="0.2">
      <c r="J324"/>
      <c r="K324"/>
      <c r="L324"/>
      <c r="M324" s="2"/>
      <c r="Q324"/>
      <c r="R324"/>
      <c r="S324"/>
      <c r="T324"/>
      <c r="U324"/>
    </row>
    <row r="325" spans="10:21" s="1" customFormat="1" x14ac:dyDescent="0.2">
      <c r="J325"/>
      <c r="K325"/>
      <c r="L325"/>
      <c r="M325" s="2"/>
      <c r="Q325"/>
      <c r="R325"/>
      <c r="S325"/>
      <c r="T325"/>
      <c r="U325"/>
    </row>
    <row r="326" spans="10:21" s="1" customFormat="1" x14ac:dyDescent="0.2">
      <c r="J326"/>
      <c r="K326"/>
      <c r="L326"/>
      <c r="M326" s="2"/>
      <c r="Q326"/>
      <c r="R326"/>
      <c r="S326"/>
      <c r="T326"/>
      <c r="U326"/>
    </row>
    <row r="327" spans="10:21" s="1" customFormat="1" x14ac:dyDescent="0.2">
      <c r="J327"/>
      <c r="K327"/>
      <c r="L327"/>
      <c r="M327" s="2"/>
      <c r="Q327"/>
      <c r="R327"/>
      <c r="S327"/>
      <c r="T327"/>
      <c r="U327"/>
    </row>
    <row r="328" spans="10:21" s="1" customFormat="1" x14ac:dyDescent="0.2">
      <c r="J328"/>
      <c r="K328"/>
      <c r="L328"/>
      <c r="M328" s="2"/>
      <c r="Q328"/>
      <c r="R328"/>
      <c r="S328"/>
      <c r="T328"/>
      <c r="U328"/>
    </row>
    <row r="329" spans="10:21" s="1" customFormat="1" x14ac:dyDescent="0.2">
      <c r="J329"/>
      <c r="K329"/>
      <c r="L329"/>
      <c r="M329" s="2"/>
      <c r="Q329"/>
      <c r="R329"/>
      <c r="S329"/>
      <c r="T329"/>
      <c r="U329"/>
    </row>
    <row r="330" spans="10:21" s="1" customFormat="1" x14ac:dyDescent="0.2">
      <c r="J330"/>
      <c r="K330"/>
      <c r="L330"/>
      <c r="M330" s="2"/>
      <c r="Q330"/>
      <c r="R330"/>
      <c r="S330"/>
      <c r="T330"/>
      <c r="U330"/>
    </row>
    <row r="331" spans="10:21" s="1" customFormat="1" x14ac:dyDescent="0.2">
      <c r="J331"/>
      <c r="K331"/>
      <c r="L331"/>
      <c r="M331" s="2"/>
      <c r="Q331"/>
      <c r="R331"/>
      <c r="S331"/>
      <c r="T331"/>
      <c r="U331"/>
    </row>
    <row r="332" spans="10:21" s="1" customFormat="1" x14ac:dyDescent="0.2">
      <c r="J332"/>
      <c r="K332"/>
      <c r="L332"/>
      <c r="M332" s="2"/>
      <c r="Q332"/>
      <c r="R332"/>
      <c r="S332"/>
      <c r="T332"/>
      <c r="U332"/>
    </row>
    <row r="333" spans="10:21" s="1" customFormat="1" x14ac:dyDescent="0.2">
      <c r="J333"/>
      <c r="K333"/>
      <c r="L333"/>
      <c r="M333" s="2"/>
      <c r="Q333"/>
      <c r="R333"/>
      <c r="S333"/>
      <c r="T333"/>
      <c r="U333"/>
    </row>
    <row r="334" spans="10:21" s="1" customFormat="1" x14ac:dyDescent="0.2">
      <c r="J334"/>
      <c r="K334"/>
      <c r="L334"/>
      <c r="M334" s="2"/>
      <c r="Q334"/>
      <c r="R334"/>
      <c r="S334"/>
      <c r="T334"/>
      <c r="U334"/>
    </row>
    <row r="335" spans="10:21" s="1" customFormat="1" x14ac:dyDescent="0.2">
      <c r="J335"/>
      <c r="K335"/>
      <c r="L335"/>
      <c r="M335" s="2"/>
      <c r="Q335"/>
      <c r="R335"/>
      <c r="S335"/>
      <c r="T335"/>
      <c r="U335"/>
    </row>
    <row r="336" spans="10:21" s="1" customFormat="1" x14ac:dyDescent="0.2">
      <c r="J336"/>
      <c r="K336"/>
      <c r="L336"/>
      <c r="M336" s="2"/>
      <c r="Q336"/>
      <c r="R336"/>
      <c r="S336"/>
      <c r="T336"/>
      <c r="U336"/>
    </row>
    <row r="337" spans="10:21" s="1" customFormat="1" x14ac:dyDescent="0.2">
      <c r="J337"/>
      <c r="K337"/>
      <c r="L337"/>
      <c r="M337" s="2"/>
      <c r="Q337"/>
      <c r="R337"/>
      <c r="S337"/>
      <c r="T337"/>
      <c r="U337"/>
    </row>
    <row r="338" spans="10:21" s="1" customFormat="1" x14ac:dyDescent="0.2">
      <c r="J338"/>
      <c r="K338"/>
      <c r="L338"/>
      <c r="M338" s="2"/>
      <c r="Q338"/>
      <c r="R338"/>
      <c r="S338"/>
      <c r="T338"/>
      <c r="U338"/>
    </row>
    <row r="339" spans="10:21" s="1" customFormat="1" x14ac:dyDescent="0.2">
      <c r="J339"/>
      <c r="K339"/>
      <c r="L339"/>
      <c r="M339" s="2"/>
      <c r="Q339"/>
      <c r="R339"/>
      <c r="S339"/>
      <c r="T339"/>
      <c r="U339"/>
    </row>
    <row r="340" spans="10:21" s="1" customFormat="1" x14ac:dyDescent="0.2">
      <c r="J340"/>
      <c r="K340"/>
      <c r="L340"/>
      <c r="M340" s="2"/>
      <c r="Q340"/>
      <c r="R340"/>
      <c r="S340"/>
      <c r="T340"/>
      <c r="U340"/>
    </row>
    <row r="341" spans="10:21" s="1" customFormat="1" x14ac:dyDescent="0.2">
      <c r="J341"/>
      <c r="K341"/>
      <c r="L341"/>
      <c r="M341" s="2"/>
      <c r="Q341"/>
      <c r="R341"/>
      <c r="S341"/>
      <c r="T341"/>
      <c r="U341"/>
    </row>
    <row r="342" spans="10:21" s="1" customFormat="1" x14ac:dyDescent="0.2">
      <c r="J342"/>
      <c r="K342"/>
      <c r="L342"/>
      <c r="M342" s="2"/>
      <c r="Q342"/>
      <c r="R342"/>
      <c r="S342"/>
      <c r="T342"/>
      <c r="U342"/>
    </row>
    <row r="343" spans="10:21" s="1" customFormat="1" x14ac:dyDescent="0.2">
      <c r="J343"/>
      <c r="K343"/>
      <c r="L343"/>
      <c r="M343" s="2"/>
      <c r="Q343"/>
      <c r="R343"/>
      <c r="S343"/>
      <c r="T343"/>
      <c r="U343"/>
    </row>
    <row r="344" spans="10:21" s="1" customFormat="1" x14ac:dyDescent="0.2">
      <c r="J344"/>
      <c r="K344"/>
      <c r="L344"/>
      <c r="M344" s="2"/>
      <c r="Q344"/>
      <c r="R344"/>
      <c r="S344"/>
      <c r="T344"/>
      <c r="U344"/>
    </row>
    <row r="345" spans="10:21" s="1" customFormat="1" x14ac:dyDescent="0.2">
      <c r="J345"/>
      <c r="K345"/>
      <c r="L345"/>
      <c r="M345" s="2"/>
      <c r="Q345"/>
      <c r="R345"/>
      <c r="S345"/>
      <c r="T345"/>
      <c r="U345"/>
    </row>
    <row r="346" spans="10:21" s="1" customFormat="1" x14ac:dyDescent="0.2">
      <c r="J346"/>
      <c r="K346"/>
      <c r="L346"/>
      <c r="M346" s="2"/>
      <c r="Q346"/>
      <c r="R346"/>
      <c r="S346"/>
      <c r="T346"/>
      <c r="U346"/>
    </row>
    <row r="347" spans="10:21" s="1" customFormat="1" x14ac:dyDescent="0.2">
      <c r="J347"/>
      <c r="K347"/>
      <c r="L347"/>
      <c r="M347" s="2"/>
      <c r="Q347"/>
      <c r="R347"/>
      <c r="S347"/>
      <c r="T347"/>
      <c r="U347"/>
    </row>
    <row r="348" spans="10:21" s="1" customFormat="1" x14ac:dyDescent="0.2">
      <c r="J348"/>
      <c r="K348"/>
      <c r="L348"/>
      <c r="M348" s="2"/>
      <c r="Q348"/>
      <c r="R348"/>
      <c r="S348"/>
      <c r="T348"/>
      <c r="U348"/>
    </row>
    <row r="349" spans="10:21" s="1" customFormat="1" x14ac:dyDescent="0.2">
      <c r="J349"/>
      <c r="K349"/>
      <c r="L349"/>
      <c r="M349" s="2"/>
      <c r="Q349"/>
      <c r="R349"/>
      <c r="S349"/>
      <c r="T349"/>
      <c r="U349"/>
    </row>
    <row r="350" spans="10:21" s="1" customFormat="1" x14ac:dyDescent="0.2">
      <c r="J350"/>
      <c r="K350"/>
      <c r="L350"/>
      <c r="M350" s="2"/>
      <c r="Q350"/>
      <c r="R350"/>
      <c r="S350"/>
      <c r="T350"/>
      <c r="U350"/>
    </row>
    <row r="351" spans="10:21" s="1" customFormat="1" x14ac:dyDescent="0.2">
      <c r="J351"/>
      <c r="K351"/>
      <c r="L351"/>
      <c r="M351" s="2"/>
      <c r="Q351"/>
      <c r="R351"/>
      <c r="S351"/>
      <c r="T351"/>
      <c r="U351"/>
    </row>
    <row r="352" spans="10:21" s="1" customFormat="1" x14ac:dyDescent="0.2">
      <c r="J352"/>
      <c r="K352"/>
      <c r="L352"/>
      <c r="M352" s="2"/>
      <c r="Q352"/>
      <c r="R352"/>
      <c r="S352"/>
      <c r="T352"/>
      <c r="U352"/>
    </row>
    <row r="353" spans="10:21" s="1" customFormat="1" x14ac:dyDescent="0.2">
      <c r="J353"/>
      <c r="K353"/>
      <c r="L353"/>
      <c r="M353" s="2"/>
      <c r="Q353"/>
      <c r="R353"/>
      <c r="S353"/>
      <c r="T353"/>
      <c r="U353"/>
    </row>
    <row r="354" spans="10:21" s="1" customFormat="1" x14ac:dyDescent="0.2">
      <c r="J354"/>
      <c r="K354"/>
      <c r="L354"/>
      <c r="M354" s="2"/>
      <c r="Q354"/>
      <c r="R354"/>
      <c r="S354"/>
      <c r="T354"/>
      <c r="U354"/>
    </row>
    <row r="355" spans="10:21" s="1" customFormat="1" x14ac:dyDescent="0.2">
      <c r="J355"/>
      <c r="K355"/>
      <c r="L355"/>
      <c r="M355" s="2"/>
      <c r="Q355"/>
      <c r="R355"/>
      <c r="S355"/>
      <c r="T355"/>
      <c r="U355"/>
    </row>
    <row r="356" spans="10:21" s="1" customFormat="1" x14ac:dyDescent="0.2">
      <c r="J356"/>
      <c r="K356"/>
      <c r="L356"/>
      <c r="M356" s="2"/>
      <c r="Q356"/>
      <c r="R356"/>
      <c r="S356"/>
      <c r="T356"/>
      <c r="U356"/>
    </row>
    <row r="357" spans="10:21" s="1" customFormat="1" x14ac:dyDescent="0.2">
      <c r="J357"/>
      <c r="K357"/>
      <c r="L357"/>
      <c r="M357" s="2"/>
      <c r="Q357"/>
      <c r="R357"/>
      <c r="S357"/>
      <c r="T357"/>
      <c r="U357"/>
    </row>
    <row r="358" spans="10:21" s="1" customFormat="1" x14ac:dyDescent="0.2">
      <c r="J358"/>
      <c r="K358"/>
      <c r="L358"/>
      <c r="M358" s="2"/>
      <c r="Q358"/>
      <c r="R358"/>
      <c r="S358"/>
      <c r="T358"/>
      <c r="U358"/>
    </row>
    <row r="359" spans="10:21" s="1" customFormat="1" x14ac:dyDescent="0.2">
      <c r="J359"/>
      <c r="K359"/>
      <c r="L359"/>
      <c r="M359" s="2"/>
      <c r="Q359"/>
      <c r="R359"/>
      <c r="S359"/>
      <c r="T359"/>
      <c r="U359"/>
    </row>
    <row r="360" spans="10:21" s="1" customFormat="1" x14ac:dyDescent="0.2">
      <c r="J360"/>
      <c r="K360"/>
      <c r="L360"/>
      <c r="M360" s="2"/>
      <c r="Q360"/>
      <c r="R360"/>
      <c r="S360"/>
      <c r="T360"/>
      <c r="U360"/>
    </row>
    <row r="361" spans="10:21" s="1" customFormat="1" x14ac:dyDescent="0.2">
      <c r="J361"/>
      <c r="K361"/>
      <c r="L361"/>
      <c r="M361" s="2"/>
      <c r="Q361"/>
      <c r="R361"/>
      <c r="S361"/>
      <c r="T361"/>
      <c r="U361"/>
    </row>
    <row r="362" spans="10:21" s="1" customFormat="1" x14ac:dyDescent="0.2">
      <c r="J362"/>
      <c r="K362"/>
      <c r="L362"/>
      <c r="M362" s="2"/>
      <c r="Q362"/>
      <c r="R362"/>
      <c r="S362"/>
      <c r="T362"/>
      <c r="U362"/>
    </row>
    <row r="363" spans="10:21" s="1" customFormat="1" x14ac:dyDescent="0.2">
      <c r="J363"/>
      <c r="K363"/>
      <c r="L363"/>
      <c r="M363" s="2"/>
      <c r="Q363"/>
      <c r="R363"/>
      <c r="S363"/>
      <c r="T363"/>
      <c r="U363"/>
    </row>
    <row r="364" spans="10:21" s="1" customFormat="1" x14ac:dyDescent="0.2">
      <c r="J364"/>
      <c r="K364"/>
      <c r="L364"/>
      <c r="M364" s="2"/>
      <c r="Q364"/>
      <c r="R364"/>
      <c r="S364"/>
      <c r="T364"/>
      <c r="U364"/>
    </row>
    <row r="365" spans="10:21" s="1" customFormat="1" x14ac:dyDescent="0.2">
      <c r="J365"/>
      <c r="K365"/>
      <c r="L365"/>
      <c r="M365" s="2"/>
      <c r="Q365"/>
      <c r="R365"/>
      <c r="S365"/>
      <c r="T365"/>
      <c r="U365"/>
    </row>
    <row r="366" spans="10:21" s="1" customFormat="1" x14ac:dyDescent="0.2">
      <c r="J366"/>
      <c r="K366"/>
      <c r="L366"/>
      <c r="M366" s="2"/>
      <c r="Q366"/>
      <c r="R366"/>
      <c r="S366"/>
      <c r="T366"/>
      <c r="U366"/>
    </row>
    <row r="367" spans="10:21" s="1" customFormat="1" x14ac:dyDescent="0.2">
      <c r="J367"/>
      <c r="K367"/>
      <c r="L367"/>
      <c r="M367" s="2"/>
      <c r="Q367"/>
      <c r="R367"/>
      <c r="S367"/>
      <c r="T367"/>
      <c r="U367"/>
    </row>
    <row r="368" spans="10:21" s="1" customFormat="1" x14ac:dyDescent="0.2">
      <c r="J368"/>
      <c r="K368"/>
      <c r="L368"/>
      <c r="M368" s="2"/>
      <c r="Q368"/>
      <c r="R368"/>
      <c r="S368"/>
      <c r="T368"/>
      <c r="U368"/>
    </row>
    <row r="369" spans="10:21" s="1" customFormat="1" x14ac:dyDescent="0.2">
      <c r="J369"/>
      <c r="K369"/>
      <c r="L369"/>
      <c r="M369" s="2"/>
      <c r="Q369"/>
      <c r="R369"/>
      <c r="S369"/>
      <c r="T369"/>
      <c r="U369"/>
    </row>
    <row r="370" spans="10:21" s="1" customFormat="1" x14ac:dyDescent="0.2">
      <c r="J370"/>
      <c r="K370"/>
      <c r="L370"/>
      <c r="M370" s="2"/>
      <c r="Q370"/>
      <c r="R370"/>
      <c r="S370"/>
      <c r="T370"/>
      <c r="U370"/>
    </row>
    <row r="371" spans="10:21" s="1" customFormat="1" x14ac:dyDescent="0.2">
      <c r="J371"/>
      <c r="K371"/>
      <c r="L371"/>
      <c r="M371" s="2"/>
      <c r="Q371"/>
      <c r="R371"/>
      <c r="S371"/>
      <c r="T371"/>
      <c r="U371"/>
    </row>
    <row r="372" spans="10:21" s="1" customFormat="1" x14ac:dyDescent="0.2">
      <c r="J372"/>
      <c r="K372"/>
      <c r="L372"/>
      <c r="M372" s="2"/>
      <c r="Q372"/>
      <c r="R372"/>
      <c r="S372"/>
      <c r="T372"/>
      <c r="U372"/>
    </row>
    <row r="373" spans="10:21" s="1" customFormat="1" x14ac:dyDescent="0.2">
      <c r="J373"/>
      <c r="K373"/>
      <c r="L373"/>
      <c r="M373" s="2"/>
      <c r="Q373"/>
      <c r="R373"/>
      <c r="S373"/>
      <c r="T373"/>
      <c r="U373"/>
    </row>
    <row r="374" spans="10:21" s="1" customFormat="1" x14ac:dyDescent="0.2">
      <c r="J374"/>
      <c r="K374"/>
      <c r="L374"/>
      <c r="M374" s="2"/>
      <c r="Q374"/>
      <c r="R374"/>
      <c r="S374"/>
      <c r="T374"/>
      <c r="U374"/>
    </row>
    <row r="375" spans="10:21" s="1" customFormat="1" x14ac:dyDescent="0.2">
      <c r="J375"/>
      <c r="K375"/>
      <c r="L375"/>
      <c r="M375" s="2"/>
      <c r="Q375"/>
      <c r="R375"/>
      <c r="S375"/>
      <c r="T375"/>
      <c r="U375"/>
    </row>
    <row r="376" spans="10:21" s="1" customFormat="1" x14ac:dyDescent="0.2">
      <c r="J376"/>
      <c r="K376"/>
      <c r="L376"/>
      <c r="M376" s="2"/>
      <c r="Q376"/>
      <c r="R376"/>
      <c r="S376"/>
      <c r="T376"/>
      <c r="U376"/>
    </row>
    <row r="377" spans="10:21" s="1" customFormat="1" x14ac:dyDescent="0.2">
      <c r="J377"/>
      <c r="K377"/>
      <c r="L377"/>
      <c r="M377" s="2"/>
      <c r="Q377"/>
      <c r="R377"/>
      <c r="S377"/>
      <c r="T377"/>
      <c r="U377"/>
    </row>
    <row r="378" spans="10:21" s="1" customFormat="1" x14ac:dyDescent="0.2">
      <c r="J378"/>
      <c r="K378"/>
      <c r="L378"/>
      <c r="M378" s="2"/>
      <c r="Q378"/>
      <c r="R378"/>
      <c r="S378"/>
      <c r="T378"/>
      <c r="U378"/>
    </row>
    <row r="379" spans="10:21" s="1" customFormat="1" x14ac:dyDescent="0.2">
      <c r="J379"/>
      <c r="K379"/>
      <c r="L379"/>
      <c r="M379" s="2"/>
      <c r="Q379"/>
      <c r="R379"/>
      <c r="S379"/>
      <c r="T379"/>
      <c r="U379"/>
    </row>
    <row r="380" spans="10:21" s="1" customFormat="1" x14ac:dyDescent="0.2">
      <c r="J380"/>
      <c r="K380"/>
      <c r="L380"/>
      <c r="M380" s="2"/>
      <c r="Q380"/>
      <c r="R380"/>
      <c r="S380"/>
      <c r="T380"/>
      <c r="U380"/>
    </row>
    <row r="381" spans="10:21" s="1" customFormat="1" x14ac:dyDescent="0.2">
      <c r="J381"/>
      <c r="K381"/>
      <c r="L381"/>
      <c r="M381" s="2"/>
      <c r="Q381"/>
      <c r="R381"/>
      <c r="S381"/>
      <c r="T381"/>
      <c r="U381"/>
    </row>
    <row r="382" spans="10:21" s="1" customFormat="1" x14ac:dyDescent="0.2">
      <c r="J382"/>
      <c r="K382"/>
      <c r="L382"/>
      <c r="M382" s="2"/>
      <c r="Q382"/>
      <c r="R382"/>
      <c r="S382"/>
      <c r="T382"/>
      <c r="U382"/>
    </row>
    <row r="383" spans="10:21" s="1" customFormat="1" x14ac:dyDescent="0.2">
      <c r="J383"/>
      <c r="K383"/>
      <c r="L383"/>
      <c r="M383" s="2"/>
      <c r="Q383"/>
      <c r="R383"/>
      <c r="S383"/>
      <c r="T383"/>
      <c r="U383"/>
    </row>
    <row r="384" spans="10:21" s="1" customFormat="1" x14ac:dyDescent="0.2">
      <c r="J384"/>
      <c r="K384"/>
      <c r="L384"/>
      <c r="M384" s="2"/>
      <c r="Q384"/>
      <c r="R384"/>
      <c r="S384"/>
      <c r="T384"/>
      <c r="U384"/>
    </row>
    <row r="385" spans="10:21" s="1" customFormat="1" x14ac:dyDescent="0.2">
      <c r="J385"/>
      <c r="K385"/>
      <c r="L385"/>
      <c r="M385" s="2"/>
      <c r="Q385"/>
      <c r="R385"/>
      <c r="S385"/>
      <c r="T385"/>
      <c r="U385"/>
    </row>
    <row r="386" spans="10:21" s="1" customFormat="1" x14ac:dyDescent="0.2">
      <c r="J386"/>
      <c r="K386"/>
      <c r="L386"/>
      <c r="M386" s="2"/>
      <c r="Q386"/>
      <c r="R386"/>
      <c r="S386"/>
      <c r="T386"/>
      <c r="U386"/>
    </row>
    <row r="387" spans="10:21" s="1" customFormat="1" x14ac:dyDescent="0.2">
      <c r="J387"/>
      <c r="K387"/>
      <c r="L387"/>
      <c r="M387" s="2"/>
      <c r="Q387"/>
      <c r="R387"/>
      <c r="S387"/>
      <c r="T387"/>
      <c r="U387"/>
    </row>
    <row r="388" spans="10:21" s="1" customFormat="1" x14ac:dyDescent="0.2">
      <c r="J388"/>
      <c r="K388"/>
      <c r="L388"/>
      <c r="M388" s="2"/>
      <c r="Q388"/>
      <c r="R388"/>
      <c r="S388"/>
      <c r="T388"/>
      <c r="U388"/>
    </row>
    <row r="389" spans="10:21" s="1" customFormat="1" x14ac:dyDescent="0.2">
      <c r="J389"/>
      <c r="K389"/>
      <c r="L389"/>
      <c r="M389" s="2"/>
      <c r="Q389"/>
      <c r="R389"/>
      <c r="S389"/>
      <c r="T389"/>
      <c r="U389"/>
    </row>
    <row r="390" spans="10:21" s="1" customFormat="1" x14ac:dyDescent="0.2">
      <c r="J390"/>
      <c r="K390"/>
      <c r="L390"/>
      <c r="M390" s="2"/>
      <c r="Q390"/>
      <c r="R390"/>
      <c r="S390"/>
      <c r="T390"/>
      <c r="U390"/>
    </row>
    <row r="391" spans="10:21" s="1" customFormat="1" x14ac:dyDescent="0.2">
      <c r="J391"/>
      <c r="K391"/>
      <c r="L391"/>
      <c r="M391" s="2"/>
      <c r="Q391"/>
      <c r="R391"/>
      <c r="S391"/>
      <c r="T391"/>
      <c r="U391"/>
    </row>
    <row r="392" spans="10:21" s="1" customFormat="1" x14ac:dyDescent="0.2">
      <c r="J392"/>
      <c r="K392"/>
      <c r="L392"/>
      <c r="M392" s="2"/>
      <c r="Q392"/>
      <c r="R392"/>
      <c r="S392"/>
      <c r="T392"/>
      <c r="U392"/>
    </row>
    <row r="393" spans="10:21" s="1" customFormat="1" x14ac:dyDescent="0.2">
      <c r="J393"/>
      <c r="K393"/>
      <c r="L393"/>
      <c r="M393" s="2"/>
      <c r="Q393"/>
      <c r="R393"/>
      <c r="S393"/>
      <c r="T393"/>
      <c r="U393"/>
    </row>
    <row r="394" spans="10:21" s="1" customFormat="1" x14ac:dyDescent="0.2">
      <c r="J394"/>
      <c r="K394"/>
      <c r="L394"/>
      <c r="M394" s="2"/>
      <c r="Q394"/>
      <c r="R394"/>
      <c r="S394"/>
      <c r="T394"/>
      <c r="U394"/>
    </row>
    <row r="395" spans="10:21" s="1" customFormat="1" x14ac:dyDescent="0.2">
      <c r="J395"/>
      <c r="K395"/>
      <c r="L395"/>
      <c r="M395" s="2"/>
      <c r="Q395"/>
      <c r="R395"/>
      <c r="S395"/>
      <c r="T395"/>
      <c r="U395"/>
    </row>
    <row r="396" spans="10:21" s="1" customFormat="1" x14ac:dyDescent="0.2">
      <c r="J396"/>
      <c r="K396"/>
      <c r="L396"/>
      <c r="M396" s="2"/>
      <c r="Q396"/>
      <c r="R396"/>
      <c r="S396"/>
      <c r="T396"/>
      <c r="U396"/>
    </row>
    <row r="397" spans="10:21" s="1" customFormat="1" x14ac:dyDescent="0.2">
      <c r="J397"/>
      <c r="K397"/>
      <c r="L397"/>
      <c r="M397" s="2"/>
      <c r="Q397"/>
      <c r="R397"/>
      <c r="S397"/>
      <c r="T397"/>
      <c r="U397"/>
    </row>
    <row r="398" spans="10:21" s="1" customFormat="1" x14ac:dyDescent="0.2">
      <c r="J398"/>
      <c r="K398"/>
      <c r="L398"/>
      <c r="M398" s="2"/>
      <c r="Q398"/>
      <c r="R398"/>
      <c r="S398"/>
      <c r="T398"/>
      <c r="U398"/>
    </row>
    <row r="399" spans="10:21" s="1" customFormat="1" x14ac:dyDescent="0.2">
      <c r="J399"/>
      <c r="K399"/>
      <c r="L399"/>
      <c r="M399" s="2"/>
      <c r="Q399"/>
      <c r="R399"/>
      <c r="S399"/>
      <c r="T399"/>
      <c r="U399"/>
    </row>
    <row r="400" spans="10:21" s="1" customFormat="1" x14ac:dyDescent="0.2">
      <c r="J400"/>
      <c r="K400"/>
      <c r="L400"/>
      <c r="M400" s="2"/>
      <c r="Q400"/>
      <c r="R400"/>
      <c r="S400"/>
      <c r="T400"/>
      <c r="U400"/>
    </row>
    <row r="401" spans="10:21" s="1" customFormat="1" x14ac:dyDescent="0.2">
      <c r="J401"/>
      <c r="K401"/>
      <c r="L401"/>
      <c r="M401" s="2"/>
      <c r="Q401"/>
      <c r="R401"/>
      <c r="S401"/>
      <c r="T401"/>
      <c r="U401"/>
    </row>
    <row r="402" spans="10:21" s="1" customFormat="1" x14ac:dyDescent="0.2">
      <c r="J402"/>
      <c r="K402"/>
      <c r="L402"/>
      <c r="M402" s="2"/>
      <c r="Q402"/>
      <c r="R402"/>
      <c r="S402"/>
      <c r="T402"/>
      <c r="U402"/>
    </row>
    <row r="403" spans="10:21" s="1" customFormat="1" x14ac:dyDescent="0.2">
      <c r="J403"/>
      <c r="K403"/>
      <c r="L403"/>
      <c r="M403" s="2"/>
      <c r="Q403"/>
      <c r="R403"/>
      <c r="S403"/>
      <c r="T403"/>
      <c r="U403"/>
    </row>
    <row r="404" spans="10:21" s="1" customFormat="1" x14ac:dyDescent="0.2">
      <c r="J404"/>
      <c r="K404"/>
      <c r="L404"/>
      <c r="M404" s="2"/>
      <c r="Q404"/>
      <c r="R404"/>
      <c r="S404"/>
      <c r="T404"/>
      <c r="U404"/>
    </row>
    <row r="405" spans="10:21" s="1" customFormat="1" x14ac:dyDescent="0.2">
      <c r="J405"/>
      <c r="K405"/>
      <c r="L405"/>
      <c r="M405" s="2"/>
      <c r="Q405"/>
      <c r="R405"/>
      <c r="S405"/>
      <c r="T405"/>
      <c r="U405"/>
    </row>
    <row r="406" spans="10:21" s="1" customFormat="1" x14ac:dyDescent="0.2">
      <c r="J406"/>
      <c r="K406"/>
      <c r="L406"/>
      <c r="M406" s="2"/>
      <c r="Q406"/>
      <c r="R406"/>
      <c r="S406"/>
      <c r="T406"/>
      <c r="U406"/>
    </row>
    <row r="407" spans="10:21" s="1" customFormat="1" x14ac:dyDescent="0.2">
      <c r="J407"/>
      <c r="K407"/>
      <c r="L407"/>
      <c r="M407" s="2"/>
      <c r="Q407"/>
      <c r="R407"/>
      <c r="S407"/>
      <c r="T407"/>
      <c r="U407"/>
    </row>
    <row r="408" spans="10:21" s="1" customFormat="1" x14ac:dyDescent="0.2">
      <c r="J408"/>
      <c r="K408"/>
      <c r="L408"/>
      <c r="M408" s="2"/>
      <c r="Q408"/>
      <c r="R408"/>
      <c r="S408"/>
      <c r="T408"/>
      <c r="U408"/>
    </row>
    <row r="409" spans="10:21" s="1" customFormat="1" x14ac:dyDescent="0.2">
      <c r="J409"/>
      <c r="K409"/>
      <c r="L409"/>
      <c r="M409" s="2"/>
      <c r="Q409"/>
      <c r="R409"/>
      <c r="S409"/>
      <c r="T409"/>
      <c r="U409"/>
    </row>
    <row r="410" spans="10:21" s="1" customFormat="1" x14ac:dyDescent="0.2">
      <c r="J410"/>
      <c r="K410"/>
      <c r="L410"/>
      <c r="M410" s="2"/>
      <c r="Q410"/>
      <c r="R410"/>
      <c r="S410"/>
      <c r="T410"/>
      <c r="U410"/>
    </row>
    <row r="411" spans="10:21" s="1" customFormat="1" x14ac:dyDescent="0.2">
      <c r="J411"/>
      <c r="K411"/>
      <c r="L411"/>
      <c r="M411" s="2"/>
      <c r="Q411"/>
      <c r="R411"/>
      <c r="S411"/>
      <c r="T411"/>
      <c r="U411"/>
    </row>
    <row r="412" spans="10:21" s="1" customFormat="1" x14ac:dyDescent="0.2">
      <c r="J412"/>
      <c r="K412"/>
      <c r="L412"/>
      <c r="M412" s="2"/>
      <c r="Q412"/>
      <c r="R412"/>
      <c r="S412"/>
      <c r="T412"/>
      <c r="U412"/>
    </row>
    <row r="413" spans="10:21" s="1" customFormat="1" x14ac:dyDescent="0.2">
      <c r="J413"/>
      <c r="K413"/>
      <c r="L413"/>
      <c r="M413" s="2"/>
      <c r="Q413"/>
      <c r="R413"/>
      <c r="S413"/>
      <c r="T413"/>
      <c r="U413"/>
    </row>
    <row r="414" spans="10:21" s="1" customFormat="1" x14ac:dyDescent="0.2">
      <c r="J414"/>
      <c r="K414"/>
      <c r="L414"/>
      <c r="M414" s="2"/>
      <c r="Q414"/>
      <c r="R414"/>
      <c r="S414"/>
      <c r="T414"/>
      <c r="U414"/>
    </row>
    <row r="415" spans="10:21" s="1" customFormat="1" x14ac:dyDescent="0.2">
      <c r="J415"/>
      <c r="K415"/>
      <c r="L415"/>
      <c r="M415" s="2"/>
      <c r="Q415"/>
      <c r="R415"/>
      <c r="S415"/>
      <c r="T415"/>
      <c r="U415"/>
    </row>
    <row r="416" spans="10:21" s="1" customFormat="1" x14ac:dyDescent="0.2">
      <c r="J416"/>
      <c r="K416"/>
      <c r="L416"/>
      <c r="M416" s="2"/>
      <c r="Q416"/>
      <c r="R416"/>
      <c r="S416"/>
      <c r="T416"/>
      <c r="U416"/>
    </row>
    <row r="417" spans="10:21" s="1" customFormat="1" x14ac:dyDescent="0.2">
      <c r="J417"/>
      <c r="K417"/>
      <c r="L417"/>
      <c r="M417" s="2"/>
      <c r="Q417"/>
      <c r="R417"/>
      <c r="S417"/>
      <c r="T417"/>
      <c r="U417"/>
    </row>
    <row r="418" spans="10:21" s="1" customFormat="1" x14ac:dyDescent="0.2">
      <c r="J418"/>
      <c r="K418"/>
      <c r="L418"/>
      <c r="M418" s="2"/>
      <c r="Q418"/>
      <c r="R418"/>
      <c r="S418"/>
      <c r="T418"/>
      <c r="U418"/>
    </row>
    <row r="419" spans="10:21" s="1" customFormat="1" x14ac:dyDescent="0.2">
      <c r="J419"/>
      <c r="K419"/>
      <c r="L419"/>
      <c r="M419" s="2"/>
      <c r="Q419"/>
      <c r="R419"/>
      <c r="S419"/>
      <c r="T419"/>
      <c r="U419"/>
    </row>
    <row r="420" spans="10:21" s="1" customFormat="1" x14ac:dyDescent="0.2">
      <c r="J420"/>
      <c r="K420"/>
      <c r="L420"/>
      <c r="M420" s="2"/>
      <c r="Q420"/>
      <c r="R420"/>
      <c r="S420"/>
      <c r="T420"/>
      <c r="U420"/>
    </row>
    <row r="421" spans="10:21" s="1" customFormat="1" x14ac:dyDescent="0.2">
      <c r="J421"/>
      <c r="K421"/>
      <c r="L421"/>
      <c r="M421" s="2"/>
      <c r="Q421"/>
      <c r="R421"/>
      <c r="S421"/>
      <c r="T421"/>
      <c r="U421"/>
    </row>
    <row r="422" spans="10:21" s="1" customFormat="1" x14ac:dyDescent="0.2">
      <c r="J422"/>
      <c r="K422"/>
      <c r="L422"/>
      <c r="M422" s="2"/>
      <c r="Q422"/>
      <c r="R422"/>
      <c r="S422"/>
      <c r="T422"/>
      <c r="U422"/>
    </row>
    <row r="423" spans="10:21" s="1" customFormat="1" x14ac:dyDescent="0.2">
      <c r="J423"/>
      <c r="K423"/>
      <c r="L423"/>
      <c r="M423" s="2"/>
      <c r="Q423"/>
      <c r="R423"/>
      <c r="S423"/>
      <c r="T423"/>
      <c r="U423"/>
    </row>
    <row r="424" spans="10:21" s="1" customFormat="1" x14ac:dyDescent="0.2">
      <c r="J424"/>
      <c r="K424"/>
      <c r="L424"/>
      <c r="M424" s="2"/>
      <c r="Q424"/>
      <c r="R424"/>
      <c r="S424"/>
      <c r="T424"/>
      <c r="U424"/>
    </row>
    <row r="425" spans="10:21" s="1" customFormat="1" x14ac:dyDescent="0.2">
      <c r="J425"/>
      <c r="K425"/>
      <c r="L425"/>
      <c r="M425" s="2"/>
      <c r="Q425"/>
      <c r="R425"/>
      <c r="S425"/>
      <c r="T425"/>
      <c r="U425"/>
    </row>
    <row r="426" spans="10:21" s="1" customFormat="1" x14ac:dyDescent="0.2">
      <c r="J426"/>
      <c r="K426"/>
      <c r="L426"/>
      <c r="M426" s="2"/>
      <c r="Q426"/>
      <c r="R426"/>
      <c r="S426"/>
      <c r="T426"/>
      <c r="U426"/>
    </row>
    <row r="427" spans="10:21" s="1" customFormat="1" x14ac:dyDescent="0.2">
      <c r="J427"/>
      <c r="K427"/>
      <c r="L427"/>
      <c r="M427" s="2"/>
      <c r="Q427"/>
      <c r="R427"/>
      <c r="S427"/>
      <c r="T427"/>
      <c r="U427"/>
    </row>
    <row r="428" spans="10:21" s="1" customFormat="1" x14ac:dyDescent="0.2">
      <c r="J428"/>
      <c r="K428"/>
      <c r="L428"/>
      <c r="M428" s="2"/>
      <c r="Q428"/>
      <c r="R428"/>
      <c r="S428"/>
      <c r="T428"/>
      <c r="U428"/>
    </row>
    <row r="429" spans="10:21" s="1" customFormat="1" x14ac:dyDescent="0.2">
      <c r="J429"/>
      <c r="K429"/>
      <c r="L429"/>
      <c r="M429" s="2"/>
      <c r="Q429"/>
      <c r="R429"/>
      <c r="S429"/>
      <c r="T429"/>
      <c r="U429"/>
    </row>
    <row r="430" spans="10:21" s="1" customFormat="1" x14ac:dyDescent="0.2">
      <c r="J430"/>
      <c r="K430"/>
      <c r="L430"/>
      <c r="M430" s="2"/>
      <c r="Q430"/>
      <c r="R430"/>
      <c r="S430"/>
      <c r="T430"/>
      <c r="U430"/>
    </row>
    <row r="431" spans="10:21" s="1" customFormat="1" x14ac:dyDescent="0.2">
      <c r="J431"/>
      <c r="K431"/>
      <c r="L431"/>
      <c r="M431" s="2"/>
      <c r="Q431"/>
      <c r="R431"/>
      <c r="S431"/>
      <c r="T431"/>
      <c r="U431"/>
    </row>
    <row r="432" spans="10:21" s="1" customFormat="1" x14ac:dyDescent="0.2">
      <c r="J432"/>
      <c r="K432"/>
      <c r="L432"/>
      <c r="M432" s="2"/>
      <c r="Q432"/>
      <c r="R432"/>
      <c r="S432"/>
      <c r="T432"/>
      <c r="U432"/>
    </row>
    <row r="433" spans="10:21" s="1" customFormat="1" x14ac:dyDescent="0.2">
      <c r="J433"/>
      <c r="K433"/>
      <c r="L433"/>
      <c r="M433" s="2"/>
      <c r="Q433"/>
      <c r="R433"/>
      <c r="S433"/>
      <c r="T433"/>
      <c r="U433"/>
    </row>
    <row r="434" spans="10:21" s="1" customFormat="1" x14ac:dyDescent="0.2">
      <c r="J434"/>
      <c r="K434"/>
      <c r="L434"/>
      <c r="M434" s="2"/>
      <c r="Q434"/>
      <c r="R434"/>
      <c r="S434"/>
      <c r="T434"/>
      <c r="U434"/>
    </row>
    <row r="435" spans="10:21" s="1" customFormat="1" x14ac:dyDescent="0.2">
      <c r="J435"/>
      <c r="K435"/>
      <c r="L435"/>
      <c r="M435" s="2"/>
      <c r="Q435"/>
      <c r="R435"/>
      <c r="S435"/>
      <c r="T435"/>
      <c r="U435"/>
    </row>
    <row r="436" spans="10:21" s="1" customFormat="1" x14ac:dyDescent="0.2">
      <c r="J436"/>
      <c r="K436"/>
      <c r="L436"/>
      <c r="M436" s="2"/>
      <c r="Q436"/>
      <c r="R436"/>
      <c r="S436"/>
      <c r="T436"/>
      <c r="U436"/>
    </row>
    <row r="437" spans="10:21" s="1" customFormat="1" x14ac:dyDescent="0.2">
      <c r="J437"/>
      <c r="K437"/>
      <c r="L437"/>
      <c r="M437" s="2"/>
      <c r="Q437"/>
      <c r="R437"/>
      <c r="S437"/>
      <c r="T437"/>
      <c r="U437"/>
    </row>
    <row r="438" spans="10:21" s="1" customFormat="1" x14ac:dyDescent="0.2">
      <c r="J438"/>
      <c r="K438"/>
      <c r="L438"/>
      <c r="M438" s="2"/>
      <c r="Q438"/>
      <c r="R438"/>
      <c r="S438"/>
      <c r="T438"/>
      <c r="U438"/>
    </row>
    <row r="439" spans="10:21" s="1" customFormat="1" x14ac:dyDescent="0.2">
      <c r="J439"/>
      <c r="K439"/>
      <c r="L439"/>
      <c r="M439" s="2"/>
      <c r="Q439"/>
      <c r="R439"/>
      <c r="S439"/>
      <c r="T439"/>
      <c r="U439"/>
    </row>
    <row r="440" spans="10:21" s="1" customFormat="1" x14ac:dyDescent="0.2">
      <c r="J440"/>
      <c r="K440"/>
      <c r="L440"/>
      <c r="M440" s="2"/>
      <c r="Q440"/>
      <c r="R440"/>
      <c r="S440"/>
      <c r="T440"/>
      <c r="U440"/>
    </row>
    <row r="441" spans="10:21" s="1" customFormat="1" x14ac:dyDescent="0.2">
      <c r="J441"/>
      <c r="K441"/>
      <c r="L441"/>
      <c r="M441" s="2"/>
      <c r="Q441"/>
      <c r="R441"/>
      <c r="S441"/>
      <c r="T441"/>
      <c r="U441"/>
    </row>
    <row r="442" spans="10:21" s="1" customFormat="1" x14ac:dyDescent="0.2">
      <c r="J442"/>
      <c r="K442"/>
      <c r="L442"/>
      <c r="M442" s="2"/>
      <c r="Q442"/>
      <c r="R442"/>
      <c r="S442"/>
      <c r="T442"/>
      <c r="U442"/>
    </row>
    <row r="443" spans="10:21" s="1" customFormat="1" x14ac:dyDescent="0.2">
      <c r="J443"/>
      <c r="K443"/>
      <c r="L443"/>
      <c r="M443" s="2"/>
      <c r="Q443"/>
      <c r="R443"/>
      <c r="S443"/>
      <c r="T443"/>
      <c r="U443"/>
    </row>
    <row r="444" spans="10:21" s="1" customFormat="1" x14ac:dyDescent="0.2">
      <c r="J444"/>
      <c r="K444"/>
      <c r="L444"/>
      <c r="M444" s="2"/>
      <c r="Q444"/>
      <c r="R444"/>
      <c r="S444"/>
      <c r="T444"/>
      <c r="U444"/>
    </row>
    <row r="445" spans="10:21" s="1" customFormat="1" x14ac:dyDescent="0.2">
      <c r="J445"/>
      <c r="K445"/>
      <c r="L445"/>
      <c r="M445" s="2"/>
      <c r="Q445"/>
      <c r="R445"/>
      <c r="S445"/>
      <c r="T445"/>
      <c r="U445"/>
    </row>
    <row r="446" spans="10:21" s="1" customFormat="1" x14ac:dyDescent="0.2">
      <c r="J446"/>
      <c r="K446"/>
      <c r="L446"/>
      <c r="M446" s="2"/>
      <c r="Q446"/>
      <c r="R446"/>
      <c r="S446"/>
      <c r="T446"/>
      <c r="U446"/>
    </row>
    <row r="447" spans="10:21" s="1" customFormat="1" x14ac:dyDescent="0.2">
      <c r="J447"/>
      <c r="K447"/>
      <c r="L447"/>
      <c r="M447" s="2"/>
      <c r="Q447"/>
      <c r="R447"/>
      <c r="S447"/>
      <c r="T447"/>
      <c r="U447"/>
    </row>
    <row r="448" spans="10:21" s="1" customFormat="1" x14ac:dyDescent="0.2">
      <c r="J448"/>
      <c r="K448"/>
      <c r="L448"/>
      <c r="M448" s="2"/>
      <c r="Q448"/>
      <c r="R448"/>
      <c r="S448"/>
      <c r="T448"/>
      <c r="U448"/>
    </row>
    <row r="449" spans="10:21" s="1" customFormat="1" x14ac:dyDescent="0.2">
      <c r="J449"/>
      <c r="K449"/>
      <c r="L449"/>
      <c r="M449" s="2"/>
      <c r="Q449"/>
      <c r="R449"/>
      <c r="S449"/>
      <c r="T449"/>
      <c r="U449"/>
    </row>
    <row r="450" spans="10:21" s="1" customFormat="1" x14ac:dyDescent="0.2">
      <c r="J450"/>
      <c r="K450"/>
      <c r="L450"/>
      <c r="M450" s="2"/>
      <c r="Q450"/>
      <c r="R450"/>
      <c r="S450"/>
      <c r="T450"/>
      <c r="U450"/>
    </row>
    <row r="451" spans="10:21" s="1" customFormat="1" x14ac:dyDescent="0.2">
      <c r="J451"/>
      <c r="K451"/>
      <c r="L451"/>
      <c r="M451" s="2"/>
      <c r="Q451"/>
      <c r="R451"/>
      <c r="S451"/>
      <c r="T451"/>
      <c r="U451"/>
    </row>
    <row r="452" spans="10:21" s="1" customFormat="1" x14ac:dyDescent="0.2">
      <c r="J452"/>
      <c r="K452"/>
      <c r="L452"/>
      <c r="M452" s="2"/>
      <c r="Q452"/>
      <c r="R452"/>
      <c r="S452"/>
      <c r="T452"/>
      <c r="U452"/>
    </row>
    <row r="453" spans="10:21" s="1" customFormat="1" x14ac:dyDescent="0.2">
      <c r="J453"/>
      <c r="K453"/>
      <c r="L453"/>
      <c r="M453" s="2"/>
      <c r="Q453"/>
      <c r="R453"/>
      <c r="S453"/>
      <c r="T453"/>
      <c r="U453"/>
    </row>
    <row r="454" spans="10:21" s="1" customFormat="1" x14ac:dyDescent="0.2">
      <c r="J454"/>
      <c r="K454"/>
      <c r="L454"/>
      <c r="M454" s="2"/>
      <c r="Q454"/>
      <c r="R454"/>
      <c r="S454"/>
      <c r="T454"/>
      <c r="U454"/>
    </row>
    <row r="455" spans="10:21" s="1" customFormat="1" x14ac:dyDescent="0.2">
      <c r="J455"/>
      <c r="K455"/>
      <c r="L455"/>
      <c r="M455" s="2"/>
      <c r="Q455"/>
      <c r="R455"/>
      <c r="S455"/>
      <c r="T455"/>
      <c r="U455"/>
    </row>
    <row r="456" spans="10:21" s="1" customFormat="1" x14ac:dyDescent="0.2">
      <c r="J456"/>
      <c r="K456"/>
      <c r="L456"/>
      <c r="M456" s="2"/>
      <c r="Q456"/>
      <c r="R456"/>
      <c r="S456"/>
      <c r="T456"/>
      <c r="U456"/>
    </row>
    <row r="457" spans="10:21" s="1" customFormat="1" x14ac:dyDescent="0.2">
      <c r="J457"/>
      <c r="K457"/>
      <c r="L457"/>
      <c r="M457" s="2"/>
      <c r="Q457"/>
      <c r="R457"/>
      <c r="S457"/>
      <c r="T457"/>
      <c r="U457"/>
    </row>
    <row r="458" spans="10:21" s="1" customFormat="1" x14ac:dyDescent="0.2">
      <c r="J458"/>
      <c r="K458"/>
      <c r="L458"/>
      <c r="M458" s="2"/>
      <c r="Q458"/>
      <c r="R458"/>
      <c r="S458"/>
      <c r="T458"/>
      <c r="U458"/>
    </row>
    <row r="459" spans="10:21" s="1" customFormat="1" x14ac:dyDescent="0.2">
      <c r="J459"/>
      <c r="K459"/>
      <c r="L459"/>
      <c r="M459" s="2"/>
      <c r="Q459"/>
      <c r="R459"/>
      <c r="S459"/>
      <c r="T459"/>
      <c r="U459"/>
    </row>
    <row r="460" spans="10:21" s="1" customFormat="1" x14ac:dyDescent="0.2">
      <c r="J460"/>
      <c r="K460"/>
      <c r="L460"/>
      <c r="M460" s="2"/>
      <c r="Q460"/>
      <c r="R460"/>
      <c r="S460"/>
      <c r="T460"/>
      <c r="U460"/>
    </row>
    <row r="461" spans="10:21" s="1" customFormat="1" x14ac:dyDescent="0.2">
      <c r="J461"/>
      <c r="K461"/>
      <c r="L461"/>
      <c r="M461" s="2"/>
      <c r="Q461"/>
      <c r="R461"/>
      <c r="S461"/>
      <c r="T461"/>
      <c r="U461"/>
    </row>
    <row r="462" spans="10:21" s="1" customFormat="1" x14ac:dyDescent="0.2">
      <c r="J462"/>
      <c r="K462"/>
      <c r="L462"/>
      <c r="M462" s="2"/>
      <c r="Q462"/>
      <c r="R462"/>
      <c r="S462"/>
      <c r="T462"/>
      <c r="U462"/>
    </row>
    <row r="463" spans="10:21" s="1" customFormat="1" x14ac:dyDescent="0.2">
      <c r="J463"/>
      <c r="K463"/>
      <c r="L463"/>
      <c r="M463" s="2"/>
      <c r="Q463"/>
      <c r="R463"/>
      <c r="S463"/>
      <c r="T463"/>
      <c r="U463"/>
    </row>
    <row r="464" spans="10:21" s="1" customFormat="1" x14ac:dyDescent="0.2">
      <c r="J464"/>
      <c r="K464"/>
      <c r="L464"/>
      <c r="M464" s="2"/>
      <c r="Q464"/>
      <c r="R464"/>
      <c r="S464"/>
      <c r="T464"/>
      <c r="U464"/>
    </row>
    <row r="465" spans="10:21" s="1" customFormat="1" x14ac:dyDescent="0.2">
      <c r="J465"/>
      <c r="K465"/>
      <c r="L465"/>
      <c r="M465" s="2"/>
      <c r="Q465"/>
      <c r="R465"/>
      <c r="S465"/>
      <c r="T465"/>
      <c r="U465"/>
    </row>
    <row r="466" spans="10:21" s="1" customFormat="1" x14ac:dyDescent="0.2">
      <c r="J466"/>
      <c r="K466"/>
      <c r="L466"/>
      <c r="M466" s="2"/>
      <c r="Q466"/>
      <c r="R466"/>
      <c r="S466"/>
      <c r="T466"/>
      <c r="U466"/>
    </row>
    <row r="467" spans="10:21" s="1" customFormat="1" x14ac:dyDescent="0.2">
      <c r="J467"/>
      <c r="K467"/>
      <c r="L467"/>
      <c r="M467" s="2"/>
      <c r="Q467"/>
      <c r="R467"/>
      <c r="S467"/>
      <c r="T467"/>
      <c r="U467"/>
    </row>
    <row r="468" spans="10:21" s="1" customFormat="1" x14ac:dyDescent="0.2">
      <c r="J468"/>
      <c r="K468"/>
      <c r="L468"/>
      <c r="M468" s="2"/>
      <c r="Q468"/>
      <c r="R468"/>
      <c r="S468"/>
      <c r="T468"/>
      <c r="U468"/>
    </row>
    <row r="469" spans="10:21" s="1" customFormat="1" x14ac:dyDescent="0.2">
      <c r="J469"/>
      <c r="K469"/>
      <c r="L469"/>
      <c r="M469" s="2"/>
      <c r="Q469"/>
      <c r="R469"/>
      <c r="S469"/>
      <c r="T469"/>
      <c r="U469"/>
    </row>
    <row r="470" spans="10:21" s="1" customFormat="1" x14ac:dyDescent="0.2">
      <c r="J470"/>
      <c r="K470"/>
      <c r="L470"/>
      <c r="M470" s="2"/>
      <c r="Q470"/>
      <c r="R470"/>
      <c r="S470"/>
      <c r="T470"/>
      <c r="U470"/>
    </row>
    <row r="471" spans="10:21" s="1" customFormat="1" x14ac:dyDescent="0.2">
      <c r="J471"/>
      <c r="K471"/>
      <c r="L471"/>
      <c r="M471" s="2"/>
      <c r="Q471"/>
      <c r="R471"/>
      <c r="S471"/>
      <c r="T471"/>
      <c r="U471"/>
    </row>
    <row r="472" spans="10:21" s="1" customFormat="1" x14ac:dyDescent="0.2">
      <c r="J472"/>
      <c r="K472"/>
      <c r="L472"/>
      <c r="M472" s="2"/>
      <c r="Q472"/>
      <c r="R472"/>
      <c r="S472"/>
      <c r="T472"/>
      <c r="U472"/>
    </row>
    <row r="473" spans="10:21" s="1" customFormat="1" x14ac:dyDescent="0.2">
      <c r="J473"/>
      <c r="K473"/>
      <c r="L473"/>
      <c r="M473" s="2"/>
      <c r="Q473"/>
      <c r="R473"/>
      <c r="S473"/>
      <c r="T473"/>
      <c r="U473"/>
    </row>
    <row r="474" spans="10:21" s="1" customFormat="1" x14ac:dyDescent="0.2">
      <c r="J474"/>
      <c r="K474"/>
      <c r="L474"/>
      <c r="M474" s="2"/>
      <c r="Q474"/>
      <c r="R474"/>
      <c r="S474"/>
      <c r="T474"/>
      <c r="U474"/>
    </row>
    <row r="475" spans="10:21" s="1" customFormat="1" x14ac:dyDescent="0.2">
      <c r="J475"/>
      <c r="K475"/>
      <c r="L475"/>
      <c r="M475" s="2"/>
      <c r="Q475"/>
      <c r="R475"/>
      <c r="S475"/>
      <c r="T475"/>
      <c r="U475"/>
    </row>
    <row r="476" spans="10:21" s="1" customFormat="1" x14ac:dyDescent="0.2">
      <c r="J476"/>
      <c r="K476"/>
      <c r="L476"/>
      <c r="M476" s="2"/>
      <c r="Q476"/>
      <c r="R476"/>
      <c r="S476"/>
      <c r="T476"/>
      <c r="U476"/>
    </row>
    <row r="477" spans="10:21" s="1" customFormat="1" x14ac:dyDescent="0.2">
      <c r="J477"/>
      <c r="K477"/>
      <c r="L477"/>
      <c r="M477" s="2"/>
      <c r="Q477"/>
      <c r="R477"/>
      <c r="S477"/>
      <c r="T477"/>
      <c r="U477"/>
    </row>
    <row r="478" spans="10:21" s="1" customFormat="1" x14ac:dyDescent="0.2">
      <c r="J478"/>
      <c r="K478"/>
      <c r="L478"/>
      <c r="M478" s="2"/>
      <c r="Q478"/>
      <c r="R478"/>
      <c r="S478"/>
      <c r="T478"/>
      <c r="U478"/>
    </row>
    <row r="479" spans="10:21" s="1" customFormat="1" x14ac:dyDescent="0.2">
      <c r="J479"/>
      <c r="K479"/>
      <c r="L479"/>
      <c r="M479" s="2"/>
      <c r="Q479"/>
      <c r="R479"/>
      <c r="S479"/>
      <c r="T479"/>
      <c r="U479"/>
    </row>
    <row r="480" spans="10:21" s="1" customFormat="1" x14ac:dyDescent="0.2">
      <c r="J480"/>
      <c r="K480"/>
      <c r="L480"/>
      <c r="M480" s="2"/>
      <c r="Q480"/>
      <c r="R480"/>
      <c r="S480"/>
      <c r="T480"/>
      <c r="U480"/>
    </row>
    <row r="481" spans="10:21" s="1" customFormat="1" x14ac:dyDescent="0.2">
      <c r="J481"/>
      <c r="K481"/>
      <c r="L481"/>
      <c r="M481" s="2"/>
      <c r="Q481"/>
      <c r="R481"/>
      <c r="S481"/>
      <c r="T481"/>
      <c r="U481"/>
    </row>
    <row r="482" spans="10:21" s="1" customFormat="1" x14ac:dyDescent="0.2">
      <c r="J482"/>
      <c r="K482"/>
      <c r="L482"/>
      <c r="M482" s="2"/>
      <c r="Q482"/>
      <c r="R482"/>
      <c r="S482"/>
      <c r="T482"/>
      <c r="U482"/>
    </row>
    <row r="483" spans="10:21" s="1" customFormat="1" x14ac:dyDescent="0.2">
      <c r="J483"/>
      <c r="K483"/>
      <c r="L483"/>
      <c r="M483" s="2"/>
      <c r="Q483"/>
      <c r="R483"/>
      <c r="S483"/>
      <c r="T483"/>
      <c r="U483"/>
    </row>
    <row r="484" spans="10:21" s="1" customFormat="1" x14ac:dyDescent="0.2">
      <c r="J484"/>
      <c r="K484"/>
      <c r="L484"/>
      <c r="M484" s="2"/>
      <c r="Q484"/>
      <c r="R484"/>
      <c r="S484"/>
      <c r="T484"/>
      <c r="U484"/>
    </row>
    <row r="485" spans="10:21" s="1" customFormat="1" x14ac:dyDescent="0.2">
      <c r="J485"/>
      <c r="K485"/>
      <c r="L485"/>
      <c r="M485" s="2"/>
      <c r="Q485"/>
      <c r="R485"/>
      <c r="S485"/>
      <c r="T485"/>
      <c r="U485"/>
    </row>
    <row r="486" spans="10:21" s="1" customFormat="1" x14ac:dyDescent="0.2">
      <c r="J486"/>
      <c r="K486"/>
      <c r="L486"/>
      <c r="M486" s="2"/>
      <c r="Q486"/>
      <c r="R486"/>
      <c r="S486"/>
      <c r="T486"/>
      <c r="U486"/>
    </row>
    <row r="487" spans="10:21" s="1" customFormat="1" x14ac:dyDescent="0.2">
      <c r="J487"/>
      <c r="K487"/>
      <c r="L487"/>
      <c r="M487" s="2"/>
      <c r="Q487"/>
      <c r="R487"/>
      <c r="S487"/>
      <c r="T487"/>
      <c r="U487"/>
    </row>
    <row r="488" spans="10:21" s="1" customFormat="1" x14ac:dyDescent="0.2">
      <c r="J488"/>
      <c r="K488"/>
      <c r="L488"/>
      <c r="M488" s="2"/>
      <c r="Q488"/>
      <c r="R488"/>
      <c r="S488"/>
      <c r="T488"/>
      <c r="U488"/>
    </row>
    <row r="489" spans="10:21" s="1" customFormat="1" x14ac:dyDescent="0.2">
      <c r="J489"/>
      <c r="K489"/>
      <c r="L489"/>
      <c r="M489" s="2"/>
      <c r="Q489"/>
      <c r="R489"/>
      <c r="S489"/>
      <c r="T489"/>
      <c r="U489"/>
    </row>
    <row r="490" spans="10:21" s="1" customFormat="1" x14ac:dyDescent="0.2">
      <c r="J490"/>
      <c r="K490"/>
      <c r="L490"/>
      <c r="M490" s="2"/>
      <c r="Q490"/>
      <c r="R490"/>
      <c r="S490"/>
      <c r="T490"/>
      <c r="U490"/>
    </row>
    <row r="491" spans="10:21" s="1" customFormat="1" x14ac:dyDescent="0.2">
      <c r="J491"/>
      <c r="K491"/>
      <c r="L491"/>
      <c r="M491" s="2"/>
      <c r="Q491"/>
      <c r="R491"/>
      <c r="S491"/>
      <c r="T491"/>
      <c r="U491"/>
    </row>
    <row r="492" spans="10:21" s="1" customFormat="1" x14ac:dyDescent="0.2">
      <c r="J492"/>
      <c r="K492"/>
      <c r="L492"/>
      <c r="M492" s="2"/>
      <c r="Q492"/>
      <c r="R492"/>
      <c r="S492"/>
      <c r="T492"/>
      <c r="U492"/>
    </row>
    <row r="493" spans="10:21" s="1" customFormat="1" x14ac:dyDescent="0.2">
      <c r="J493"/>
      <c r="K493"/>
      <c r="L493"/>
      <c r="M493" s="2"/>
      <c r="Q493"/>
      <c r="R493"/>
      <c r="S493"/>
      <c r="T493"/>
      <c r="U493"/>
    </row>
    <row r="494" spans="10:21" s="1" customFormat="1" x14ac:dyDescent="0.2">
      <c r="J494"/>
      <c r="K494"/>
      <c r="L494"/>
      <c r="M494" s="2"/>
      <c r="Q494"/>
      <c r="R494"/>
      <c r="S494"/>
      <c r="T494"/>
      <c r="U494"/>
    </row>
    <row r="495" spans="10:21" s="1" customFormat="1" x14ac:dyDescent="0.2">
      <c r="J495"/>
      <c r="K495"/>
      <c r="L495"/>
      <c r="M495" s="2"/>
      <c r="Q495"/>
      <c r="R495"/>
      <c r="S495"/>
      <c r="T495"/>
      <c r="U495"/>
    </row>
    <row r="496" spans="10:21" s="1" customFormat="1" x14ac:dyDescent="0.2">
      <c r="J496"/>
      <c r="K496"/>
      <c r="L496"/>
      <c r="M496" s="2"/>
      <c r="Q496"/>
      <c r="R496"/>
      <c r="S496"/>
      <c r="T496"/>
      <c r="U496"/>
    </row>
    <row r="497" spans="10:21" s="1" customFormat="1" x14ac:dyDescent="0.2">
      <c r="J497"/>
      <c r="K497"/>
      <c r="L497"/>
      <c r="M497" s="2"/>
      <c r="Q497"/>
      <c r="R497"/>
      <c r="S497"/>
      <c r="T497"/>
      <c r="U497"/>
    </row>
    <row r="498" spans="10:21" s="1" customFormat="1" x14ac:dyDescent="0.2">
      <c r="J498"/>
      <c r="K498"/>
      <c r="L498"/>
      <c r="M498" s="2"/>
      <c r="Q498"/>
      <c r="R498"/>
      <c r="S498"/>
      <c r="T498"/>
      <c r="U498"/>
    </row>
    <row r="499" spans="10:21" s="1" customFormat="1" x14ac:dyDescent="0.2">
      <c r="J499"/>
      <c r="K499"/>
      <c r="L499"/>
      <c r="M499" s="2"/>
      <c r="Q499"/>
      <c r="R499"/>
      <c r="S499"/>
      <c r="T499"/>
      <c r="U499"/>
    </row>
    <row r="500" spans="10:21" s="1" customFormat="1" x14ac:dyDescent="0.2">
      <c r="J500"/>
      <c r="K500"/>
      <c r="L500"/>
      <c r="M500" s="2"/>
      <c r="Q500"/>
      <c r="R500"/>
      <c r="S500"/>
      <c r="T500"/>
      <c r="U500"/>
    </row>
    <row r="501" spans="10:21" s="1" customFormat="1" x14ac:dyDescent="0.2">
      <c r="J501"/>
      <c r="K501"/>
      <c r="L501"/>
      <c r="M501" s="2"/>
      <c r="Q501"/>
      <c r="R501"/>
      <c r="S501"/>
      <c r="T501"/>
      <c r="U501"/>
    </row>
    <row r="502" spans="10:21" s="1" customFormat="1" x14ac:dyDescent="0.2">
      <c r="J502"/>
      <c r="K502"/>
      <c r="L502"/>
      <c r="M502" s="2"/>
      <c r="Q502"/>
      <c r="R502"/>
      <c r="S502"/>
      <c r="T502"/>
      <c r="U502"/>
    </row>
    <row r="503" spans="10:21" s="1" customFormat="1" x14ac:dyDescent="0.2">
      <c r="J503"/>
      <c r="K503"/>
      <c r="L503"/>
      <c r="M503" s="2"/>
      <c r="Q503"/>
      <c r="R503"/>
      <c r="S503"/>
      <c r="T503"/>
      <c r="U503"/>
    </row>
    <row r="504" spans="10:21" s="1" customFormat="1" x14ac:dyDescent="0.2">
      <c r="J504"/>
      <c r="K504"/>
      <c r="L504"/>
      <c r="M504" s="2"/>
      <c r="Q504"/>
      <c r="R504"/>
      <c r="S504"/>
      <c r="T504"/>
      <c r="U504"/>
    </row>
    <row r="505" spans="10:21" s="1" customFormat="1" x14ac:dyDescent="0.2">
      <c r="J505"/>
      <c r="K505"/>
      <c r="L505"/>
      <c r="M505" s="2"/>
      <c r="Q505"/>
      <c r="R505"/>
      <c r="S505"/>
      <c r="T505"/>
      <c r="U505"/>
    </row>
    <row r="506" spans="10:21" s="1" customFormat="1" x14ac:dyDescent="0.2">
      <c r="J506"/>
      <c r="K506"/>
      <c r="L506"/>
      <c r="M506" s="2"/>
      <c r="Q506"/>
      <c r="R506"/>
      <c r="S506"/>
      <c r="T506"/>
      <c r="U506"/>
    </row>
    <row r="507" spans="10:21" s="1" customFormat="1" x14ac:dyDescent="0.2">
      <c r="J507"/>
      <c r="K507"/>
      <c r="L507"/>
      <c r="M507" s="2"/>
      <c r="Q507"/>
      <c r="R507"/>
      <c r="S507"/>
      <c r="T507"/>
      <c r="U507"/>
    </row>
    <row r="508" spans="10:21" s="1" customFormat="1" x14ac:dyDescent="0.2">
      <c r="J508"/>
      <c r="K508"/>
      <c r="L508"/>
      <c r="M508" s="2"/>
      <c r="Q508"/>
      <c r="R508"/>
      <c r="S508"/>
      <c r="T508"/>
      <c r="U508"/>
    </row>
    <row r="509" spans="10:21" s="1" customFormat="1" x14ac:dyDescent="0.2">
      <c r="J509"/>
      <c r="K509"/>
      <c r="L509"/>
      <c r="M509" s="2"/>
      <c r="Q509"/>
      <c r="R509"/>
      <c r="S509"/>
      <c r="T509"/>
      <c r="U509"/>
    </row>
    <row r="510" spans="10:21" s="1" customFormat="1" x14ac:dyDescent="0.2">
      <c r="J510"/>
      <c r="K510"/>
      <c r="L510"/>
      <c r="M510" s="2"/>
      <c r="Q510"/>
      <c r="R510"/>
      <c r="S510"/>
      <c r="T510"/>
      <c r="U510"/>
    </row>
    <row r="511" spans="10:21" s="1" customFormat="1" x14ac:dyDescent="0.2">
      <c r="J511"/>
      <c r="K511"/>
      <c r="L511"/>
      <c r="M511" s="2"/>
      <c r="Q511"/>
      <c r="R511"/>
      <c r="S511"/>
      <c r="T511"/>
      <c r="U511"/>
    </row>
    <row r="512" spans="10:21" s="1" customFormat="1" x14ac:dyDescent="0.2">
      <c r="J512"/>
      <c r="K512"/>
      <c r="L512"/>
      <c r="M512" s="2"/>
      <c r="Q512"/>
      <c r="R512"/>
      <c r="S512"/>
      <c r="T512"/>
      <c r="U512"/>
    </row>
    <row r="513" spans="10:21" s="1" customFormat="1" x14ac:dyDescent="0.2">
      <c r="J513"/>
      <c r="K513"/>
      <c r="L513"/>
      <c r="M513" s="2"/>
      <c r="Q513"/>
      <c r="R513"/>
      <c r="S513"/>
      <c r="T513"/>
      <c r="U513"/>
    </row>
    <row r="514" spans="10:21" s="1" customFormat="1" x14ac:dyDescent="0.2">
      <c r="J514"/>
      <c r="K514"/>
      <c r="L514"/>
      <c r="M514" s="2"/>
      <c r="Q514"/>
      <c r="R514"/>
      <c r="S514"/>
      <c r="T514"/>
      <c r="U514"/>
    </row>
    <row r="515" spans="10:21" s="1" customFormat="1" x14ac:dyDescent="0.2">
      <c r="J515"/>
      <c r="K515"/>
      <c r="L515"/>
      <c r="M515" s="2"/>
      <c r="Q515"/>
      <c r="R515"/>
      <c r="S515"/>
      <c r="T515"/>
      <c r="U515"/>
    </row>
    <row r="516" spans="10:21" s="1" customFormat="1" x14ac:dyDescent="0.2">
      <c r="J516"/>
      <c r="K516"/>
      <c r="L516"/>
      <c r="M516" s="2"/>
      <c r="Q516"/>
      <c r="R516"/>
      <c r="S516"/>
      <c r="T516"/>
      <c r="U516"/>
    </row>
    <row r="517" spans="10:21" s="1" customFormat="1" x14ac:dyDescent="0.2">
      <c r="J517"/>
      <c r="K517"/>
      <c r="L517"/>
      <c r="M517" s="2"/>
      <c r="Q517"/>
      <c r="R517"/>
      <c r="S517"/>
      <c r="T517"/>
      <c r="U517"/>
    </row>
    <row r="518" spans="10:21" s="1" customFormat="1" x14ac:dyDescent="0.2">
      <c r="J518"/>
      <c r="K518"/>
      <c r="L518"/>
      <c r="M518" s="2"/>
      <c r="Q518"/>
      <c r="R518"/>
      <c r="S518"/>
      <c r="T518"/>
      <c r="U518"/>
    </row>
    <row r="519" spans="10:21" s="1" customFormat="1" x14ac:dyDescent="0.2">
      <c r="J519"/>
      <c r="K519"/>
      <c r="L519"/>
      <c r="M519" s="2"/>
      <c r="Q519"/>
      <c r="R519"/>
      <c r="S519"/>
      <c r="T519"/>
      <c r="U519"/>
    </row>
    <row r="520" spans="10:21" s="1" customFormat="1" x14ac:dyDescent="0.2">
      <c r="J520"/>
      <c r="K520"/>
      <c r="L520"/>
      <c r="M520" s="2"/>
      <c r="Q520"/>
      <c r="R520"/>
      <c r="S520"/>
      <c r="T520"/>
      <c r="U520"/>
    </row>
    <row r="521" spans="10:21" s="1" customFormat="1" x14ac:dyDescent="0.2">
      <c r="J521"/>
      <c r="K521"/>
      <c r="L521"/>
      <c r="M521" s="2"/>
      <c r="Q521"/>
      <c r="R521"/>
      <c r="S521"/>
      <c r="T521"/>
      <c r="U521"/>
    </row>
    <row r="522" spans="10:21" s="1" customFormat="1" x14ac:dyDescent="0.2">
      <c r="J522"/>
      <c r="K522"/>
      <c r="L522"/>
      <c r="M522" s="2"/>
      <c r="Q522"/>
      <c r="R522"/>
      <c r="S522"/>
      <c r="T522"/>
      <c r="U522"/>
    </row>
    <row r="523" spans="10:21" s="1" customFormat="1" x14ac:dyDescent="0.2">
      <c r="J523"/>
      <c r="K523"/>
      <c r="L523"/>
      <c r="M523" s="2"/>
      <c r="Q523"/>
      <c r="R523"/>
      <c r="S523"/>
      <c r="T523"/>
      <c r="U523"/>
    </row>
    <row r="524" spans="10:21" s="1" customFormat="1" x14ac:dyDescent="0.2">
      <c r="J524"/>
      <c r="K524"/>
      <c r="L524"/>
      <c r="M524" s="2"/>
      <c r="Q524"/>
      <c r="R524"/>
      <c r="S524"/>
      <c r="T524"/>
      <c r="U524"/>
    </row>
    <row r="525" spans="10:21" s="1" customFormat="1" x14ac:dyDescent="0.2">
      <c r="J525"/>
      <c r="K525"/>
      <c r="L525"/>
      <c r="M525" s="2"/>
      <c r="Q525"/>
      <c r="R525"/>
      <c r="S525"/>
      <c r="T525"/>
      <c r="U525"/>
    </row>
    <row r="526" spans="10:21" s="1" customFormat="1" x14ac:dyDescent="0.2">
      <c r="J526"/>
      <c r="K526"/>
      <c r="L526"/>
      <c r="M526" s="2"/>
      <c r="Q526"/>
      <c r="R526"/>
      <c r="S526"/>
      <c r="T526"/>
      <c r="U526"/>
    </row>
    <row r="527" spans="10:21" s="1" customFormat="1" x14ac:dyDescent="0.2">
      <c r="J527"/>
      <c r="K527"/>
      <c r="L527"/>
      <c r="M527" s="2"/>
      <c r="Q527"/>
      <c r="R527"/>
      <c r="S527"/>
      <c r="T527"/>
      <c r="U527"/>
    </row>
    <row r="528" spans="10:21" s="1" customFormat="1" x14ac:dyDescent="0.2">
      <c r="J528"/>
      <c r="K528"/>
      <c r="L528"/>
      <c r="M528" s="2"/>
      <c r="Q528"/>
      <c r="R528"/>
      <c r="S528"/>
      <c r="T528"/>
      <c r="U528"/>
    </row>
    <row r="529" spans="10:21" s="1" customFormat="1" x14ac:dyDescent="0.2">
      <c r="J529"/>
      <c r="K529"/>
      <c r="L529"/>
      <c r="M529" s="2"/>
      <c r="Q529"/>
      <c r="R529"/>
      <c r="S529"/>
      <c r="T529"/>
      <c r="U529"/>
    </row>
    <row r="530" spans="10:21" s="1" customFormat="1" x14ac:dyDescent="0.2">
      <c r="J530"/>
      <c r="K530"/>
      <c r="L530"/>
      <c r="M530" s="2"/>
      <c r="Q530"/>
      <c r="R530"/>
      <c r="S530"/>
      <c r="T530"/>
      <c r="U530"/>
    </row>
    <row r="531" spans="10:21" s="1" customFormat="1" x14ac:dyDescent="0.2">
      <c r="J531"/>
      <c r="K531"/>
      <c r="L531"/>
      <c r="M531" s="2"/>
      <c r="Q531"/>
      <c r="R531"/>
      <c r="S531"/>
      <c r="T531"/>
      <c r="U531"/>
    </row>
    <row r="532" spans="10:21" s="1" customFormat="1" x14ac:dyDescent="0.2">
      <c r="J532"/>
      <c r="K532"/>
      <c r="L532"/>
      <c r="M532" s="2"/>
      <c r="Q532"/>
      <c r="R532"/>
      <c r="S532"/>
      <c r="T532"/>
      <c r="U532"/>
    </row>
    <row r="533" spans="10:21" s="1" customFormat="1" x14ac:dyDescent="0.2">
      <c r="J533"/>
      <c r="K533"/>
      <c r="L533"/>
      <c r="M533" s="2"/>
      <c r="Q533"/>
      <c r="R533"/>
      <c r="S533"/>
      <c r="T533"/>
      <c r="U533"/>
    </row>
    <row r="534" spans="10:21" s="1" customFormat="1" x14ac:dyDescent="0.2">
      <c r="J534"/>
      <c r="K534"/>
      <c r="L534"/>
      <c r="M534" s="2"/>
      <c r="Q534"/>
      <c r="R534"/>
      <c r="S534"/>
      <c r="T534"/>
      <c r="U534"/>
    </row>
    <row r="535" spans="10:21" s="1" customFormat="1" x14ac:dyDescent="0.2">
      <c r="J535"/>
      <c r="K535"/>
      <c r="L535"/>
      <c r="M535" s="2"/>
      <c r="Q535"/>
      <c r="R535"/>
      <c r="S535"/>
      <c r="T535"/>
      <c r="U535"/>
    </row>
    <row r="536" spans="10:21" s="1" customFormat="1" x14ac:dyDescent="0.2">
      <c r="J536"/>
      <c r="K536"/>
      <c r="L536"/>
      <c r="M536" s="2"/>
      <c r="Q536"/>
      <c r="R536"/>
      <c r="S536"/>
      <c r="T536"/>
      <c r="U536"/>
    </row>
    <row r="537" spans="10:21" s="1" customFormat="1" x14ac:dyDescent="0.2">
      <c r="J537"/>
      <c r="K537"/>
      <c r="L537"/>
      <c r="M537" s="2"/>
      <c r="Q537"/>
      <c r="R537"/>
      <c r="S537"/>
      <c r="T537"/>
      <c r="U537"/>
    </row>
    <row r="538" spans="10:21" s="1" customFormat="1" x14ac:dyDescent="0.2">
      <c r="J538"/>
      <c r="K538"/>
      <c r="L538"/>
      <c r="M538" s="2"/>
      <c r="Q538"/>
      <c r="R538"/>
      <c r="S538"/>
      <c r="T538"/>
      <c r="U538"/>
    </row>
    <row r="539" spans="10:21" s="1" customFormat="1" x14ac:dyDescent="0.2">
      <c r="J539"/>
      <c r="K539"/>
      <c r="L539"/>
      <c r="M539" s="2"/>
      <c r="Q539"/>
      <c r="R539"/>
      <c r="S539"/>
      <c r="T539"/>
      <c r="U539"/>
    </row>
    <row r="540" spans="10:21" s="1" customFormat="1" x14ac:dyDescent="0.2">
      <c r="J540"/>
      <c r="K540"/>
      <c r="L540"/>
      <c r="M540" s="2"/>
      <c r="Q540"/>
      <c r="R540"/>
      <c r="S540"/>
      <c r="T540"/>
      <c r="U540"/>
    </row>
    <row r="541" spans="10:21" s="1" customFormat="1" x14ac:dyDescent="0.2">
      <c r="J541"/>
      <c r="K541"/>
      <c r="L541"/>
      <c r="M541" s="2"/>
      <c r="Q541"/>
      <c r="R541"/>
      <c r="S541"/>
      <c r="T541"/>
      <c r="U541"/>
    </row>
    <row r="542" spans="10:21" s="1" customFormat="1" x14ac:dyDescent="0.2">
      <c r="J542"/>
      <c r="K542"/>
      <c r="L542"/>
      <c r="M542" s="2"/>
      <c r="Q542"/>
      <c r="R542"/>
      <c r="S542"/>
      <c r="T542"/>
      <c r="U542"/>
    </row>
    <row r="543" spans="10:21" s="1" customFormat="1" x14ac:dyDescent="0.2">
      <c r="J543"/>
      <c r="K543"/>
      <c r="L543"/>
      <c r="M543" s="2"/>
      <c r="Q543"/>
      <c r="R543"/>
      <c r="S543"/>
      <c r="T543"/>
      <c r="U543"/>
    </row>
    <row r="544" spans="10:21" s="1" customFormat="1" x14ac:dyDescent="0.2">
      <c r="J544"/>
      <c r="K544"/>
      <c r="L544"/>
      <c r="M544" s="2"/>
      <c r="Q544"/>
      <c r="R544"/>
      <c r="S544"/>
      <c r="T544"/>
      <c r="U544"/>
    </row>
    <row r="545" spans="10:21" s="1" customFormat="1" x14ac:dyDescent="0.2">
      <c r="J545"/>
      <c r="K545"/>
      <c r="L545"/>
      <c r="M545" s="2"/>
      <c r="Q545"/>
      <c r="R545"/>
      <c r="S545"/>
      <c r="T545"/>
      <c r="U545"/>
    </row>
    <row r="546" spans="10:21" s="1" customFormat="1" x14ac:dyDescent="0.2">
      <c r="J546"/>
      <c r="K546"/>
      <c r="L546"/>
      <c r="M546" s="2"/>
      <c r="Q546"/>
      <c r="R546"/>
      <c r="S546"/>
      <c r="T546"/>
      <c r="U546"/>
    </row>
    <row r="547" spans="10:21" s="1" customFormat="1" x14ac:dyDescent="0.2">
      <c r="J547"/>
      <c r="K547"/>
      <c r="L547"/>
      <c r="M547" s="2"/>
      <c r="Q547"/>
      <c r="R547"/>
      <c r="S547"/>
      <c r="T547"/>
      <c r="U547"/>
    </row>
    <row r="548" spans="10:21" s="1" customFormat="1" x14ac:dyDescent="0.2">
      <c r="J548"/>
      <c r="K548"/>
      <c r="L548"/>
      <c r="M548" s="2"/>
      <c r="Q548"/>
      <c r="R548"/>
      <c r="S548"/>
      <c r="T548"/>
      <c r="U548"/>
    </row>
    <row r="549" spans="10:21" s="1" customFormat="1" x14ac:dyDescent="0.2">
      <c r="J549"/>
      <c r="K549"/>
      <c r="L549"/>
      <c r="M549" s="2"/>
      <c r="Q549"/>
      <c r="R549"/>
      <c r="S549"/>
      <c r="T549"/>
      <c r="U549"/>
    </row>
    <row r="550" spans="10:21" s="1" customFormat="1" x14ac:dyDescent="0.2">
      <c r="J550"/>
      <c r="K550"/>
      <c r="L550"/>
      <c r="M550" s="2"/>
      <c r="Q550"/>
      <c r="R550"/>
      <c r="S550"/>
      <c r="T550"/>
      <c r="U550"/>
    </row>
    <row r="551" spans="10:21" s="1" customFormat="1" x14ac:dyDescent="0.2">
      <c r="J551"/>
      <c r="K551"/>
      <c r="L551"/>
      <c r="M551" s="2"/>
      <c r="Q551"/>
      <c r="R551"/>
      <c r="S551"/>
      <c r="T551"/>
      <c r="U551"/>
    </row>
    <row r="552" spans="10:21" s="1" customFormat="1" x14ac:dyDescent="0.2">
      <c r="J552"/>
      <c r="K552"/>
      <c r="L552"/>
      <c r="M552" s="2"/>
      <c r="Q552"/>
      <c r="R552"/>
      <c r="S552"/>
      <c r="T552"/>
      <c r="U552"/>
    </row>
    <row r="553" spans="10:21" s="1" customFormat="1" x14ac:dyDescent="0.2">
      <c r="J553"/>
      <c r="K553"/>
      <c r="L553"/>
      <c r="M553" s="2"/>
      <c r="Q553"/>
      <c r="R553"/>
      <c r="S553"/>
      <c r="T553"/>
      <c r="U553"/>
    </row>
    <row r="554" spans="10:21" s="1" customFormat="1" x14ac:dyDescent="0.2">
      <c r="J554"/>
      <c r="K554"/>
      <c r="L554"/>
      <c r="M554" s="2"/>
      <c r="Q554"/>
      <c r="R554"/>
      <c r="S554"/>
      <c r="T554"/>
      <c r="U554"/>
    </row>
    <row r="555" spans="10:21" s="1" customFormat="1" x14ac:dyDescent="0.2">
      <c r="J555"/>
      <c r="K555"/>
      <c r="L555"/>
      <c r="M555" s="2"/>
      <c r="Q555"/>
      <c r="R555"/>
      <c r="S555"/>
      <c r="T555"/>
      <c r="U555"/>
    </row>
    <row r="556" spans="10:21" s="1" customFormat="1" x14ac:dyDescent="0.2">
      <c r="J556"/>
      <c r="K556"/>
      <c r="L556"/>
      <c r="M556" s="2"/>
      <c r="Q556"/>
      <c r="R556"/>
      <c r="S556"/>
      <c r="T556"/>
      <c r="U556"/>
    </row>
    <row r="557" spans="10:21" s="1" customFormat="1" x14ac:dyDescent="0.2">
      <c r="J557"/>
      <c r="K557"/>
      <c r="L557"/>
      <c r="M557" s="2"/>
      <c r="Q557"/>
      <c r="R557"/>
      <c r="S557"/>
      <c r="T557"/>
      <c r="U557"/>
    </row>
    <row r="558" spans="10:21" s="1" customFormat="1" x14ac:dyDescent="0.2">
      <c r="J558"/>
      <c r="K558"/>
      <c r="L558"/>
      <c r="M558" s="2"/>
      <c r="Q558"/>
      <c r="R558"/>
      <c r="S558"/>
      <c r="T558"/>
      <c r="U558"/>
    </row>
    <row r="559" spans="10:21" s="1" customFormat="1" x14ac:dyDescent="0.2">
      <c r="J559"/>
      <c r="K559"/>
      <c r="L559"/>
      <c r="M559" s="2"/>
      <c r="Q559"/>
      <c r="R559"/>
      <c r="S559"/>
      <c r="T559"/>
      <c r="U559"/>
    </row>
    <row r="560" spans="10:21" s="1" customFormat="1" x14ac:dyDescent="0.2">
      <c r="J560"/>
      <c r="K560"/>
      <c r="L560"/>
      <c r="M560" s="2"/>
      <c r="Q560"/>
      <c r="R560"/>
      <c r="S560"/>
      <c r="T560"/>
      <c r="U560"/>
    </row>
    <row r="561" spans="10:21" s="1" customFormat="1" x14ac:dyDescent="0.2">
      <c r="J561"/>
      <c r="K561"/>
      <c r="L561"/>
      <c r="M561" s="2"/>
      <c r="Q561"/>
      <c r="R561"/>
      <c r="S561"/>
      <c r="T561"/>
      <c r="U561"/>
    </row>
    <row r="562" spans="10:21" s="1" customFormat="1" x14ac:dyDescent="0.2">
      <c r="J562"/>
      <c r="K562"/>
      <c r="L562"/>
      <c r="M562" s="2"/>
      <c r="Q562"/>
      <c r="R562"/>
      <c r="S562"/>
      <c r="T562"/>
      <c r="U562"/>
    </row>
    <row r="563" spans="10:21" s="1" customFormat="1" x14ac:dyDescent="0.2">
      <c r="J563"/>
      <c r="K563"/>
      <c r="L563"/>
      <c r="M563" s="2"/>
      <c r="Q563"/>
      <c r="R563"/>
      <c r="S563"/>
      <c r="T563"/>
      <c r="U563"/>
    </row>
    <row r="564" spans="10:21" s="1" customFormat="1" x14ac:dyDescent="0.2">
      <c r="J564"/>
      <c r="K564"/>
      <c r="L564"/>
      <c r="M564" s="2"/>
      <c r="Q564"/>
      <c r="R564"/>
      <c r="S564"/>
      <c r="T564"/>
      <c r="U564"/>
    </row>
    <row r="565" spans="10:21" s="1" customFormat="1" x14ac:dyDescent="0.2">
      <c r="J565"/>
      <c r="K565"/>
      <c r="L565"/>
      <c r="M565" s="2"/>
      <c r="Q565"/>
      <c r="R565"/>
      <c r="S565"/>
      <c r="T565"/>
      <c r="U565"/>
    </row>
    <row r="566" spans="10:21" s="1" customFormat="1" x14ac:dyDescent="0.2">
      <c r="J566"/>
      <c r="K566"/>
      <c r="L566"/>
      <c r="M566" s="2"/>
      <c r="Q566"/>
      <c r="R566"/>
      <c r="S566"/>
      <c r="T566"/>
      <c r="U566"/>
    </row>
    <row r="567" spans="10:21" s="1" customFormat="1" x14ac:dyDescent="0.2">
      <c r="J567"/>
      <c r="K567"/>
      <c r="L567"/>
      <c r="M567" s="2"/>
      <c r="Q567"/>
      <c r="R567"/>
      <c r="S567"/>
      <c r="T567"/>
      <c r="U567"/>
    </row>
    <row r="568" spans="10:21" s="1" customFormat="1" x14ac:dyDescent="0.2">
      <c r="J568"/>
      <c r="K568"/>
      <c r="L568"/>
      <c r="M568" s="2"/>
      <c r="Q568"/>
      <c r="R568"/>
      <c r="S568"/>
      <c r="T568"/>
      <c r="U568"/>
    </row>
    <row r="569" spans="10:21" s="1" customFormat="1" x14ac:dyDescent="0.2">
      <c r="J569"/>
      <c r="K569"/>
      <c r="L569"/>
      <c r="M569" s="2"/>
      <c r="Q569"/>
      <c r="R569"/>
      <c r="S569"/>
      <c r="T569"/>
      <c r="U569"/>
    </row>
    <row r="570" spans="10:21" s="1" customFormat="1" x14ac:dyDescent="0.2">
      <c r="J570"/>
      <c r="K570"/>
      <c r="L570"/>
      <c r="M570" s="2"/>
      <c r="Q570"/>
      <c r="R570"/>
      <c r="S570"/>
      <c r="T570"/>
      <c r="U570"/>
    </row>
    <row r="571" spans="10:21" s="1" customFormat="1" x14ac:dyDescent="0.2">
      <c r="J571"/>
      <c r="K571"/>
      <c r="L571"/>
      <c r="M571" s="2"/>
      <c r="Q571"/>
      <c r="R571"/>
      <c r="S571"/>
      <c r="T571"/>
      <c r="U571"/>
    </row>
    <row r="572" spans="10:21" s="1" customFormat="1" x14ac:dyDescent="0.2">
      <c r="J572"/>
      <c r="K572"/>
      <c r="L572"/>
      <c r="M572" s="2"/>
      <c r="Q572"/>
      <c r="R572"/>
      <c r="S572"/>
      <c r="T572"/>
      <c r="U572"/>
    </row>
    <row r="573" spans="10:21" s="1" customFormat="1" x14ac:dyDescent="0.2">
      <c r="J573"/>
      <c r="K573"/>
      <c r="L573"/>
      <c r="M573" s="2"/>
      <c r="Q573"/>
      <c r="R573"/>
      <c r="S573"/>
      <c r="T573"/>
      <c r="U573"/>
    </row>
    <row r="574" spans="10:21" s="1" customFormat="1" x14ac:dyDescent="0.2">
      <c r="J574"/>
      <c r="K574"/>
      <c r="L574"/>
      <c r="M574" s="2"/>
      <c r="Q574"/>
      <c r="R574"/>
      <c r="S574"/>
      <c r="T574"/>
      <c r="U574"/>
    </row>
    <row r="575" spans="10:21" s="1" customFormat="1" x14ac:dyDescent="0.2">
      <c r="J575"/>
      <c r="K575"/>
      <c r="L575"/>
      <c r="M575" s="2"/>
      <c r="Q575"/>
      <c r="R575"/>
      <c r="S575"/>
      <c r="T575"/>
      <c r="U575"/>
    </row>
    <row r="576" spans="10:21" s="1" customFormat="1" x14ac:dyDescent="0.2">
      <c r="J576"/>
      <c r="K576"/>
      <c r="L576"/>
      <c r="M576" s="2"/>
      <c r="Q576"/>
      <c r="R576"/>
      <c r="S576"/>
      <c r="T576"/>
      <c r="U576"/>
    </row>
    <row r="577" spans="10:21" s="1" customFormat="1" x14ac:dyDescent="0.2">
      <c r="J577"/>
      <c r="K577"/>
      <c r="L577"/>
      <c r="M577" s="2"/>
      <c r="Q577"/>
      <c r="R577"/>
      <c r="S577"/>
      <c r="T577"/>
      <c r="U577"/>
    </row>
    <row r="578" spans="10:21" s="1" customFormat="1" x14ac:dyDescent="0.2">
      <c r="J578"/>
      <c r="K578"/>
      <c r="L578"/>
      <c r="M578" s="2"/>
      <c r="Q578"/>
      <c r="R578"/>
      <c r="S578"/>
      <c r="T578"/>
      <c r="U578"/>
    </row>
    <row r="579" spans="10:21" s="1" customFormat="1" x14ac:dyDescent="0.2">
      <c r="J579"/>
      <c r="K579"/>
      <c r="L579"/>
      <c r="M579" s="2"/>
      <c r="Q579"/>
      <c r="R579"/>
      <c r="S579"/>
      <c r="T579"/>
      <c r="U579"/>
    </row>
    <row r="580" spans="10:21" s="1" customFormat="1" x14ac:dyDescent="0.2">
      <c r="J580"/>
      <c r="K580"/>
      <c r="L580"/>
      <c r="M580" s="2"/>
      <c r="Q580"/>
      <c r="R580"/>
      <c r="S580"/>
      <c r="T580"/>
      <c r="U580"/>
    </row>
    <row r="581" spans="10:21" s="1" customFormat="1" x14ac:dyDescent="0.2">
      <c r="J581"/>
      <c r="K581"/>
      <c r="L581"/>
      <c r="M581" s="2"/>
      <c r="Q581"/>
      <c r="R581"/>
      <c r="S581"/>
      <c r="T581"/>
      <c r="U581"/>
    </row>
    <row r="582" spans="10:21" s="1" customFormat="1" x14ac:dyDescent="0.2">
      <c r="J582"/>
      <c r="K582"/>
      <c r="L582"/>
      <c r="M582" s="2"/>
      <c r="Q582"/>
      <c r="R582"/>
      <c r="S582"/>
      <c r="T582"/>
      <c r="U582"/>
    </row>
    <row r="583" spans="10:21" s="1" customFormat="1" x14ac:dyDescent="0.2">
      <c r="J583"/>
      <c r="K583"/>
      <c r="L583"/>
      <c r="M583" s="2"/>
      <c r="Q583"/>
      <c r="R583"/>
      <c r="S583"/>
      <c r="T583"/>
      <c r="U583"/>
    </row>
    <row r="584" spans="10:21" s="1" customFormat="1" x14ac:dyDescent="0.2">
      <c r="J584"/>
      <c r="K584"/>
      <c r="L584"/>
      <c r="M584" s="2"/>
      <c r="Q584"/>
      <c r="R584"/>
      <c r="S584"/>
      <c r="T584"/>
      <c r="U584"/>
    </row>
    <row r="585" spans="10:21" s="1" customFormat="1" x14ac:dyDescent="0.2">
      <c r="J585"/>
      <c r="K585"/>
      <c r="L585"/>
      <c r="M585" s="2"/>
      <c r="Q585"/>
      <c r="R585"/>
      <c r="S585"/>
      <c r="T585"/>
      <c r="U585"/>
    </row>
    <row r="586" spans="10:21" s="1" customFormat="1" x14ac:dyDescent="0.2">
      <c r="J586"/>
      <c r="K586"/>
      <c r="L586"/>
      <c r="M586" s="2"/>
      <c r="Q586"/>
      <c r="R586"/>
      <c r="S586"/>
      <c r="T586"/>
      <c r="U586"/>
    </row>
    <row r="587" spans="10:21" s="1" customFormat="1" x14ac:dyDescent="0.2">
      <c r="J587"/>
      <c r="K587"/>
      <c r="L587"/>
      <c r="M587" s="2"/>
      <c r="Q587"/>
      <c r="R587"/>
      <c r="S587"/>
      <c r="T587"/>
      <c r="U587"/>
    </row>
    <row r="588" spans="10:21" s="1" customFormat="1" x14ac:dyDescent="0.2">
      <c r="J588"/>
      <c r="K588"/>
      <c r="L588"/>
      <c r="M588" s="2"/>
      <c r="Q588"/>
      <c r="R588"/>
      <c r="S588"/>
      <c r="T588"/>
      <c r="U588"/>
    </row>
    <row r="589" spans="10:21" s="1" customFormat="1" x14ac:dyDescent="0.2">
      <c r="J589"/>
      <c r="K589"/>
      <c r="L589"/>
      <c r="M589" s="2"/>
      <c r="Q589"/>
      <c r="R589"/>
      <c r="S589"/>
      <c r="T589"/>
      <c r="U589"/>
    </row>
    <row r="590" spans="10:21" s="1" customFormat="1" x14ac:dyDescent="0.2">
      <c r="J590"/>
      <c r="K590"/>
      <c r="L590"/>
      <c r="M590" s="2"/>
      <c r="Q590"/>
      <c r="R590"/>
      <c r="S590"/>
      <c r="T590"/>
      <c r="U590"/>
    </row>
    <row r="591" spans="10:21" s="1" customFormat="1" x14ac:dyDescent="0.2">
      <c r="J591"/>
      <c r="K591"/>
      <c r="L591"/>
      <c r="M591" s="2"/>
      <c r="Q591"/>
      <c r="R591"/>
      <c r="S591"/>
      <c r="T591"/>
      <c r="U591"/>
    </row>
    <row r="592" spans="10:21" s="1" customFormat="1" x14ac:dyDescent="0.2">
      <c r="J592"/>
      <c r="K592"/>
      <c r="L592"/>
      <c r="M592" s="2"/>
      <c r="Q592"/>
      <c r="R592"/>
      <c r="S592"/>
      <c r="T592"/>
      <c r="U592"/>
    </row>
    <row r="593" spans="10:21" s="1" customFormat="1" x14ac:dyDescent="0.2">
      <c r="J593"/>
      <c r="K593"/>
      <c r="L593"/>
      <c r="M593" s="2"/>
      <c r="Q593"/>
      <c r="R593"/>
      <c r="S593"/>
      <c r="T593"/>
      <c r="U593"/>
    </row>
    <row r="594" spans="10:21" s="1" customFormat="1" x14ac:dyDescent="0.2">
      <c r="J594"/>
      <c r="K594"/>
      <c r="L594"/>
      <c r="M594" s="2"/>
      <c r="Q594"/>
      <c r="R594"/>
      <c r="S594"/>
      <c r="T594"/>
      <c r="U594"/>
    </row>
    <row r="595" spans="10:21" s="1" customFormat="1" x14ac:dyDescent="0.2">
      <c r="J595"/>
      <c r="K595"/>
      <c r="L595"/>
      <c r="M595" s="2"/>
      <c r="Q595"/>
      <c r="R595"/>
      <c r="S595"/>
      <c r="T595"/>
      <c r="U595"/>
    </row>
    <row r="596" spans="10:21" s="1" customFormat="1" x14ac:dyDescent="0.2">
      <c r="J596"/>
      <c r="K596"/>
      <c r="L596"/>
      <c r="M596" s="2"/>
      <c r="Q596"/>
      <c r="R596"/>
      <c r="S596"/>
      <c r="T596"/>
      <c r="U596"/>
    </row>
    <row r="597" spans="10:21" s="1" customFormat="1" x14ac:dyDescent="0.2">
      <c r="J597"/>
      <c r="K597"/>
      <c r="L597"/>
      <c r="M597" s="2"/>
      <c r="Q597"/>
      <c r="R597"/>
      <c r="S597"/>
      <c r="T597"/>
      <c r="U597"/>
    </row>
    <row r="598" spans="10:21" s="1" customFormat="1" x14ac:dyDescent="0.2">
      <c r="J598"/>
      <c r="K598"/>
      <c r="L598"/>
      <c r="M598" s="2"/>
      <c r="Q598"/>
      <c r="R598"/>
      <c r="S598"/>
      <c r="T598"/>
      <c r="U598"/>
    </row>
    <row r="599" spans="10:21" s="1" customFormat="1" x14ac:dyDescent="0.2">
      <c r="J599"/>
      <c r="K599"/>
      <c r="L599"/>
      <c r="M599" s="2"/>
      <c r="Q599"/>
      <c r="R599"/>
      <c r="S599"/>
      <c r="T599"/>
      <c r="U599"/>
    </row>
    <row r="600" spans="10:21" s="1" customFormat="1" x14ac:dyDescent="0.2">
      <c r="J600"/>
      <c r="K600"/>
      <c r="L600"/>
      <c r="M600" s="2"/>
      <c r="Q600"/>
      <c r="R600"/>
      <c r="S600"/>
      <c r="T600"/>
      <c r="U600"/>
    </row>
    <row r="601" spans="10:21" s="1" customFormat="1" x14ac:dyDescent="0.2">
      <c r="J601"/>
      <c r="K601"/>
      <c r="L601"/>
      <c r="M601" s="2"/>
      <c r="Q601"/>
      <c r="R601"/>
      <c r="S601"/>
      <c r="T601"/>
      <c r="U601"/>
    </row>
    <row r="602" spans="10:21" s="1" customFormat="1" x14ac:dyDescent="0.2">
      <c r="J602"/>
      <c r="K602"/>
      <c r="L602"/>
      <c r="M602" s="2"/>
      <c r="Q602"/>
      <c r="R602"/>
      <c r="S602"/>
      <c r="T602"/>
      <c r="U602"/>
    </row>
    <row r="603" spans="10:21" s="1" customFormat="1" x14ac:dyDescent="0.2">
      <c r="J603"/>
      <c r="K603"/>
      <c r="L603"/>
      <c r="M603" s="2"/>
      <c r="Q603"/>
      <c r="R603"/>
      <c r="S603"/>
      <c r="T603"/>
      <c r="U603"/>
    </row>
    <row r="604" spans="10:21" s="1" customFormat="1" x14ac:dyDescent="0.2">
      <c r="J604"/>
      <c r="K604"/>
      <c r="L604"/>
      <c r="M604" s="2"/>
      <c r="Q604"/>
      <c r="R604"/>
      <c r="S604"/>
      <c r="T604"/>
      <c r="U604"/>
    </row>
    <row r="605" spans="10:21" s="1" customFormat="1" x14ac:dyDescent="0.2">
      <c r="J605"/>
      <c r="K605"/>
      <c r="L605"/>
      <c r="M605" s="2"/>
      <c r="Q605"/>
      <c r="R605"/>
      <c r="S605"/>
      <c r="T605"/>
      <c r="U605"/>
    </row>
    <row r="606" spans="10:21" s="1" customFormat="1" x14ac:dyDescent="0.2">
      <c r="J606"/>
      <c r="K606"/>
      <c r="L606"/>
      <c r="M606" s="2"/>
      <c r="Q606"/>
      <c r="R606"/>
      <c r="S606"/>
      <c r="T606"/>
      <c r="U606"/>
    </row>
    <row r="607" spans="10:21" s="1" customFormat="1" x14ac:dyDescent="0.2">
      <c r="J607"/>
      <c r="K607"/>
      <c r="L607"/>
      <c r="M607" s="2"/>
      <c r="Q607"/>
      <c r="R607"/>
      <c r="S607"/>
      <c r="T607"/>
      <c r="U607"/>
    </row>
    <row r="608" spans="10:21" s="1" customFormat="1" x14ac:dyDescent="0.2">
      <c r="J608"/>
      <c r="K608"/>
      <c r="L608"/>
      <c r="M608" s="2"/>
      <c r="Q608"/>
      <c r="R608"/>
      <c r="S608"/>
      <c r="T608"/>
      <c r="U608"/>
    </row>
    <row r="609" spans="10:21" s="1" customFormat="1" x14ac:dyDescent="0.2">
      <c r="J609"/>
      <c r="K609"/>
      <c r="L609"/>
      <c r="M609" s="2"/>
      <c r="Q609"/>
      <c r="R609"/>
      <c r="S609"/>
      <c r="T609"/>
      <c r="U609"/>
    </row>
    <row r="610" spans="10:21" s="1" customFormat="1" x14ac:dyDescent="0.2">
      <c r="J610"/>
      <c r="K610"/>
      <c r="L610"/>
      <c r="M610" s="2"/>
      <c r="Q610"/>
      <c r="R610"/>
      <c r="S610"/>
      <c r="T610"/>
      <c r="U610"/>
    </row>
    <row r="611" spans="10:21" s="1" customFormat="1" x14ac:dyDescent="0.2">
      <c r="J611"/>
      <c r="K611"/>
      <c r="L611"/>
      <c r="M611" s="2"/>
      <c r="Q611"/>
      <c r="R611"/>
      <c r="S611"/>
      <c r="T611"/>
      <c r="U611"/>
    </row>
    <row r="612" spans="10:21" s="1" customFormat="1" x14ac:dyDescent="0.2">
      <c r="J612"/>
      <c r="K612"/>
      <c r="L612"/>
      <c r="M612" s="2"/>
      <c r="Q612"/>
      <c r="R612"/>
      <c r="S612"/>
      <c r="T612"/>
      <c r="U612"/>
    </row>
    <row r="613" spans="10:21" s="1" customFormat="1" x14ac:dyDescent="0.2">
      <c r="J613"/>
      <c r="K613"/>
      <c r="L613"/>
      <c r="M613" s="2"/>
      <c r="Q613"/>
      <c r="R613"/>
      <c r="S613"/>
      <c r="T613"/>
      <c r="U613"/>
    </row>
    <row r="614" spans="10:21" s="1" customFormat="1" x14ac:dyDescent="0.2">
      <c r="J614"/>
      <c r="K614"/>
      <c r="L614"/>
      <c r="M614" s="2"/>
      <c r="Q614"/>
      <c r="R614"/>
      <c r="S614"/>
      <c r="T614"/>
      <c r="U614"/>
    </row>
    <row r="615" spans="10:21" s="1" customFormat="1" x14ac:dyDescent="0.2">
      <c r="J615"/>
      <c r="K615"/>
      <c r="L615"/>
      <c r="M615" s="2"/>
      <c r="Q615"/>
      <c r="R615"/>
      <c r="S615"/>
      <c r="T615"/>
      <c r="U615"/>
    </row>
    <row r="616" spans="10:21" s="1" customFormat="1" x14ac:dyDescent="0.2">
      <c r="J616"/>
      <c r="K616"/>
      <c r="L616"/>
      <c r="M616" s="2"/>
      <c r="Q616"/>
      <c r="R616"/>
      <c r="S616"/>
      <c r="T616"/>
      <c r="U616"/>
    </row>
    <row r="617" spans="10:21" s="1" customFormat="1" x14ac:dyDescent="0.2">
      <c r="J617"/>
      <c r="K617"/>
      <c r="L617"/>
      <c r="M617" s="2"/>
      <c r="Q617"/>
      <c r="R617"/>
      <c r="S617"/>
      <c r="T617"/>
      <c r="U617"/>
    </row>
    <row r="618" spans="10:21" s="1" customFormat="1" x14ac:dyDescent="0.2">
      <c r="J618"/>
      <c r="K618"/>
      <c r="L618"/>
      <c r="M618" s="2"/>
      <c r="Q618"/>
      <c r="R618"/>
      <c r="S618"/>
      <c r="T618"/>
      <c r="U618"/>
    </row>
    <row r="619" spans="10:21" s="1" customFormat="1" x14ac:dyDescent="0.2">
      <c r="J619"/>
      <c r="K619"/>
      <c r="L619"/>
      <c r="M619" s="2"/>
      <c r="Q619"/>
      <c r="R619"/>
      <c r="S619"/>
      <c r="T619"/>
      <c r="U619"/>
    </row>
    <row r="620" spans="10:21" s="1" customFormat="1" x14ac:dyDescent="0.2">
      <c r="J620"/>
      <c r="K620"/>
      <c r="L620"/>
      <c r="M620" s="2"/>
      <c r="Q620"/>
      <c r="R620"/>
      <c r="S620"/>
      <c r="T620"/>
      <c r="U620"/>
    </row>
    <row r="621" spans="10:21" s="1" customFormat="1" x14ac:dyDescent="0.2">
      <c r="J621"/>
      <c r="K621"/>
      <c r="L621"/>
      <c r="M621" s="2"/>
      <c r="Q621"/>
      <c r="R621"/>
      <c r="S621"/>
      <c r="T621"/>
      <c r="U621"/>
    </row>
    <row r="622" spans="10:21" s="1" customFormat="1" x14ac:dyDescent="0.2">
      <c r="J622"/>
      <c r="K622"/>
      <c r="L622"/>
      <c r="M622" s="2"/>
      <c r="Q622"/>
      <c r="R622"/>
      <c r="S622"/>
      <c r="T622"/>
      <c r="U622"/>
    </row>
    <row r="623" spans="10:21" s="1" customFormat="1" x14ac:dyDescent="0.2">
      <c r="J623"/>
      <c r="K623"/>
      <c r="L623"/>
      <c r="M623" s="2"/>
      <c r="Q623"/>
      <c r="R623"/>
      <c r="S623"/>
      <c r="T623"/>
      <c r="U623"/>
    </row>
    <row r="624" spans="10:21" s="1" customFormat="1" x14ac:dyDescent="0.2">
      <c r="J624"/>
      <c r="K624"/>
      <c r="L624"/>
      <c r="M624" s="2"/>
      <c r="Q624"/>
      <c r="R624"/>
      <c r="S624"/>
      <c r="T624"/>
      <c r="U624"/>
    </row>
    <row r="625" spans="10:21" s="1" customFormat="1" x14ac:dyDescent="0.2">
      <c r="J625"/>
      <c r="K625"/>
      <c r="L625"/>
      <c r="M625" s="2"/>
      <c r="Q625"/>
      <c r="R625"/>
      <c r="S625"/>
      <c r="T625"/>
      <c r="U625"/>
    </row>
    <row r="626" spans="10:21" s="1" customFormat="1" x14ac:dyDescent="0.2">
      <c r="J626"/>
      <c r="K626"/>
      <c r="L626"/>
      <c r="M626" s="2"/>
      <c r="Q626"/>
      <c r="R626"/>
      <c r="S626"/>
      <c r="T626"/>
      <c r="U626"/>
    </row>
    <row r="627" spans="10:21" s="1" customFormat="1" x14ac:dyDescent="0.2">
      <c r="J627"/>
      <c r="K627"/>
      <c r="L627"/>
      <c r="M627" s="2"/>
      <c r="Q627"/>
      <c r="R627"/>
      <c r="S627"/>
      <c r="T627"/>
      <c r="U627"/>
    </row>
    <row r="628" spans="10:21" s="1" customFormat="1" x14ac:dyDescent="0.2">
      <c r="J628"/>
      <c r="K628"/>
      <c r="L628"/>
      <c r="M628" s="2"/>
      <c r="Q628"/>
      <c r="R628"/>
      <c r="S628"/>
      <c r="T628"/>
      <c r="U628"/>
    </row>
    <row r="629" spans="10:21" s="1" customFormat="1" x14ac:dyDescent="0.2">
      <c r="J629"/>
      <c r="K629"/>
      <c r="L629"/>
      <c r="M629" s="2"/>
      <c r="Q629"/>
      <c r="R629"/>
      <c r="S629"/>
      <c r="T629"/>
      <c r="U629"/>
    </row>
    <row r="630" spans="10:21" s="1" customFormat="1" x14ac:dyDescent="0.2">
      <c r="J630"/>
      <c r="K630"/>
      <c r="L630"/>
      <c r="M630" s="2"/>
      <c r="Q630"/>
      <c r="R630"/>
      <c r="S630"/>
      <c r="T630"/>
      <c r="U630"/>
    </row>
    <row r="631" spans="10:21" s="1" customFormat="1" x14ac:dyDescent="0.2">
      <c r="J631"/>
      <c r="K631"/>
      <c r="L631"/>
      <c r="M631" s="2"/>
      <c r="Q631"/>
      <c r="R631"/>
      <c r="S631"/>
      <c r="T631"/>
      <c r="U631"/>
    </row>
    <row r="632" spans="10:21" s="1" customFormat="1" x14ac:dyDescent="0.2">
      <c r="J632"/>
      <c r="K632"/>
      <c r="L632"/>
      <c r="M632" s="2"/>
      <c r="Q632"/>
      <c r="R632"/>
      <c r="S632"/>
      <c r="T632"/>
      <c r="U632"/>
    </row>
    <row r="633" spans="10:21" s="1" customFormat="1" x14ac:dyDescent="0.2">
      <c r="J633"/>
      <c r="K633"/>
      <c r="L633"/>
      <c r="M633" s="2"/>
      <c r="Q633"/>
      <c r="R633"/>
      <c r="S633"/>
      <c r="T633"/>
      <c r="U633"/>
    </row>
    <row r="634" spans="10:21" s="1" customFormat="1" x14ac:dyDescent="0.2">
      <c r="J634"/>
      <c r="K634"/>
      <c r="L634"/>
      <c r="M634" s="2"/>
      <c r="Q634"/>
      <c r="R634"/>
      <c r="S634"/>
      <c r="T634"/>
      <c r="U634"/>
    </row>
    <row r="635" spans="10:21" s="1" customFormat="1" x14ac:dyDescent="0.2">
      <c r="J635"/>
      <c r="K635"/>
      <c r="L635"/>
      <c r="M635" s="2"/>
      <c r="Q635"/>
      <c r="R635"/>
      <c r="S635"/>
      <c r="T635"/>
      <c r="U635"/>
    </row>
    <row r="636" spans="10:21" s="1" customFormat="1" x14ac:dyDescent="0.2">
      <c r="J636"/>
      <c r="K636"/>
      <c r="L636"/>
      <c r="M636" s="2"/>
      <c r="Q636"/>
      <c r="R636"/>
      <c r="S636"/>
      <c r="T636"/>
      <c r="U636"/>
    </row>
    <row r="637" spans="10:21" s="1" customFormat="1" x14ac:dyDescent="0.2">
      <c r="J637"/>
      <c r="K637"/>
      <c r="L637"/>
      <c r="M637" s="2"/>
      <c r="Q637"/>
      <c r="R637"/>
      <c r="S637"/>
      <c r="T637"/>
      <c r="U637"/>
    </row>
    <row r="638" spans="10:21" s="1" customFormat="1" x14ac:dyDescent="0.2">
      <c r="J638"/>
      <c r="K638"/>
      <c r="L638"/>
      <c r="M638" s="2"/>
      <c r="Q638"/>
      <c r="R638"/>
      <c r="S638"/>
      <c r="T638"/>
      <c r="U638"/>
    </row>
    <row r="639" spans="10:21" s="1" customFormat="1" x14ac:dyDescent="0.2">
      <c r="J639"/>
      <c r="K639"/>
      <c r="L639"/>
      <c r="M639" s="2"/>
      <c r="Q639"/>
      <c r="R639"/>
      <c r="S639"/>
      <c r="T639"/>
      <c r="U639"/>
    </row>
    <row r="640" spans="10:21" s="1" customFormat="1" x14ac:dyDescent="0.2">
      <c r="J640"/>
      <c r="K640"/>
      <c r="L640"/>
      <c r="M640" s="2"/>
      <c r="Q640"/>
      <c r="R640"/>
      <c r="S640"/>
      <c r="T640"/>
      <c r="U640"/>
    </row>
    <row r="641" spans="10:21" s="1" customFormat="1" x14ac:dyDescent="0.2">
      <c r="J641"/>
      <c r="K641"/>
      <c r="L641"/>
      <c r="M641" s="2"/>
      <c r="Q641"/>
      <c r="R641"/>
      <c r="S641"/>
      <c r="T641"/>
      <c r="U641"/>
    </row>
    <row r="642" spans="10:21" s="1" customFormat="1" x14ac:dyDescent="0.2">
      <c r="J642"/>
      <c r="K642"/>
      <c r="L642"/>
      <c r="M642" s="2"/>
      <c r="Q642"/>
      <c r="R642"/>
      <c r="S642"/>
      <c r="T642"/>
      <c r="U642"/>
    </row>
    <row r="643" spans="10:21" s="1" customFormat="1" x14ac:dyDescent="0.2">
      <c r="J643"/>
      <c r="K643"/>
      <c r="L643"/>
      <c r="M643" s="2"/>
      <c r="Q643"/>
      <c r="R643"/>
      <c r="S643"/>
      <c r="T643"/>
      <c r="U643"/>
    </row>
    <row r="644" spans="10:21" s="1" customFormat="1" x14ac:dyDescent="0.2">
      <c r="J644"/>
      <c r="K644"/>
      <c r="L644"/>
      <c r="M644" s="2"/>
      <c r="Q644"/>
      <c r="R644"/>
      <c r="S644"/>
      <c r="T644"/>
      <c r="U644"/>
    </row>
    <row r="645" spans="10:21" s="1" customFormat="1" x14ac:dyDescent="0.2">
      <c r="J645"/>
      <c r="K645"/>
      <c r="L645"/>
      <c r="M645" s="2"/>
      <c r="Q645"/>
      <c r="R645"/>
      <c r="S645"/>
      <c r="T645"/>
      <c r="U645"/>
    </row>
    <row r="646" spans="10:21" s="1" customFormat="1" x14ac:dyDescent="0.2">
      <c r="J646"/>
      <c r="K646"/>
      <c r="L646"/>
      <c r="M646" s="2"/>
      <c r="Q646"/>
      <c r="R646"/>
      <c r="S646"/>
      <c r="T646"/>
      <c r="U646"/>
    </row>
    <row r="647" spans="10:21" s="1" customFormat="1" x14ac:dyDescent="0.2">
      <c r="J647"/>
      <c r="K647"/>
      <c r="L647"/>
      <c r="M647" s="2"/>
      <c r="Q647"/>
      <c r="R647"/>
      <c r="S647"/>
      <c r="T647"/>
      <c r="U647"/>
    </row>
    <row r="648" spans="10:21" s="1" customFormat="1" x14ac:dyDescent="0.2">
      <c r="J648"/>
      <c r="K648"/>
      <c r="L648"/>
      <c r="M648" s="2"/>
      <c r="Q648"/>
      <c r="R648"/>
      <c r="S648"/>
      <c r="T648"/>
      <c r="U648"/>
    </row>
    <row r="649" spans="10:21" s="1" customFormat="1" x14ac:dyDescent="0.2">
      <c r="J649"/>
      <c r="K649"/>
      <c r="L649"/>
      <c r="M649" s="2"/>
      <c r="Q649"/>
      <c r="R649"/>
      <c r="S649"/>
      <c r="T649"/>
      <c r="U649"/>
    </row>
    <row r="650" spans="10:21" s="1" customFormat="1" x14ac:dyDescent="0.2">
      <c r="J650"/>
      <c r="K650"/>
      <c r="L650"/>
      <c r="M650" s="2"/>
      <c r="Q650"/>
      <c r="R650"/>
      <c r="S650"/>
      <c r="T650"/>
      <c r="U650"/>
    </row>
    <row r="651" spans="10:21" s="1" customFormat="1" x14ac:dyDescent="0.2">
      <c r="J651"/>
      <c r="K651"/>
      <c r="L651"/>
      <c r="M651" s="2"/>
      <c r="Q651"/>
      <c r="R651"/>
      <c r="S651"/>
      <c r="T651"/>
      <c r="U651"/>
    </row>
    <row r="652" spans="10:21" s="1" customFormat="1" x14ac:dyDescent="0.2">
      <c r="J652"/>
      <c r="K652"/>
      <c r="L652"/>
      <c r="M652" s="2"/>
      <c r="Q652"/>
      <c r="R652"/>
      <c r="S652"/>
      <c r="T652"/>
      <c r="U652"/>
    </row>
    <row r="653" spans="10:21" s="1" customFormat="1" x14ac:dyDescent="0.2">
      <c r="J653"/>
      <c r="K653"/>
      <c r="L653"/>
      <c r="M653" s="2"/>
      <c r="Q653"/>
      <c r="R653"/>
      <c r="S653"/>
      <c r="T653"/>
      <c r="U653"/>
    </row>
    <row r="654" spans="10:21" s="1" customFormat="1" x14ac:dyDescent="0.2">
      <c r="J654"/>
      <c r="K654"/>
      <c r="L654"/>
      <c r="M654" s="2"/>
      <c r="Q654"/>
      <c r="R654"/>
      <c r="S654"/>
      <c r="T654"/>
      <c r="U654"/>
    </row>
    <row r="655" spans="10:21" s="1" customFormat="1" x14ac:dyDescent="0.2">
      <c r="J655"/>
      <c r="K655"/>
      <c r="L655"/>
      <c r="M655" s="2"/>
      <c r="Q655"/>
      <c r="R655"/>
      <c r="S655"/>
      <c r="T655"/>
      <c r="U655"/>
    </row>
    <row r="656" spans="10:21" s="1" customFormat="1" x14ac:dyDescent="0.2">
      <c r="J656"/>
      <c r="K656"/>
      <c r="L656"/>
      <c r="M656" s="2"/>
      <c r="Q656"/>
      <c r="R656"/>
      <c r="S656"/>
      <c r="T656"/>
      <c r="U656"/>
    </row>
    <row r="657" spans="10:21" s="1" customFormat="1" x14ac:dyDescent="0.2">
      <c r="J657"/>
      <c r="K657"/>
      <c r="L657"/>
      <c r="M657" s="2"/>
      <c r="Q657"/>
      <c r="R657"/>
      <c r="S657"/>
      <c r="T657"/>
      <c r="U657"/>
    </row>
    <row r="658" spans="10:21" s="1" customFormat="1" x14ac:dyDescent="0.2">
      <c r="J658"/>
      <c r="K658"/>
      <c r="L658"/>
      <c r="M658" s="2"/>
      <c r="Q658"/>
      <c r="R658"/>
      <c r="S658"/>
      <c r="T658"/>
      <c r="U658"/>
    </row>
    <row r="659" spans="10:21" s="1" customFormat="1" x14ac:dyDescent="0.2">
      <c r="J659"/>
      <c r="K659"/>
      <c r="L659"/>
      <c r="M659" s="2"/>
      <c r="Q659"/>
      <c r="R659"/>
      <c r="S659"/>
      <c r="T659"/>
      <c r="U659"/>
    </row>
    <row r="660" spans="10:21" s="1" customFormat="1" x14ac:dyDescent="0.2">
      <c r="J660"/>
      <c r="K660"/>
      <c r="L660"/>
      <c r="M660" s="2"/>
      <c r="Q660"/>
      <c r="R660"/>
      <c r="S660"/>
      <c r="T660"/>
      <c r="U660"/>
    </row>
    <row r="661" spans="10:21" s="1" customFormat="1" x14ac:dyDescent="0.2">
      <c r="J661"/>
      <c r="K661"/>
      <c r="L661"/>
      <c r="M661" s="2"/>
      <c r="Q661"/>
      <c r="R661"/>
      <c r="S661"/>
      <c r="T661"/>
      <c r="U661"/>
    </row>
    <row r="662" spans="10:21" s="1" customFormat="1" x14ac:dyDescent="0.2">
      <c r="J662"/>
      <c r="K662"/>
      <c r="L662"/>
      <c r="M662" s="2"/>
      <c r="Q662"/>
      <c r="R662"/>
      <c r="S662"/>
      <c r="T662"/>
      <c r="U662"/>
    </row>
    <row r="663" spans="10:21" s="1" customFormat="1" x14ac:dyDescent="0.2">
      <c r="J663"/>
      <c r="K663"/>
      <c r="L663"/>
      <c r="M663" s="2"/>
      <c r="Q663"/>
      <c r="R663"/>
      <c r="S663"/>
      <c r="T663"/>
      <c r="U663"/>
    </row>
    <row r="664" spans="10:21" s="1" customFormat="1" x14ac:dyDescent="0.2">
      <c r="J664"/>
      <c r="K664"/>
      <c r="L664"/>
      <c r="M664" s="2"/>
      <c r="Q664"/>
      <c r="R664"/>
      <c r="S664"/>
      <c r="T664"/>
      <c r="U664"/>
    </row>
    <row r="665" spans="10:21" s="1" customFormat="1" x14ac:dyDescent="0.2">
      <c r="J665"/>
      <c r="K665"/>
      <c r="L665"/>
      <c r="M665" s="2"/>
      <c r="Q665"/>
      <c r="R665"/>
      <c r="S665"/>
      <c r="T665"/>
      <c r="U665"/>
    </row>
    <row r="666" spans="10:21" s="1" customFormat="1" x14ac:dyDescent="0.2">
      <c r="J666"/>
      <c r="K666"/>
      <c r="L666"/>
      <c r="M666" s="2"/>
      <c r="Q666"/>
      <c r="R666"/>
      <c r="S666"/>
      <c r="T666"/>
      <c r="U666"/>
    </row>
    <row r="667" spans="10:21" s="1" customFormat="1" x14ac:dyDescent="0.2">
      <c r="J667"/>
      <c r="K667"/>
      <c r="L667"/>
      <c r="M667" s="2"/>
      <c r="Q667"/>
      <c r="R667"/>
      <c r="S667"/>
      <c r="T667"/>
      <c r="U667"/>
    </row>
    <row r="668" spans="10:21" s="1" customFormat="1" x14ac:dyDescent="0.2">
      <c r="J668"/>
      <c r="K668"/>
      <c r="L668"/>
      <c r="M668" s="2"/>
      <c r="Q668"/>
      <c r="R668"/>
      <c r="S668"/>
      <c r="T668"/>
      <c r="U668"/>
    </row>
    <row r="669" spans="10:21" s="1" customFormat="1" x14ac:dyDescent="0.2">
      <c r="J669"/>
      <c r="K669"/>
      <c r="L669"/>
      <c r="M669" s="2"/>
      <c r="Q669"/>
      <c r="R669"/>
      <c r="S669"/>
      <c r="T669"/>
      <c r="U669"/>
    </row>
    <row r="670" spans="10:21" s="1" customFormat="1" x14ac:dyDescent="0.2">
      <c r="J670"/>
      <c r="K670"/>
      <c r="L670"/>
      <c r="M670" s="2"/>
      <c r="Q670"/>
      <c r="R670"/>
      <c r="S670"/>
      <c r="T670"/>
      <c r="U670"/>
    </row>
    <row r="671" spans="10:21" s="1" customFormat="1" x14ac:dyDescent="0.2">
      <c r="J671"/>
      <c r="K671"/>
      <c r="L671"/>
      <c r="M671" s="2"/>
      <c r="Q671"/>
      <c r="R671"/>
      <c r="S671"/>
      <c r="T671"/>
      <c r="U671"/>
    </row>
    <row r="672" spans="10:21" s="1" customFormat="1" x14ac:dyDescent="0.2">
      <c r="J672"/>
      <c r="K672"/>
      <c r="L672"/>
      <c r="M672" s="2"/>
      <c r="Q672"/>
      <c r="R672"/>
      <c r="S672"/>
      <c r="T672"/>
      <c r="U672"/>
    </row>
    <row r="673" spans="10:21" s="1" customFormat="1" x14ac:dyDescent="0.2">
      <c r="J673"/>
      <c r="K673"/>
      <c r="L673"/>
      <c r="M673" s="2"/>
      <c r="Q673"/>
      <c r="R673"/>
      <c r="S673"/>
      <c r="T673"/>
      <c r="U673"/>
    </row>
    <row r="674" spans="10:21" s="1" customFormat="1" x14ac:dyDescent="0.2">
      <c r="J674"/>
      <c r="K674"/>
      <c r="L674"/>
      <c r="M674" s="2"/>
      <c r="Q674"/>
      <c r="R674"/>
      <c r="S674"/>
      <c r="T674"/>
      <c r="U674"/>
    </row>
    <row r="675" spans="10:21" s="1" customFormat="1" x14ac:dyDescent="0.2">
      <c r="J675"/>
      <c r="K675"/>
      <c r="L675"/>
      <c r="M675" s="2"/>
      <c r="Q675"/>
      <c r="R675"/>
      <c r="S675"/>
      <c r="T675"/>
      <c r="U675"/>
    </row>
    <row r="676" spans="10:21" s="1" customFormat="1" x14ac:dyDescent="0.2">
      <c r="J676"/>
      <c r="K676"/>
      <c r="L676"/>
      <c r="M676" s="2"/>
      <c r="Q676"/>
      <c r="R676"/>
      <c r="S676"/>
      <c r="T676"/>
      <c r="U676"/>
    </row>
    <row r="677" spans="10:21" s="1" customFormat="1" x14ac:dyDescent="0.2">
      <c r="J677"/>
      <c r="K677"/>
      <c r="L677"/>
      <c r="M677" s="2"/>
      <c r="Q677"/>
      <c r="R677"/>
      <c r="S677"/>
      <c r="T677"/>
      <c r="U677"/>
    </row>
    <row r="678" spans="10:21" s="1" customFormat="1" x14ac:dyDescent="0.2">
      <c r="J678"/>
      <c r="K678"/>
      <c r="L678"/>
      <c r="M678" s="2"/>
      <c r="Q678"/>
      <c r="R678"/>
      <c r="S678"/>
      <c r="T678"/>
      <c r="U678"/>
    </row>
    <row r="679" spans="10:21" s="1" customFormat="1" x14ac:dyDescent="0.2">
      <c r="J679"/>
      <c r="K679"/>
      <c r="L679"/>
      <c r="M679" s="2"/>
      <c r="Q679"/>
      <c r="R679"/>
      <c r="S679"/>
      <c r="T679"/>
      <c r="U679"/>
    </row>
    <row r="680" spans="10:21" s="1" customFormat="1" x14ac:dyDescent="0.2">
      <c r="J680"/>
      <c r="K680"/>
      <c r="L680"/>
      <c r="M680" s="2"/>
      <c r="Q680"/>
      <c r="R680"/>
      <c r="S680"/>
      <c r="T680"/>
      <c r="U680"/>
    </row>
    <row r="681" spans="10:21" s="1" customFormat="1" x14ac:dyDescent="0.2">
      <c r="J681"/>
      <c r="K681"/>
      <c r="L681"/>
      <c r="M681" s="2"/>
      <c r="Q681"/>
      <c r="R681"/>
      <c r="S681"/>
      <c r="T681"/>
      <c r="U681"/>
    </row>
    <row r="682" spans="10:21" s="1" customFormat="1" x14ac:dyDescent="0.2">
      <c r="J682"/>
      <c r="K682"/>
      <c r="L682"/>
      <c r="M682" s="2"/>
      <c r="Q682"/>
      <c r="R682"/>
      <c r="S682"/>
      <c r="T682"/>
      <c r="U682"/>
    </row>
    <row r="683" spans="10:21" s="1" customFormat="1" x14ac:dyDescent="0.2">
      <c r="J683"/>
      <c r="K683"/>
      <c r="L683"/>
      <c r="M683" s="2"/>
      <c r="Q683"/>
      <c r="R683"/>
      <c r="S683"/>
      <c r="T683"/>
      <c r="U683"/>
    </row>
    <row r="684" spans="10:21" s="1" customFormat="1" x14ac:dyDescent="0.2">
      <c r="J684"/>
      <c r="K684"/>
      <c r="L684"/>
      <c r="M684" s="2"/>
      <c r="Q684"/>
      <c r="R684"/>
      <c r="S684"/>
      <c r="T684"/>
      <c r="U684"/>
    </row>
    <row r="685" spans="10:21" s="1" customFormat="1" x14ac:dyDescent="0.2">
      <c r="J685"/>
      <c r="K685"/>
      <c r="L685"/>
      <c r="M685" s="2"/>
      <c r="Q685"/>
      <c r="R685"/>
      <c r="S685"/>
      <c r="T685"/>
      <c r="U685"/>
    </row>
    <row r="686" spans="10:21" s="1" customFormat="1" x14ac:dyDescent="0.2">
      <c r="J686"/>
      <c r="K686"/>
      <c r="L686"/>
      <c r="M686" s="2"/>
      <c r="Q686"/>
      <c r="R686"/>
      <c r="S686"/>
      <c r="T686"/>
      <c r="U686"/>
    </row>
    <row r="687" spans="10:21" s="1" customFormat="1" x14ac:dyDescent="0.2">
      <c r="J687"/>
      <c r="K687"/>
      <c r="L687"/>
      <c r="M687" s="2"/>
      <c r="Q687"/>
      <c r="R687"/>
      <c r="S687"/>
      <c r="T687"/>
      <c r="U687"/>
    </row>
    <row r="688" spans="10:21" s="1" customFormat="1" x14ac:dyDescent="0.2">
      <c r="J688"/>
      <c r="K688"/>
      <c r="L688"/>
      <c r="M688" s="2"/>
      <c r="Q688"/>
      <c r="R688"/>
      <c r="S688"/>
      <c r="T688"/>
      <c r="U688"/>
    </row>
    <row r="689" spans="10:21" s="1" customFormat="1" x14ac:dyDescent="0.2">
      <c r="J689"/>
      <c r="K689"/>
      <c r="L689"/>
      <c r="M689" s="2"/>
      <c r="Q689"/>
      <c r="R689"/>
      <c r="S689"/>
      <c r="T689"/>
      <c r="U689"/>
    </row>
    <row r="690" spans="10:21" s="1" customFormat="1" x14ac:dyDescent="0.2">
      <c r="J690"/>
      <c r="K690"/>
      <c r="L690"/>
      <c r="M690" s="2"/>
      <c r="Q690"/>
      <c r="R690"/>
      <c r="S690"/>
      <c r="T690"/>
      <c r="U690"/>
    </row>
    <row r="691" spans="10:21" s="1" customFormat="1" x14ac:dyDescent="0.2">
      <c r="J691"/>
      <c r="K691"/>
      <c r="L691"/>
      <c r="M691" s="2"/>
      <c r="Q691"/>
      <c r="R691"/>
      <c r="S691"/>
      <c r="T691"/>
      <c r="U691"/>
    </row>
    <row r="692" spans="10:21" s="1" customFormat="1" x14ac:dyDescent="0.2">
      <c r="J692"/>
      <c r="K692"/>
      <c r="L692"/>
      <c r="M692" s="2"/>
      <c r="Q692"/>
      <c r="R692"/>
      <c r="S692"/>
      <c r="T692"/>
      <c r="U692"/>
    </row>
    <row r="693" spans="10:21" s="1" customFormat="1" x14ac:dyDescent="0.2">
      <c r="J693"/>
      <c r="K693"/>
      <c r="L693"/>
      <c r="M693" s="2"/>
      <c r="Q693"/>
      <c r="R693"/>
      <c r="S693"/>
      <c r="T693"/>
      <c r="U693"/>
    </row>
    <row r="694" spans="10:21" s="1" customFormat="1" x14ac:dyDescent="0.2">
      <c r="J694"/>
      <c r="K694"/>
      <c r="L694"/>
      <c r="M694" s="2"/>
      <c r="Q694"/>
      <c r="R694"/>
      <c r="S694"/>
      <c r="T694"/>
      <c r="U694"/>
    </row>
    <row r="695" spans="10:21" s="1" customFormat="1" x14ac:dyDescent="0.2">
      <c r="J695"/>
      <c r="K695"/>
      <c r="L695"/>
      <c r="M695" s="2"/>
      <c r="Q695"/>
      <c r="R695"/>
      <c r="S695"/>
      <c r="T695"/>
      <c r="U695"/>
    </row>
    <row r="696" spans="10:21" s="1" customFormat="1" x14ac:dyDescent="0.2">
      <c r="J696"/>
      <c r="K696"/>
      <c r="L696"/>
      <c r="M696" s="2"/>
      <c r="Q696"/>
      <c r="R696"/>
      <c r="S696"/>
      <c r="T696"/>
      <c r="U696"/>
    </row>
    <row r="697" spans="10:21" s="1" customFormat="1" x14ac:dyDescent="0.2">
      <c r="J697"/>
      <c r="K697"/>
      <c r="L697"/>
      <c r="M697" s="2"/>
      <c r="Q697"/>
      <c r="R697"/>
      <c r="S697"/>
      <c r="T697"/>
      <c r="U697"/>
    </row>
    <row r="698" spans="10:21" s="1" customFormat="1" x14ac:dyDescent="0.2">
      <c r="J698"/>
      <c r="K698"/>
      <c r="L698"/>
      <c r="M698" s="2"/>
      <c r="Q698"/>
      <c r="R698"/>
      <c r="S698"/>
      <c r="T698"/>
      <c r="U698"/>
    </row>
    <row r="699" spans="10:21" s="1" customFormat="1" x14ac:dyDescent="0.2">
      <c r="J699"/>
      <c r="K699"/>
      <c r="L699"/>
      <c r="M699" s="2"/>
      <c r="Q699"/>
      <c r="R699"/>
      <c r="S699"/>
      <c r="T699"/>
      <c r="U699"/>
    </row>
    <row r="700" spans="10:21" s="1" customFormat="1" x14ac:dyDescent="0.2">
      <c r="J700"/>
      <c r="K700"/>
      <c r="L700"/>
      <c r="M700" s="2"/>
      <c r="Q700"/>
      <c r="R700"/>
      <c r="S700"/>
      <c r="T700"/>
      <c r="U700"/>
    </row>
    <row r="701" spans="10:21" s="1" customFormat="1" x14ac:dyDescent="0.2">
      <c r="J701"/>
      <c r="K701"/>
      <c r="L701"/>
      <c r="M701" s="2"/>
      <c r="Q701"/>
      <c r="R701"/>
      <c r="S701"/>
      <c r="T701"/>
      <c r="U701"/>
    </row>
    <row r="702" spans="10:21" s="1" customFormat="1" x14ac:dyDescent="0.2">
      <c r="J702"/>
      <c r="K702"/>
      <c r="L702"/>
      <c r="M702" s="2"/>
      <c r="Q702"/>
      <c r="R702"/>
      <c r="S702"/>
      <c r="T702"/>
      <c r="U702"/>
    </row>
    <row r="703" spans="10:21" s="1" customFormat="1" x14ac:dyDescent="0.2">
      <c r="J703"/>
      <c r="K703"/>
      <c r="L703"/>
      <c r="M703" s="2"/>
      <c r="Q703"/>
      <c r="R703"/>
      <c r="S703"/>
      <c r="T703"/>
      <c r="U703"/>
    </row>
    <row r="704" spans="10:21" s="1" customFormat="1" x14ac:dyDescent="0.2">
      <c r="J704"/>
      <c r="K704"/>
      <c r="L704"/>
      <c r="M704" s="2"/>
      <c r="Q704"/>
      <c r="R704"/>
      <c r="S704"/>
      <c r="T704"/>
      <c r="U704"/>
    </row>
    <row r="705" spans="10:21" s="1" customFormat="1" x14ac:dyDescent="0.2">
      <c r="J705"/>
      <c r="K705"/>
      <c r="L705"/>
      <c r="M705" s="2"/>
      <c r="Q705"/>
      <c r="R705"/>
      <c r="S705"/>
      <c r="T705"/>
      <c r="U705"/>
    </row>
    <row r="706" spans="10:21" s="1" customFormat="1" x14ac:dyDescent="0.2">
      <c r="J706"/>
      <c r="K706"/>
      <c r="L706"/>
      <c r="M706" s="2"/>
      <c r="Q706"/>
      <c r="R706"/>
      <c r="S706"/>
      <c r="T706"/>
      <c r="U706"/>
    </row>
    <row r="707" spans="10:21" s="1" customFormat="1" x14ac:dyDescent="0.2">
      <c r="J707"/>
      <c r="K707"/>
      <c r="L707"/>
      <c r="M707" s="2"/>
      <c r="Q707"/>
      <c r="R707"/>
      <c r="S707"/>
      <c r="T707"/>
      <c r="U707"/>
    </row>
    <row r="708" spans="10:21" s="1" customFormat="1" x14ac:dyDescent="0.2">
      <c r="J708"/>
      <c r="K708"/>
      <c r="L708"/>
      <c r="M708" s="2"/>
      <c r="Q708"/>
      <c r="R708"/>
      <c r="S708"/>
      <c r="T708"/>
      <c r="U708"/>
    </row>
    <row r="709" spans="10:21" s="1" customFormat="1" x14ac:dyDescent="0.2">
      <c r="J709"/>
      <c r="K709"/>
      <c r="L709"/>
      <c r="M709" s="2"/>
      <c r="Q709"/>
      <c r="R709"/>
      <c r="S709"/>
      <c r="T709"/>
      <c r="U709"/>
    </row>
    <row r="710" spans="10:21" s="1" customFormat="1" x14ac:dyDescent="0.2">
      <c r="J710"/>
      <c r="K710"/>
      <c r="L710"/>
      <c r="M710" s="2"/>
      <c r="Q710"/>
      <c r="R710"/>
      <c r="S710"/>
      <c r="T710"/>
      <c r="U710"/>
    </row>
    <row r="711" spans="10:21" s="1" customFormat="1" x14ac:dyDescent="0.2">
      <c r="J711"/>
      <c r="K711"/>
      <c r="L711"/>
      <c r="M711" s="2"/>
      <c r="Q711"/>
      <c r="R711"/>
      <c r="S711"/>
      <c r="T711"/>
      <c r="U711"/>
    </row>
    <row r="712" spans="10:21" s="1" customFormat="1" x14ac:dyDescent="0.2">
      <c r="J712"/>
      <c r="K712"/>
      <c r="L712"/>
      <c r="M712" s="2"/>
      <c r="Q712"/>
      <c r="R712"/>
      <c r="S712"/>
      <c r="T712"/>
      <c r="U712"/>
    </row>
    <row r="713" spans="10:21" s="1" customFormat="1" x14ac:dyDescent="0.2">
      <c r="J713"/>
      <c r="K713"/>
      <c r="L713"/>
      <c r="M713" s="2"/>
      <c r="Q713"/>
      <c r="R713"/>
      <c r="S713"/>
      <c r="T713"/>
      <c r="U713"/>
    </row>
    <row r="714" spans="10:21" s="1" customFormat="1" x14ac:dyDescent="0.2">
      <c r="J714"/>
      <c r="K714"/>
      <c r="L714"/>
      <c r="M714" s="2"/>
      <c r="Q714"/>
      <c r="R714"/>
      <c r="S714"/>
      <c r="T714"/>
      <c r="U714"/>
    </row>
    <row r="715" spans="10:21" s="1" customFormat="1" x14ac:dyDescent="0.2">
      <c r="J715"/>
      <c r="K715"/>
      <c r="L715"/>
      <c r="M715" s="2"/>
      <c r="Q715"/>
      <c r="R715"/>
      <c r="S715"/>
      <c r="T715"/>
      <c r="U715"/>
    </row>
    <row r="716" spans="10:21" s="1" customFormat="1" x14ac:dyDescent="0.2">
      <c r="J716"/>
      <c r="K716"/>
      <c r="L716"/>
      <c r="M716" s="2"/>
      <c r="Q716"/>
      <c r="R716"/>
      <c r="S716"/>
      <c r="T716"/>
      <c r="U716"/>
    </row>
    <row r="717" spans="10:21" s="1" customFormat="1" x14ac:dyDescent="0.2">
      <c r="J717"/>
      <c r="K717"/>
      <c r="L717"/>
      <c r="M717" s="2"/>
      <c r="Q717"/>
      <c r="R717"/>
      <c r="S717"/>
      <c r="T717"/>
      <c r="U717"/>
    </row>
    <row r="718" spans="10:21" s="1" customFormat="1" x14ac:dyDescent="0.2">
      <c r="J718"/>
      <c r="K718"/>
      <c r="L718"/>
      <c r="M718" s="2"/>
      <c r="Q718"/>
      <c r="R718"/>
      <c r="S718"/>
      <c r="T718"/>
      <c r="U718"/>
    </row>
    <row r="719" spans="10:21" s="1" customFormat="1" x14ac:dyDescent="0.2">
      <c r="J719"/>
      <c r="K719"/>
      <c r="L719"/>
      <c r="M719" s="2"/>
      <c r="Q719"/>
      <c r="R719"/>
      <c r="S719"/>
      <c r="T719"/>
      <c r="U719"/>
    </row>
    <row r="720" spans="10:21" s="1" customFormat="1" x14ac:dyDescent="0.2">
      <c r="J720"/>
      <c r="K720"/>
      <c r="L720"/>
      <c r="M720" s="2"/>
      <c r="Q720"/>
      <c r="R720"/>
      <c r="S720"/>
      <c r="T720"/>
      <c r="U720"/>
    </row>
    <row r="721" spans="10:21" s="1" customFormat="1" x14ac:dyDescent="0.2">
      <c r="J721"/>
      <c r="K721"/>
      <c r="L721"/>
      <c r="M721" s="2"/>
      <c r="Q721"/>
      <c r="R721"/>
      <c r="S721"/>
      <c r="T721"/>
      <c r="U721"/>
    </row>
    <row r="722" spans="10:21" s="1" customFormat="1" x14ac:dyDescent="0.2">
      <c r="J722"/>
      <c r="K722"/>
      <c r="L722"/>
      <c r="M722" s="2"/>
      <c r="Q722"/>
      <c r="R722"/>
      <c r="S722"/>
      <c r="T722"/>
      <c r="U722"/>
    </row>
    <row r="723" spans="10:21" s="1" customFormat="1" x14ac:dyDescent="0.2">
      <c r="J723"/>
      <c r="K723"/>
      <c r="L723"/>
      <c r="M723" s="2"/>
      <c r="Q723"/>
      <c r="R723"/>
      <c r="S723"/>
      <c r="T723"/>
      <c r="U723"/>
    </row>
    <row r="724" spans="10:21" s="1" customFormat="1" x14ac:dyDescent="0.2">
      <c r="J724"/>
      <c r="K724"/>
      <c r="L724"/>
      <c r="M724" s="2"/>
      <c r="Q724"/>
      <c r="R724"/>
      <c r="S724"/>
      <c r="T724"/>
      <c r="U724"/>
    </row>
    <row r="725" spans="10:21" s="1" customFormat="1" x14ac:dyDescent="0.2">
      <c r="J725"/>
      <c r="K725"/>
      <c r="L725"/>
      <c r="M725" s="2"/>
      <c r="Q725"/>
      <c r="R725"/>
      <c r="S725"/>
      <c r="T725"/>
      <c r="U725"/>
    </row>
    <row r="726" spans="10:21" s="1" customFormat="1" x14ac:dyDescent="0.2">
      <c r="J726"/>
      <c r="K726"/>
      <c r="L726"/>
      <c r="M726" s="2"/>
      <c r="Q726"/>
      <c r="R726"/>
      <c r="S726"/>
      <c r="T726"/>
      <c r="U726"/>
    </row>
    <row r="727" spans="10:21" s="1" customFormat="1" x14ac:dyDescent="0.2">
      <c r="J727"/>
      <c r="K727"/>
      <c r="L727"/>
      <c r="M727" s="2"/>
      <c r="Q727"/>
      <c r="R727"/>
      <c r="S727"/>
      <c r="T727"/>
      <c r="U727"/>
    </row>
    <row r="728" spans="10:21" s="1" customFormat="1" x14ac:dyDescent="0.2">
      <c r="J728"/>
      <c r="K728"/>
      <c r="L728"/>
      <c r="M728" s="2"/>
      <c r="Q728"/>
      <c r="R728"/>
      <c r="S728"/>
      <c r="T728"/>
      <c r="U728"/>
    </row>
    <row r="729" spans="10:21" s="1" customFormat="1" x14ac:dyDescent="0.2">
      <c r="J729"/>
      <c r="K729"/>
      <c r="L729"/>
      <c r="M729" s="2"/>
      <c r="Q729"/>
      <c r="R729"/>
      <c r="S729"/>
      <c r="T729"/>
      <c r="U729"/>
    </row>
    <row r="730" spans="10:21" s="1" customFormat="1" x14ac:dyDescent="0.2">
      <c r="J730"/>
      <c r="K730"/>
      <c r="L730"/>
      <c r="M730" s="2"/>
      <c r="Q730"/>
      <c r="R730"/>
      <c r="S730"/>
      <c r="T730"/>
      <c r="U730"/>
    </row>
    <row r="731" spans="10:21" s="1" customFormat="1" x14ac:dyDescent="0.2">
      <c r="J731"/>
      <c r="K731"/>
      <c r="L731"/>
      <c r="M731" s="2"/>
      <c r="Q731"/>
      <c r="R731"/>
      <c r="S731"/>
      <c r="T731"/>
      <c r="U731"/>
    </row>
    <row r="732" spans="10:21" s="1" customFormat="1" x14ac:dyDescent="0.2">
      <c r="J732"/>
      <c r="K732"/>
      <c r="L732"/>
      <c r="M732" s="2"/>
      <c r="Q732"/>
      <c r="R732"/>
      <c r="S732"/>
      <c r="T732"/>
      <c r="U732"/>
    </row>
  </sheetData>
  <mergeCells count="63">
    <mergeCell ref="K19:K20"/>
    <mergeCell ref="T24:T25"/>
    <mergeCell ref="U24:U25"/>
    <mergeCell ref="K24:K25"/>
    <mergeCell ref="L24:L25"/>
    <mergeCell ref="P11:P12"/>
    <mergeCell ref="U19:U20"/>
    <mergeCell ref="L19:L20"/>
    <mergeCell ref="N19:N20"/>
    <mergeCell ref="P19:P20"/>
    <mergeCell ref="R19:R20"/>
    <mergeCell ref="T19:T20"/>
    <mergeCell ref="R7:R8"/>
    <mergeCell ref="R11:R12"/>
    <mergeCell ref="P7:P8"/>
    <mergeCell ref="B2:U2"/>
    <mergeCell ref="B7:B8"/>
    <mergeCell ref="E7:E8"/>
    <mergeCell ref="J7:J8"/>
    <mergeCell ref="K7:K8"/>
    <mergeCell ref="U7:U8"/>
    <mergeCell ref="T7:T8"/>
    <mergeCell ref="B11:B12"/>
    <mergeCell ref="E11:E12"/>
    <mergeCell ref="J11:J12"/>
    <mergeCell ref="K11:K12"/>
    <mergeCell ref="T11:T12"/>
    <mergeCell ref="U11:U12"/>
    <mergeCell ref="E59:F59"/>
    <mergeCell ref="J59:J61"/>
    <mergeCell ref="E60:F60"/>
    <mergeCell ref="E61:F61"/>
    <mergeCell ref="B19:B20"/>
    <mergeCell ref="D19:D20"/>
    <mergeCell ref="B26:B27"/>
    <mergeCell ref="E26:E27"/>
    <mergeCell ref="E19:E20"/>
    <mergeCell ref="F19:F20"/>
    <mergeCell ref="H19:H20"/>
    <mergeCell ref="I19:I20"/>
    <mergeCell ref="J19:J20"/>
    <mergeCell ref="I24:I25"/>
    <mergeCell ref="J24:J25"/>
    <mergeCell ref="B24:B25"/>
    <mergeCell ref="D24:D25"/>
    <mergeCell ref="E24:E25"/>
    <mergeCell ref="F24:F25"/>
    <mergeCell ref="H24:H25"/>
    <mergeCell ref="T28:T29"/>
    <mergeCell ref="R28:R29"/>
    <mergeCell ref="R26:R27"/>
    <mergeCell ref="T26:T27"/>
    <mergeCell ref="N24:N25"/>
    <mergeCell ref="P24:P25"/>
    <mergeCell ref="R24:R25"/>
    <mergeCell ref="P26:P27"/>
    <mergeCell ref="K26:K27"/>
    <mergeCell ref="J26:J27"/>
    <mergeCell ref="B28:B29"/>
    <mergeCell ref="E28:E29"/>
    <mergeCell ref="J28:J29"/>
    <mergeCell ref="K28:K29"/>
    <mergeCell ref="P28:P29"/>
  </mergeCells>
  <conditionalFormatting sqref="I63:I69">
    <cfRule type="cellIs" dxfId="512" priority="62" stopIfTrue="1" operator="lessThan">
      <formula>0%</formula>
    </cfRule>
    <cfRule type="cellIs" dxfId="511" priority="61" stopIfTrue="1" operator="greaterThan">
      <formula>1.5%</formula>
    </cfRule>
  </conditionalFormatting>
  <conditionalFormatting sqref="I71">
    <cfRule type="cellIs" dxfId="510" priority="50" stopIfTrue="1" operator="lessThan">
      <formula>438</formula>
    </cfRule>
  </conditionalFormatting>
  <conditionalFormatting sqref="J3 B2 J70:J65536">
    <cfRule type="cellIs" dxfId="509" priority="79" stopIfTrue="1" operator="lessThan">
      <formula>438</formula>
    </cfRule>
  </conditionalFormatting>
  <conditionalFormatting sqref="J3">
    <cfRule type="cellIs" dxfId="508" priority="76" stopIfTrue="1" operator="lessThan">
      <formula>456.25</formula>
    </cfRule>
  </conditionalFormatting>
  <conditionalFormatting sqref="J4:J7 J13:J19 J21:J24 J30:J58">
    <cfRule type="cellIs" dxfId="507" priority="49" stopIfTrue="1" operator="lessThan">
      <formula>462</formula>
    </cfRule>
  </conditionalFormatting>
  <conditionalFormatting sqref="J9:J11">
    <cfRule type="cellIs" dxfId="506" priority="12" stopIfTrue="1" operator="lessThan">
      <formula>462</formula>
    </cfRule>
  </conditionalFormatting>
  <conditionalFormatting sqref="J26 J28">
    <cfRule type="cellIs" dxfId="505" priority="7" stopIfTrue="1" operator="lessThan">
      <formula>462</formula>
    </cfRule>
  </conditionalFormatting>
  <conditionalFormatting sqref="J63:J69">
    <cfRule type="cellIs" dxfId="504" priority="74" stopIfTrue="1" operator="lessThan">
      <formula>73%</formula>
    </cfRule>
  </conditionalFormatting>
  <conditionalFormatting sqref="K4:K7 K13:K19 K21:K24 K30:K54">
    <cfRule type="cellIs" dxfId="503" priority="46" stopIfTrue="1" operator="lessThan">
      <formula>540</formula>
    </cfRule>
  </conditionalFormatting>
  <conditionalFormatting sqref="K9:K11">
    <cfRule type="cellIs" dxfId="502" priority="11" stopIfTrue="1" operator="lessThan">
      <formula>540</formula>
    </cfRule>
  </conditionalFormatting>
  <conditionalFormatting sqref="K26 K28">
    <cfRule type="cellIs" dxfId="501" priority="5" stopIfTrue="1" operator="lessThan">
      <formula>540</formula>
    </cfRule>
  </conditionalFormatting>
  <conditionalFormatting sqref="K55:K57">
    <cfRule type="cellIs" dxfId="500" priority="69" stopIfTrue="1" operator="lessThan">
      <formula>456.25</formula>
    </cfRule>
    <cfRule type="cellIs" dxfId="499" priority="70" stopIfTrue="1" operator="lessThan">
      <formula>438</formula>
    </cfRule>
  </conditionalFormatting>
  <conditionalFormatting sqref="N4:N19 N21:N24">
    <cfRule type="cellIs" dxfId="498" priority="47" stopIfTrue="1" operator="greaterThan">
      <formula>1.1</formula>
    </cfRule>
  </conditionalFormatting>
  <conditionalFormatting sqref="N26:N59">
    <cfRule type="cellIs" dxfId="497" priority="1" stopIfTrue="1" operator="greaterThan">
      <formula>1.1</formula>
    </cfRule>
  </conditionalFormatting>
  <conditionalFormatting sqref="N59:N60">
    <cfRule type="cellIs" dxfId="496" priority="72" stopIfTrue="1" operator="greaterThan">
      <formula>1.5%</formula>
    </cfRule>
    <cfRule type="cellIs" dxfId="495" priority="73" stopIfTrue="1" operator="lessThan">
      <formula>0%</formula>
    </cfRule>
  </conditionalFormatting>
  <conditionalFormatting sqref="P4:P7">
    <cfRule type="cellIs" dxfId="494" priority="37" stopIfTrue="1" operator="lessThan">
      <formula>0.74</formula>
    </cfRule>
  </conditionalFormatting>
  <conditionalFormatting sqref="P9:P11">
    <cfRule type="cellIs" dxfId="493" priority="16" stopIfTrue="1" operator="lessThan">
      <formula>0.74</formula>
    </cfRule>
  </conditionalFormatting>
  <conditionalFormatting sqref="P13:P19 P21:P24">
    <cfRule type="cellIs" dxfId="492" priority="9" stopIfTrue="1" operator="lessThan">
      <formula>0.74</formula>
    </cfRule>
  </conditionalFormatting>
  <conditionalFormatting sqref="P26 P28">
    <cfRule type="cellIs" dxfId="491" priority="3" stopIfTrue="1" operator="lessThan">
      <formula>0.74</formula>
    </cfRule>
  </conditionalFormatting>
  <conditionalFormatting sqref="P30:P58">
    <cfRule type="cellIs" dxfId="490" priority="45" stopIfTrue="1" operator="lessThan">
      <formula>0.74</formula>
    </cfRule>
  </conditionalFormatting>
  <conditionalFormatting sqref="R30:R57">
    <cfRule type="cellIs" dxfId="489" priority="48" stopIfTrue="1" operator="lessThan">
      <formula>0.74</formula>
    </cfRule>
  </conditionalFormatting>
  <conditionalFormatting sqref="R59:R60">
    <cfRule type="cellIs" dxfId="488" priority="75" stopIfTrue="1" operator="lessThan">
      <formula>73%</formula>
    </cfRule>
  </conditionalFormatting>
  <conditionalFormatting sqref="R3:T3">
    <cfRule type="cellIs" dxfId="487" priority="38" stopIfTrue="1" operator="lessThan">
      <formula>0.65</formula>
    </cfRule>
  </conditionalFormatting>
  <conditionalFormatting sqref="R4:T7 S8 S25">
    <cfRule type="cellIs" dxfId="486" priority="36" stopIfTrue="1" operator="lessThan">
      <formula>0.74</formula>
    </cfRule>
  </conditionalFormatting>
  <conditionalFormatting sqref="R9:T11">
    <cfRule type="cellIs" dxfId="485" priority="15" stopIfTrue="1" operator="lessThan">
      <formula>0.74</formula>
    </cfRule>
  </conditionalFormatting>
  <conditionalFormatting sqref="R13:T19 S20 R21:T24">
    <cfRule type="cellIs" dxfId="484" priority="8" stopIfTrue="1" operator="lessThan">
      <formula>0.74</formula>
    </cfRule>
  </conditionalFormatting>
  <conditionalFormatting sqref="R26:T26 S27 R28:T28 S29">
    <cfRule type="cellIs" dxfId="483" priority="2" stopIfTrue="1" operator="lessThan">
      <formula>0.74</formula>
    </cfRule>
  </conditionalFormatting>
  <conditionalFormatting sqref="R58:T58">
    <cfRule type="cellIs" dxfId="482" priority="67" stopIfTrue="1" operator="lessThan">
      <formula>0.74</formula>
    </cfRule>
  </conditionalFormatting>
  <conditionalFormatting sqref="S12">
    <cfRule type="cellIs" dxfId="481" priority="34" stopIfTrue="1" operator="lessThan">
      <formula>0.74</formula>
    </cfRule>
  </conditionalFormatting>
  <conditionalFormatting sqref="S30:T57">
    <cfRule type="cellIs" dxfId="480" priority="43" stopIfTrue="1" operator="lessThan">
      <formula>75%</formula>
    </cfRule>
  </conditionalFormatting>
  <conditionalFormatting sqref="S59:T60">
    <cfRule type="cellIs" dxfId="479" priority="78" stopIfTrue="1" operator="lessThan">
      <formula>75%</formula>
    </cfRule>
  </conditionalFormatting>
  <printOptions horizontalCentered="1"/>
  <pageMargins left="0.10312499999999999" right="0.5" top="0.25" bottom="0.27" header="0.25" footer="0.27"/>
  <pageSetup paperSize="5" scale="75" fitToWidth="0" orientation="portrait" r:id="rId1"/>
  <headerFooter alignWithMargins="0"/>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7DDEA-A80B-4E57-B54D-EA63A197001E}">
  <sheetPr codeName="Sheet5">
    <pageSetUpPr fitToPage="1"/>
  </sheetPr>
  <dimension ref="B2:U732"/>
  <sheetViews>
    <sheetView showZeros="0" showWhiteSpace="0" zoomScale="70" zoomScaleNormal="70" workbookViewId="0">
      <pane ySplit="3" topLeftCell="A31" activePane="bottomLeft" state="frozen"/>
      <selection activeCell="B2" sqref="B2:W2"/>
      <selection pane="bottomLeft" activeCell="B2" sqref="B2:W2"/>
    </sheetView>
  </sheetViews>
  <sheetFormatPr defaultColWidth="9.42578125" defaultRowHeight="12.75" x14ac:dyDescent="0.2"/>
  <cols>
    <col min="2" max="2" width="10.42578125" style="1" customWidth="1"/>
    <col min="3" max="3" width="31.42578125" style="1" customWidth="1"/>
    <col min="4" max="4" width="13.5703125" style="1" customWidth="1"/>
    <col min="5" max="5" width="13.42578125" style="1" customWidth="1"/>
    <col min="6" max="6" width="14.5703125" style="1" bestFit="1" customWidth="1"/>
    <col min="7" max="7" width="15.5703125" customWidth="1"/>
    <col min="8" max="8" width="15" customWidth="1"/>
    <col min="9" max="9" width="15.5703125" style="1" customWidth="1"/>
    <col min="10" max="10" width="14.42578125" customWidth="1"/>
    <col min="11" max="11" width="13.5703125" customWidth="1"/>
    <col min="12" max="12" width="11.42578125" customWidth="1"/>
    <col min="13" max="13" width="15" style="2" bestFit="1" customWidth="1"/>
    <col min="14" max="14" width="15.5703125" style="1" bestFit="1" customWidth="1"/>
    <col min="15" max="15" width="7.5703125" style="1" hidden="1" customWidth="1"/>
    <col min="16" max="16" width="13.42578125" style="1" customWidth="1"/>
    <col min="17" max="17" width="12" hidden="1" customWidth="1"/>
    <col min="18" max="18" width="14.42578125" customWidth="1"/>
    <col min="19" max="19" width="10.42578125" hidden="1" customWidth="1"/>
    <col min="20" max="20" width="14.42578125" customWidth="1"/>
    <col min="21" max="21" width="91" customWidth="1"/>
    <col min="22" max="22" width="12.5703125" customWidth="1"/>
    <col min="23" max="23" width="13.5703125" customWidth="1"/>
  </cols>
  <sheetData>
    <row r="2" spans="2:21" ht="24" thickBot="1" x14ac:dyDescent="0.4">
      <c r="B2" s="1022" t="s">
        <v>52</v>
      </c>
      <c r="C2" s="1022"/>
      <c r="D2" s="1022"/>
      <c r="E2" s="1022"/>
      <c r="F2" s="1022"/>
      <c r="G2" s="1022"/>
      <c r="H2" s="1022"/>
      <c r="I2" s="1022"/>
      <c r="J2" s="1022"/>
      <c r="K2" s="1022"/>
      <c r="L2" s="1022"/>
      <c r="M2" s="1022"/>
      <c r="N2" s="1022"/>
      <c r="O2" s="1022"/>
      <c r="P2" s="1022"/>
      <c r="Q2" s="1022"/>
      <c r="R2" s="1022"/>
      <c r="S2" s="1022"/>
      <c r="T2" s="1022"/>
      <c r="U2" s="1022"/>
    </row>
    <row r="3" spans="2:21" ht="80.25" thickTop="1" thickBot="1" x14ac:dyDescent="0.25">
      <c r="B3" s="37" t="s">
        <v>0</v>
      </c>
      <c r="C3" s="38" t="s">
        <v>2</v>
      </c>
      <c r="D3" s="38" t="s">
        <v>12</v>
      </c>
      <c r="E3" s="38" t="s">
        <v>11</v>
      </c>
      <c r="F3" s="38" t="s">
        <v>15</v>
      </c>
      <c r="G3" s="38" t="s">
        <v>9</v>
      </c>
      <c r="H3" s="38" t="s">
        <v>17</v>
      </c>
      <c r="I3" s="38" t="s">
        <v>5</v>
      </c>
      <c r="J3" s="38" t="s">
        <v>43</v>
      </c>
      <c r="K3" s="38" t="s">
        <v>4</v>
      </c>
      <c r="L3" s="38" t="s">
        <v>10</v>
      </c>
      <c r="M3" s="39" t="s">
        <v>34</v>
      </c>
      <c r="N3" s="40" t="s">
        <v>55</v>
      </c>
      <c r="O3" s="40" t="s">
        <v>8</v>
      </c>
      <c r="P3" s="41" t="s">
        <v>7</v>
      </c>
      <c r="Q3" s="41" t="s">
        <v>6</v>
      </c>
      <c r="R3" s="41" t="s">
        <v>47</v>
      </c>
      <c r="S3" s="41" t="s">
        <v>47</v>
      </c>
      <c r="T3" s="124" t="s">
        <v>94</v>
      </c>
      <c r="U3" s="5" t="s">
        <v>1</v>
      </c>
    </row>
    <row r="4" spans="2:21" s="19" customFormat="1" ht="36" customHeight="1" thickTop="1" x14ac:dyDescent="0.2">
      <c r="B4" s="123">
        <v>42461</v>
      </c>
      <c r="C4" s="48" t="s">
        <v>30</v>
      </c>
      <c r="D4" s="49">
        <v>1600</v>
      </c>
      <c r="E4" s="50">
        <v>0.3354166666666667</v>
      </c>
      <c r="F4" s="51">
        <f>SUM([16]April_2016!$J8)</f>
        <v>118.30000000000001</v>
      </c>
      <c r="G4" s="52">
        <f>SUM([16]April_2016!$F8)</f>
        <v>1760</v>
      </c>
      <c r="H4" s="51">
        <f>SUM([16]April_2016!$K8)</f>
        <v>116.16000000000001</v>
      </c>
      <c r="I4" s="53">
        <f>SUM([16]April_2016!$N8)</f>
        <v>16</v>
      </c>
      <c r="J4" s="54">
        <f>SUM([16]April_2016!$Q8)</f>
        <v>350.83056478405314</v>
      </c>
      <c r="K4" s="54">
        <f>SUM([16]April_2016!$E8)</f>
        <v>301</v>
      </c>
      <c r="L4" s="54">
        <f>SUM([16]April_2016!$M8)</f>
        <v>85</v>
      </c>
      <c r="M4" s="122">
        <f>SUM([16]April_2016!$H8)</f>
        <v>0</v>
      </c>
      <c r="N4" s="55">
        <f>SUM([16]April_2016!$P8)</f>
        <v>1.8089602704987322</v>
      </c>
      <c r="O4" s="54"/>
      <c r="P4" s="66">
        <f>(G4)/(8*15000*(1/24))</f>
        <v>0.35199999999999998</v>
      </c>
      <c r="Q4" s="56"/>
      <c r="R4" s="46">
        <f>(G4)*24/(K4/60)/15000</f>
        <v>0.56132890365448507</v>
      </c>
      <c r="S4" s="46">
        <f>(H4+H5)*24/(L4/60)/15000</f>
        <v>0.42554337882352938</v>
      </c>
      <c r="T4" s="125">
        <f>(G4)*24/(K4/60)/15300</f>
        <v>0.55032245456322071</v>
      </c>
      <c r="U4" s="24" t="s">
        <v>125</v>
      </c>
    </row>
    <row r="5" spans="2:21" s="19" customFormat="1" ht="33" x14ac:dyDescent="0.2">
      <c r="B5" s="123">
        <v>42464</v>
      </c>
      <c r="C5" s="48" t="s">
        <v>31</v>
      </c>
      <c r="D5" s="49">
        <v>3300</v>
      </c>
      <c r="E5" s="50">
        <v>0.36805555555555558</v>
      </c>
      <c r="F5" s="51">
        <f>SUM([16]April_2016!$J9)</f>
        <v>262.10000000000002</v>
      </c>
      <c r="G5" s="52">
        <f>SUM([16]April_2016!$F9)</f>
        <v>3503</v>
      </c>
      <c r="H5" s="51">
        <f>SUM([16]April_2016!$K9)</f>
        <v>260.6232</v>
      </c>
      <c r="I5" s="53">
        <f>SUM([16]April_2016!$N9)</f>
        <v>29.75</v>
      </c>
      <c r="J5" s="54">
        <f>SUM([16]April_2016!$Q9)</f>
        <v>380.76086956521743</v>
      </c>
      <c r="K5" s="54">
        <f>SUM([16]April_2016!$E9)</f>
        <v>552</v>
      </c>
      <c r="L5" s="54">
        <f>SUM([16]April_2016!$M9)</f>
        <v>137</v>
      </c>
      <c r="M5" s="54">
        <f>SUM([16]April_2016!$H9)</f>
        <v>0</v>
      </c>
      <c r="N5" s="55">
        <f>SUM([16]April_2016!$P9)</f>
        <v>0.56344906524228366</v>
      </c>
      <c r="O5" s="54"/>
      <c r="P5" s="66">
        <f>(G5)/(10.033*15000*(1/24))</f>
        <v>0.55863649955148009</v>
      </c>
      <c r="Q5" s="56"/>
      <c r="R5" s="46">
        <f>(G5)*24/(K5/60)/15000</f>
        <v>0.60921739130434782</v>
      </c>
      <c r="S5" s="46">
        <f>(H5+H6)*24/(L5/60)/15000</f>
        <v>0.38448014014598547</v>
      </c>
      <c r="T5" s="125">
        <f>(G5)*24/(K5/60)/15300</f>
        <v>0.59727195225916452</v>
      </c>
      <c r="U5" s="24" t="s">
        <v>126</v>
      </c>
    </row>
    <row r="6" spans="2:21" s="19" customFormat="1" ht="49.5" x14ac:dyDescent="0.2">
      <c r="B6" s="123">
        <v>42465</v>
      </c>
      <c r="C6" s="48" t="s">
        <v>27</v>
      </c>
      <c r="D6" s="49">
        <v>4200</v>
      </c>
      <c r="E6" s="50">
        <v>0.3298611111111111</v>
      </c>
      <c r="F6" s="51">
        <f>SUM([16]April_2016!$J10)</f>
        <v>290</v>
      </c>
      <c r="G6" s="52">
        <f>SUM([16]April_2016!$F10)</f>
        <v>4307</v>
      </c>
      <c r="H6" s="51">
        <f>SUM([16]April_2016!$K10)</f>
        <v>288.06200000000001</v>
      </c>
      <c r="I6" s="53">
        <f>SUM([16]April_2016!$N10)</f>
        <v>39.75</v>
      </c>
      <c r="J6" s="54">
        <f>SUM([16]April_2016!$Q10)</f>
        <v>449.42608695652171</v>
      </c>
      <c r="K6" s="54">
        <f>SUM([16]April_2016!$E10)</f>
        <v>575</v>
      </c>
      <c r="L6" s="54">
        <f>SUM([16]April_2016!$M10)</f>
        <v>114</v>
      </c>
      <c r="M6" s="54">
        <f>SUM([16]April_2016!$H10)</f>
        <v>0</v>
      </c>
      <c r="N6" s="55">
        <f>SUM([16]April_2016!$P10)</f>
        <v>0.6682758620689615</v>
      </c>
      <c r="O6" s="54"/>
      <c r="P6" s="66">
        <f>(G6)/(9.417*15000*(1/24))</f>
        <v>0.7317829457364341</v>
      </c>
      <c r="Q6" s="56"/>
      <c r="R6" s="46">
        <f>(G6)*24/(K6/60)/15000</f>
        <v>0.71908173913043483</v>
      </c>
      <c r="S6" s="46">
        <f>(H6+H7)*24/(L6/60)/15000</f>
        <v>0.52786526315789473</v>
      </c>
      <c r="T6" s="125">
        <f>(G6)*24/(K6/60)/15300</f>
        <v>0.7049820971867008</v>
      </c>
      <c r="U6" s="24" t="s">
        <v>127</v>
      </c>
    </row>
    <row r="7" spans="2:21" s="19" customFormat="1" ht="51.75" customHeight="1" x14ac:dyDescent="0.2">
      <c r="B7" s="123">
        <v>42466</v>
      </c>
      <c r="C7" s="48" t="s">
        <v>29</v>
      </c>
      <c r="D7" s="49">
        <v>4900</v>
      </c>
      <c r="E7" s="50">
        <v>0.31944444444444448</v>
      </c>
      <c r="F7" s="51">
        <f>SUM([16]April_2016!$J11)</f>
        <v>340.3</v>
      </c>
      <c r="G7" s="52">
        <f>SUM([16]April_2016!$F11)</f>
        <v>5133</v>
      </c>
      <c r="H7" s="51">
        <f>SUM([16]April_2016!$K11)</f>
        <v>338.77800000000002</v>
      </c>
      <c r="I7" s="53">
        <f>SUM([16]April_2016!$N11)</f>
        <v>23.5</v>
      </c>
      <c r="J7" s="54">
        <f>SUM([16]April_2016!$Q11)</f>
        <v>496.74193548387092</v>
      </c>
      <c r="K7" s="54">
        <f>SUM([16]April_2016!$E11)</f>
        <v>620</v>
      </c>
      <c r="L7" s="54">
        <f>SUM([16]April_2016!$M11)</f>
        <v>59</v>
      </c>
      <c r="M7" s="54">
        <f>SUM([16]April_2016!$H11)</f>
        <v>0</v>
      </c>
      <c r="N7" s="55">
        <f>SUM([16]April_2016!$P11)</f>
        <v>0.44725242433146967</v>
      </c>
      <c r="O7" s="54"/>
      <c r="P7" s="66">
        <f>(G7)/(10.167*15000*(1/24))</f>
        <v>0.80778990852758925</v>
      </c>
      <c r="Q7" s="56"/>
      <c r="R7" s="46">
        <f>(G7)*24/(K7/60)/15000</f>
        <v>0.79478709677419357</v>
      </c>
      <c r="S7" s="46">
        <f>(H7+H8)*24/(L7/60)/15000</f>
        <v>0.64799023728813565</v>
      </c>
      <c r="T7" s="125">
        <f>(G7)*24/(K7/60)/15300</f>
        <v>0.7792030360531309</v>
      </c>
      <c r="U7" s="24" t="s">
        <v>128</v>
      </c>
    </row>
    <row r="8" spans="2:21" s="19" customFormat="1" ht="21" customHeight="1" x14ac:dyDescent="0.2">
      <c r="B8" s="1229">
        <v>42467</v>
      </c>
      <c r="C8" s="48" t="s">
        <v>32</v>
      </c>
      <c r="D8" s="1215">
        <v>2100</v>
      </c>
      <c r="E8" s="1217">
        <v>0.35416666666666669</v>
      </c>
      <c r="F8" s="1219">
        <f>SUM([16]April_2016!$J12)</f>
        <v>61.5</v>
      </c>
      <c r="G8" s="52">
        <f>SUM([16]April_2016!$F12)</f>
        <v>298</v>
      </c>
      <c r="H8" s="1219">
        <f>SUM([16]April_2016!$K12)</f>
        <v>59.466000000000001</v>
      </c>
      <c r="I8" s="1221">
        <f>SUM([16]April_2016!$N12)</f>
        <v>8</v>
      </c>
      <c r="J8" s="1223">
        <f>SUM([16]April_2016!$Q12)</f>
        <v>367.78242677824267</v>
      </c>
      <c r="K8" s="1223">
        <f>SUM([16]April_2016!$E12)</f>
        <v>239</v>
      </c>
      <c r="L8" s="1223">
        <f>SUM([16]April_2016!$M12)</f>
        <v>43</v>
      </c>
      <c r="M8" s="54">
        <f>SUM([16]April_2016!$H12)</f>
        <v>0</v>
      </c>
      <c r="N8" s="1225">
        <f>SUM([16]April_2016!$P12)</f>
        <v>3.3073170731707298</v>
      </c>
      <c r="O8" s="54"/>
      <c r="P8" s="1227">
        <f>(G8+G9+G10)/(9*15000*(1/24))</f>
        <v>0.26044444444444442</v>
      </c>
      <c r="Q8" s="56"/>
      <c r="R8" s="1039">
        <f>(G8+G9+G10)*24/(K8/60)/15000</f>
        <v>0.58845188284518835</v>
      </c>
      <c r="S8" s="46">
        <f>(H8+H9)*24/(L8/60)/15000</f>
        <v>0.13276130232558139</v>
      </c>
      <c r="T8" s="1237">
        <f>(G8+G9+G10)*24/(K8/60)/15300</f>
        <v>0.57691361063253754</v>
      </c>
      <c r="U8" s="1208" t="s">
        <v>129</v>
      </c>
    </row>
    <row r="9" spans="2:21" s="19" customFormat="1" ht="21" customHeight="1" x14ac:dyDescent="0.2">
      <c r="B9" s="1240"/>
      <c r="C9" s="48" t="s">
        <v>29</v>
      </c>
      <c r="D9" s="1216"/>
      <c r="E9" s="1234"/>
      <c r="F9" s="1220"/>
      <c r="G9" s="52">
        <f>SUM([16]April_2016!$F13)</f>
        <v>603</v>
      </c>
      <c r="H9" s="1220"/>
      <c r="I9" s="1222"/>
      <c r="J9" s="1235"/>
      <c r="K9" s="1235"/>
      <c r="L9" s="1224"/>
      <c r="M9" s="54">
        <f>SUM([16]April_2016!$H13)</f>
        <v>0</v>
      </c>
      <c r="N9" s="1226"/>
      <c r="O9" s="54"/>
      <c r="P9" s="1236"/>
      <c r="Q9" s="56"/>
      <c r="R9" s="1041"/>
      <c r="S9" s="46"/>
      <c r="T9" s="1238"/>
      <c r="U9" s="1209"/>
    </row>
    <row r="10" spans="2:21" s="19" customFormat="1" ht="33.75" customHeight="1" x14ac:dyDescent="0.2">
      <c r="B10" s="1230"/>
      <c r="C10" s="48" t="s">
        <v>46</v>
      </c>
      <c r="D10" s="49">
        <v>700</v>
      </c>
      <c r="E10" s="1218"/>
      <c r="F10" s="51">
        <f>SUM([16]April_2016!$J14)</f>
        <v>39.4</v>
      </c>
      <c r="G10" s="52">
        <f>SUM([16]April_2016!$F14)</f>
        <v>564</v>
      </c>
      <c r="H10" s="51">
        <f>SUM([16]April_2016!$K14)</f>
        <v>37.224000000000004</v>
      </c>
      <c r="I10" s="53">
        <f>SUM([16]April_2016!$N14)</f>
        <v>9.5</v>
      </c>
      <c r="J10" s="1224"/>
      <c r="K10" s="1224"/>
      <c r="L10" s="54">
        <f>SUM([16]April_2016!$M14)</f>
        <v>44</v>
      </c>
      <c r="M10" s="54">
        <f>SUM([16]April_2016!$H14)</f>
        <v>0</v>
      </c>
      <c r="N10" s="55">
        <f>SUM([16]April_2016!$P14)</f>
        <v>5.5228426395938959</v>
      </c>
      <c r="O10" s="54"/>
      <c r="P10" s="1228"/>
      <c r="Q10" s="56"/>
      <c r="R10" s="1040"/>
      <c r="S10" s="46"/>
      <c r="T10" s="1239"/>
      <c r="U10" s="24" t="s">
        <v>130</v>
      </c>
    </row>
    <row r="11" spans="2:21" s="19" customFormat="1" ht="33" x14ac:dyDescent="0.2">
      <c r="B11" s="1229">
        <v>42468</v>
      </c>
      <c r="C11" s="48" t="s">
        <v>44</v>
      </c>
      <c r="D11" s="49">
        <v>1400</v>
      </c>
      <c r="E11" s="1217">
        <v>0.31944444444444448</v>
      </c>
      <c r="F11" s="51">
        <f>SUM([16]April_2016!$J15)</f>
        <v>99</v>
      </c>
      <c r="G11" s="52">
        <f>SUM([16]April_2016!$F15)</f>
        <v>1416</v>
      </c>
      <c r="H11" s="51">
        <f>SUM([16]April_2016!$K15)</f>
        <v>93.456000000000003</v>
      </c>
      <c r="I11" s="53">
        <f>SUM([16]April_2016!$N15)</f>
        <v>16.5</v>
      </c>
      <c r="J11" s="1223">
        <f>SUM([16]April_2016!$Q15)</f>
        <v>328.91566265060237</v>
      </c>
      <c r="K11" s="1223">
        <f>SUM([16]April_2016!$E15)</f>
        <v>498</v>
      </c>
      <c r="L11" s="54">
        <f>SUM([16]April_2016!$M15)</f>
        <v>127</v>
      </c>
      <c r="M11" s="54">
        <f>SUM([16]April_2016!$H15)</f>
        <v>0</v>
      </c>
      <c r="N11" s="55">
        <f>SUM([16]April_2016!$P15)</f>
        <v>5.599999999999997</v>
      </c>
      <c r="O11" s="54"/>
      <c r="P11" s="1227">
        <f>(G11+G12)/(8.13*15000*(1/24))</f>
        <v>0.53726937269372699</v>
      </c>
      <c r="Q11" s="56"/>
      <c r="R11" s="1039">
        <f>(G11+G12)*24/(K11/60)/15000</f>
        <v>0.52626506024096376</v>
      </c>
      <c r="S11" s="46">
        <f>(H11+H12)*24/(L11/60)/15000</f>
        <v>0.13619905511811023</v>
      </c>
      <c r="T11" s="1237">
        <f>(G11+G12)*24/(K11/60)/15300</f>
        <v>0.51594613749114093</v>
      </c>
      <c r="U11" s="24" t="s">
        <v>132</v>
      </c>
    </row>
    <row r="12" spans="2:21" s="19" customFormat="1" ht="33" x14ac:dyDescent="0.2">
      <c r="B12" s="1230"/>
      <c r="C12" s="48" t="s">
        <v>131</v>
      </c>
      <c r="D12" s="49">
        <v>1400</v>
      </c>
      <c r="E12" s="1218"/>
      <c r="F12" s="51">
        <f>SUM([16]April_2016!$J16)</f>
        <v>89</v>
      </c>
      <c r="G12" s="52">
        <f>SUM([16]April_2016!$F16)</f>
        <v>1314</v>
      </c>
      <c r="H12" s="51">
        <f>SUM([16]April_2016!$K16)</f>
        <v>86.724000000000004</v>
      </c>
      <c r="I12" s="53">
        <f>SUM([16]April_2016!$N16)</f>
        <v>5</v>
      </c>
      <c r="J12" s="1224"/>
      <c r="K12" s="1224"/>
      <c r="L12" s="54">
        <f>SUM([16]April_2016!$M16)</f>
        <v>142</v>
      </c>
      <c r="M12" s="54">
        <f>SUM([16]April_2016!$H16)</f>
        <v>0</v>
      </c>
      <c r="N12" s="55">
        <f>SUM([16]April_2016!$P16)</f>
        <v>2.5573033707865127</v>
      </c>
      <c r="O12" s="54"/>
      <c r="P12" s="1228"/>
      <c r="Q12" s="56"/>
      <c r="R12" s="1040"/>
      <c r="S12" s="46"/>
      <c r="T12" s="1239"/>
      <c r="U12" s="24" t="s">
        <v>133</v>
      </c>
    </row>
    <row r="13" spans="2:21" s="19" customFormat="1" ht="30" customHeight="1" x14ac:dyDescent="0.2">
      <c r="B13" s="123">
        <v>42471</v>
      </c>
      <c r="C13" s="48" t="s">
        <v>29</v>
      </c>
      <c r="D13" s="49">
        <v>3700</v>
      </c>
      <c r="E13" s="50">
        <v>0.39374999999999999</v>
      </c>
      <c r="F13" s="51">
        <f>SUM([16]April_2016!$J17)</f>
        <v>254.6</v>
      </c>
      <c r="G13" s="52">
        <f>SUM([16]April_2016!$F17)</f>
        <v>3684</v>
      </c>
      <c r="H13" s="51">
        <f>SUM([16]April_2016!$K17)</f>
        <v>252.45400000000001</v>
      </c>
      <c r="I13" s="53">
        <f>SUM([16]April_2016!$N17)</f>
        <v>26.5</v>
      </c>
      <c r="J13" s="130">
        <f>SUM([16]April_2016!$Q17)</f>
        <v>435.9763313609468</v>
      </c>
      <c r="K13" s="130">
        <f>SUM([16]April_2016!$E17)</f>
        <v>507</v>
      </c>
      <c r="L13" s="54">
        <f>SUM([16]April_2016!$M17)</f>
        <v>56</v>
      </c>
      <c r="M13" s="54">
        <f>SUM([16]April_2016!$H17)</f>
        <v>0</v>
      </c>
      <c r="N13" s="55">
        <f>SUM([16]April_2016!$P17)</f>
        <v>0.84289080911232783</v>
      </c>
      <c r="O13" s="54"/>
      <c r="P13" s="66">
        <f>(G13)/(9.9*15000*(1/24))</f>
        <v>0.59539393939393936</v>
      </c>
      <c r="Q13" s="56"/>
      <c r="R13" s="46">
        <f>(G13)*24/(K13/60)/15000</f>
        <v>0.69756213017751478</v>
      </c>
      <c r="S13" s="46">
        <f>(H13+H14)*24/(L13/60)/15000</f>
        <v>0.90635657142857129</v>
      </c>
      <c r="T13" s="125">
        <f>(G13)*24/(K13/60)/15300</f>
        <v>0.68388444135050475</v>
      </c>
      <c r="U13" s="24" t="s">
        <v>134</v>
      </c>
    </row>
    <row r="14" spans="2:21" s="19" customFormat="1" ht="33" x14ac:dyDescent="0.2">
      <c r="B14" s="123">
        <v>42472</v>
      </c>
      <c r="C14" s="48" t="s">
        <v>27</v>
      </c>
      <c r="D14" s="49">
        <v>4200</v>
      </c>
      <c r="E14" s="50">
        <v>0.32291666666666669</v>
      </c>
      <c r="F14" s="51">
        <f>SUM([16]April_2016!$J18)</f>
        <v>278.7</v>
      </c>
      <c r="G14" s="52">
        <f>SUM([16]April_2016!$F18)</f>
        <v>4154</v>
      </c>
      <c r="H14" s="51">
        <f>SUM([16]April_2016!$K18)</f>
        <v>276.25399999999996</v>
      </c>
      <c r="I14" s="53">
        <f>SUM([16]April_2016!$N18)</f>
        <v>44</v>
      </c>
      <c r="J14" s="130">
        <f>SUM([16]April_2016!$Q18)</f>
        <v>494.52380952380952</v>
      </c>
      <c r="K14" s="130">
        <f>SUM([16]April_2016!$E18)</f>
        <v>504</v>
      </c>
      <c r="L14" s="54">
        <f>SUM([16]April_2016!$M18)</f>
        <v>68</v>
      </c>
      <c r="M14" s="54">
        <f>SUM([16]April_2016!$H18)</f>
        <v>0</v>
      </c>
      <c r="N14" s="55">
        <f>SUM([16]April_2016!$P18)</f>
        <v>0.87764621456764491</v>
      </c>
      <c r="O14" s="54"/>
      <c r="P14" s="66">
        <f>(G14)/(9*15000*(1/24))</f>
        <v>0.73848888888888886</v>
      </c>
      <c r="Q14" s="56"/>
      <c r="R14" s="46">
        <f>(G14)*24/(K14/60)/15000</f>
        <v>0.79123809523809518</v>
      </c>
      <c r="S14" s="46">
        <f>(H14+H15)*24/(L14/60)/15000</f>
        <v>0.74957364705882357</v>
      </c>
      <c r="T14" s="125">
        <f>(G14)*24/(K14/60)/15300</f>
        <v>0.77572362278244622</v>
      </c>
      <c r="U14" s="24" t="s">
        <v>135</v>
      </c>
    </row>
    <row r="15" spans="2:21" s="19" customFormat="1" ht="24" customHeight="1" x14ac:dyDescent="0.2">
      <c r="B15" s="1213">
        <v>42473</v>
      </c>
      <c r="C15" s="48" t="s">
        <v>32</v>
      </c>
      <c r="D15" s="1215">
        <v>3700</v>
      </c>
      <c r="E15" s="1217">
        <v>0.33333333333333331</v>
      </c>
      <c r="F15" s="1219">
        <f>SUM([16]April_2016!$J19)</f>
        <v>258</v>
      </c>
      <c r="G15" s="52">
        <f>SUM([16]April_2016!$F19)</f>
        <v>1038</v>
      </c>
      <c r="H15" s="1219">
        <f>SUM([16]April_2016!$K19)</f>
        <v>254.69400000000002</v>
      </c>
      <c r="I15" s="1221">
        <f>SUM([16]April_2016!$N19)</f>
        <v>26.5</v>
      </c>
      <c r="J15" s="1223">
        <f>SUM([16]April_2016!$Q19)</f>
        <v>375.87662337662334</v>
      </c>
      <c r="K15" s="1223">
        <f>SUM([16]April_2016!$E19)</f>
        <v>616</v>
      </c>
      <c r="L15" s="1223">
        <f>SUM([16]April_2016!$M19)</f>
        <v>108</v>
      </c>
      <c r="M15" s="1223">
        <f>SUM([16]April_2016!$H19)</f>
        <v>0</v>
      </c>
      <c r="N15" s="1225">
        <f>SUM([16]April_2016!$P19)</f>
        <v>1.2813953488372027</v>
      </c>
      <c r="O15" s="54"/>
      <c r="P15" s="1227">
        <f>(G15+G16)/(10.1*15000*(1/24))</f>
        <v>0.61132673267326731</v>
      </c>
      <c r="Q15" s="56"/>
      <c r="R15" s="1039">
        <f>(G15+G16)*24/(K15/60)/15000</f>
        <v>0.60140259740259738</v>
      </c>
      <c r="S15" s="46">
        <f>(H15+H16)*24/(L15/60)/15000</f>
        <v>0.22639466666666669</v>
      </c>
      <c r="T15" s="1237">
        <f>(G15+G16)*24/(K15/60)/15300</f>
        <v>0.58961038961038958</v>
      </c>
      <c r="U15" s="1208" t="s">
        <v>136</v>
      </c>
    </row>
    <row r="16" spans="2:21" s="19" customFormat="1" ht="24" customHeight="1" x14ac:dyDescent="0.2">
      <c r="B16" s="1214"/>
      <c r="C16" s="48" t="s">
        <v>29</v>
      </c>
      <c r="D16" s="1216"/>
      <c r="E16" s="1218"/>
      <c r="F16" s="1220"/>
      <c r="G16" s="52">
        <f>SUM([16]April_2016!$F20)</f>
        <v>2821</v>
      </c>
      <c r="H16" s="1220"/>
      <c r="I16" s="1222"/>
      <c r="J16" s="1224"/>
      <c r="K16" s="1224"/>
      <c r="L16" s="1224"/>
      <c r="M16" s="1224"/>
      <c r="N16" s="1226"/>
      <c r="O16" s="54"/>
      <c r="P16" s="1228"/>
      <c r="Q16" s="56"/>
      <c r="R16" s="1040"/>
      <c r="S16" s="46"/>
      <c r="T16" s="1239"/>
      <c r="U16" s="1209"/>
    </row>
    <row r="17" spans="2:21" s="19" customFormat="1" ht="33" x14ac:dyDescent="0.2">
      <c r="B17" s="1213">
        <v>42474</v>
      </c>
      <c r="C17" s="48" t="s">
        <v>45</v>
      </c>
      <c r="D17" s="49">
        <v>1800</v>
      </c>
      <c r="E17" s="1217">
        <v>0.34583333333333338</v>
      </c>
      <c r="F17" s="51">
        <f>SUM([16]April_2016!$J21)</f>
        <v>100.62062999999999</v>
      </c>
      <c r="G17" s="52">
        <f>SUM([16]April_2016!$F21)</f>
        <v>1473</v>
      </c>
      <c r="H17" s="51">
        <f>SUM([16]April_2016!$K21)</f>
        <v>97.218000000000004</v>
      </c>
      <c r="I17" s="53">
        <f>SUM([16]April_2016!$N21)</f>
        <v>39</v>
      </c>
      <c r="J17" s="1223">
        <f>SUM([16]April_2016!$Q21)</f>
        <v>298.68686868686865</v>
      </c>
      <c r="K17" s="1223">
        <f>SUM([16]April_2016!$E$21:$E22)</f>
        <v>594</v>
      </c>
      <c r="L17" s="54">
        <f>SUM([16]April_2016!$M21)</f>
        <v>150</v>
      </c>
      <c r="M17" s="54">
        <f>SUM([16]April_2016!$H21)</f>
        <v>0</v>
      </c>
      <c r="N17" s="55">
        <f>SUM([16]April_2016!$P21)</f>
        <v>3.3816425120772826</v>
      </c>
      <c r="O17" s="54"/>
      <c r="P17" s="1227">
        <f>(G17+G18)/(10.2*15000*(1/24))</f>
        <v>0.46384313725490195</v>
      </c>
      <c r="Q17" s="56"/>
      <c r="R17" s="1039">
        <f>(G17+G18)*24/(K17/60)/15000</f>
        <v>0.47789898989898988</v>
      </c>
      <c r="S17" s="46">
        <f>(H17+H18)*24/(L17/60)/15000</f>
        <v>0.12490368</v>
      </c>
      <c r="T17" s="1237">
        <f>(G17+G18)*24/(K17/60)/15300</f>
        <v>0.46852842146959789</v>
      </c>
      <c r="U17" s="24" t="s">
        <v>137</v>
      </c>
    </row>
    <row r="18" spans="2:21" s="19" customFormat="1" ht="33" x14ac:dyDescent="0.2">
      <c r="B18" s="1214"/>
      <c r="C18" s="48" t="s">
        <v>51</v>
      </c>
      <c r="D18" s="49">
        <v>1500</v>
      </c>
      <c r="E18" s="1218"/>
      <c r="F18" s="51">
        <f>SUM([16]April_2016!$J22)</f>
        <v>100.2</v>
      </c>
      <c r="G18" s="52">
        <f>SUM([16]April_2016!$F22)</f>
        <v>1484</v>
      </c>
      <c r="H18" s="51">
        <f>SUM([16]April_2016!$K22)</f>
        <v>97.944000000000003</v>
      </c>
      <c r="I18" s="53">
        <f>SUM([16]April_2016!$N22)</f>
        <v>5.5</v>
      </c>
      <c r="J18" s="1224"/>
      <c r="K18" s="1224"/>
      <c r="L18" s="54">
        <f>SUM([16]April_2016!$M22)</f>
        <v>168</v>
      </c>
      <c r="M18" s="54">
        <f>SUM([16]April_2016!$H22)</f>
        <v>0</v>
      </c>
      <c r="N18" s="55">
        <f>SUM([16]April_2016!$P22)</f>
        <v>2.2514970059880244</v>
      </c>
      <c r="O18" s="54"/>
      <c r="P18" s="1228"/>
      <c r="Q18" s="56"/>
      <c r="R18" s="1040"/>
      <c r="S18" s="46"/>
      <c r="T18" s="1239"/>
      <c r="U18" s="24" t="s">
        <v>138</v>
      </c>
    </row>
    <row r="19" spans="2:21" s="19" customFormat="1" ht="24" customHeight="1" x14ac:dyDescent="0.2">
      <c r="B19" s="1213">
        <v>42475</v>
      </c>
      <c r="C19" s="48" t="s">
        <v>107</v>
      </c>
      <c r="D19" s="49"/>
      <c r="E19" s="1217">
        <v>0.33333333333333331</v>
      </c>
      <c r="F19" s="51">
        <f>SUM([16]April_2016!$J23)</f>
        <v>25.2</v>
      </c>
      <c r="G19" s="52">
        <f>SUM([16]April_2016!$F23)</f>
        <v>349</v>
      </c>
      <c r="H19" s="51">
        <f>SUM([16]April_2016!$K23)</f>
        <v>23.034000000000002</v>
      </c>
      <c r="I19" s="53">
        <f>SUM([16]April_2016!$N23)</f>
        <v>10.33</v>
      </c>
      <c r="J19" s="1223">
        <f>SUM([16]April_2016!$Q23)</f>
        <v>326.47058823529414</v>
      </c>
      <c r="K19" s="1223">
        <f>SUM([16]April_2016!$E$23:$E24)</f>
        <v>578</v>
      </c>
      <c r="L19" s="54">
        <f>SUM([16]April_2016!$M23)</f>
        <v>11</v>
      </c>
      <c r="M19" s="54">
        <f>SUM([16]April_2016!$H23)</f>
        <v>0</v>
      </c>
      <c r="N19" s="55">
        <f>SUM([16]April_2016!$P23)</f>
        <v>8.5952380952380825</v>
      </c>
      <c r="O19" s="54"/>
      <c r="P19" s="1227">
        <f>(G19+G20)/(9.467*15000*(1/24))</f>
        <v>0.53153057990915809</v>
      </c>
      <c r="Q19" s="56"/>
      <c r="R19" s="1039">
        <f>(G19+G20)*24/(K19/60)/15000</f>
        <v>0.52235294117647069</v>
      </c>
      <c r="S19" s="46">
        <f>(H19+H20)*24/(L19/60)/15000</f>
        <v>1.8115200000000002</v>
      </c>
      <c r="T19" s="1237">
        <f>(G19+G20)*24/(K19/60)/15300</f>
        <v>0.51211072664359869</v>
      </c>
      <c r="U19" s="24" t="s">
        <v>139</v>
      </c>
    </row>
    <row r="20" spans="2:21" s="19" customFormat="1" ht="33" x14ac:dyDescent="0.2">
      <c r="B20" s="1214"/>
      <c r="C20" s="48" t="s">
        <v>27</v>
      </c>
      <c r="D20" s="49">
        <v>2800</v>
      </c>
      <c r="E20" s="1218"/>
      <c r="F20" s="51">
        <f>SUM([16]April_2016!$J24)</f>
        <v>187</v>
      </c>
      <c r="G20" s="52">
        <f>SUM([16]April_2016!$F24)</f>
        <v>2796</v>
      </c>
      <c r="H20" s="51">
        <f>SUM([16]April_2016!$K24)</f>
        <v>184.536</v>
      </c>
      <c r="I20" s="53">
        <f>SUM([16]April_2016!$N24)</f>
        <v>28</v>
      </c>
      <c r="J20" s="1224"/>
      <c r="K20" s="1224"/>
      <c r="L20" s="54">
        <f>SUM([16]April_2016!$M24)</f>
        <v>174</v>
      </c>
      <c r="M20" s="54">
        <f>SUM([16]April_2016!$H24)</f>
        <v>0</v>
      </c>
      <c r="N20" s="55">
        <f>SUM([16]April_2016!$P24)</f>
        <v>1.3176470588235285</v>
      </c>
      <c r="O20" s="54"/>
      <c r="P20" s="1228"/>
      <c r="Q20" s="56"/>
      <c r="R20" s="1040"/>
      <c r="S20" s="46"/>
      <c r="T20" s="1239"/>
      <c r="U20" s="24" t="s">
        <v>140</v>
      </c>
    </row>
    <row r="21" spans="2:21" s="19" customFormat="1" ht="33.75" customHeight="1" x14ac:dyDescent="0.2">
      <c r="B21" s="123">
        <v>42478</v>
      </c>
      <c r="C21" s="48" t="s">
        <v>29</v>
      </c>
      <c r="D21" s="49">
        <v>4200</v>
      </c>
      <c r="E21" s="50">
        <v>0.39861111111111108</v>
      </c>
      <c r="F21" s="51">
        <f>SUM([16]April_2016!$J25)</f>
        <v>253.89999999999998</v>
      </c>
      <c r="G21" s="52">
        <f>SUM([16]April_2016!$F25)</f>
        <v>3612</v>
      </c>
      <c r="H21" s="51">
        <f>SUM([16]April_2016!$K25)</f>
        <v>251.69200000000004</v>
      </c>
      <c r="I21" s="53">
        <f>SUM([16]April_2016!$N25)</f>
        <v>37.75</v>
      </c>
      <c r="J21" s="130">
        <f>SUM([16]April_2016!$Q25)</f>
        <v>430</v>
      </c>
      <c r="K21" s="130">
        <f>SUM([16]April_2016!$E25)</f>
        <v>504</v>
      </c>
      <c r="L21" s="54">
        <f>SUM([16]April_2016!$M25)</f>
        <v>212</v>
      </c>
      <c r="M21" s="54">
        <f>SUM([16]April_2016!$H25)</f>
        <v>0</v>
      </c>
      <c r="N21" s="55">
        <f>SUM([16]April_2016!$P25)</f>
        <v>0.86963371406063084</v>
      </c>
      <c r="O21" s="54"/>
      <c r="P21" s="66">
        <f>(G21)/(9.967*15000*(1/24))</f>
        <v>0.57983345038627465</v>
      </c>
      <c r="Q21" s="56"/>
      <c r="R21" s="46">
        <f>(G21)*24/(K21/60)/15000</f>
        <v>0.68799999999999994</v>
      </c>
      <c r="S21" s="46">
        <f>(H21+H22)*24/(L21/60)/15000</f>
        <v>0.20890505660377359</v>
      </c>
      <c r="T21" s="125">
        <f>(G21)*24/(K21/60)/15300</f>
        <v>0.67450980392156867</v>
      </c>
      <c r="U21" s="24" t="s">
        <v>141</v>
      </c>
    </row>
    <row r="22" spans="2:21" s="19" customFormat="1" ht="24" customHeight="1" x14ac:dyDescent="0.2">
      <c r="B22" s="1213">
        <v>42479</v>
      </c>
      <c r="C22" s="48" t="s">
        <v>32</v>
      </c>
      <c r="D22" s="49">
        <v>1800</v>
      </c>
      <c r="E22" s="1217">
        <v>0.31944444444444448</v>
      </c>
      <c r="F22" s="1219">
        <f>SUM([16]April_2016!$J26)</f>
        <v>210.60000000000002</v>
      </c>
      <c r="G22" s="52">
        <f>SUM([16]April_2016!$F26)</f>
        <v>1836</v>
      </c>
      <c r="H22" s="1219">
        <f>SUM([16]April_2016!$K26)</f>
        <v>209.64</v>
      </c>
      <c r="I22" s="1221">
        <f>SUM([16]April_2016!$N26)</f>
        <v>33.25</v>
      </c>
      <c r="J22" s="1223">
        <f>SUM([16]April_2016!$Q26)</f>
        <v>319.10499139414799</v>
      </c>
      <c r="K22" s="1223">
        <f>SUM([16]April_2016!$E26)</f>
        <v>581</v>
      </c>
      <c r="L22" s="1223">
        <f>SUM([16]April_2016!$M26)</f>
        <v>195</v>
      </c>
      <c r="M22" s="54">
        <f>SUM([16]April_2016!$H26)</f>
        <v>0</v>
      </c>
      <c r="N22" s="1225">
        <f>SUM([16]April_2016!$P26)</f>
        <v>0.45584045584047306</v>
      </c>
      <c r="O22" s="54"/>
      <c r="P22" s="1227">
        <f>(G22+G23)/(9.517*15000*(1/24))</f>
        <v>0.51949143637700956</v>
      </c>
      <c r="Q22" s="56"/>
      <c r="R22" s="1039">
        <f>(G22+G23)*24/(K22/60)/15000</f>
        <v>0.51056798623063682</v>
      </c>
      <c r="S22" s="46">
        <f>(H22+H23)*24/(L22/60)/15000</f>
        <v>0.10320738461538462</v>
      </c>
      <c r="T22" s="1237">
        <f>(G22+G23)*24/(K22/60)/15300</f>
        <v>0.50055684924572241</v>
      </c>
      <c r="U22" s="1208" t="s">
        <v>142</v>
      </c>
    </row>
    <row r="23" spans="2:21" s="19" customFormat="1" ht="24" customHeight="1" x14ac:dyDescent="0.2">
      <c r="B23" s="1214"/>
      <c r="C23" s="48" t="s">
        <v>29</v>
      </c>
      <c r="D23" s="49">
        <v>1000</v>
      </c>
      <c r="E23" s="1218"/>
      <c r="F23" s="1220"/>
      <c r="G23" s="52">
        <f>SUM([16]April_2016!$F27)</f>
        <v>1254</v>
      </c>
      <c r="H23" s="1220"/>
      <c r="I23" s="1222"/>
      <c r="J23" s="1224"/>
      <c r="K23" s="1224"/>
      <c r="L23" s="1224"/>
      <c r="M23" s="54"/>
      <c r="N23" s="1226"/>
      <c r="O23" s="54"/>
      <c r="P23" s="1228"/>
      <c r="Q23" s="56"/>
      <c r="R23" s="1040"/>
      <c r="S23" s="46"/>
      <c r="T23" s="1239"/>
      <c r="U23" s="1209"/>
    </row>
    <row r="24" spans="2:21" s="19" customFormat="1" ht="49.5" x14ac:dyDescent="0.2">
      <c r="B24" s="123">
        <v>42480</v>
      </c>
      <c r="C24" s="48" t="s">
        <v>27</v>
      </c>
      <c r="D24" s="49">
        <v>5600</v>
      </c>
      <c r="E24" s="50">
        <v>0.31805555555555554</v>
      </c>
      <c r="F24" s="51">
        <f>SUM([16]April_2016!$J28)</f>
        <v>385.4</v>
      </c>
      <c r="G24" s="52">
        <f>SUM([16]April_2016!$F28)</f>
        <v>5798</v>
      </c>
      <c r="H24" s="51">
        <f>SUM([16]April_2016!$K28)</f>
        <v>382.66800000000001</v>
      </c>
      <c r="I24" s="53">
        <f>SUM([16]April_2016!$N28)</f>
        <v>39.25</v>
      </c>
      <c r="J24" s="130">
        <f>SUM([16]April_2016!$Q28)</f>
        <v>524.7058823529411</v>
      </c>
      <c r="K24" s="130">
        <f>SUM([16]April_2016!$E28)</f>
        <v>663</v>
      </c>
      <c r="L24" s="54">
        <f>SUM([16]April_2016!$M28)</f>
        <v>82</v>
      </c>
      <c r="M24" s="54">
        <f>SUM([16]April_2016!$H28)</f>
        <v>0</v>
      </c>
      <c r="N24" s="55">
        <f>SUM([16]April_2016!$P28)</f>
        <v>0.70887389724960337</v>
      </c>
      <c r="O24" s="54"/>
      <c r="P24" s="66">
        <f>(G24)/(10.883*15000*(1/24))</f>
        <v>0.85241201874483141</v>
      </c>
      <c r="Q24" s="56"/>
      <c r="R24" s="46">
        <f>(G24)*24/(K24/60)/15000</f>
        <v>0.83952941176470586</v>
      </c>
      <c r="S24" s="46">
        <f>(H24+H25)*24/(L24/60)/15000</f>
        <v>0.84848312195121955</v>
      </c>
      <c r="T24" s="125">
        <f>(G24)*24/(K24/60)/15300</f>
        <v>0.82306805074971157</v>
      </c>
      <c r="U24" s="24" t="s">
        <v>143</v>
      </c>
    </row>
    <row r="25" spans="2:21" s="19" customFormat="1" ht="49.5" x14ac:dyDescent="0.2">
      <c r="B25" s="123">
        <v>42481</v>
      </c>
      <c r="C25" s="48" t="s">
        <v>30</v>
      </c>
      <c r="D25" s="49">
        <v>4900</v>
      </c>
      <c r="E25" s="50">
        <v>0.32291666666666669</v>
      </c>
      <c r="F25" s="51">
        <f>SUM([16]April_2016!$J29)</f>
        <v>343.7</v>
      </c>
      <c r="G25" s="52">
        <f>SUM([16]April_2016!$F29)</f>
        <v>5183</v>
      </c>
      <c r="H25" s="51">
        <f>SUM([16]April_2016!$K29)</f>
        <v>342.07800000000003</v>
      </c>
      <c r="I25" s="53">
        <f>SUM([16]April_2016!$N29)</f>
        <v>44</v>
      </c>
      <c r="J25" s="130">
        <f>SUM([16]April_2016!$Q29)</f>
        <v>455.98240469208207</v>
      </c>
      <c r="K25" s="130">
        <f>SUM([16]April_2016!$E29)</f>
        <v>682</v>
      </c>
      <c r="L25" s="54">
        <f>SUM([16]April_2016!$M29)</f>
        <v>90</v>
      </c>
      <c r="M25" s="54">
        <f>SUM([16]April_2016!$H29)</f>
        <v>0</v>
      </c>
      <c r="N25" s="55">
        <f>SUM([16]April_2016!$P29)</f>
        <v>0.47192318882745338</v>
      </c>
      <c r="O25" s="54"/>
      <c r="P25" s="66">
        <f>(G25)/(11.2*15000*(1/24))</f>
        <v>0.74042857142857144</v>
      </c>
      <c r="Q25" s="56"/>
      <c r="R25" s="46">
        <f>(G25)*24/(K25/60)/15000</f>
        <v>0.72957184750733139</v>
      </c>
      <c r="S25" s="46">
        <f>(H25+H26)*24/(L25/60)/15000</f>
        <v>0.45833493333333336</v>
      </c>
      <c r="T25" s="125">
        <f>(G25)*24/(K25/60)/15300</f>
        <v>0.71526651716405043</v>
      </c>
      <c r="U25" s="24" t="s">
        <v>144</v>
      </c>
    </row>
    <row r="26" spans="2:21" s="19" customFormat="1" ht="19.5" customHeight="1" x14ac:dyDescent="0.2">
      <c r="B26" s="1213">
        <v>42482</v>
      </c>
      <c r="C26" s="48" t="s">
        <v>145</v>
      </c>
      <c r="D26" s="1215">
        <v>2800</v>
      </c>
      <c r="E26" s="1217">
        <v>0.36458333333333331</v>
      </c>
      <c r="F26" s="51">
        <f>SUM([16]April_2016!$J30)</f>
        <v>90.94</v>
      </c>
      <c r="G26" s="52">
        <f>SUM([16]April_2016!$F30)</f>
        <v>1109</v>
      </c>
      <c r="H26" s="51">
        <f>SUM([16]April_2016!$K30)</f>
        <v>87.611000000000004</v>
      </c>
      <c r="I26" s="53">
        <f>SUM([16]April_2016!$N30)</f>
        <v>0</v>
      </c>
      <c r="J26" s="1223">
        <f>SUM([16]April_2016!$Q30)</f>
        <v>339.9188640973631</v>
      </c>
      <c r="K26" s="1223">
        <f>SUM([16]April_2016!$E30)</f>
        <v>493</v>
      </c>
      <c r="L26" s="54">
        <f>SUM([16]April_2016!$M30)</f>
        <v>90</v>
      </c>
      <c r="M26" s="54">
        <f>SUM([16]April_2016!$H30)</f>
        <v>0</v>
      </c>
      <c r="N26" s="55">
        <f>SUM([16]April_2016!$P30)</f>
        <v>3.6606553771717545</v>
      </c>
      <c r="O26" s="54"/>
      <c r="P26" s="1227">
        <f>(G26+G27+G28)/(8.967*15000*(1/24))</f>
        <v>0.49836065573770494</v>
      </c>
      <c r="Q26" s="56"/>
      <c r="R26" s="1039">
        <f>(G26+G27+G28)*24/(K26/60)/15000</f>
        <v>0.5438701825557809</v>
      </c>
      <c r="S26" s="46">
        <f>(H26+H27)*24/(L26/60)/15000</f>
        <v>0.19077973333333334</v>
      </c>
      <c r="T26" s="1237">
        <f>(G26+G27+G28)*24/(K26/60)/15300</f>
        <v>0.53320606132919701</v>
      </c>
      <c r="U26" s="1208" t="s">
        <v>146</v>
      </c>
    </row>
    <row r="27" spans="2:21" s="19" customFormat="1" ht="18.75" customHeight="1" x14ac:dyDescent="0.2">
      <c r="B27" s="1233"/>
      <c r="C27" s="48" t="s">
        <v>89</v>
      </c>
      <c r="D27" s="1242"/>
      <c r="E27" s="1234"/>
      <c r="F27" s="51">
        <f>SUM([16]April_2016!$J31)</f>
        <v>94.122899999999987</v>
      </c>
      <c r="G27" s="52">
        <f>SUM([16]April_2016!$F31)</f>
        <v>1155</v>
      </c>
      <c r="H27" s="51">
        <f>SUM([16]April_2016!$K31)</f>
        <v>91.245000000000005</v>
      </c>
      <c r="I27" s="53">
        <f>SUM([16]April_2016!$N31)</f>
        <v>0</v>
      </c>
      <c r="J27" s="1235"/>
      <c r="K27" s="1235"/>
      <c r="L27" s="54">
        <f>SUM([16]April_2016!$M31)</f>
        <v>43</v>
      </c>
      <c r="M27" s="54">
        <f>SUM([16]April_2016!$H31)</f>
        <v>0</v>
      </c>
      <c r="N27" s="55">
        <f>SUM([16]April_2016!$P31)</f>
        <v>3.0575980978061481</v>
      </c>
      <c r="O27" s="54"/>
      <c r="P27" s="1236"/>
      <c r="Q27" s="56"/>
      <c r="R27" s="1041"/>
      <c r="S27" s="46"/>
      <c r="T27" s="1238"/>
      <c r="U27" s="1243"/>
    </row>
    <row r="28" spans="2:21" s="19" customFormat="1" ht="19.5" customHeight="1" x14ac:dyDescent="0.2">
      <c r="B28" s="1214"/>
      <c r="C28" s="48" t="s">
        <v>90</v>
      </c>
      <c r="D28" s="1216"/>
      <c r="E28" s="1218"/>
      <c r="F28" s="51">
        <f>SUM([16]April_2016!$J32)</f>
        <v>41.791000000000004</v>
      </c>
      <c r="G28" s="52">
        <f>SUM([16]April_2016!$F32)</f>
        <v>529</v>
      </c>
      <c r="H28" s="51">
        <f>SUM([16]April_2016!$K32)</f>
        <v>41.791000000000004</v>
      </c>
      <c r="I28" s="53">
        <f>SUM([16]April_2016!$N32)</f>
        <v>0</v>
      </c>
      <c r="J28" s="1224"/>
      <c r="K28" s="1224"/>
      <c r="L28" s="54">
        <f>SUM([16]April_2016!$M32)</f>
        <v>54</v>
      </c>
      <c r="M28" s="54">
        <f>SUM([16]April_2016!$H32)</f>
        <v>0</v>
      </c>
      <c r="N28" s="55">
        <f>SUM([16]April_2016!$P32)</f>
        <v>0</v>
      </c>
      <c r="O28" s="54"/>
      <c r="P28" s="1228"/>
      <c r="Q28" s="56"/>
      <c r="R28" s="1040"/>
      <c r="S28" s="46"/>
      <c r="T28" s="1239"/>
      <c r="U28" s="1209"/>
    </row>
    <row r="29" spans="2:21" s="19" customFormat="1" ht="24" customHeight="1" x14ac:dyDescent="0.2">
      <c r="B29" s="1213">
        <v>42485</v>
      </c>
      <c r="C29" s="48" t="s">
        <v>32</v>
      </c>
      <c r="D29" s="49">
        <v>1000</v>
      </c>
      <c r="E29" s="1217">
        <v>0.3354166666666667</v>
      </c>
      <c r="F29" s="1219">
        <f>SUM([16]April_2016!$J33)</f>
        <v>409.1</v>
      </c>
      <c r="G29" s="52">
        <f>SUM([16]April_2016!$F33)</f>
        <v>975</v>
      </c>
      <c r="H29" s="1219">
        <f>SUM([16]April_2016!$K33)</f>
        <v>403.56200000000001</v>
      </c>
      <c r="I29" s="1221">
        <f>SUM([16]April_2016!$N33)</f>
        <v>43.75</v>
      </c>
      <c r="J29" s="1223">
        <f>SUM([16]April_2016!$Q33)</f>
        <v>404.2491657397108</v>
      </c>
      <c r="K29" s="1223">
        <f>SUM([16]April_2016!$E33)</f>
        <v>899</v>
      </c>
      <c r="L29" s="1223">
        <f>SUM([16]April_2016!$M33)</f>
        <v>230</v>
      </c>
      <c r="M29" s="1223">
        <f>SUM([16]April_2016!$H33)</f>
        <v>0</v>
      </c>
      <c r="N29" s="1225">
        <f>SUM([16]April_2016!$P33)</f>
        <v>1.3537032510388685</v>
      </c>
      <c r="O29" s="54"/>
      <c r="P29" s="1227">
        <f>(G29+G30)/(15*15000*(1/24))</f>
        <v>0.64607999999999999</v>
      </c>
      <c r="Q29" s="56"/>
      <c r="R29" s="1039">
        <f>(G29+G30)*24/(K29/60)/15000</f>
        <v>0.64679866518353724</v>
      </c>
      <c r="S29" s="46">
        <f>(H29+H30)*24/(L29/60)/15000</f>
        <v>0.16844326956521738</v>
      </c>
      <c r="T29" s="1237">
        <f>(G29+G30)*24/(K29/60)/15300</f>
        <v>0.63411633841523263</v>
      </c>
      <c r="U29" s="1208" t="s">
        <v>147</v>
      </c>
    </row>
    <row r="30" spans="2:21" s="19" customFormat="1" ht="24" customHeight="1" x14ac:dyDescent="0.2">
      <c r="B30" s="1214"/>
      <c r="C30" s="48" t="s">
        <v>29</v>
      </c>
      <c r="D30" s="49">
        <v>5025</v>
      </c>
      <c r="E30" s="1218"/>
      <c r="F30" s="1220"/>
      <c r="G30" s="52">
        <f>SUM([16]April_2016!$F34)</f>
        <v>5082</v>
      </c>
      <c r="H30" s="1220"/>
      <c r="I30" s="1222"/>
      <c r="J30" s="1224"/>
      <c r="K30" s="1224"/>
      <c r="L30" s="1224"/>
      <c r="M30" s="1224"/>
      <c r="N30" s="1226"/>
      <c r="O30" s="54"/>
      <c r="P30" s="1228"/>
      <c r="Q30" s="56"/>
      <c r="R30" s="1040"/>
      <c r="S30" s="46"/>
      <c r="T30" s="1239"/>
      <c r="U30" s="1209"/>
    </row>
    <row r="31" spans="2:21" s="19" customFormat="1" ht="30.75" customHeight="1" x14ac:dyDescent="0.2">
      <c r="B31" s="1213">
        <v>42486</v>
      </c>
      <c r="C31" s="48" t="s">
        <v>29</v>
      </c>
      <c r="D31" s="49">
        <v>2100</v>
      </c>
      <c r="E31" s="1217">
        <v>0.32916666666666666</v>
      </c>
      <c r="F31" s="51">
        <f>SUM([16]April_2016!$J35)</f>
        <v>157.60000000000002</v>
      </c>
      <c r="G31" s="52">
        <f>SUM([16]April_2016!$F35)</f>
        <v>2144.2083333333335</v>
      </c>
      <c r="H31" s="51">
        <f>SUM([16]April_2016!$K35)</f>
        <v>156.33775</v>
      </c>
      <c r="I31" s="53">
        <f>SUM([16]April_2016!$N35)</f>
        <v>22</v>
      </c>
      <c r="J31" s="1223">
        <f>SUM([16]April_2016!$Q35)</f>
        <v>519.79794520547955</v>
      </c>
      <c r="K31" s="1223">
        <f>SUM([16]April_2016!$E35)</f>
        <v>730</v>
      </c>
      <c r="L31" s="54">
        <f>SUM([16]April_2016!$M35)</f>
        <v>26</v>
      </c>
      <c r="M31" s="54">
        <f>SUM([16]April_2016!$H35)</f>
        <v>0</v>
      </c>
      <c r="N31" s="55">
        <f>SUM([16]April_2016!$P35)</f>
        <v>0.8009200507614358</v>
      </c>
      <c r="O31" s="54"/>
      <c r="P31" s="1227">
        <f>(G31+G32)/(15*15000*(1/24))</f>
        <v>0.67458222222222231</v>
      </c>
      <c r="Q31" s="56"/>
      <c r="R31" s="1039">
        <f>(G31+G32)*24/(K31/60)/15000</f>
        <v>0.83167671232876716</v>
      </c>
      <c r="S31" s="46">
        <f>(H31+H32)*24/(L31/60)/15000</f>
        <v>1.602896307692308</v>
      </c>
      <c r="T31" s="1237">
        <f>(G31+G32)*24/(K31/60)/15300</f>
        <v>0.81536932581251687</v>
      </c>
      <c r="U31" s="24" t="s">
        <v>148</v>
      </c>
    </row>
    <row r="32" spans="2:21" s="19" customFormat="1" ht="30.75" customHeight="1" x14ac:dyDescent="0.2">
      <c r="B32" s="1214"/>
      <c r="C32" s="48" t="s">
        <v>27</v>
      </c>
      <c r="D32" s="49">
        <v>4200</v>
      </c>
      <c r="E32" s="1218"/>
      <c r="F32" s="51">
        <f>SUM([16]April_2016!$J36)</f>
        <v>279.7</v>
      </c>
      <c r="G32" s="52">
        <f>SUM([16]April_2016!$F36)</f>
        <v>4180</v>
      </c>
      <c r="H32" s="51">
        <f>SUM([16]April_2016!$K36)</f>
        <v>277.77999999999997</v>
      </c>
      <c r="I32" s="53">
        <f>SUM([16]April_2016!$N36)</f>
        <v>27</v>
      </c>
      <c r="J32" s="1224"/>
      <c r="K32" s="1224"/>
      <c r="L32" s="54">
        <f>SUM([16]April_2016!$M36)</f>
        <v>77</v>
      </c>
      <c r="M32" s="54">
        <f>SUM([16]April_2016!$H36)</f>
        <v>0</v>
      </c>
      <c r="N32" s="55">
        <f>SUM([16]April_2016!$P36)</f>
        <v>0.68644976760815735</v>
      </c>
      <c r="O32" s="54"/>
      <c r="P32" s="1228"/>
      <c r="Q32" s="56"/>
      <c r="R32" s="1040"/>
      <c r="S32" s="18"/>
      <c r="T32" s="1239"/>
      <c r="U32" s="24" t="s">
        <v>149</v>
      </c>
    </row>
    <row r="33" spans="2:21" s="19" customFormat="1" ht="19.5" customHeight="1" x14ac:dyDescent="0.2">
      <c r="B33" s="1213">
        <v>42487</v>
      </c>
      <c r="C33" s="48" t="s">
        <v>150</v>
      </c>
      <c r="D33" s="1215">
        <v>2800</v>
      </c>
      <c r="E33" s="1217">
        <v>0.3611111111111111</v>
      </c>
      <c r="F33" s="51">
        <f>SUM([16]April_2016!$J37)</f>
        <v>90.931200000000004</v>
      </c>
      <c r="G33" s="52">
        <f>SUM([16]April_2016!$F37)</f>
        <v>1100</v>
      </c>
      <c r="H33" s="51">
        <f>SUM([16]April_2016!$K37)</f>
        <v>86.9</v>
      </c>
      <c r="I33" s="53">
        <f>SUM([16]April_2016!$N37)</f>
        <v>11</v>
      </c>
      <c r="J33" s="1223">
        <f>SUM([16]April_2016!$Q37)</f>
        <v>341.4</v>
      </c>
      <c r="K33" s="1223">
        <f>SUM([16]April_2016!$E37)</f>
        <v>500</v>
      </c>
      <c r="L33" s="54">
        <f>SUM([16]April_2016!$M37)</f>
        <v>45</v>
      </c>
      <c r="M33" s="54">
        <f>SUM([16]April_2016!$H37)</f>
        <v>0</v>
      </c>
      <c r="N33" s="55">
        <f>SUM([16]April_2016!$P37)</f>
        <v>4.4332418355855836</v>
      </c>
      <c r="O33" s="54"/>
      <c r="P33" s="1227">
        <f>(G33+G34+G35)/(9*15000*(1/24))</f>
        <v>0.50577777777777777</v>
      </c>
      <c r="Q33" s="56"/>
      <c r="R33" s="1039">
        <f>(G33+G34+G35)*24/(K33/60)/15000</f>
        <v>0.54623999999999995</v>
      </c>
      <c r="S33" s="46">
        <f>(H33+H34)*24/(L33/60)/15000</f>
        <v>0.38577280000000003</v>
      </c>
      <c r="T33" s="1237">
        <f>(G33+G34+G35)*24/(K33/60)/15300</f>
        <v>0.53552941176470581</v>
      </c>
      <c r="U33" s="1208" t="s">
        <v>153</v>
      </c>
    </row>
    <row r="34" spans="2:21" s="19" customFormat="1" ht="18.75" customHeight="1" x14ac:dyDescent="0.2">
      <c r="B34" s="1233"/>
      <c r="C34" s="48" t="s">
        <v>151</v>
      </c>
      <c r="D34" s="1242"/>
      <c r="E34" s="1234"/>
      <c r="F34" s="51">
        <f>SUM([16]April_2016!$J38)</f>
        <v>94.113792000000004</v>
      </c>
      <c r="G34" s="52">
        <f>SUM([16]April_2016!$F38)</f>
        <v>1189</v>
      </c>
      <c r="H34" s="51">
        <f>SUM([16]April_2016!$K38)</f>
        <v>93.930999999999997</v>
      </c>
      <c r="I34" s="53">
        <f>SUM([16]April_2016!$N38)</f>
        <v>1</v>
      </c>
      <c r="J34" s="1235"/>
      <c r="K34" s="1235"/>
      <c r="L34" s="54">
        <f>SUM([16]April_2016!$M38)</f>
        <v>81</v>
      </c>
      <c r="M34" s="54">
        <f>SUM([16]April_2016!$H38)</f>
        <v>0</v>
      </c>
      <c r="N34" s="55">
        <f>SUM([16]April_2016!$P38)</f>
        <v>0.19422445543370123</v>
      </c>
      <c r="O34" s="54"/>
      <c r="P34" s="1236"/>
      <c r="Q34" s="56"/>
      <c r="R34" s="1041"/>
      <c r="S34" s="46"/>
      <c r="T34" s="1238"/>
      <c r="U34" s="1243"/>
    </row>
    <row r="35" spans="2:21" s="19" customFormat="1" ht="19.5" customHeight="1" x14ac:dyDescent="0.2">
      <c r="B35" s="1214"/>
      <c r="C35" s="48" t="s">
        <v>152</v>
      </c>
      <c r="D35" s="1216"/>
      <c r="E35" s="1218"/>
      <c r="F35" s="51">
        <f>SUM([16]April_2016!$J39)</f>
        <v>45.465600000000002</v>
      </c>
      <c r="G35" s="52">
        <f>SUM([16]April_2016!$F39)</f>
        <v>556</v>
      </c>
      <c r="H35" s="51">
        <f>SUM([16]April_2016!$K39)</f>
        <v>43.923999999999999</v>
      </c>
      <c r="I35" s="53">
        <f>SUM([16]April_2016!$N39)</f>
        <v>0</v>
      </c>
      <c r="J35" s="1224"/>
      <c r="K35" s="1224"/>
      <c r="L35" s="54">
        <f>SUM([16]April_2016!$M39)</f>
        <v>38</v>
      </c>
      <c r="M35" s="54">
        <f>SUM([16]April_2016!$H39)</f>
        <v>0</v>
      </c>
      <c r="N35" s="55">
        <f>SUM([16]April_2016!$P39)</f>
        <v>3.3906953828828885</v>
      </c>
      <c r="O35" s="54"/>
      <c r="P35" s="1228"/>
      <c r="Q35" s="56"/>
      <c r="R35" s="1040"/>
      <c r="S35" s="46"/>
      <c r="T35" s="1239"/>
      <c r="U35" s="1209"/>
    </row>
    <row r="36" spans="2:21" s="19" customFormat="1" ht="82.5" x14ac:dyDescent="0.2">
      <c r="B36" s="47">
        <v>42488</v>
      </c>
      <c r="C36" s="48" t="s">
        <v>33</v>
      </c>
      <c r="D36" s="49">
        <v>4900</v>
      </c>
      <c r="E36" s="50">
        <v>0.34583333333333338</v>
      </c>
      <c r="F36" s="51">
        <f>SUM([16]April_2016!$J40)</f>
        <v>347</v>
      </c>
      <c r="G36" s="52">
        <f>SUM([16]April_2016!$F40)</f>
        <v>5238</v>
      </c>
      <c r="H36" s="51">
        <f>SUM([16]April_2016!$K40)</f>
        <v>345.70800000000003</v>
      </c>
      <c r="I36" s="53">
        <f>SUM([16]April_2016!$N40)</f>
        <v>33</v>
      </c>
      <c r="J36" s="130">
        <f>SUM([16]April_2016!$Q40)</f>
        <v>424.70270270270271</v>
      </c>
      <c r="K36" s="130">
        <f>SUM([16]April_2016!$E40)</f>
        <v>740</v>
      </c>
      <c r="L36" s="54">
        <f>SUM([16]April_2016!$M40)</f>
        <v>179</v>
      </c>
      <c r="M36" s="54">
        <f>SUM([16]April_2016!$H40)</f>
        <v>0</v>
      </c>
      <c r="N36" s="55">
        <f>SUM([16]April_2016!$P40)</f>
        <v>0.37233429394811907</v>
      </c>
      <c r="O36" s="54"/>
      <c r="P36" s="66">
        <f>(G36)/(12.167*15000*(1/24))</f>
        <v>0.68881400509575075</v>
      </c>
      <c r="Q36" s="56"/>
      <c r="R36" s="46">
        <f>(G36)*24/(K36/60)/15000</f>
        <v>0.6795243243243243</v>
      </c>
      <c r="S36" s="46">
        <f>(H36+H37)*24/(L36/60)/15000</f>
        <v>0.32326793296089379</v>
      </c>
      <c r="T36" s="125">
        <f>(G36)*24/(K36/60)/15300</f>
        <v>0.66620031796502388</v>
      </c>
      <c r="U36" s="24" t="s">
        <v>154</v>
      </c>
    </row>
    <row r="37" spans="2:21" s="19" customFormat="1" ht="33" x14ac:dyDescent="0.2">
      <c r="B37" s="47">
        <v>42489</v>
      </c>
      <c r="C37" s="48" t="s">
        <v>31</v>
      </c>
      <c r="D37" s="49">
        <v>3300</v>
      </c>
      <c r="E37" s="50">
        <v>0.34027777777777773</v>
      </c>
      <c r="F37" s="51">
        <f>SUM([16]April_2016!$J41)</f>
        <v>258.8</v>
      </c>
      <c r="G37" s="52">
        <f>SUM([16]April_2016!$F41)</f>
        <v>3455</v>
      </c>
      <c r="H37" s="51">
        <f>SUM([16]April_2016!$K41)</f>
        <v>257.05199999999996</v>
      </c>
      <c r="I37" s="53">
        <f>SUM([16]April_2016!$N41)</f>
        <v>31</v>
      </c>
      <c r="J37" s="130">
        <f>SUM([16]April_2016!$Q41)</f>
        <v>346.07679465776295</v>
      </c>
      <c r="K37" s="130">
        <f>SUM([16]April_2016!$E41)</f>
        <v>599</v>
      </c>
      <c r="L37" s="54">
        <f>SUM([16]April_2016!$M41)</f>
        <v>113</v>
      </c>
      <c r="M37" s="54">
        <f>SUM([16]April_2016!$H41)</f>
        <v>0</v>
      </c>
      <c r="N37" s="55">
        <f>SUM([16]April_2016!$P41)</f>
        <v>0.67542503863989456</v>
      </c>
      <c r="O37" s="54"/>
      <c r="P37" s="66">
        <f>(G37)/(9.817*15000*(1/24))</f>
        <v>0.56310481817255775</v>
      </c>
      <c r="Q37" s="56"/>
      <c r="R37" s="46">
        <f>(G37)*24/(K37/60)/15000</f>
        <v>0.55372287145242083</v>
      </c>
      <c r="S37" s="46">
        <f>(H37+H38)*24/(L37/60)/15000</f>
        <v>0.21838046017699114</v>
      </c>
      <c r="T37" s="125">
        <f>(G37)*24/(K37/60)/15300</f>
        <v>0.54286556024747135</v>
      </c>
      <c r="U37" s="24" t="s">
        <v>155</v>
      </c>
    </row>
    <row r="38" spans="2:21" s="19" customFormat="1" ht="31.5" customHeight="1" x14ac:dyDescent="0.2">
      <c r="B38" s="47"/>
      <c r="C38" s="48"/>
      <c r="D38" s="49"/>
      <c r="E38" s="50"/>
      <c r="F38" s="51"/>
      <c r="G38" s="52"/>
      <c r="H38" s="51"/>
      <c r="I38" s="53"/>
      <c r="J38" s="54"/>
      <c r="K38" s="54"/>
      <c r="L38" s="54"/>
      <c r="M38" s="54"/>
      <c r="N38" s="55"/>
      <c r="O38" s="54"/>
      <c r="P38" s="66"/>
      <c r="Q38" s="56"/>
      <c r="R38" s="46"/>
      <c r="S38" s="18"/>
      <c r="T38" s="126"/>
      <c r="U38" s="24"/>
    </row>
    <row r="39" spans="2:21" s="19" customFormat="1" ht="31.5" customHeight="1" thickBot="1" x14ac:dyDescent="0.25">
      <c r="B39" s="47"/>
      <c r="C39" s="48"/>
      <c r="D39" s="49"/>
      <c r="E39" s="50"/>
      <c r="F39" s="51"/>
      <c r="G39" s="52"/>
      <c r="H39" s="51"/>
      <c r="I39" s="53"/>
      <c r="J39" s="54"/>
      <c r="K39" s="54"/>
      <c r="L39" s="54"/>
      <c r="M39" s="54"/>
      <c r="N39" s="55"/>
      <c r="O39" s="54"/>
      <c r="P39" s="66"/>
      <c r="Q39" s="56"/>
      <c r="R39" s="46"/>
      <c r="S39" s="18"/>
      <c r="T39" s="126"/>
      <c r="U39" s="24"/>
    </row>
    <row r="40" spans="2:21" s="19" customFormat="1" ht="31.5" hidden="1" customHeight="1" thickBot="1" x14ac:dyDescent="0.25">
      <c r="B40" s="47"/>
      <c r="C40" s="48"/>
      <c r="D40" s="49"/>
      <c r="E40" s="50"/>
      <c r="F40" s="51"/>
      <c r="G40" s="52"/>
      <c r="H40" s="51"/>
      <c r="I40" s="53"/>
      <c r="J40" s="54"/>
      <c r="K40" s="54"/>
      <c r="L40" s="54"/>
      <c r="M40" s="54"/>
      <c r="N40" s="55"/>
      <c r="O40" s="54"/>
      <c r="P40" s="66"/>
      <c r="Q40" s="56"/>
      <c r="R40" s="46"/>
      <c r="S40" s="18"/>
      <c r="T40" s="126"/>
      <c r="U40" s="24"/>
    </row>
    <row r="41" spans="2:21" s="19" customFormat="1" ht="31.5" hidden="1" customHeight="1" x14ac:dyDescent="0.2">
      <c r="B41" s="47"/>
      <c r="C41" s="48"/>
      <c r="D41" s="49"/>
      <c r="E41" s="50"/>
      <c r="F41" s="51"/>
      <c r="G41" s="52"/>
      <c r="H41" s="51"/>
      <c r="I41" s="53"/>
      <c r="J41" s="54"/>
      <c r="K41" s="54"/>
      <c r="L41" s="54"/>
      <c r="M41" s="54"/>
      <c r="N41" s="55"/>
      <c r="O41" s="54"/>
      <c r="P41" s="66"/>
      <c r="Q41" s="56"/>
      <c r="R41" s="46"/>
      <c r="S41" s="18"/>
      <c r="T41" s="126"/>
      <c r="U41" s="24"/>
    </row>
    <row r="42" spans="2:21" s="19" customFormat="1" ht="31.5" hidden="1" customHeight="1" x14ac:dyDescent="0.2">
      <c r="B42" s="47"/>
      <c r="C42" s="48"/>
      <c r="D42" s="49"/>
      <c r="E42" s="50"/>
      <c r="F42" s="51"/>
      <c r="G42" s="52"/>
      <c r="H42" s="51"/>
      <c r="I42" s="53"/>
      <c r="J42" s="54"/>
      <c r="K42" s="54"/>
      <c r="L42" s="54"/>
      <c r="M42" s="54"/>
      <c r="N42" s="55"/>
      <c r="O42" s="54"/>
      <c r="P42" s="66"/>
      <c r="Q42" s="56"/>
      <c r="R42" s="46"/>
      <c r="S42" s="18"/>
      <c r="T42" s="126"/>
      <c r="U42" s="24"/>
    </row>
    <row r="43" spans="2:21" s="19" customFormat="1" ht="31.5" hidden="1" customHeight="1" x14ac:dyDescent="0.2">
      <c r="B43" s="47"/>
      <c r="C43" s="48"/>
      <c r="D43" s="49"/>
      <c r="E43" s="50"/>
      <c r="F43" s="51"/>
      <c r="G43" s="52"/>
      <c r="H43" s="51"/>
      <c r="I43" s="53"/>
      <c r="J43" s="54"/>
      <c r="K43" s="54"/>
      <c r="L43" s="54"/>
      <c r="M43" s="54"/>
      <c r="N43" s="55"/>
      <c r="O43" s="54"/>
      <c r="P43" s="66"/>
      <c r="Q43" s="56"/>
      <c r="R43" s="46"/>
      <c r="S43" s="18"/>
      <c r="T43" s="126"/>
      <c r="U43" s="24"/>
    </row>
    <row r="44" spans="2:21" s="19" customFormat="1" ht="31.5" hidden="1" customHeight="1" x14ac:dyDescent="0.2">
      <c r="B44" s="47"/>
      <c r="C44" s="48"/>
      <c r="D44" s="49"/>
      <c r="E44" s="50"/>
      <c r="F44" s="51"/>
      <c r="G44" s="52"/>
      <c r="H44" s="51"/>
      <c r="I44" s="53"/>
      <c r="J44" s="54"/>
      <c r="K44" s="54"/>
      <c r="L44" s="54"/>
      <c r="M44" s="54"/>
      <c r="N44" s="55"/>
      <c r="O44" s="54"/>
      <c r="P44" s="66"/>
      <c r="Q44" s="56"/>
      <c r="R44" s="46"/>
      <c r="S44" s="18"/>
      <c r="T44" s="126"/>
      <c r="U44" s="24"/>
    </row>
    <row r="45" spans="2:21" s="19" customFormat="1" ht="31.5" hidden="1" customHeight="1" x14ac:dyDescent="0.2">
      <c r="B45" s="47"/>
      <c r="C45" s="48"/>
      <c r="D45" s="49"/>
      <c r="E45" s="50"/>
      <c r="F45" s="51"/>
      <c r="G45" s="52"/>
      <c r="H45" s="51"/>
      <c r="I45" s="53"/>
      <c r="J45" s="54"/>
      <c r="K45" s="54"/>
      <c r="L45" s="54"/>
      <c r="M45" s="54"/>
      <c r="N45" s="55"/>
      <c r="O45" s="54"/>
      <c r="P45" s="66"/>
      <c r="Q45" s="56"/>
      <c r="R45" s="46"/>
      <c r="S45" s="18"/>
      <c r="T45" s="126"/>
      <c r="U45" s="24"/>
    </row>
    <row r="46" spans="2:21" s="19" customFormat="1" ht="31.5" hidden="1" customHeight="1" x14ac:dyDescent="0.2">
      <c r="B46" s="47"/>
      <c r="C46" s="48"/>
      <c r="D46" s="49"/>
      <c r="E46" s="50"/>
      <c r="F46" s="51"/>
      <c r="G46" s="52"/>
      <c r="H46" s="51"/>
      <c r="I46" s="53"/>
      <c r="J46" s="54"/>
      <c r="K46" s="54"/>
      <c r="L46" s="54"/>
      <c r="M46" s="54"/>
      <c r="N46" s="55"/>
      <c r="O46" s="54"/>
      <c r="P46" s="66"/>
      <c r="Q46" s="56"/>
      <c r="R46" s="46"/>
      <c r="S46" s="18"/>
      <c r="T46" s="126"/>
      <c r="U46" s="24"/>
    </row>
    <row r="47" spans="2:21" s="19" customFormat="1" ht="31.5" hidden="1" customHeight="1" x14ac:dyDescent="0.2">
      <c r="B47" s="47"/>
      <c r="C47" s="48"/>
      <c r="D47" s="49"/>
      <c r="E47" s="50"/>
      <c r="F47" s="51"/>
      <c r="G47" s="52"/>
      <c r="H47" s="51"/>
      <c r="I47" s="53"/>
      <c r="J47" s="54"/>
      <c r="K47" s="54"/>
      <c r="L47" s="54"/>
      <c r="M47" s="54"/>
      <c r="N47" s="55"/>
      <c r="O47" s="54"/>
      <c r="P47" s="66"/>
      <c r="Q47" s="56"/>
      <c r="R47" s="46"/>
      <c r="S47" s="18"/>
      <c r="T47" s="126"/>
      <c r="U47" s="24"/>
    </row>
    <row r="48" spans="2:21" s="19" customFormat="1" ht="31.5" hidden="1" customHeight="1" x14ac:dyDescent="0.2">
      <c r="B48" s="47"/>
      <c r="C48" s="48"/>
      <c r="D48" s="49"/>
      <c r="E48" s="50"/>
      <c r="F48" s="51"/>
      <c r="G48" s="52"/>
      <c r="H48" s="51"/>
      <c r="I48" s="53"/>
      <c r="J48" s="54"/>
      <c r="K48" s="54"/>
      <c r="L48" s="54"/>
      <c r="M48" s="54"/>
      <c r="N48" s="55"/>
      <c r="O48" s="54"/>
      <c r="P48" s="66"/>
      <c r="Q48" s="56"/>
      <c r="R48" s="46"/>
      <c r="S48" s="18"/>
      <c r="T48" s="126"/>
      <c r="U48" s="24"/>
    </row>
    <row r="49" spans="2:21" s="19" customFormat="1" ht="31.5" hidden="1" customHeight="1" x14ac:dyDescent="0.2">
      <c r="B49" s="47"/>
      <c r="C49" s="48"/>
      <c r="D49" s="49"/>
      <c r="E49" s="50"/>
      <c r="F49" s="51"/>
      <c r="G49" s="52"/>
      <c r="H49" s="51"/>
      <c r="I49" s="53"/>
      <c r="J49" s="54"/>
      <c r="K49" s="54"/>
      <c r="L49" s="54"/>
      <c r="M49" s="54"/>
      <c r="N49" s="55"/>
      <c r="O49" s="54"/>
      <c r="P49" s="66"/>
      <c r="Q49" s="56"/>
      <c r="R49" s="46"/>
      <c r="S49" s="18"/>
      <c r="T49" s="126"/>
      <c r="U49" s="24"/>
    </row>
    <row r="50" spans="2:21" s="19" customFormat="1" ht="31.5" hidden="1" customHeight="1" x14ac:dyDescent="0.2">
      <c r="B50" s="47"/>
      <c r="C50" s="48"/>
      <c r="D50" s="49"/>
      <c r="E50" s="50"/>
      <c r="F50" s="51"/>
      <c r="G50" s="52"/>
      <c r="H50" s="51"/>
      <c r="I50" s="53"/>
      <c r="J50" s="54"/>
      <c r="K50" s="54"/>
      <c r="L50" s="54"/>
      <c r="M50" s="54"/>
      <c r="N50" s="55"/>
      <c r="O50" s="54"/>
      <c r="P50" s="66"/>
      <c r="Q50" s="56"/>
      <c r="R50" s="46"/>
      <c r="S50" s="18"/>
      <c r="T50" s="126"/>
      <c r="U50" s="24"/>
    </row>
    <row r="51" spans="2:21" s="19" customFormat="1" ht="31.5" hidden="1" customHeight="1" x14ac:dyDescent="0.2">
      <c r="B51" s="47"/>
      <c r="C51" s="48"/>
      <c r="D51" s="49"/>
      <c r="E51" s="50"/>
      <c r="F51" s="51"/>
      <c r="G51" s="52"/>
      <c r="H51" s="51"/>
      <c r="I51" s="53"/>
      <c r="J51" s="54"/>
      <c r="K51" s="54"/>
      <c r="L51" s="54"/>
      <c r="M51" s="54"/>
      <c r="N51" s="55"/>
      <c r="O51" s="54"/>
      <c r="P51" s="66"/>
      <c r="Q51" s="56"/>
      <c r="R51" s="46"/>
      <c r="S51" s="18"/>
      <c r="T51" s="126"/>
      <c r="U51" s="24"/>
    </row>
    <row r="52" spans="2:21" s="19" customFormat="1" ht="31.5" hidden="1" customHeight="1" x14ac:dyDescent="0.2">
      <c r="B52" s="47"/>
      <c r="C52" s="48"/>
      <c r="D52" s="49"/>
      <c r="E52" s="50"/>
      <c r="F52" s="51"/>
      <c r="G52" s="52"/>
      <c r="H52" s="51"/>
      <c r="I52" s="53"/>
      <c r="J52" s="54"/>
      <c r="K52" s="54"/>
      <c r="L52" s="54"/>
      <c r="M52" s="54"/>
      <c r="N52" s="55"/>
      <c r="O52" s="54"/>
      <c r="P52" s="66"/>
      <c r="Q52" s="56"/>
      <c r="R52" s="46"/>
      <c r="S52" s="18"/>
      <c r="T52" s="126"/>
      <c r="U52" s="24"/>
    </row>
    <row r="53" spans="2:21" s="19" customFormat="1" ht="31.5" hidden="1" customHeight="1" x14ac:dyDescent="0.2">
      <c r="B53" s="47"/>
      <c r="C53" s="48"/>
      <c r="D53" s="49"/>
      <c r="E53" s="50"/>
      <c r="F53" s="51"/>
      <c r="G53" s="52"/>
      <c r="H53" s="51"/>
      <c r="I53" s="53"/>
      <c r="J53" s="54"/>
      <c r="K53" s="54"/>
      <c r="L53" s="54"/>
      <c r="M53" s="54"/>
      <c r="N53" s="55"/>
      <c r="O53" s="54"/>
      <c r="P53" s="66"/>
      <c r="Q53" s="56"/>
      <c r="R53" s="46"/>
      <c r="S53" s="18" t="e">
        <f>G53*24/(K53/60)/15400</f>
        <v>#DIV/0!</v>
      </c>
      <c r="T53" s="126"/>
      <c r="U53" s="24"/>
    </row>
    <row r="54" spans="2:21" s="19" customFormat="1" ht="31.5" hidden="1" customHeight="1" x14ac:dyDescent="0.2">
      <c r="B54" s="47"/>
      <c r="C54" s="48"/>
      <c r="D54" s="49"/>
      <c r="E54" s="50"/>
      <c r="F54" s="51"/>
      <c r="G54" s="52"/>
      <c r="H54" s="51"/>
      <c r="I54" s="53"/>
      <c r="J54" s="54"/>
      <c r="K54" s="54"/>
      <c r="L54" s="54"/>
      <c r="M54" s="67"/>
      <c r="N54" s="55"/>
      <c r="O54" s="54"/>
      <c r="P54" s="66"/>
      <c r="Q54" s="56"/>
      <c r="R54" s="46"/>
      <c r="S54" s="18" t="e">
        <f>G54*24/(K54/60)/15400</f>
        <v>#DIV/0!</v>
      </c>
      <c r="T54" s="126"/>
      <c r="U54" s="24"/>
    </row>
    <row r="55" spans="2:21" s="19" customFormat="1" ht="30" hidden="1" customHeight="1" x14ac:dyDescent="0.2">
      <c r="B55" s="47"/>
      <c r="C55" s="26"/>
      <c r="D55" s="27"/>
      <c r="E55" s="28"/>
      <c r="F55" s="29"/>
      <c r="G55" s="30"/>
      <c r="H55" s="29"/>
      <c r="I55" s="31"/>
      <c r="J55" s="32"/>
      <c r="K55" s="32"/>
      <c r="L55" s="32"/>
      <c r="M55" s="32"/>
      <c r="N55" s="33"/>
      <c r="O55" s="32"/>
      <c r="P55" s="46"/>
      <c r="Q55" s="34"/>
      <c r="R55" s="46"/>
      <c r="S55" s="18"/>
      <c r="T55" s="126"/>
      <c r="U55" s="24"/>
    </row>
    <row r="56" spans="2:21" s="19" customFormat="1" ht="20.25" hidden="1" x14ac:dyDescent="0.2">
      <c r="B56" s="47"/>
      <c r="C56" s="26"/>
      <c r="D56" s="27"/>
      <c r="E56" s="28"/>
      <c r="F56" s="29"/>
      <c r="G56" s="30"/>
      <c r="H56" s="29"/>
      <c r="I56" s="31"/>
      <c r="J56" s="32"/>
      <c r="K56" s="32"/>
      <c r="L56" s="32"/>
      <c r="M56" s="32"/>
      <c r="N56" s="33"/>
      <c r="O56" s="32"/>
      <c r="P56" s="46"/>
      <c r="Q56" s="34"/>
      <c r="R56" s="46"/>
      <c r="S56" s="18"/>
      <c r="T56" s="126"/>
      <c r="U56" s="24"/>
    </row>
    <row r="57" spans="2:21" s="19" customFormat="1" ht="21" hidden="1" thickBot="1" x14ac:dyDescent="0.25">
      <c r="B57" s="47"/>
      <c r="C57" s="75"/>
      <c r="D57" s="71"/>
      <c r="E57" s="73"/>
      <c r="F57" s="76"/>
      <c r="G57" s="77"/>
      <c r="H57" s="76"/>
      <c r="I57" s="78"/>
      <c r="J57" s="72"/>
      <c r="K57" s="72"/>
      <c r="L57" s="72"/>
      <c r="M57" s="72"/>
      <c r="N57" s="79"/>
      <c r="O57" s="80"/>
      <c r="P57" s="70"/>
      <c r="Q57" s="81"/>
      <c r="R57" s="70"/>
      <c r="S57" s="82"/>
      <c r="T57" s="127"/>
      <c r="U57" s="83"/>
    </row>
    <row r="58" spans="2:21" s="19" customFormat="1" ht="21" customHeight="1" thickBot="1" x14ac:dyDescent="0.35">
      <c r="B58" s="35" t="s">
        <v>3</v>
      </c>
      <c r="C58" s="36"/>
      <c r="D58" s="57">
        <f>SUM(D4:D56)</f>
        <v>80925</v>
      </c>
      <c r="E58" s="58">
        <f>AVERAGE(E4:E56)</f>
        <v>0.34242724867724866</v>
      </c>
      <c r="F58" s="59">
        <f>SUM(F4:F56)</f>
        <v>5607.0851220000004</v>
      </c>
      <c r="G58" s="57">
        <f>SUM(G4:G56)</f>
        <v>81092.208333333343</v>
      </c>
      <c r="H58" s="59">
        <f>SUM(H4:H56)</f>
        <v>5538.5469499999972</v>
      </c>
      <c r="I58" s="60">
        <f>SUM(I4:I56)</f>
        <v>650.82999999999993</v>
      </c>
      <c r="J58" s="61">
        <f>G58/(K58/60)</f>
        <v>406.30751565762006</v>
      </c>
      <c r="K58" s="57">
        <f>SUM(K4:K56)</f>
        <v>11975</v>
      </c>
      <c r="L58" s="57">
        <f>SUM(L4:L56)</f>
        <v>3041</v>
      </c>
      <c r="M58" s="60">
        <f>SUM(M4:M56)</f>
        <v>0</v>
      </c>
      <c r="N58" s="87">
        <f>(F58-H58)/F58</f>
        <v>1.2223494116593011E-2</v>
      </c>
      <c r="O58" s="62">
        <f>SUM(O4:O56)</f>
        <v>0</v>
      </c>
      <c r="P58" s="63">
        <f>AVERAGE(P4:P54)</f>
        <v>0.59320911452459679</v>
      </c>
      <c r="Q58" s="64"/>
      <c r="R58" s="63">
        <f>(G58)*24/(K58/60)/15000</f>
        <v>0.6500920250521921</v>
      </c>
      <c r="S58" s="63">
        <f>H58*24/(L58/60)/15000</f>
        <v>0.17484396816836562</v>
      </c>
      <c r="T58" s="128">
        <f>(G58)*24/(K58/60)/15300</f>
        <v>0.63734512260018827</v>
      </c>
      <c r="U58" s="21"/>
    </row>
    <row r="59" spans="2:21" ht="16.5" customHeight="1" thickTop="1" x14ac:dyDescent="0.25">
      <c r="B59" s="11"/>
      <c r="C59" s="22" t="s">
        <v>35</v>
      </c>
      <c r="D59" s="42">
        <v>74740</v>
      </c>
      <c r="E59" s="1082" t="s">
        <v>39</v>
      </c>
      <c r="F59" s="1082"/>
      <c r="G59" s="43">
        <f>(D60/D59)</f>
        <v>1.0849907456961914</v>
      </c>
      <c r="H59" s="44"/>
      <c r="I59" s="44"/>
      <c r="J59" s="1210">
        <v>0</v>
      </c>
      <c r="K59" s="12"/>
      <c r="L59" s="12"/>
      <c r="M59" s="13"/>
      <c r="N59" s="14"/>
      <c r="O59" s="12"/>
      <c r="P59" s="15"/>
      <c r="Q59" s="16"/>
      <c r="R59" s="15"/>
      <c r="S59" s="15"/>
      <c r="T59" s="15"/>
      <c r="U59" s="17" t="s">
        <v>48</v>
      </c>
    </row>
    <row r="60" spans="2:21" ht="14.25" customHeight="1" x14ac:dyDescent="0.25">
      <c r="B60" s="11"/>
      <c r="C60" s="22" t="s">
        <v>38</v>
      </c>
      <c r="D60" s="42">
        <f>G58</f>
        <v>81092.208333333343</v>
      </c>
      <c r="E60" s="1082" t="s">
        <v>36</v>
      </c>
      <c r="F60" s="1082"/>
      <c r="G60" s="42">
        <f>March_16!G60+April_16!D60</f>
        <v>300000.20833333337</v>
      </c>
      <c r="H60" s="44"/>
      <c r="I60" s="45" t="s">
        <v>40</v>
      </c>
      <c r="J60" s="1211"/>
      <c r="K60" s="12">
        <v>0</v>
      </c>
      <c r="L60" s="12"/>
      <c r="M60" s="13"/>
      <c r="N60" s="14"/>
      <c r="O60" s="12"/>
      <c r="P60" s="15"/>
      <c r="Q60" s="16"/>
      <c r="R60" s="15"/>
      <c r="S60" s="15"/>
      <c r="T60" s="15"/>
      <c r="U60" s="17"/>
    </row>
    <row r="61" spans="2:21" ht="17.25" thickBot="1" x14ac:dyDescent="0.3">
      <c r="C61" s="23" t="s">
        <v>41</v>
      </c>
      <c r="D61" s="42">
        <f>D59-D60</f>
        <v>-6352.208333333343</v>
      </c>
      <c r="E61" s="1082" t="s">
        <v>37</v>
      </c>
      <c r="F61" s="1082"/>
      <c r="G61" s="42">
        <f>March_16!G61+April_16!D59</f>
        <v>270950</v>
      </c>
      <c r="H61" s="44"/>
      <c r="I61" s="44"/>
      <c r="J61" s="1212"/>
      <c r="P61" s="10"/>
      <c r="U61" s="17"/>
    </row>
    <row r="62" spans="2:21" ht="17.25" thickTop="1" x14ac:dyDescent="0.2">
      <c r="B62" s="7"/>
      <c r="C62" s="88" t="s">
        <v>19</v>
      </c>
      <c r="D62" s="89" t="s">
        <v>14</v>
      </c>
      <c r="E62" s="89" t="s">
        <v>23</v>
      </c>
      <c r="F62" s="89" t="s">
        <v>24</v>
      </c>
      <c r="G62" s="90" t="s">
        <v>15</v>
      </c>
      <c r="H62" s="89" t="s">
        <v>17</v>
      </c>
      <c r="I62" s="89" t="s">
        <v>16</v>
      </c>
      <c r="J62" s="91">
        <v>0</v>
      </c>
    </row>
    <row r="63" spans="2:21" ht="16.5" x14ac:dyDescent="0.25">
      <c r="B63" s="8"/>
      <c r="C63" s="92">
        <v>1</v>
      </c>
      <c r="D63" s="93" t="s">
        <v>20</v>
      </c>
      <c r="E63" s="94">
        <f>SUM(G6,G7,G8:G9,G13,G14,G15:G16,G20,G21,G22:G23,G24,G29:G30,G31:G32)</f>
        <v>49715.208333333336</v>
      </c>
      <c r="F63" s="95">
        <f>SUM(K6,K7,K8,K13,K14,K15,K19,K21,K22,K24,K29,K31:K32)</f>
        <v>7016</v>
      </c>
      <c r="G63" s="96">
        <f>SUM(F6,F7,F8,F13,F14,F15,F20,F21,F22,F24,F29,F31:F32)</f>
        <v>3366.3999999999996</v>
      </c>
      <c r="H63" s="96">
        <f>SUM(H6,H7,H8,H13,H14,H15,H20,H21,H22,H24,H29,H31:H32)</f>
        <v>3335.9237499999999</v>
      </c>
      <c r="I63" s="97">
        <f t="shared" ref="I63:I68" si="0">(G63-H63)/G63</f>
        <v>9.0530685598858469E-3</v>
      </c>
      <c r="J63" s="98">
        <f>(E63+G10+G19)*24/(F63/60)/15000</f>
        <v>0.69274629418472056</v>
      </c>
      <c r="P63" s="65"/>
    </row>
    <row r="64" spans="2:21" s="1" customFormat="1" ht="16.5" x14ac:dyDescent="0.25">
      <c r="B64" s="8"/>
      <c r="C64" s="99">
        <v>2</v>
      </c>
      <c r="D64" s="100" t="s">
        <v>21</v>
      </c>
      <c r="E64" s="101">
        <f>SUM(G4,G25,G36)</f>
        <v>12181</v>
      </c>
      <c r="F64" s="102">
        <f>SUM(K4,K25,K36)</f>
        <v>1723</v>
      </c>
      <c r="G64" s="103">
        <f>SUM(F4,F25,F36)</f>
        <v>809</v>
      </c>
      <c r="H64" s="103">
        <f>SUM(H4,H25,H36)</f>
        <v>803.94600000000014</v>
      </c>
      <c r="I64" s="97">
        <f t="shared" si="0"/>
        <v>6.2472187886277626E-3</v>
      </c>
      <c r="J64" s="98">
        <f>(E64)*24/(F64/60)/15000</f>
        <v>0.67868601276842722</v>
      </c>
      <c r="K64"/>
      <c r="L64"/>
      <c r="M64" s="2"/>
      <c r="Q64"/>
      <c r="R64"/>
      <c r="S64"/>
      <c r="T64"/>
      <c r="U64"/>
    </row>
    <row r="65" spans="2:21" s="1" customFormat="1" ht="16.5" x14ac:dyDescent="0.25">
      <c r="B65" s="8"/>
      <c r="C65" s="92">
        <v>3</v>
      </c>
      <c r="D65" s="100" t="s">
        <v>124</v>
      </c>
      <c r="E65" s="101">
        <f>SUM(G19)</f>
        <v>349</v>
      </c>
      <c r="F65" s="102">
        <f>SUM(K19)</f>
        <v>578</v>
      </c>
      <c r="G65" s="103">
        <f>SUM(F19)</f>
        <v>25.2</v>
      </c>
      <c r="H65" s="103">
        <f>SUM(H19)</f>
        <v>23.034000000000002</v>
      </c>
      <c r="I65" s="109">
        <f t="shared" si="0"/>
        <v>8.5952380952380822E-2</v>
      </c>
      <c r="J65" s="111">
        <f>(E65+G20)*24/(F65/60)/15000</f>
        <v>0.52235294117647069</v>
      </c>
      <c r="K65"/>
      <c r="L65"/>
      <c r="M65" s="2"/>
      <c r="Q65"/>
      <c r="R65"/>
      <c r="S65"/>
      <c r="T65"/>
      <c r="U65"/>
    </row>
    <row r="66" spans="2:21" s="1" customFormat="1" ht="16.5" x14ac:dyDescent="0.25">
      <c r="B66" s="8"/>
      <c r="C66" s="99">
        <v>4</v>
      </c>
      <c r="D66" s="100" t="s">
        <v>18</v>
      </c>
      <c r="E66" s="101">
        <f>SUM(G5,G37)</f>
        <v>6958</v>
      </c>
      <c r="F66" s="102">
        <f>SUM(K5,K37)</f>
        <v>1151</v>
      </c>
      <c r="G66" s="101">
        <f>SUM(F5,F37)</f>
        <v>520.90000000000009</v>
      </c>
      <c r="H66" s="101">
        <f>SUM(H5,H37)</f>
        <v>517.6751999999999</v>
      </c>
      <c r="I66" s="97">
        <f t="shared" si="0"/>
        <v>6.1908235745828108E-3</v>
      </c>
      <c r="J66" s="98">
        <f>(E66)*24/(F66/60)/15000</f>
        <v>0.58033709817549961</v>
      </c>
      <c r="K66"/>
      <c r="L66"/>
      <c r="M66" s="2"/>
      <c r="P66" s="8"/>
      <c r="Q66"/>
      <c r="R66"/>
      <c r="S66" s="6"/>
      <c r="T66" s="6"/>
      <c r="U66"/>
    </row>
    <row r="67" spans="2:21" s="1" customFormat="1" ht="16.5" x14ac:dyDescent="0.25">
      <c r="B67" s="8"/>
      <c r="C67" s="92">
        <v>5</v>
      </c>
      <c r="D67" s="105" t="s">
        <v>26</v>
      </c>
      <c r="E67" s="106">
        <f>SUM(G10,G11:G12,G17:G18)</f>
        <v>6251</v>
      </c>
      <c r="F67" s="107">
        <f>SUM(K8,K11,K17)</f>
        <v>1331</v>
      </c>
      <c r="G67" s="108">
        <f>SUM(F10,F11:F12,F17:F18)</f>
        <v>428.22062999999997</v>
      </c>
      <c r="H67" s="108">
        <f>SUM(H10,H11:H12,H17:H18)</f>
        <v>412.56600000000003</v>
      </c>
      <c r="I67" s="97">
        <f t="shared" si="0"/>
        <v>3.6557393323156669E-2</v>
      </c>
      <c r="J67" s="98">
        <f>(E67+G8+G9)*24/(F67/60)/15000</f>
        <v>0.51584673178061613</v>
      </c>
      <c r="K67"/>
      <c r="L67"/>
      <c r="M67" s="2"/>
      <c r="Q67"/>
      <c r="R67"/>
      <c r="S67" s="6"/>
      <c r="T67" s="6"/>
      <c r="U67"/>
    </row>
    <row r="68" spans="2:21" s="1" customFormat="1" ht="16.5" x14ac:dyDescent="0.25">
      <c r="B68" s="8"/>
      <c r="C68" s="99">
        <v>6</v>
      </c>
      <c r="D68" s="105" t="s">
        <v>25</v>
      </c>
      <c r="E68" s="106">
        <f>SUM(G26:G28,G33:G35)</f>
        <v>5638</v>
      </c>
      <c r="F68" s="107">
        <f>SUM(K26,K33)</f>
        <v>993</v>
      </c>
      <c r="G68" s="108">
        <f>SUM(F26:F28,F33:F35)</f>
        <v>457.36449199999998</v>
      </c>
      <c r="H68" s="108">
        <f>SUM(H26:H28,H33:H35)</f>
        <v>445.40199999999999</v>
      </c>
      <c r="I68" s="97">
        <f t="shared" si="0"/>
        <v>2.6155270488291422E-2</v>
      </c>
      <c r="J68" s="98">
        <f>(E68)*24/(F68/60)/15000</f>
        <v>0.54506344410876129</v>
      </c>
      <c r="K68"/>
      <c r="L68"/>
      <c r="M68" s="2"/>
      <c r="Q68"/>
      <c r="R68"/>
      <c r="S68"/>
      <c r="T68"/>
      <c r="U68"/>
    </row>
    <row r="69" spans="2:21" s="1" customFormat="1" ht="17.25" thickBot="1" x14ac:dyDescent="0.3">
      <c r="C69" s="112"/>
      <c r="D69" s="113" t="s">
        <v>22</v>
      </c>
      <c r="E69" s="114">
        <f>SUM(E63:E68)</f>
        <v>81092.208333333343</v>
      </c>
      <c r="F69" s="115">
        <f>K58</f>
        <v>11975</v>
      </c>
      <c r="G69" s="116">
        <f>SUM(G63:G68)</f>
        <v>5607.0851219999995</v>
      </c>
      <c r="H69" s="116">
        <f>SUM(H63:H68)</f>
        <v>5538.546949999999</v>
      </c>
      <c r="I69" s="117">
        <f>((G69)-(H69))/(G69)</f>
        <v>1.2223494116592527E-2</v>
      </c>
      <c r="J69" s="118">
        <f>E69*24/(F69/60)/15000</f>
        <v>0.6500920250521921</v>
      </c>
      <c r="K69"/>
      <c r="L69"/>
      <c r="M69" s="2"/>
      <c r="Q69"/>
      <c r="R69"/>
      <c r="S69"/>
      <c r="T69"/>
      <c r="U69"/>
    </row>
    <row r="70" spans="2:21" s="1" customFormat="1" ht="13.5" thickTop="1" x14ac:dyDescent="0.2">
      <c r="J70"/>
      <c r="K70"/>
      <c r="L70"/>
      <c r="M70" s="2"/>
      <c r="Q70"/>
      <c r="R70"/>
      <c r="S70"/>
      <c r="T70"/>
      <c r="U70"/>
    </row>
    <row r="71" spans="2:21" s="1" customFormat="1" x14ac:dyDescent="0.2">
      <c r="E71" s="3"/>
      <c r="F71" s="119"/>
      <c r="G71" s="120"/>
      <c r="H71" s="120"/>
      <c r="I71"/>
      <c r="J71"/>
      <c r="K71"/>
      <c r="L71"/>
      <c r="M71" s="2"/>
      <c r="Q71"/>
      <c r="R71"/>
      <c r="S71"/>
      <c r="T71"/>
      <c r="U71"/>
    </row>
    <row r="72" spans="2:21" s="1" customFormat="1" ht="13.5" customHeight="1" x14ac:dyDescent="0.2">
      <c r="J72"/>
      <c r="K72"/>
      <c r="L72"/>
      <c r="M72" s="2"/>
      <c r="Q72"/>
      <c r="R72"/>
      <c r="S72"/>
      <c r="T72"/>
      <c r="U72" s="9"/>
    </row>
    <row r="73" spans="2:21" s="1" customFormat="1" ht="12.75" customHeight="1" x14ac:dyDescent="0.2">
      <c r="J73"/>
      <c r="K73"/>
      <c r="L73"/>
      <c r="M73" s="2"/>
      <c r="Q73"/>
      <c r="R73"/>
      <c r="S73"/>
      <c r="T73"/>
      <c r="U73" s="9"/>
    </row>
    <row r="74" spans="2:21" s="1" customFormat="1" ht="12.75" customHeight="1" x14ac:dyDescent="0.2">
      <c r="J74"/>
      <c r="K74"/>
      <c r="L74"/>
      <c r="M74" s="2"/>
      <c r="Q74"/>
      <c r="R74"/>
      <c r="S74"/>
      <c r="T74"/>
      <c r="U74" s="9"/>
    </row>
    <row r="75" spans="2:21" s="1" customFormat="1" ht="12.75" customHeight="1" x14ac:dyDescent="0.2">
      <c r="J75"/>
      <c r="K75"/>
      <c r="L75"/>
      <c r="M75" s="2"/>
      <c r="Q75"/>
      <c r="R75"/>
      <c r="S75"/>
      <c r="T75"/>
      <c r="U75" s="9"/>
    </row>
    <row r="76" spans="2:21" s="1" customFormat="1" ht="12.75" customHeight="1" x14ac:dyDescent="0.2">
      <c r="J76"/>
      <c r="K76"/>
      <c r="L76"/>
      <c r="M76" s="2"/>
      <c r="Q76"/>
      <c r="R76"/>
      <c r="S76"/>
      <c r="T76"/>
      <c r="U76" s="9"/>
    </row>
    <row r="77" spans="2:21" s="1" customFormat="1" ht="12.75" customHeight="1" x14ac:dyDescent="0.2">
      <c r="J77"/>
      <c r="K77"/>
      <c r="L77"/>
      <c r="M77" s="2"/>
      <c r="Q77"/>
      <c r="R77"/>
      <c r="S77"/>
      <c r="T77"/>
      <c r="U77" s="9"/>
    </row>
    <row r="78" spans="2:21" s="1" customFormat="1" ht="12.75" customHeight="1" x14ac:dyDescent="0.2">
      <c r="J78"/>
      <c r="K78"/>
      <c r="L78"/>
      <c r="M78" s="2"/>
      <c r="Q78"/>
      <c r="R78"/>
      <c r="S78"/>
      <c r="T78"/>
      <c r="U78" s="9"/>
    </row>
    <row r="79" spans="2:21" s="1" customFormat="1" x14ac:dyDescent="0.2">
      <c r="J79"/>
      <c r="K79"/>
      <c r="L79"/>
      <c r="M79" s="2"/>
      <c r="Q79"/>
      <c r="R79"/>
      <c r="S79"/>
      <c r="T79"/>
      <c r="U79" s="9"/>
    </row>
    <row r="80" spans="2:21" s="1" customFormat="1" ht="12.75" customHeight="1" x14ac:dyDescent="0.2">
      <c r="J80"/>
      <c r="K80"/>
      <c r="L80"/>
      <c r="M80" s="2"/>
      <c r="Q80"/>
      <c r="R80"/>
      <c r="S80"/>
      <c r="T80"/>
      <c r="U80" s="9"/>
    </row>
    <row r="81" spans="10:21" s="1" customFormat="1" ht="12.75" customHeight="1" x14ac:dyDescent="0.2">
      <c r="J81"/>
      <c r="K81"/>
      <c r="L81"/>
      <c r="M81" s="2"/>
      <c r="Q81"/>
      <c r="R81"/>
      <c r="S81"/>
      <c r="T81"/>
      <c r="U81" s="9"/>
    </row>
    <row r="82" spans="10:21" s="1" customFormat="1" ht="12.75" customHeight="1" x14ac:dyDescent="0.2">
      <c r="J82"/>
      <c r="K82"/>
      <c r="L82"/>
      <c r="M82" s="2"/>
      <c r="Q82"/>
      <c r="R82"/>
      <c r="S82"/>
      <c r="T82"/>
      <c r="U82" s="9"/>
    </row>
    <row r="83" spans="10:21" s="1" customFormat="1" ht="12.75" customHeight="1" x14ac:dyDescent="0.2">
      <c r="J83"/>
      <c r="K83"/>
      <c r="L83"/>
      <c r="M83" s="2"/>
      <c r="Q83"/>
      <c r="R83"/>
      <c r="S83"/>
      <c r="T83"/>
      <c r="U83" s="9"/>
    </row>
    <row r="84" spans="10:21" s="1" customFormat="1" ht="12.75" customHeight="1" x14ac:dyDescent="0.2">
      <c r="J84"/>
      <c r="K84"/>
      <c r="L84"/>
      <c r="M84" s="2"/>
      <c r="Q84"/>
      <c r="R84"/>
      <c r="S84"/>
      <c r="T84"/>
      <c r="U84" s="9"/>
    </row>
    <row r="85" spans="10:21" s="1" customFormat="1" x14ac:dyDescent="0.2">
      <c r="J85"/>
      <c r="K85"/>
      <c r="L85"/>
      <c r="M85" s="2"/>
      <c r="Q85"/>
      <c r="R85"/>
      <c r="S85"/>
      <c r="T85"/>
      <c r="U85"/>
    </row>
    <row r="86" spans="10:21" s="1" customFormat="1" x14ac:dyDescent="0.2">
      <c r="J86"/>
      <c r="K86"/>
      <c r="L86"/>
      <c r="M86" s="2"/>
      <c r="Q86"/>
      <c r="R86"/>
      <c r="S86"/>
      <c r="T86"/>
      <c r="U86"/>
    </row>
    <row r="87" spans="10:21" s="1" customFormat="1" x14ac:dyDescent="0.2">
      <c r="J87"/>
      <c r="K87"/>
      <c r="L87"/>
      <c r="M87" s="2"/>
      <c r="Q87"/>
      <c r="R87"/>
      <c r="S87"/>
      <c r="T87"/>
      <c r="U87"/>
    </row>
    <row r="88" spans="10:21" s="1" customFormat="1" x14ac:dyDescent="0.2">
      <c r="J88"/>
      <c r="K88"/>
      <c r="L88"/>
      <c r="M88" s="2"/>
      <c r="Q88"/>
      <c r="R88"/>
      <c r="S88"/>
      <c r="T88"/>
      <c r="U88"/>
    </row>
    <row r="89" spans="10:21" s="1" customFormat="1" x14ac:dyDescent="0.2">
      <c r="J89"/>
      <c r="K89"/>
      <c r="L89"/>
      <c r="M89" s="2"/>
      <c r="Q89"/>
      <c r="R89"/>
      <c r="S89"/>
      <c r="T89"/>
      <c r="U89"/>
    </row>
    <row r="90" spans="10:21" s="1" customFormat="1" x14ac:dyDescent="0.2">
      <c r="J90"/>
      <c r="K90"/>
      <c r="L90"/>
      <c r="M90" s="2"/>
      <c r="Q90"/>
      <c r="R90"/>
      <c r="S90"/>
      <c r="T90"/>
      <c r="U90"/>
    </row>
    <row r="91" spans="10:21" s="1" customFormat="1" x14ac:dyDescent="0.2">
      <c r="J91"/>
      <c r="K91"/>
      <c r="L91"/>
      <c r="M91" s="2"/>
      <c r="Q91"/>
      <c r="R91"/>
      <c r="S91"/>
      <c r="T91"/>
      <c r="U91"/>
    </row>
    <row r="92" spans="10:21" s="1" customFormat="1" x14ac:dyDescent="0.2">
      <c r="J92"/>
      <c r="K92"/>
      <c r="L92"/>
      <c r="M92" s="2"/>
      <c r="Q92"/>
      <c r="R92"/>
      <c r="S92"/>
      <c r="T92"/>
      <c r="U92"/>
    </row>
    <row r="93" spans="10:21" s="1" customFormat="1" x14ac:dyDescent="0.2">
      <c r="J93"/>
      <c r="K93"/>
      <c r="L93"/>
      <c r="M93" s="2"/>
      <c r="Q93"/>
      <c r="R93"/>
      <c r="S93"/>
      <c r="T93"/>
      <c r="U93"/>
    </row>
    <row r="94" spans="10:21" s="1" customFormat="1" x14ac:dyDescent="0.2">
      <c r="J94"/>
      <c r="K94"/>
      <c r="L94"/>
      <c r="M94" s="2"/>
      <c r="Q94"/>
      <c r="R94"/>
      <c r="S94"/>
      <c r="T94"/>
      <c r="U94"/>
    </row>
    <row r="95" spans="10:21" s="1" customFormat="1" x14ac:dyDescent="0.2">
      <c r="J95"/>
      <c r="K95"/>
      <c r="L95"/>
      <c r="M95" s="2"/>
      <c r="Q95"/>
      <c r="R95"/>
      <c r="S95"/>
      <c r="T95"/>
      <c r="U95"/>
    </row>
    <row r="96" spans="10:21" s="1" customFormat="1" x14ac:dyDescent="0.2">
      <c r="J96"/>
      <c r="K96"/>
      <c r="L96"/>
      <c r="M96" s="2"/>
      <c r="Q96"/>
      <c r="R96"/>
      <c r="S96"/>
      <c r="T96"/>
      <c r="U96"/>
    </row>
    <row r="97" spans="10:21" s="1" customFormat="1" x14ac:dyDescent="0.2">
      <c r="J97"/>
      <c r="K97"/>
      <c r="L97"/>
      <c r="M97" s="2"/>
      <c r="Q97"/>
      <c r="R97"/>
      <c r="S97"/>
      <c r="T97"/>
      <c r="U97"/>
    </row>
    <row r="98" spans="10:21" s="1" customFormat="1" x14ac:dyDescent="0.2">
      <c r="J98"/>
      <c r="K98"/>
      <c r="L98"/>
      <c r="M98" s="2"/>
      <c r="Q98"/>
      <c r="R98"/>
      <c r="S98"/>
      <c r="T98"/>
      <c r="U98"/>
    </row>
    <row r="99" spans="10:21" s="1" customFormat="1" x14ac:dyDescent="0.2">
      <c r="J99"/>
      <c r="K99"/>
      <c r="L99"/>
      <c r="M99" s="2"/>
      <c r="Q99"/>
      <c r="R99"/>
      <c r="S99"/>
      <c r="T99"/>
      <c r="U99"/>
    </row>
    <row r="100" spans="10:21" s="1" customFormat="1" x14ac:dyDescent="0.2">
      <c r="J100"/>
      <c r="K100"/>
      <c r="L100"/>
      <c r="M100" s="2"/>
      <c r="Q100"/>
      <c r="R100"/>
      <c r="S100"/>
      <c r="T100"/>
      <c r="U100"/>
    </row>
    <row r="101" spans="10:21" s="1" customFormat="1" x14ac:dyDescent="0.2">
      <c r="J101"/>
      <c r="K101"/>
      <c r="L101"/>
      <c r="M101" s="2"/>
      <c r="Q101"/>
      <c r="R101"/>
      <c r="S101"/>
      <c r="T101"/>
      <c r="U101"/>
    </row>
    <row r="102" spans="10:21" s="1" customFormat="1" x14ac:dyDescent="0.2">
      <c r="J102"/>
      <c r="K102"/>
      <c r="L102"/>
      <c r="M102" s="2"/>
      <c r="Q102"/>
      <c r="R102"/>
      <c r="S102"/>
      <c r="T102"/>
      <c r="U102"/>
    </row>
    <row r="103" spans="10:21" s="1" customFormat="1" x14ac:dyDescent="0.2">
      <c r="J103"/>
      <c r="K103"/>
      <c r="L103"/>
      <c r="M103" s="2"/>
      <c r="Q103"/>
      <c r="R103"/>
      <c r="S103"/>
      <c r="T103"/>
      <c r="U103"/>
    </row>
    <row r="104" spans="10:21" s="1" customFormat="1" x14ac:dyDescent="0.2">
      <c r="J104"/>
      <c r="K104"/>
      <c r="L104"/>
      <c r="M104" s="2"/>
      <c r="Q104"/>
      <c r="R104"/>
      <c r="S104"/>
      <c r="T104"/>
      <c r="U104"/>
    </row>
    <row r="105" spans="10:21" s="1" customFormat="1" x14ac:dyDescent="0.2">
      <c r="J105"/>
      <c r="K105"/>
      <c r="L105"/>
      <c r="M105" s="2"/>
      <c r="Q105"/>
      <c r="R105"/>
      <c r="S105"/>
      <c r="T105"/>
      <c r="U105"/>
    </row>
    <row r="106" spans="10:21" s="1" customFormat="1" x14ac:dyDescent="0.2">
      <c r="J106"/>
      <c r="K106"/>
      <c r="L106"/>
      <c r="M106" s="2"/>
      <c r="Q106"/>
      <c r="R106"/>
      <c r="S106"/>
      <c r="T106"/>
      <c r="U106"/>
    </row>
    <row r="107" spans="10:21" s="1" customFormat="1" x14ac:dyDescent="0.2">
      <c r="J107"/>
      <c r="K107"/>
      <c r="L107"/>
      <c r="M107" s="2"/>
      <c r="Q107"/>
      <c r="R107"/>
      <c r="S107"/>
      <c r="T107"/>
      <c r="U107"/>
    </row>
    <row r="108" spans="10:21" s="1" customFormat="1" x14ac:dyDescent="0.2">
      <c r="J108"/>
      <c r="K108"/>
      <c r="L108"/>
      <c r="M108" s="2"/>
      <c r="Q108"/>
      <c r="R108"/>
      <c r="S108"/>
      <c r="T108"/>
      <c r="U108"/>
    </row>
    <row r="109" spans="10:21" s="1" customFormat="1" x14ac:dyDescent="0.2">
      <c r="J109"/>
      <c r="K109"/>
      <c r="L109"/>
      <c r="M109" s="2"/>
      <c r="Q109"/>
      <c r="R109"/>
      <c r="S109"/>
      <c r="T109"/>
      <c r="U109"/>
    </row>
    <row r="110" spans="10:21" s="1" customFormat="1" x14ac:dyDescent="0.2">
      <c r="J110"/>
      <c r="K110"/>
      <c r="L110"/>
      <c r="M110" s="2"/>
      <c r="Q110"/>
      <c r="R110"/>
      <c r="S110"/>
      <c r="T110"/>
      <c r="U110"/>
    </row>
    <row r="111" spans="10:21" s="1" customFormat="1" x14ac:dyDescent="0.2">
      <c r="J111"/>
      <c r="K111"/>
      <c r="L111"/>
      <c r="M111" s="2"/>
      <c r="Q111"/>
      <c r="R111"/>
      <c r="S111"/>
      <c r="T111"/>
      <c r="U111"/>
    </row>
    <row r="112" spans="10:21" s="1" customFormat="1" x14ac:dyDescent="0.2">
      <c r="J112"/>
      <c r="K112"/>
      <c r="L112"/>
      <c r="M112" s="2"/>
      <c r="Q112"/>
      <c r="R112"/>
      <c r="S112"/>
      <c r="T112"/>
      <c r="U112"/>
    </row>
    <row r="113" spans="10:21" s="1" customFormat="1" x14ac:dyDescent="0.2">
      <c r="J113"/>
      <c r="K113"/>
      <c r="L113"/>
      <c r="M113" s="2"/>
      <c r="Q113"/>
      <c r="R113"/>
      <c r="S113"/>
      <c r="T113"/>
      <c r="U113"/>
    </row>
    <row r="114" spans="10:21" s="1" customFormat="1" x14ac:dyDescent="0.2">
      <c r="J114"/>
      <c r="K114"/>
      <c r="L114"/>
      <c r="M114" s="2"/>
      <c r="Q114"/>
      <c r="R114"/>
      <c r="S114"/>
      <c r="T114"/>
      <c r="U114"/>
    </row>
    <row r="115" spans="10:21" s="1" customFormat="1" x14ac:dyDescent="0.2">
      <c r="J115"/>
      <c r="K115"/>
      <c r="L115"/>
      <c r="M115" s="2"/>
      <c r="Q115"/>
      <c r="R115"/>
      <c r="S115"/>
      <c r="T115"/>
      <c r="U115"/>
    </row>
    <row r="116" spans="10:21" s="1" customFormat="1" x14ac:dyDescent="0.2">
      <c r="J116"/>
      <c r="K116"/>
      <c r="L116"/>
      <c r="M116" s="2"/>
      <c r="Q116"/>
      <c r="R116"/>
      <c r="S116"/>
      <c r="T116"/>
      <c r="U116"/>
    </row>
    <row r="117" spans="10:21" s="1" customFormat="1" x14ac:dyDescent="0.2">
      <c r="J117"/>
      <c r="K117"/>
      <c r="L117"/>
      <c r="M117" s="2"/>
      <c r="Q117"/>
      <c r="R117"/>
      <c r="S117"/>
      <c r="T117"/>
      <c r="U117"/>
    </row>
    <row r="118" spans="10:21" s="1" customFormat="1" x14ac:dyDescent="0.2">
      <c r="J118"/>
      <c r="K118"/>
      <c r="L118"/>
      <c r="M118" s="2"/>
      <c r="Q118"/>
      <c r="R118"/>
      <c r="S118"/>
      <c r="T118"/>
      <c r="U118"/>
    </row>
    <row r="119" spans="10:21" s="1" customFormat="1" x14ac:dyDescent="0.2">
      <c r="J119"/>
      <c r="K119"/>
      <c r="L119"/>
      <c r="M119" s="2"/>
      <c r="Q119"/>
      <c r="R119"/>
      <c r="S119"/>
      <c r="T119"/>
      <c r="U119"/>
    </row>
    <row r="120" spans="10:21" s="1" customFormat="1" x14ac:dyDescent="0.2">
      <c r="J120"/>
      <c r="K120"/>
      <c r="L120"/>
      <c r="M120" s="2"/>
      <c r="Q120"/>
      <c r="R120"/>
      <c r="S120"/>
      <c r="T120"/>
      <c r="U120"/>
    </row>
    <row r="121" spans="10:21" s="1" customFormat="1" x14ac:dyDescent="0.2">
      <c r="J121"/>
      <c r="K121"/>
      <c r="L121"/>
      <c r="M121" s="2"/>
      <c r="Q121"/>
      <c r="R121"/>
      <c r="S121"/>
      <c r="T121"/>
      <c r="U121"/>
    </row>
    <row r="122" spans="10:21" s="1" customFormat="1" x14ac:dyDescent="0.2">
      <c r="J122"/>
      <c r="K122"/>
      <c r="L122"/>
      <c r="M122" s="2"/>
      <c r="Q122"/>
      <c r="R122"/>
      <c r="S122"/>
      <c r="T122"/>
      <c r="U122"/>
    </row>
    <row r="123" spans="10:21" s="1" customFormat="1" x14ac:dyDescent="0.2">
      <c r="J123"/>
      <c r="K123"/>
      <c r="L123"/>
      <c r="M123" s="2"/>
      <c r="Q123"/>
      <c r="R123"/>
      <c r="S123"/>
      <c r="T123"/>
      <c r="U123"/>
    </row>
    <row r="124" spans="10:21" s="1" customFormat="1" x14ac:dyDescent="0.2">
      <c r="J124"/>
      <c r="K124"/>
      <c r="L124"/>
      <c r="M124" s="2"/>
      <c r="Q124"/>
      <c r="R124"/>
      <c r="S124"/>
      <c r="T124"/>
      <c r="U124"/>
    </row>
    <row r="125" spans="10:21" s="1" customFormat="1" x14ac:dyDescent="0.2">
      <c r="J125"/>
      <c r="K125"/>
      <c r="L125"/>
      <c r="M125" s="2"/>
      <c r="Q125"/>
      <c r="R125"/>
      <c r="S125"/>
      <c r="T125"/>
      <c r="U125"/>
    </row>
    <row r="126" spans="10:21" s="1" customFormat="1" x14ac:dyDescent="0.2">
      <c r="J126"/>
      <c r="K126"/>
      <c r="L126"/>
      <c r="M126" s="2"/>
      <c r="Q126"/>
      <c r="R126"/>
      <c r="S126"/>
      <c r="T126"/>
      <c r="U126"/>
    </row>
    <row r="127" spans="10:21" s="1" customFormat="1" x14ac:dyDescent="0.2">
      <c r="J127"/>
      <c r="K127"/>
      <c r="L127"/>
      <c r="M127" s="2"/>
      <c r="Q127"/>
      <c r="R127"/>
      <c r="S127"/>
      <c r="T127"/>
      <c r="U127"/>
    </row>
    <row r="128" spans="10:21" s="1" customFormat="1" x14ac:dyDescent="0.2">
      <c r="J128"/>
      <c r="K128"/>
      <c r="L128"/>
      <c r="M128" s="2"/>
      <c r="Q128"/>
      <c r="R128"/>
      <c r="S128"/>
      <c r="T128"/>
      <c r="U128"/>
    </row>
    <row r="129" spans="10:21" s="1" customFormat="1" x14ac:dyDescent="0.2">
      <c r="J129"/>
      <c r="K129"/>
      <c r="L129"/>
      <c r="M129" s="2"/>
      <c r="Q129"/>
      <c r="R129"/>
      <c r="S129"/>
      <c r="T129"/>
      <c r="U129"/>
    </row>
    <row r="130" spans="10:21" s="1" customFormat="1" x14ac:dyDescent="0.2">
      <c r="J130"/>
      <c r="K130"/>
      <c r="L130"/>
      <c r="M130" s="2"/>
      <c r="Q130"/>
      <c r="R130"/>
      <c r="S130"/>
      <c r="T130"/>
      <c r="U130"/>
    </row>
    <row r="131" spans="10:21" s="1" customFormat="1" x14ac:dyDescent="0.2">
      <c r="J131"/>
      <c r="K131"/>
      <c r="L131"/>
      <c r="M131" s="2"/>
      <c r="Q131"/>
      <c r="R131"/>
      <c r="S131"/>
      <c r="T131"/>
      <c r="U131"/>
    </row>
    <row r="132" spans="10:21" s="1" customFormat="1" x14ac:dyDescent="0.2">
      <c r="J132"/>
      <c r="K132"/>
      <c r="L132"/>
      <c r="M132" s="2"/>
      <c r="Q132"/>
      <c r="R132"/>
      <c r="S132"/>
      <c r="T132"/>
      <c r="U132"/>
    </row>
    <row r="133" spans="10:21" s="1" customFormat="1" x14ac:dyDescent="0.2">
      <c r="J133"/>
      <c r="K133"/>
      <c r="L133"/>
      <c r="M133" s="2"/>
      <c r="Q133"/>
      <c r="R133"/>
      <c r="S133"/>
      <c r="T133"/>
      <c r="U133"/>
    </row>
    <row r="134" spans="10:21" s="1" customFormat="1" x14ac:dyDescent="0.2">
      <c r="J134"/>
      <c r="K134"/>
      <c r="L134"/>
      <c r="M134" s="2"/>
      <c r="Q134"/>
      <c r="R134"/>
      <c r="S134"/>
      <c r="T134"/>
      <c r="U134"/>
    </row>
    <row r="135" spans="10:21" s="1" customFormat="1" x14ac:dyDescent="0.2">
      <c r="J135"/>
      <c r="K135"/>
      <c r="L135"/>
      <c r="M135" s="2"/>
      <c r="Q135"/>
      <c r="R135"/>
      <c r="S135"/>
      <c r="T135"/>
      <c r="U135"/>
    </row>
    <row r="136" spans="10:21" s="1" customFormat="1" x14ac:dyDescent="0.2">
      <c r="J136"/>
      <c r="K136"/>
      <c r="L136"/>
      <c r="M136" s="2"/>
      <c r="Q136"/>
      <c r="R136"/>
      <c r="S136"/>
      <c r="T136"/>
      <c r="U136"/>
    </row>
    <row r="137" spans="10:21" s="1" customFormat="1" x14ac:dyDescent="0.2">
      <c r="J137"/>
      <c r="K137"/>
      <c r="L137"/>
      <c r="M137" s="2"/>
      <c r="Q137"/>
      <c r="R137"/>
      <c r="S137"/>
      <c r="T137"/>
      <c r="U137"/>
    </row>
    <row r="138" spans="10:21" s="1" customFormat="1" x14ac:dyDescent="0.2">
      <c r="J138"/>
      <c r="K138"/>
      <c r="L138"/>
      <c r="M138" s="2"/>
      <c r="Q138"/>
      <c r="R138"/>
      <c r="S138"/>
      <c r="T138"/>
      <c r="U138"/>
    </row>
    <row r="139" spans="10:21" s="1" customFormat="1" x14ac:dyDescent="0.2">
      <c r="J139"/>
      <c r="K139"/>
      <c r="L139"/>
      <c r="M139" s="2"/>
      <c r="Q139"/>
      <c r="R139"/>
      <c r="S139"/>
      <c r="T139"/>
      <c r="U139"/>
    </row>
    <row r="140" spans="10:21" s="1" customFormat="1" x14ac:dyDescent="0.2">
      <c r="J140"/>
      <c r="K140"/>
      <c r="L140"/>
      <c r="M140" s="2"/>
      <c r="Q140"/>
      <c r="R140"/>
      <c r="S140"/>
      <c r="T140"/>
      <c r="U140"/>
    </row>
    <row r="141" spans="10:21" s="1" customFormat="1" x14ac:dyDescent="0.2">
      <c r="J141"/>
      <c r="K141"/>
      <c r="L141"/>
      <c r="M141" s="2"/>
      <c r="Q141"/>
      <c r="R141"/>
      <c r="S141"/>
      <c r="T141"/>
      <c r="U141"/>
    </row>
    <row r="142" spans="10:21" s="1" customFormat="1" x14ac:dyDescent="0.2">
      <c r="J142"/>
      <c r="K142"/>
      <c r="L142"/>
      <c r="M142" s="2"/>
      <c r="Q142"/>
      <c r="R142"/>
      <c r="S142"/>
      <c r="T142"/>
      <c r="U142"/>
    </row>
    <row r="143" spans="10:21" s="1" customFormat="1" x14ac:dyDescent="0.2">
      <c r="J143"/>
      <c r="K143"/>
      <c r="L143"/>
      <c r="M143" s="2"/>
      <c r="Q143"/>
      <c r="R143"/>
      <c r="S143"/>
      <c r="T143"/>
      <c r="U143"/>
    </row>
    <row r="144" spans="10:21" s="1" customFormat="1" x14ac:dyDescent="0.2">
      <c r="J144"/>
      <c r="K144"/>
      <c r="L144"/>
      <c r="M144" s="2"/>
      <c r="Q144"/>
      <c r="R144"/>
      <c r="S144"/>
      <c r="T144"/>
      <c r="U144"/>
    </row>
    <row r="145" spans="10:21" s="1" customFormat="1" x14ac:dyDescent="0.2">
      <c r="J145"/>
      <c r="K145"/>
      <c r="L145"/>
      <c r="M145" s="2"/>
      <c r="Q145"/>
      <c r="R145"/>
      <c r="S145"/>
      <c r="T145"/>
      <c r="U145"/>
    </row>
    <row r="146" spans="10:21" s="1" customFormat="1" x14ac:dyDescent="0.2">
      <c r="J146"/>
      <c r="K146"/>
      <c r="L146"/>
      <c r="M146" s="2"/>
      <c r="Q146"/>
      <c r="R146"/>
      <c r="S146"/>
      <c r="T146"/>
      <c r="U146"/>
    </row>
    <row r="147" spans="10:21" s="1" customFormat="1" x14ac:dyDescent="0.2">
      <c r="J147"/>
      <c r="K147"/>
      <c r="L147"/>
      <c r="M147" s="2"/>
      <c r="Q147"/>
      <c r="R147"/>
      <c r="S147"/>
      <c r="T147"/>
      <c r="U147"/>
    </row>
    <row r="148" spans="10:21" s="1" customFormat="1" x14ac:dyDescent="0.2">
      <c r="J148"/>
      <c r="K148"/>
      <c r="L148"/>
      <c r="M148" s="2"/>
      <c r="Q148"/>
      <c r="R148"/>
      <c r="S148"/>
      <c r="T148"/>
      <c r="U148"/>
    </row>
    <row r="149" spans="10:21" s="1" customFormat="1" x14ac:dyDescent="0.2">
      <c r="J149"/>
      <c r="K149"/>
      <c r="L149"/>
      <c r="M149" s="2"/>
      <c r="Q149"/>
      <c r="R149"/>
      <c r="S149"/>
      <c r="T149"/>
      <c r="U149"/>
    </row>
    <row r="150" spans="10:21" s="1" customFormat="1" x14ac:dyDescent="0.2">
      <c r="J150"/>
      <c r="K150"/>
      <c r="L150"/>
      <c r="M150" s="2"/>
      <c r="Q150"/>
      <c r="R150"/>
      <c r="S150"/>
      <c r="T150"/>
      <c r="U150"/>
    </row>
    <row r="151" spans="10:21" s="1" customFormat="1" x14ac:dyDescent="0.2">
      <c r="J151"/>
      <c r="K151"/>
      <c r="L151"/>
      <c r="M151" s="2"/>
      <c r="Q151"/>
      <c r="R151"/>
      <c r="S151"/>
      <c r="T151"/>
      <c r="U151"/>
    </row>
    <row r="152" spans="10:21" s="1" customFormat="1" x14ac:dyDescent="0.2">
      <c r="J152"/>
      <c r="K152"/>
      <c r="L152"/>
      <c r="M152" s="2"/>
      <c r="Q152"/>
      <c r="R152"/>
      <c r="S152"/>
      <c r="T152"/>
      <c r="U152"/>
    </row>
    <row r="153" spans="10:21" s="1" customFormat="1" x14ac:dyDescent="0.2">
      <c r="J153"/>
      <c r="K153"/>
      <c r="L153"/>
      <c r="M153" s="2"/>
      <c r="Q153"/>
      <c r="R153"/>
      <c r="S153"/>
      <c r="T153"/>
      <c r="U153"/>
    </row>
    <row r="154" spans="10:21" s="1" customFormat="1" x14ac:dyDescent="0.2">
      <c r="J154"/>
      <c r="K154"/>
      <c r="L154"/>
      <c r="M154" s="2"/>
      <c r="Q154"/>
      <c r="R154"/>
      <c r="S154"/>
      <c r="T154"/>
      <c r="U154"/>
    </row>
    <row r="155" spans="10:21" s="1" customFormat="1" x14ac:dyDescent="0.2">
      <c r="J155"/>
      <c r="K155"/>
      <c r="L155"/>
      <c r="M155" s="2"/>
      <c r="Q155"/>
      <c r="R155"/>
      <c r="S155"/>
      <c r="T155"/>
      <c r="U155"/>
    </row>
    <row r="156" spans="10:21" s="1" customFormat="1" x14ac:dyDescent="0.2">
      <c r="J156"/>
      <c r="K156"/>
      <c r="L156"/>
      <c r="M156" s="2"/>
      <c r="Q156"/>
      <c r="R156"/>
      <c r="S156"/>
      <c r="T156"/>
      <c r="U156"/>
    </row>
    <row r="157" spans="10:21" s="1" customFormat="1" x14ac:dyDescent="0.2">
      <c r="J157"/>
      <c r="K157"/>
      <c r="L157"/>
      <c r="M157" s="2"/>
      <c r="Q157"/>
      <c r="R157"/>
      <c r="S157"/>
      <c r="T157"/>
      <c r="U157"/>
    </row>
    <row r="158" spans="10:21" s="1" customFormat="1" x14ac:dyDescent="0.2">
      <c r="J158"/>
      <c r="K158"/>
      <c r="L158"/>
      <c r="M158" s="2"/>
      <c r="Q158"/>
      <c r="R158"/>
      <c r="S158"/>
      <c r="T158"/>
      <c r="U158"/>
    </row>
    <row r="159" spans="10:21" s="1" customFormat="1" x14ac:dyDescent="0.2">
      <c r="J159"/>
      <c r="K159"/>
      <c r="L159"/>
      <c r="M159" s="2"/>
      <c r="Q159"/>
      <c r="R159"/>
      <c r="S159"/>
      <c r="T159"/>
      <c r="U159"/>
    </row>
    <row r="160" spans="10:21" s="1" customFormat="1" x14ac:dyDescent="0.2">
      <c r="J160"/>
      <c r="K160"/>
      <c r="L160"/>
      <c r="M160" s="2"/>
      <c r="Q160"/>
      <c r="R160"/>
      <c r="S160"/>
      <c r="T160"/>
      <c r="U160"/>
    </row>
    <row r="161" spans="10:21" s="1" customFormat="1" x14ac:dyDescent="0.2">
      <c r="J161"/>
      <c r="K161"/>
      <c r="L161"/>
      <c r="M161" s="2"/>
      <c r="Q161"/>
      <c r="R161"/>
      <c r="S161"/>
      <c r="T161"/>
      <c r="U161"/>
    </row>
    <row r="162" spans="10:21" s="1" customFormat="1" x14ac:dyDescent="0.2">
      <c r="J162"/>
      <c r="K162"/>
      <c r="L162"/>
      <c r="M162" s="2"/>
      <c r="Q162"/>
      <c r="R162"/>
      <c r="S162"/>
      <c r="T162"/>
      <c r="U162"/>
    </row>
    <row r="163" spans="10:21" s="1" customFormat="1" x14ac:dyDescent="0.2">
      <c r="J163"/>
      <c r="K163"/>
      <c r="L163"/>
      <c r="M163" s="2"/>
      <c r="Q163"/>
      <c r="R163"/>
      <c r="S163"/>
      <c r="T163"/>
      <c r="U163"/>
    </row>
    <row r="164" spans="10:21" s="1" customFormat="1" x14ac:dyDescent="0.2">
      <c r="J164"/>
      <c r="K164"/>
      <c r="L164"/>
      <c r="M164" s="2"/>
      <c r="Q164"/>
      <c r="R164"/>
      <c r="S164"/>
      <c r="T164"/>
      <c r="U164"/>
    </row>
    <row r="165" spans="10:21" s="1" customFormat="1" x14ac:dyDescent="0.2">
      <c r="J165"/>
      <c r="K165"/>
      <c r="L165"/>
      <c r="M165" s="2"/>
      <c r="Q165"/>
      <c r="R165"/>
      <c r="S165"/>
      <c r="T165"/>
      <c r="U165"/>
    </row>
    <row r="166" spans="10:21" s="1" customFormat="1" x14ac:dyDescent="0.2">
      <c r="J166"/>
      <c r="K166"/>
      <c r="L166"/>
      <c r="M166" s="2"/>
      <c r="Q166"/>
      <c r="R166"/>
      <c r="S166"/>
      <c r="T166"/>
      <c r="U166"/>
    </row>
    <row r="167" spans="10:21" s="1" customFormat="1" x14ac:dyDescent="0.2">
      <c r="J167"/>
      <c r="K167"/>
      <c r="L167"/>
      <c r="M167" s="2"/>
      <c r="Q167"/>
      <c r="R167"/>
      <c r="S167"/>
      <c r="T167"/>
      <c r="U167"/>
    </row>
    <row r="168" spans="10:21" s="1" customFormat="1" x14ac:dyDescent="0.2">
      <c r="J168"/>
      <c r="K168"/>
      <c r="L168"/>
      <c r="M168" s="2"/>
      <c r="Q168"/>
      <c r="R168"/>
      <c r="S168"/>
      <c r="T168"/>
      <c r="U168"/>
    </row>
    <row r="169" spans="10:21" s="1" customFormat="1" x14ac:dyDescent="0.2">
      <c r="J169"/>
      <c r="K169"/>
      <c r="L169"/>
      <c r="M169" s="2"/>
      <c r="Q169"/>
      <c r="R169"/>
      <c r="S169"/>
      <c r="T169"/>
      <c r="U169"/>
    </row>
    <row r="170" spans="10:21" s="1" customFormat="1" x14ac:dyDescent="0.2">
      <c r="J170"/>
      <c r="K170"/>
      <c r="L170"/>
      <c r="M170" s="2"/>
      <c r="Q170"/>
      <c r="R170"/>
      <c r="S170"/>
      <c r="T170"/>
      <c r="U170"/>
    </row>
    <row r="171" spans="10:21" s="1" customFormat="1" x14ac:dyDescent="0.2">
      <c r="J171"/>
      <c r="K171"/>
      <c r="L171"/>
      <c r="M171" s="2"/>
      <c r="Q171"/>
      <c r="R171"/>
      <c r="S171"/>
      <c r="T171"/>
      <c r="U171"/>
    </row>
    <row r="172" spans="10:21" s="1" customFormat="1" x14ac:dyDescent="0.2">
      <c r="J172"/>
      <c r="K172"/>
      <c r="L172"/>
      <c r="M172" s="2"/>
      <c r="Q172"/>
      <c r="R172"/>
      <c r="S172"/>
      <c r="T172"/>
      <c r="U172"/>
    </row>
    <row r="173" spans="10:21" s="1" customFormat="1" x14ac:dyDescent="0.2">
      <c r="J173"/>
      <c r="K173"/>
      <c r="L173"/>
      <c r="M173" s="2"/>
      <c r="Q173"/>
      <c r="R173"/>
      <c r="S173"/>
      <c r="T173"/>
      <c r="U173"/>
    </row>
    <row r="174" spans="10:21" s="1" customFormat="1" x14ac:dyDescent="0.2">
      <c r="J174"/>
      <c r="K174"/>
      <c r="L174"/>
      <c r="M174" s="2"/>
      <c r="Q174"/>
      <c r="R174"/>
      <c r="S174"/>
      <c r="T174"/>
      <c r="U174"/>
    </row>
    <row r="175" spans="10:21" s="1" customFormat="1" x14ac:dyDescent="0.2">
      <c r="J175"/>
      <c r="K175"/>
      <c r="L175"/>
      <c r="M175" s="2"/>
      <c r="Q175"/>
      <c r="R175"/>
      <c r="S175"/>
      <c r="T175"/>
      <c r="U175"/>
    </row>
    <row r="176" spans="10:21" s="1" customFormat="1" x14ac:dyDescent="0.2">
      <c r="J176"/>
      <c r="K176"/>
      <c r="L176"/>
      <c r="M176" s="2"/>
      <c r="Q176"/>
      <c r="R176"/>
      <c r="S176"/>
      <c r="T176"/>
      <c r="U176"/>
    </row>
    <row r="177" spans="10:21" s="1" customFormat="1" x14ac:dyDescent="0.2">
      <c r="J177"/>
      <c r="K177"/>
      <c r="L177"/>
      <c r="M177" s="2"/>
      <c r="Q177"/>
      <c r="R177"/>
      <c r="S177"/>
      <c r="T177"/>
      <c r="U177"/>
    </row>
    <row r="178" spans="10:21" s="1" customFormat="1" x14ac:dyDescent="0.2">
      <c r="J178"/>
      <c r="K178"/>
      <c r="L178"/>
      <c r="M178" s="2"/>
      <c r="Q178"/>
      <c r="R178"/>
      <c r="S178"/>
      <c r="T178"/>
      <c r="U178"/>
    </row>
    <row r="179" spans="10:21" s="1" customFormat="1" x14ac:dyDescent="0.2">
      <c r="J179"/>
      <c r="K179"/>
      <c r="L179"/>
      <c r="M179" s="2"/>
      <c r="Q179"/>
      <c r="R179"/>
      <c r="S179"/>
      <c r="T179"/>
      <c r="U179"/>
    </row>
    <row r="180" spans="10:21" s="1" customFormat="1" x14ac:dyDescent="0.2">
      <c r="J180"/>
      <c r="K180"/>
      <c r="L180"/>
      <c r="M180" s="2"/>
      <c r="Q180"/>
      <c r="R180"/>
      <c r="S180"/>
      <c r="T180"/>
      <c r="U180"/>
    </row>
    <row r="181" spans="10:21" s="1" customFormat="1" x14ac:dyDescent="0.2">
      <c r="J181"/>
      <c r="K181"/>
      <c r="L181"/>
      <c r="M181" s="2"/>
      <c r="Q181"/>
      <c r="R181"/>
      <c r="S181"/>
      <c r="T181"/>
      <c r="U181"/>
    </row>
    <row r="182" spans="10:21" s="1" customFormat="1" x14ac:dyDescent="0.2">
      <c r="J182"/>
      <c r="K182"/>
      <c r="L182"/>
      <c r="M182" s="2"/>
      <c r="Q182"/>
      <c r="R182"/>
      <c r="S182"/>
      <c r="T182"/>
      <c r="U182"/>
    </row>
    <row r="183" spans="10:21" s="1" customFormat="1" x14ac:dyDescent="0.2">
      <c r="J183"/>
      <c r="K183"/>
      <c r="L183"/>
      <c r="M183" s="2"/>
      <c r="Q183"/>
      <c r="R183"/>
      <c r="S183"/>
      <c r="T183"/>
      <c r="U183"/>
    </row>
    <row r="184" spans="10:21" s="1" customFormat="1" x14ac:dyDescent="0.2">
      <c r="J184"/>
      <c r="K184"/>
      <c r="L184"/>
      <c r="M184" s="2"/>
      <c r="Q184"/>
      <c r="R184"/>
      <c r="S184"/>
      <c r="T184"/>
      <c r="U184"/>
    </row>
    <row r="185" spans="10:21" s="1" customFormat="1" x14ac:dyDescent="0.2">
      <c r="J185"/>
      <c r="K185"/>
      <c r="L185"/>
      <c r="M185" s="2"/>
      <c r="Q185"/>
      <c r="R185"/>
      <c r="S185"/>
      <c r="T185"/>
      <c r="U185"/>
    </row>
    <row r="186" spans="10:21" s="1" customFormat="1" x14ac:dyDescent="0.2">
      <c r="J186"/>
      <c r="K186"/>
      <c r="L186"/>
      <c r="M186" s="2"/>
      <c r="Q186"/>
      <c r="R186"/>
      <c r="S186"/>
      <c r="T186"/>
      <c r="U186"/>
    </row>
    <row r="187" spans="10:21" s="1" customFormat="1" x14ac:dyDescent="0.2">
      <c r="J187"/>
      <c r="K187"/>
      <c r="L187"/>
      <c r="M187" s="2"/>
      <c r="Q187"/>
      <c r="R187"/>
      <c r="S187"/>
      <c r="T187"/>
      <c r="U187"/>
    </row>
    <row r="188" spans="10:21" s="1" customFormat="1" x14ac:dyDescent="0.2">
      <c r="J188"/>
      <c r="K188"/>
      <c r="L188"/>
      <c r="M188" s="2"/>
      <c r="Q188"/>
      <c r="R188"/>
      <c r="S188"/>
      <c r="T188"/>
      <c r="U188"/>
    </row>
    <row r="189" spans="10:21" s="1" customFormat="1" x14ac:dyDescent="0.2">
      <c r="J189"/>
      <c r="K189"/>
      <c r="L189"/>
      <c r="M189" s="2"/>
      <c r="Q189"/>
      <c r="R189"/>
      <c r="S189"/>
      <c r="T189"/>
      <c r="U189"/>
    </row>
    <row r="190" spans="10:21" s="1" customFormat="1" x14ac:dyDescent="0.2">
      <c r="J190"/>
      <c r="K190"/>
      <c r="L190"/>
      <c r="M190" s="2"/>
      <c r="Q190"/>
      <c r="R190"/>
      <c r="S190"/>
      <c r="T190"/>
      <c r="U190"/>
    </row>
    <row r="191" spans="10:21" s="1" customFormat="1" x14ac:dyDescent="0.2">
      <c r="J191"/>
      <c r="K191"/>
      <c r="L191"/>
      <c r="M191" s="2"/>
      <c r="Q191"/>
      <c r="R191"/>
      <c r="S191"/>
      <c r="T191"/>
      <c r="U191"/>
    </row>
    <row r="192" spans="10:21" s="1" customFormat="1" x14ac:dyDescent="0.2">
      <c r="J192"/>
      <c r="K192"/>
      <c r="L192"/>
      <c r="M192" s="2"/>
      <c r="Q192"/>
      <c r="R192"/>
      <c r="S192"/>
      <c r="T192"/>
      <c r="U192"/>
    </row>
    <row r="193" spans="10:21" s="1" customFormat="1" x14ac:dyDescent="0.2">
      <c r="J193"/>
      <c r="K193"/>
      <c r="L193"/>
      <c r="M193" s="2"/>
      <c r="Q193"/>
      <c r="R193"/>
      <c r="S193"/>
      <c r="T193"/>
      <c r="U193"/>
    </row>
    <row r="194" spans="10:21" s="1" customFormat="1" x14ac:dyDescent="0.2">
      <c r="J194"/>
      <c r="K194"/>
      <c r="L194"/>
      <c r="M194" s="2"/>
      <c r="Q194"/>
      <c r="R194"/>
      <c r="S194"/>
      <c r="T194"/>
      <c r="U194"/>
    </row>
    <row r="195" spans="10:21" s="1" customFormat="1" x14ac:dyDescent="0.2">
      <c r="J195"/>
      <c r="K195"/>
      <c r="L195"/>
      <c r="M195" s="2"/>
      <c r="Q195"/>
      <c r="R195"/>
      <c r="S195"/>
      <c r="T195"/>
      <c r="U195"/>
    </row>
    <row r="196" spans="10:21" s="1" customFormat="1" x14ac:dyDescent="0.2">
      <c r="J196"/>
      <c r="K196"/>
      <c r="L196"/>
      <c r="M196" s="2"/>
      <c r="Q196"/>
      <c r="R196"/>
      <c r="S196"/>
      <c r="T196"/>
      <c r="U196"/>
    </row>
    <row r="197" spans="10:21" s="1" customFormat="1" x14ac:dyDescent="0.2">
      <c r="J197"/>
      <c r="K197"/>
      <c r="L197"/>
      <c r="M197" s="2"/>
      <c r="Q197"/>
      <c r="R197"/>
      <c r="S197"/>
      <c r="T197"/>
      <c r="U197"/>
    </row>
    <row r="198" spans="10:21" s="1" customFormat="1" x14ac:dyDescent="0.2">
      <c r="J198"/>
      <c r="K198"/>
      <c r="L198"/>
      <c r="M198" s="2"/>
      <c r="Q198"/>
      <c r="R198"/>
      <c r="S198"/>
      <c r="T198"/>
      <c r="U198"/>
    </row>
    <row r="199" spans="10:21" s="1" customFormat="1" x14ac:dyDescent="0.2">
      <c r="J199"/>
      <c r="K199"/>
      <c r="L199"/>
      <c r="M199" s="2"/>
      <c r="Q199"/>
      <c r="R199"/>
      <c r="S199"/>
      <c r="T199"/>
      <c r="U199"/>
    </row>
    <row r="200" spans="10:21" s="1" customFormat="1" x14ac:dyDescent="0.2">
      <c r="J200"/>
      <c r="K200"/>
      <c r="L200"/>
      <c r="M200" s="2"/>
      <c r="Q200"/>
      <c r="R200"/>
      <c r="S200"/>
      <c r="T200"/>
      <c r="U200"/>
    </row>
    <row r="201" spans="10:21" s="1" customFormat="1" x14ac:dyDescent="0.2">
      <c r="J201"/>
      <c r="K201"/>
      <c r="L201"/>
      <c r="M201" s="2"/>
      <c r="Q201"/>
      <c r="R201"/>
      <c r="S201"/>
      <c r="T201"/>
      <c r="U201"/>
    </row>
    <row r="202" spans="10:21" s="1" customFormat="1" x14ac:dyDescent="0.2">
      <c r="J202"/>
      <c r="K202"/>
      <c r="L202"/>
      <c r="M202" s="2"/>
      <c r="Q202"/>
      <c r="R202"/>
      <c r="S202"/>
      <c r="T202"/>
      <c r="U202"/>
    </row>
    <row r="203" spans="10:21" s="1" customFormat="1" x14ac:dyDescent="0.2">
      <c r="J203"/>
      <c r="K203"/>
      <c r="L203"/>
      <c r="M203" s="2"/>
      <c r="Q203"/>
      <c r="R203"/>
      <c r="S203"/>
      <c r="T203"/>
      <c r="U203"/>
    </row>
    <row r="204" spans="10:21" s="1" customFormat="1" x14ac:dyDescent="0.2">
      <c r="J204"/>
      <c r="K204"/>
      <c r="L204"/>
      <c r="M204" s="2"/>
      <c r="Q204"/>
      <c r="R204"/>
      <c r="S204"/>
      <c r="T204"/>
      <c r="U204"/>
    </row>
    <row r="205" spans="10:21" s="1" customFormat="1" x14ac:dyDescent="0.2">
      <c r="J205"/>
      <c r="K205"/>
      <c r="L205"/>
      <c r="M205" s="2"/>
      <c r="Q205"/>
      <c r="R205"/>
      <c r="S205"/>
      <c r="T205"/>
      <c r="U205"/>
    </row>
    <row r="206" spans="10:21" s="1" customFormat="1" x14ac:dyDescent="0.2">
      <c r="J206"/>
      <c r="K206"/>
      <c r="L206"/>
      <c r="M206" s="2"/>
      <c r="Q206"/>
      <c r="R206"/>
      <c r="S206"/>
      <c r="T206"/>
      <c r="U206"/>
    </row>
    <row r="207" spans="10:21" s="1" customFormat="1" x14ac:dyDescent="0.2">
      <c r="J207"/>
      <c r="K207"/>
      <c r="L207"/>
      <c r="M207" s="2"/>
      <c r="Q207"/>
      <c r="R207"/>
      <c r="S207"/>
      <c r="T207"/>
      <c r="U207"/>
    </row>
    <row r="208" spans="10:21" s="1" customFormat="1" x14ac:dyDescent="0.2">
      <c r="J208"/>
      <c r="K208"/>
      <c r="L208"/>
      <c r="M208" s="2"/>
      <c r="Q208"/>
      <c r="R208"/>
      <c r="S208"/>
      <c r="T208"/>
      <c r="U208"/>
    </row>
    <row r="209" spans="10:21" s="1" customFormat="1" x14ac:dyDescent="0.2">
      <c r="J209"/>
      <c r="K209"/>
      <c r="L209"/>
      <c r="M209" s="2"/>
      <c r="Q209"/>
      <c r="R209"/>
      <c r="S209"/>
      <c r="T209"/>
      <c r="U209"/>
    </row>
    <row r="210" spans="10:21" s="1" customFormat="1" x14ac:dyDescent="0.2">
      <c r="J210"/>
      <c r="K210"/>
      <c r="L210"/>
      <c r="M210" s="2"/>
      <c r="Q210"/>
      <c r="R210"/>
      <c r="S210"/>
      <c r="T210"/>
      <c r="U210"/>
    </row>
    <row r="211" spans="10:21" s="1" customFormat="1" x14ac:dyDescent="0.2">
      <c r="J211"/>
      <c r="K211"/>
      <c r="L211"/>
      <c r="M211" s="2"/>
      <c r="Q211"/>
      <c r="R211"/>
      <c r="S211"/>
      <c r="T211"/>
      <c r="U211"/>
    </row>
    <row r="212" spans="10:21" s="1" customFormat="1" x14ac:dyDescent="0.2">
      <c r="J212"/>
      <c r="K212"/>
      <c r="L212"/>
      <c r="M212" s="2"/>
      <c r="Q212"/>
      <c r="R212"/>
      <c r="S212"/>
      <c r="T212"/>
      <c r="U212"/>
    </row>
    <row r="213" spans="10:21" s="1" customFormat="1" x14ac:dyDescent="0.2">
      <c r="J213"/>
      <c r="K213"/>
      <c r="L213"/>
      <c r="M213" s="2"/>
      <c r="Q213"/>
      <c r="R213"/>
      <c r="S213"/>
      <c r="T213"/>
      <c r="U213"/>
    </row>
    <row r="214" spans="10:21" s="1" customFormat="1" x14ac:dyDescent="0.2">
      <c r="J214"/>
      <c r="K214"/>
      <c r="L214"/>
      <c r="M214" s="2"/>
      <c r="Q214"/>
      <c r="R214"/>
      <c r="S214"/>
      <c r="T214"/>
      <c r="U214"/>
    </row>
    <row r="215" spans="10:21" s="1" customFormat="1" x14ac:dyDescent="0.2">
      <c r="J215"/>
      <c r="K215"/>
      <c r="L215"/>
      <c r="M215" s="2"/>
      <c r="Q215"/>
      <c r="R215"/>
      <c r="S215"/>
      <c r="T215"/>
      <c r="U215"/>
    </row>
    <row r="216" spans="10:21" s="1" customFormat="1" x14ac:dyDescent="0.2">
      <c r="J216"/>
      <c r="K216"/>
      <c r="L216"/>
      <c r="M216" s="2"/>
      <c r="Q216"/>
      <c r="R216"/>
      <c r="S216"/>
      <c r="T216"/>
      <c r="U216"/>
    </row>
    <row r="217" spans="10:21" s="1" customFormat="1" x14ac:dyDescent="0.2">
      <c r="J217"/>
      <c r="K217"/>
      <c r="L217"/>
      <c r="M217" s="2"/>
      <c r="Q217"/>
      <c r="R217"/>
      <c r="S217"/>
      <c r="T217"/>
      <c r="U217"/>
    </row>
    <row r="218" spans="10:21" s="1" customFormat="1" x14ac:dyDescent="0.2">
      <c r="J218"/>
      <c r="K218"/>
      <c r="L218"/>
      <c r="M218" s="2"/>
      <c r="Q218"/>
      <c r="R218"/>
      <c r="S218"/>
      <c r="T218"/>
      <c r="U218"/>
    </row>
    <row r="219" spans="10:21" s="1" customFormat="1" x14ac:dyDescent="0.2">
      <c r="J219"/>
      <c r="K219"/>
      <c r="L219"/>
      <c r="M219" s="2"/>
      <c r="Q219"/>
      <c r="R219"/>
      <c r="S219"/>
      <c r="T219"/>
      <c r="U219"/>
    </row>
    <row r="220" spans="10:21" s="1" customFormat="1" x14ac:dyDescent="0.2">
      <c r="J220"/>
      <c r="K220"/>
      <c r="L220"/>
      <c r="M220" s="2"/>
      <c r="Q220"/>
      <c r="R220"/>
      <c r="S220"/>
      <c r="T220"/>
      <c r="U220"/>
    </row>
    <row r="221" spans="10:21" s="1" customFormat="1" x14ac:dyDescent="0.2">
      <c r="J221"/>
      <c r="K221"/>
      <c r="L221"/>
      <c r="M221" s="2"/>
      <c r="Q221"/>
      <c r="R221"/>
      <c r="S221"/>
      <c r="T221"/>
      <c r="U221"/>
    </row>
    <row r="222" spans="10:21" s="1" customFormat="1" x14ac:dyDescent="0.2">
      <c r="J222"/>
      <c r="K222"/>
      <c r="L222"/>
      <c r="M222" s="2"/>
      <c r="Q222"/>
      <c r="R222"/>
      <c r="S222"/>
      <c r="T222"/>
      <c r="U222"/>
    </row>
    <row r="223" spans="10:21" s="1" customFormat="1" x14ac:dyDescent="0.2">
      <c r="J223"/>
      <c r="K223"/>
      <c r="L223"/>
      <c r="M223" s="2"/>
      <c r="Q223"/>
      <c r="R223"/>
      <c r="S223"/>
      <c r="T223"/>
      <c r="U223"/>
    </row>
    <row r="224" spans="10:21" s="1" customFormat="1" x14ac:dyDescent="0.2">
      <c r="J224"/>
      <c r="K224"/>
      <c r="L224"/>
      <c r="M224" s="2"/>
      <c r="Q224"/>
      <c r="R224"/>
      <c r="S224"/>
      <c r="T224"/>
      <c r="U224"/>
    </row>
    <row r="225" spans="10:21" s="1" customFormat="1" x14ac:dyDescent="0.2">
      <c r="J225"/>
      <c r="K225"/>
      <c r="L225"/>
      <c r="M225" s="2"/>
      <c r="Q225"/>
      <c r="R225"/>
      <c r="S225"/>
      <c r="T225"/>
      <c r="U225"/>
    </row>
    <row r="226" spans="10:21" s="1" customFormat="1" x14ac:dyDescent="0.2">
      <c r="J226"/>
      <c r="K226"/>
      <c r="L226"/>
      <c r="M226" s="2"/>
      <c r="Q226"/>
      <c r="R226"/>
      <c r="S226"/>
      <c r="T226"/>
      <c r="U226"/>
    </row>
    <row r="227" spans="10:21" s="1" customFormat="1" x14ac:dyDescent="0.2">
      <c r="J227"/>
      <c r="K227"/>
      <c r="L227"/>
      <c r="M227" s="2"/>
      <c r="Q227"/>
      <c r="R227"/>
      <c r="S227"/>
      <c r="T227"/>
      <c r="U227"/>
    </row>
    <row r="228" spans="10:21" s="1" customFormat="1" x14ac:dyDescent="0.2">
      <c r="J228"/>
      <c r="K228"/>
      <c r="L228"/>
      <c r="M228" s="2"/>
      <c r="Q228"/>
      <c r="R228"/>
      <c r="S228"/>
      <c r="T228"/>
      <c r="U228"/>
    </row>
    <row r="229" spans="10:21" s="1" customFormat="1" x14ac:dyDescent="0.2">
      <c r="J229"/>
      <c r="K229"/>
      <c r="L229"/>
      <c r="M229" s="2"/>
      <c r="Q229"/>
      <c r="R229"/>
      <c r="S229"/>
      <c r="T229"/>
      <c r="U229"/>
    </row>
    <row r="230" spans="10:21" s="1" customFormat="1" x14ac:dyDescent="0.2">
      <c r="J230"/>
      <c r="K230"/>
      <c r="L230"/>
      <c r="M230" s="2"/>
      <c r="Q230"/>
      <c r="R230"/>
      <c r="S230"/>
      <c r="T230"/>
      <c r="U230"/>
    </row>
    <row r="231" spans="10:21" s="1" customFormat="1" x14ac:dyDescent="0.2">
      <c r="J231"/>
      <c r="K231"/>
      <c r="L231"/>
      <c r="M231" s="2"/>
      <c r="Q231"/>
      <c r="R231"/>
      <c r="S231"/>
      <c r="T231"/>
      <c r="U231"/>
    </row>
    <row r="232" spans="10:21" s="1" customFormat="1" x14ac:dyDescent="0.2">
      <c r="J232"/>
      <c r="K232"/>
      <c r="L232"/>
      <c r="M232" s="2"/>
      <c r="Q232"/>
      <c r="R232"/>
      <c r="S232"/>
      <c r="T232"/>
      <c r="U232"/>
    </row>
    <row r="233" spans="10:21" s="1" customFormat="1" x14ac:dyDescent="0.2">
      <c r="J233"/>
      <c r="K233"/>
      <c r="L233"/>
      <c r="M233" s="2"/>
      <c r="Q233"/>
      <c r="R233"/>
      <c r="S233"/>
      <c r="T233"/>
      <c r="U233"/>
    </row>
    <row r="234" spans="10:21" s="1" customFormat="1" x14ac:dyDescent="0.2">
      <c r="J234"/>
      <c r="K234"/>
      <c r="L234"/>
      <c r="M234" s="2"/>
      <c r="Q234"/>
      <c r="R234"/>
      <c r="S234"/>
      <c r="T234"/>
      <c r="U234"/>
    </row>
    <row r="235" spans="10:21" s="1" customFormat="1" x14ac:dyDescent="0.2">
      <c r="J235"/>
      <c r="K235"/>
      <c r="L235"/>
      <c r="M235" s="2"/>
      <c r="Q235"/>
      <c r="R235"/>
      <c r="S235"/>
      <c r="T235"/>
      <c r="U235"/>
    </row>
    <row r="236" spans="10:21" s="1" customFormat="1" x14ac:dyDescent="0.2">
      <c r="J236"/>
      <c r="K236"/>
      <c r="L236"/>
      <c r="M236" s="2"/>
      <c r="Q236"/>
      <c r="R236"/>
      <c r="S236"/>
      <c r="T236"/>
      <c r="U236"/>
    </row>
    <row r="237" spans="10:21" s="1" customFormat="1" x14ac:dyDescent="0.2">
      <c r="J237"/>
      <c r="K237"/>
      <c r="L237"/>
      <c r="M237" s="2"/>
      <c r="Q237"/>
      <c r="R237"/>
      <c r="S237"/>
      <c r="T237"/>
      <c r="U237"/>
    </row>
    <row r="238" spans="10:21" s="1" customFormat="1" x14ac:dyDescent="0.2">
      <c r="J238"/>
      <c r="K238"/>
      <c r="L238"/>
      <c r="M238" s="2"/>
      <c r="Q238"/>
      <c r="R238"/>
      <c r="S238"/>
      <c r="T238"/>
      <c r="U238"/>
    </row>
    <row r="239" spans="10:21" s="1" customFormat="1" x14ac:dyDescent="0.2">
      <c r="J239"/>
      <c r="K239"/>
      <c r="L239"/>
      <c r="M239" s="2"/>
      <c r="Q239"/>
      <c r="R239"/>
      <c r="S239"/>
      <c r="T239"/>
      <c r="U239"/>
    </row>
    <row r="240" spans="10:21" s="1" customFormat="1" x14ac:dyDescent="0.2">
      <c r="J240"/>
      <c r="K240"/>
      <c r="L240"/>
      <c r="M240" s="2"/>
      <c r="Q240"/>
      <c r="R240"/>
      <c r="S240"/>
      <c r="T240"/>
      <c r="U240"/>
    </row>
    <row r="241" spans="10:21" s="1" customFormat="1" x14ac:dyDescent="0.2">
      <c r="J241"/>
      <c r="K241"/>
      <c r="L241"/>
      <c r="M241" s="2"/>
      <c r="Q241"/>
      <c r="R241"/>
      <c r="S241"/>
      <c r="T241"/>
      <c r="U241"/>
    </row>
    <row r="242" spans="10:21" s="1" customFormat="1" x14ac:dyDescent="0.2">
      <c r="J242"/>
      <c r="K242"/>
      <c r="L242"/>
      <c r="M242" s="2"/>
      <c r="Q242"/>
      <c r="R242"/>
      <c r="S242"/>
      <c r="T242"/>
      <c r="U242"/>
    </row>
    <row r="243" spans="10:21" s="1" customFormat="1" x14ac:dyDescent="0.2">
      <c r="J243"/>
      <c r="K243"/>
      <c r="L243"/>
      <c r="M243" s="2"/>
      <c r="Q243"/>
      <c r="R243"/>
      <c r="S243"/>
      <c r="T243"/>
      <c r="U243"/>
    </row>
    <row r="244" spans="10:21" s="1" customFormat="1" x14ac:dyDescent="0.2">
      <c r="J244"/>
      <c r="K244"/>
      <c r="L244"/>
      <c r="M244" s="2"/>
      <c r="Q244"/>
      <c r="R244"/>
      <c r="S244"/>
      <c r="T244"/>
      <c r="U244"/>
    </row>
    <row r="245" spans="10:21" s="1" customFormat="1" x14ac:dyDescent="0.2">
      <c r="J245"/>
      <c r="K245"/>
      <c r="L245"/>
      <c r="M245" s="2"/>
      <c r="Q245"/>
      <c r="R245"/>
      <c r="S245"/>
      <c r="T245"/>
      <c r="U245"/>
    </row>
    <row r="246" spans="10:21" s="1" customFormat="1" x14ac:dyDescent="0.2">
      <c r="J246"/>
      <c r="K246"/>
      <c r="L246"/>
      <c r="M246" s="2"/>
      <c r="Q246"/>
      <c r="R246"/>
      <c r="S246"/>
      <c r="T246"/>
      <c r="U246"/>
    </row>
    <row r="247" spans="10:21" s="1" customFormat="1" x14ac:dyDescent="0.2">
      <c r="J247"/>
      <c r="K247"/>
      <c r="L247"/>
      <c r="M247" s="2"/>
      <c r="Q247"/>
      <c r="R247"/>
      <c r="S247"/>
      <c r="T247"/>
      <c r="U247"/>
    </row>
    <row r="248" spans="10:21" s="1" customFormat="1" x14ac:dyDescent="0.2">
      <c r="J248"/>
      <c r="K248"/>
      <c r="L248"/>
      <c r="M248" s="2"/>
      <c r="Q248"/>
      <c r="R248"/>
      <c r="S248"/>
      <c r="T248"/>
      <c r="U248"/>
    </row>
    <row r="249" spans="10:21" s="1" customFormat="1" x14ac:dyDescent="0.2">
      <c r="J249"/>
      <c r="K249"/>
      <c r="L249"/>
      <c r="M249" s="2"/>
      <c r="Q249"/>
      <c r="R249"/>
      <c r="S249"/>
      <c r="T249"/>
      <c r="U249"/>
    </row>
    <row r="250" spans="10:21" s="1" customFormat="1" x14ac:dyDescent="0.2">
      <c r="J250"/>
      <c r="K250"/>
      <c r="L250"/>
      <c r="M250" s="2"/>
      <c r="Q250"/>
      <c r="R250"/>
      <c r="S250"/>
      <c r="T250"/>
      <c r="U250"/>
    </row>
    <row r="251" spans="10:21" s="1" customFormat="1" x14ac:dyDescent="0.2">
      <c r="J251"/>
      <c r="K251"/>
      <c r="L251"/>
      <c r="M251" s="2"/>
      <c r="Q251"/>
      <c r="R251"/>
      <c r="S251"/>
      <c r="T251"/>
      <c r="U251"/>
    </row>
    <row r="252" spans="10:21" s="1" customFormat="1" x14ac:dyDescent="0.2">
      <c r="J252"/>
      <c r="K252"/>
      <c r="L252"/>
      <c r="M252" s="2"/>
      <c r="Q252"/>
      <c r="R252"/>
      <c r="S252"/>
      <c r="T252"/>
      <c r="U252"/>
    </row>
    <row r="253" spans="10:21" s="1" customFormat="1" x14ac:dyDescent="0.2">
      <c r="J253"/>
      <c r="K253"/>
      <c r="L253"/>
      <c r="M253" s="2"/>
      <c r="Q253"/>
      <c r="R253"/>
      <c r="S253"/>
      <c r="T253"/>
      <c r="U253"/>
    </row>
    <row r="254" spans="10:21" s="1" customFormat="1" x14ac:dyDescent="0.2">
      <c r="J254"/>
      <c r="K254"/>
      <c r="L254"/>
      <c r="M254" s="2"/>
      <c r="Q254"/>
      <c r="R254"/>
      <c r="S254"/>
      <c r="T254"/>
      <c r="U254"/>
    </row>
    <row r="255" spans="10:21" s="1" customFormat="1" x14ac:dyDescent="0.2">
      <c r="J255"/>
      <c r="K255"/>
      <c r="L255"/>
      <c r="M255" s="2"/>
      <c r="Q255"/>
      <c r="R255"/>
      <c r="S255"/>
      <c r="T255"/>
      <c r="U255"/>
    </row>
    <row r="256" spans="10:21" s="1" customFormat="1" x14ac:dyDescent="0.2">
      <c r="J256"/>
      <c r="K256"/>
      <c r="L256"/>
      <c r="M256" s="2"/>
      <c r="Q256"/>
      <c r="R256"/>
      <c r="S256"/>
      <c r="T256"/>
      <c r="U256"/>
    </row>
    <row r="257" spans="10:21" s="1" customFormat="1" x14ac:dyDescent="0.2">
      <c r="J257"/>
      <c r="K257"/>
      <c r="L257"/>
      <c r="M257" s="2"/>
      <c r="Q257"/>
      <c r="R257"/>
      <c r="S257"/>
      <c r="T257"/>
      <c r="U257"/>
    </row>
    <row r="258" spans="10:21" s="1" customFormat="1" x14ac:dyDescent="0.2">
      <c r="J258"/>
      <c r="K258"/>
      <c r="L258"/>
      <c r="M258" s="2"/>
      <c r="Q258"/>
      <c r="R258"/>
      <c r="S258"/>
      <c r="T258"/>
      <c r="U258"/>
    </row>
    <row r="259" spans="10:21" s="1" customFormat="1" x14ac:dyDescent="0.2">
      <c r="J259"/>
      <c r="K259"/>
      <c r="L259"/>
      <c r="M259" s="2"/>
      <c r="Q259"/>
      <c r="R259"/>
      <c r="S259"/>
      <c r="T259"/>
      <c r="U259"/>
    </row>
    <row r="260" spans="10:21" s="1" customFormat="1" x14ac:dyDescent="0.2">
      <c r="J260"/>
      <c r="K260"/>
      <c r="L260"/>
      <c r="M260" s="2"/>
      <c r="Q260"/>
      <c r="R260"/>
      <c r="S260"/>
      <c r="T260"/>
      <c r="U260"/>
    </row>
    <row r="261" spans="10:21" s="1" customFormat="1" x14ac:dyDescent="0.2">
      <c r="J261"/>
      <c r="K261"/>
      <c r="L261"/>
      <c r="M261" s="2"/>
      <c r="Q261"/>
      <c r="R261"/>
      <c r="S261"/>
      <c r="T261"/>
      <c r="U261"/>
    </row>
    <row r="262" spans="10:21" s="1" customFormat="1" x14ac:dyDescent="0.2">
      <c r="J262"/>
      <c r="K262"/>
      <c r="L262"/>
      <c r="M262" s="2"/>
      <c r="Q262"/>
      <c r="R262"/>
      <c r="S262"/>
      <c r="T262"/>
      <c r="U262"/>
    </row>
    <row r="263" spans="10:21" s="1" customFormat="1" x14ac:dyDescent="0.2">
      <c r="J263"/>
      <c r="K263"/>
      <c r="L263"/>
      <c r="M263" s="2"/>
      <c r="Q263"/>
      <c r="R263"/>
      <c r="S263"/>
      <c r="T263"/>
      <c r="U263"/>
    </row>
    <row r="264" spans="10:21" s="1" customFormat="1" x14ac:dyDescent="0.2">
      <c r="J264"/>
      <c r="K264"/>
      <c r="L264"/>
      <c r="M264" s="2"/>
      <c r="Q264"/>
      <c r="R264"/>
      <c r="S264"/>
      <c r="T264"/>
      <c r="U264"/>
    </row>
    <row r="265" spans="10:21" s="1" customFormat="1" x14ac:dyDescent="0.2">
      <c r="J265"/>
      <c r="K265"/>
      <c r="L265"/>
      <c r="M265" s="2"/>
      <c r="Q265"/>
      <c r="R265"/>
      <c r="S265"/>
      <c r="T265"/>
      <c r="U265"/>
    </row>
    <row r="266" spans="10:21" s="1" customFormat="1" x14ac:dyDescent="0.2">
      <c r="J266"/>
      <c r="K266"/>
      <c r="L266"/>
      <c r="M266" s="2"/>
      <c r="Q266"/>
      <c r="R266"/>
      <c r="S266"/>
      <c r="T266"/>
      <c r="U266"/>
    </row>
    <row r="267" spans="10:21" s="1" customFormat="1" x14ac:dyDescent="0.2">
      <c r="J267"/>
      <c r="K267"/>
      <c r="L267"/>
      <c r="M267" s="2"/>
      <c r="Q267"/>
      <c r="R267"/>
      <c r="S267"/>
      <c r="T267"/>
      <c r="U267"/>
    </row>
    <row r="268" spans="10:21" s="1" customFormat="1" x14ac:dyDescent="0.2">
      <c r="J268"/>
      <c r="K268"/>
      <c r="L268"/>
      <c r="M268" s="2"/>
      <c r="Q268"/>
      <c r="R268"/>
      <c r="S268"/>
      <c r="T268"/>
      <c r="U268"/>
    </row>
    <row r="269" spans="10:21" s="1" customFormat="1" x14ac:dyDescent="0.2">
      <c r="J269"/>
      <c r="K269"/>
      <c r="L269"/>
      <c r="M269" s="2"/>
      <c r="Q269"/>
      <c r="R269"/>
      <c r="S269"/>
      <c r="T269"/>
      <c r="U269"/>
    </row>
    <row r="270" spans="10:21" s="1" customFormat="1" x14ac:dyDescent="0.2">
      <c r="J270"/>
      <c r="K270"/>
      <c r="L270"/>
      <c r="M270" s="2"/>
      <c r="Q270"/>
      <c r="R270"/>
      <c r="S270"/>
      <c r="T270"/>
      <c r="U270"/>
    </row>
    <row r="271" spans="10:21" s="1" customFormat="1" x14ac:dyDescent="0.2">
      <c r="J271"/>
      <c r="K271"/>
      <c r="L271"/>
      <c r="M271" s="2"/>
      <c r="Q271"/>
      <c r="R271"/>
      <c r="S271"/>
      <c r="T271"/>
      <c r="U271"/>
    </row>
    <row r="272" spans="10:21" s="1" customFormat="1" x14ac:dyDescent="0.2">
      <c r="J272"/>
      <c r="K272"/>
      <c r="L272"/>
      <c r="M272" s="2"/>
      <c r="Q272"/>
      <c r="R272"/>
      <c r="S272"/>
      <c r="T272"/>
      <c r="U272"/>
    </row>
    <row r="273" spans="10:21" s="1" customFormat="1" x14ac:dyDescent="0.2">
      <c r="J273"/>
      <c r="K273"/>
      <c r="L273"/>
      <c r="M273" s="2"/>
      <c r="Q273"/>
      <c r="R273"/>
      <c r="S273"/>
      <c r="T273"/>
      <c r="U273"/>
    </row>
    <row r="274" spans="10:21" s="1" customFormat="1" x14ac:dyDescent="0.2">
      <c r="J274"/>
      <c r="K274"/>
      <c r="L274"/>
      <c r="M274" s="2"/>
      <c r="Q274"/>
      <c r="R274"/>
      <c r="S274"/>
      <c r="T274"/>
      <c r="U274"/>
    </row>
    <row r="275" spans="10:21" s="1" customFormat="1" x14ac:dyDescent="0.2">
      <c r="J275"/>
      <c r="K275"/>
      <c r="L275"/>
      <c r="M275" s="2"/>
      <c r="Q275"/>
      <c r="R275"/>
      <c r="S275"/>
      <c r="T275"/>
      <c r="U275"/>
    </row>
    <row r="276" spans="10:21" s="1" customFormat="1" x14ac:dyDescent="0.2">
      <c r="J276"/>
      <c r="K276"/>
      <c r="L276"/>
      <c r="M276" s="2"/>
      <c r="Q276"/>
      <c r="R276"/>
      <c r="S276"/>
      <c r="T276"/>
      <c r="U276"/>
    </row>
    <row r="277" spans="10:21" s="1" customFormat="1" x14ac:dyDescent="0.2">
      <c r="J277"/>
      <c r="K277"/>
      <c r="L277"/>
      <c r="M277" s="2"/>
      <c r="Q277"/>
      <c r="R277"/>
      <c r="S277"/>
      <c r="T277"/>
      <c r="U277"/>
    </row>
    <row r="278" spans="10:21" s="1" customFormat="1" x14ac:dyDescent="0.2">
      <c r="J278"/>
      <c r="K278"/>
      <c r="L278"/>
      <c r="M278" s="2"/>
      <c r="Q278"/>
      <c r="R278"/>
      <c r="S278"/>
      <c r="T278"/>
      <c r="U278"/>
    </row>
    <row r="279" spans="10:21" s="1" customFormat="1" x14ac:dyDescent="0.2">
      <c r="J279"/>
      <c r="K279"/>
      <c r="L279"/>
      <c r="M279" s="2"/>
      <c r="Q279"/>
      <c r="R279"/>
      <c r="S279"/>
      <c r="T279"/>
      <c r="U279"/>
    </row>
    <row r="280" spans="10:21" s="1" customFormat="1" x14ac:dyDescent="0.2">
      <c r="J280"/>
      <c r="K280"/>
      <c r="L280"/>
      <c r="M280" s="2"/>
      <c r="Q280"/>
      <c r="R280"/>
      <c r="S280"/>
      <c r="T280"/>
      <c r="U280"/>
    </row>
    <row r="281" spans="10:21" s="1" customFormat="1" x14ac:dyDescent="0.2">
      <c r="J281"/>
      <c r="K281"/>
      <c r="L281"/>
      <c r="M281" s="2"/>
      <c r="Q281"/>
      <c r="R281"/>
      <c r="S281"/>
      <c r="T281"/>
      <c r="U281"/>
    </row>
    <row r="282" spans="10:21" s="1" customFormat="1" x14ac:dyDescent="0.2">
      <c r="J282"/>
      <c r="K282"/>
      <c r="L282"/>
      <c r="M282" s="2"/>
      <c r="Q282"/>
      <c r="R282"/>
      <c r="S282"/>
      <c r="T282"/>
      <c r="U282"/>
    </row>
    <row r="283" spans="10:21" s="1" customFormat="1" x14ac:dyDescent="0.2">
      <c r="J283"/>
      <c r="K283"/>
      <c r="L283"/>
      <c r="M283" s="2"/>
      <c r="Q283"/>
      <c r="R283"/>
      <c r="S283"/>
      <c r="T283"/>
      <c r="U283"/>
    </row>
    <row r="284" spans="10:21" s="1" customFormat="1" x14ac:dyDescent="0.2">
      <c r="J284"/>
      <c r="K284"/>
      <c r="L284"/>
      <c r="M284" s="2"/>
      <c r="Q284"/>
      <c r="R284"/>
      <c r="S284"/>
      <c r="T284"/>
      <c r="U284"/>
    </row>
    <row r="285" spans="10:21" s="1" customFormat="1" x14ac:dyDescent="0.2">
      <c r="J285"/>
      <c r="K285"/>
      <c r="L285"/>
      <c r="M285" s="2"/>
      <c r="Q285"/>
      <c r="R285"/>
      <c r="S285"/>
      <c r="T285"/>
      <c r="U285"/>
    </row>
    <row r="286" spans="10:21" s="1" customFormat="1" x14ac:dyDescent="0.2">
      <c r="J286"/>
      <c r="K286"/>
      <c r="L286"/>
      <c r="M286" s="2"/>
      <c r="Q286"/>
      <c r="R286"/>
      <c r="S286"/>
      <c r="T286"/>
      <c r="U286"/>
    </row>
    <row r="287" spans="10:21" s="1" customFormat="1" x14ac:dyDescent="0.2">
      <c r="J287"/>
      <c r="K287"/>
      <c r="L287"/>
      <c r="M287" s="2"/>
      <c r="Q287"/>
      <c r="R287"/>
      <c r="S287"/>
      <c r="T287"/>
      <c r="U287"/>
    </row>
    <row r="288" spans="10:21" s="1" customFormat="1" x14ac:dyDescent="0.2">
      <c r="J288"/>
      <c r="K288"/>
      <c r="L288"/>
      <c r="M288" s="2"/>
      <c r="Q288"/>
      <c r="R288"/>
      <c r="S288"/>
      <c r="T288"/>
      <c r="U288"/>
    </row>
    <row r="289" spans="10:21" s="1" customFormat="1" x14ac:dyDescent="0.2">
      <c r="J289"/>
      <c r="K289"/>
      <c r="L289"/>
      <c r="M289" s="2"/>
      <c r="Q289"/>
      <c r="R289"/>
      <c r="S289"/>
      <c r="T289"/>
      <c r="U289"/>
    </row>
    <row r="290" spans="10:21" s="1" customFormat="1" x14ac:dyDescent="0.2">
      <c r="J290"/>
      <c r="K290"/>
      <c r="L290"/>
      <c r="M290" s="2"/>
      <c r="Q290"/>
      <c r="R290"/>
      <c r="S290"/>
      <c r="T290"/>
      <c r="U290"/>
    </row>
    <row r="291" spans="10:21" s="1" customFormat="1" x14ac:dyDescent="0.2">
      <c r="J291"/>
      <c r="K291"/>
      <c r="L291"/>
      <c r="M291" s="2"/>
      <c r="Q291"/>
      <c r="R291"/>
      <c r="S291"/>
      <c r="T291"/>
      <c r="U291"/>
    </row>
    <row r="292" spans="10:21" s="1" customFormat="1" x14ac:dyDescent="0.2">
      <c r="J292"/>
      <c r="K292"/>
      <c r="L292"/>
      <c r="M292" s="2"/>
      <c r="Q292"/>
      <c r="R292"/>
      <c r="S292"/>
      <c r="T292"/>
      <c r="U292"/>
    </row>
    <row r="293" spans="10:21" s="1" customFormat="1" x14ac:dyDescent="0.2">
      <c r="J293"/>
      <c r="K293"/>
      <c r="L293"/>
      <c r="M293" s="2"/>
      <c r="Q293"/>
      <c r="R293"/>
      <c r="S293"/>
      <c r="T293"/>
      <c r="U293"/>
    </row>
    <row r="294" spans="10:21" s="1" customFormat="1" x14ac:dyDescent="0.2">
      <c r="J294"/>
      <c r="K294"/>
      <c r="L294"/>
      <c r="M294" s="2"/>
      <c r="Q294"/>
      <c r="R294"/>
      <c r="S294"/>
      <c r="T294"/>
      <c r="U294"/>
    </row>
    <row r="295" spans="10:21" s="1" customFormat="1" x14ac:dyDescent="0.2">
      <c r="J295"/>
      <c r="K295"/>
      <c r="L295"/>
      <c r="M295" s="2"/>
      <c r="Q295"/>
      <c r="R295"/>
      <c r="S295"/>
      <c r="T295"/>
      <c r="U295"/>
    </row>
    <row r="296" spans="10:21" s="1" customFormat="1" x14ac:dyDescent="0.2">
      <c r="J296"/>
      <c r="K296"/>
      <c r="L296"/>
      <c r="M296" s="2"/>
      <c r="Q296"/>
      <c r="R296"/>
      <c r="S296"/>
      <c r="T296"/>
      <c r="U296"/>
    </row>
    <row r="297" spans="10:21" s="1" customFormat="1" x14ac:dyDescent="0.2">
      <c r="J297"/>
      <c r="K297"/>
      <c r="L297"/>
      <c r="M297" s="2"/>
      <c r="Q297"/>
      <c r="R297"/>
      <c r="S297"/>
      <c r="T297"/>
      <c r="U297"/>
    </row>
    <row r="298" spans="10:21" s="1" customFormat="1" x14ac:dyDescent="0.2">
      <c r="J298"/>
      <c r="K298"/>
      <c r="L298"/>
      <c r="M298" s="2"/>
      <c r="Q298"/>
      <c r="R298"/>
      <c r="S298"/>
      <c r="T298"/>
      <c r="U298"/>
    </row>
    <row r="299" spans="10:21" s="1" customFormat="1" x14ac:dyDescent="0.2">
      <c r="J299"/>
      <c r="K299"/>
      <c r="L299"/>
      <c r="M299" s="2"/>
      <c r="Q299"/>
      <c r="R299"/>
      <c r="S299"/>
      <c r="T299"/>
      <c r="U299"/>
    </row>
    <row r="300" spans="10:21" s="1" customFormat="1" x14ac:dyDescent="0.2">
      <c r="J300"/>
      <c r="K300"/>
      <c r="L300"/>
      <c r="M300" s="2"/>
      <c r="Q300"/>
      <c r="R300"/>
      <c r="S300"/>
      <c r="T300"/>
      <c r="U300"/>
    </row>
    <row r="301" spans="10:21" s="1" customFormat="1" x14ac:dyDescent="0.2">
      <c r="J301"/>
      <c r="K301"/>
      <c r="L301"/>
      <c r="M301" s="2"/>
      <c r="Q301"/>
      <c r="R301"/>
      <c r="S301"/>
      <c r="T301"/>
      <c r="U301"/>
    </row>
    <row r="302" spans="10:21" s="1" customFormat="1" x14ac:dyDescent="0.2">
      <c r="J302"/>
      <c r="K302"/>
      <c r="L302"/>
      <c r="M302" s="2"/>
      <c r="Q302"/>
      <c r="R302"/>
      <c r="S302"/>
      <c r="T302"/>
      <c r="U302"/>
    </row>
    <row r="303" spans="10:21" s="1" customFormat="1" x14ac:dyDescent="0.2">
      <c r="J303"/>
      <c r="K303"/>
      <c r="L303"/>
      <c r="M303" s="2"/>
      <c r="Q303"/>
      <c r="R303"/>
      <c r="S303"/>
      <c r="T303"/>
      <c r="U303"/>
    </row>
    <row r="304" spans="10:21" s="1" customFormat="1" x14ac:dyDescent="0.2">
      <c r="J304"/>
      <c r="K304"/>
      <c r="L304"/>
      <c r="M304" s="2"/>
      <c r="Q304"/>
      <c r="R304"/>
      <c r="S304"/>
      <c r="T304"/>
      <c r="U304"/>
    </row>
    <row r="305" spans="10:21" s="1" customFormat="1" x14ac:dyDescent="0.2">
      <c r="J305"/>
      <c r="K305"/>
      <c r="L305"/>
      <c r="M305" s="2"/>
      <c r="Q305"/>
      <c r="R305"/>
      <c r="S305"/>
      <c r="T305"/>
      <c r="U305"/>
    </row>
    <row r="306" spans="10:21" s="1" customFormat="1" x14ac:dyDescent="0.2">
      <c r="J306"/>
      <c r="K306"/>
      <c r="L306"/>
      <c r="M306" s="2"/>
      <c r="Q306"/>
      <c r="R306"/>
      <c r="S306"/>
      <c r="T306"/>
      <c r="U306"/>
    </row>
    <row r="307" spans="10:21" s="1" customFormat="1" x14ac:dyDescent="0.2">
      <c r="J307"/>
      <c r="K307"/>
      <c r="L307"/>
      <c r="M307" s="2"/>
      <c r="Q307"/>
      <c r="R307"/>
      <c r="S307"/>
      <c r="T307"/>
      <c r="U307"/>
    </row>
    <row r="308" spans="10:21" s="1" customFormat="1" x14ac:dyDescent="0.2">
      <c r="J308"/>
      <c r="K308"/>
      <c r="L308"/>
      <c r="M308" s="2"/>
      <c r="Q308"/>
      <c r="R308"/>
      <c r="S308"/>
      <c r="T308"/>
      <c r="U308"/>
    </row>
    <row r="309" spans="10:21" s="1" customFormat="1" x14ac:dyDescent="0.2">
      <c r="J309"/>
      <c r="K309"/>
      <c r="L309"/>
      <c r="M309" s="2"/>
      <c r="Q309"/>
      <c r="R309"/>
      <c r="S309"/>
      <c r="T309"/>
      <c r="U309"/>
    </row>
    <row r="310" spans="10:21" s="1" customFormat="1" x14ac:dyDescent="0.2">
      <c r="J310"/>
      <c r="K310"/>
      <c r="L310"/>
      <c r="M310" s="2"/>
      <c r="Q310"/>
      <c r="R310"/>
      <c r="S310"/>
      <c r="T310"/>
      <c r="U310"/>
    </row>
    <row r="311" spans="10:21" s="1" customFormat="1" x14ac:dyDescent="0.2">
      <c r="J311"/>
      <c r="K311"/>
      <c r="L311"/>
      <c r="M311" s="2"/>
      <c r="Q311"/>
      <c r="R311"/>
      <c r="S311"/>
      <c r="T311"/>
      <c r="U311"/>
    </row>
    <row r="312" spans="10:21" s="1" customFormat="1" x14ac:dyDescent="0.2">
      <c r="J312"/>
      <c r="K312"/>
      <c r="L312"/>
      <c r="M312" s="2"/>
      <c r="Q312"/>
      <c r="R312"/>
      <c r="S312"/>
      <c r="T312"/>
      <c r="U312"/>
    </row>
    <row r="313" spans="10:21" s="1" customFormat="1" x14ac:dyDescent="0.2">
      <c r="J313"/>
      <c r="K313"/>
      <c r="L313"/>
      <c r="M313" s="2"/>
      <c r="Q313"/>
      <c r="R313"/>
      <c r="S313"/>
      <c r="T313"/>
      <c r="U313"/>
    </row>
    <row r="314" spans="10:21" s="1" customFormat="1" x14ac:dyDescent="0.2">
      <c r="J314"/>
      <c r="K314"/>
      <c r="L314"/>
      <c r="M314" s="2"/>
      <c r="Q314"/>
      <c r="R314"/>
      <c r="S314"/>
      <c r="T314"/>
      <c r="U314"/>
    </row>
    <row r="315" spans="10:21" s="1" customFormat="1" x14ac:dyDescent="0.2">
      <c r="J315"/>
      <c r="K315"/>
      <c r="L315"/>
      <c r="M315" s="2"/>
      <c r="Q315"/>
      <c r="R315"/>
      <c r="S315"/>
      <c r="T315"/>
      <c r="U315"/>
    </row>
    <row r="316" spans="10:21" s="1" customFormat="1" x14ac:dyDescent="0.2">
      <c r="J316"/>
      <c r="K316"/>
      <c r="L316"/>
      <c r="M316" s="2"/>
      <c r="Q316"/>
      <c r="R316"/>
      <c r="S316"/>
      <c r="T316"/>
      <c r="U316"/>
    </row>
    <row r="317" spans="10:21" s="1" customFormat="1" x14ac:dyDescent="0.2">
      <c r="J317"/>
      <c r="K317"/>
      <c r="L317"/>
      <c r="M317" s="2"/>
      <c r="Q317"/>
      <c r="R317"/>
      <c r="S317"/>
      <c r="T317"/>
      <c r="U317"/>
    </row>
    <row r="318" spans="10:21" s="1" customFormat="1" x14ac:dyDescent="0.2">
      <c r="J318"/>
      <c r="K318"/>
      <c r="L318"/>
      <c r="M318" s="2"/>
      <c r="Q318"/>
      <c r="R318"/>
      <c r="S318"/>
      <c r="T318"/>
      <c r="U318"/>
    </row>
    <row r="319" spans="10:21" s="1" customFormat="1" x14ac:dyDescent="0.2">
      <c r="J319"/>
      <c r="K319"/>
      <c r="L319"/>
      <c r="M319" s="2"/>
      <c r="Q319"/>
      <c r="R319"/>
      <c r="S319"/>
      <c r="T319"/>
      <c r="U319"/>
    </row>
    <row r="320" spans="10:21" s="1" customFormat="1" x14ac:dyDescent="0.2">
      <c r="J320"/>
      <c r="K320"/>
      <c r="L320"/>
      <c r="M320" s="2"/>
      <c r="Q320"/>
      <c r="R320"/>
      <c r="S320"/>
      <c r="T320"/>
      <c r="U320"/>
    </row>
    <row r="321" spans="10:21" s="1" customFormat="1" x14ac:dyDescent="0.2">
      <c r="J321"/>
      <c r="K321"/>
      <c r="L321"/>
      <c r="M321" s="2"/>
      <c r="Q321"/>
      <c r="R321"/>
      <c r="S321"/>
      <c r="T321"/>
      <c r="U321"/>
    </row>
    <row r="322" spans="10:21" s="1" customFormat="1" x14ac:dyDescent="0.2">
      <c r="J322"/>
      <c r="K322"/>
      <c r="L322"/>
      <c r="M322" s="2"/>
      <c r="Q322"/>
      <c r="R322"/>
      <c r="S322"/>
      <c r="T322"/>
      <c r="U322"/>
    </row>
    <row r="323" spans="10:21" s="1" customFormat="1" x14ac:dyDescent="0.2">
      <c r="J323"/>
      <c r="K323"/>
      <c r="L323"/>
      <c r="M323" s="2"/>
      <c r="Q323"/>
      <c r="R323"/>
      <c r="S323"/>
      <c r="T323"/>
      <c r="U323"/>
    </row>
    <row r="324" spans="10:21" s="1" customFormat="1" x14ac:dyDescent="0.2">
      <c r="J324"/>
      <c r="K324"/>
      <c r="L324"/>
      <c r="M324" s="2"/>
      <c r="Q324"/>
      <c r="R324"/>
      <c r="S324"/>
      <c r="T324"/>
      <c r="U324"/>
    </row>
    <row r="325" spans="10:21" s="1" customFormat="1" x14ac:dyDescent="0.2">
      <c r="J325"/>
      <c r="K325"/>
      <c r="L325"/>
      <c r="M325" s="2"/>
      <c r="Q325"/>
      <c r="R325"/>
      <c r="S325"/>
      <c r="T325"/>
      <c r="U325"/>
    </row>
    <row r="326" spans="10:21" s="1" customFormat="1" x14ac:dyDescent="0.2">
      <c r="J326"/>
      <c r="K326"/>
      <c r="L326"/>
      <c r="M326" s="2"/>
      <c r="Q326"/>
      <c r="R326"/>
      <c r="S326"/>
      <c r="T326"/>
      <c r="U326"/>
    </row>
    <row r="327" spans="10:21" s="1" customFormat="1" x14ac:dyDescent="0.2">
      <c r="J327"/>
      <c r="K327"/>
      <c r="L327"/>
      <c r="M327" s="2"/>
      <c r="Q327"/>
      <c r="R327"/>
      <c r="S327"/>
      <c r="T327"/>
      <c r="U327"/>
    </row>
    <row r="328" spans="10:21" s="1" customFormat="1" x14ac:dyDescent="0.2">
      <c r="J328"/>
      <c r="K328"/>
      <c r="L328"/>
      <c r="M328" s="2"/>
      <c r="Q328"/>
      <c r="R328"/>
      <c r="S328"/>
      <c r="T328"/>
      <c r="U328"/>
    </row>
    <row r="329" spans="10:21" s="1" customFormat="1" x14ac:dyDescent="0.2">
      <c r="J329"/>
      <c r="K329"/>
      <c r="L329"/>
      <c r="M329" s="2"/>
      <c r="Q329"/>
      <c r="R329"/>
      <c r="S329"/>
      <c r="T329"/>
      <c r="U329"/>
    </row>
    <row r="330" spans="10:21" s="1" customFormat="1" x14ac:dyDescent="0.2">
      <c r="J330"/>
      <c r="K330"/>
      <c r="L330"/>
      <c r="M330" s="2"/>
      <c r="Q330"/>
      <c r="R330"/>
      <c r="S330"/>
      <c r="T330"/>
      <c r="U330"/>
    </row>
    <row r="331" spans="10:21" s="1" customFormat="1" x14ac:dyDescent="0.2">
      <c r="J331"/>
      <c r="K331"/>
      <c r="L331"/>
      <c r="M331" s="2"/>
      <c r="Q331"/>
      <c r="R331"/>
      <c r="S331"/>
      <c r="T331"/>
      <c r="U331"/>
    </row>
    <row r="332" spans="10:21" s="1" customFormat="1" x14ac:dyDescent="0.2">
      <c r="J332"/>
      <c r="K332"/>
      <c r="L332"/>
      <c r="M332" s="2"/>
      <c r="Q332"/>
      <c r="R332"/>
      <c r="S332"/>
      <c r="T332"/>
      <c r="U332"/>
    </row>
    <row r="333" spans="10:21" s="1" customFormat="1" x14ac:dyDescent="0.2">
      <c r="J333"/>
      <c r="K333"/>
      <c r="L333"/>
      <c r="M333" s="2"/>
      <c r="Q333"/>
      <c r="R333"/>
      <c r="S333"/>
      <c r="T333"/>
      <c r="U333"/>
    </row>
    <row r="334" spans="10:21" s="1" customFormat="1" x14ac:dyDescent="0.2">
      <c r="J334"/>
      <c r="K334"/>
      <c r="L334"/>
      <c r="M334" s="2"/>
      <c r="Q334"/>
      <c r="R334"/>
      <c r="S334"/>
      <c r="T334"/>
      <c r="U334"/>
    </row>
    <row r="335" spans="10:21" s="1" customFormat="1" x14ac:dyDescent="0.2">
      <c r="J335"/>
      <c r="K335"/>
      <c r="L335"/>
      <c r="M335" s="2"/>
      <c r="Q335"/>
      <c r="R335"/>
      <c r="S335"/>
      <c r="T335"/>
      <c r="U335"/>
    </row>
    <row r="336" spans="10:21" s="1" customFormat="1" x14ac:dyDescent="0.2">
      <c r="J336"/>
      <c r="K336"/>
      <c r="L336"/>
      <c r="M336" s="2"/>
      <c r="Q336"/>
      <c r="R336"/>
      <c r="S336"/>
      <c r="T336"/>
      <c r="U336"/>
    </row>
    <row r="337" spans="10:21" s="1" customFormat="1" x14ac:dyDescent="0.2">
      <c r="J337"/>
      <c r="K337"/>
      <c r="L337"/>
      <c r="M337" s="2"/>
      <c r="Q337"/>
      <c r="R337"/>
      <c r="S337"/>
      <c r="T337"/>
      <c r="U337"/>
    </row>
    <row r="338" spans="10:21" s="1" customFormat="1" x14ac:dyDescent="0.2">
      <c r="J338"/>
      <c r="K338"/>
      <c r="L338"/>
      <c r="M338" s="2"/>
      <c r="Q338"/>
      <c r="R338"/>
      <c r="S338"/>
      <c r="T338"/>
      <c r="U338"/>
    </row>
    <row r="339" spans="10:21" s="1" customFormat="1" x14ac:dyDescent="0.2">
      <c r="J339"/>
      <c r="K339"/>
      <c r="L339"/>
      <c r="M339" s="2"/>
      <c r="Q339"/>
      <c r="R339"/>
      <c r="S339"/>
      <c r="T339"/>
      <c r="U339"/>
    </row>
    <row r="340" spans="10:21" s="1" customFormat="1" x14ac:dyDescent="0.2">
      <c r="J340"/>
      <c r="K340"/>
      <c r="L340"/>
      <c r="M340" s="2"/>
      <c r="Q340"/>
      <c r="R340"/>
      <c r="S340"/>
      <c r="T340"/>
      <c r="U340"/>
    </row>
    <row r="341" spans="10:21" s="1" customFormat="1" x14ac:dyDescent="0.2">
      <c r="J341"/>
      <c r="K341"/>
      <c r="L341"/>
      <c r="M341" s="2"/>
      <c r="Q341"/>
      <c r="R341"/>
      <c r="S341"/>
      <c r="T341"/>
      <c r="U341"/>
    </row>
    <row r="342" spans="10:21" s="1" customFormat="1" x14ac:dyDescent="0.2">
      <c r="J342"/>
      <c r="K342"/>
      <c r="L342"/>
      <c r="M342" s="2"/>
      <c r="Q342"/>
      <c r="R342"/>
      <c r="S342"/>
      <c r="T342"/>
      <c r="U342"/>
    </row>
    <row r="343" spans="10:21" s="1" customFormat="1" x14ac:dyDescent="0.2">
      <c r="J343"/>
      <c r="K343"/>
      <c r="L343"/>
      <c r="M343" s="2"/>
      <c r="Q343"/>
      <c r="R343"/>
      <c r="S343"/>
      <c r="T343"/>
      <c r="U343"/>
    </row>
    <row r="344" spans="10:21" s="1" customFormat="1" x14ac:dyDescent="0.2">
      <c r="J344"/>
      <c r="K344"/>
      <c r="L344"/>
      <c r="M344" s="2"/>
      <c r="Q344"/>
      <c r="R344"/>
      <c r="S344"/>
      <c r="T344"/>
      <c r="U344"/>
    </row>
    <row r="345" spans="10:21" s="1" customFormat="1" x14ac:dyDescent="0.2">
      <c r="J345"/>
      <c r="K345"/>
      <c r="L345"/>
      <c r="M345" s="2"/>
      <c r="Q345"/>
      <c r="R345"/>
      <c r="S345"/>
      <c r="T345"/>
      <c r="U345"/>
    </row>
    <row r="346" spans="10:21" s="1" customFormat="1" x14ac:dyDescent="0.2">
      <c r="J346"/>
      <c r="K346"/>
      <c r="L346"/>
      <c r="M346" s="2"/>
      <c r="Q346"/>
      <c r="R346"/>
      <c r="S346"/>
      <c r="T346"/>
      <c r="U346"/>
    </row>
    <row r="347" spans="10:21" s="1" customFormat="1" x14ac:dyDescent="0.2">
      <c r="J347"/>
      <c r="K347"/>
      <c r="L347"/>
      <c r="M347" s="2"/>
      <c r="Q347"/>
      <c r="R347"/>
      <c r="S347"/>
      <c r="T347"/>
      <c r="U347"/>
    </row>
    <row r="348" spans="10:21" s="1" customFormat="1" x14ac:dyDescent="0.2">
      <c r="J348"/>
      <c r="K348"/>
      <c r="L348"/>
      <c r="M348" s="2"/>
      <c r="Q348"/>
      <c r="R348"/>
      <c r="S348"/>
      <c r="T348"/>
      <c r="U348"/>
    </row>
    <row r="349" spans="10:21" s="1" customFormat="1" x14ac:dyDescent="0.2">
      <c r="J349"/>
      <c r="K349"/>
      <c r="L349"/>
      <c r="M349" s="2"/>
      <c r="Q349"/>
      <c r="R349"/>
      <c r="S349"/>
      <c r="T349"/>
      <c r="U349"/>
    </row>
    <row r="350" spans="10:21" s="1" customFormat="1" x14ac:dyDescent="0.2">
      <c r="J350"/>
      <c r="K350"/>
      <c r="L350"/>
      <c r="M350" s="2"/>
      <c r="Q350"/>
      <c r="R350"/>
      <c r="S350"/>
      <c r="T350"/>
      <c r="U350"/>
    </row>
    <row r="351" spans="10:21" s="1" customFormat="1" x14ac:dyDescent="0.2">
      <c r="J351"/>
      <c r="K351"/>
      <c r="L351"/>
      <c r="M351" s="2"/>
      <c r="Q351"/>
      <c r="R351"/>
      <c r="S351"/>
      <c r="T351"/>
      <c r="U351"/>
    </row>
    <row r="352" spans="10:21" s="1" customFormat="1" x14ac:dyDescent="0.2">
      <c r="J352"/>
      <c r="K352"/>
      <c r="L352"/>
      <c r="M352" s="2"/>
      <c r="Q352"/>
      <c r="R352"/>
      <c r="S352"/>
      <c r="T352"/>
      <c r="U352"/>
    </row>
    <row r="353" spans="10:21" s="1" customFormat="1" x14ac:dyDescent="0.2">
      <c r="J353"/>
      <c r="K353"/>
      <c r="L353"/>
      <c r="M353" s="2"/>
      <c r="Q353"/>
      <c r="R353"/>
      <c r="S353"/>
      <c r="T353"/>
      <c r="U353"/>
    </row>
    <row r="354" spans="10:21" s="1" customFormat="1" x14ac:dyDescent="0.2">
      <c r="J354"/>
      <c r="K354"/>
      <c r="L354"/>
      <c r="M354" s="2"/>
      <c r="Q354"/>
      <c r="R354"/>
      <c r="S354"/>
      <c r="T354"/>
      <c r="U354"/>
    </row>
    <row r="355" spans="10:21" s="1" customFormat="1" x14ac:dyDescent="0.2">
      <c r="J355"/>
      <c r="K355"/>
      <c r="L355"/>
      <c r="M355" s="2"/>
      <c r="Q355"/>
      <c r="R355"/>
      <c r="S355"/>
      <c r="T355"/>
      <c r="U355"/>
    </row>
    <row r="356" spans="10:21" s="1" customFormat="1" x14ac:dyDescent="0.2">
      <c r="J356"/>
      <c r="K356"/>
      <c r="L356"/>
      <c r="M356" s="2"/>
      <c r="Q356"/>
      <c r="R356"/>
      <c r="S356"/>
      <c r="T356"/>
      <c r="U356"/>
    </row>
    <row r="357" spans="10:21" s="1" customFormat="1" x14ac:dyDescent="0.2">
      <c r="J357"/>
      <c r="K357"/>
      <c r="L357"/>
      <c r="M357" s="2"/>
      <c r="Q357"/>
      <c r="R357"/>
      <c r="S357"/>
      <c r="T357"/>
      <c r="U357"/>
    </row>
    <row r="358" spans="10:21" s="1" customFormat="1" x14ac:dyDescent="0.2">
      <c r="J358"/>
      <c r="K358"/>
      <c r="L358"/>
      <c r="M358" s="2"/>
      <c r="Q358"/>
      <c r="R358"/>
      <c r="S358"/>
      <c r="T358"/>
      <c r="U358"/>
    </row>
    <row r="359" spans="10:21" s="1" customFormat="1" x14ac:dyDescent="0.2">
      <c r="J359"/>
      <c r="K359"/>
      <c r="L359"/>
      <c r="M359" s="2"/>
      <c r="Q359"/>
      <c r="R359"/>
      <c r="S359"/>
      <c r="T359"/>
      <c r="U359"/>
    </row>
    <row r="360" spans="10:21" s="1" customFormat="1" x14ac:dyDescent="0.2">
      <c r="J360"/>
      <c r="K360"/>
      <c r="L360"/>
      <c r="M360" s="2"/>
      <c r="Q360"/>
      <c r="R360"/>
      <c r="S360"/>
      <c r="T360"/>
      <c r="U360"/>
    </row>
    <row r="361" spans="10:21" s="1" customFormat="1" x14ac:dyDescent="0.2">
      <c r="J361"/>
      <c r="K361"/>
      <c r="L361"/>
      <c r="M361" s="2"/>
      <c r="Q361"/>
      <c r="R361"/>
      <c r="S361"/>
      <c r="T361"/>
      <c r="U361"/>
    </row>
    <row r="362" spans="10:21" s="1" customFormat="1" x14ac:dyDescent="0.2">
      <c r="J362"/>
      <c r="K362"/>
      <c r="L362"/>
      <c r="M362" s="2"/>
      <c r="Q362"/>
      <c r="R362"/>
      <c r="S362"/>
      <c r="T362"/>
      <c r="U362"/>
    </row>
    <row r="363" spans="10:21" s="1" customFormat="1" x14ac:dyDescent="0.2">
      <c r="J363"/>
      <c r="K363"/>
      <c r="L363"/>
      <c r="M363" s="2"/>
      <c r="Q363"/>
      <c r="R363"/>
      <c r="S363"/>
      <c r="T363"/>
      <c r="U363"/>
    </row>
    <row r="364" spans="10:21" s="1" customFormat="1" x14ac:dyDescent="0.2">
      <c r="J364"/>
      <c r="K364"/>
      <c r="L364"/>
      <c r="M364" s="2"/>
      <c r="Q364"/>
      <c r="R364"/>
      <c r="S364"/>
      <c r="T364"/>
      <c r="U364"/>
    </row>
    <row r="365" spans="10:21" s="1" customFormat="1" x14ac:dyDescent="0.2">
      <c r="J365"/>
      <c r="K365"/>
      <c r="L365"/>
      <c r="M365" s="2"/>
      <c r="Q365"/>
      <c r="R365"/>
      <c r="S365"/>
      <c r="T365"/>
      <c r="U365"/>
    </row>
    <row r="366" spans="10:21" s="1" customFormat="1" x14ac:dyDescent="0.2">
      <c r="J366"/>
      <c r="K366"/>
      <c r="L366"/>
      <c r="M366" s="2"/>
      <c r="Q366"/>
      <c r="R366"/>
      <c r="S366"/>
      <c r="T366"/>
      <c r="U366"/>
    </row>
    <row r="367" spans="10:21" s="1" customFormat="1" x14ac:dyDescent="0.2">
      <c r="J367"/>
      <c r="K367"/>
      <c r="L367"/>
      <c r="M367" s="2"/>
      <c r="Q367"/>
      <c r="R367"/>
      <c r="S367"/>
      <c r="T367"/>
      <c r="U367"/>
    </row>
    <row r="368" spans="10:21" s="1" customFormat="1" x14ac:dyDescent="0.2">
      <c r="J368"/>
      <c r="K368"/>
      <c r="L368"/>
      <c r="M368" s="2"/>
      <c r="Q368"/>
      <c r="R368"/>
      <c r="S368"/>
      <c r="T368"/>
      <c r="U368"/>
    </row>
    <row r="369" spans="10:21" s="1" customFormat="1" x14ac:dyDescent="0.2">
      <c r="J369"/>
      <c r="K369"/>
      <c r="L369"/>
      <c r="M369" s="2"/>
      <c r="Q369"/>
      <c r="R369"/>
      <c r="S369"/>
      <c r="T369"/>
      <c r="U369"/>
    </row>
    <row r="370" spans="10:21" s="1" customFormat="1" x14ac:dyDescent="0.2">
      <c r="J370"/>
      <c r="K370"/>
      <c r="L370"/>
      <c r="M370" s="2"/>
      <c r="Q370"/>
      <c r="R370"/>
      <c r="S370"/>
      <c r="T370"/>
      <c r="U370"/>
    </row>
    <row r="371" spans="10:21" s="1" customFormat="1" x14ac:dyDescent="0.2">
      <c r="J371"/>
      <c r="K371"/>
      <c r="L371"/>
      <c r="M371" s="2"/>
      <c r="Q371"/>
      <c r="R371"/>
      <c r="S371"/>
      <c r="T371"/>
      <c r="U371"/>
    </row>
    <row r="372" spans="10:21" s="1" customFormat="1" x14ac:dyDescent="0.2">
      <c r="J372"/>
      <c r="K372"/>
      <c r="L372"/>
      <c r="M372" s="2"/>
      <c r="Q372"/>
      <c r="R372"/>
      <c r="S372"/>
      <c r="T372"/>
      <c r="U372"/>
    </row>
    <row r="373" spans="10:21" s="1" customFormat="1" x14ac:dyDescent="0.2">
      <c r="J373"/>
      <c r="K373"/>
      <c r="L373"/>
      <c r="M373" s="2"/>
      <c r="Q373"/>
      <c r="R373"/>
      <c r="S373"/>
      <c r="T373"/>
      <c r="U373"/>
    </row>
    <row r="374" spans="10:21" s="1" customFormat="1" x14ac:dyDescent="0.2">
      <c r="J374"/>
      <c r="K374"/>
      <c r="L374"/>
      <c r="M374" s="2"/>
      <c r="Q374"/>
      <c r="R374"/>
      <c r="S374"/>
      <c r="T374"/>
      <c r="U374"/>
    </row>
    <row r="375" spans="10:21" s="1" customFormat="1" x14ac:dyDescent="0.2">
      <c r="J375"/>
      <c r="K375"/>
      <c r="L375"/>
      <c r="M375" s="2"/>
      <c r="Q375"/>
      <c r="R375"/>
      <c r="S375"/>
      <c r="T375"/>
      <c r="U375"/>
    </row>
    <row r="376" spans="10:21" s="1" customFormat="1" x14ac:dyDescent="0.2">
      <c r="J376"/>
      <c r="K376"/>
      <c r="L376"/>
      <c r="M376" s="2"/>
      <c r="Q376"/>
      <c r="R376"/>
      <c r="S376"/>
      <c r="T376"/>
      <c r="U376"/>
    </row>
    <row r="377" spans="10:21" s="1" customFormat="1" x14ac:dyDescent="0.2">
      <c r="J377"/>
      <c r="K377"/>
      <c r="L377"/>
      <c r="M377" s="2"/>
      <c r="Q377"/>
      <c r="R377"/>
      <c r="S377"/>
      <c r="T377"/>
      <c r="U377"/>
    </row>
    <row r="378" spans="10:21" s="1" customFormat="1" x14ac:dyDescent="0.2">
      <c r="J378"/>
      <c r="K378"/>
      <c r="L378"/>
      <c r="M378" s="2"/>
      <c r="Q378"/>
      <c r="R378"/>
      <c r="S378"/>
      <c r="T378"/>
      <c r="U378"/>
    </row>
    <row r="379" spans="10:21" s="1" customFormat="1" x14ac:dyDescent="0.2">
      <c r="J379"/>
      <c r="K379"/>
      <c r="L379"/>
      <c r="M379" s="2"/>
      <c r="Q379"/>
      <c r="R379"/>
      <c r="S379"/>
      <c r="T379"/>
      <c r="U379"/>
    </row>
    <row r="380" spans="10:21" s="1" customFormat="1" x14ac:dyDescent="0.2">
      <c r="J380"/>
      <c r="K380"/>
      <c r="L380"/>
      <c r="M380" s="2"/>
      <c r="Q380"/>
      <c r="R380"/>
      <c r="S380"/>
      <c r="T380"/>
      <c r="U380"/>
    </row>
    <row r="381" spans="10:21" s="1" customFormat="1" x14ac:dyDescent="0.2">
      <c r="J381"/>
      <c r="K381"/>
      <c r="L381"/>
      <c r="M381" s="2"/>
      <c r="Q381"/>
      <c r="R381"/>
      <c r="S381"/>
      <c r="T381"/>
      <c r="U381"/>
    </row>
    <row r="382" spans="10:21" s="1" customFormat="1" x14ac:dyDescent="0.2">
      <c r="J382"/>
      <c r="K382"/>
      <c r="L382"/>
      <c r="M382" s="2"/>
      <c r="Q382"/>
      <c r="R382"/>
      <c r="S382"/>
      <c r="T382"/>
      <c r="U382"/>
    </row>
    <row r="383" spans="10:21" s="1" customFormat="1" x14ac:dyDescent="0.2">
      <c r="J383"/>
      <c r="K383"/>
      <c r="L383"/>
      <c r="M383" s="2"/>
      <c r="Q383"/>
      <c r="R383"/>
      <c r="S383"/>
      <c r="T383"/>
      <c r="U383"/>
    </row>
    <row r="384" spans="10:21" s="1" customFormat="1" x14ac:dyDescent="0.2">
      <c r="J384"/>
      <c r="K384"/>
      <c r="L384"/>
      <c r="M384" s="2"/>
      <c r="Q384"/>
      <c r="R384"/>
      <c r="S384"/>
      <c r="T384"/>
      <c r="U384"/>
    </row>
    <row r="385" spans="10:21" s="1" customFormat="1" x14ac:dyDescent="0.2">
      <c r="J385"/>
      <c r="K385"/>
      <c r="L385"/>
      <c r="M385" s="2"/>
      <c r="Q385"/>
      <c r="R385"/>
      <c r="S385"/>
      <c r="T385"/>
      <c r="U385"/>
    </row>
    <row r="386" spans="10:21" s="1" customFormat="1" x14ac:dyDescent="0.2">
      <c r="J386"/>
      <c r="K386"/>
      <c r="L386"/>
      <c r="M386" s="2"/>
      <c r="Q386"/>
      <c r="R386"/>
      <c r="S386"/>
      <c r="T386"/>
      <c r="U386"/>
    </row>
    <row r="387" spans="10:21" s="1" customFormat="1" x14ac:dyDescent="0.2">
      <c r="J387"/>
      <c r="K387"/>
      <c r="L387"/>
      <c r="M387" s="2"/>
      <c r="Q387"/>
      <c r="R387"/>
      <c r="S387"/>
      <c r="T387"/>
      <c r="U387"/>
    </row>
    <row r="388" spans="10:21" s="1" customFormat="1" x14ac:dyDescent="0.2">
      <c r="J388"/>
      <c r="K388"/>
      <c r="L388"/>
      <c r="M388" s="2"/>
      <c r="Q388"/>
      <c r="R388"/>
      <c r="S388"/>
      <c r="T388"/>
      <c r="U388"/>
    </row>
    <row r="389" spans="10:21" s="1" customFormat="1" x14ac:dyDescent="0.2">
      <c r="J389"/>
      <c r="K389"/>
      <c r="L389"/>
      <c r="M389" s="2"/>
      <c r="Q389"/>
      <c r="R389"/>
      <c r="S389"/>
      <c r="T389"/>
      <c r="U389"/>
    </row>
    <row r="390" spans="10:21" s="1" customFormat="1" x14ac:dyDescent="0.2">
      <c r="J390"/>
      <c r="K390"/>
      <c r="L390"/>
      <c r="M390" s="2"/>
      <c r="Q390"/>
      <c r="R390"/>
      <c r="S390"/>
      <c r="T390"/>
      <c r="U390"/>
    </row>
    <row r="391" spans="10:21" s="1" customFormat="1" x14ac:dyDescent="0.2">
      <c r="J391"/>
      <c r="K391"/>
      <c r="L391"/>
      <c r="M391" s="2"/>
      <c r="Q391"/>
      <c r="R391"/>
      <c r="S391"/>
      <c r="T391"/>
      <c r="U391"/>
    </row>
    <row r="392" spans="10:21" s="1" customFormat="1" x14ac:dyDescent="0.2">
      <c r="J392"/>
      <c r="K392"/>
      <c r="L392"/>
      <c r="M392" s="2"/>
      <c r="Q392"/>
      <c r="R392"/>
      <c r="S392"/>
      <c r="T392"/>
      <c r="U392"/>
    </row>
    <row r="393" spans="10:21" s="1" customFormat="1" x14ac:dyDescent="0.2">
      <c r="J393"/>
      <c r="K393"/>
      <c r="L393"/>
      <c r="M393" s="2"/>
      <c r="Q393"/>
      <c r="R393"/>
      <c r="S393"/>
      <c r="T393"/>
      <c r="U393"/>
    </row>
    <row r="394" spans="10:21" s="1" customFormat="1" x14ac:dyDescent="0.2">
      <c r="J394"/>
      <c r="K394"/>
      <c r="L394"/>
      <c r="M394" s="2"/>
      <c r="Q394"/>
      <c r="R394"/>
      <c r="S394"/>
      <c r="T394"/>
      <c r="U394"/>
    </row>
    <row r="395" spans="10:21" s="1" customFormat="1" x14ac:dyDescent="0.2">
      <c r="J395"/>
      <c r="K395"/>
      <c r="L395"/>
      <c r="M395" s="2"/>
      <c r="Q395"/>
      <c r="R395"/>
      <c r="S395"/>
      <c r="T395"/>
      <c r="U395"/>
    </row>
    <row r="396" spans="10:21" s="1" customFormat="1" x14ac:dyDescent="0.2">
      <c r="J396"/>
      <c r="K396"/>
      <c r="L396"/>
      <c r="M396" s="2"/>
      <c r="Q396"/>
      <c r="R396"/>
      <c r="S396"/>
      <c r="T396"/>
      <c r="U396"/>
    </row>
    <row r="397" spans="10:21" s="1" customFormat="1" x14ac:dyDescent="0.2">
      <c r="J397"/>
      <c r="K397"/>
      <c r="L397"/>
      <c r="M397" s="2"/>
      <c r="Q397"/>
      <c r="R397"/>
      <c r="S397"/>
      <c r="T397"/>
      <c r="U397"/>
    </row>
    <row r="398" spans="10:21" s="1" customFormat="1" x14ac:dyDescent="0.2">
      <c r="J398"/>
      <c r="K398"/>
      <c r="L398"/>
      <c r="M398" s="2"/>
      <c r="Q398"/>
      <c r="R398"/>
      <c r="S398"/>
      <c r="T398"/>
      <c r="U398"/>
    </row>
    <row r="399" spans="10:21" s="1" customFormat="1" x14ac:dyDescent="0.2">
      <c r="J399"/>
      <c r="K399"/>
      <c r="L399"/>
      <c r="M399" s="2"/>
      <c r="Q399"/>
      <c r="R399"/>
      <c r="S399"/>
      <c r="T399"/>
      <c r="U399"/>
    </row>
    <row r="400" spans="10:21" s="1" customFormat="1" x14ac:dyDescent="0.2">
      <c r="J400"/>
      <c r="K400"/>
      <c r="L400"/>
      <c r="M400" s="2"/>
      <c r="Q400"/>
      <c r="R400"/>
      <c r="S400"/>
      <c r="T400"/>
      <c r="U400"/>
    </row>
    <row r="401" spans="10:21" s="1" customFormat="1" x14ac:dyDescent="0.2">
      <c r="J401"/>
      <c r="K401"/>
      <c r="L401"/>
      <c r="M401" s="2"/>
      <c r="Q401"/>
      <c r="R401"/>
      <c r="S401"/>
      <c r="T401"/>
      <c r="U401"/>
    </row>
    <row r="402" spans="10:21" s="1" customFormat="1" x14ac:dyDescent="0.2">
      <c r="J402"/>
      <c r="K402"/>
      <c r="L402"/>
      <c r="M402" s="2"/>
      <c r="Q402"/>
      <c r="R402"/>
      <c r="S402"/>
      <c r="T402"/>
      <c r="U402"/>
    </row>
    <row r="403" spans="10:21" s="1" customFormat="1" x14ac:dyDescent="0.2">
      <c r="J403"/>
      <c r="K403"/>
      <c r="L403"/>
      <c r="M403" s="2"/>
      <c r="Q403"/>
      <c r="R403"/>
      <c r="S403"/>
      <c r="T403"/>
      <c r="U403"/>
    </row>
    <row r="404" spans="10:21" s="1" customFormat="1" x14ac:dyDescent="0.2">
      <c r="J404"/>
      <c r="K404"/>
      <c r="L404"/>
      <c r="M404" s="2"/>
      <c r="Q404"/>
      <c r="R404"/>
      <c r="S404"/>
      <c r="T404"/>
      <c r="U404"/>
    </row>
    <row r="405" spans="10:21" s="1" customFormat="1" x14ac:dyDescent="0.2">
      <c r="J405"/>
      <c r="K405"/>
      <c r="L405"/>
      <c r="M405" s="2"/>
      <c r="Q405"/>
      <c r="R405"/>
      <c r="S405"/>
      <c r="T405"/>
      <c r="U405"/>
    </row>
    <row r="406" spans="10:21" s="1" customFormat="1" x14ac:dyDescent="0.2">
      <c r="J406"/>
      <c r="K406"/>
      <c r="L406"/>
      <c r="M406" s="2"/>
      <c r="Q406"/>
      <c r="R406"/>
      <c r="S406"/>
      <c r="T406"/>
      <c r="U406"/>
    </row>
    <row r="407" spans="10:21" s="1" customFormat="1" x14ac:dyDescent="0.2">
      <c r="J407"/>
      <c r="K407"/>
      <c r="L407"/>
      <c r="M407" s="2"/>
      <c r="Q407"/>
      <c r="R407"/>
      <c r="S407"/>
      <c r="T407"/>
      <c r="U407"/>
    </row>
    <row r="408" spans="10:21" s="1" customFormat="1" x14ac:dyDescent="0.2">
      <c r="J408"/>
      <c r="K408"/>
      <c r="L408"/>
      <c r="M408" s="2"/>
      <c r="Q408"/>
      <c r="R408"/>
      <c r="S408"/>
      <c r="T408"/>
      <c r="U408"/>
    </row>
    <row r="409" spans="10:21" s="1" customFormat="1" x14ac:dyDescent="0.2">
      <c r="J409"/>
      <c r="K409"/>
      <c r="L409"/>
      <c r="M409" s="2"/>
      <c r="Q409"/>
      <c r="R409"/>
      <c r="S409"/>
      <c r="T409"/>
      <c r="U409"/>
    </row>
    <row r="410" spans="10:21" s="1" customFormat="1" x14ac:dyDescent="0.2">
      <c r="J410"/>
      <c r="K410"/>
      <c r="L410"/>
      <c r="M410" s="2"/>
      <c r="Q410"/>
      <c r="R410"/>
      <c r="S410"/>
      <c r="T410"/>
      <c r="U410"/>
    </row>
    <row r="411" spans="10:21" s="1" customFormat="1" x14ac:dyDescent="0.2">
      <c r="J411"/>
      <c r="K411"/>
      <c r="L411"/>
      <c r="M411" s="2"/>
      <c r="Q411"/>
      <c r="R411"/>
      <c r="S411"/>
      <c r="T411"/>
      <c r="U411"/>
    </row>
    <row r="412" spans="10:21" s="1" customFormat="1" x14ac:dyDescent="0.2">
      <c r="J412"/>
      <c r="K412"/>
      <c r="L412"/>
      <c r="M412" s="2"/>
      <c r="Q412"/>
      <c r="R412"/>
      <c r="S412"/>
      <c r="T412"/>
      <c r="U412"/>
    </row>
    <row r="413" spans="10:21" s="1" customFormat="1" x14ac:dyDescent="0.2">
      <c r="J413"/>
      <c r="K413"/>
      <c r="L413"/>
      <c r="M413" s="2"/>
      <c r="Q413"/>
      <c r="R413"/>
      <c r="S413"/>
      <c r="T413"/>
      <c r="U413"/>
    </row>
    <row r="414" spans="10:21" s="1" customFormat="1" x14ac:dyDescent="0.2">
      <c r="J414"/>
      <c r="K414"/>
      <c r="L414"/>
      <c r="M414" s="2"/>
      <c r="Q414"/>
      <c r="R414"/>
      <c r="S414"/>
      <c r="T414"/>
      <c r="U414"/>
    </row>
    <row r="415" spans="10:21" s="1" customFormat="1" x14ac:dyDescent="0.2">
      <c r="J415"/>
      <c r="K415"/>
      <c r="L415"/>
      <c r="M415" s="2"/>
      <c r="Q415"/>
      <c r="R415"/>
      <c r="S415"/>
      <c r="T415"/>
      <c r="U415"/>
    </row>
    <row r="416" spans="10:21" s="1" customFormat="1" x14ac:dyDescent="0.2">
      <c r="J416"/>
      <c r="K416"/>
      <c r="L416"/>
      <c r="M416" s="2"/>
      <c r="Q416"/>
      <c r="R416"/>
      <c r="S416"/>
      <c r="T416"/>
      <c r="U416"/>
    </row>
    <row r="417" spans="10:21" s="1" customFormat="1" x14ac:dyDescent="0.2">
      <c r="J417"/>
      <c r="K417"/>
      <c r="L417"/>
      <c r="M417" s="2"/>
      <c r="Q417"/>
      <c r="R417"/>
      <c r="S417"/>
      <c r="T417"/>
      <c r="U417"/>
    </row>
    <row r="418" spans="10:21" s="1" customFormat="1" x14ac:dyDescent="0.2">
      <c r="J418"/>
      <c r="K418"/>
      <c r="L418"/>
      <c r="M418" s="2"/>
      <c r="Q418"/>
      <c r="R418"/>
      <c r="S418"/>
      <c r="T418"/>
      <c r="U418"/>
    </row>
    <row r="419" spans="10:21" s="1" customFormat="1" x14ac:dyDescent="0.2">
      <c r="J419"/>
      <c r="K419"/>
      <c r="L419"/>
      <c r="M419" s="2"/>
      <c r="Q419"/>
      <c r="R419"/>
      <c r="S419"/>
      <c r="T419"/>
      <c r="U419"/>
    </row>
    <row r="420" spans="10:21" s="1" customFormat="1" x14ac:dyDescent="0.2">
      <c r="J420"/>
      <c r="K420"/>
      <c r="L420"/>
      <c r="M420" s="2"/>
      <c r="Q420"/>
      <c r="R420"/>
      <c r="S420"/>
      <c r="T420"/>
      <c r="U420"/>
    </row>
    <row r="421" spans="10:21" s="1" customFormat="1" x14ac:dyDescent="0.2">
      <c r="J421"/>
      <c r="K421"/>
      <c r="L421"/>
      <c r="M421" s="2"/>
      <c r="Q421"/>
      <c r="R421"/>
      <c r="S421"/>
      <c r="T421"/>
      <c r="U421"/>
    </row>
    <row r="422" spans="10:21" s="1" customFormat="1" x14ac:dyDescent="0.2">
      <c r="J422"/>
      <c r="K422"/>
      <c r="L422"/>
      <c r="M422" s="2"/>
      <c r="Q422"/>
      <c r="R422"/>
      <c r="S422"/>
      <c r="T422"/>
      <c r="U422"/>
    </row>
    <row r="423" spans="10:21" s="1" customFormat="1" x14ac:dyDescent="0.2">
      <c r="J423"/>
      <c r="K423"/>
      <c r="L423"/>
      <c r="M423" s="2"/>
      <c r="Q423"/>
      <c r="R423"/>
      <c r="S423"/>
      <c r="T423"/>
      <c r="U423"/>
    </row>
    <row r="424" spans="10:21" s="1" customFormat="1" x14ac:dyDescent="0.2">
      <c r="J424"/>
      <c r="K424"/>
      <c r="L424"/>
      <c r="M424" s="2"/>
      <c r="Q424"/>
      <c r="R424"/>
      <c r="S424"/>
      <c r="T424"/>
      <c r="U424"/>
    </row>
    <row r="425" spans="10:21" s="1" customFormat="1" x14ac:dyDescent="0.2">
      <c r="J425"/>
      <c r="K425"/>
      <c r="L425"/>
      <c r="M425" s="2"/>
      <c r="Q425"/>
      <c r="R425"/>
      <c r="S425"/>
      <c r="T425"/>
      <c r="U425"/>
    </row>
    <row r="426" spans="10:21" s="1" customFormat="1" x14ac:dyDescent="0.2">
      <c r="J426"/>
      <c r="K426"/>
      <c r="L426"/>
      <c r="M426" s="2"/>
      <c r="Q426"/>
      <c r="R426"/>
      <c r="S426"/>
      <c r="T426"/>
      <c r="U426"/>
    </row>
    <row r="427" spans="10:21" s="1" customFormat="1" x14ac:dyDescent="0.2">
      <c r="J427"/>
      <c r="K427"/>
      <c r="L427"/>
      <c r="M427" s="2"/>
      <c r="Q427"/>
      <c r="R427"/>
      <c r="S427"/>
      <c r="T427"/>
      <c r="U427"/>
    </row>
    <row r="428" spans="10:21" s="1" customFormat="1" x14ac:dyDescent="0.2">
      <c r="J428"/>
      <c r="K428"/>
      <c r="L428"/>
      <c r="M428" s="2"/>
      <c r="Q428"/>
      <c r="R428"/>
      <c r="S428"/>
      <c r="T428"/>
      <c r="U428"/>
    </row>
    <row r="429" spans="10:21" s="1" customFormat="1" x14ac:dyDescent="0.2">
      <c r="J429"/>
      <c r="K429"/>
      <c r="L429"/>
      <c r="M429" s="2"/>
      <c r="Q429"/>
      <c r="R429"/>
      <c r="S429"/>
      <c r="T429"/>
      <c r="U429"/>
    </row>
    <row r="430" spans="10:21" s="1" customFormat="1" x14ac:dyDescent="0.2">
      <c r="J430"/>
      <c r="K430"/>
      <c r="L430"/>
      <c r="M430" s="2"/>
      <c r="Q430"/>
      <c r="R430"/>
      <c r="S430"/>
      <c r="T430"/>
      <c r="U430"/>
    </row>
    <row r="431" spans="10:21" s="1" customFormat="1" x14ac:dyDescent="0.2">
      <c r="J431"/>
      <c r="K431"/>
      <c r="L431"/>
      <c r="M431" s="2"/>
      <c r="Q431"/>
      <c r="R431"/>
      <c r="S431"/>
      <c r="T431"/>
      <c r="U431"/>
    </row>
    <row r="432" spans="10:21" s="1" customFormat="1" x14ac:dyDescent="0.2">
      <c r="J432"/>
      <c r="K432"/>
      <c r="L432"/>
      <c r="M432" s="2"/>
      <c r="Q432"/>
      <c r="R432"/>
      <c r="S432"/>
      <c r="T432"/>
      <c r="U432"/>
    </row>
    <row r="433" spans="10:21" s="1" customFormat="1" x14ac:dyDescent="0.2">
      <c r="J433"/>
      <c r="K433"/>
      <c r="L433"/>
      <c r="M433" s="2"/>
      <c r="Q433"/>
      <c r="R433"/>
      <c r="S433"/>
      <c r="T433"/>
      <c r="U433"/>
    </row>
    <row r="434" spans="10:21" s="1" customFormat="1" x14ac:dyDescent="0.2">
      <c r="J434"/>
      <c r="K434"/>
      <c r="L434"/>
      <c r="M434" s="2"/>
      <c r="Q434"/>
      <c r="R434"/>
      <c r="S434"/>
      <c r="T434"/>
      <c r="U434"/>
    </row>
    <row r="435" spans="10:21" s="1" customFormat="1" x14ac:dyDescent="0.2">
      <c r="J435"/>
      <c r="K435"/>
      <c r="L435"/>
      <c r="M435" s="2"/>
      <c r="Q435"/>
      <c r="R435"/>
      <c r="S435"/>
      <c r="T435"/>
      <c r="U435"/>
    </row>
    <row r="436" spans="10:21" s="1" customFormat="1" x14ac:dyDescent="0.2">
      <c r="J436"/>
      <c r="K436"/>
      <c r="L436"/>
      <c r="M436" s="2"/>
      <c r="Q436"/>
      <c r="R436"/>
      <c r="S436"/>
      <c r="T436"/>
      <c r="U436"/>
    </row>
    <row r="437" spans="10:21" s="1" customFormat="1" x14ac:dyDescent="0.2">
      <c r="J437"/>
      <c r="K437"/>
      <c r="L437"/>
      <c r="M437" s="2"/>
      <c r="Q437"/>
      <c r="R437"/>
      <c r="S437"/>
      <c r="T437"/>
      <c r="U437"/>
    </row>
    <row r="438" spans="10:21" s="1" customFormat="1" x14ac:dyDescent="0.2">
      <c r="J438"/>
      <c r="K438"/>
      <c r="L438"/>
      <c r="M438" s="2"/>
      <c r="Q438"/>
      <c r="R438"/>
      <c r="S438"/>
      <c r="T438"/>
      <c r="U438"/>
    </row>
    <row r="439" spans="10:21" s="1" customFormat="1" x14ac:dyDescent="0.2">
      <c r="J439"/>
      <c r="K439"/>
      <c r="L439"/>
      <c r="M439" s="2"/>
      <c r="Q439"/>
      <c r="R439"/>
      <c r="S439"/>
      <c r="T439"/>
      <c r="U439"/>
    </row>
    <row r="440" spans="10:21" s="1" customFormat="1" x14ac:dyDescent="0.2">
      <c r="J440"/>
      <c r="K440"/>
      <c r="L440"/>
      <c r="M440" s="2"/>
      <c r="Q440"/>
      <c r="R440"/>
      <c r="S440"/>
      <c r="T440"/>
      <c r="U440"/>
    </row>
    <row r="441" spans="10:21" s="1" customFormat="1" x14ac:dyDescent="0.2">
      <c r="J441"/>
      <c r="K441"/>
      <c r="L441"/>
      <c r="M441" s="2"/>
      <c r="Q441"/>
      <c r="R441"/>
      <c r="S441"/>
      <c r="T441"/>
      <c r="U441"/>
    </row>
    <row r="442" spans="10:21" s="1" customFormat="1" x14ac:dyDescent="0.2">
      <c r="J442"/>
      <c r="K442"/>
      <c r="L442"/>
      <c r="M442" s="2"/>
      <c r="Q442"/>
      <c r="R442"/>
      <c r="S442"/>
      <c r="T442"/>
      <c r="U442"/>
    </row>
    <row r="443" spans="10:21" s="1" customFormat="1" x14ac:dyDescent="0.2">
      <c r="J443"/>
      <c r="K443"/>
      <c r="L443"/>
      <c r="M443" s="2"/>
      <c r="Q443"/>
      <c r="R443"/>
      <c r="S443"/>
      <c r="T443"/>
      <c r="U443"/>
    </row>
    <row r="444" spans="10:21" s="1" customFormat="1" x14ac:dyDescent="0.2">
      <c r="J444"/>
      <c r="K444"/>
      <c r="L444"/>
      <c r="M444" s="2"/>
      <c r="Q444"/>
      <c r="R444"/>
      <c r="S444"/>
      <c r="T444"/>
      <c r="U444"/>
    </row>
    <row r="445" spans="10:21" s="1" customFormat="1" x14ac:dyDescent="0.2">
      <c r="J445"/>
      <c r="K445"/>
      <c r="L445"/>
      <c r="M445" s="2"/>
      <c r="Q445"/>
      <c r="R445"/>
      <c r="S445"/>
      <c r="T445"/>
      <c r="U445"/>
    </row>
    <row r="446" spans="10:21" s="1" customFormat="1" x14ac:dyDescent="0.2">
      <c r="J446"/>
      <c r="K446"/>
      <c r="L446"/>
      <c r="M446" s="2"/>
      <c r="Q446"/>
      <c r="R446"/>
      <c r="S446"/>
      <c r="T446"/>
      <c r="U446"/>
    </row>
    <row r="447" spans="10:21" s="1" customFormat="1" x14ac:dyDescent="0.2">
      <c r="J447"/>
      <c r="K447"/>
      <c r="L447"/>
      <c r="M447" s="2"/>
      <c r="Q447"/>
      <c r="R447"/>
      <c r="S447"/>
      <c r="T447"/>
      <c r="U447"/>
    </row>
    <row r="448" spans="10:21" s="1" customFormat="1" x14ac:dyDescent="0.2">
      <c r="J448"/>
      <c r="K448"/>
      <c r="L448"/>
      <c r="M448" s="2"/>
      <c r="Q448"/>
      <c r="R448"/>
      <c r="S448"/>
      <c r="T448"/>
      <c r="U448"/>
    </row>
    <row r="449" spans="10:21" s="1" customFormat="1" x14ac:dyDescent="0.2">
      <c r="J449"/>
      <c r="K449"/>
      <c r="L449"/>
      <c r="M449" s="2"/>
      <c r="Q449"/>
      <c r="R449"/>
      <c r="S449"/>
      <c r="T449"/>
      <c r="U449"/>
    </row>
    <row r="450" spans="10:21" s="1" customFormat="1" x14ac:dyDescent="0.2">
      <c r="J450"/>
      <c r="K450"/>
      <c r="L450"/>
      <c r="M450" s="2"/>
      <c r="Q450"/>
      <c r="R450"/>
      <c r="S450"/>
      <c r="T450"/>
      <c r="U450"/>
    </row>
    <row r="451" spans="10:21" s="1" customFormat="1" x14ac:dyDescent="0.2">
      <c r="J451"/>
      <c r="K451"/>
      <c r="L451"/>
      <c r="M451" s="2"/>
      <c r="Q451"/>
      <c r="R451"/>
      <c r="S451"/>
      <c r="T451"/>
      <c r="U451"/>
    </row>
    <row r="452" spans="10:21" s="1" customFormat="1" x14ac:dyDescent="0.2">
      <c r="J452"/>
      <c r="K452"/>
      <c r="L452"/>
      <c r="M452" s="2"/>
      <c r="Q452"/>
      <c r="R452"/>
      <c r="S452"/>
      <c r="T452"/>
      <c r="U452"/>
    </row>
    <row r="453" spans="10:21" s="1" customFormat="1" x14ac:dyDescent="0.2">
      <c r="J453"/>
      <c r="K453"/>
      <c r="L453"/>
      <c r="M453" s="2"/>
      <c r="Q453"/>
      <c r="R453"/>
      <c r="S453"/>
      <c r="T453"/>
      <c r="U453"/>
    </row>
    <row r="454" spans="10:21" s="1" customFormat="1" x14ac:dyDescent="0.2">
      <c r="J454"/>
      <c r="K454"/>
      <c r="L454"/>
      <c r="M454" s="2"/>
      <c r="Q454"/>
      <c r="R454"/>
      <c r="S454"/>
      <c r="T454"/>
      <c r="U454"/>
    </row>
    <row r="455" spans="10:21" s="1" customFormat="1" x14ac:dyDescent="0.2">
      <c r="J455"/>
      <c r="K455"/>
      <c r="L455"/>
      <c r="M455" s="2"/>
      <c r="Q455"/>
      <c r="R455"/>
      <c r="S455"/>
      <c r="T455"/>
      <c r="U455"/>
    </row>
    <row r="456" spans="10:21" s="1" customFormat="1" x14ac:dyDescent="0.2">
      <c r="J456"/>
      <c r="K456"/>
      <c r="L456"/>
      <c r="M456" s="2"/>
      <c r="Q456"/>
      <c r="R456"/>
      <c r="S456"/>
      <c r="T456"/>
      <c r="U456"/>
    </row>
    <row r="457" spans="10:21" s="1" customFormat="1" x14ac:dyDescent="0.2">
      <c r="J457"/>
      <c r="K457"/>
      <c r="L457"/>
      <c r="M457" s="2"/>
      <c r="Q457"/>
      <c r="R457"/>
      <c r="S457"/>
      <c r="T457"/>
      <c r="U457"/>
    </row>
    <row r="458" spans="10:21" s="1" customFormat="1" x14ac:dyDescent="0.2">
      <c r="J458"/>
      <c r="K458"/>
      <c r="L458"/>
      <c r="M458" s="2"/>
      <c r="Q458"/>
      <c r="R458"/>
      <c r="S458"/>
      <c r="T458"/>
      <c r="U458"/>
    </row>
    <row r="459" spans="10:21" s="1" customFormat="1" x14ac:dyDescent="0.2">
      <c r="J459"/>
      <c r="K459"/>
      <c r="L459"/>
      <c r="M459" s="2"/>
      <c r="Q459"/>
      <c r="R459"/>
      <c r="S459"/>
      <c r="T459"/>
      <c r="U459"/>
    </row>
    <row r="460" spans="10:21" s="1" customFormat="1" x14ac:dyDescent="0.2">
      <c r="J460"/>
      <c r="K460"/>
      <c r="L460"/>
      <c r="M460" s="2"/>
      <c r="Q460"/>
      <c r="R460"/>
      <c r="S460"/>
      <c r="T460"/>
      <c r="U460"/>
    </row>
    <row r="461" spans="10:21" s="1" customFormat="1" x14ac:dyDescent="0.2">
      <c r="J461"/>
      <c r="K461"/>
      <c r="L461"/>
      <c r="M461" s="2"/>
      <c r="Q461"/>
      <c r="R461"/>
      <c r="S461"/>
      <c r="T461"/>
      <c r="U461"/>
    </row>
    <row r="462" spans="10:21" s="1" customFormat="1" x14ac:dyDescent="0.2">
      <c r="J462"/>
      <c r="K462"/>
      <c r="L462"/>
      <c r="M462" s="2"/>
      <c r="Q462"/>
      <c r="R462"/>
      <c r="S462"/>
      <c r="T462"/>
      <c r="U462"/>
    </row>
    <row r="463" spans="10:21" s="1" customFormat="1" x14ac:dyDescent="0.2">
      <c r="J463"/>
      <c r="K463"/>
      <c r="L463"/>
      <c r="M463" s="2"/>
      <c r="Q463"/>
      <c r="R463"/>
      <c r="S463"/>
      <c r="T463"/>
      <c r="U463"/>
    </row>
    <row r="464" spans="10:21" s="1" customFormat="1" x14ac:dyDescent="0.2">
      <c r="J464"/>
      <c r="K464"/>
      <c r="L464"/>
      <c r="M464" s="2"/>
      <c r="Q464"/>
      <c r="R464"/>
      <c r="S464"/>
      <c r="T464"/>
      <c r="U464"/>
    </row>
    <row r="465" spans="10:21" s="1" customFormat="1" x14ac:dyDescent="0.2">
      <c r="J465"/>
      <c r="K465"/>
      <c r="L465"/>
      <c r="M465" s="2"/>
      <c r="Q465"/>
      <c r="R465"/>
      <c r="S465"/>
      <c r="T465"/>
      <c r="U465"/>
    </row>
    <row r="466" spans="10:21" s="1" customFormat="1" x14ac:dyDescent="0.2">
      <c r="J466"/>
      <c r="K466"/>
      <c r="L466"/>
      <c r="M466" s="2"/>
      <c r="Q466"/>
      <c r="R466"/>
      <c r="S466"/>
      <c r="T466"/>
      <c r="U466"/>
    </row>
    <row r="467" spans="10:21" s="1" customFormat="1" x14ac:dyDescent="0.2">
      <c r="J467"/>
      <c r="K467"/>
      <c r="L467"/>
      <c r="M467" s="2"/>
      <c r="Q467"/>
      <c r="R467"/>
      <c r="S467"/>
      <c r="T467"/>
      <c r="U467"/>
    </row>
    <row r="468" spans="10:21" s="1" customFormat="1" x14ac:dyDescent="0.2">
      <c r="J468"/>
      <c r="K468"/>
      <c r="L468"/>
      <c r="M468" s="2"/>
      <c r="Q468"/>
      <c r="R468"/>
      <c r="S468"/>
      <c r="T468"/>
      <c r="U468"/>
    </row>
    <row r="469" spans="10:21" s="1" customFormat="1" x14ac:dyDescent="0.2">
      <c r="J469"/>
      <c r="K469"/>
      <c r="L469"/>
      <c r="M469" s="2"/>
      <c r="Q469"/>
      <c r="R469"/>
      <c r="S469"/>
      <c r="T469"/>
      <c r="U469"/>
    </row>
    <row r="470" spans="10:21" s="1" customFormat="1" x14ac:dyDescent="0.2">
      <c r="J470"/>
      <c r="K470"/>
      <c r="L470"/>
      <c r="M470" s="2"/>
      <c r="Q470"/>
      <c r="R470"/>
      <c r="S470"/>
      <c r="T470"/>
      <c r="U470"/>
    </row>
    <row r="471" spans="10:21" s="1" customFormat="1" x14ac:dyDescent="0.2">
      <c r="J471"/>
      <c r="K471"/>
      <c r="L471"/>
      <c r="M471" s="2"/>
      <c r="Q471"/>
      <c r="R471"/>
      <c r="S471"/>
      <c r="T471"/>
      <c r="U471"/>
    </row>
    <row r="472" spans="10:21" s="1" customFormat="1" x14ac:dyDescent="0.2">
      <c r="J472"/>
      <c r="K472"/>
      <c r="L472"/>
      <c r="M472" s="2"/>
      <c r="Q472"/>
      <c r="R472"/>
      <c r="S472"/>
      <c r="T472"/>
      <c r="U472"/>
    </row>
    <row r="473" spans="10:21" s="1" customFormat="1" x14ac:dyDescent="0.2">
      <c r="J473"/>
      <c r="K473"/>
      <c r="L473"/>
      <c r="M473" s="2"/>
      <c r="Q473"/>
      <c r="R473"/>
      <c r="S473"/>
      <c r="T473"/>
      <c r="U473"/>
    </row>
    <row r="474" spans="10:21" s="1" customFormat="1" x14ac:dyDescent="0.2">
      <c r="J474"/>
      <c r="K474"/>
      <c r="L474"/>
      <c r="M474" s="2"/>
      <c r="Q474"/>
      <c r="R474"/>
      <c r="S474"/>
      <c r="T474"/>
      <c r="U474"/>
    </row>
    <row r="475" spans="10:21" s="1" customFormat="1" x14ac:dyDescent="0.2">
      <c r="J475"/>
      <c r="K475"/>
      <c r="L475"/>
      <c r="M475" s="2"/>
      <c r="Q475"/>
      <c r="R475"/>
      <c r="S475"/>
      <c r="T475"/>
      <c r="U475"/>
    </row>
    <row r="476" spans="10:21" s="1" customFormat="1" x14ac:dyDescent="0.2">
      <c r="J476"/>
      <c r="K476"/>
      <c r="L476"/>
      <c r="M476" s="2"/>
      <c r="Q476"/>
      <c r="R476"/>
      <c r="S476"/>
      <c r="T476"/>
      <c r="U476"/>
    </row>
    <row r="477" spans="10:21" s="1" customFormat="1" x14ac:dyDescent="0.2">
      <c r="J477"/>
      <c r="K477"/>
      <c r="L477"/>
      <c r="M477" s="2"/>
      <c r="Q477"/>
      <c r="R477"/>
      <c r="S477"/>
      <c r="T477"/>
      <c r="U477"/>
    </row>
    <row r="478" spans="10:21" s="1" customFormat="1" x14ac:dyDescent="0.2">
      <c r="J478"/>
      <c r="K478"/>
      <c r="L478"/>
      <c r="M478" s="2"/>
      <c r="Q478"/>
      <c r="R478"/>
      <c r="S478"/>
      <c r="T478"/>
      <c r="U478"/>
    </row>
    <row r="479" spans="10:21" s="1" customFormat="1" x14ac:dyDescent="0.2">
      <c r="J479"/>
      <c r="K479"/>
      <c r="L479"/>
      <c r="M479" s="2"/>
      <c r="Q479"/>
      <c r="R479"/>
      <c r="S479"/>
      <c r="T479"/>
      <c r="U479"/>
    </row>
    <row r="480" spans="10:21" s="1" customFormat="1" x14ac:dyDescent="0.2">
      <c r="J480"/>
      <c r="K480"/>
      <c r="L480"/>
      <c r="M480" s="2"/>
      <c r="Q480"/>
      <c r="R480"/>
      <c r="S480"/>
      <c r="T480"/>
      <c r="U480"/>
    </row>
    <row r="481" spans="10:21" s="1" customFormat="1" x14ac:dyDescent="0.2">
      <c r="J481"/>
      <c r="K481"/>
      <c r="L481"/>
      <c r="M481" s="2"/>
      <c r="Q481"/>
      <c r="R481"/>
      <c r="S481"/>
      <c r="T481"/>
      <c r="U481"/>
    </row>
    <row r="482" spans="10:21" s="1" customFormat="1" x14ac:dyDescent="0.2">
      <c r="J482"/>
      <c r="K482"/>
      <c r="L482"/>
      <c r="M482" s="2"/>
      <c r="Q482"/>
      <c r="R482"/>
      <c r="S482"/>
      <c r="T482"/>
      <c r="U482"/>
    </row>
    <row r="483" spans="10:21" s="1" customFormat="1" x14ac:dyDescent="0.2">
      <c r="J483"/>
      <c r="K483"/>
      <c r="L483"/>
      <c r="M483" s="2"/>
      <c r="Q483"/>
      <c r="R483"/>
      <c r="S483"/>
      <c r="T483"/>
      <c r="U483"/>
    </row>
    <row r="484" spans="10:21" s="1" customFormat="1" x14ac:dyDescent="0.2">
      <c r="J484"/>
      <c r="K484"/>
      <c r="L484"/>
      <c r="M484" s="2"/>
      <c r="Q484"/>
      <c r="R484"/>
      <c r="S484"/>
      <c r="T484"/>
      <c r="U484"/>
    </row>
    <row r="485" spans="10:21" s="1" customFormat="1" x14ac:dyDescent="0.2">
      <c r="J485"/>
      <c r="K485"/>
      <c r="L485"/>
      <c r="M485" s="2"/>
      <c r="Q485"/>
      <c r="R485"/>
      <c r="S485"/>
      <c r="T485"/>
      <c r="U485"/>
    </row>
    <row r="486" spans="10:21" s="1" customFormat="1" x14ac:dyDescent="0.2">
      <c r="J486"/>
      <c r="K486"/>
      <c r="L486"/>
      <c r="M486" s="2"/>
      <c r="Q486"/>
      <c r="R486"/>
      <c r="S486"/>
      <c r="T486"/>
      <c r="U486"/>
    </row>
    <row r="487" spans="10:21" s="1" customFormat="1" x14ac:dyDescent="0.2">
      <c r="J487"/>
      <c r="K487"/>
      <c r="L487"/>
      <c r="M487" s="2"/>
      <c r="Q487"/>
      <c r="R487"/>
      <c r="S487"/>
      <c r="T487"/>
      <c r="U487"/>
    </row>
    <row r="488" spans="10:21" s="1" customFormat="1" x14ac:dyDescent="0.2">
      <c r="J488"/>
      <c r="K488"/>
      <c r="L488"/>
      <c r="M488" s="2"/>
      <c r="Q488"/>
      <c r="R488"/>
      <c r="S488"/>
      <c r="T488"/>
      <c r="U488"/>
    </row>
    <row r="489" spans="10:21" s="1" customFormat="1" x14ac:dyDescent="0.2">
      <c r="J489"/>
      <c r="K489"/>
      <c r="L489"/>
      <c r="M489" s="2"/>
      <c r="Q489"/>
      <c r="R489"/>
      <c r="S489"/>
      <c r="T489"/>
      <c r="U489"/>
    </row>
    <row r="490" spans="10:21" s="1" customFormat="1" x14ac:dyDescent="0.2">
      <c r="J490"/>
      <c r="K490"/>
      <c r="L490"/>
      <c r="M490" s="2"/>
      <c r="Q490"/>
      <c r="R490"/>
      <c r="S490"/>
      <c r="T490"/>
      <c r="U490"/>
    </row>
    <row r="491" spans="10:21" s="1" customFormat="1" x14ac:dyDescent="0.2">
      <c r="J491"/>
      <c r="K491"/>
      <c r="L491"/>
      <c r="M491" s="2"/>
      <c r="Q491"/>
      <c r="R491"/>
      <c r="S491"/>
      <c r="T491"/>
      <c r="U491"/>
    </row>
    <row r="492" spans="10:21" s="1" customFormat="1" x14ac:dyDescent="0.2">
      <c r="J492"/>
      <c r="K492"/>
      <c r="L492"/>
      <c r="M492" s="2"/>
      <c r="Q492"/>
      <c r="R492"/>
      <c r="S492"/>
      <c r="T492"/>
      <c r="U492"/>
    </row>
    <row r="493" spans="10:21" s="1" customFormat="1" x14ac:dyDescent="0.2">
      <c r="J493"/>
      <c r="K493"/>
      <c r="L493"/>
      <c r="M493" s="2"/>
      <c r="Q493"/>
      <c r="R493"/>
      <c r="S493"/>
      <c r="T493"/>
      <c r="U493"/>
    </row>
    <row r="494" spans="10:21" s="1" customFormat="1" x14ac:dyDescent="0.2">
      <c r="J494"/>
      <c r="K494"/>
      <c r="L494"/>
      <c r="M494" s="2"/>
      <c r="Q494"/>
      <c r="R494"/>
      <c r="S494"/>
      <c r="T494"/>
      <c r="U494"/>
    </row>
    <row r="495" spans="10:21" s="1" customFormat="1" x14ac:dyDescent="0.2">
      <c r="J495"/>
      <c r="K495"/>
      <c r="L495"/>
      <c r="M495" s="2"/>
      <c r="Q495"/>
      <c r="R495"/>
      <c r="S495"/>
      <c r="T495"/>
      <c r="U495"/>
    </row>
    <row r="496" spans="10:21" s="1" customFormat="1" x14ac:dyDescent="0.2">
      <c r="J496"/>
      <c r="K496"/>
      <c r="L496"/>
      <c r="M496" s="2"/>
      <c r="Q496"/>
      <c r="R496"/>
      <c r="S496"/>
      <c r="T496"/>
      <c r="U496"/>
    </row>
    <row r="497" spans="10:21" s="1" customFormat="1" x14ac:dyDescent="0.2">
      <c r="J497"/>
      <c r="K497"/>
      <c r="L497"/>
      <c r="M497" s="2"/>
      <c r="Q497"/>
      <c r="R497"/>
      <c r="S497"/>
      <c r="T497"/>
      <c r="U497"/>
    </row>
    <row r="498" spans="10:21" s="1" customFormat="1" x14ac:dyDescent="0.2">
      <c r="J498"/>
      <c r="K498"/>
      <c r="L498"/>
      <c r="M498" s="2"/>
      <c r="Q498"/>
      <c r="R498"/>
      <c r="S498"/>
      <c r="T498"/>
      <c r="U498"/>
    </row>
    <row r="499" spans="10:21" s="1" customFormat="1" x14ac:dyDescent="0.2">
      <c r="J499"/>
      <c r="K499"/>
      <c r="L499"/>
      <c r="M499" s="2"/>
      <c r="Q499"/>
      <c r="R499"/>
      <c r="S499"/>
      <c r="T499"/>
      <c r="U499"/>
    </row>
    <row r="500" spans="10:21" s="1" customFormat="1" x14ac:dyDescent="0.2">
      <c r="J500"/>
      <c r="K500"/>
      <c r="L500"/>
      <c r="M500" s="2"/>
      <c r="Q500"/>
      <c r="R500"/>
      <c r="S500"/>
      <c r="T500"/>
      <c r="U500"/>
    </row>
    <row r="501" spans="10:21" s="1" customFormat="1" x14ac:dyDescent="0.2">
      <c r="J501"/>
      <c r="K501"/>
      <c r="L501"/>
      <c r="M501" s="2"/>
      <c r="Q501"/>
      <c r="R501"/>
      <c r="S501"/>
      <c r="T501"/>
      <c r="U501"/>
    </row>
    <row r="502" spans="10:21" s="1" customFormat="1" x14ac:dyDescent="0.2">
      <c r="J502"/>
      <c r="K502"/>
      <c r="L502"/>
      <c r="M502" s="2"/>
      <c r="Q502"/>
      <c r="R502"/>
      <c r="S502"/>
      <c r="T502"/>
      <c r="U502"/>
    </row>
    <row r="503" spans="10:21" s="1" customFormat="1" x14ac:dyDescent="0.2">
      <c r="J503"/>
      <c r="K503"/>
      <c r="L503"/>
      <c r="M503" s="2"/>
      <c r="Q503"/>
      <c r="R503"/>
      <c r="S503"/>
      <c r="T503"/>
      <c r="U503"/>
    </row>
    <row r="504" spans="10:21" s="1" customFormat="1" x14ac:dyDescent="0.2">
      <c r="J504"/>
      <c r="K504"/>
      <c r="L504"/>
      <c r="M504" s="2"/>
      <c r="Q504"/>
      <c r="R504"/>
      <c r="S504"/>
      <c r="T504"/>
      <c r="U504"/>
    </row>
    <row r="505" spans="10:21" s="1" customFormat="1" x14ac:dyDescent="0.2">
      <c r="J505"/>
      <c r="K505"/>
      <c r="L505"/>
      <c r="M505" s="2"/>
      <c r="Q505"/>
      <c r="R505"/>
      <c r="S505"/>
      <c r="T505"/>
      <c r="U505"/>
    </row>
    <row r="506" spans="10:21" s="1" customFormat="1" x14ac:dyDescent="0.2">
      <c r="J506"/>
      <c r="K506"/>
      <c r="L506"/>
      <c r="M506" s="2"/>
      <c r="Q506"/>
      <c r="R506"/>
      <c r="S506"/>
      <c r="T506"/>
      <c r="U506"/>
    </row>
    <row r="507" spans="10:21" s="1" customFormat="1" x14ac:dyDescent="0.2">
      <c r="J507"/>
      <c r="K507"/>
      <c r="L507"/>
      <c r="M507" s="2"/>
      <c r="Q507"/>
      <c r="R507"/>
      <c r="S507"/>
      <c r="T507"/>
      <c r="U507"/>
    </row>
    <row r="508" spans="10:21" s="1" customFormat="1" x14ac:dyDescent="0.2">
      <c r="J508"/>
      <c r="K508"/>
      <c r="L508"/>
      <c r="M508" s="2"/>
      <c r="Q508"/>
      <c r="R508"/>
      <c r="S508"/>
      <c r="T508"/>
      <c r="U508"/>
    </row>
    <row r="509" spans="10:21" s="1" customFormat="1" x14ac:dyDescent="0.2">
      <c r="J509"/>
      <c r="K509"/>
      <c r="L509"/>
      <c r="M509" s="2"/>
      <c r="Q509"/>
      <c r="R509"/>
      <c r="S509"/>
      <c r="T509"/>
      <c r="U509"/>
    </row>
    <row r="510" spans="10:21" s="1" customFormat="1" x14ac:dyDescent="0.2">
      <c r="J510"/>
      <c r="K510"/>
      <c r="L510"/>
      <c r="M510" s="2"/>
      <c r="Q510"/>
      <c r="R510"/>
      <c r="S510"/>
      <c r="T510"/>
      <c r="U510"/>
    </row>
    <row r="511" spans="10:21" s="1" customFormat="1" x14ac:dyDescent="0.2">
      <c r="J511"/>
      <c r="K511"/>
      <c r="L511"/>
      <c r="M511" s="2"/>
      <c r="Q511"/>
      <c r="R511"/>
      <c r="S511"/>
      <c r="T511"/>
      <c r="U511"/>
    </row>
    <row r="512" spans="10:21" s="1" customFormat="1" x14ac:dyDescent="0.2">
      <c r="J512"/>
      <c r="K512"/>
      <c r="L512"/>
      <c r="M512" s="2"/>
      <c r="Q512"/>
      <c r="R512"/>
      <c r="S512"/>
      <c r="T512"/>
      <c r="U512"/>
    </row>
    <row r="513" spans="10:21" s="1" customFormat="1" x14ac:dyDescent="0.2">
      <c r="J513"/>
      <c r="K513"/>
      <c r="L513"/>
      <c r="M513" s="2"/>
      <c r="Q513"/>
      <c r="R513"/>
      <c r="S513"/>
      <c r="T513"/>
      <c r="U513"/>
    </row>
    <row r="514" spans="10:21" s="1" customFormat="1" x14ac:dyDescent="0.2">
      <c r="J514"/>
      <c r="K514"/>
      <c r="L514"/>
      <c r="M514" s="2"/>
      <c r="Q514"/>
      <c r="R514"/>
      <c r="S514"/>
      <c r="T514"/>
      <c r="U514"/>
    </row>
    <row r="515" spans="10:21" s="1" customFormat="1" x14ac:dyDescent="0.2">
      <c r="J515"/>
      <c r="K515"/>
      <c r="L515"/>
      <c r="M515" s="2"/>
      <c r="Q515"/>
      <c r="R515"/>
      <c r="S515"/>
      <c r="T515"/>
      <c r="U515"/>
    </row>
    <row r="516" spans="10:21" s="1" customFormat="1" x14ac:dyDescent="0.2">
      <c r="J516"/>
      <c r="K516"/>
      <c r="L516"/>
      <c r="M516" s="2"/>
      <c r="Q516"/>
      <c r="R516"/>
      <c r="S516"/>
      <c r="T516"/>
      <c r="U516"/>
    </row>
    <row r="517" spans="10:21" s="1" customFormat="1" x14ac:dyDescent="0.2">
      <c r="J517"/>
      <c r="K517"/>
      <c r="L517"/>
      <c r="M517" s="2"/>
      <c r="Q517"/>
      <c r="R517"/>
      <c r="S517"/>
      <c r="T517"/>
      <c r="U517"/>
    </row>
    <row r="518" spans="10:21" s="1" customFormat="1" x14ac:dyDescent="0.2">
      <c r="J518"/>
      <c r="K518"/>
      <c r="L518"/>
      <c r="M518" s="2"/>
      <c r="Q518"/>
      <c r="R518"/>
      <c r="S518"/>
      <c r="T518"/>
      <c r="U518"/>
    </row>
    <row r="519" spans="10:21" s="1" customFormat="1" x14ac:dyDescent="0.2">
      <c r="J519"/>
      <c r="K519"/>
      <c r="L519"/>
      <c r="M519" s="2"/>
      <c r="Q519"/>
      <c r="R519"/>
      <c r="S519"/>
      <c r="T519"/>
      <c r="U519"/>
    </row>
    <row r="520" spans="10:21" s="1" customFormat="1" x14ac:dyDescent="0.2">
      <c r="J520"/>
      <c r="K520"/>
      <c r="L520"/>
      <c r="M520" s="2"/>
      <c r="Q520"/>
      <c r="R520"/>
      <c r="S520"/>
      <c r="T520"/>
      <c r="U520"/>
    </row>
    <row r="521" spans="10:21" s="1" customFormat="1" x14ac:dyDescent="0.2">
      <c r="J521"/>
      <c r="K521"/>
      <c r="L521"/>
      <c r="M521" s="2"/>
      <c r="Q521"/>
      <c r="R521"/>
      <c r="S521"/>
      <c r="T521"/>
      <c r="U521"/>
    </row>
    <row r="522" spans="10:21" s="1" customFormat="1" x14ac:dyDescent="0.2">
      <c r="J522"/>
      <c r="K522"/>
      <c r="L522"/>
      <c r="M522" s="2"/>
      <c r="Q522"/>
      <c r="R522"/>
      <c r="S522"/>
      <c r="T522"/>
      <c r="U522"/>
    </row>
    <row r="523" spans="10:21" s="1" customFormat="1" x14ac:dyDescent="0.2">
      <c r="J523"/>
      <c r="K523"/>
      <c r="L523"/>
      <c r="M523" s="2"/>
      <c r="Q523"/>
      <c r="R523"/>
      <c r="S523"/>
      <c r="T523"/>
      <c r="U523"/>
    </row>
    <row r="524" spans="10:21" s="1" customFormat="1" x14ac:dyDescent="0.2">
      <c r="J524"/>
      <c r="K524"/>
      <c r="L524"/>
      <c r="M524" s="2"/>
      <c r="Q524"/>
      <c r="R524"/>
      <c r="S524"/>
      <c r="T524"/>
      <c r="U524"/>
    </row>
    <row r="525" spans="10:21" s="1" customFormat="1" x14ac:dyDescent="0.2">
      <c r="J525"/>
      <c r="K525"/>
      <c r="L525"/>
      <c r="M525" s="2"/>
      <c r="Q525"/>
      <c r="R525"/>
      <c r="S525"/>
      <c r="T525"/>
      <c r="U525"/>
    </row>
    <row r="526" spans="10:21" s="1" customFormat="1" x14ac:dyDescent="0.2">
      <c r="J526"/>
      <c r="K526"/>
      <c r="L526"/>
      <c r="M526" s="2"/>
      <c r="Q526"/>
      <c r="R526"/>
      <c r="S526"/>
      <c r="T526"/>
      <c r="U526"/>
    </row>
    <row r="527" spans="10:21" s="1" customFormat="1" x14ac:dyDescent="0.2">
      <c r="J527"/>
      <c r="K527"/>
      <c r="L527"/>
      <c r="M527" s="2"/>
      <c r="Q527"/>
      <c r="R527"/>
      <c r="S527"/>
      <c r="T527"/>
      <c r="U527"/>
    </row>
    <row r="528" spans="10:21" s="1" customFormat="1" x14ac:dyDescent="0.2">
      <c r="J528"/>
      <c r="K528"/>
      <c r="L528"/>
      <c r="M528" s="2"/>
      <c r="Q528"/>
      <c r="R528"/>
      <c r="S528"/>
      <c r="T528"/>
      <c r="U528"/>
    </row>
    <row r="529" spans="10:21" s="1" customFormat="1" x14ac:dyDescent="0.2">
      <c r="J529"/>
      <c r="K529"/>
      <c r="L529"/>
      <c r="M529" s="2"/>
      <c r="Q529"/>
      <c r="R529"/>
      <c r="S529"/>
      <c r="T529"/>
      <c r="U529"/>
    </row>
    <row r="530" spans="10:21" s="1" customFormat="1" x14ac:dyDescent="0.2">
      <c r="J530"/>
      <c r="K530"/>
      <c r="L530"/>
      <c r="M530" s="2"/>
      <c r="Q530"/>
      <c r="R530"/>
      <c r="S530"/>
      <c r="T530"/>
      <c r="U530"/>
    </row>
    <row r="531" spans="10:21" s="1" customFormat="1" x14ac:dyDescent="0.2">
      <c r="J531"/>
      <c r="K531"/>
      <c r="L531"/>
      <c r="M531" s="2"/>
      <c r="Q531"/>
      <c r="R531"/>
      <c r="S531"/>
      <c r="T531"/>
      <c r="U531"/>
    </row>
    <row r="532" spans="10:21" s="1" customFormat="1" x14ac:dyDescent="0.2">
      <c r="J532"/>
      <c r="K532"/>
      <c r="L532"/>
      <c r="M532" s="2"/>
      <c r="Q532"/>
      <c r="R532"/>
      <c r="S532"/>
      <c r="T532"/>
      <c r="U532"/>
    </row>
    <row r="533" spans="10:21" s="1" customFormat="1" x14ac:dyDescent="0.2">
      <c r="J533"/>
      <c r="K533"/>
      <c r="L533"/>
      <c r="M533" s="2"/>
      <c r="Q533"/>
      <c r="R533"/>
      <c r="S533"/>
      <c r="T533"/>
      <c r="U533"/>
    </row>
    <row r="534" spans="10:21" s="1" customFormat="1" x14ac:dyDescent="0.2">
      <c r="J534"/>
      <c r="K534"/>
      <c r="L534"/>
      <c r="M534" s="2"/>
      <c r="Q534"/>
      <c r="R534"/>
      <c r="S534"/>
      <c r="T534"/>
      <c r="U534"/>
    </row>
    <row r="535" spans="10:21" s="1" customFormat="1" x14ac:dyDescent="0.2">
      <c r="J535"/>
      <c r="K535"/>
      <c r="L535"/>
      <c r="M535" s="2"/>
      <c r="Q535"/>
      <c r="R535"/>
      <c r="S535"/>
      <c r="T535"/>
      <c r="U535"/>
    </row>
    <row r="536" spans="10:21" s="1" customFormat="1" x14ac:dyDescent="0.2">
      <c r="J536"/>
      <c r="K536"/>
      <c r="L536"/>
      <c r="M536" s="2"/>
      <c r="Q536"/>
      <c r="R536"/>
      <c r="S536"/>
      <c r="T536"/>
      <c r="U536"/>
    </row>
    <row r="537" spans="10:21" s="1" customFormat="1" x14ac:dyDescent="0.2">
      <c r="J537"/>
      <c r="K537"/>
      <c r="L537"/>
      <c r="M537" s="2"/>
      <c r="Q537"/>
      <c r="R537"/>
      <c r="S537"/>
      <c r="T537"/>
      <c r="U537"/>
    </row>
    <row r="538" spans="10:21" s="1" customFormat="1" x14ac:dyDescent="0.2">
      <c r="J538"/>
      <c r="K538"/>
      <c r="L538"/>
      <c r="M538" s="2"/>
      <c r="Q538"/>
      <c r="R538"/>
      <c r="S538"/>
      <c r="T538"/>
      <c r="U538"/>
    </row>
    <row r="539" spans="10:21" s="1" customFormat="1" x14ac:dyDescent="0.2">
      <c r="J539"/>
      <c r="K539"/>
      <c r="L539"/>
      <c r="M539" s="2"/>
      <c r="Q539"/>
      <c r="R539"/>
      <c r="S539"/>
      <c r="T539"/>
      <c r="U539"/>
    </row>
    <row r="540" spans="10:21" s="1" customFormat="1" x14ac:dyDescent="0.2">
      <c r="J540"/>
      <c r="K540"/>
      <c r="L540"/>
      <c r="M540" s="2"/>
      <c r="Q540"/>
      <c r="R540"/>
      <c r="S540"/>
      <c r="T540"/>
      <c r="U540"/>
    </row>
    <row r="541" spans="10:21" s="1" customFormat="1" x14ac:dyDescent="0.2">
      <c r="J541"/>
      <c r="K541"/>
      <c r="L541"/>
      <c r="M541" s="2"/>
      <c r="Q541"/>
      <c r="R541"/>
      <c r="S541"/>
      <c r="T541"/>
      <c r="U541"/>
    </row>
    <row r="542" spans="10:21" s="1" customFormat="1" x14ac:dyDescent="0.2">
      <c r="J542"/>
      <c r="K542"/>
      <c r="L542"/>
      <c r="M542" s="2"/>
      <c r="Q542"/>
      <c r="R542"/>
      <c r="S542"/>
      <c r="T542"/>
      <c r="U542"/>
    </row>
    <row r="543" spans="10:21" s="1" customFormat="1" x14ac:dyDescent="0.2">
      <c r="J543"/>
      <c r="K543"/>
      <c r="L543"/>
      <c r="M543" s="2"/>
      <c r="Q543"/>
      <c r="R543"/>
      <c r="S543"/>
      <c r="T543"/>
      <c r="U543"/>
    </row>
    <row r="544" spans="10:21" s="1" customFormat="1" x14ac:dyDescent="0.2">
      <c r="J544"/>
      <c r="K544"/>
      <c r="L544"/>
      <c r="M544" s="2"/>
      <c r="Q544"/>
      <c r="R544"/>
      <c r="S544"/>
      <c r="T544"/>
      <c r="U544"/>
    </row>
    <row r="545" spans="10:21" s="1" customFormat="1" x14ac:dyDescent="0.2">
      <c r="J545"/>
      <c r="K545"/>
      <c r="L545"/>
      <c r="M545" s="2"/>
      <c r="Q545"/>
      <c r="R545"/>
      <c r="S545"/>
      <c r="T545"/>
      <c r="U545"/>
    </row>
    <row r="546" spans="10:21" s="1" customFormat="1" x14ac:dyDescent="0.2">
      <c r="J546"/>
      <c r="K546"/>
      <c r="L546"/>
      <c r="M546" s="2"/>
      <c r="Q546"/>
      <c r="R546"/>
      <c r="S546"/>
      <c r="T546"/>
      <c r="U546"/>
    </row>
    <row r="547" spans="10:21" s="1" customFormat="1" x14ac:dyDescent="0.2">
      <c r="J547"/>
      <c r="K547"/>
      <c r="L547"/>
      <c r="M547" s="2"/>
      <c r="Q547"/>
      <c r="R547"/>
      <c r="S547"/>
      <c r="T547"/>
      <c r="U547"/>
    </row>
    <row r="548" spans="10:21" s="1" customFormat="1" x14ac:dyDescent="0.2">
      <c r="J548"/>
      <c r="K548"/>
      <c r="L548"/>
      <c r="M548" s="2"/>
      <c r="Q548"/>
      <c r="R548"/>
      <c r="S548"/>
      <c r="T548"/>
      <c r="U548"/>
    </row>
    <row r="549" spans="10:21" s="1" customFormat="1" x14ac:dyDescent="0.2">
      <c r="J549"/>
      <c r="K549"/>
      <c r="L549"/>
      <c r="M549" s="2"/>
      <c r="Q549"/>
      <c r="R549"/>
      <c r="S549"/>
      <c r="T549"/>
      <c r="U549"/>
    </row>
    <row r="550" spans="10:21" s="1" customFormat="1" x14ac:dyDescent="0.2">
      <c r="J550"/>
      <c r="K550"/>
      <c r="L550"/>
      <c r="M550" s="2"/>
      <c r="Q550"/>
      <c r="R550"/>
      <c r="S550"/>
      <c r="T550"/>
      <c r="U550"/>
    </row>
    <row r="551" spans="10:21" s="1" customFormat="1" x14ac:dyDescent="0.2">
      <c r="J551"/>
      <c r="K551"/>
      <c r="L551"/>
      <c r="M551" s="2"/>
      <c r="Q551"/>
      <c r="R551"/>
      <c r="S551"/>
      <c r="T551"/>
      <c r="U551"/>
    </row>
    <row r="552" spans="10:21" s="1" customFormat="1" x14ac:dyDescent="0.2">
      <c r="J552"/>
      <c r="K552"/>
      <c r="L552"/>
      <c r="M552" s="2"/>
      <c r="Q552"/>
      <c r="R552"/>
      <c r="S552"/>
      <c r="T552"/>
      <c r="U552"/>
    </row>
    <row r="553" spans="10:21" s="1" customFormat="1" x14ac:dyDescent="0.2">
      <c r="J553"/>
      <c r="K553"/>
      <c r="L553"/>
      <c r="M553" s="2"/>
      <c r="Q553"/>
      <c r="R553"/>
      <c r="S553"/>
      <c r="T553"/>
      <c r="U553"/>
    </row>
    <row r="554" spans="10:21" s="1" customFormat="1" x14ac:dyDescent="0.2">
      <c r="J554"/>
      <c r="K554"/>
      <c r="L554"/>
      <c r="M554" s="2"/>
      <c r="Q554"/>
      <c r="R554"/>
      <c r="S554"/>
      <c r="T554"/>
      <c r="U554"/>
    </row>
    <row r="555" spans="10:21" s="1" customFormat="1" x14ac:dyDescent="0.2">
      <c r="J555"/>
      <c r="K555"/>
      <c r="L555"/>
      <c r="M555" s="2"/>
      <c r="Q555"/>
      <c r="R555"/>
      <c r="S555"/>
      <c r="T555"/>
      <c r="U555"/>
    </row>
    <row r="556" spans="10:21" s="1" customFormat="1" x14ac:dyDescent="0.2">
      <c r="J556"/>
      <c r="K556"/>
      <c r="L556"/>
      <c r="M556" s="2"/>
      <c r="Q556"/>
      <c r="R556"/>
      <c r="S556"/>
      <c r="T556"/>
      <c r="U556"/>
    </row>
    <row r="557" spans="10:21" s="1" customFormat="1" x14ac:dyDescent="0.2">
      <c r="J557"/>
      <c r="K557"/>
      <c r="L557"/>
      <c r="M557" s="2"/>
      <c r="Q557"/>
      <c r="R557"/>
      <c r="S557"/>
      <c r="T557"/>
      <c r="U557"/>
    </row>
    <row r="558" spans="10:21" s="1" customFormat="1" x14ac:dyDescent="0.2">
      <c r="J558"/>
      <c r="K558"/>
      <c r="L558"/>
      <c r="M558" s="2"/>
      <c r="Q558"/>
      <c r="R558"/>
      <c r="S558"/>
      <c r="T558"/>
      <c r="U558"/>
    </row>
    <row r="559" spans="10:21" s="1" customFormat="1" x14ac:dyDescent="0.2">
      <c r="J559"/>
      <c r="K559"/>
      <c r="L559"/>
      <c r="M559" s="2"/>
      <c r="Q559"/>
      <c r="R559"/>
      <c r="S559"/>
      <c r="T559"/>
      <c r="U559"/>
    </row>
    <row r="560" spans="10:21" s="1" customFormat="1" x14ac:dyDescent="0.2">
      <c r="J560"/>
      <c r="K560"/>
      <c r="L560"/>
      <c r="M560" s="2"/>
      <c r="Q560"/>
      <c r="R560"/>
      <c r="S560"/>
      <c r="T560"/>
      <c r="U560"/>
    </row>
    <row r="561" spans="10:21" s="1" customFormat="1" x14ac:dyDescent="0.2">
      <c r="J561"/>
      <c r="K561"/>
      <c r="L561"/>
      <c r="M561" s="2"/>
      <c r="Q561"/>
      <c r="R561"/>
      <c r="S561"/>
      <c r="T561"/>
      <c r="U561"/>
    </row>
    <row r="562" spans="10:21" s="1" customFormat="1" x14ac:dyDescent="0.2">
      <c r="J562"/>
      <c r="K562"/>
      <c r="L562"/>
      <c r="M562" s="2"/>
      <c r="Q562"/>
      <c r="R562"/>
      <c r="S562"/>
      <c r="T562"/>
      <c r="U562"/>
    </row>
    <row r="563" spans="10:21" s="1" customFormat="1" x14ac:dyDescent="0.2">
      <c r="J563"/>
      <c r="K563"/>
      <c r="L563"/>
      <c r="M563" s="2"/>
      <c r="Q563"/>
      <c r="R563"/>
      <c r="S563"/>
      <c r="T563"/>
      <c r="U563"/>
    </row>
    <row r="564" spans="10:21" s="1" customFormat="1" x14ac:dyDescent="0.2">
      <c r="J564"/>
      <c r="K564"/>
      <c r="L564"/>
      <c r="M564" s="2"/>
      <c r="Q564"/>
      <c r="R564"/>
      <c r="S564"/>
      <c r="T564"/>
      <c r="U564"/>
    </row>
    <row r="565" spans="10:21" s="1" customFormat="1" x14ac:dyDescent="0.2">
      <c r="J565"/>
      <c r="K565"/>
      <c r="L565"/>
      <c r="M565" s="2"/>
      <c r="Q565"/>
      <c r="R565"/>
      <c r="S565"/>
      <c r="T565"/>
      <c r="U565"/>
    </row>
    <row r="566" spans="10:21" s="1" customFormat="1" x14ac:dyDescent="0.2">
      <c r="J566"/>
      <c r="K566"/>
      <c r="L566"/>
      <c r="M566" s="2"/>
      <c r="Q566"/>
      <c r="R566"/>
      <c r="S566"/>
      <c r="T566"/>
      <c r="U566"/>
    </row>
    <row r="567" spans="10:21" s="1" customFormat="1" x14ac:dyDescent="0.2">
      <c r="J567"/>
      <c r="K567"/>
      <c r="L567"/>
      <c r="M567" s="2"/>
      <c r="Q567"/>
      <c r="R567"/>
      <c r="S567"/>
      <c r="T567"/>
      <c r="U567"/>
    </row>
    <row r="568" spans="10:21" s="1" customFormat="1" x14ac:dyDescent="0.2">
      <c r="J568"/>
      <c r="K568"/>
      <c r="L568"/>
      <c r="M568" s="2"/>
      <c r="Q568"/>
      <c r="R568"/>
      <c r="S568"/>
      <c r="T568"/>
      <c r="U568"/>
    </row>
    <row r="569" spans="10:21" s="1" customFormat="1" x14ac:dyDescent="0.2">
      <c r="J569"/>
      <c r="K569"/>
      <c r="L569"/>
      <c r="M569" s="2"/>
      <c r="Q569"/>
      <c r="R569"/>
      <c r="S569"/>
      <c r="T569"/>
      <c r="U569"/>
    </row>
    <row r="570" spans="10:21" s="1" customFormat="1" x14ac:dyDescent="0.2">
      <c r="J570"/>
      <c r="K570"/>
      <c r="L570"/>
      <c r="M570" s="2"/>
      <c r="Q570"/>
      <c r="R570"/>
      <c r="S570"/>
      <c r="T570"/>
      <c r="U570"/>
    </row>
    <row r="571" spans="10:21" s="1" customFormat="1" x14ac:dyDescent="0.2">
      <c r="J571"/>
      <c r="K571"/>
      <c r="L571"/>
      <c r="M571" s="2"/>
      <c r="Q571"/>
      <c r="R571"/>
      <c r="S571"/>
      <c r="T571"/>
      <c r="U571"/>
    </row>
    <row r="572" spans="10:21" s="1" customFormat="1" x14ac:dyDescent="0.2">
      <c r="J572"/>
      <c r="K572"/>
      <c r="L572"/>
      <c r="M572" s="2"/>
      <c r="Q572"/>
      <c r="R572"/>
      <c r="S572"/>
      <c r="T572"/>
      <c r="U572"/>
    </row>
    <row r="573" spans="10:21" s="1" customFormat="1" x14ac:dyDescent="0.2">
      <c r="J573"/>
      <c r="K573"/>
      <c r="L573"/>
      <c r="M573" s="2"/>
      <c r="Q573"/>
      <c r="R573"/>
      <c r="S573"/>
      <c r="T573"/>
      <c r="U573"/>
    </row>
    <row r="574" spans="10:21" s="1" customFormat="1" x14ac:dyDescent="0.2">
      <c r="J574"/>
      <c r="K574"/>
      <c r="L574"/>
      <c r="M574" s="2"/>
      <c r="Q574"/>
      <c r="R574"/>
      <c r="S574"/>
      <c r="T574"/>
      <c r="U574"/>
    </row>
    <row r="575" spans="10:21" s="1" customFormat="1" x14ac:dyDescent="0.2">
      <c r="J575"/>
      <c r="K575"/>
      <c r="L575"/>
      <c r="M575" s="2"/>
      <c r="Q575"/>
      <c r="R575"/>
      <c r="S575"/>
      <c r="T575"/>
      <c r="U575"/>
    </row>
    <row r="576" spans="10:21" s="1" customFormat="1" x14ac:dyDescent="0.2">
      <c r="J576"/>
      <c r="K576"/>
      <c r="L576"/>
      <c r="M576" s="2"/>
      <c r="Q576"/>
      <c r="R576"/>
      <c r="S576"/>
      <c r="T576"/>
      <c r="U576"/>
    </row>
    <row r="577" spans="10:21" s="1" customFormat="1" x14ac:dyDescent="0.2">
      <c r="J577"/>
      <c r="K577"/>
      <c r="L577"/>
      <c r="M577" s="2"/>
      <c r="Q577"/>
      <c r="R577"/>
      <c r="S577"/>
      <c r="T577"/>
      <c r="U577"/>
    </row>
    <row r="578" spans="10:21" s="1" customFormat="1" x14ac:dyDescent="0.2">
      <c r="J578"/>
      <c r="K578"/>
      <c r="L578"/>
      <c r="M578" s="2"/>
      <c r="Q578"/>
      <c r="R578"/>
      <c r="S578"/>
      <c r="T578"/>
      <c r="U578"/>
    </row>
    <row r="579" spans="10:21" s="1" customFormat="1" x14ac:dyDescent="0.2">
      <c r="J579"/>
      <c r="K579"/>
      <c r="L579"/>
      <c r="M579" s="2"/>
      <c r="Q579"/>
      <c r="R579"/>
      <c r="S579"/>
      <c r="T579"/>
      <c r="U579"/>
    </row>
    <row r="580" spans="10:21" s="1" customFormat="1" x14ac:dyDescent="0.2">
      <c r="J580"/>
      <c r="K580"/>
      <c r="L580"/>
      <c r="M580" s="2"/>
      <c r="Q580"/>
      <c r="R580"/>
      <c r="S580"/>
      <c r="T580"/>
      <c r="U580"/>
    </row>
    <row r="581" spans="10:21" s="1" customFormat="1" x14ac:dyDescent="0.2">
      <c r="J581"/>
      <c r="K581"/>
      <c r="L581"/>
      <c r="M581" s="2"/>
      <c r="Q581"/>
      <c r="R581"/>
      <c r="S581"/>
      <c r="T581"/>
      <c r="U581"/>
    </row>
    <row r="582" spans="10:21" s="1" customFormat="1" x14ac:dyDescent="0.2">
      <c r="J582"/>
      <c r="K582"/>
      <c r="L582"/>
      <c r="M582" s="2"/>
      <c r="Q582"/>
      <c r="R582"/>
      <c r="S582"/>
      <c r="T582"/>
      <c r="U582"/>
    </row>
    <row r="583" spans="10:21" s="1" customFormat="1" x14ac:dyDescent="0.2">
      <c r="J583"/>
      <c r="K583"/>
      <c r="L583"/>
      <c r="M583" s="2"/>
      <c r="Q583"/>
      <c r="R583"/>
      <c r="S583"/>
      <c r="T583"/>
      <c r="U583"/>
    </row>
    <row r="584" spans="10:21" s="1" customFormat="1" x14ac:dyDescent="0.2">
      <c r="J584"/>
      <c r="K584"/>
      <c r="L584"/>
      <c r="M584" s="2"/>
      <c r="Q584"/>
      <c r="R584"/>
      <c r="S584"/>
      <c r="T584"/>
      <c r="U584"/>
    </row>
    <row r="585" spans="10:21" s="1" customFormat="1" x14ac:dyDescent="0.2">
      <c r="J585"/>
      <c r="K585"/>
      <c r="L585"/>
      <c r="M585" s="2"/>
      <c r="Q585"/>
      <c r="R585"/>
      <c r="S585"/>
      <c r="T585"/>
      <c r="U585"/>
    </row>
    <row r="586" spans="10:21" s="1" customFormat="1" x14ac:dyDescent="0.2">
      <c r="J586"/>
      <c r="K586"/>
      <c r="L586"/>
      <c r="M586" s="2"/>
      <c r="Q586"/>
      <c r="R586"/>
      <c r="S586"/>
      <c r="T586"/>
      <c r="U586"/>
    </row>
    <row r="587" spans="10:21" s="1" customFormat="1" x14ac:dyDescent="0.2">
      <c r="J587"/>
      <c r="K587"/>
      <c r="L587"/>
      <c r="M587" s="2"/>
      <c r="Q587"/>
      <c r="R587"/>
      <c r="S587"/>
      <c r="T587"/>
      <c r="U587"/>
    </row>
    <row r="588" spans="10:21" s="1" customFormat="1" x14ac:dyDescent="0.2">
      <c r="J588"/>
      <c r="K588"/>
      <c r="L588"/>
      <c r="M588" s="2"/>
      <c r="Q588"/>
      <c r="R588"/>
      <c r="S588"/>
      <c r="T588"/>
      <c r="U588"/>
    </row>
    <row r="589" spans="10:21" s="1" customFormat="1" x14ac:dyDescent="0.2">
      <c r="J589"/>
      <c r="K589"/>
      <c r="L589"/>
      <c r="M589" s="2"/>
      <c r="Q589"/>
      <c r="R589"/>
      <c r="S589"/>
      <c r="T589"/>
      <c r="U589"/>
    </row>
    <row r="590" spans="10:21" s="1" customFormat="1" x14ac:dyDescent="0.2">
      <c r="J590"/>
      <c r="K590"/>
      <c r="L590"/>
      <c r="M590" s="2"/>
      <c r="Q590"/>
      <c r="R590"/>
      <c r="S590"/>
      <c r="T590"/>
      <c r="U590"/>
    </row>
    <row r="591" spans="10:21" s="1" customFormat="1" x14ac:dyDescent="0.2">
      <c r="J591"/>
      <c r="K591"/>
      <c r="L591"/>
      <c r="M591" s="2"/>
      <c r="Q591"/>
      <c r="R591"/>
      <c r="S591"/>
      <c r="T591"/>
      <c r="U591"/>
    </row>
    <row r="592" spans="10:21" s="1" customFormat="1" x14ac:dyDescent="0.2">
      <c r="J592"/>
      <c r="K592"/>
      <c r="L592"/>
      <c r="M592" s="2"/>
      <c r="Q592"/>
      <c r="R592"/>
      <c r="S592"/>
      <c r="T592"/>
      <c r="U592"/>
    </row>
    <row r="593" spans="10:21" s="1" customFormat="1" x14ac:dyDescent="0.2">
      <c r="J593"/>
      <c r="K593"/>
      <c r="L593"/>
      <c r="M593" s="2"/>
      <c r="Q593"/>
      <c r="R593"/>
      <c r="S593"/>
      <c r="T593"/>
      <c r="U593"/>
    </row>
    <row r="594" spans="10:21" s="1" customFormat="1" x14ac:dyDescent="0.2">
      <c r="J594"/>
      <c r="K594"/>
      <c r="L594"/>
      <c r="M594" s="2"/>
      <c r="Q594"/>
      <c r="R594"/>
      <c r="S594"/>
      <c r="T594"/>
      <c r="U594"/>
    </row>
    <row r="595" spans="10:21" s="1" customFormat="1" x14ac:dyDescent="0.2">
      <c r="J595"/>
      <c r="K595"/>
      <c r="L595"/>
      <c r="M595" s="2"/>
      <c r="Q595"/>
      <c r="R595"/>
      <c r="S595"/>
      <c r="T595"/>
      <c r="U595"/>
    </row>
    <row r="596" spans="10:21" s="1" customFormat="1" x14ac:dyDescent="0.2">
      <c r="J596"/>
      <c r="K596"/>
      <c r="L596"/>
      <c r="M596" s="2"/>
      <c r="Q596"/>
      <c r="R596"/>
      <c r="S596"/>
      <c r="T596"/>
      <c r="U596"/>
    </row>
    <row r="597" spans="10:21" s="1" customFormat="1" x14ac:dyDescent="0.2">
      <c r="J597"/>
      <c r="K597"/>
      <c r="L597"/>
      <c r="M597" s="2"/>
      <c r="Q597"/>
      <c r="R597"/>
      <c r="S597"/>
      <c r="T597"/>
      <c r="U597"/>
    </row>
    <row r="598" spans="10:21" s="1" customFormat="1" x14ac:dyDescent="0.2">
      <c r="J598"/>
      <c r="K598"/>
      <c r="L598"/>
      <c r="M598" s="2"/>
      <c r="Q598"/>
      <c r="R598"/>
      <c r="S598"/>
      <c r="T598"/>
      <c r="U598"/>
    </row>
    <row r="599" spans="10:21" s="1" customFormat="1" x14ac:dyDescent="0.2">
      <c r="J599"/>
      <c r="K599"/>
      <c r="L599"/>
      <c r="M599" s="2"/>
      <c r="Q599"/>
      <c r="R599"/>
      <c r="S599"/>
      <c r="T599"/>
      <c r="U599"/>
    </row>
    <row r="600" spans="10:21" s="1" customFormat="1" x14ac:dyDescent="0.2">
      <c r="J600"/>
      <c r="K600"/>
      <c r="L600"/>
      <c r="M600" s="2"/>
      <c r="Q600"/>
      <c r="R600"/>
      <c r="S600"/>
      <c r="T600"/>
      <c r="U600"/>
    </row>
    <row r="601" spans="10:21" s="1" customFormat="1" x14ac:dyDescent="0.2">
      <c r="J601"/>
      <c r="K601"/>
      <c r="L601"/>
      <c r="M601" s="2"/>
      <c r="Q601"/>
      <c r="R601"/>
      <c r="S601"/>
      <c r="T601"/>
      <c r="U601"/>
    </row>
    <row r="602" spans="10:21" s="1" customFormat="1" x14ac:dyDescent="0.2">
      <c r="J602"/>
      <c r="K602"/>
      <c r="L602"/>
      <c r="M602" s="2"/>
      <c r="Q602"/>
      <c r="R602"/>
      <c r="S602"/>
      <c r="T602"/>
      <c r="U602"/>
    </row>
    <row r="603" spans="10:21" s="1" customFormat="1" x14ac:dyDescent="0.2">
      <c r="J603"/>
      <c r="K603"/>
      <c r="L603"/>
      <c r="M603" s="2"/>
      <c r="Q603"/>
      <c r="R603"/>
      <c r="S603"/>
      <c r="T603"/>
      <c r="U603"/>
    </row>
    <row r="604" spans="10:21" s="1" customFormat="1" x14ac:dyDescent="0.2">
      <c r="J604"/>
      <c r="K604"/>
      <c r="L604"/>
      <c r="M604" s="2"/>
      <c r="Q604"/>
      <c r="R604"/>
      <c r="S604"/>
      <c r="T604"/>
      <c r="U604"/>
    </row>
    <row r="605" spans="10:21" s="1" customFormat="1" x14ac:dyDescent="0.2">
      <c r="J605"/>
      <c r="K605"/>
      <c r="L605"/>
      <c r="M605" s="2"/>
      <c r="Q605"/>
      <c r="R605"/>
      <c r="S605"/>
      <c r="T605"/>
      <c r="U605"/>
    </row>
    <row r="606" spans="10:21" s="1" customFormat="1" x14ac:dyDescent="0.2">
      <c r="J606"/>
      <c r="K606"/>
      <c r="L606"/>
      <c r="M606" s="2"/>
      <c r="Q606"/>
      <c r="R606"/>
      <c r="S606"/>
      <c r="T606"/>
      <c r="U606"/>
    </row>
    <row r="607" spans="10:21" s="1" customFormat="1" x14ac:dyDescent="0.2">
      <c r="J607"/>
      <c r="K607"/>
      <c r="L607"/>
      <c r="M607" s="2"/>
      <c r="Q607"/>
      <c r="R607"/>
      <c r="S607"/>
      <c r="T607"/>
      <c r="U607"/>
    </row>
    <row r="608" spans="10:21" s="1" customFormat="1" x14ac:dyDescent="0.2">
      <c r="J608"/>
      <c r="K608"/>
      <c r="L608"/>
      <c r="M608" s="2"/>
      <c r="Q608"/>
      <c r="R608"/>
      <c r="S608"/>
      <c r="T608"/>
      <c r="U608"/>
    </row>
    <row r="609" spans="10:21" s="1" customFormat="1" x14ac:dyDescent="0.2">
      <c r="J609"/>
      <c r="K609"/>
      <c r="L609"/>
      <c r="M609" s="2"/>
      <c r="Q609"/>
      <c r="R609"/>
      <c r="S609"/>
      <c r="T609"/>
      <c r="U609"/>
    </row>
    <row r="610" spans="10:21" s="1" customFormat="1" x14ac:dyDescent="0.2">
      <c r="J610"/>
      <c r="K610"/>
      <c r="L610"/>
      <c r="M610" s="2"/>
      <c r="Q610"/>
      <c r="R610"/>
      <c r="S610"/>
      <c r="T610"/>
      <c r="U610"/>
    </row>
    <row r="611" spans="10:21" s="1" customFormat="1" x14ac:dyDescent="0.2">
      <c r="J611"/>
      <c r="K611"/>
      <c r="L611"/>
      <c r="M611" s="2"/>
      <c r="Q611"/>
      <c r="R611"/>
      <c r="S611"/>
      <c r="T611"/>
      <c r="U611"/>
    </row>
    <row r="612" spans="10:21" s="1" customFormat="1" x14ac:dyDescent="0.2">
      <c r="J612"/>
      <c r="K612"/>
      <c r="L612"/>
      <c r="M612" s="2"/>
      <c r="Q612"/>
      <c r="R612"/>
      <c r="S612"/>
      <c r="T612"/>
      <c r="U612"/>
    </row>
    <row r="613" spans="10:21" s="1" customFormat="1" x14ac:dyDescent="0.2">
      <c r="J613"/>
      <c r="K613"/>
      <c r="L613"/>
      <c r="M613" s="2"/>
      <c r="Q613"/>
      <c r="R613"/>
      <c r="S613"/>
      <c r="T613"/>
      <c r="U613"/>
    </row>
    <row r="614" spans="10:21" s="1" customFormat="1" x14ac:dyDescent="0.2">
      <c r="J614"/>
      <c r="K614"/>
      <c r="L614"/>
      <c r="M614" s="2"/>
      <c r="Q614"/>
      <c r="R614"/>
      <c r="S614"/>
      <c r="T614"/>
      <c r="U614"/>
    </row>
    <row r="615" spans="10:21" s="1" customFormat="1" x14ac:dyDescent="0.2">
      <c r="J615"/>
      <c r="K615"/>
      <c r="L615"/>
      <c r="M615" s="2"/>
      <c r="Q615"/>
      <c r="R615"/>
      <c r="S615"/>
      <c r="T615"/>
      <c r="U615"/>
    </row>
    <row r="616" spans="10:21" s="1" customFormat="1" x14ac:dyDescent="0.2">
      <c r="J616"/>
      <c r="K616"/>
      <c r="L616"/>
      <c r="M616" s="2"/>
      <c r="Q616"/>
      <c r="R616"/>
      <c r="S616"/>
      <c r="T616"/>
      <c r="U616"/>
    </row>
    <row r="617" spans="10:21" s="1" customFormat="1" x14ac:dyDescent="0.2">
      <c r="J617"/>
      <c r="K617"/>
      <c r="L617"/>
      <c r="M617" s="2"/>
      <c r="Q617"/>
      <c r="R617"/>
      <c r="S617"/>
      <c r="T617"/>
      <c r="U617"/>
    </row>
    <row r="618" spans="10:21" s="1" customFormat="1" x14ac:dyDescent="0.2">
      <c r="J618"/>
      <c r="K618"/>
      <c r="L618"/>
      <c r="M618" s="2"/>
      <c r="Q618"/>
      <c r="R618"/>
      <c r="S618"/>
      <c r="T618"/>
      <c r="U618"/>
    </row>
    <row r="619" spans="10:21" s="1" customFormat="1" x14ac:dyDescent="0.2">
      <c r="J619"/>
      <c r="K619"/>
      <c r="L619"/>
      <c r="M619" s="2"/>
      <c r="Q619"/>
      <c r="R619"/>
      <c r="S619"/>
      <c r="T619"/>
      <c r="U619"/>
    </row>
    <row r="620" spans="10:21" s="1" customFormat="1" x14ac:dyDescent="0.2">
      <c r="J620"/>
      <c r="K620"/>
      <c r="L620"/>
      <c r="M620" s="2"/>
      <c r="Q620"/>
      <c r="R620"/>
      <c r="S620"/>
      <c r="T620"/>
      <c r="U620"/>
    </row>
    <row r="621" spans="10:21" s="1" customFormat="1" x14ac:dyDescent="0.2">
      <c r="J621"/>
      <c r="K621"/>
      <c r="L621"/>
      <c r="M621" s="2"/>
      <c r="Q621"/>
      <c r="R621"/>
      <c r="S621"/>
      <c r="T621"/>
      <c r="U621"/>
    </row>
    <row r="622" spans="10:21" s="1" customFormat="1" x14ac:dyDescent="0.2">
      <c r="J622"/>
      <c r="K622"/>
      <c r="L622"/>
      <c r="M622" s="2"/>
      <c r="Q622"/>
      <c r="R622"/>
      <c r="S622"/>
      <c r="T622"/>
      <c r="U622"/>
    </row>
    <row r="623" spans="10:21" s="1" customFormat="1" x14ac:dyDescent="0.2">
      <c r="J623"/>
      <c r="K623"/>
      <c r="L623"/>
      <c r="M623" s="2"/>
      <c r="Q623"/>
      <c r="R623"/>
      <c r="S623"/>
      <c r="T623"/>
      <c r="U623"/>
    </row>
    <row r="624" spans="10:21" s="1" customFormat="1" x14ac:dyDescent="0.2">
      <c r="J624"/>
      <c r="K624"/>
      <c r="L624"/>
      <c r="M624" s="2"/>
      <c r="Q624"/>
      <c r="R624"/>
      <c r="S624"/>
      <c r="T624"/>
      <c r="U624"/>
    </row>
    <row r="625" spans="10:21" s="1" customFormat="1" x14ac:dyDescent="0.2">
      <c r="J625"/>
      <c r="K625"/>
      <c r="L625"/>
      <c r="M625" s="2"/>
      <c r="Q625"/>
      <c r="R625"/>
      <c r="S625"/>
      <c r="T625"/>
      <c r="U625"/>
    </row>
    <row r="626" spans="10:21" s="1" customFormat="1" x14ac:dyDescent="0.2">
      <c r="J626"/>
      <c r="K626"/>
      <c r="L626"/>
      <c r="M626" s="2"/>
      <c r="Q626"/>
      <c r="R626"/>
      <c r="S626"/>
      <c r="T626"/>
      <c r="U626"/>
    </row>
    <row r="627" spans="10:21" s="1" customFormat="1" x14ac:dyDescent="0.2">
      <c r="J627"/>
      <c r="K627"/>
      <c r="L627"/>
      <c r="M627" s="2"/>
      <c r="Q627"/>
      <c r="R627"/>
      <c r="S627"/>
      <c r="T627"/>
      <c r="U627"/>
    </row>
    <row r="628" spans="10:21" s="1" customFormat="1" x14ac:dyDescent="0.2">
      <c r="J628"/>
      <c r="K628"/>
      <c r="L628"/>
      <c r="M628" s="2"/>
      <c r="Q628"/>
      <c r="R628"/>
      <c r="S628"/>
      <c r="T628"/>
      <c r="U628"/>
    </row>
    <row r="629" spans="10:21" s="1" customFormat="1" x14ac:dyDescent="0.2">
      <c r="J629"/>
      <c r="K629"/>
      <c r="L629"/>
      <c r="M629" s="2"/>
      <c r="Q629"/>
      <c r="R629"/>
      <c r="S629"/>
      <c r="T629"/>
      <c r="U629"/>
    </row>
    <row r="630" spans="10:21" s="1" customFormat="1" x14ac:dyDescent="0.2">
      <c r="J630"/>
      <c r="K630"/>
      <c r="L630"/>
      <c r="M630" s="2"/>
      <c r="Q630"/>
      <c r="R630"/>
      <c r="S630"/>
      <c r="T630"/>
      <c r="U630"/>
    </row>
    <row r="631" spans="10:21" s="1" customFormat="1" x14ac:dyDescent="0.2">
      <c r="J631"/>
      <c r="K631"/>
      <c r="L631"/>
      <c r="M631" s="2"/>
      <c r="Q631"/>
      <c r="R631"/>
      <c r="S631"/>
      <c r="T631"/>
      <c r="U631"/>
    </row>
    <row r="632" spans="10:21" s="1" customFormat="1" x14ac:dyDescent="0.2">
      <c r="J632"/>
      <c r="K632"/>
      <c r="L632"/>
      <c r="M632" s="2"/>
      <c r="Q632"/>
      <c r="R632"/>
      <c r="S632"/>
      <c r="T632"/>
      <c r="U632"/>
    </row>
    <row r="633" spans="10:21" s="1" customFormat="1" x14ac:dyDescent="0.2">
      <c r="J633"/>
      <c r="K633"/>
      <c r="L633"/>
      <c r="M633" s="2"/>
      <c r="Q633"/>
      <c r="R633"/>
      <c r="S633"/>
      <c r="T633"/>
      <c r="U633"/>
    </row>
    <row r="634" spans="10:21" s="1" customFormat="1" x14ac:dyDescent="0.2">
      <c r="J634"/>
      <c r="K634"/>
      <c r="L634"/>
      <c r="M634" s="2"/>
      <c r="Q634"/>
      <c r="R634"/>
      <c r="S634"/>
      <c r="T634"/>
      <c r="U634"/>
    </row>
    <row r="635" spans="10:21" s="1" customFormat="1" x14ac:dyDescent="0.2">
      <c r="J635"/>
      <c r="K635"/>
      <c r="L635"/>
      <c r="M635" s="2"/>
      <c r="Q635"/>
      <c r="R635"/>
      <c r="S635"/>
      <c r="T635"/>
      <c r="U635"/>
    </row>
    <row r="636" spans="10:21" s="1" customFormat="1" x14ac:dyDescent="0.2">
      <c r="J636"/>
      <c r="K636"/>
      <c r="L636"/>
      <c r="M636" s="2"/>
      <c r="Q636"/>
      <c r="R636"/>
      <c r="S636"/>
      <c r="T636"/>
      <c r="U636"/>
    </row>
    <row r="637" spans="10:21" s="1" customFormat="1" x14ac:dyDescent="0.2">
      <c r="J637"/>
      <c r="K637"/>
      <c r="L637"/>
      <c r="M637" s="2"/>
      <c r="Q637"/>
      <c r="R637"/>
      <c r="S637"/>
      <c r="T637"/>
      <c r="U637"/>
    </row>
    <row r="638" spans="10:21" s="1" customFormat="1" x14ac:dyDescent="0.2">
      <c r="J638"/>
      <c r="K638"/>
      <c r="L638"/>
      <c r="M638" s="2"/>
      <c r="Q638"/>
      <c r="R638"/>
      <c r="S638"/>
      <c r="T638"/>
      <c r="U638"/>
    </row>
    <row r="639" spans="10:21" s="1" customFormat="1" x14ac:dyDescent="0.2">
      <c r="J639"/>
      <c r="K639"/>
      <c r="L639"/>
      <c r="M639" s="2"/>
      <c r="Q639"/>
      <c r="R639"/>
      <c r="S639"/>
      <c r="T639"/>
      <c r="U639"/>
    </row>
    <row r="640" spans="10:21" s="1" customFormat="1" x14ac:dyDescent="0.2">
      <c r="J640"/>
      <c r="K640"/>
      <c r="L640"/>
      <c r="M640" s="2"/>
      <c r="Q640"/>
      <c r="R640"/>
      <c r="S640"/>
      <c r="T640"/>
      <c r="U640"/>
    </row>
    <row r="641" spans="10:21" s="1" customFormat="1" x14ac:dyDescent="0.2">
      <c r="J641"/>
      <c r="K641"/>
      <c r="L641"/>
      <c r="M641" s="2"/>
      <c r="Q641"/>
      <c r="R641"/>
      <c r="S641"/>
      <c r="T641"/>
      <c r="U641"/>
    </row>
    <row r="642" spans="10:21" s="1" customFormat="1" x14ac:dyDescent="0.2">
      <c r="J642"/>
      <c r="K642"/>
      <c r="L642"/>
      <c r="M642" s="2"/>
      <c r="Q642"/>
      <c r="R642"/>
      <c r="S642"/>
      <c r="T642"/>
      <c r="U642"/>
    </row>
    <row r="643" spans="10:21" s="1" customFormat="1" x14ac:dyDescent="0.2">
      <c r="J643"/>
      <c r="K643"/>
      <c r="L643"/>
      <c r="M643" s="2"/>
      <c r="Q643"/>
      <c r="R643"/>
      <c r="S643"/>
      <c r="T643"/>
      <c r="U643"/>
    </row>
    <row r="644" spans="10:21" s="1" customFormat="1" x14ac:dyDescent="0.2">
      <c r="J644"/>
      <c r="K644"/>
      <c r="L644"/>
      <c r="M644" s="2"/>
      <c r="Q644"/>
      <c r="R644"/>
      <c r="S644"/>
      <c r="T644"/>
      <c r="U644"/>
    </row>
    <row r="645" spans="10:21" s="1" customFormat="1" x14ac:dyDescent="0.2">
      <c r="J645"/>
      <c r="K645"/>
      <c r="L645"/>
      <c r="M645" s="2"/>
      <c r="Q645"/>
      <c r="R645"/>
      <c r="S645"/>
      <c r="T645"/>
      <c r="U645"/>
    </row>
    <row r="646" spans="10:21" s="1" customFormat="1" x14ac:dyDescent="0.2">
      <c r="J646"/>
      <c r="K646"/>
      <c r="L646"/>
      <c r="M646" s="2"/>
      <c r="Q646"/>
      <c r="R646"/>
      <c r="S646"/>
      <c r="T646"/>
      <c r="U646"/>
    </row>
    <row r="647" spans="10:21" s="1" customFormat="1" x14ac:dyDescent="0.2">
      <c r="J647"/>
      <c r="K647"/>
      <c r="L647"/>
      <c r="M647" s="2"/>
      <c r="Q647"/>
      <c r="R647"/>
      <c r="S647"/>
      <c r="T647"/>
      <c r="U647"/>
    </row>
    <row r="648" spans="10:21" s="1" customFormat="1" x14ac:dyDescent="0.2">
      <c r="J648"/>
      <c r="K648"/>
      <c r="L648"/>
      <c r="M648" s="2"/>
      <c r="Q648"/>
      <c r="R648"/>
      <c r="S648"/>
      <c r="T648"/>
      <c r="U648"/>
    </row>
    <row r="649" spans="10:21" s="1" customFormat="1" x14ac:dyDescent="0.2">
      <c r="J649"/>
      <c r="K649"/>
      <c r="L649"/>
      <c r="M649" s="2"/>
      <c r="Q649"/>
      <c r="R649"/>
      <c r="S649"/>
      <c r="T649"/>
      <c r="U649"/>
    </row>
    <row r="650" spans="10:21" s="1" customFormat="1" x14ac:dyDescent="0.2">
      <c r="J650"/>
      <c r="K650"/>
      <c r="L650"/>
      <c r="M650" s="2"/>
      <c r="Q650"/>
      <c r="R650"/>
      <c r="S650"/>
      <c r="T650"/>
      <c r="U650"/>
    </row>
    <row r="651" spans="10:21" s="1" customFormat="1" x14ac:dyDescent="0.2">
      <c r="J651"/>
      <c r="K651"/>
      <c r="L651"/>
      <c r="M651" s="2"/>
      <c r="Q651"/>
      <c r="R651"/>
      <c r="S651"/>
      <c r="T651"/>
      <c r="U651"/>
    </row>
    <row r="652" spans="10:21" s="1" customFormat="1" x14ac:dyDescent="0.2">
      <c r="J652"/>
      <c r="K652"/>
      <c r="L652"/>
      <c r="M652" s="2"/>
      <c r="Q652"/>
      <c r="R652"/>
      <c r="S652"/>
      <c r="T652"/>
      <c r="U652"/>
    </row>
    <row r="653" spans="10:21" s="1" customFormat="1" x14ac:dyDescent="0.2">
      <c r="J653"/>
      <c r="K653"/>
      <c r="L653"/>
      <c r="M653" s="2"/>
      <c r="Q653"/>
      <c r="R653"/>
      <c r="S653"/>
      <c r="T653"/>
      <c r="U653"/>
    </row>
    <row r="654" spans="10:21" s="1" customFormat="1" x14ac:dyDescent="0.2">
      <c r="J654"/>
      <c r="K654"/>
      <c r="L654"/>
      <c r="M654" s="2"/>
      <c r="Q654"/>
      <c r="R654"/>
      <c r="S654"/>
      <c r="T654"/>
      <c r="U654"/>
    </row>
    <row r="655" spans="10:21" s="1" customFormat="1" x14ac:dyDescent="0.2">
      <c r="J655"/>
      <c r="K655"/>
      <c r="L655"/>
      <c r="M655" s="2"/>
      <c r="Q655"/>
      <c r="R655"/>
      <c r="S655"/>
      <c r="T655"/>
      <c r="U655"/>
    </row>
    <row r="656" spans="10:21" s="1" customFormat="1" x14ac:dyDescent="0.2">
      <c r="J656"/>
      <c r="K656"/>
      <c r="L656"/>
      <c r="M656" s="2"/>
      <c r="Q656"/>
      <c r="R656"/>
      <c r="S656"/>
      <c r="T656"/>
      <c r="U656"/>
    </row>
    <row r="657" spans="10:21" s="1" customFormat="1" x14ac:dyDescent="0.2">
      <c r="J657"/>
      <c r="K657"/>
      <c r="L657"/>
      <c r="M657" s="2"/>
      <c r="Q657"/>
      <c r="R657"/>
      <c r="S657"/>
      <c r="T657"/>
      <c r="U657"/>
    </row>
    <row r="658" spans="10:21" s="1" customFormat="1" x14ac:dyDescent="0.2">
      <c r="J658"/>
      <c r="K658"/>
      <c r="L658"/>
      <c r="M658" s="2"/>
      <c r="Q658"/>
      <c r="R658"/>
      <c r="S658"/>
      <c r="T658"/>
      <c r="U658"/>
    </row>
    <row r="659" spans="10:21" s="1" customFormat="1" x14ac:dyDescent="0.2">
      <c r="J659"/>
      <c r="K659"/>
      <c r="L659"/>
      <c r="M659" s="2"/>
      <c r="Q659"/>
      <c r="R659"/>
      <c r="S659"/>
      <c r="T659"/>
      <c r="U659"/>
    </row>
    <row r="660" spans="10:21" s="1" customFormat="1" x14ac:dyDescent="0.2">
      <c r="J660"/>
      <c r="K660"/>
      <c r="L660"/>
      <c r="M660" s="2"/>
      <c r="Q660"/>
      <c r="R660"/>
      <c r="S660"/>
      <c r="T660"/>
      <c r="U660"/>
    </row>
    <row r="661" spans="10:21" s="1" customFormat="1" x14ac:dyDescent="0.2">
      <c r="J661"/>
      <c r="K661"/>
      <c r="L661"/>
      <c r="M661" s="2"/>
      <c r="Q661"/>
      <c r="R661"/>
      <c r="S661"/>
      <c r="T661"/>
      <c r="U661"/>
    </row>
    <row r="662" spans="10:21" s="1" customFormat="1" x14ac:dyDescent="0.2">
      <c r="J662"/>
      <c r="K662"/>
      <c r="L662"/>
      <c r="M662" s="2"/>
      <c r="Q662"/>
      <c r="R662"/>
      <c r="S662"/>
      <c r="T662"/>
      <c r="U662"/>
    </row>
    <row r="663" spans="10:21" s="1" customFormat="1" x14ac:dyDescent="0.2">
      <c r="J663"/>
      <c r="K663"/>
      <c r="L663"/>
      <c r="M663" s="2"/>
      <c r="Q663"/>
      <c r="R663"/>
      <c r="S663"/>
      <c r="T663"/>
      <c r="U663"/>
    </row>
    <row r="664" spans="10:21" s="1" customFormat="1" x14ac:dyDescent="0.2">
      <c r="J664"/>
      <c r="K664"/>
      <c r="L664"/>
      <c r="M664" s="2"/>
      <c r="Q664"/>
      <c r="R664"/>
      <c r="S664"/>
      <c r="T664"/>
      <c r="U664"/>
    </row>
    <row r="665" spans="10:21" s="1" customFormat="1" x14ac:dyDescent="0.2">
      <c r="J665"/>
      <c r="K665"/>
      <c r="L665"/>
      <c r="M665" s="2"/>
      <c r="Q665"/>
      <c r="R665"/>
      <c r="S665"/>
      <c r="T665"/>
      <c r="U665"/>
    </row>
    <row r="666" spans="10:21" s="1" customFormat="1" x14ac:dyDescent="0.2">
      <c r="J666"/>
      <c r="K666"/>
      <c r="L666"/>
      <c r="M666" s="2"/>
      <c r="Q666"/>
      <c r="R666"/>
      <c r="S666"/>
      <c r="T666"/>
      <c r="U666"/>
    </row>
    <row r="667" spans="10:21" s="1" customFormat="1" x14ac:dyDescent="0.2">
      <c r="J667"/>
      <c r="K667"/>
      <c r="L667"/>
      <c r="M667" s="2"/>
      <c r="Q667"/>
      <c r="R667"/>
      <c r="S667"/>
      <c r="T667"/>
      <c r="U667"/>
    </row>
    <row r="668" spans="10:21" s="1" customFormat="1" x14ac:dyDescent="0.2">
      <c r="J668"/>
      <c r="K668"/>
      <c r="L668"/>
      <c r="M668" s="2"/>
      <c r="Q668"/>
      <c r="R668"/>
      <c r="S668"/>
      <c r="T668"/>
      <c r="U668"/>
    </row>
    <row r="669" spans="10:21" s="1" customFormat="1" x14ac:dyDescent="0.2">
      <c r="J669"/>
      <c r="K669"/>
      <c r="L669"/>
      <c r="M669" s="2"/>
      <c r="Q669"/>
      <c r="R669"/>
      <c r="S669"/>
      <c r="T669"/>
      <c r="U669"/>
    </row>
    <row r="670" spans="10:21" s="1" customFormat="1" x14ac:dyDescent="0.2">
      <c r="J670"/>
      <c r="K670"/>
      <c r="L670"/>
      <c r="M670" s="2"/>
      <c r="Q670"/>
      <c r="R670"/>
      <c r="S670"/>
      <c r="T670"/>
      <c r="U670"/>
    </row>
    <row r="671" spans="10:21" s="1" customFormat="1" x14ac:dyDescent="0.2">
      <c r="J671"/>
      <c r="K671"/>
      <c r="L671"/>
      <c r="M671" s="2"/>
      <c r="Q671"/>
      <c r="R671"/>
      <c r="S671"/>
      <c r="T671"/>
      <c r="U671"/>
    </row>
    <row r="672" spans="10:21" s="1" customFormat="1" x14ac:dyDescent="0.2">
      <c r="J672"/>
      <c r="K672"/>
      <c r="L672"/>
      <c r="M672" s="2"/>
      <c r="Q672"/>
      <c r="R672"/>
      <c r="S672"/>
      <c r="T672"/>
      <c r="U672"/>
    </row>
    <row r="673" spans="10:21" s="1" customFormat="1" x14ac:dyDescent="0.2">
      <c r="J673"/>
      <c r="K673"/>
      <c r="L673"/>
      <c r="M673" s="2"/>
      <c r="Q673"/>
      <c r="R673"/>
      <c r="S673"/>
      <c r="T673"/>
      <c r="U673"/>
    </row>
    <row r="674" spans="10:21" s="1" customFormat="1" x14ac:dyDescent="0.2">
      <c r="J674"/>
      <c r="K674"/>
      <c r="L674"/>
      <c r="M674" s="2"/>
      <c r="Q674"/>
      <c r="R674"/>
      <c r="S674"/>
      <c r="T674"/>
      <c r="U674"/>
    </row>
    <row r="675" spans="10:21" s="1" customFormat="1" x14ac:dyDescent="0.2">
      <c r="J675"/>
      <c r="K675"/>
      <c r="L675"/>
      <c r="M675" s="2"/>
      <c r="Q675"/>
      <c r="R675"/>
      <c r="S675"/>
      <c r="T675"/>
      <c r="U675"/>
    </row>
    <row r="676" spans="10:21" s="1" customFormat="1" x14ac:dyDescent="0.2">
      <c r="J676"/>
      <c r="K676"/>
      <c r="L676"/>
      <c r="M676" s="2"/>
      <c r="Q676"/>
      <c r="R676"/>
      <c r="S676"/>
      <c r="T676"/>
      <c r="U676"/>
    </row>
    <row r="677" spans="10:21" s="1" customFormat="1" x14ac:dyDescent="0.2">
      <c r="J677"/>
      <c r="K677"/>
      <c r="L677"/>
      <c r="M677" s="2"/>
      <c r="Q677"/>
      <c r="R677"/>
      <c r="S677"/>
      <c r="T677"/>
      <c r="U677"/>
    </row>
    <row r="678" spans="10:21" s="1" customFormat="1" x14ac:dyDescent="0.2">
      <c r="J678"/>
      <c r="K678"/>
      <c r="L678"/>
      <c r="M678" s="2"/>
      <c r="Q678"/>
      <c r="R678"/>
      <c r="S678"/>
      <c r="T678"/>
      <c r="U678"/>
    </row>
    <row r="679" spans="10:21" s="1" customFormat="1" x14ac:dyDescent="0.2">
      <c r="J679"/>
      <c r="K679"/>
      <c r="L679"/>
      <c r="M679" s="2"/>
      <c r="Q679"/>
      <c r="R679"/>
      <c r="S679"/>
      <c r="T679"/>
      <c r="U679"/>
    </row>
    <row r="680" spans="10:21" s="1" customFormat="1" x14ac:dyDescent="0.2">
      <c r="J680"/>
      <c r="K680"/>
      <c r="L680"/>
      <c r="M680" s="2"/>
      <c r="Q680"/>
      <c r="R680"/>
      <c r="S680"/>
      <c r="T680"/>
      <c r="U680"/>
    </row>
    <row r="681" spans="10:21" s="1" customFormat="1" x14ac:dyDescent="0.2">
      <c r="J681"/>
      <c r="K681"/>
      <c r="L681"/>
      <c r="M681" s="2"/>
      <c r="Q681"/>
      <c r="R681"/>
      <c r="S681"/>
      <c r="T681"/>
      <c r="U681"/>
    </row>
    <row r="682" spans="10:21" s="1" customFormat="1" x14ac:dyDescent="0.2">
      <c r="J682"/>
      <c r="K682"/>
      <c r="L682"/>
      <c r="M682" s="2"/>
      <c r="Q682"/>
      <c r="R682"/>
      <c r="S682"/>
      <c r="T682"/>
      <c r="U682"/>
    </row>
    <row r="683" spans="10:21" s="1" customFormat="1" x14ac:dyDescent="0.2">
      <c r="J683"/>
      <c r="K683"/>
      <c r="L683"/>
      <c r="M683" s="2"/>
      <c r="Q683"/>
      <c r="R683"/>
      <c r="S683"/>
      <c r="T683"/>
      <c r="U683"/>
    </row>
    <row r="684" spans="10:21" s="1" customFormat="1" x14ac:dyDescent="0.2">
      <c r="J684"/>
      <c r="K684"/>
      <c r="L684"/>
      <c r="M684" s="2"/>
      <c r="Q684"/>
      <c r="R684"/>
      <c r="S684"/>
      <c r="T684"/>
      <c r="U684"/>
    </row>
    <row r="685" spans="10:21" s="1" customFormat="1" x14ac:dyDescent="0.2">
      <c r="J685"/>
      <c r="K685"/>
      <c r="L685"/>
      <c r="M685" s="2"/>
      <c r="Q685"/>
      <c r="R685"/>
      <c r="S685"/>
      <c r="T685"/>
      <c r="U685"/>
    </row>
    <row r="686" spans="10:21" s="1" customFormat="1" x14ac:dyDescent="0.2">
      <c r="J686"/>
      <c r="K686"/>
      <c r="L686"/>
      <c r="M686" s="2"/>
      <c r="Q686"/>
      <c r="R686"/>
      <c r="S686"/>
      <c r="T686"/>
      <c r="U686"/>
    </row>
    <row r="687" spans="10:21" s="1" customFormat="1" x14ac:dyDescent="0.2">
      <c r="J687"/>
      <c r="K687"/>
      <c r="L687"/>
      <c r="M687" s="2"/>
      <c r="Q687"/>
      <c r="R687"/>
      <c r="S687"/>
      <c r="T687"/>
      <c r="U687"/>
    </row>
    <row r="688" spans="10:21" s="1" customFormat="1" x14ac:dyDescent="0.2">
      <c r="J688"/>
      <c r="K688"/>
      <c r="L688"/>
      <c r="M688" s="2"/>
      <c r="Q688"/>
      <c r="R688"/>
      <c r="S688"/>
      <c r="T688"/>
      <c r="U688"/>
    </row>
    <row r="689" spans="10:21" s="1" customFormat="1" x14ac:dyDescent="0.2">
      <c r="J689"/>
      <c r="K689"/>
      <c r="L689"/>
      <c r="M689" s="2"/>
      <c r="Q689"/>
      <c r="R689"/>
      <c r="S689"/>
      <c r="T689"/>
      <c r="U689"/>
    </row>
    <row r="690" spans="10:21" s="1" customFormat="1" x14ac:dyDescent="0.2">
      <c r="J690"/>
      <c r="K690"/>
      <c r="L690"/>
      <c r="M690" s="2"/>
      <c r="Q690"/>
      <c r="R690"/>
      <c r="S690"/>
      <c r="T690"/>
      <c r="U690"/>
    </row>
    <row r="691" spans="10:21" s="1" customFormat="1" x14ac:dyDescent="0.2">
      <c r="J691"/>
      <c r="K691"/>
      <c r="L691"/>
      <c r="M691" s="2"/>
      <c r="Q691"/>
      <c r="R691"/>
      <c r="S691"/>
      <c r="T691"/>
      <c r="U691"/>
    </row>
    <row r="692" spans="10:21" s="1" customFormat="1" x14ac:dyDescent="0.2">
      <c r="J692"/>
      <c r="K692"/>
      <c r="L692"/>
      <c r="M692" s="2"/>
      <c r="Q692"/>
      <c r="R692"/>
      <c r="S692"/>
      <c r="T692"/>
      <c r="U692"/>
    </row>
    <row r="693" spans="10:21" s="1" customFormat="1" x14ac:dyDescent="0.2">
      <c r="J693"/>
      <c r="K693"/>
      <c r="L693"/>
      <c r="M693" s="2"/>
      <c r="Q693"/>
      <c r="R693"/>
      <c r="S693"/>
      <c r="T693"/>
      <c r="U693"/>
    </row>
    <row r="694" spans="10:21" s="1" customFormat="1" x14ac:dyDescent="0.2">
      <c r="J694"/>
      <c r="K694"/>
      <c r="L694"/>
      <c r="M694" s="2"/>
      <c r="Q694"/>
      <c r="R694"/>
      <c r="S694"/>
      <c r="T694"/>
      <c r="U694"/>
    </row>
    <row r="695" spans="10:21" s="1" customFormat="1" x14ac:dyDescent="0.2">
      <c r="J695"/>
      <c r="K695"/>
      <c r="L695"/>
      <c r="M695" s="2"/>
      <c r="Q695"/>
      <c r="R695"/>
      <c r="S695"/>
      <c r="T695"/>
      <c r="U695"/>
    </row>
    <row r="696" spans="10:21" s="1" customFormat="1" x14ac:dyDescent="0.2">
      <c r="J696"/>
      <c r="K696"/>
      <c r="L696"/>
      <c r="M696" s="2"/>
      <c r="Q696"/>
      <c r="R696"/>
      <c r="S696"/>
      <c r="T696"/>
      <c r="U696"/>
    </row>
    <row r="697" spans="10:21" s="1" customFormat="1" x14ac:dyDescent="0.2">
      <c r="J697"/>
      <c r="K697"/>
      <c r="L697"/>
      <c r="M697" s="2"/>
      <c r="Q697"/>
      <c r="R697"/>
      <c r="S697"/>
      <c r="T697"/>
      <c r="U697"/>
    </row>
    <row r="698" spans="10:21" s="1" customFormat="1" x14ac:dyDescent="0.2">
      <c r="J698"/>
      <c r="K698"/>
      <c r="L698"/>
      <c r="M698" s="2"/>
      <c r="Q698"/>
      <c r="R698"/>
      <c r="S698"/>
      <c r="T698"/>
      <c r="U698"/>
    </row>
    <row r="699" spans="10:21" s="1" customFormat="1" x14ac:dyDescent="0.2">
      <c r="J699"/>
      <c r="K699"/>
      <c r="L699"/>
      <c r="M699" s="2"/>
      <c r="Q699"/>
      <c r="R699"/>
      <c r="S699"/>
      <c r="T699"/>
      <c r="U699"/>
    </row>
    <row r="700" spans="10:21" s="1" customFormat="1" x14ac:dyDescent="0.2">
      <c r="J700"/>
      <c r="K700"/>
      <c r="L700"/>
      <c r="M700" s="2"/>
      <c r="Q700"/>
      <c r="R700"/>
      <c r="S700"/>
      <c r="T700"/>
      <c r="U700"/>
    </row>
    <row r="701" spans="10:21" s="1" customFormat="1" x14ac:dyDescent="0.2">
      <c r="J701"/>
      <c r="K701"/>
      <c r="L701"/>
      <c r="M701" s="2"/>
      <c r="Q701"/>
      <c r="R701"/>
      <c r="S701"/>
      <c r="T701"/>
      <c r="U701"/>
    </row>
    <row r="702" spans="10:21" s="1" customFormat="1" x14ac:dyDescent="0.2">
      <c r="J702"/>
      <c r="K702"/>
      <c r="L702"/>
      <c r="M702" s="2"/>
      <c r="Q702"/>
      <c r="R702"/>
      <c r="S702"/>
      <c r="T702"/>
      <c r="U702"/>
    </row>
    <row r="703" spans="10:21" s="1" customFormat="1" x14ac:dyDescent="0.2">
      <c r="J703"/>
      <c r="K703"/>
      <c r="L703"/>
      <c r="M703" s="2"/>
      <c r="Q703"/>
      <c r="R703"/>
      <c r="S703"/>
      <c r="T703"/>
      <c r="U703"/>
    </row>
    <row r="704" spans="10:21" s="1" customFormat="1" x14ac:dyDescent="0.2">
      <c r="J704"/>
      <c r="K704"/>
      <c r="L704"/>
      <c r="M704" s="2"/>
      <c r="Q704"/>
      <c r="R704"/>
      <c r="S704"/>
      <c r="T704"/>
      <c r="U704"/>
    </row>
    <row r="705" spans="10:21" s="1" customFormat="1" x14ac:dyDescent="0.2">
      <c r="J705"/>
      <c r="K705"/>
      <c r="L705"/>
      <c r="M705" s="2"/>
      <c r="Q705"/>
      <c r="R705"/>
      <c r="S705"/>
      <c r="T705"/>
      <c r="U705"/>
    </row>
    <row r="706" spans="10:21" s="1" customFormat="1" x14ac:dyDescent="0.2">
      <c r="J706"/>
      <c r="K706"/>
      <c r="L706"/>
      <c r="M706" s="2"/>
      <c r="Q706"/>
      <c r="R706"/>
      <c r="S706"/>
      <c r="T706"/>
      <c r="U706"/>
    </row>
    <row r="707" spans="10:21" s="1" customFormat="1" x14ac:dyDescent="0.2">
      <c r="J707"/>
      <c r="K707"/>
      <c r="L707"/>
      <c r="M707" s="2"/>
      <c r="Q707"/>
      <c r="R707"/>
      <c r="S707"/>
      <c r="T707"/>
      <c r="U707"/>
    </row>
    <row r="708" spans="10:21" s="1" customFormat="1" x14ac:dyDescent="0.2">
      <c r="J708"/>
      <c r="K708"/>
      <c r="L708"/>
      <c r="M708" s="2"/>
      <c r="Q708"/>
      <c r="R708"/>
      <c r="S708"/>
      <c r="T708"/>
      <c r="U708"/>
    </row>
    <row r="709" spans="10:21" s="1" customFormat="1" x14ac:dyDescent="0.2">
      <c r="J709"/>
      <c r="K709"/>
      <c r="L709"/>
      <c r="M709" s="2"/>
      <c r="Q709"/>
      <c r="R709"/>
      <c r="S709"/>
      <c r="T709"/>
      <c r="U709"/>
    </row>
    <row r="710" spans="10:21" s="1" customFormat="1" x14ac:dyDescent="0.2">
      <c r="J710"/>
      <c r="K710"/>
      <c r="L710"/>
      <c r="M710" s="2"/>
      <c r="Q710"/>
      <c r="R710"/>
      <c r="S710"/>
      <c r="T710"/>
      <c r="U710"/>
    </row>
    <row r="711" spans="10:21" s="1" customFormat="1" x14ac:dyDescent="0.2">
      <c r="J711"/>
      <c r="K711"/>
      <c r="L711"/>
      <c r="M711" s="2"/>
      <c r="Q711"/>
      <c r="R711"/>
      <c r="S711"/>
      <c r="T711"/>
      <c r="U711"/>
    </row>
    <row r="712" spans="10:21" s="1" customFormat="1" x14ac:dyDescent="0.2">
      <c r="J712"/>
      <c r="K712"/>
      <c r="L712"/>
      <c r="M712" s="2"/>
      <c r="Q712"/>
      <c r="R712"/>
      <c r="S712"/>
      <c r="T712"/>
      <c r="U712"/>
    </row>
    <row r="713" spans="10:21" s="1" customFormat="1" x14ac:dyDescent="0.2">
      <c r="J713"/>
      <c r="K713"/>
      <c r="L713"/>
      <c r="M713" s="2"/>
      <c r="Q713"/>
      <c r="R713"/>
      <c r="S713"/>
      <c r="T713"/>
      <c r="U713"/>
    </row>
    <row r="714" spans="10:21" s="1" customFormat="1" x14ac:dyDescent="0.2">
      <c r="J714"/>
      <c r="K714"/>
      <c r="L714"/>
      <c r="M714" s="2"/>
      <c r="Q714"/>
      <c r="R714"/>
      <c r="S714"/>
      <c r="T714"/>
      <c r="U714"/>
    </row>
    <row r="715" spans="10:21" s="1" customFormat="1" x14ac:dyDescent="0.2">
      <c r="J715"/>
      <c r="K715"/>
      <c r="L715"/>
      <c r="M715" s="2"/>
      <c r="Q715"/>
      <c r="R715"/>
      <c r="S715"/>
      <c r="T715"/>
      <c r="U715"/>
    </row>
    <row r="716" spans="10:21" s="1" customFormat="1" x14ac:dyDescent="0.2">
      <c r="J716"/>
      <c r="K716"/>
      <c r="L716"/>
      <c r="M716" s="2"/>
      <c r="Q716"/>
      <c r="R716"/>
      <c r="S716"/>
      <c r="T716"/>
      <c r="U716"/>
    </row>
    <row r="717" spans="10:21" s="1" customFormat="1" x14ac:dyDescent="0.2">
      <c r="J717"/>
      <c r="K717"/>
      <c r="L717"/>
      <c r="M717" s="2"/>
      <c r="Q717"/>
      <c r="R717"/>
      <c r="S717"/>
      <c r="T717"/>
      <c r="U717"/>
    </row>
    <row r="718" spans="10:21" s="1" customFormat="1" x14ac:dyDescent="0.2">
      <c r="J718"/>
      <c r="K718"/>
      <c r="L718"/>
      <c r="M718" s="2"/>
      <c r="Q718"/>
      <c r="R718"/>
      <c r="S718"/>
      <c r="T718"/>
      <c r="U718"/>
    </row>
    <row r="719" spans="10:21" s="1" customFormat="1" x14ac:dyDescent="0.2">
      <c r="J719"/>
      <c r="K719"/>
      <c r="L719"/>
      <c r="M719" s="2"/>
      <c r="Q719"/>
      <c r="R719"/>
      <c r="S719"/>
      <c r="T719"/>
      <c r="U719"/>
    </row>
    <row r="720" spans="10:21" s="1" customFormat="1" x14ac:dyDescent="0.2">
      <c r="J720"/>
      <c r="K720"/>
      <c r="L720"/>
      <c r="M720" s="2"/>
      <c r="Q720"/>
      <c r="R720"/>
      <c r="S720"/>
      <c r="T720"/>
      <c r="U720"/>
    </row>
    <row r="721" spans="10:21" s="1" customFormat="1" x14ac:dyDescent="0.2">
      <c r="J721"/>
      <c r="K721"/>
      <c r="L721"/>
      <c r="M721" s="2"/>
      <c r="Q721"/>
      <c r="R721"/>
      <c r="S721"/>
      <c r="T721"/>
      <c r="U721"/>
    </row>
    <row r="722" spans="10:21" s="1" customFormat="1" x14ac:dyDescent="0.2">
      <c r="J722"/>
      <c r="K722"/>
      <c r="L722"/>
      <c r="M722" s="2"/>
      <c r="Q722"/>
      <c r="R722"/>
      <c r="S722"/>
      <c r="T722"/>
      <c r="U722"/>
    </row>
    <row r="723" spans="10:21" s="1" customFormat="1" x14ac:dyDescent="0.2">
      <c r="J723"/>
      <c r="K723"/>
      <c r="L723"/>
      <c r="M723" s="2"/>
      <c r="Q723"/>
      <c r="R723"/>
      <c r="S723"/>
      <c r="T723"/>
      <c r="U723"/>
    </row>
    <row r="724" spans="10:21" s="1" customFormat="1" x14ac:dyDescent="0.2">
      <c r="J724"/>
      <c r="K724"/>
      <c r="L724"/>
      <c r="M724" s="2"/>
      <c r="Q724"/>
      <c r="R724"/>
      <c r="S724"/>
      <c r="T724"/>
      <c r="U724"/>
    </row>
    <row r="725" spans="10:21" s="1" customFormat="1" x14ac:dyDescent="0.2">
      <c r="J725"/>
      <c r="K725"/>
      <c r="L725"/>
      <c r="M725" s="2"/>
      <c r="Q725"/>
      <c r="R725"/>
      <c r="S725"/>
      <c r="T725"/>
      <c r="U725"/>
    </row>
    <row r="726" spans="10:21" s="1" customFormat="1" x14ac:dyDescent="0.2">
      <c r="J726"/>
      <c r="K726"/>
      <c r="L726"/>
      <c r="M726" s="2"/>
      <c r="Q726"/>
      <c r="R726"/>
      <c r="S726"/>
      <c r="T726"/>
      <c r="U726"/>
    </row>
    <row r="727" spans="10:21" s="1" customFormat="1" x14ac:dyDescent="0.2">
      <c r="J727"/>
      <c r="K727"/>
      <c r="L727"/>
      <c r="M727" s="2"/>
      <c r="Q727"/>
      <c r="R727"/>
      <c r="S727"/>
      <c r="T727"/>
      <c r="U727"/>
    </row>
    <row r="728" spans="10:21" s="1" customFormat="1" x14ac:dyDescent="0.2">
      <c r="J728"/>
      <c r="K728"/>
      <c r="L728"/>
      <c r="M728" s="2"/>
      <c r="Q728"/>
      <c r="R728"/>
      <c r="S728"/>
      <c r="T728"/>
      <c r="U728"/>
    </row>
    <row r="729" spans="10:21" s="1" customFormat="1" x14ac:dyDescent="0.2">
      <c r="J729"/>
      <c r="K729"/>
      <c r="L729"/>
      <c r="M729" s="2"/>
      <c r="Q729"/>
      <c r="R729"/>
      <c r="S729"/>
      <c r="T729"/>
      <c r="U729"/>
    </row>
    <row r="730" spans="10:21" s="1" customFormat="1" x14ac:dyDescent="0.2">
      <c r="J730"/>
      <c r="K730"/>
      <c r="L730"/>
      <c r="M730" s="2"/>
      <c r="Q730"/>
      <c r="R730"/>
      <c r="S730"/>
      <c r="T730"/>
      <c r="U730"/>
    </row>
    <row r="731" spans="10:21" s="1" customFormat="1" x14ac:dyDescent="0.2">
      <c r="J731"/>
      <c r="K731"/>
      <c r="L731"/>
      <c r="M731" s="2"/>
      <c r="Q731"/>
      <c r="R731"/>
      <c r="S731"/>
      <c r="T731"/>
      <c r="U731"/>
    </row>
    <row r="732" spans="10:21" s="1" customFormat="1" x14ac:dyDescent="0.2">
      <c r="J732"/>
      <c r="K732"/>
      <c r="L732"/>
      <c r="M732" s="2"/>
      <c r="Q732"/>
      <c r="R732"/>
      <c r="S732"/>
      <c r="T732"/>
      <c r="U732"/>
    </row>
  </sheetData>
  <mergeCells count="107">
    <mergeCell ref="B2:U2"/>
    <mergeCell ref="B8:B10"/>
    <mergeCell ref="D8:D9"/>
    <mergeCell ref="E8:E10"/>
    <mergeCell ref="F8:F9"/>
    <mergeCell ref="H8:H9"/>
    <mergeCell ref="U15:U16"/>
    <mergeCell ref="R8:R10"/>
    <mergeCell ref="T8:T10"/>
    <mergeCell ref="U8:U9"/>
    <mergeCell ref="I8:I9"/>
    <mergeCell ref="J8:J10"/>
    <mergeCell ref="K8:K10"/>
    <mergeCell ref="L8:L9"/>
    <mergeCell ref="N8:N9"/>
    <mergeCell ref="P8:P10"/>
    <mergeCell ref="B11:B12"/>
    <mergeCell ref="E11:E12"/>
    <mergeCell ref="P11:P12"/>
    <mergeCell ref="R11:R12"/>
    <mergeCell ref="T11:T12"/>
    <mergeCell ref="J11:J12"/>
    <mergeCell ref="K11:K12"/>
    <mergeCell ref="R15:R16"/>
    <mergeCell ref="T17:T18"/>
    <mergeCell ref="B17:B18"/>
    <mergeCell ref="E17:E18"/>
    <mergeCell ref="J17:J18"/>
    <mergeCell ref="K17:K18"/>
    <mergeCell ref="P17:P18"/>
    <mergeCell ref="E59:F59"/>
    <mergeCell ref="J59:J61"/>
    <mergeCell ref="E60:F60"/>
    <mergeCell ref="E61:F61"/>
    <mergeCell ref="K19:K20"/>
    <mergeCell ref="P19:P20"/>
    <mergeCell ref="R19:R20"/>
    <mergeCell ref="K22:K23"/>
    <mergeCell ref="T19:T20"/>
    <mergeCell ref="T22:T23"/>
    <mergeCell ref="J22:J23"/>
    <mergeCell ref="I22:I23"/>
    <mergeCell ref="T26:T28"/>
    <mergeCell ref="R31:R32"/>
    <mergeCell ref="T31:T32"/>
    <mergeCell ref="E31:E32"/>
    <mergeCell ref="N29:N30"/>
    <mergeCell ref="P29:P30"/>
    <mergeCell ref="T15:T16"/>
    <mergeCell ref="J15:J16"/>
    <mergeCell ref="K15:K16"/>
    <mergeCell ref="L15:L16"/>
    <mergeCell ref="M15:M16"/>
    <mergeCell ref="N15:N16"/>
    <mergeCell ref="P15:P16"/>
    <mergeCell ref="B15:B16"/>
    <mergeCell ref="D15:D16"/>
    <mergeCell ref="E15:E16"/>
    <mergeCell ref="F15:F16"/>
    <mergeCell ref="H15:H16"/>
    <mergeCell ref="I15:I16"/>
    <mergeCell ref="U26:U28"/>
    <mergeCell ref="R29:R30"/>
    <mergeCell ref="T29:T30"/>
    <mergeCell ref="U29:U30"/>
    <mergeCell ref="J29:J30"/>
    <mergeCell ref="B19:B20"/>
    <mergeCell ref="L22:L23"/>
    <mergeCell ref="N22:N23"/>
    <mergeCell ref="P22:P23"/>
    <mergeCell ref="R22:R23"/>
    <mergeCell ref="B22:B23"/>
    <mergeCell ref="E22:E23"/>
    <mergeCell ref="F22:F23"/>
    <mergeCell ref="H22:H23"/>
    <mergeCell ref="U22:U23"/>
    <mergeCell ref="P26:P28"/>
    <mergeCell ref="R26:R28"/>
    <mergeCell ref="D26:D28"/>
    <mergeCell ref="K29:K30"/>
    <mergeCell ref="L29:L30"/>
    <mergeCell ref="M29:M30"/>
    <mergeCell ref="B26:B28"/>
    <mergeCell ref="E26:E28"/>
    <mergeCell ref="J26:J28"/>
    <mergeCell ref="B29:B30"/>
    <mergeCell ref="E29:E30"/>
    <mergeCell ref="F29:F30"/>
    <mergeCell ref="H29:H30"/>
    <mergeCell ref="I29:I30"/>
    <mergeCell ref="J31:J32"/>
    <mergeCell ref="K31:K32"/>
    <mergeCell ref="R17:R18"/>
    <mergeCell ref="E19:E20"/>
    <mergeCell ref="J19:J20"/>
    <mergeCell ref="K26:K28"/>
    <mergeCell ref="U33:U35"/>
    <mergeCell ref="B33:B35"/>
    <mergeCell ref="D33:D35"/>
    <mergeCell ref="E33:E35"/>
    <mergeCell ref="J33:J35"/>
    <mergeCell ref="K33:K35"/>
    <mergeCell ref="P33:P35"/>
    <mergeCell ref="B31:B32"/>
    <mergeCell ref="P31:P32"/>
    <mergeCell ref="R33:R35"/>
    <mergeCell ref="T33:T35"/>
  </mergeCells>
  <conditionalFormatting sqref="I63:I69">
    <cfRule type="cellIs" dxfId="478" priority="131" stopIfTrue="1" operator="lessThan">
      <formula>0%</formula>
    </cfRule>
    <cfRule type="cellIs" dxfId="477" priority="130" stopIfTrue="1" operator="greaterThan">
      <formula>1.5%</formula>
    </cfRule>
  </conditionalFormatting>
  <conditionalFormatting sqref="I71">
    <cfRule type="cellIs" dxfId="476" priority="119" stopIfTrue="1" operator="lessThan">
      <formula>438</formula>
    </cfRule>
  </conditionalFormatting>
  <conditionalFormatting sqref="J3 B2 J70:J65536">
    <cfRule type="cellIs" dxfId="475" priority="148" stopIfTrue="1" operator="lessThan">
      <formula>438</formula>
    </cfRule>
  </conditionalFormatting>
  <conditionalFormatting sqref="J3">
    <cfRule type="cellIs" dxfId="474" priority="145" stopIfTrue="1" operator="lessThan">
      <formula>456.25</formula>
    </cfRule>
  </conditionalFormatting>
  <conditionalFormatting sqref="J4:J8 J11 J13:J15">
    <cfRule type="cellIs" dxfId="473" priority="118" stopIfTrue="1" operator="lessThan">
      <formula>462</formula>
    </cfRule>
  </conditionalFormatting>
  <conditionalFormatting sqref="J17 J19">
    <cfRule type="cellIs" dxfId="472" priority="70" stopIfTrue="1" operator="lessThan">
      <formula>462</formula>
    </cfRule>
  </conditionalFormatting>
  <conditionalFormatting sqref="J21:J22">
    <cfRule type="cellIs" dxfId="471" priority="64" stopIfTrue="1" operator="lessThan">
      <formula>462</formula>
    </cfRule>
  </conditionalFormatting>
  <conditionalFormatting sqref="J24:J26">
    <cfRule type="cellIs" dxfId="470" priority="56" stopIfTrue="1" operator="lessThan">
      <formula>462</formula>
    </cfRule>
  </conditionalFormatting>
  <conditionalFormatting sqref="J29">
    <cfRule type="cellIs" dxfId="469" priority="39" stopIfTrue="1" operator="lessThan">
      <formula>462</formula>
    </cfRule>
  </conditionalFormatting>
  <conditionalFormatting sqref="J31">
    <cfRule type="cellIs" dxfId="468" priority="31" stopIfTrue="1" operator="lessThan">
      <formula>462</formula>
    </cfRule>
  </conditionalFormatting>
  <conditionalFormatting sqref="J33">
    <cfRule type="cellIs" dxfId="467" priority="14" stopIfTrue="1" operator="lessThan">
      <formula>462</formula>
    </cfRule>
  </conditionalFormatting>
  <conditionalFormatting sqref="J36:J58">
    <cfRule type="cellIs" dxfId="466" priority="5" stopIfTrue="1" operator="lessThan">
      <formula>462</formula>
    </cfRule>
  </conditionalFormatting>
  <conditionalFormatting sqref="J63:J69">
    <cfRule type="cellIs" dxfId="465" priority="143" stopIfTrue="1" operator="lessThan">
      <formula>73%</formula>
    </cfRule>
  </conditionalFormatting>
  <conditionalFormatting sqref="K4:K8 K11 K13:K15">
    <cfRule type="cellIs" dxfId="464" priority="115" stopIfTrue="1" operator="lessThan">
      <formula>540</formula>
    </cfRule>
  </conditionalFormatting>
  <conditionalFormatting sqref="K17 K19">
    <cfRule type="cellIs" dxfId="463" priority="68" stopIfTrue="1" operator="lessThan">
      <formula>540</formula>
    </cfRule>
  </conditionalFormatting>
  <conditionalFormatting sqref="K21:K22">
    <cfRule type="cellIs" dxfId="462" priority="63" stopIfTrue="1" operator="lessThan">
      <formula>540</formula>
    </cfRule>
  </conditionalFormatting>
  <conditionalFormatting sqref="K24:K26">
    <cfRule type="cellIs" dxfId="461" priority="55" stopIfTrue="1" operator="lessThan">
      <formula>540</formula>
    </cfRule>
  </conditionalFormatting>
  <conditionalFormatting sqref="K29">
    <cfRule type="cellIs" dxfId="460" priority="38" stopIfTrue="1" operator="lessThan">
      <formula>540</formula>
    </cfRule>
  </conditionalFormatting>
  <conditionalFormatting sqref="K31">
    <cfRule type="cellIs" dxfId="459" priority="30" stopIfTrue="1" operator="lessThan">
      <formula>540</formula>
    </cfRule>
  </conditionalFormatting>
  <conditionalFormatting sqref="K33">
    <cfRule type="cellIs" dxfId="458" priority="13" stopIfTrue="1" operator="lessThan">
      <formula>540</formula>
    </cfRule>
  </conditionalFormatting>
  <conditionalFormatting sqref="K36:K54">
    <cfRule type="cellIs" dxfId="457" priority="4" stopIfTrue="1" operator="lessThan">
      <formula>540</formula>
    </cfRule>
  </conditionalFormatting>
  <conditionalFormatting sqref="K55:K57">
    <cfRule type="cellIs" dxfId="456" priority="138" stopIfTrue="1" operator="lessThan">
      <formula>456.25</formula>
    </cfRule>
    <cfRule type="cellIs" dxfId="455" priority="139" stopIfTrue="1" operator="lessThan">
      <formula>438</formula>
    </cfRule>
  </conditionalFormatting>
  <conditionalFormatting sqref="N4:N8 N10:N15">
    <cfRule type="cellIs" dxfId="454" priority="116" stopIfTrue="1" operator="greaterThan">
      <formula>1.1</formula>
    </cfRule>
  </conditionalFormatting>
  <conditionalFormatting sqref="N17:N22">
    <cfRule type="cellIs" dxfId="453" priority="67" stopIfTrue="1" operator="greaterThan">
      <formula>1.1</formula>
    </cfRule>
  </conditionalFormatting>
  <conditionalFormatting sqref="N24:N29">
    <cfRule type="cellIs" dxfId="452" priority="48" stopIfTrue="1" operator="greaterThan">
      <formula>1.1</formula>
    </cfRule>
  </conditionalFormatting>
  <conditionalFormatting sqref="N31:N59">
    <cfRule type="cellIs" dxfId="451" priority="24" stopIfTrue="1" operator="greaterThan">
      <formula>1.1</formula>
    </cfRule>
  </conditionalFormatting>
  <conditionalFormatting sqref="N59:N60">
    <cfRule type="cellIs" dxfId="450" priority="142" stopIfTrue="1" operator="lessThan">
      <formula>0%</formula>
    </cfRule>
    <cfRule type="cellIs" dxfId="449" priority="141" stopIfTrue="1" operator="greaterThan">
      <formula>1.5%</formula>
    </cfRule>
  </conditionalFormatting>
  <conditionalFormatting sqref="P4:P8">
    <cfRule type="cellIs" dxfId="448" priority="106" stopIfTrue="1" operator="lessThan">
      <formula>0.74</formula>
    </cfRule>
  </conditionalFormatting>
  <conditionalFormatting sqref="P11">
    <cfRule type="cellIs" dxfId="447" priority="77" stopIfTrue="1" operator="lessThan">
      <formula>0.74</formula>
    </cfRule>
  </conditionalFormatting>
  <conditionalFormatting sqref="P13:P15 P17 P19">
    <cfRule type="cellIs" dxfId="446" priority="74" stopIfTrue="1" operator="lessThan">
      <formula>0.74</formula>
    </cfRule>
  </conditionalFormatting>
  <conditionalFormatting sqref="P21:P22">
    <cfRule type="cellIs" dxfId="445" priority="61" stopIfTrue="1" operator="lessThan">
      <formula>0.74</formula>
    </cfRule>
  </conditionalFormatting>
  <conditionalFormatting sqref="P24:P26">
    <cfRule type="cellIs" dxfId="444" priority="53" stopIfTrue="1" operator="lessThan">
      <formula>0.74</formula>
    </cfRule>
  </conditionalFormatting>
  <conditionalFormatting sqref="P29">
    <cfRule type="cellIs" dxfId="443" priority="36" stopIfTrue="1" operator="lessThan">
      <formula>0.74</formula>
    </cfRule>
  </conditionalFormatting>
  <conditionalFormatting sqref="P31">
    <cfRule type="cellIs" dxfId="442" priority="28" stopIfTrue="1" operator="lessThan">
      <formula>0.74</formula>
    </cfRule>
  </conditionalFormatting>
  <conditionalFormatting sqref="P33">
    <cfRule type="cellIs" dxfId="441" priority="9" stopIfTrue="1" operator="lessThan">
      <formula>0.74</formula>
    </cfRule>
  </conditionalFormatting>
  <conditionalFormatting sqref="P36:P58">
    <cfRule type="cellIs" dxfId="440" priority="2" stopIfTrue="1" operator="lessThan">
      <formula>0.74</formula>
    </cfRule>
  </conditionalFormatting>
  <conditionalFormatting sqref="R38:R57">
    <cfRule type="cellIs" dxfId="439" priority="134" stopIfTrue="1" operator="lessThan">
      <formula>0.74</formula>
    </cfRule>
  </conditionalFormatting>
  <conditionalFormatting sqref="R59:R60">
    <cfRule type="cellIs" dxfId="438" priority="144" stopIfTrue="1" operator="lessThan">
      <formula>73%</formula>
    </cfRule>
  </conditionalFormatting>
  <conditionalFormatting sqref="R3:T3">
    <cfRule type="cellIs" dxfId="437" priority="107" stopIfTrue="1" operator="lessThan">
      <formula>0.65</formula>
    </cfRule>
  </conditionalFormatting>
  <conditionalFormatting sqref="R4:T8">
    <cfRule type="cellIs" dxfId="436" priority="105" stopIfTrue="1" operator="lessThan">
      <formula>0.74</formula>
    </cfRule>
  </conditionalFormatting>
  <conditionalFormatting sqref="R11:T11">
    <cfRule type="cellIs" dxfId="435" priority="76" stopIfTrue="1" operator="lessThan">
      <formula>0.74</formula>
    </cfRule>
  </conditionalFormatting>
  <conditionalFormatting sqref="R13:T15 R17:T17 R19:T19">
    <cfRule type="cellIs" dxfId="434" priority="73" stopIfTrue="1" operator="lessThan">
      <formula>0.74</formula>
    </cfRule>
  </conditionalFormatting>
  <conditionalFormatting sqref="R21:T22">
    <cfRule type="cellIs" dxfId="433" priority="60" stopIfTrue="1" operator="lessThan">
      <formula>0.74</formula>
    </cfRule>
  </conditionalFormatting>
  <conditionalFormatting sqref="R24:T26">
    <cfRule type="cellIs" dxfId="432" priority="52" stopIfTrue="1" operator="lessThan">
      <formula>0.74</formula>
    </cfRule>
  </conditionalFormatting>
  <conditionalFormatting sqref="R29:T29 S30">
    <cfRule type="cellIs" dxfId="431" priority="35" stopIfTrue="1" operator="lessThan">
      <formula>0.74</formula>
    </cfRule>
  </conditionalFormatting>
  <conditionalFormatting sqref="R31:T31">
    <cfRule type="cellIs" dxfId="430" priority="27" stopIfTrue="1" operator="lessThan">
      <formula>0.74</formula>
    </cfRule>
  </conditionalFormatting>
  <conditionalFormatting sqref="R33:T33">
    <cfRule type="cellIs" dxfId="429" priority="8" stopIfTrue="1" operator="lessThan">
      <formula>0.74</formula>
    </cfRule>
  </conditionalFormatting>
  <conditionalFormatting sqref="R36:T37">
    <cfRule type="cellIs" dxfId="428" priority="1" stopIfTrue="1" operator="lessThan">
      <formula>0.74</formula>
    </cfRule>
  </conditionalFormatting>
  <conditionalFormatting sqref="R58:T58">
    <cfRule type="cellIs" dxfId="427" priority="136" stopIfTrue="1" operator="lessThan">
      <formula>0.74</formula>
    </cfRule>
  </conditionalFormatting>
  <conditionalFormatting sqref="S9:S10 S12 S16 S18 S20 S23 S27:S28">
    <cfRule type="cellIs" dxfId="426" priority="79" stopIfTrue="1" operator="lessThan">
      <formula>0.74</formula>
    </cfRule>
  </conditionalFormatting>
  <conditionalFormatting sqref="S32">
    <cfRule type="cellIs" dxfId="425" priority="112" stopIfTrue="1" operator="lessThan">
      <formula>75%</formula>
    </cfRule>
  </conditionalFormatting>
  <conditionalFormatting sqref="S34:S35">
    <cfRule type="cellIs" dxfId="424" priority="11" stopIfTrue="1" operator="lessThan">
      <formula>0.74</formula>
    </cfRule>
  </conditionalFormatting>
  <conditionalFormatting sqref="S38:T57">
    <cfRule type="cellIs" dxfId="423" priority="128" stopIfTrue="1" operator="lessThan">
      <formula>75%</formula>
    </cfRule>
  </conditionalFormatting>
  <conditionalFormatting sqref="S59:T60">
    <cfRule type="cellIs" dxfId="422" priority="147" stopIfTrue="1" operator="lessThan">
      <formula>75%</formula>
    </cfRule>
  </conditionalFormatting>
  <printOptions horizontalCentered="1"/>
  <pageMargins left="0.10312499999999999" right="0.5" top="0.25" bottom="0.27" header="0.25" footer="0.27"/>
  <pageSetup paperSize="5" scale="30" orientation="portrait" r:id="rId1"/>
  <headerFooter alignWithMargins="0"/>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D86AE-9463-4FA4-B1A7-9849AF6D81D2}">
  <sheetPr codeName="Sheet6">
    <pageSetUpPr fitToPage="1"/>
  </sheetPr>
  <dimension ref="B2:V734"/>
  <sheetViews>
    <sheetView showZeros="0" showWhiteSpace="0" zoomScale="70" zoomScaleNormal="70" workbookViewId="0">
      <pane ySplit="3" topLeftCell="A25" activePane="bottomLeft" state="frozen"/>
      <selection activeCell="B2" sqref="B2:W2"/>
      <selection pane="bottomLeft" activeCell="B2" sqref="B2:W2"/>
    </sheetView>
  </sheetViews>
  <sheetFormatPr defaultColWidth="9.42578125" defaultRowHeight="12.75" x14ac:dyDescent="0.2"/>
  <cols>
    <col min="2" max="2" width="10.42578125" style="1" customWidth="1"/>
    <col min="3" max="3" width="31.42578125" style="1" customWidth="1"/>
    <col min="4" max="4" width="13.5703125" style="1" customWidth="1"/>
    <col min="5" max="5" width="13.42578125" style="1" customWidth="1"/>
    <col min="6" max="6" width="14.5703125" style="1" bestFit="1" customWidth="1"/>
    <col min="7" max="7" width="15.5703125" customWidth="1"/>
    <col min="8" max="8" width="15" customWidth="1"/>
    <col min="9" max="9" width="15.5703125" style="1" customWidth="1"/>
    <col min="10" max="10" width="12.5703125" customWidth="1"/>
    <col min="11" max="11" width="11" customWidth="1"/>
    <col min="12" max="13" width="11.42578125" customWidth="1"/>
    <col min="14" max="14" width="15" style="2" bestFit="1" customWidth="1"/>
    <col min="15" max="15" width="15.5703125" style="1" bestFit="1" customWidth="1"/>
    <col min="16" max="16" width="7.5703125" style="1" hidden="1" customWidth="1"/>
    <col min="17" max="17" width="13.42578125" style="1" customWidth="1"/>
    <col min="18" max="18" width="12" hidden="1" customWidth="1"/>
    <col min="19" max="19" width="14.42578125" customWidth="1"/>
    <col min="20" max="20" width="10.42578125" hidden="1" customWidth="1"/>
    <col min="21" max="21" width="14.42578125" customWidth="1"/>
    <col min="22" max="22" width="91" customWidth="1"/>
    <col min="23" max="23" width="12.5703125" customWidth="1"/>
    <col min="24" max="24" width="13.5703125" customWidth="1"/>
  </cols>
  <sheetData>
    <row r="2" spans="2:22" ht="24" thickBot="1" x14ac:dyDescent="0.4">
      <c r="B2" s="1022" t="s">
        <v>52</v>
      </c>
      <c r="C2" s="1022"/>
      <c r="D2" s="1022"/>
      <c r="E2" s="1022"/>
      <c r="F2" s="1022"/>
      <c r="G2" s="1022"/>
      <c r="H2" s="1022"/>
      <c r="I2" s="1022"/>
      <c r="J2" s="1022"/>
      <c r="K2" s="1022"/>
      <c r="L2" s="1022"/>
      <c r="M2" s="1022"/>
      <c r="N2" s="1022"/>
      <c r="O2" s="1022"/>
      <c r="P2" s="1022"/>
      <c r="Q2" s="1022"/>
      <c r="R2" s="1022"/>
      <c r="S2" s="1022"/>
      <c r="T2" s="1022"/>
      <c r="U2" s="1022"/>
      <c r="V2" s="1022"/>
    </row>
    <row r="3" spans="2:22" ht="80.25" thickTop="1" thickBot="1" x14ac:dyDescent="0.25">
      <c r="B3" s="37" t="s">
        <v>0</v>
      </c>
      <c r="C3" s="38" t="s">
        <v>2</v>
      </c>
      <c r="D3" s="38" t="s">
        <v>12</v>
      </c>
      <c r="E3" s="38" t="s">
        <v>11</v>
      </c>
      <c r="F3" s="38" t="s">
        <v>15</v>
      </c>
      <c r="G3" s="38" t="s">
        <v>9</v>
      </c>
      <c r="H3" s="38" t="s">
        <v>17</v>
      </c>
      <c r="I3" s="38" t="s">
        <v>5</v>
      </c>
      <c r="J3" s="38" t="s">
        <v>43</v>
      </c>
      <c r="K3" s="38" t="s">
        <v>4</v>
      </c>
      <c r="L3" s="38" t="s">
        <v>161</v>
      </c>
      <c r="M3" s="38" t="s">
        <v>10</v>
      </c>
      <c r="N3" s="39" t="s">
        <v>34</v>
      </c>
      <c r="O3" s="40" t="s">
        <v>55</v>
      </c>
      <c r="P3" s="40" t="s">
        <v>8</v>
      </c>
      <c r="Q3" s="41" t="s">
        <v>7</v>
      </c>
      <c r="R3" s="41" t="s">
        <v>6</v>
      </c>
      <c r="S3" s="41" t="s">
        <v>170</v>
      </c>
      <c r="T3" s="41" t="s">
        <v>47</v>
      </c>
      <c r="U3" s="124" t="s">
        <v>170</v>
      </c>
      <c r="V3" s="5" t="s">
        <v>1</v>
      </c>
    </row>
    <row r="4" spans="2:22" s="19" customFormat="1" ht="50.25" thickTop="1" x14ac:dyDescent="0.2">
      <c r="B4" s="1252">
        <v>42493</v>
      </c>
      <c r="C4" s="48" t="s">
        <v>29</v>
      </c>
      <c r="D4" s="49">
        <v>1400</v>
      </c>
      <c r="E4" s="1253">
        <v>0.375</v>
      </c>
      <c r="F4" s="51">
        <f>[16]May_2016!$J8</f>
        <v>97</v>
      </c>
      <c r="G4" s="52">
        <f>[16]May_2016!$F8</f>
        <v>1420</v>
      </c>
      <c r="H4" s="51">
        <f>[16]May_2016!$K8</f>
        <v>93.72</v>
      </c>
      <c r="I4" s="53">
        <f>[16]May_2016!$N8</f>
        <v>30</v>
      </c>
      <c r="J4" s="1251">
        <f>SUM([16]May_2016!$Q8)</f>
        <v>387.82178217821786</v>
      </c>
      <c r="K4" s="1251">
        <f>SUM([16]May_2016!$E8)</f>
        <v>606</v>
      </c>
      <c r="L4" s="133">
        <v>0.5708333333333333</v>
      </c>
      <c r="M4" s="54">
        <f>[16]May_2016!$M8</f>
        <v>137</v>
      </c>
      <c r="N4" s="122"/>
      <c r="O4" s="55">
        <f>[16]May_2016!$P8</f>
        <v>3.381443298969073</v>
      </c>
      <c r="P4" s="54"/>
      <c r="Q4" s="1254">
        <f>(G4+G5)/(9*15000*(1/24))</f>
        <v>0.69635555555555551</v>
      </c>
      <c r="R4" s="56"/>
      <c r="S4" s="1074">
        <f>(G4+G5)*24/(K4/60)/15000</f>
        <v>0.62051485148514851</v>
      </c>
      <c r="T4" s="46">
        <f>(H4+H5)*24/(M4/60)/15000</f>
        <v>0.18248548905109491</v>
      </c>
      <c r="U4" s="1241">
        <f>(G4+G5)*24/(K4/60)/15300</f>
        <v>0.60834789361289066</v>
      </c>
      <c r="V4" s="24" t="s">
        <v>156</v>
      </c>
    </row>
    <row r="5" spans="2:22" s="19" customFormat="1" ht="33" x14ac:dyDescent="0.2">
      <c r="B5" s="1214"/>
      <c r="C5" s="48" t="s">
        <v>27</v>
      </c>
      <c r="D5" s="49">
        <v>2400</v>
      </c>
      <c r="E5" s="1218"/>
      <c r="F5" s="51">
        <f>[16]May_2016!$J9</f>
        <v>168.3</v>
      </c>
      <c r="G5" s="52">
        <f>[16]May_2016!$F9</f>
        <v>2497</v>
      </c>
      <c r="H5" s="51">
        <f>[16]May_2016!$K9</f>
        <v>166.70200000000003</v>
      </c>
      <c r="I5" s="53">
        <f>[16]May_2016!$N9</f>
        <v>23.25</v>
      </c>
      <c r="J5" s="1224"/>
      <c r="K5" s="1224"/>
      <c r="L5" s="134">
        <v>0.5854166666666667</v>
      </c>
      <c r="M5" s="54">
        <f>[16]May_2016!$M9</f>
        <v>53</v>
      </c>
      <c r="N5" s="130"/>
      <c r="O5" s="55">
        <f>[16]May_2016!$P9</f>
        <v>0.94949494949494029</v>
      </c>
      <c r="P5" s="54"/>
      <c r="Q5" s="1228"/>
      <c r="R5" s="56"/>
      <c r="S5" s="1040"/>
      <c r="T5" s="46">
        <f>(H5+H6)*24/(M5/60)/15000</f>
        <v>0.69239184905660389</v>
      </c>
      <c r="U5" s="1239"/>
      <c r="V5" s="24" t="s">
        <v>157</v>
      </c>
    </row>
    <row r="6" spans="2:22" s="19" customFormat="1" ht="33" x14ac:dyDescent="0.2">
      <c r="B6" s="1213">
        <v>42494</v>
      </c>
      <c r="C6" s="48" t="s">
        <v>27</v>
      </c>
      <c r="D6" s="49">
        <v>3200</v>
      </c>
      <c r="E6" s="1217">
        <v>0.3263888888888889</v>
      </c>
      <c r="F6" s="51">
        <f>[16]May_2016!$J10</f>
        <v>217</v>
      </c>
      <c r="G6" s="52">
        <f>[16]May_2016!$F10</f>
        <v>3266</v>
      </c>
      <c r="H6" s="51">
        <f>[16]May_2016!$K10</f>
        <v>215.55600000000001</v>
      </c>
      <c r="I6" s="53">
        <f>[16]May_2016!$N10</f>
        <v>20.75</v>
      </c>
      <c r="J6" s="1223">
        <f>SUM([16]May_2016!$Q10)</f>
        <v>432.66775777414074</v>
      </c>
      <c r="K6" s="1223">
        <f>SUM([16]May_2016!$E10)</f>
        <v>611</v>
      </c>
      <c r="L6" s="134">
        <v>0.67708333333333337</v>
      </c>
      <c r="M6" s="54">
        <f>[16]May_2016!$M10</f>
        <v>80</v>
      </c>
      <c r="N6" s="130"/>
      <c r="O6" s="55">
        <f>[16]May_2016!$P10</f>
        <v>0.66543778801842779</v>
      </c>
      <c r="P6" s="54"/>
      <c r="Q6" s="1227">
        <f>(G6+G7)/(10.017*15000*(1/24))</f>
        <v>0.70376360187680942</v>
      </c>
      <c r="R6" s="56"/>
      <c r="S6" s="1039">
        <f>(G6+G7)*24/(K6/60)/15000</f>
        <v>0.69226841243862525</v>
      </c>
      <c r="T6" s="46">
        <f>(H6+H7)*24/(M6/60)/15000</f>
        <v>0.34895520000000008</v>
      </c>
      <c r="U6" s="1237">
        <f>(G6+G7)*24/(K6/60)/15300</f>
        <v>0.67869452199865221</v>
      </c>
      <c r="V6" s="24" t="s">
        <v>159</v>
      </c>
    </row>
    <row r="7" spans="2:22" s="19" customFormat="1" ht="33.75" customHeight="1" x14ac:dyDescent="0.2">
      <c r="B7" s="1214"/>
      <c r="C7" s="48" t="s">
        <v>29</v>
      </c>
      <c r="D7" s="49">
        <v>1400</v>
      </c>
      <c r="E7" s="1218"/>
      <c r="F7" s="51">
        <f>[16]May_2016!$J11</f>
        <v>76.3</v>
      </c>
      <c r="G7" s="52">
        <f>[16]May_2016!$F11</f>
        <v>1140</v>
      </c>
      <c r="H7" s="51">
        <f>[16]May_2016!$K11</f>
        <v>75.240000000000009</v>
      </c>
      <c r="I7" s="53">
        <f>[16]May_2016!$N11</f>
        <v>19</v>
      </c>
      <c r="J7" s="1224"/>
      <c r="K7" s="1224"/>
      <c r="L7" s="134">
        <v>0.7090277777777777</v>
      </c>
      <c r="M7" s="54">
        <f>[16]May_2016!$M11</f>
        <v>42</v>
      </c>
      <c r="N7" s="130"/>
      <c r="O7" s="55">
        <f>[16]May_2016!$P11</f>
        <v>1.3892529488859608</v>
      </c>
      <c r="P7" s="54"/>
      <c r="Q7" s="1228"/>
      <c r="R7" s="56"/>
      <c r="S7" s="1040"/>
      <c r="T7" s="18"/>
      <c r="U7" s="1239"/>
      <c r="V7" s="24" t="s">
        <v>158</v>
      </c>
    </row>
    <row r="8" spans="2:22" s="19" customFormat="1" ht="20.25" x14ac:dyDescent="0.2">
      <c r="B8" s="1213">
        <v>42495</v>
      </c>
      <c r="C8" s="48" t="s">
        <v>32</v>
      </c>
      <c r="D8" s="49">
        <v>300</v>
      </c>
      <c r="E8" s="1217">
        <v>0.3298611111111111</v>
      </c>
      <c r="F8" s="1219">
        <f>[16]May_2016!$J12</f>
        <v>313.09999999999997</v>
      </c>
      <c r="G8" s="52">
        <f>[16]May_2016!$F12</f>
        <v>297</v>
      </c>
      <c r="H8" s="1219">
        <f>[16]May_2016!$K12</f>
        <v>310.64800000000002</v>
      </c>
      <c r="I8" s="1221">
        <f>[16]May_2016!$N12</f>
        <v>67.75</v>
      </c>
      <c r="J8" s="1223">
        <f>SUM([16]May_2016!$Q12)</f>
        <v>438.56677524429972</v>
      </c>
      <c r="K8" s="1223">
        <f>SUM([16]May_2016!$E12)</f>
        <v>614</v>
      </c>
      <c r="L8" s="134"/>
      <c r="M8" s="1223">
        <f>[16]May_2016!$M12</f>
        <v>126</v>
      </c>
      <c r="N8" s="130"/>
      <c r="O8" s="1225">
        <f>[16]May_2016!$P12</f>
        <v>0.78313637815392578</v>
      </c>
      <c r="P8" s="54"/>
      <c r="Q8" s="1227">
        <f>(G8+G9)/(10.067*15000*(1/24))</f>
        <v>0.71330088407668624</v>
      </c>
      <c r="R8" s="56"/>
      <c r="S8" s="1039">
        <f>(G8+G9)*24/(K8/60)/15000</f>
        <v>0.70170684039087949</v>
      </c>
      <c r="T8" s="46">
        <f>(H8+H9)*24/(M8/60)/15000</f>
        <v>0.23668419047619049</v>
      </c>
      <c r="U8" s="1237">
        <f>(G8+G9)*24/(K8/60)/15300</f>
        <v>0.68794788273615637</v>
      </c>
      <c r="V8" s="1208" t="s">
        <v>160</v>
      </c>
    </row>
    <row r="9" spans="2:22" s="19" customFormat="1" ht="18.75" x14ac:dyDescent="0.2">
      <c r="B9" s="1214"/>
      <c r="C9" s="48" t="s">
        <v>29</v>
      </c>
      <c r="D9" s="49">
        <v>4325</v>
      </c>
      <c r="E9" s="1218"/>
      <c r="F9" s="1220"/>
      <c r="G9" s="52">
        <f>[16]May_2016!$F13</f>
        <v>4191</v>
      </c>
      <c r="H9" s="1220"/>
      <c r="I9" s="1222"/>
      <c r="J9" s="1224"/>
      <c r="K9" s="1224"/>
      <c r="L9" s="134"/>
      <c r="M9" s="1224"/>
      <c r="N9" s="54"/>
      <c r="O9" s="1226"/>
      <c r="P9" s="54"/>
      <c r="Q9" s="1228"/>
      <c r="R9" s="56"/>
      <c r="S9" s="1040"/>
      <c r="T9" s="18"/>
      <c r="U9" s="1239"/>
      <c r="V9" s="1209"/>
    </row>
    <row r="10" spans="2:22" s="19" customFormat="1" ht="45.75" customHeight="1" x14ac:dyDescent="0.2">
      <c r="B10" s="123">
        <v>42496</v>
      </c>
      <c r="C10" s="48" t="s">
        <v>29</v>
      </c>
      <c r="D10" s="49">
        <v>3800</v>
      </c>
      <c r="E10" s="50">
        <v>0.32291666666666669</v>
      </c>
      <c r="F10" s="51">
        <f>[16]May_2016!$J14</f>
        <v>283.2</v>
      </c>
      <c r="G10" s="52">
        <f>[16]May_2016!$F14</f>
        <v>4240</v>
      </c>
      <c r="H10" s="51">
        <f>[16]May_2016!$K14</f>
        <v>279.84000000000003</v>
      </c>
      <c r="I10" s="53">
        <f>[16]May_2016!$N14</f>
        <v>32</v>
      </c>
      <c r="J10" s="54">
        <f>SUM([16]May_2016!$Q14)</f>
        <v>452.66903914590745</v>
      </c>
      <c r="K10" s="54">
        <f>SUM([16]May_2016!$E14)</f>
        <v>562</v>
      </c>
      <c r="L10" s="134">
        <v>0.75555555555555554</v>
      </c>
      <c r="M10" s="54">
        <f>[16]May_2016!$M14</f>
        <v>89</v>
      </c>
      <c r="N10" s="130"/>
      <c r="O10" s="55">
        <f>[16]May_2016!$P14</f>
        <v>1.1864406779660865</v>
      </c>
      <c r="P10" s="54"/>
      <c r="Q10" s="66">
        <f>(G10)/(9.2*15000*(1/24))</f>
        <v>0.73739130434782607</v>
      </c>
      <c r="R10" s="56"/>
      <c r="S10" s="46">
        <f>(G10)*24/(K10/60)/15000</f>
        <v>0.72427046263345196</v>
      </c>
      <c r="T10" s="46">
        <f>(H10+H11)*24/(M10/60)/15000</f>
        <v>0.51293123595505619</v>
      </c>
      <c r="U10" s="125">
        <f>(G10)*24/(K10/60)/15300</f>
        <v>0.71006908101318822</v>
      </c>
      <c r="V10" s="24" t="s">
        <v>162</v>
      </c>
    </row>
    <row r="11" spans="2:22" s="19" customFormat="1" ht="33" x14ac:dyDescent="0.2">
      <c r="B11" s="1213">
        <v>42499</v>
      </c>
      <c r="C11" s="48" t="s">
        <v>29</v>
      </c>
      <c r="D11" s="49">
        <v>2800</v>
      </c>
      <c r="E11" s="1217">
        <v>0.34027777777777773</v>
      </c>
      <c r="F11" s="51">
        <f>[16]May_2016!$J15</f>
        <v>196.3</v>
      </c>
      <c r="G11" s="52">
        <f>[16]May_2016!$F15</f>
        <v>2965</v>
      </c>
      <c r="H11" s="51">
        <f>[16]May_2016!$K15</f>
        <v>195.69</v>
      </c>
      <c r="I11" s="53">
        <f>[16]May_2016!$N15</f>
        <v>15</v>
      </c>
      <c r="J11" s="1223">
        <f>SUM([16]May_2016!$Q15)</f>
        <v>480.39024390243901</v>
      </c>
      <c r="K11" s="1223">
        <f>SUM([16]May_2016!$E15)</f>
        <v>615</v>
      </c>
      <c r="L11" s="134">
        <v>0.64027777777777783</v>
      </c>
      <c r="M11" s="54">
        <f>[16]May_2016!$M15</f>
        <v>28</v>
      </c>
      <c r="N11" s="130"/>
      <c r="O11" s="55">
        <f>[16]May_2016!$P15</f>
        <v>0.31074885379521833</v>
      </c>
      <c r="P11" s="54"/>
      <c r="Q11" s="1227">
        <f>(G11+G12)/(10.0833*15000*(1/24))</f>
        <v>0.78133150853391253</v>
      </c>
      <c r="R11" s="56"/>
      <c r="S11" s="1039">
        <f>(G11+G12)*24/(K11/60)/15000</f>
        <v>0.7686243902439025</v>
      </c>
      <c r="T11" s="46">
        <f>(H11+H12)*24/(M11/60)/15000</f>
        <v>1.1207451428571429</v>
      </c>
      <c r="U11" s="1237">
        <f>(G11+G12)*24/(K11/60)/15300</f>
        <v>0.75355332376853179</v>
      </c>
      <c r="V11" s="24" t="s">
        <v>163</v>
      </c>
    </row>
    <row r="12" spans="2:22" s="19" customFormat="1" ht="18.75" x14ac:dyDescent="0.2">
      <c r="B12" s="1214"/>
      <c r="C12" s="48" t="s">
        <v>27</v>
      </c>
      <c r="D12" s="49">
        <v>2100</v>
      </c>
      <c r="E12" s="1218"/>
      <c r="F12" s="51">
        <f>[16]May_2016!$J16</f>
        <v>133</v>
      </c>
      <c r="G12" s="52">
        <f>[16]May_2016!$F16</f>
        <v>1959</v>
      </c>
      <c r="H12" s="51">
        <f>[16]May_2016!$K16</f>
        <v>131.19400000000002</v>
      </c>
      <c r="I12" s="53">
        <f>[16]May_2016!$N16</f>
        <v>19.5</v>
      </c>
      <c r="J12" s="1224"/>
      <c r="K12" s="1224"/>
      <c r="L12" s="134">
        <v>0.80763888888888891</v>
      </c>
      <c r="M12" s="54">
        <f>[16]May_2016!$M16</f>
        <v>29</v>
      </c>
      <c r="N12" s="130"/>
      <c r="O12" s="55">
        <f>[16]May_2016!$P16</f>
        <v>1.3578947368420926</v>
      </c>
      <c r="P12" s="54"/>
      <c r="Q12" s="1228"/>
      <c r="R12" s="56"/>
      <c r="S12" s="1040"/>
      <c r="T12" s="18"/>
      <c r="U12" s="1239"/>
      <c r="V12" s="24" t="s">
        <v>164</v>
      </c>
    </row>
    <row r="13" spans="2:22" s="19" customFormat="1" ht="33" x14ac:dyDescent="0.2">
      <c r="B13" s="123">
        <v>42500</v>
      </c>
      <c r="C13" s="48" t="s">
        <v>27</v>
      </c>
      <c r="D13" s="49">
        <v>5200</v>
      </c>
      <c r="E13" s="50">
        <v>0.32500000000000001</v>
      </c>
      <c r="F13" s="51">
        <f>[16]May_2016!$J17</f>
        <v>342.09999999999997</v>
      </c>
      <c r="G13" s="52">
        <f>[16]May_2016!$F17</f>
        <v>5173</v>
      </c>
      <c r="H13" s="51">
        <f>[16]May_2016!$K17</f>
        <v>341.41800000000001</v>
      </c>
      <c r="I13" s="53">
        <f>[16]May_2016!$N17</f>
        <v>52</v>
      </c>
      <c r="J13" s="54">
        <f>SUM([16]May_2016!$Q17)</f>
        <v>525.17766497461935</v>
      </c>
      <c r="K13" s="54">
        <f>SUM([16]May_2016!$E17)</f>
        <v>591</v>
      </c>
      <c r="L13" s="134">
        <v>0.77708333333333324</v>
      </c>
      <c r="M13" s="54">
        <f>[16]May_2016!$M17</f>
        <v>43</v>
      </c>
      <c r="N13" s="54"/>
      <c r="O13" s="55">
        <f>[16]May_2016!$P17</f>
        <v>0.19935691318326795</v>
      </c>
      <c r="P13" s="54"/>
      <c r="Q13" s="66">
        <f>(G13)/(9.68*15000*(1/24))</f>
        <v>0.85504132231404961</v>
      </c>
      <c r="R13" s="56"/>
      <c r="S13" s="46">
        <f>(G13)*24/(K13/60)/15000</f>
        <v>0.84028426395939082</v>
      </c>
      <c r="T13" s="46">
        <f>(H13+H16)*24/(M13/60)/15000</f>
        <v>0.91739386046511628</v>
      </c>
      <c r="U13" s="125">
        <f>(G13)*24/(K13/60)/15300</f>
        <v>0.82380810192097143</v>
      </c>
      <c r="V13" s="24" t="s">
        <v>165</v>
      </c>
    </row>
    <row r="14" spans="2:22" s="19" customFormat="1" ht="49.5" x14ac:dyDescent="0.2">
      <c r="B14" s="123">
        <v>42501</v>
      </c>
      <c r="C14" s="48" t="s">
        <v>166</v>
      </c>
      <c r="D14" s="49">
        <v>4200</v>
      </c>
      <c r="E14" s="50">
        <v>0.33263888888888887</v>
      </c>
      <c r="F14" s="51">
        <f>[16]May_2016!$J18</f>
        <v>287.3</v>
      </c>
      <c r="G14" s="52">
        <f>[16]May_2016!$F18</f>
        <v>4324</v>
      </c>
      <c r="H14" s="51">
        <f>[16]May_2016!$K18</f>
        <v>285.38400000000001</v>
      </c>
      <c r="I14" s="53">
        <f>[16]May_2016!$N18</f>
        <v>8</v>
      </c>
      <c r="J14" s="54">
        <f>SUM([16]May_2016!$Q18)</f>
        <v>428.11881188118815</v>
      </c>
      <c r="K14" s="54">
        <f>SUM([16]May_2016!$E18)</f>
        <v>606</v>
      </c>
      <c r="L14" s="134">
        <v>0.79791666666666661</v>
      </c>
      <c r="M14" s="54">
        <f>[16]May_2016!$M18</f>
        <v>96</v>
      </c>
      <c r="N14" s="54"/>
      <c r="O14" s="55">
        <f>[16]May_2016!$P18</f>
        <v>0.66689871214757979</v>
      </c>
      <c r="P14" s="54"/>
      <c r="Q14" s="66">
        <f>(G14)/(9.9333*15000*(1/24))</f>
        <v>0.69648555867637141</v>
      </c>
      <c r="R14" s="56"/>
      <c r="S14" s="46">
        <f>(G14)*24/(K14/60)/15000</f>
        <v>0.68499009900990104</v>
      </c>
      <c r="T14" s="46">
        <f>(H14+H17)*24/(M14/60)/15000</f>
        <v>0.44569800000000004</v>
      </c>
      <c r="U14" s="125">
        <f>(G14)*24/(K14/60)/15300</f>
        <v>0.6715589205979422</v>
      </c>
      <c r="V14" s="24" t="s">
        <v>167</v>
      </c>
    </row>
    <row r="15" spans="2:22" s="19" customFormat="1" ht="22.5" customHeight="1" x14ac:dyDescent="0.2">
      <c r="B15" s="1213">
        <v>42502</v>
      </c>
      <c r="C15" s="48" t="s">
        <v>42</v>
      </c>
      <c r="D15" s="49">
        <v>3500</v>
      </c>
      <c r="E15" s="1217">
        <v>0.33124999999999999</v>
      </c>
      <c r="F15" s="51">
        <f>[16]May_2016!$J19</f>
        <v>292.7</v>
      </c>
      <c r="G15" s="52">
        <f>[16]May_2016!$F19</f>
        <v>4369</v>
      </c>
      <c r="H15" s="51">
        <f>[16]May_2016!$K19</f>
        <v>288.35400000000004</v>
      </c>
      <c r="I15" s="53">
        <f>[16]May_2016!$N19</f>
        <v>9.75</v>
      </c>
      <c r="J15" s="1223">
        <f>SUM([16]May_2016!$Q19)</f>
        <v>423.48949919224555</v>
      </c>
      <c r="K15" s="1223">
        <f>SUM([16]May_2016!$E19)</f>
        <v>619</v>
      </c>
      <c r="L15" s="134">
        <v>0.70000000000000007</v>
      </c>
      <c r="M15" s="54">
        <f>[16]May_2016!$M19</f>
        <v>59</v>
      </c>
      <c r="N15" s="130"/>
      <c r="O15" s="55">
        <f>[16]May_2016!$P19</f>
        <v>1.4847967201913039</v>
      </c>
      <c r="P15" s="54"/>
      <c r="Q15" s="1227">
        <f>(G15+G16)/(10.15*15000*(1/24))</f>
        <v>0.85469950738916256</v>
      </c>
      <c r="R15" s="56"/>
      <c r="S15" s="1039">
        <f>(G15+G16)*24/(K15/60)/15000</f>
        <v>0.84089176090468498</v>
      </c>
      <c r="T15" s="46">
        <f>(H15+H16)*24/(M15/60)/15000</f>
        <v>0.58226766101694916</v>
      </c>
      <c r="U15" s="1237">
        <f>(G15+G16)*24/(K15/60)/15300</f>
        <v>0.82440368716145584</v>
      </c>
      <c r="V15" s="1249" t="s">
        <v>168</v>
      </c>
    </row>
    <row r="16" spans="2:22" s="19" customFormat="1" ht="25.5" customHeight="1" x14ac:dyDescent="0.2">
      <c r="B16" s="1214"/>
      <c r="C16" s="48" t="s">
        <v>28</v>
      </c>
      <c r="D16" s="1215">
        <v>3500</v>
      </c>
      <c r="E16" s="1218"/>
      <c r="F16" s="51">
        <f>[16]May_2016!$J20</f>
        <v>71.099999999999994</v>
      </c>
      <c r="G16" s="52">
        <f>[16]May_2016!$F20</f>
        <v>1053</v>
      </c>
      <c r="H16" s="51">
        <f>[16]May_2016!$K20</f>
        <v>69.498000000000005</v>
      </c>
      <c r="I16" s="53">
        <f>[16]May_2016!$N20</f>
        <v>2</v>
      </c>
      <c r="J16" s="1224"/>
      <c r="K16" s="1224"/>
      <c r="L16" s="134"/>
      <c r="M16" s="54">
        <f>[16]May_2016!$M20</f>
        <v>16</v>
      </c>
      <c r="N16" s="130"/>
      <c r="O16" s="55">
        <f>[16]May_2016!$P20</f>
        <v>2.2531645569620111</v>
      </c>
      <c r="P16" s="54"/>
      <c r="Q16" s="1228"/>
      <c r="R16" s="56"/>
      <c r="S16" s="1040"/>
      <c r="T16" s="18"/>
      <c r="U16" s="1239"/>
      <c r="V16" s="1250"/>
    </row>
    <row r="17" spans="2:22" s="19" customFormat="1" ht="33" x14ac:dyDescent="0.2">
      <c r="B17" s="123">
        <v>42503</v>
      </c>
      <c r="C17" s="48" t="s">
        <v>28</v>
      </c>
      <c r="D17" s="1216"/>
      <c r="E17" s="50">
        <v>0.31944444444444448</v>
      </c>
      <c r="F17" s="51">
        <f>[16]May_2016!$J21</f>
        <v>164.1</v>
      </c>
      <c r="G17" s="52">
        <f>[16]May_2016!$F21</f>
        <v>2429</v>
      </c>
      <c r="H17" s="51">
        <f>[16]May_2016!$K21</f>
        <v>160.31400000000002</v>
      </c>
      <c r="I17" s="53">
        <f>[16]May_2016!$N21</f>
        <v>15.25</v>
      </c>
      <c r="J17" s="54">
        <f>SUM([16]May_2016!$Q21)</f>
        <v>502.55172413793105</v>
      </c>
      <c r="K17" s="54">
        <f>SUM([16]May_2016!$E21)</f>
        <v>290</v>
      </c>
      <c r="L17" s="134">
        <v>0.57847222222222217</v>
      </c>
      <c r="M17" s="54">
        <f>[16]May_2016!$M21</f>
        <v>58</v>
      </c>
      <c r="N17" s="54"/>
      <c r="O17" s="55">
        <f>[16]May_2016!$P21</f>
        <v>2.3071297989030914</v>
      </c>
      <c r="P17" s="54"/>
      <c r="Q17" s="66">
        <f>(G17)/(8*15000*(1/24))</f>
        <v>0.48580000000000001</v>
      </c>
      <c r="R17" s="56"/>
      <c r="S17" s="46">
        <f>(G17)*24/(K17/60)/15000</f>
        <v>0.80408275862068979</v>
      </c>
      <c r="T17" s="46">
        <f>(H17+H20)*24/(M17/60)/15000</f>
        <v>0.45127613793103455</v>
      </c>
      <c r="U17" s="125">
        <f>(G17)*24/(K17/60)/15300</f>
        <v>0.78831643002028406</v>
      </c>
      <c r="V17" s="24" t="s">
        <v>169</v>
      </c>
    </row>
    <row r="18" spans="2:22" s="19" customFormat="1" ht="25.5" customHeight="1" x14ac:dyDescent="0.2">
      <c r="B18" s="1213">
        <v>42507</v>
      </c>
      <c r="C18" s="48" t="s">
        <v>32</v>
      </c>
      <c r="D18" s="49">
        <v>2100</v>
      </c>
      <c r="E18" s="1217">
        <v>0.39166666666666666</v>
      </c>
      <c r="F18" s="1219">
        <f>[16]May_2016!$J22</f>
        <v>270.49999999999994</v>
      </c>
      <c r="G18" s="52">
        <f>[16]May_2016!$F22</f>
        <v>2032</v>
      </c>
      <c r="H18" s="1219">
        <f>[16]May_2016!$K22</f>
        <v>267.75400000000002</v>
      </c>
      <c r="I18" s="1221">
        <f>[16]May_2016!$N22</f>
        <v>34.5</v>
      </c>
      <c r="J18" s="1223">
        <f>SUM([16]May_2016!$Q22)</f>
        <v>364.74193548387098</v>
      </c>
      <c r="K18" s="1223">
        <f>SUM([16]May_2016!$E22)</f>
        <v>620</v>
      </c>
      <c r="L18" s="1247">
        <v>0.79652777777777783</v>
      </c>
      <c r="M18" s="1223">
        <f>[16]May_2016!$M22</f>
        <v>218</v>
      </c>
      <c r="N18" s="54"/>
      <c r="O18" s="1225">
        <f>[16]May_2016!$P22</f>
        <v>1.0151571164509887</v>
      </c>
      <c r="P18" s="54"/>
      <c r="Q18" s="1227">
        <f>(G18+G19)/(10.167*15000*(1/24))</f>
        <v>0.59313465132290744</v>
      </c>
      <c r="R18" s="56"/>
      <c r="S18" s="1039">
        <f>(G18+G19)*24/(K18/60)/15000</f>
        <v>0.58358709677419351</v>
      </c>
      <c r="T18" s="46">
        <f>(H18+H21)*24/(M18/60)/15000</f>
        <v>0.20681746788990826</v>
      </c>
      <c r="U18" s="1237">
        <f>(G18+G19)*24/(K18/60)/15300</f>
        <v>0.57214421252371916</v>
      </c>
      <c r="V18" s="1208" t="s">
        <v>171</v>
      </c>
    </row>
    <row r="19" spans="2:22" s="19" customFormat="1" ht="22.5" customHeight="1" x14ac:dyDescent="0.2">
      <c r="B19" s="1214"/>
      <c r="C19" s="48" t="s">
        <v>29</v>
      </c>
      <c r="D19" s="49">
        <v>1800</v>
      </c>
      <c r="E19" s="1218"/>
      <c r="F19" s="1220"/>
      <c r="G19" s="52">
        <f>[16]May_2016!$F23</f>
        <v>1737</v>
      </c>
      <c r="H19" s="1220"/>
      <c r="I19" s="1222"/>
      <c r="J19" s="1224"/>
      <c r="K19" s="1224"/>
      <c r="L19" s="1248"/>
      <c r="M19" s="1224"/>
      <c r="N19" s="54"/>
      <c r="O19" s="1226"/>
      <c r="P19" s="54"/>
      <c r="Q19" s="1228"/>
      <c r="R19" s="56"/>
      <c r="S19" s="1040"/>
      <c r="T19" s="46"/>
      <c r="U19" s="1239"/>
      <c r="V19" s="1209"/>
    </row>
    <row r="20" spans="2:22" s="19" customFormat="1" ht="24.75" customHeight="1" x14ac:dyDescent="0.2">
      <c r="B20" s="1213">
        <v>42508</v>
      </c>
      <c r="C20" s="48" t="s">
        <v>29</v>
      </c>
      <c r="D20" s="49">
        <v>1700</v>
      </c>
      <c r="E20" s="1217">
        <v>0.3125</v>
      </c>
      <c r="F20" s="51">
        <f>[16]May_2016!$J24</f>
        <v>112.89999999999999</v>
      </c>
      <c r="G20" s="52">
        <f>[16]May_2016!$F24</f>
        <v>1702</v>
      </c>
      <c r="H20" s="51">
        <f>[16]May_2016!$K24</f>
        <v>112.33200000000001</v>
      </c>
      <c r="I20" s="53">
        <f>[16]May_2016!$N24</f>
        <v>10.5</v>
      </c>
      <c r="J20" s="1223">
        <f>SUM([16]May_2016!$Q24)</f>
        <v>457.05600000000004</v>
      </c>
      <c r="K20" s="1223">
        <f>SUM([16]May_2016!$E24)</f>
        <v>625</v>
      </c>
      <c r="L20" s="134">
        <v>0.50694444444444442</v>
      </c>
      <c r="M20" s="54">
        <f>[16]May_2016!$M24</f>
        <v>17</v>
      </c>
      <c r="N20" s="54"/>
      <c r="O20" s="55">
        <f>[16]May_2016!$P24</f>
        <v>0.50310008857394473</v>
      </c>
      <c r="P20" s="54"/>
      <c r="Q20" s="1227">
        <f>(G20+G21)/(10.25*15000*(1/24))</f>
        <v>0.743180487804878</v>
      </c>
      <c r="R20" s="56"/>
      <c r="S20" s="1039">
        <f>(G20+G21)*24/(K20/60)/15000</f>
        <v>0.7312896000000001</v>
      </c>
      <c r="T20" s="46">
        <f>(H20+H23)*24/(M20/60)/15000</f>
        <v>0.9940065882352942</v>
      </c>
      <c r="U20" s="1237">
        <f>(G20+G21)*24/(K20/60)/15300</f>
        <v>0.71695058823529423</v>
      </c>
      <c r="V20" s="24" t="s">
        <v>172</v>
      </c>
    </row>
    <row r="21" spans="2:22" s="19" customFormat="1" ht="33" x14ac:dyDescent="0.2">
      <c r="B21" s="1214"/>
      <c r="C21" s="48" t="s">
        <v>27</v>
      </c>
      <c r="D21" s="49">
        <v>3100</v>
      </c>
      <c r="E21" s="1218"/>
      <c r="F21" s="51">
        <f>[16]May_2016!$J25</f>
        <v>203.6</v>
      </c>
      <c r="G21" s="52">
        <f>[16]May_2016!$F25</f>
        <v>3059</v>
      </c>
      <c r="H21" s="51">
        <f>[16]May_2016!$K25</f>
        <v>201.89400000000001</v>
      </c>
      <c r="I21" s="53">
        <f>[16]May_2016!$N25</f>
        <v>16</v>
      </c>
      <c r="J21" s="1224"/>
      <c r="K21" s="1224"/>
      <c r="L21" s="134">
        <v>0.80486111111111114</v>
      </c>
      <c r="M21" s="54">
        <f>[16]May_2016!$M25</f>
        <v>65</v>
      </c>
      <c r="N21" s="54"/>
      <c r="O21" s="55">
        <f>[16]May_2016!$P25</f>
        <v>0.83791748526522059</v>
      </c>
      <c r="P21" s="54"/>
      <c r="Q21" s="1228"/>
      <c r="R21" s="56"/>
      <c r="S21" s="1040"/>
      <c r="T21" s="46"/>
      <c r="U21" s="1239"/>
      <c r="V21" s="24" t="s">
        <v>173</v>
      </c>
    </row>
    <row r="22" spans="2:22" s="19" customFormat="1" ht="23.25" customHeight="1" x14ac:dyDescent="0.2">
      <c r="B22" s="1213">
        <v>42509</v>
      </c>
      <c r="C22" s="48" t="s">
        <v>27</v>
      </c>
      <c r="D22" s="49">
        <v>1400</v>
      </c>
      <c r="E22" s="1217">
        <v>0.31944444444444448</v>
      </c>
      <c r="F22" s="51">
        <f>[16]May_2016!$J26</f>
        <v>228.6</v>
      </c>
      <c r="G22" s="52">
        <f>[16]May_2016!$F26</f>
        <v>3440</v>
      </c>
      <c r="H22" s="51">
        <f>[16]May_2016!$K26</f>
        <v>227.04000000000002</v>
      </c>
      <c r="I22" s="53">
        <f>[16]May_2016!$N26</f>
        <v>30.25</v>
      </c>
      <c r="J22" s="1223">
        <f>SUM([16]May_2016!$Q26)</f>
        <v>430.45602605863195</v>
      </c>
      <c r="K22" s="1223">
        <f>SUM([16]May_2016!$E26)</f>
        <v>614</v>
      </c>
      <c r="L22" s="134">
        <v>0.69930555555555562</v>
      </c>
      <c r="M22" s="54">
        <f>[16]May_2016!$M26</f>
        <v>93</v>
      </c>
      <c r="N22" s="54"/>
      <c r="O22" s="55">
        <f>[16]May_2016!$P26</f>
        <v>0.68241469816271816</v>
      </c>
      <c r="P22" s="54"/>
      <c r="Q22" s="1227">
        <f>(G22+G23)/(10.067*15000*(1/24))</f>
        <v>0.70010926790503625</v>
      </c>
      <c r="R22" s="56"/>
      <c r="S22" s="1039">
        <f>(G22+G23)*24/(K22/60)/15000</f>
        <v>0.68872964169381112</v>
      </c>
      <c r="T22" s="46">
        <f>(H22+H25)*24/(M22/60)/15000</f>
        <v>0.46938632258064522</v>
      </c>
      <c r="U22" s="1237">
        <f>(G22+G23)*24/(K22/60)/15300</f>
        <v>0.67522513891550107</v>
      </c>
      <c r="V22" s="1208" t="s">
        <v>174</v>
      </c>
    </row>
    <row r="23" spans="2:22" s="19" customFormat="1" ht="24" customHeight="1" x14ac:dyDescent="0.2">
      <c r="B23" s="1214"/>
      <c r="C23" s="48" t="s">
        <v>29</v>
      </c>
      <c r="D23" s="49">
        <v>3300</v>
      </c>
      <c r="E23" s="1218"/>
      <c r="F23" s="51">
        <f>[16]May_2016!$J27</f>
        <v>64.5</v>
      </c>
      <c r="G23" s="52">
        <f>[16]May_2016!$F27</f>
        <v>965</v>
      </c>
      <c r="H23" s="51">
        <f>[16]May_2016!$K27</f>
        <v>63.690000000000005</v>
      </c>
      <c r="I23" s="53">
        <f>[16]May_2016!$N27</f>
        <v>7</v>
      </c>
      <c r="J23" s="1224"/>
      <c r="K23" s="1224"/>
      <c r="L23" s="134">
        <v>0.79861111111111116</v>
      </c>
      <c r="M23" s="54">
        <f>[16]May_2016!$M27</f>
        <v>18</v>
      </c>
      <c r="N23" s="54"/>
      <c r="O23" s="55">
        <f>[16]May_2016!$P27</f>
        <v>1.2558139534883646</v>
      </c>
      <c r="P23" s="54"/>
      <c r="Q23" s="1228"/>
      <c r="R23" s="56"/>
      <c r="S23" s="1040"/>
      <c r="T23" s="46"/>
      <c r="U23" s="1239"/>
      <c r="V23" s="1209"/>
    </row>
    <row r="24" spans="2:22" s="19" customFormat="1" ht="49.5" x14ac:dyDescent="0.2">
      <c r="B24" s="123">
        <v>42510</v>
      </c>
      <c r="C24" s="48" t="s">
        <v>29</v>
      </c>
      <c r="D24" s="49">
        <v>4500</v>
      </c>
      <c r="E24" s="50">
        <v>0.31458333333333333</v>
      </c>
      <c r="F24" s="51">
        <f>[16]May_2016!$J28</f>
        <v>318.90000000000003</v>
      </c>
      <c r="G24" s="52">
        <f>[16]May_2016!$F28</f>
        <v>4536</v>
      </c>
      <c r="H24" s="51">
        <f>[16]May_2016!$K28</f>
        <v>316.28600000000006</v>
      </c>
      <c r="I24" s="53">
        <f>[16]May_2016!$N28</f>
        <v>41</v>
      </c>
      <c r="J24" s="54">
        <f>SUM([16]May_2016!$Q28)</f>
        <v>498.46153846153845</v>
      </c>
      <c r="K24" s="54">
        <f>SUM([16]May_2016!$E28)</f>
        <v>546</v>
      </c>
      <c r="L24" s="134">
        <v>0.74861111111111101</v>
      </c>
      <c r="M24" s="54">
        <f>[16]May_2016!$M28</f>
        <v>90</v>
      </c>
      <c r="N24" s="54"/>
      <c r="O24" s="55">
        <f>[16]May_2016!$P28</f>
        <v>0.81969269363436048</v>
      </c>
      <c r="P24" s="54"/>
      <c r="Q24" s="66">
        <f>(G24)/(8.93*15000*(1/24))</f>
        <v>0.81272116461366184</v>
      </c>
      <c r="R24" s="56"/>
      <c r="S24" s="46">
        <f>(G24)*24/(K24/60)/15000</f>
        <v>0.79753846153846164</v>
      </c>
      <c r="T24" s="46">
        <f>(H24+H27)*24/(M24/60)/15000</f>
        <v>0.38665173333333336</v>
      </c>
      <c r="U24" s="125">
        <f>(G24)*24/(K24/60)/15300</f>
        <v>0.78190045248868778</v>
      </c>
      <c r="V24" s="24" t="s">
        <v>175</v>
      </c>
    </row>
    <row r="25" spans="2:22" s="19" customFormat="1" ht="33" x14ac:dyDescent="0.2">
      <c r="B25" s="123">
        <v>42513</v>
      </c>
      <c r="C25" s="48" t="s">
        <v>29</v>
      </c>
      <c r="D25" s="49">
        <v>4200</v>
      </c>
      <c r="E25" s="50">
        <v>0.4694444444444445</v>
      </c>
      <c r="F25" s="51">
        <f>[16]May_2016!$J29</f>
        <v>230</v>
      </c>
      <c r="G25" s="52">
        <f>[16]May_2016!$F29</f>
        <v>3418</v>
      </c>
      <c r="H25" s="51">
        <f>[16]May_2016!$K29</f>
        <v>227.67800000000003</v>
      </c>
      <c r="I25" s="53">
        <f>[16]May_2016!$N29</f>
        <v>12</v>
      </c>
      <c r="J25" s="54">
        <f>SUM([16]May_2016!$Q29)</f>
        <v>330.77419354838707</v>
      </c>
      <c r="K25" s="54">
        <f>SUM([16]May_2016!$E29)</f>
        <v>620</v>
      </c>
      <c r="L25" s="134">
        <v>0.80972222222222223</v>
      </c>
      <c r="M25" s="54">
        <f>[16]May_2016!$M29</f>
        <v>262</v>
      </c>
      <c r="N25" s="54"/>
      <c r="O25" s="55">
        <f>[16]May_2016!$P29</f>
        <v>1.009565217391293</v>
      </c>
      <c r="P25" s="54"/>
      <c r="Q25" s="66">
        <f>(G25)/(10.167*15000*(1/24))</f>
        <v>0.53789711812727448</v>
      </c>
      <c r="R25" s="56"/>
      <c r="S25" s="46">
        <f>(G25)*24/(K25/60)/15000</f>
        <v>0.52923870967741937</v>
      </c>
      <c r="T25" s="46">
        <f>(H25+H28)*24/(M25/60)/15000</f>
        <v>9.8581740458015293E-2</v>
      </c>
      <c r="U25" s="125">
        <f>(G25)*24/(K25/60)/15300</f>
        <v>0.51886148007590127</v>
      </c>
      <c r="V25" s="24" t="s">
        <v>176</v>
      </c>
    </row>
    <row r="26" spans="2:22" s="19" customFormat="1" ht="49.5" x14ac:dyDescent="0.2">
      <c r="B26" s="123">
        <v>42514</v>
      </c>
      <c r="C26" s="48" t="s">
        <v>31</v>
      </c>
      <c r="D26" s="49">
        <v>3300</v>
      </c>
      <c r="E26" s="50">
        <v>0.3611111111111111</v>
      </c>
      <c r="F26" s="51">
        <f>[16]May_2016!$J30</f>
        <v>255.60000000000002</v>
      </c>
      <c r="G26" s="52">
        <f>[16]May_2016!$F30</f>
        <v>3426</v>
      </c>
      <c r="H26" s="51">
        <f>[16]May_2016!$K30</f>
        <v>254.89439999999999</v>
      </c>
      <c r="I26" s="53">
        <f>[16]May_2016!$N30</f>
        <v>17</v>
      </c>
      <c r="J26" s="54">
        <f>SUM([16]May_2016!$Q30)</f>
        <v>369.048473967684</v>
      </c>
      <c r="K26" s="54">
        <f>SUM([16]May_2016!$E30)</f>
        <v>557</v>
      </c>
      <c r="L26" s="134">
        <v>0.75763888888888886</v>
      </c>
      <c r="M26" s="54">
        <f>[16]May_2016!$M30</f>
        <v>98</v>
      </c>
      <c r="N26" s="54"/>
      <c r="O26" s="55">
        <f>[16]May_2016!$P30</f>
        <v>0.27605633802818164</v>
      </c>
      <c r="P26" s="54"/>
      <c r="Q26" s="66">
        <f>(G26)/(9.117*15000*(1/24))</f>
        <v>0.60125041131951296</v>
      </c>
      <c r="R26" s="56"/>
      <c r="S26" s="46">
        <f>(G26)*24/(K26/60)/15000</f>
        <v>0.59047755834829441</v>
      </c>
      <c r="T26" s="46">
        <f>(H26+H29)*24/(M26/60)/15000</f>
        <v>0.53500643265306136</v>
      </c>
      <c r="U26" s="125">
        <f>(G26)*24/(K26/60)/15300</f>
        <v>0.57889956700813172</v>
      </c>
      <c r="V26" s="24" t="s">
        <v>177</v>
      </c>
    </row>
    <row r="27" spans="2:22" s="19" customFormat="1" ht="20.25" x14ac:dyDescent="0.2">
      <c r="B27" s="1213">
        <v>42515</v>
      </c>
      <c r="C27" s="48" t="s">
        <v>29</v>
      </c>
      <c r="D27" s="49">
        <v>700</v>
      </c>
      <c r="E27" s="1217">
        <v>0.31527777777777777</v>
      </c>
      <c r="F27" s="51">
        <f>[16]May_2016!$J31</f>
        <v>48</v>
      </c>
      <c r="G27" s="52">
        <f>[16]May_2016!$F31</f>
        <v>700</v>
      </c>
      <c r="H27" s="51">
        <f>[16]May_2016!$K31</f>
        <v>46.2</v>
      </c>
      <c r="I27" s="53">
        <f>[16]May_2016!$N31</f>
        <v>6.75</v>
      </c>
      <c r="J27" s="1223">
        <f>SUM([16]May_2016!$Q31)</f>
        <v>421.47601476014756</v>
      </c>
      <c r="K27" s="1223">
        <f>SUM([16]May_2016!$E31)</f>
        <v>813</v>
      </c>
      <c r="L27" s="134">
        <v>0.4284722222222222</v>
      </c>
      <c r="M27" s="54">
        <f>[16]May_2016!$M31</f>
        <v>36</v>
      </c>
      <c r="N27" s="54"/>
      <c r="O27" s="55">
        <f>[16]May_2016!$P31</f>
        <v>3.7499999999999942</v>
      </c>
      <c r="P27" s="54"/>
      <c r="Q27" s="1227">
        <f>(G27+G28+G29)/(13.383*15000*(1/24))</f>
        <v>0.68277665695285061</v>
      </c>
      <c r="R27" s="56"/>
      <c r="S27" s="1039">
        <f>(G27+G28+G29)*24/(K27/60)/15000</f>
        <v>0.67436162361623608</v>
      </c>
      <c r="T27" s="46">
        <f>(H27+H30)*24/(M27/60)/15000</f>
        <v>0.81135999999999997</v>
      </c>
      <c r="U27" s="1237">
        <f>(G27+G28+G29)*24/(K27/60)/15300</f>
        <v>0.66113884668258438</v>
      </c>
      <c r="V27" s="24" t="s">
        <v>178</v>
      </c>
    </row>
    <row r="28" spans="2:22" s="19" customFormat="1" ht="20.25" x14ac:dyDescent="0.2">
      <c r="B28" s="1233"/>
      <c r="C28" s="48" t="s">
        <v>107</v>
      </c>
      <c r="D28" s="49">
        <v>650</v>
      </c>
      <c r="E28" s="1234"/>
      <c r="F28" s="51">
        <f>[16]May_2016!$J32</f>
        <v>42.6</v>
      </c>
      <c r="G28" s="52">
        <f>[16]May_2016!$F32</f>
        <v>598</v>
      </c>
      <c r="H28" s="51">
        <f>[16]May_2016!$K32</f>
        <v>41.368000000000002</v>
      </c>
      <c r="I28" s="53">
        <f>[16]May_2016!$N32</f>
        <v>4.5</v>
      </c>
      <c r="J28" s="1235"/>
      <c r="K28" s="1235"/>
      <c r="L28" s="134">
        <v>0.50277777777777777</v>
      </c>
      <c r="M28" s="54">
        <f>[16]May_2016!$M32</f>
        <v>24</v>
      </c>
      <c r="N28" s="54"/>
      <c r="O28" s="55">
        <f>[16]May_2016!$P32</f>
        <v>2.8920187793427212</v>
      </c>
      <c r="P28" s="54"/>
      <c r="Q28" s="1236"/>
      <c r="R28" s="56"/>
      <c r="S28" s="1041"/>
      <c r="T28" s="46"/>
      <c r="U28" s="1238"/>
      <c r="V28" s="24" t="s">
        <v>179</v>
      </c>
    </row>
    <row r="29" spans="2:22" s="19" customFormat="1" ht="33" x14ac:dyDescent="0.2">
      <c r="B29" s="1214"/>
      <c r="C29" s="48" t="s">
        <v>166</v>
      </c>
      <c r="D29" s="49">
        <v>4200</v>
      </c>
      <c r="E29" s="1218"/>
      <c r="F29" s="51">
        <f>[16]May_2016!$J33</f>
        <v>292.50000000000006</v>
      </c>
      <c r="G29" s="52">
        <f>[16]May_2016!$F33</f>
        <v>4413</v>
      </c>
      <c r="H29" s="51">
        <f>[16]May_2016!$K33</f>
        <v>291.25800000000004</v>
      </c>
      <c r="I29" s="53">
        <f>[16]May_2016!$N33</f>
        <v>23.75</v>
      </c>
      <c r="J29" s="1224"/>
      <c r="K29" s="1224"/>
      <c r="L29" s="134"/>
      <c r="M29" s="54">
        <f>[16]May_2016!$M33</f>
        <v>82</v>
      </c>
      <c r="N29" s="54"/>
      <c r="O29" s="55">
        <f>[16]May_2016!$P33</f>
        <v>0.42461538461539089</v>
      </c>
      <c r="P29" s="54"/>
      <c r="Q29" s="1228"/>
      <c r="R29" s="56"/>
      <c r="S29" s="1040"/>
      <c r="T29" s="46"/>
      <c r="U29" s="1239"/>
      <c r="V29" s="24" t="s">
        <v>180</v>
      </c>
    </row>
    <row r="30" spans="2:22" s="19" customFormat="1" ht="33" x14ac:dyDescent="0.2">
      <c r="B30" s="123">
        <v>42517</v>
      </c>
      <c r="C30" s="48" t="s">
        <v>45</v>
      </c>
      <c r="D30" s="49">
        <v>3800</v>
      </c>
      <c r="E30" s="50">
        <v>0.35833333333333334</v>
      </c>
      <c r="F30" s="51">
        <f>[16]May_2016!$J34</f>
        <v>267.09209999999996</v>
      </c>
      <c r="G30" s="52">
        <f>[16]May_2016!$F34</f>
        <v>3910</v>
      </c>
      <c r="H30" s="51">
        <f>[16]May_2016!$K34</f>
        <v>258.06</v>
      </c>
      <c r="I30" s="53">
        <f>[16]May_2016!$N34</f>
        <v>17</v>
      </c>
      <c r="J30" s="54">
        <f>[16]May_2016!$Q34</f>
        <v>428.10218978102193</v>
      </c>
      <c r="K30" s="54">
        <f>[16]May_2016!$E34</f>
        <v>548</v>
      </c>
      <c r="L30" s="134">
        <v>0.74652777777777779</v>
      </c>
      <c r="M30" s="54">
        <f>[16]May_2016!$M34</f>
        <v>82</v>
      </c>
      <c r="N30" s="54"/>
      <c r="O30" s="55">
        <f>[16]May_2016!$P34</f>
        <v>3.3816425120772791</v>
      </c>
      <c r="P30" s="54"/>
      <c r="Q30" s="66">
        <f>(G30)/(8.967*15000*(1/24))</f>
        <v>0.69766923162707706</v>
      </c>
      <c r="R30" s="56"/>
      <c r="S30" s="46">
        <f>(G30)*24/(K30/60)/15000</f>
        <v>0.6849635036496351</v>
      </c>
      <c r="T30" s="46">
        <f>(H30+H33)*24/(M30/60)/15000</f>
        <v>0.61528741463414627</v>
      </c>
      <c r="U30" s="125">
        <f>(G30)*24/(K30/60)/15300</f>
        <v>0.67153284671532854</v>
      </c>
      <c r="V30" s="24" t="s">
        <v>181</v>
      </c>
    </row>
    <row r="31" spans="2:22" s="19" customFormat="1" ht="20.25" x14ac:dyDescent="0.2">
      <c r="B31" s="1213">
        <v>42520</v>
      </c>
      <c r="C31" s="48" t="s">
        <v>29</v>
      </c>
      <c r="D31" s="49">
        <v>4200</v>
      </c>
      <c r="E31" s="1217">
        <v>0.33333333333333331</v>
      </c>
      <c r="F31" s="51">
        <f>[16]May_2016!$J35</f>
        <v>279.7</v>
      </c>
      <c r="G31" s="52">
        <f>[16]May_2016!$F35</f>
        <v>4130</v>
      </c>
      <c r="H31" s="51">
        <f>[16]May_2016!$K35</f>
        <v>277.33000000000004</v>
      </c>
      <c r="I31" s="53">
        <f>[16]May_2016!$N35</f>
        <v>10.75</v>
      </c>
      <c r="J31" s="1223">
        <f>[16]May_2016!$Q35</f>
        <v>493.5</v>
      </c>
      <c r="K31" s="1223">
        <f>[16]May_2016!$E35</f>
        <v>600</v>
      </c>
      <c r="L31" s="134">
        <v>0.7055555555555556</v>
      </c>
      <c r="M31" s="54">
        <f>[16]May_2016!$M35</f>
        <v>57</v>
      </c>
      <c r="N31" s="54"/>
      <c r="O31" s="55">
        <f>[16]May_2016!$P35</f>
        <v>0.84733643189129348</v>
      </c>
      <c r="P31" s="54"/>
      <c r="Q31" s="1227">
        <f>(G31+G32)/(9.833*15000*(1/24))</f>
        <v>0.80301027153462834</v>
      </c>
      <c r="R31" s="56"/>
      <c r="S31" s="1039">
        <f>(G31+G32)*24/(K31/60)/15000</f>
        <v>0.78959999999999997</v>
      </c>
      <c r="T31" s="46">
        <f>(H31+H34)*24/(M31/60)/15000</f>
        <v>0.46708210526315797</v>
      </c>
      <c r="U31" s="1237">
        <f>(G31+G32)*24/(K31/60)/15300</f>
        <v>0.77411764705882358</v>
      </c>
      <c r="V31" s="1208" t="s">
        <v>182</v>
      </c>
    </row>
    <row r="32" spans="2:22" s="19" customFormat="1" ht="20.25" x14ac:dyDescent="0.2">
      <c r="B32" s="1214"/>
      <c r="C32" s="48" t="s">
        <v>27</v>
      </c>
      <c r="D32" s="49">
        <v>700</v>
      </c>
      <c r="E32" s="1218"/>
      <c r="F32" s="51">
        <f>[16]May_2016!$J36</f>
        <v>56</v>
      </c>
      <c r="G32" s="52">
        <f>[16]May_2016!$F36</f>
        <v>805</v>
      </c>
      <c r="H32" s="51">
        <f>[16]May_2016!$K36</f>
        <v>55.03</v>
      </c>
      <c r="I32" s="53">
        <f>[16]May_2016!$N36</f>
        <v>0</v>
      </c>
      <c r="J32" s="1224"/>
      <c r="K32" s="1224"/>
      <c r="L32" s="134">
        <v>0.78472222222222221</v>
      </c>
      <c r="M32" s="54">
        <f>[16]May_2016!$M36</f>
        <v>17</v>
      </c>
      <c r="N32" s="54"/>
      <c r="O32" s="55">
        <f>[16]May_2016!$P36</f>
        <v>1.732142857142855</v>
      </c>
      <c r="P32" s="54"/>
      <c r="Q32" s="1228"/>
      <c r="R32" s="56"/>
      <c r="S32" s="1040"/>
      <c r="T32" s="46"/>
      <c r="U32" s="1239"/>
      <c r="V32" s="1209"/>
    </row>
    <row r="33" spans="2:22" s="19" customFormat="1" ht="33" x14ac:dyDescent="0.2">
      <c r="B33" s="123">
        <v>42521</v>
      </c>
      <c r="C33" s="48" t="s">
        <v>27</v>
      </c>
      <c r="D33" s="49">
        <v>4900</v>
      </c>
      <c r="E33" s="50">
        <v>0.38750000000000001</v>
      </c>
      <c r="F33" s="51">
        <f>[16]May_2016!$J37</f>
        <v>269.09999999999997</v>
      </c>
      <c r="G33" s="52">
        <f>[16]May_2016!$F37</f>
        <v>4053</v>
      </c>
      <c r="H33" s="51">
        <f>[16]May_2016!$K37</f>
        <v>267.49799999999999</v>
      </c>
      <c r="I33" s="53">
        <f>[16]May_2016!$N37</f>
        <v>26.75</v>
      </c>
      <c r="J33" s="54">
        <f>[16]May_2016!$Q37</f>
        <v>462.31939163498095</v>
      </c>
      <c r="K33" s="54">
        <f>[16]May_2016!$E37</f>
        <v>526</v>
      </c>
      <c r="L33" s="134">
        <v>0.79236111111111107</v>
      </c>
      <c r="M33" s="54">
        <f>[16]May_2016!$M37</f>
        <v>67</v>
      </c>
      <c r="N33" s="54"/>
      <c r="O33" s="55">
        <f>[16]May_2016!$P37</f>
        <v>0.5953177257524993</v>
      </c>
      <c r="P33" s="54"/>
      <c r="Q33" s="66">
        <f>(G33)/(10.067*15000*(1/24))</f>
        <v>0.64416410052647266</v>
      </c>
      <c r="R33" s="56"/>
      <c r="S33" s="46">
        <f>(G33)*24/(K33/60)/15000</f>
        <v>0.73971102661596944</v>
      </c>
      <c r="T33" s="46">
        <f>(H33+H36)*24/(M33/60)/15000</f>
        <v>0.38328071641791039</v>
      </c>
      <c r="U33" s="125">
        <f>(G33)*24/(K33/60)/15300</f>
        <v>0.72520688883918571</v>
      </c>
      <c r="V33" s="24" t="s">
        <v>183</v>
      </c>
    </row>
    <row r="34" spans="2:22" s="19" customFormat="1" ht="21" thickBot="1" x14ac:dyDescent="0.25">
      <c r="B34" s="123"/>
      <c r="C34" s="48"/>
      <c r="D34" s="49"/>
      <c r="E34" s="50"/>
      <c r="F34" s="51"/>
      <c r="G34" s="52"/>
      <c r="H34" s="51"/>
      <c r="I34" s="53"/>
      <c r="J34" s="54"/>
      <c r="K34" s="54"/>
      <c r="L34" s="134"/>
      <c r="M34" s="54"/>
      <c r="N34" s="54"/>
      <c r="O34" s="55"/>
      <c r="P34" s="54"/>
      <c r="Q34" s="66"/>
      <c r="R34" s="56"/>
      <c r="S34" s="46"/>
      <c r="T34" s="46"/>
      <c r="U34" s="125"/>
      <c r="V34" s="24"/>
    </row>
    <row r="35" spans="2:22" s="19" customFormat="1" ht="20.25" hidden="1" x14ac:dyDescent="0.2">
      <c r="B35" s="123"/>
      <c r="C35" s="48"/>
      <c r="D35" s="49"/>
      <c r="E35" s="50"/>
      <c r="F35" s="51"/>
      <c r="G35" s="52"/>
      <c r="H35" s="51"/>
      <c r="I35" s="53"/>
      <c r="J35" s="54"/>
      <c r="K35" s="54"/>
      <c r="L35" s="54"/>
      <c r="M35" s="54"/>
      <c r="N35" s="54"/>
      <c r="O35" s="55"/>
      <c r="P35" s="54"/>
      <c r="Q35" s="66"/>
      <c r="R35" s="56"/>
      <c r="S35" s="46"/>
      <c r="T35" s="46"/>
      <c r="U35" s="125"/>
      <c r="V35" s="24"/>
    </row>
    <row r="36" spans="2:22" s="19" customFormat="1" ht="20.25" hidden="1" x14ac:dyDescent="0.2">
      <c r="B36" s="123"/>
      <c r="C36" s="48"/>
      <c r="D36" s="49"/>
      <c r="E36" s="50"/>
      <c r="F36" s="51"/>
      <c r="G36" s="52"/>
      <c r="H36" s="51"/>
      <c r="I36" s="53"/>
      <c r="J36" s="54"/>
      <c r="K36" s="54"/>
      <c r="L36" s="54"/>
      <c r="M36" s="54"/>
      <c r="N36" s="54"/>
      <c r="O36" s="55"/>
      <c r="P36" s="54"/>
      <c r="Q36" s="66"/>
      <c r="R36" s="56"/>
      <c r="S36" s="46"/>
      <c r="T36" s="46"/>
      <c r="U36" s="125"/>
      <c r="V36" s="24"/>
    </row>
    <row r="37" spans="2:22" s="19" customFormat="1" ht="20.25" hidden="1" x14ac:dyDescent="0.2">
      <c r="B37" s="123"/>
      <c r="C37" s="48"/>
      <c r="D37" s="49"/>
      <c r="E37" s="50"/>
      <c r="F37" s="51"/>
      <c r="G37" s="52"/>
      <c r="H37" s="51"/>
      <c r="I37" s="53"/>
      <c r="J37" s="54"/>
      <c r="K37" s="54"/>
      <c r="L37" s="54"/>
      <c r="M37" s="54"/>
      <c r="N37" s="54"/>
      <c r="O37" s="55"/>
      <c r="P37" s="54"/>
      <c r="Q37" s="66"/>
      <c r="R37" s="56"/>
      <c r="S37" s="46"/>
      <c r="T37" s="46"/>
      <c r="U37" s="125"/>
      <c r="V37" s="24"/>
    </row>
    <row r="38" spans="2:22" s="19" customFormat="1" ht="20.25" hidden="1" x14ac:dyDescent="0.2">
      <c r="B38" s="123"/>
      <c r="C38" s="48"/>
      <c r="D38" s="49"/>
      <c r="E38" s="50"/>
      <c r="F38" s="51"/>
      <c r="G38" s="52"/>
      <c r="H38" s="51"/>
      <c r="I38" s="53"/>
      <c r="J38" s="54"/>
      <c r="K38" s="54"/>
      <c r="L38" s="54"/>
      <c r="M38" s="54"/>
      <c r="N38" s="54"/>
      <c r="O38" s="55"/>
      <c r="P38" s="54"/>
      <c r="Q38" s="66"/>
      <c r="R38" s="56"/>
      <c r="S38" s="46"/>
      <c r="T38" s="46"/>
      <c r="U38" s="125"/>
      <c r="V38" s="24"/>
    </row>
    <row r="39" spans="2:22" s="19" customFormat="1" ht="20.25" hidden="1" x14ac:dyDescent="0.2">
      <c r="B39" s="123"/>
      <c r="C39" s="48"/>
      <c r="D39" s="49"/>
      <c r="E39" s="50"/>
      <c r="F39" s="51"/>
      <c r="G39" s="52"/>
      <c r="H39" s="51"/>
      <c r="I39" s="53"/>
      <c r="J39" s="54"/>
      <c r="K39" s="54"/>
      <c r="L39" s="54"/>
      <c r="M39" s="54"/>
      <c r="N39" s="54"/>
      <c r="O39" s="55"/>
      <c r="P39" s="54"/>
      <c r="Q39" s="66"/>
      <c r="R39" s="56"/>
      <c r="S39" s="46"/>
      <c r="T39" s="46"/>
      <c r="U39" s="125"/>
      <c r="V39" s="24"/>
    </row>
    <row r="40" spans="2:22" s="19" customFormat="1" ht="20.25" hidden="1" x14ac:dyDescent="0.2">
      <c r="B40" s="123"/>
      <c r="C40" s="48"/>
      <c r="D40" s="49"/>
      <c r="E40" s="50"/>
      <c r="F40" s="51"/>
      <c r="G40" s="52"/>
      <c r="H40" s="51"/>
      <c r="I40" s="53"/>
      <c r="J40" s="54"/>
      <c r="K40" s="54"/>
      <c r="L40" s="54"/>
      <c r="M40" s="54"/>
      <c r="N40" s="54"/>
      <c r="O40" s="55"/>
      <c r="P40" s="54"/>
      <c r="Q40" s="66"/>
      <c r="R40" s="56"/>
      <c r="S40" s="46"/>
      <c r="T40" s="46"/>
      <c r="U40" s="125"/>
      <c r="V40" s="24"/>
    </row>
    <row r="41" spans="2:22" s="19" customFormat="1" ht="20.25" hidden="1" x14ac:dyDescent="0.2">
      <c r="B41" s="123"/>
      <c r="C41" s="48"/>
      <c r="D41" s="49"/>
      <c r="E41" s="50"/>
      <c r="F41" s="51"/>
      <c r="G41" s="52"/>
      <c r="H41" s="51"/>
      <c r="I41" s="53"/>
      <c r="J41" s="54"/>
      <c r="K41" s="54"/>
      <c r="L41" s="54"/>
      <c r="M41" s="54"/>
      <c r="N41" s="54"/>
      <c r="O41" s="55"/>
      <c r="P41" s="54"/>
      <c r="Q41" s="66"/>
      <c r="R41" s="56"/>
      <c r="S41" s="46"/>
      <c r="T41" s="46"/>
      <c r="U41" s="125"/>
      <c r="V41" s="24"/>
    </row>
    <row r="42" spans="2:22" s="19" customFormat="1" ht="31.5" hidden="1" customHeight="1" x14ac:dyDescent="0.2">
      <c r="B42" s="47"/>
      <c r="C42" s="48"/>
      <c r="D42" s="49"/>
      <c r="E42" s="50"/>
      <c r="F42" s="51"/>
      <c r="G42" s="52"/>
      <c r="H42" s="51"/>
      <c r="I42" s="53"/>
      <c r="J42" s="54"/>
      <c r="K42" s="54"/>
      <c r="L42" s="54"/>
      <c r="M42" s="54"/>
      <c r="N42" s="54"/>
      <c r="O42" s="55"/>
      <c r="P42" s="54"/>
      <c r="Q42" s="66"/>
      <c r="R42" s="56"/>
      <c r="S42" s="46"/>
      <c r="T42" s="18"/>
      <c r="U42" s="126"/>
      <c r="V42" s="24"/>
    </row>
    <row r="43" spans="2:22" s="19" customFormat="1" ht="31.5" hidden="1" customHeight="1" x14ac:dyDescent="0.2">
      <c r="B43" s="47"/>
      <c r="C43" s="48"/>
      <c r="D43" s="49"/>
      <c r="E43" s="50"/>
      <c r="F43" s="51"/>
      <c r="G43" s="52"/>
      <c r="H43" s="51"/>
      <c r="I43" s="53"/>
      <c r="J43" s="54"/>
      <c r="K43" s="54"/>
      <c r="L43" s="54"/>
      <c r="M43" s="54"/>
      <c r="N43" s="54"/>
      <c r="O43" s="55"/>
      <c r="P43" s="54"/>
      <c r="Q43" s="66"/>
      <c r="R43" s="56"/>
      <c r="S43" s="46"/>
      <c r="T43" s="18"/>
      <c r="U43" s="126"/>
      <c r="V43" s="24"/>
    </row>
    <row r="44" spans="2:22" s="19" customFormat="1" ht="31.5" hidden="1" customHeight="1" x14ac:dyDescent="0.2">
      <c r="B44" s="47"/>
      <c r="C44" s="48"/>
      <c r="D44" s="49"/>
      <c r="E44" s="50"/>
      <c r="F44" s="51"/>
      <c r="G44" s="52"/>
      <c r="H44" s="51"/>
      <c r="I44" s="53"/>
      <c r="J44" s="54"/>
      <c r="K44" s="54"/>
      <c r="L44" s="54"/>
      <c r="M44" s="54"/>
      <c r="N44" s="54"/>
      <c r="O44" s="55"/>
      <c r="P44" s="54"/>
      <c r="Q44" s="66"/>
      <c r="R44" s="56"/>
      <c r="S44" s="46"/>
      <c r="T44" s="18"/>
      <c r="U44" s="126"/>
      <c r="V44" s="24"/>
    </row>
    <row r="45" spans="2:22" s="19" customFormat="1" ht="31.5" hidden="1" customHeight="1" x14ac:dyDescent="0.2">
      <c r="B45" s="47"/>
      <c r="C45" s="48"/>
      <c r="D45" s="49"/>
      <c r="E45" s="50"/>
      <c r="F45" s="51"/>
      <c r="G45" s="52"/>
      <c r="H45" s="51"/>
      <c r="I45" s="53"/>
      <c r="J45" s="54"/>
      <c r="K45" s="54"/>
      <c r="L45" s="54"/>
      <c r="M45" s="54"/>
      <c r="N45" s="54"/>
      <c r="O45" s="55"/>
      <c r="P45" s="54"/>
      <c r="Q45" s="66"/>
      <c r="R45" s="56"/>
      <c r="S45" s="46"/>
      <c r="T45" s="18"/>
      <c r="U45" s="126"/>
      <c r="V45" s="24"/>
    </row>
    <row r="46" spans="2:22" s="19" customFormat="1" ht="31.5" hidden="1" customHeight="1" x14ac:dyDescent="0.2">
      <c r="B46" s="47"/>
      <c r="C46" s="48"/>
      <c r="D46" s="49"/>
      <c r="E46" s="50"/>
      <c r="F46" s="51"/>
      <c r="G46" s="52"/>
      <c r="H46" s="51"/>
      <c r="I46" s="53"/>
      <c r="J46" s="54"/>
      <c r="K46" s="54"/>
      <c r="L46" s="54"/>
      <c r="M46" s="54"/>
      <c r="N46" s="54"/>
      <c r="O46" s="55"/>
      <c r="P46" s="54"/>
      <c r="Q46" s="66"/>
      <c r="R46" s="56"/>
      <c r="S46" s="46"/>
      <c r="T46" s="18"/>
      <c r="U46" s="126"/>
      <c r="V46" s="24"/>
    </row>
    <row r="47" spans="2:22" s="19" customFormat="1" ht="31.5" hidden="1" customHeight="1" x14ac:dyDescent="0.2">
      <c r="B47" s="47"/>
      <c r="C47" s="48"/>
      <c r="D47" s="49"/>
      <c r="E47" s="50"/>
      <c r="F47" s="51"/>
      <c r="G47" s="52"/>
      <c r="H47" s="51"/>
      <c r="I47" s="53"/>
      <c r="J47" s="54"/>
      <c r="K47" s="54"/>
      <c r="L47" s="54"/>
      <c r="M47" s="54"/>
      <c r="N47" s="54"/>
      <c r="O47" s="55"/>
      <c r="P47" s="54"/>
      <c r="Q47" s="66"/>
      <c r="R47" s="56"/>
      <c r="S47" s="46"/>
      <c r="T47" s="18"/>
      <c r="U47" s="126"/>
      <c r="V47" s="24"/>
    </row>
    <row r="48" spans="2:22" s="19" customFormat="1" ht="31.5" hidden="1" customHeight="1" x14ac:dyDescent="0.2">
      <c r="B48" s="47"/>
      <c r="C48" s="48"/>
      <c r="D48" s="49"/>
      <c r="E48" s="50"/>
      <c r="F48" s="51"/>
      <c r="G48" s="52"/>
      <c r="H48" s="51"/>
      <c r="I48" s="53"/>
      <c r="J48" s="54"/>
      <c r="K48" s="54"/>
      <c r="L48" s="54"/>
      <c r="M48" s="54"/>
      <c r="N48" s="54"/>
      <c r="O48" s="55"/>
      <c r="P48" s="54"/>
      <c r="Q48" s="66"/>
      <c r="R48" s="56"/>
      <c r="S48" s="46"/>
      <c r="T48" s="18"/>
      <c r="U48" s="126"/>
      <c r="V48" s="24"/>
    </row>
    <row r="49" spans="2:22" s="19" customFormat="1" ht="31.5" hidden="1" customHeight="1" x14ac:dyDescent="0.2">
      <c r="B49" s="47"/>
      <c r="C49" s="48"/>
      <c r="D49" s="49"/>
      <c r="E49" s="50"/>
      <c r="F49" s="51"/>
      <c r="G49" s="52"/>
      <c r="H49" s="51"/>
      <c r="I49" s="53"/>
      <c r="J49" s="54"/>
      <c r="K49" s="54"/>
      <c r="L49" s="54"/>
      <c r="M49" s="54"/>
      <c r="N49" s="54"/>
      <c r="O49" s="55"/>
      <c r="P49" s="54"/>
      <c r="Q49" s="66"/>
      <c r="R49" s="56"/>
      <c r="S49" s="46"/>
      <c r="T49" s="18"/>
      <c r="U49" s="126"/>
      <c r="V49" s="24"/>
    </row>
    <row r="50" spans="2:22" s="19" customFormat="1" ht="31.5" hidden="1" customHeight="1" x14ac:dyDescent="0.2">
      <c r="B50" s="47"/>
      <c r="C50" s="48"/>
      <c r="D50" s="49"/>
      <c r="E50" s="50"/>
      <c r="F50" s="51"/>
      <c r="G50" s="52"/>
      <c r="H50" s="51"/>
      <c r="I50" s="53"/>
      <c r="J50" s="54"/>
      <c r="K50" s="54"/>
      <c r="L50" s="54"/>
      <c r="M50" s="54"/>
      <c r="N50" s="54"/>
      <c r="O50" s="55"/>
      <c r="P50" s="54"/>
      <c r="Q50" s="66"/>
      <c r="R50" s="56"/>
      <c r="S50" s="46"/>
      <c r="T50" s="18"/>
      <c r="U50" s="126"/>
      <c r="V50" s="24"/>
    </row>
    <row r="51" spans="2:22" s="19" customFormat="1" ht="31.5" hidden="1" customHeight="1" x14ac:dyDescent="0.2">
      <c r="B51" s="47"/>
      <c r="C51" s="48"/>
      <c r="D51" s="49"/>
      <c r="E51" s="50"/>
      <c r="F51" s="51"/>
      <c r="G51" s="52"/>
      <c r="H51" s="51"/>
      <c r="I51" s="53"/>
      <c r="J51" s="54"/>
      <c r="K51" s="54"/>
      <c r="L51" s="54"/>
      <c r="M51" s="54"/>
      <c r="N51" s="54"/>
      <c r="O51" s="55"/>
      <c r="P51" s="54"/>
      <c r="Q51" s="66"/>
      <c r="R51" s="56"/>
      <c r="S51" s="46"/>
      <c r="T51" s="18"/>
      <c r="U51" s="126"/>
      <c r="V51" s="24"/>
    </row>
    <row r="52" spans="2:22" s="19" customFormat="1" ht="31.5" hidden="1" customHeight="1" x14ac:dyDescent="0.2">
      <c r="B52" s="47"/>
      <c r="C52" s="48"/>
      <c r="D52" s="49"/>
      <c r="E52" s="50"/>
      <c r="F52" s="51"/>
      <c r="G52" s="52"/>
      <c r="H52" s="51"/>
      <c r="I52" s="53"/>
      <c r="J52" s="54"/>
      <c r="K52" s="54"/>
      <c r="L52" s="54"/>
      <c r="M52" s="54"/>
      <c r="N52" s="54"/>
      <c r="O52" s="55"/>
      <c r="P52" s="54"/>
      <c r="Q52" s="66"/>
      <c r="R52" s="56"/>
      <c r="S52" s="46"/>
      <c r="T52" s="18"/>
      <c r="U52" s="126"/>
      <c r="V52" s="24"/>
    </row>
    <row r="53" spans="2:22" s="19" customFormat="1" ht="31.5" hidden="1" customHeight="1" x14ac:dyDescent="0.2">
      <c r="B53" s="47"/>
      <c r="C53" s="48"/>
      <c r="D53" s="49"/>
      <c r="E53" s="50"/>
      <c r="F53" s="51"/>
      <c r="G53" s="52"/>
      <c r="H53" s="51"/>
      <c r="I53" s="53"/>
      <c r="J53" s="54"/>
      <c r="K53" s="54"/>
      <c r="L53" s="54"/>
      <c r="M53" s="54"/>
      <c r="N53" s="54"/>
      <c r="O53" s="55"/>
      <c r="P53" s="54"/>
      <c r="Q53" s="66"/>
      <c r="R53" s="56"/>
      <c r="S53" s="46"/>
      <c r="T53" s="18"/>
      <c r="U53" s="126"/>
      <c r="V53" s="24"/>
    </row>
    <row r="54" spans="2:22" s="19" customFormat="1" ht="31.5" hidden="1" customHeight="1" x14ac:dyDescent="0.2">
      <c r="B54" s="47"/>
      <c r="C54" s="48"/>
      <c r="D54" s="49"/>
      <c r="E54" s="50"/>
      <c r="F54" s="51"/>
      <c r="G54" s="52"/>
      <c r="H54" s="51"/>
      <c r="I54" s="53"/>
      <c r="J54" s="54"/>
      <c r="K54" s="54"/>
      <c r="L54" s="54"/>
      <c r="M54" s="54"/>
      <c r="N54" s="54"/>
      <c r="O54" s="55"/>
      <c r="P54" s="54"/>
      <c r="Q54" s="66"/>
      <c r="R54" s="56"/>
      <c r="S54" s="46"/>
      <c r="T54" s="18"/>
      <c r="U54" s="126"/>
      <c r="V54" s="24"/>
    </row>
    <row r="55" spans="2:22" s="19" customFormat="1" ht="31.5" hidden="1" customHeight="1" x14ac:dyDescent="0.2">
      <c r="B55" s="47"/>
      <c r="C55" s="48"/>
      <c r="D55" s="49"/>
      <c r="E55" s="50"/>
      <c r="F55" s="51"/>
      <c r="G55" s="52"/>
      <c r="H55" s="51"/>
      <c r="I55" s="53"/>
      <c r="J55" s="54"/>
      <c r="K55" s="54"/>
      <c r="L55" s="54"/>
      <c r="M55" s="54"/>
      <c r="N55" s="54"/>
      <c r="O55" s="55"/>
      <c r="P55" s="54"/>
      <c r="Q55" s="66"/>
      <c r="R55" s="56"/>
      <c r="S55" s="46"/>
      <c r="T55" s="18" t="e">
        <f>G55*24/(K55/60)/15400</f>
        <v>#DIV/0!</v>
      </c>
      <c r="U55" s="126"/>
      <c r="V55" s="24"/>
    </row>
    <row r="56" spans="2:22" s="19" customFormat="1" ht="31.5" hidden="1" customHeight="1" x14ac:dyDescent="0.2">
      <c r="B56" s="47"/>
      <c r="C56" s="48"/>
      <c r="D56" s="49"/>
      <c r="E56" s="50"/>
      <c r="F56" s="51"/>
      <c r="G56" s="52"/>
      <c r="H56" s="51"/>
      <c r="I56" s="53"/>
      <c r="J56" s="54"/>
      <c r="K56" s="54"/>
      <c r="L56" s="54"/>
      <c r="M56" s="54"/>
      <c r="N56" s="67"/>
      <c r="O56" s="55"/>
      <c r="P56" s="54"/>
      <c r="Q56" s="66"/>
      <c r="R56" s="56"/>
      <c r="S56" s="46"/>
      <c r="T56" s="18" t="e">
        <f>G56*24/(K56/60)/15400</f>
        <v>#DIV/0!</v>
      </c>
      <c r="U56" s="126"/>
      <c r="V56" s="24"/>
    </row>
    <row r="57" spans="2:22" s="19" customFormat="1" ht="30" hidden="1" customHeight="1" x14ac:dyDescent="0.2">
      <c r="B57" s="47"/>
      <c r="C57" s="26"/>
      <c r="D57" s="27"/>
      <c r="E57" s="28"/>
      <c r="F57" s="29"/>
      <c r="G57" s="30"/>
      <c r="H57" s="29"/>
      <c r="I57" s="31"/>
      <c r="J57" s="32"/>
      <c r="K57" s="32"/>
      <c r="L57" s="32"/>
      <c r="M57" s="32"/>
      <c r="N57" s="32"/>
      <c r="O57" s="33"/>
      <c r="P57" s="32"/>
      <c r="Q57" s="46"/>
      <c r="R57" s="34"/>
      <c r="S57" s="46"/>
      <c r="T57" s="18"/>
      <c r="U57" s="126"/>
      <c r="V57" s="24"/>
    </row>
    <row r="58" spans="2:22" s="19" customFormat="1" ht="20.25" hidden="1" x14ac:dyDescent="0.2">
      <c r="B58" s="47"/>
      <c r="C58" s="26"/>
      <c r="D58" s="27"/>
      <c r="E58" s="28"/>
      <c r="F58" s="29"/>
      <c r="G58" s="30"/>
      <c r="H58" s="29"/>
      <c r="I58" s="31"/>
      <c r="J58" s="32"/>
      <c r="K58" s="32"/>
      <c r="L58" s="32"/>
      <c r="M58" s="32"/>
      <c r="N58" s="32"/>
      <c r="O58" s="33"/>
      <c r="P58" s="32"/>
      <c r="Q58" s="46"/>
      <c r="R58" s="34"/>
      <c r="S58" s="46"/>
      <c r="T58" s="18"/>
      <c r="U58" s="126"/>
      <c r="V58" s="24"/>
    </row>
    <row r="59" spans="2:22" s="19" customFormat="1" ht="21" hidden="1" thickBot="1" x14ac:dyDescent="0.25">
      <c r="B59" s="47"/>
      <c r="C59" s="75"/>
      <c r="D59" s="71"/>
      <c r="E59" s="73"/>
      <c r="F59" s="76"/>
      <c r="G59" s="77"/>
      <c r="H59" s="76"/>
      <c r="I59" s="78"/>
      <c r="J59" s="72"/>
      <c r="K59" s="72"/>
      <c r="L59" s="72"/>
      <c r="M59" s="72"/>
      <c r="N59" s="72"/>
      <c r="O59" s="79"/>
      <c r="P59" s="80"/>
      <c r="Q59" s="70"/>
      <c r="R59" s="81"/>
      <c r="S59" s="70"/>
      <c r="T59" s="82"/>
      <c r="U59" s="127"/>
      <c r="V59" s="83"/>
    </row>
    <row r="60" spans="2:22" s="19" customFormat="1" ht="21" customHeight="1" thickBot="1" x14ac:dyDescent="0.35">
      <c r="B60" s="35" t="s">
        <v>3</v>
      </c>
      <c r="C60" s="36"/>
      <c r="D60" s="57">
        <f>SUM(D4:D58)</f>
        <v>82675</v>
      </c>
      <c r="E60" s="58">
        <f>AVERAGE(E4:E58)</f>
        <v>0.34557748538011684</v>
      </c>
      <c r="F60" s="59">
        <f>SUM(F4:F58)</f>
        <v>5581.0920999999998</v>
      </c>
      <c r="G60" s="57">
        <f>SUM(G4:G58)</f>
        <v>82247</v>
      </c>
      <c r="H60" s="59">
        <f>SUM(H4:H58)</f>
        <v>5521.8703999999989</v>
      </c>
      <c r="I60" s="60">
        <f>SUM(I4:I58)</f>
        <v>572</v>
      </c>
      <c r="J60" s="61">
        <f>G60/(K60/60)</f>
        <v>441.27872663864798</v>
      </c>
      <c r="K60" s="57">
        <f>SUM(K4:K58)</f>
        <v>11183</v>
      </c>
      <c r="L60" s="135">
        <f>AVERAGE(L4:L59)</f>
        <v>0.69927777777777778</v>
      </c>
      <c r="M60" s="57">
        <f>SUM(M4:M58)</f>
        <v>2082</v>
      </c>
      <c r="N60" s="60">
        <f>SUM(N4:N58)</f>
        <v>0</v>
      </c>
      <c r="O60" s="87">
        <f>(F60-H60)/F60</f>
        <v>1.0611131108193138E-2</v>
      </c>
      <c r="P60" s="62">
        <f>SUM(P4:P58)</f>
        <v>0</v>
      </c>
      <c r="Q60" s="63">
        <f>AVERAGE(Q4:Q56)</f>
        <v>0.70210961076340395</v>
      </c>
      <c r="R60" s="64"/>
      <c r="S60" s="63">
        <f>(G60)*24/(K60/60)/15000</f>
        <v>0.70604596262183672</v>
      </c>
      <c r="T60" s="63">
        <f>H60*24/(M60/60)/15000</f>
        <v>0.25461073890489905</v>
      </c>
      <c r="U60" s="128">
        <f>(G60)*24/(K60/60)/15300</f>
        <v>0.69220192413905557</v>
      </c>
      <c r="V60" s="21"/>
    </row>
    <row r="61" spans="2:22" ht="16.5" customHeight="1" thickTop="1" x14ac:dyDescent="0.25">
      <c r="B61" s="11"/>
      <c r="C61" s="22" t="s">
        <v>35</v>
      </c>
      <c r="D61" s="42">
        <v>77650</v>
      </c>
      <c r="E61" s="1082" t="s">
        <v>39</v>
      </c>
      <c r="F61" s="1082"/>
      <c r="G61" s="43">
        <f>(D62/D61)</f>
        <v>1.0592015453960077</v>
      </c>
      <c r="H61" s="44"/>
      <c r="I61" s="44"/>
      <c r="J61" s="1210">
        <v>0</v>
      </c>
      <c r="K61" s="12"/>
      <c r="L61" s="12"/>
      <c r="M61" s="12"/>
      <c r="N61" s="13"/>
      <c r="O61" s="14"/>
      <c r="P61" s="12"/>
      <c r="Q61" s="15"/>
      <c r="R61" s="16"/>
      <c r="S61" s="15"/>
      <c r="T61" s="15"/>
      <c r="U61" s="15"/>
      <c r="V61" s="17" t="s">
        <v>48</v>
      </c>
    </row>
    <row r="62" spans="2:22" ht="14.25" customHeight="1" x14ac:dyDescent="0.25">
      <c r="B62" s="11"/>
      <c r="C62" s="22" t="s">
        <v>38</v>
      </c>
      <c r="D62" s="42">
        <f>G60</f>
        <v>82247</v>
      </c>
      <c r="E62" s="1082" t="s">
        <v>36</v>
      </c>
      <c r="F62" s="1082"/>
      <c r="G62" s="42">
        <f>April_16!G60+May_16!D62</f>
        <v>382247.20833333337</v>
      </c>
      <c r="H62" s="44"/>
      <c r="I62" s="45" t="s">
        <v>40</v>
      </c>
      <c r="J62" s="1211"/>
      <c r="K62" s="12">
        <v>0</v>
      </c>
      <c r="L62" s="12"/>
      <c r="M62" s="12"/>
      <c r="N62" s="13"/>
      <c r="O62" s="14"/>
      <c r="P62" s="12"/>
      <c r="Q62" s="15"/>
      <c r="R62" s="16"/>
      <c r="S62" s="15"/>
      <c r="T62" s="15"/>
      <c r="U62" s="15"/>
      <c r="V62" s="17"/>
    </row>
    <row r="63" spans="2:22" ht="17.25" thickBot="1" x14ac:dyDescent="0.3">
      <c r="C63" s="23" t="s">
        <v>41</v>
      </c>
      <c r="D63" s="42">
        <f>D61-D62</f>
        <v>-4597</v>
      </c>
      <c r="E63" s="1082" t="s">
        <v>37</v>
      </c>
      <c r="F63" s="1082"/>
      <c r="G63" s="42">
        <f>April_16!G61+May_16!D61</f>
        <v>348600</v>
      </c>
      <c r="H63" s="44"/>
      <c r="I63" s="44"/>
      <c r="J63" s="1212"/>
      <c r="Q63" s="10"/>
      <c r="V63" s="17"/>
    </row>
    <row r="64" spans="2:22" ht="17.25" thickTop="1" x14ac:dyDescent="0.2">
      <c r="B64" s="7"/>
      <c r="C64" s="88" t="s">
        <v>19</v>
      </c>
      <c r="D64" s="89" t="s">
        <v>14</v>
      </c>
      <c r="E64" s="89" t="s">
        <v>23</v>
      </c>
      <c r="F64" s="89" t="s">
        <v>24</v>
      </c>
      <c r="G64" s="90" t="s">
        <v>15</v>
      </c>
      <c r="H64" s="89" t="s">
        <v>17</v>
      </c>
      <c r="I64" s="89" t="s">
        <v>16</v>
      </c>
      <c r="J64" s="91">
        <v>0</v>
      </c>
    </row>
    <row r="65" spans="2:22" ht="16.5" x14ac:dyDescent="0.25">
      <c r="B65" s="8"/>
      <c r="C65" s="92">
        <v>1</v>
      </c>
      <c r="D65" s="93" t="s">
        <v>20</v>
      </c>
      <c r="E65" s="94">
        <f>SUM(G4:G5,G6:G7,G8:G9,G10,G11:G13,G18,G19,G20:G21,G22:G23,G24,G25,G27,G31:G32,G33)</f>
        <v>57725</v>
      </c>
      <c r="F65" s="95">
        <f>SUM(K4,K6,K8,K10,K11,K13,K18,K20,K22,K24,K25,K27,K31,K33)</f>
        <v>8563</v>
      </c>
      <c r="G65" s="96">
        <f>SUM(F4:F5,F6:F7,F8,F10,F11:F13,F18,F20:F21,F22:F23,F24,F25,F27,F31:F32,F33)</f>
        <v>3908.0999999999995</v>
      </c>
      <c r="H65" s="96">
        <f>SUM(H4:H5,H6:H7,H8,H10,H11:H13,H18,H20:H21,H22:H23,H24,H25,H27,H31:H32,H33)</f>
        <v>3872.7400000000002</v>
      </c>
      <c r="I65" s="97">
        <f t="shared" ref="I65:I70" si="0">(G65-H65)/G65</f>
        <v>9.0478749264346417E-3</v>
      </c>
      <c r="J65" s="98">
        <f>(E65+G28+G29)*24/(F65/60)/15000</f>
        <v>0.70333481256568953</v>
      </c>
      <c r="Q65" s="65"/>
    </row>
    <row r="66" spans="2:22" s="1" customFormat="1" ht="16.5" x14ac:dyDescent="0.25">
      <c r="B66" s="8"/>
      <c r="C66" s="99">
        <v>2</v>
      </c>
      <c r="D66" s="100" t="s">
        <v>21</v>
      </c>
      <c r="E66" s="101">
        <f>SUM(G14,G29)</f>
        <v>8737</v>
      </c>
      <c r="F66" s="102">
        <f>SUM(K14,K27)</f>
        <v>1419</v>
      </c>
      <c r="G66" s="103">
        <f>SUM(F14,F29)</f>
        <v>579.80000000000007</v>
      </c>
      <c r="H66" s="103">
        <f>SUM(H14,H29)</f>
        <v>576.64200000000005</v>
      </c>
      <c r="I66" s="97">
        <f>(G66-H66)/G66</f>
        <v>5.4467057606071316E-3</v>
      </c>
      <c r="J66" s="98">
        <f>(E66+G27+G28)*24/(F66/60)/15000</f>
        <v>0.67890063424947145</v>
      </c>
      <c r="K66"/>
      <c r="L66"/>
      <c r="M66"/>
      <c r="N66" s="2"/>
      <c r="R66"/>
      <c r="S66"/>
      <c r="T66"/>
      <c r="U66"/>
      <c r="V66"/>
    </row>
    <row r="67" spans="2:22" s="1" customFormat="1" ht="16.5" x14ac:dyDescent="0.25">
      <c r="B67" s="8"/>
      <c r="C67" s="92">
        <v>3</v>
      </c>
      <c r="D67" s="100" t="s">
        <v>124</v>
      </c>
      <c r="E67" s="101">
        <f>SUM(G28)</f>
        <v>598</v>
      </c>
      <c r="F67" s="102">
        <f>SUM(K27)</f>
        <v>813</v>
      </c>
      <c r="G67" s="103">
        <f>SUM(F28)</f>
        <v>42.6</v>
      </c>
      <c r="H67" s="103">
        <f>SUM(H28)</f>
        <v>41.368000000000002</v>
      </c>
      <c r="I67" s="97">
        <f t="shared" si="0"/>
        <v>2.8920187793427213E-2</v>
      </c>
      <c r="J67" s="98">
        <f>(E67+G27+G29)*24/(F67/60)/15000</f>
        <v>0.67436162361623608</v>
      </c>
      <c r="K67"/>
      <c r="L67"/>
      <c r="M67"/>
      <c r="N67" s="2"/>
      <c r="R67"/>
      <c r="S67"/>
      <c r="T67"/>
      <c r="U67"/>
      <c r="V67"/>
    </row>
    <row r="68" spans="2:22" s="1" customFormat="1" ht="16.5" x14ac:dyDescent="0.25">
      <c r="B68" s="8"/>
      <c r="C68" s="99">
        <v>4</v>
      </c>
      <c r="D68" s="100" t="s">
        <v>18</v>
      </c>
      <c r="E68" s="101">
        <f>SUM(G15,G16,G17,G26)</f>
        <v>11277</v>
      </c>
      <c r="F68" s="102">
        <f>SUM(K15,K17,K26)</f>
        <v>1466</v>
      </c>
      <c r="G68" s="101">
        <f>SUM(F15,F16,F17,F26)</f>
        <v>783.5</v>
      </c>
      <c r="H68" s="101">
        <f>SUM(H15,H16,H17,H26)</f>
        <v>773.06040000000007</v>
      </c>
      <c r="I68" s="109">
        <f t="shared" si="0"/>
        <v>1.3324313975749747E-2</v>
      </c>
      <c r="J68" s="98">
        <f>(E68)*24/(F68/60)/15000</f>
        <v>0.73846657571623464</v>
      </c>
      <c r="K68"/>
      <c r="L68"/>
      <c r="M68"/>
      <c r="N68" s="2"/>
      <c r="Q68" s="8"/>
      <c r="R68"/>
      <c r="S68"/>
      <c r="T68" s="6"/>
      <c r="U68" s="6"/>
      <c r="V68"/>
    </row>
    <row r="69" spans="2:22" s="1" customFormat="1" ht="16.5" x14ac:dyDescent="0.25">
      <c r="B69" s="8"/>
      <c r="C69" s="92">
        <v>5</v>
      </c>
      <c r="D69" s="105" t="s">
        <v>26</v>
      </c>
      <c r="E69" s="106">
        <f>SUM(G30)</f>
        <v>3910</v>
      </c>
      <c r="F69" s="107">
        <f>SUM(K30)</f>
        <v>548</v>
      </c>
      <c r="G69" s="108">
        <f>SUM(F30)</f>
        <v>267.09209999999996</v>
      </c>
      <c r="H69" s="108">
        <f>SUM(H30)</f>
        <v>258.06</v>
      </c>
      <c r="I69" s="109">
        <f t="shared" si="0"/>
        <v>3.3816425120772792E-2</v>
      </c>
      <c r="J69" s="111">
        <f>(E69)*24/(F69/60)/15000</f>
        <v>0.6849635036496351</v>
      </c>
      <c r="K69"/>
      <c r="L69"/>
      <c r="M69"/>
      <c r="N69" s="2"/>
      <c r="R69"/>
      <c r="S69"/>
      <c r="T69" s="6"/>
      <c r="U69" s="6"/>
      <c r="V69"/>
    </row>
    <row r="70" spans="2:22" s="1" customFormat="1" ht="16.5" x14ac:dyDescent="0.25">
      <c r="B70" s="8"/>
      <c r="C70" s="99">
        <v>6</v>
      </c>
      <c r="D70" s="105" t="s">
        <v>25</v>
      </c>
      <c r="E70" s="106"/>
      <c r="F70" s="107"/>
      <c r="G70" s="108"/>
      <c r="H70" s="108"/>
      <c r="I70" s="109" t="e">
        <f t="shared" si="0"/>
        <v>#DIV/0!</v>
      </c>
      <c r="J70" s="111" t="e">
        <f>(E70)*24/(F70/60)/15000</f>
        <v>#DIV/0!</v>
      </c>
      <c r="K70"/>
      <c r="L70"/>
      <c r="M70"/>
      <c r="N70" s="2"/>
      <c r="R70"/>
      <c r="S70"/>
      <c r="T70"/>
      <c r="U70"/>
      <c r="V70"/>
    </row>
    <row r="71" spans="2:22" s="1" customFormat="1" ht="17.25" thickBot="1" x14ac:dyDescent="0.3">
      <c r="C71" s="112"/>
      <c r="D71" s="113" t="s">
        <v>22</v>
      </c>
      <c r="E71" s="114">
        <f>SUM(E65:E70)</f>
        <v>82247</v>
      </c>
      <c r="F71" s="115">
        <f>K60</f>
        <v>11183</v>
      </c>
      <c r="G71" s="116">
        <f>SUM(G65:G70)</f>
        <v>5581.0920999999998</v>
      </c>
      <c r="H71" s="116">
        <f>SUM(H65:H70)</f>
        <v>5521.8704000000016</v>
      </c>
      <c r="I71" s="117">
        <f>((G71)-(H71))/(G71)</f>
        <v>1.0611131108192649E-2</v>
      </c>
      <c r="J71" s="118">
        <f>E71*24/(F71/60)/15000</f>
        <v>0.70604596262183672</v>
      </c>
      <c r="K71"/>
      <c r="L71"/>
      <c r="M71"/>
      <c r="N71" s="2"/>
      <c r="R71"/>
      <c r="S71"/>
      <c r="T71"/>
      <c r="U71"/>
      <c r="V71"/>
    </row>
    <row r="72" spans="2:22" s="1" customFormat="1" ht="13.5" thickTop="1" x14ac:dyDescent="0.2">
      <c r="J72"/>
      <c r="K72"/>
      <c r="L72"/>
      <c r="M72"/>
      <c r="N72" s="2"/>
      <c r="R72"/>
      <c r="S72"/>
      <c r="T72"/>
      <c r="U72"/>
      <c r="V72"/>
    </row>
    <row r="73" spans="2:22" s="1" customFormat="1" x14ac:dyDescent="0.2">
      <c r="E73" s="3"/>
      <c r="F73" s="119"/>
      <c r="G73" s="120"/>
      <c r="H73" s="120"/>
      <c r="I73"/>
      <c r="J73"/>
      <c r="K73"/>
      <c r="L73"/>
      <c r="M73"/>
      <c r="N73" s="2"/>
      <c r="R73"/>
      <c r="S73"/>
      <c r="T73"/>
      <c r="U73"/>
      <c r="V73"/>
    </row>
    <row r="74" spans="2:22" s="1" customFormat="1" ht="13.5" customHeight="1" x14ac:dyDescent="0.2">
      <c r="J74"/>
      <c r="K74"/>
      <c r="L74"/>
      <c r="M74"/>
      <c r="N74" s="2"/>
      <c r="R74"/>
      <c r="S74"/>
      <c r="T74"/>
      <c r="U74"/>
      <c r="V74" s="9"/>
    </row>
    <row r="75" spans="2:22" s="1" customFormat="1" ht="12.75" customHeight="1" x14ac:dyDescent="0.2">
      <c r="J75"/>
      <c r="K75"/>
      <c r="L75"/>
      <c r="M75"/>
      <c r="N75" s="2"/>
      <c r="R75"/>
      <c r="S75"/>
      <c r="T75"/>
      <c r="U75"/>
      <c r="V75" s="9"/>
    </row>
    <row r="76" spans="2:22" s="1" customFormat="1" ht="12.75" customHeight="1" x14ac:dyDescent="0.2">
      <c r="J76"/>
      <c r="K76"/>
      <c r="L76"/>
      <c r="M76"/>
      <c r="N76" s="2"/>
      <c r="R76"/>
      <c r="S76"/>
      <c r="T76"/>
      <c r="U76"/>
      <c r="V76" s="9"/>
    </row>
    <row r="77" spans="2:22" s="1" customFormat="1" ht="12.75" customHeight="1" x14ac:dyDescent="0.2">
      <c r="J77"/>
      <c r="K77"/>
      <c r="L77"/>
      <c r="M77"/>
      <c r="N77" s="2"/>
      <c r="R77"/>
      <c r="S77"/>
      <c r="T77"/>
      <c r="U77"/>
      <c r="V77" s="9"/>
    </row>
    <row r="78" spans="2:22" s="1" customFormat="1" ht="12.75" customHeight="1" x14ac:dyDescent="0.2">
      <c r="J78"/>
      <c r="K78"/>
      <c r="L78"/>
      <c r="M78"/>
      <c r="N78" s="2"/>
      <c r="R78"/>
      <c r="S78"/>
      <c r="T78"/>
      <c r="U78"/>
      <c r="V78" s="9"/>
    </row>
    <row r="79" spans="2:22" s="1" customFormat="1" ht="12.75" customHeight="1" x14ac:dyDescent="0.2">
      <c r="J79"/>
      <c r="K79"/>
      <c r="L79"/>
      <c r="M79"/>
      <c r="N79" s="2"/>
      <c r="R79"/>
      <c r="S79"/>
      <c r="T79"/>
      <c r="U79"/>
      <c r="V79" s="9"/>
    </row>
    <row r="80" spans="2:22" s="1" customFormat="1" ht="12.75" customHeight="1" x14ac:dyDescent="0.2">
      <c r="J80"/>
      <c r="K80"/>
      <c r="L80"/>
      <c r="M80"/>
      <c r="N80" s="2"/>
      <c r="R80"/>
      <c r="S80"/>
      <c r="T80"/>
      <c r="U80"/>
      <c r="V80" s="9"/>
    </row>
    <row r="81" spans="10:22" s="1" customFormat="1" x14ac:dyDescent="0.2">
      <c r="J81"/>
      <c r="K81"/>
      <c r="L81"/>
      <c r="M81"/>
      <c r="N81" s="2"/>
      <c r="R81"/>
      <c r="S81"/>
      <c r="T81"/>
      <c r="U81"/>
      <c r="V81" s="9"/>
    </row>
    <row r="82" spans="10:22" s="1" customFormat="1" ht="12.75" customHeight="1" x14ac:dyDescent="0.2">
      <c r="J82"/>
      <c r="K82"/>
      <c r="L82"/>
      <c r="M82"/>
      <c r="N82" s="2"/>
      <c r="R82"/>
      <c r="S82"/>
      <c r="T82"/>
      <c r="U82"/>
      <c r="V82" s="9"/>
    </row>
    <row r="83" spans="10:22" s="1" customFormat="1" ht="12.75" customHeight="1" x14ac:dyDescent="0.2">
      <c r="J83"/>
      <c r="K83"/>
      <c r="L83"/>
      <c r="M83"/>
      <c r="N83" s="2"/>
      <c r="R83"/>
      <c r="S83"/>
      <c r="T83"/>
      <c r="U83"/>
      <c r="V83" s="9"/>
    </row>
    <row r="84" spans="10:22" s="1" customFormat="1" ht="12.75" customHeight="1" x14ac:dyDescent="0.2">
      <c r="J84"/>
      <c r="K84"/>
      <c r="L84"/>
      <c r="M84"/>
      <c r="N84" s="2"/>
      <c r="R84"/>
      <c r="S84"/>
      <c r="T84"/>
      <c r="U84"/>
      <c r="V84" s="9"/>
    </row>
    <row r="85" spans="10:22" s="1" customFormat="1" ht="12.75" customHeight="1" x14ac:dyDescent="0.2">
      <c r="J85"/>
      <c r="K85"/>
      <c r="L85"/>
      <c r="M85"/>
      <c r="N85" s="2"/>
      <c r="R85"/>
      <c r="S85"/>
      <c r="T85"/>
      <c r="U85"/>
      <c r="V85" s="9"/>
    </row>
    <row r="86" spans="10:22" s="1" customFormat="1" ht="12.75" customHeight="1" x14ac:dyDescent="0.2">
      <c r="J86"/>
      <c r="K86"/>
      <c r="L86"/>
      <c r="M86"/>
      <c r="N86" s="2"/>
      <c r="R86"/>
      <c r="S86"/>
      <c r="T86"/>
      <c r="U86"/>
      <c r="V86" s="9"/>
    </row>
    <row r="87" spans="10:22" s="1" customFormat="1" x14ac:dyDescent="0.2">
      <c r="J87"/>
      <c r="K87"/>
      <c r="L87"/>
      <c r="M87"/>
      <c r="N87" s="2"/>
      <c r="R87"/>
      <c r="S87"/>
      <c r="T87"/>
      <c r="U87"/>
      <c r="V87"/>
    </row>
    <row r="88" spans="10:22" s="1" customFormat="1" x14ac:dyDescent="0.2">
      <c r="J88"/>
      <c r="K88"/>
      <c r="L88"/>
      <c r="M88"/>
      <c r="N88" s="2"/>
      <c r="R88"/>
      <c r="S88"/>
      <c r="T88"/>
      <c r="U88"/>
      <c r="V88"/>
    </row>
    <row r="89" spans="10:22" s="1" customFormat="1" x14ac:dyDescent="0.2">
      <c r="J89"/>
      <c r="K89"/>
      <c r="L89"/>
      <c r="M89"/>
      <c r="N89" s="2"/>
      <c r="R89"/>
      <c r="S89"/>
      <c r="T89"/>
      <c r="U89"/>
      <c r="V89"/>
    </row>
    <row r="90" spans="10:22" s="1" customFormat="1" x14ac:dyDescent="0.2">
      <c r="J90"/>
      <c r="K90"/>
      <c r="L90"/>
      <c r="M90"/>
      <c r="N90" s="2"/>
      <c r="R90"/>
      <c r="S90"/>
      <c r="T90"/>
      <c r="U90"/>
      <c r="V90"/>
    </row>
    <row r="91" spans="10:22" s="1" customFormat="1" x14ac:dyDescent="0.2">
      <c r="J91"/>
      <c r="K91"/>
      <c r="L91"/>
      <c r="M91"/>
      <c r="N91" s="2"/>
      <c r="R91"/>
      <c r="S91"/>
      <c r="T91"/>
      <c r="U91"/>
      <c r="V91"/>
    </row>
    <row r="92" spans="10:22" s="1" customFormat="1" x14ac:dyDescent="0.2">
      <c r="J92"/>
      <c r="K92"/>
      <c r="L92"/>
      <c r="M92"/>
      <c r="N92" s="2"/>
      <c r="R92"/>
      <c r="S92"/>
      <c r="T92"/>
      <c r="U92"/>
      <c r="V92"/>
    </row>
    <row r="93" spans="10:22" s="1" customFormat="1" x14ac:dyDescent="0.2">
      <c r="J93"/>
      <c r="K93"/>
      <c r="L93"/>
      <c r="M93"/>
      <c r="N93" s="2"/>
      <c r="R93"/>
      <c r="S93"/>
      <c r="T93"/>
      <c r="U93"/>
      <c r="V93"/>
    </row>
    <row r="94" spans="10:22" s="1" customFormat="1" x14ac:dyDescent="0.2">
      <c r="J94"/>
      <c r="K94"/>
      <c r="L94"/>
      <c r="M94"/>
      <c r="N94" s="2"/>
      <c r="R94"/>
      <c r="S94"/>
      <c r="T94"/>
      <c r="U94"/>
      <c r="V94"/>
    </row>
    <row r="95" spans="10:22" s="1" customFormat="1" x14ac:dyDescent="0.2">
      <c r="J95"/>
      <c r="K95"/>
      <c r="L95"/>
      <c r="M95"/>
      <c r="N95" s="2"/>
      <c r="R95"/>
      <c r="S95"/>
      <c r="T95"/>
      <c r="U95"/>
      <c r="V95"/>
    </row>
    <row r="96" spans="10:22" s="1" customFormat="1" x14ac:dyDescent="0.2">
      <c r="J96"/>
      <c r="K96"/>
      <c r="L96"/>
      <c r="M96"/>
      <c r="N96" s="2"/>
      <c r="R96"/>
      <c r="S96"/>
      <c r="T96"/>
      <c r="U96"/>
      <c r="V96"/>
    </row>
    <row r="97" spans="10:22" s="1" customFormat="1" x14ac:dyDescent="0.2">
      <c r="J97"/>
      <c r="K97"/>
      <c r="L97"/>
      <c r="M97"/>
      <c r="N97" s="2"/>
      <c r="R97"/>
      <c r="S97"/>
      <c r="T97"/>
      <c r="U97"/>
      <c r="V97"/>
    </row>
    <row r="98" spans="10:22" s="1" customFormat="1" x14ac:dyDescent="0.2">
      <c r="J98"/>
      <c r="K98"/>
      <c r="L98"/>
      <c r="M98"/>
      <c r="N98" s="2"/>
      <c r="R98"/>
      <c r="S98"/>
      <c r="T98"/>
      <c r="U98"/>
      <c r="V98"/>
    </row>
    <row r="99" spans="10:22" s="1" customFormat="1" x14ac:dyDescent="0.2">
      <c r="J99"/>
      <c r="K99"/>
      <c r="L99"/>
      <c r="M99"/>
      <c r="N99" s="2"/>
      <c r="R99"/>
      <c r="S99"/>
      <c r="T99"/>
      <c r="U99"/>
      <c r="V99"/>
    </row>
    <row r="100" spans="10:22" s="1" customFormat="1" x14ac:dyDescent="0.2">
      <c r="J100"/>
      <c r="K100"/>
      <c r="L100"/>
      <c r="M100"/>
      <c r="N100" s="2"/>
      <c r="R100"/>
      <c r="S100"/>
      <c r="T100"/>
      <c r="U100"/>
      <c r="V100"/>
    </row>
    <row r="101" spans="10:22" s="1" customFormat="1" x14ac:dyDescent="0.2">
      <c r="J101"/>
      <c r="K101"/>
      <c r="L101"/>
      <c r="M101"/>
      <c r="N101" s="2"/>
      <c r="R101"/>
      <c r="S101"/>
      <c r="T101"/>
      <c r="U101"/>
      <c r="V101"/>
    </row>
    <row r="102" spans="10:22" s="1" customFormat="1" x14ac:dyDescent="0.2">
      <c r="J102"/>
      <c r="K102"/>
      <c r="L102"/>
      <c r="M102"/>
      <c r="N102" s="2"/>
      <c r="R102"/>
      <c r="S102"/>
      <c r="T102"/>
      <c r="U102"/>
      <c r="V102"/>
    </row>
    <row r="103" spans="10:22" s="1" customFormat="1" x14ac:dyDescent="0.2">
      <c r="J103"/>
      <c r="K103"/>
      <c r="L103"/>
      <c r="M103"/>
      <c r="N103" s="2"/>
      <c r="R103"/>
      <c r="S103"/>
      <c r="T103"/>
      <c r="U103"/>
      <c r="V103"/>
    </row>
    <row r="104" spans="10:22" s="1" customFormat="1" x14ac:dyDescent="0.2">
      <c r="J104"/>
      <c r="K104"/>
      <c r="L104"/>
      <c r="M104"/>
      <c r="N104" s="2"/>
      <c r="R104"/>
      <c r="S104"/>
      <c r="T104"/>
      <c r="U104"/>
      <c r="V104"/>
    </row>
    <row r="105" spans="10:22" s="1" customFormat="1" x14ac:dyDescent="0.2">
      <c r="J105"/>
      <c r="K105"/>
      <c r="L105"/>
      <c r="M105"/>
      <c r="N105" s="2"/>
      <c r="R105"/>
      <c r="S105"/>
      <c r="T105"/>
      <c r="U105"/>
      <c r="V105"/>
    </row>
    <row r="106" spans="10:22" s="1" customFormat="1" x14ac:dyDescent="0.2">
      <c r="J106"/>
      <c r="K106"/>
      <c r="L106"/>
      <c r="M106"/>
      <c r="N106" s="2"/>
      <c r="R106"/>
      <c r="S106"/>
      <c r="T106"/>
      <c r="U106"/>
      <c r="V106"/>
    </row>
    <row r="107" spans="10:22" s="1" customFormat="1" x14ac:dyDescent="0.2">
      <c r="J107"/>
      <c r="K107"/>
      <c r="L107"/>
      <c r="M107"/>
      <c r="N107" s="2"/>
      <c r="R107"/>
      <c r="S107"/>
      <c r="T107"/>
      <c r="U107"/>
      <c r="V107"/>
    </row>
    <row r="108" spans="10:22" s="1" customFormat="1" x14ac:dyDescent="0.2">
      <c r="J108"/>
      <c r="K108"/>
      <c r="L108"/>
      <c r="M108"/>
      <c r="N108" s="2"/>
      <c r="R108"/>
      <c r="S108"/>
      <c r="T108"/>
      <c r="U108"/>
      <c r="V108"/>
    </row>
    <row r="109" spans="10:22" s="1" customFormat="1" x14ac:dyDescent="0.2">
      <c r="J109"/>
      <c r="K109"/>
      <c r="L109"/>
      <c r="M109"/>
      <c r="N109" s="2"/>
      <c r="R109"/>
      <c r="S109"/>
      <c r="T109"/>
      <c r="U109"/>
      <c r="V109"/>
    </row>
    <row r="110" spans="10:22" s="1" customFormat="1" x14ac:dyDescent="0.2">
      <c r="J110"/>
      <c r="K110"/>
      <c r="L110"/>
      <c r="M110"/>
      <c r="N110" s="2"/>
      <c r="R110"/>
      <c r="S110"/>
      <c r="T110"/>
      <c r="U110"/>
      <c r="V110"/>
    </row>
    <row r="111" spans="10:22" s="1" customFormat="1" x14ac:dyDescent="0.2">
      <c r="J111"/>
      <c r="K111"/>
      <c r="L111"/>
      <c r="M111"/>
      <c r="N111" s="2"/>
      <c r="R111"/>
      <c r="S111"/>
      <c r="T111"/>
      <c r="U111"/>
      <c r="V111"/>
    </row>
    <row r="112" spans="10:22" s="1" customFormat="1" x14ac:dyDescent="0.2">
      <c r="J112"/>
      <c r="K112"/>
      <c r="L112"/>
      <c r="M112"/>
      <c r="N112" s="2"/>
      <c r="R112"/>
      <c r="S112"/>
      <c r="T112"/>
      <c r="U112"/>
      <c r="V112"/>
    </row>
    <row r="113" spans="10:22" s="1" customFormat="1" x14ac:dyDescent="0.2">
      <c r="J113"/>
      <c r="K113"/>
      <c r="L113"/>
      <c r="M113"/>
      <c r="N113" s="2"/>
      <c r="R113"/>
      <c r="S113"/>
      <c r="T113"/>
      <c r="U113"/>
      <c r="V113"/>
    </row>
    <row r="114" spans="10:22" s="1" customFormat="1" x14ac:dyDescent="0.2">
      <c r="J114"/>
      <c r="K114"/>
      <c r="L114"/>
      <c r="M114"/>
      <c r="N114" s="2"/>
      <c r="R114"/>
      <c r="S114"/>
      <c r="T114"/>
      <c r="U114"/>
      <c r="V114"/>
    </row>
    <row r="115" spans="10:22" s="1" customFormat="1" x14ac:dyDescent="0.2">
      <c r="J115"/>
      <c r="K115"/>
      <c r="L115"/>
      <c r="M115"/>
      <c r="N115" s="2"/>
      <c r="R115"/>
      <c r="S115"/>
      <c r="T115"/>
      <c r="U115"/>
      <c r="V115"/>
    </row>
    <row r="116" spans="10:22" s="1" customFormat="1" x14ac:dyDescent="0.2">
      <c r="J116"/>
      <c r="K116"/>
      <c r="L116"/>
      <c r="M116"/>
      <c r="N116" s="2"/>
      <c r="R116"/>
      <c r="S116"/>
      <c r="T116"/>
      <c r="U116"/>
      <c r="V116"/>
    </row>
    <row r="117" spans="10:22" s="1" customFormat="1" x14ac:dyDescent="0.2">
      <c r="J117"/>
      <c r="K117"/>
      <c r="L117"/>
      <c r="M117"/>
      <c r="N117" s="2"/>
      <c r="R117"/>
      <c r="S117"/>
      <c r="T117"/>
      <c r="U117"/>
      <c r="V117"/>
    </row>
    <row r="118" spans="10:22" s="1" customFormat="1" x14ac:dyDescent="0.2">
      <c r="J118"/>
      <c r="K118"/>
      <c r="L118"/>
      <c r="M118"/>
      <c r="N118" s="2"/>
      <c r="R118"/>
      <c r="S118"/>
      <c r="T118"/>
      <c r="U118"/>
      <c r="V118"/>
    </row>
    <row r="119" spans="10:22" s="1" customFormat="1" x14ac:dyDescent="0.2">
      <c r="J119"/>
      <c r="K119"/>
      <c r="L119"/>
      <c r="M119"/>
      <c r="N119" s="2"/>
      <c r="R119"/>
      <c r="S119"/>
      <c r="T119"/>
      <c r="U119"/>
      <c r="V119"/>
    </row>
    <row r="120" spans="10:22" s="1" customFormat="1" x14ac:dyDescent="0.2">
      <c r="J120"/>
      <c r="K120"/>
      <c r="L120"/>
      <c r="M120"/>
      <c r="N120" s="2"/>
      <c r="R120"/>
      <c r="S120"/>
      <c r="T120"/>
      <c r="U120"/>
      <c r="V120"/>
    </row>
    <row r="121" spans="10:22" s="1" customFormat="1" x14ac:dyDescent="0.2">
      <c r="J121"/>
      <c r="K121"/>
      <c r="L121"/>
      <c r="M121"/>
      <c r="N121" s="2"/>
      <c r="R121"/>
      <c r="S121"/>
      <c r="T121"/>
      <c r="U121"/>
      <c r="V121"/>
    </row>
    <row r="122" spans="10:22" s="1" customFormat="1" x14ac:dyDescent="0.2">
      <c r="J122"/>
      <c r="K122"/>
      <c r="L122"/>
      <c r="M122"/>
      <c r="N122" s="2"/>
      <c r="R122"/>
      <c r="S122"/>
      <c r="T122"/>
      <c r="U122"/>
      <c r="V122"/>
    </row>
    <row r="123" spans="10:22" s="1" customFormat="1" x14ac:dyDescent="0.2">
      <c r="J123"/>
      <c r="K123"/>
      <c r="L123"/>
      <c r="M123"/>
      <c r="N123" s="2"/>
      <c r="R123"/>
      <c r="S123"/>
      <c r="T123"/>
      <c r="U123"/>
      <c r="V123"/>
    </row>
    <row r="124" spans="10:22" s="1" customFormat="1" x14ac:dyDescent="0.2">
      <c r="J124"/>
      <c r="K124"/>
      <c r="L124"/>
      <c r="M124"/>
      <c r="N124" s="2"/>
      <c r="R124"/>
      <c r="S124"/>
      <c r="T124"/>
      <c r="U124"/>
      <c r="V124"/>
    </row>
    <row r="125" spans="10:22" s="1" customFormat="1" x14ac:dyDescent="0.2">
      <c r="J125"/>
      <c r="K125"/>
      <c r="L125"/>
      <c r="M125"/>
      <c r="N125" s="2"/>
      <c r="R125"/>
      <c r="S125"/>
      <c r="T125"/>
      <c r="U125"/>
      <c r="V125"/>
    </row>
    <row r="126" spans="10:22" s="1" customFormat="1" x14ac:dyDescent="0.2">
      <c r="J126"/>
      <c r="K126"/>
      <c r="L126"/>
      <c r="M126"/>
      <c r="N126" s="2"/>
      <c r="R126"/>
      <c r="S126"/>
      <c r="T126"/>
      <c r="U126"/>
      <c r="V126"/>
    </row>
    <row r="127" spans="10:22" s="1" customFormat="1" x14ac:dyDescent="0.2">
      <c r="J127"/>
      <c r="K127"/>
      <c r="L127"/>
      <c r="M127"/>
      <c r="N127" s="2"/>
      <c r="R127"/>
      <c r="S127"/>
      <c r="T127"/>
      <c r="U127"/>
      <c r="V127"/>
    </row>
    <row r="128" spans="10:22" s="1" customFormat="1" x14ac:dyDescent="0.2">
      <c r="J128"/>
      <c r="K128"/>
      <c r="L128"/>
      <c r="M128"/>
      <c r="N128" s="2"/>
      <c r="R128"/>
      <c r="S128"/>
      <c r="T128"/>
      <c r="U128"/>
      <c r="V128"/>
    </row>
    <row r="129" spans="10:22" s="1" customFormat="1" x14ac:dyDescent="0.2">
      <c r="J129"/>
      <c r="K129"/>
      <c r="L129"/>
      <c r="M129"/>
      <c r="N129" s="2"/>
      <c r="R129"/>
      <c r="S129"/>
      <c r="T129"/>
      <c r="U129"/>
      <c r="V129"/>
    </row>
    <row r="130" spans="10:22" s="1" customFormat="1" x14ac:dyDescent="0.2">
      <c r="J130"/>
      <c r="K130"/>
      <c r="L130"/>
      <c r="M130"/>
      <c r="N130" s="2"/>
      <c r="R130"/>
      <c r="S130"/>
      <c r="T130"/>
      <c r="U130"/>
      <c r="V130"/>
    </row>
    <row r="131" spans="10:22" s="1" customFormat="1" x14ac:dyDescent="0.2">
      <c r="J131"/>
      <c r="K131"/>
      <c r="L131"/>
      <c r="M131"/>
      <c r="N131" s="2"/>
      <c r="R131"/>
      <c r="S131"/>
      <c r="T131"/>
      <c r="U131"/>
      <c r="V131"/>
    </row>
    <row r="132" spans="10:22" s="1" customFormat="1" x14ac:dyDescent="0.2">
      <c r="J132"/>
      <c r="K132"/>
      <c r="L132"/>
      <c r="M132"/>
      <c r="N132" s="2"/>
      <c r="R132"/>
      <c r="S132"/>
      <c r="T132"/>
      <c r="U132"/>
      <c r="V132"/>
    </row>
    <row r="133" spans="10:22" s="1" customFormat="1" x14ac:dyDescent="0.2">
      <c r="J133"/>
      <c r="K133"/>
      <c r="L133"/>
      <c r="M133"/>
      <c r="N133" s="2"/>
      <c r="R133"/>
      <c r="S133"/>
      <c r="T133"/>
      <c r="U133"/>
      <c r="V133"/>
    </row>
    <row r="134" spans="10:22" s="1" customFormat="1" x14ac:dyDescent="0.2">
      <c r="J134"/>
      <c r="K134"/>
      <c r="L134"/>
      <c r="M134"/>
      <c r="N134" s="2"/>
      <c r="R134"/>
      <c r="S134"/>
      <c r="T134"/>
      <c r="U134"/>
      <c r="V134"/>
    </row>
    <row r="135" spans="10:22" s="1" customFormat="1" x14ac:dyDescent="0.2">
      <c r="J135"/>
      <c r="K135"/>
      <c r="L135"/>
      <c r="M135"/>
      <c r="N135" s="2"/>
      <c r="R135"/>
      <c r="S135"/>
      <c r="T135"/>
      <c r="U135"/>
      <c r="V135"/>
    </row>
    <row r="136" spans="10:22" s="1" customFormat="1" x14ac:dyDescent="0.2">
      <c r="J136"/>
      <c r="K136"/>
      <c r="L136"/>
      <c r="M136"/>
      <c r="N136" s="2"/>
      <c r="R136"/>
      <c r="S136"/>
      <c r="T136"/>
      <c r="U136"/>
      <c r="V136"/>
    </row>
    <row r="137" spans="10:22" s="1" customFormat="1" x14ac:dyDescent="0.2">
      <c r="J137"/>
      <c r="K137"/>
      <c r="L137"/>
      <c r="M137"/>
      <c r="N137" s="2"/>
      <c r="R137"/>
      <c r="S137"/>
      <c r="T137"/>
      <c r="U137"/>
      <c r="V137"/>
    </row>
    <row r="138" spans="10:22" s="1" customFormat="1" x14ac:dyDescent="0.2">
      <c r="J138"/>
      <c r="K138"/>
      <c r="L138"/>
      <c r="M138"/>
      <c r="N138" s="2"/>
      <c r="R138"/>
      <c r="S138"/>
      <c r="T138"/>
      <c r="U138"/>
      <c r="V138"/>
    </row>
    <row r="139" spans="10:22" s="1" customFormat="1" x14ac:dyDescent="0.2">
      <c r="J139"/>
      <c r="K139"/>
      <c r="L139"/>
      <c r="M139"/>
      <c r="N139" s="2"/>
      <c r="R139"/>
      <c r="S139"/>
      <c r="T139"/>
      <c r="U139"/>
      <c r="V139"/>
    </row>
    <row r="140" spans="10:22" s="1" customFormat="1" x14ac:dyDescent="0.2">
      <c r="J140"/>
      <c r="K140"/>
      <c r="L140"/>
      <c r="M140"/>
      <c r="N140" s="2"/>
      <c r="R140"/>
      <c r="S140"/>
      <c r="T140"/>
      <c r="U140"/>
      <c r="V140"/>
    </row>
    <row r="141" spans="10:22" s="1" customFormat="1" x14ac:dyDescent="0.2">
      <c r="J141"/>
      <c r="K141"/>
      <c r="L141"/>
      <c r="M141"/>
      <c r="N141" s="2"/>
      <c r="R141"/>
      <c r="S141"/>
      <c r="T141"/>
      <c r="U141"/>
      <c r="V141"/>
    </row>
    <row r="142" spans="10:22" s="1" customFormat="1" x14ac:dyDescent="0.2">
      <c r="J142"/>
      <c r="K142"/>
      <c r="L142"/>
      <c r="M142"/>
      <c r="N142" s="2"/>
      <c r="R142"/>
      <c r="S142"/>
      <c r="T142"/>
      <c r="U142"/>
      <c r="V142"/>
    </row>
    <row r="143" spans="10:22" s="1" customFormat="1" x14ac:dyDescent="0.2">
      <c r="J143"/>
      <c r="K143"/>
      <c r="L143"/>
      <c r="M143"/>
      <c r="N143" s="2"/>
      <c r="R143"/>
      <c r="S143"/>
      <c r="T143"/>
      <c r="U143"/>
      <c r="V143"/>
    </row>
    <row r="144" spans="10:22" s="1" customFormat="1" x14ac:dyDescent="0.2">
      <c r="J144"/>
      <c r="K144"/>
      <c r="L144"/>
      <c r="M144"/>
      <c r="N144" s="2"/>
      <c r="R144"/>
      <c r="S144"/>
      <c r="T144"/>
      <c r="U144"/>
      <c r="V144"/>
    </row>
    <row r="145" spans="10:22" s="1" customFormat="1" x14ac:dyDescent="0.2">
      <c r="J145"/>
      <c r="K145"/>
      <c r="L145"/>
      <c r="M145"/>
      <c r="N145" s="2"/>
      <c r="R145"/>
      <c r="S145"/>
      <c r="T145"/>
      <c r="U145"/>
      <c r="V145"/>
    </row>
    <row r="146" spans="10:22" s="1" customFormat="1" x14ac:dyDescent="0.2">
      <c r="J146"/>
      <c r="K146"/>
      <c r="L146"/>
      <c r="M146"/>
      <c r="N146" s="2"/>
      <c r="R146"/>
      <c r="S146"/>
      <c r="T146"/>
      <c r="U146"/>
      <c r="V146"/>
    </row>
    <row r="147" spans="10:22" s="1" customFormat="1" x14ac:dyDescent="0.2">
      <c r="J147"/>
      <c r="K147"/>
      <c r="L147"/>
      <c r="M147"/>
      <c r="N147" s="2"/>
      <c r="R147"/>
      <c r="S147"/>
      <c r="T147"/>
      <c r="U147"/>
      <c r="V147"/>
    </row>
    <row r="148" spans="10:22" s="1" customFormat="1" x14ac:dyDescent="0.2">
      <c r="J148"/>
      <c r="K148"/>
      <c r="L148"/>
      <c r="M148"/>
      <c r="N148" s="2"/>
      <c r="R148"/>
      <c r="S148"/>
      <c r="T148"/>
      <c r="U148"/>
      <c r="V148"/>
    </row>
    <row r="149" spans="10:22" s="1" customFormat="1" x14ac:dyDescent="0.2">
      <c r="J149"/>
      <c r="K149"/>
      <c r="L149"/>
      <c r="M149"/>
      <c r="N149" s="2"/>
      <c r="R149"/>
      <c r="S149"/>
      <c r="T149"/>
      <c r="U149"/>
      <c r="V149"/>
    </row>
    <row r="150" spans="10:22" s="1" customFormat="1" x14ac:dyDescent="0.2">
      <c r="J150"/>
      <c r="K150"/>
      <c r="L150"/>
      <c r="M150"/>
      <c r="N150" s="2"/>
      <c r="R150"/>
      <c r="S150"/>
      <c r="T150"/>
      <c r="U150"/>
      <c r="V150"/>
    </row>
    <row r="151" spans="10:22" s="1" customFormat="1" x14ac:dyDescent="0.2">
      <c r="J151"/>
      <c r="K151"/>
      <c r="L151"/>
      <c r="M151"/>
      <c r="N151" s="2"/>
      <c r="R151"/>
      <c r="S151"/>
      <c r="T151"/>
      <c r="U151"/>
      <c r="V151"/>
    </row>
    <row r="152" spans="10:22" s="1" customFormat="1" x14ac:dyDescent="0.2">
      <c r="J152"/>
      <c r="K152"/>
      <c r="L152"/>
      <c r="M152"/>
      <c r="N152" s="2"/>
      <c r="R152"/>
      <c r="S152"/>
      <c r="T152"/>
      <c r="U152"/>
      <c r="V152"/>
    </row>
    <row r="153" spans="10:22" s="1" customFormat="1" x14ac:dyDescent="0.2">
      <c r="J153"/>
      <c r="K153"/>
      <c r="L153"/>
      <c r="M153"/>
      <c r="N153" s="2"/>
      <c r="R153"/>
      <c r="S153"/>
      <c r="T153"/>
      <c r="U153"/>
      <c r="V153"/>
    </row>
    <row r="154" spans="10:22" s="1" customFormat="1" x14ac:dyDescent="0.2">
      <c r="J154"/>
      <c r="K154"/>
      <c r="L154"/>
      <c r="M154"/>
      <c r="N154" s="2"/>
      <c r="R154"/>
      <c r="S154"/>
      <c r="T154"/>
      <c r="U154"/>
      <c r="V154"/>
    </row>
    <row r="155" spans="10:22" s="1" customFormat="1" x14ac:dyDescent="0.2">
      <c r="J155"/>
      <c r="K155"/>
      <c r="L155"/>
      <c r="M155"/>
      <c r="N155" s="2"/>
      <c r="R155"/>
      <c r="S155"/>
      <c r="T155"/>
      <c r="U155"/>
      <c r="V155"/>
    </row>
    <row r="156" spans="10:22" s="1" customFormat="1" x14ac:dyDescent="0.2">
      <c r="J156"/>
      <c r="K156"/>
      <c r="L156"/>
      <c r="M156"/>
      <c r="N156" s="2"/>
      <c r="R156"/>
      <c r="S156"/>
      <c r="T156"/>
      <c r="U156"/>
      <c r="V156"/>
    </row>
    <row r="157" spans="10:22" s="1" customFormat="1" x14ac:dyDescent="0.2">
      <c r="J157"/>
      <c r="K157"/>
      <c r="L157"/>
      <c r="M157"/>
      <c r="N157" s="2"/>
      <c r="R157"/>
      <c r="S157"/>
      <c r="T157"/>
      <c r="U157"/>
      <c r="V157"/>
    </row>
    <row r="158" spans="10:22" s="1" customFormat="1" x14ac:dyDescent="0.2">
      <c r="J158"/>
      <c r="K158"/>
      <c r="L158"/>
      <c r="M158"/>
      <c r="N158" s="2"/>
      <c r="R158"/>
      <c r="S158"/>
      <c r="T158"/>
      <c r="U158"/>
      <c r="V158"/>
    </row>
    <row r="159" spans="10:22" s="1" customFormat="1" x14ac:dyDescent="0.2">
      <c r="J159"/>
      <c r="K159"/>
      <c r="L159"/>
      <c r="M159"/>
      <c r="N159" s="2"/>
      <c r="R159"/>
      <c r="S159"/>
      <c r="T159"/>
      <c r="U159"/>
      <c r="V159"/>
    </row>
    <row r="160" spans="10:22" s="1" customFormat="1" x14ac:dyDescent="0.2">
      <c r="J160"/>
      <c r="K160"/>
      <c r="L160"/>
      <c r="M160"/>
      <c r="N160" s="2"/>
      <c r="R160"/>
      <c r="S160"/>
      <c r="T160"/>
      <c r="U160"/>
      <c r="V160"/>
    </row>
    <row r="161" spans="10:22" s="1" customFormat="1" x14ac:dyDescent="0.2">
      <c r="J161"/>
      <c r="K161"/>
      <c r="L161"/>
      <c r="M161"/>
      <c r="N161" s="2"/>
      <c r="R161"/>
      <c r="S161"/>
      <c r="T161"/>
      <c r="U161"/>
      <c r="V161"/>
    </row>
    <row r="162" spans="10:22" s="1" customFormat="1" x14ac:dyDescent="0.2">
      <c r="J162"/>
      <c r="K162"/>
      <c r="L162"/>
      <c r="M162"/>
      <c r="N162" s="2"/>
      <c r="R162"/>
      <c r="S162"/>
      <c r="T162"/>
      <c r="U162"/>
      <c r="V162"/>
    </row>
    <row r="163" spans="10:22" s="1" customFormat="1" x14ac:dyDescent="0.2">
      <c r="J163"/>
      <c r="K163"/>
      <c r="L163"/>
      <c r="M163"/>
      <c r="N163" s="2"/>
      <c r="R163"/>
      <c r="S163"/>
      <c r="T163"/>
      <c r="U163"/>
      <c r="V163"/>
    </row>
    <row r="164" spans="10:22" s="1" customFormat="1" x14ac:dyDescent="0.2">
      <c r="J164"/>
      <c r="K164"/>
      <c r="L164"/>
      <c r="M164"/>
      <c r="N164" s="2"/>
      <c r="R164"/>
      <c r="S164"/>
      <c r="T164"/>
      <c r="U164"/>
      <c r="V164"/>
    </row>
    <row r="165" spans="10:22" s="1" customFormat="1" x14ac:dyDescent="0.2">
      <c r="J165"/>
      <c r="K165"/>
      <c r="L165"/>
      <c r="M165"/>
      <c r="N165" s="2"/>
      <c r="R165"/>
      <c r="S165"/>
      <c r="T165"/>
      <c r="U165"/>
      <c r="V165"/>
    </row>
    <row r="166" spans="10:22" s="1" customFormat="1" x14ac:dyDescent="0.2">
      <c r="J166"/>
      <c r="K166"/>
      <c r="L166"/>
      <c r="M166"/>
      <c r="N166" s="2"/>
      <c r="R166"/>
      <c r="S166"/>
      <c r="T166"/>
      <c r="U166"/>
      <c r="V166"/>
    </row>
    <row r="167" spans="10:22" s="1" customFormat="1" x14ac:dyDescent="0.2">
      <c r="J167"/>
      <c r="K167"/>
      <c r="L167"/>
      <c r="M167"/>
      <c r="N167" s="2"/>
      <c r="R167"/>
      <c r="S167"/>
      <c r="T167"/>
      <c r="U167"/>
      <c r="V167"/>
    </row>
    <row r="168" spans="10:22" s="1" customFormat="1" x14ac:dyDescent="0.2">
      <c r="J168"/>
      <c r="K168"/>
      <c r="L168"/>
      <c r="M168"/>
      <c r="N168" s="2"/>
      <c r="R168"/>
      <c r="S168"/>
      <c r="T168"/>
      <c r="U168"/>
      <c r="V168"/>
    </row>
    <row r="169" spans="10:22" s="1" customFormat="1" x14ac:dyDescent="0.2">
      <c r="J169"/>
      <c r="K169"/>
      <c r="L169"/>
      <c r="M169"/>
      <c r="N169" s="2"/>
      <c r="R169"/>
      <c r="S169"/>
      <c r="T169"/>
      <c r="U169"/>
      <c r="V169"/>
    </row>
    <row r="170" spans="10:22" s="1" customFormat="1" x14ac:dyDescent="0.2">
      <c r="J170"/>
      <c r="K170"/>
      <c r="L170"/>
      <c r="M170"/>
      <c r="N170" s="2"/>
      <c r="R170"/>
      <c r="S170"/>
      <c r="T170"/>
      <c r="U170"/>
      <c r="V170"/>
    </row>
    <row r="171" spans="10:22" s="1" customFormat="1" x14ac:dyDescent="0.2">
      <c r="J171"/>
      <c r="K171"/>
      <c r="L171"/>
      <c r="M171"/>
      <c r="N171" s="2"/>
      <c r="R171"/>
      <c r="S171"/>
      <c r="T171"/>
      <c r="U171"/>
      <c r="V171"/>
    </row>
    <row r="172" spans="10:22" s="1" customFormat="1" x14ac:dyDescent="0.2">
      <c r="J172"/>
      <c r="K172"/>
      <c r="L172"/>
      <c r="M172"/>
      <c r="N172" s="2"/>
      <c r="R172"/>
      <c r="S172"/>
      <c r="T172"/>
      <c r="U172"/>
      <c r="V172"/>
    </row>
    <row r="173" spans="10:22" s="1" customFormat="1" x14ac:dyDescent="0.2">
      <c r="J173"/>
      <c r="K173"/>
      <c r="L173"/>
      <c r="M173"/>
      <c r="N173" s="2"/>
      <c r="R173"/>
      <c r="S173"/>
      <c r="T173"/>
      <c r="U173"/>
      <c r="V173"/>
    </row>
    <row r="174" spans="10:22" s="1" customFormat="1" x14ac:dyDescent="0.2">
      <c r="J174"/>
      <c r="K174"/>
      <c r="L174"/>
      <c r="M174"/>
      <c r="N174" s="2"/>
      <c r="R174"/>
      <c r="S174"/>
      <c r="T174"/>
      <c r="U174"/>
      <c r="V174"/>
    </row>
    <row r="175" spans="10:22" s="1" customFormat="1" x14ac:dyDescent="0.2">
      <c r="J175"/>
      <c r="K175"/>
      <c r="L175"/>
      <c r="M175"/>
      <c r="N175" s="2"/>
      <c r="R175"/>
      <c r="S175"/>
      <c r="T175"/>
      <c r="U175"/>
      <c r="V175"/>
    </row>
    <row r="176" spans="10:22" s="1" customFormat="1" x14ac:dyDescent="0.2">
      <c r="J176"/>
      <c r="K176"/>
      <c r="L176"/>
      <c r="M176"/>
      <c r="N176" s="2"/>
      <c r="R176"/>
      <c r="S176"/>
      <c r="T176"/>
      <c r="U176"/>
      <c r="V176"/>
    </row>
    <row r="177" spans="10:22" s="1" customFormat="1" x14ac:dyDescent="0.2">
      <c r="J177"/>
      <c r="K177"/>
      <c r="L177"/>
      <c r="M177"/>
      <c r="N177" s="2"/>
      <c r="R177"/>
      <c r="S177"/>
      <c r="T177"/>
      <c r="U177"/>
      <c r="V177"/>
    </row>
    <row r="178" spans="10:22" s="1" customFormat="1" x14ac:dyDescent="0.2">
      <c r="J178"/>
      <c r="K178"/>
      <c r="L178"/>
      <c r="M178"/>
      <c r="N178" s="2"/>
      <c r="R178"/>
      <c r="S178"/>
      <c r="T178"/>
      <c r="U178"/>
      <c r="V178"/>
    </row>
    <row r="179" spans="10:22" s="1" customFormat="1" x14ac:dyDescent="0.2">
      <c r="J179"/>
      <c r="K179"/>
      <c r="L179"/>
      <c r="M179"/>
      <c r="N179" s="2"/>
      <c r="R179"/>
      <c r="S179"/>
      <c r="T179"/>
      <c r="U179"/>
      <c r="V179"/>
    </row>
    <row r="180" spans="10:22" s="1" customFormat="1" x14ac:dyDescent="0.2">
      <c r="J180"/>
      <c r="K180"/>
      <c r="L180"/>
      <c r="M180"/>
      <c r="N180" s="2"/>
      <c r="R180"/>
      <c r="S180"/>
      <c r="T180"/>
      <c r="U180"/>
      <c r="V180"/>
    </row>
    <row r="181" spans="10:22" s="1" customFormat="1" x14ac:dyDescent="0.2">
      <c r="J181"/>
      <c r="K181"/>
      <c r="L181"/>
      <c r="M181"/>
      <c r="N181" s="2"/>
      <c r="R181"/>
      <c r="S181"/>
      <c r="T181"/>
      <c r="U181"/>
      <c r="V181"/>
    </row>
    <row r="182" spans="10:22" s="1" customFormat="1" x14ac:dyDescent="0.2">
      <c r="J182"/>
      <c r="K182"/>
      <c r="L182"/>
      <c r="M182"/>
      <c r="N182" s="2"/>
      <c r="R182"/>
      <c r="S182"/>
      <c r="T182"/>
      <c r="U182"/>
      <c r="V182"/>
    </row>
    <row r="183" spans="10:22" s="1" customFormat="1" x14ac:dyDescent="0.2">
      <c r="J183"/>
      <c r="K183"/>
      <c r="L183"/>
      <c r="M183"/>
      <c r="N183" s="2"/>
      <c r="R183"/>
      <c r="S183"/>
      <c r="T183"/>
      <c r="U183"/>
      <c r="V183"/>
    </row>
    <row r="184" spans="10:22" s="1" customFormat="1" x14ac:dyDescent="0.2">
      <c r="J184"/>
      <c r="K184"/>
      <c r="L184"/>
      <c r="M184"/>
      <c r="N184" s="2"/>
      <c r="R184"/>
      <c r="S184"/>
      <c r="T184"/>
      <c r="U184"/>
      <c r="V184"/>
    </row>
    <row r="185" spans="10:22" s="1" customFormat="1" x14ac:dyDescent="0.2">
      <c r="J185"/>
      <c r="K185"/>
      <c r="L185"/>
      <c r="M185"/>
      <c r="N185" s="2"/>
      <c r="R185"/>
      <c r="S185"/>
      <c r="T185"/>
      <c r="U185"/>
      <c r="V185"/>
    </row>
    <row r="186" spans="10:22" s="1" customFormat="1" x14ac:dyDescent="0.2">
      <c r="J186"/>
      <c r="K186"/>
      <c r="L186"/>
      <c r="M186"/>
      <c r="N186" s="2"/>
      <c r="R186"/>
      <c r="S186"/>
      <c r="T186"/>
      <c r="U186"/>
      <c r="V186"/>
    </row>
    <row r="187" spans="10:22" s="1" customFormat="1" x14ac:dyDescent="0.2">
      <c r="J187"/>
      <c r="K187"/>
      <c r="L187"/>
      <c r="M187"/>
      <c r="N187" s="2"/>
      <c r="R187"/>
      <c r="S187"/>
      <c r="T187"/>
      <c r="U187"/>
      <c r="V187"/>
    </row>
    <row r="188" spans="10:22" s="1" customFormat="1" x14ac:dyDescent="0.2">
      <c r="J188"/>
      <c r="K188"/>
      <c r="L188"/>
      <c r="M188"/>
      <c r="N188" s="2"/>
      <c r="R188"/>
      <c r="S188"/>
      <c r="T188"/>
      <c r="U188"/>
      <c r="V188"/>
    </row>
    <row r="189" spans="10:22" s="1" customFormat="1" x14ac:dyDescent="0.2">
      <c r="J189"/>
      <c r="K189"/>
      <c r="L189"/>
      <c r="M189"/>
      <c r="N189" s="2"/>
      <c r="R189"/>
      <c r="S189"/>
      <c r="T189"/>
      <c r="U189"/>
      <c r="V189"/>
    </row>
    <row r="190" spans="10:22" s="1" customFormat="1" x14ac:dyDescent="0.2">
      <c r="J190"/>
      <c r="K190"/>
      <c r="L190"/>
      <c r="M190"/>
      <c r="N190" s="2"/>
      <c r="R190"/>
      <c r="S190"/>
      <c r="T190"/>
      <c r="U190"/>
      <c r="V190"/>
    </row>
    <row r="191" spans="10:22" s="1" customFormat="1" x14ac:dyDescent="0.2">
      <c r="J191"/>
      <c r="K191"/>
      <c r="L191"/>
      <c r="M191"/>
      <c r="N191" s="2"/>
      <c r="R191"/>
      <c r="S191"/>
      <c r="T191"/>
      <c r="U191"/>
      <c r="V191"/>
    </row>
    <row r="192" spans="10:22" s="1" customFormat="1" x14ac:dyDescent="0.2">
      <c r="J192"/>
      <c r="K192"/>
      <c r="L192"/>
      <c r="M192"/>
      <c r="N192" s="2"/>
      <c r="R192"/>
      <c r="S192"/>
      <c r="T192"/>
      <c r="U192"/>
      <c r="V192"/>
    </row>
    <row r="193" spans="10:22" s="1" customFormat="1" x14ac:dyDescent="0.2">
      <c r="J193"/>
      <c r="K193"/>
      <c r="L193"/>
      <c r="M193"/>
      <c r="N193" s="2"/>
      <c r="R193"/>
      <c r="S193"/>
      <c r="T193"/>
      <c r="U193"/>
      <c r="V193"/>
    </row>
    <row r="194" spans="10:22" s="1" customFormat="1" x14ac:dyDescent="0.2">
      <c r="J194"/>
      <c r="K194"/>
      <c r="L194"/>
      <c r="M194"/>
      <c r="N194" s="2"/>
      <c r="R194"/>
      <c r="S194"/>
      <c r="T194"/>
      <c r="U194"/>
      <c r="V194"/>
    </row>
    <row r="195" spans="10:22" s="1" customFormat="1" x14ac:dyDescent="0.2">
      <c r="J195"/>
      <c r="K195"/>
      <c r="L195"/>
      <c r="M195"/>
      <c r="N195" s="2"/>
      <c r="R195"/>
      <c r="S195"/>
      <c r="T195"/>
      <c r="U195"/>
      <c r="V195"/>
    </row>
    <row r="196" spans="10:22" s="1" customFormat="1" x14ac:dyDescent="0.2">
      <c r="J196"/>
      <c r="K196"/>
      <c r="L196"/>
      <c r="M196"/>
      <c r="N196" s="2"/>
      <c r="R196"/>
      <c r="S196"/>
      <c r="T196"/>
      <c r="U196"/>
      <c r="V196"/>
    </row>
    <row r="197" spans="10:22" s="1" customFormat="1" x14ac:dyDescent="0.2">
      <c r="J197"/>
      <c r="K197"/>
      <c r="L197"/>
      <c r="M197"/>
      <c r="N197" s="2"/>
      <c r="R197"/>
      <c r="S197"/>
      <c r="T197"/>
      <c r="U197"/>
      <c r="V197"/>
    </row>
    <row r="198" spans="10:22" s="1" customFormat="1" x14ac:dyDescent="0.2">
      <c r="J198"/>
      <c r="K198"/>
      <c r="L198"/>
      <c r="M198"/>
      <c r="N198" s="2"/>
      <c r="R198"/>
      <c r="S198"/>
      <c r="T198"/>
      <c r="U198"/>
      <c r="V198"/>
    </row>
    <row r="199" spans="10:22" s="1" customFormat="1" x14ac:dyDescent="0.2">
      <c r="J199"/>
      <c r="K199"/>
      <c r="L199"/>
      <c r="M199"/>
      <c r="N199" s="2"/>
      <c r="R199"/>
      <c r="S199"/>
      <c r="T199"/>
      <c r="U199"/>
      <c r="V199"/>
    </row>
    <row r="200" spans="10:22" s="1" customFormat="1" x14ac:dyDescent="0.2">
      <c r="J200"/>
      <c r="K200"/>
      <c r="L200"/>
      <c r="M200"/>
      <c r="N200" s="2"/>
      <c r="R200"/>
      <c r="S200"/>
      <c r="T200"/>
      <c r="U200"/>
      <c r="V200"/>
    </row>
    <row r="201" spans="10:22" s="1" customFormat="1" x14ac:dyDescent="0.2">
      <c r="J201"/>
      <c r="K201"/>
      <c r="L201"/>
      <c r="M201"/>
      <c r="N201" s="2"/>
      <c r="R201"/>
      <c r="S201"/>
      <c r="T201"/>
      <c r="U201"/>
      <c r="V201"/>
    </row>
    <row r="202" spans="10:22" s="1" customFormat="1" x14ac:dyDescent="0.2">
      <c r="J202"/>
      <c r="K202"/>
      <c r="L202"/>
      <c r="M202"/>
      <c r="N202" s="2"/>
      <c r="R202"/>
      <c r="S202"/>
      <c r="T202"/>
      <c r="U202"/>
      <c r="V202"/>
    </row>
    <row r="203" spans="10:22" s="1" customFormat="1" x14ac:dyDescent="0.2">
      <c r="J203"/>
      <c r="K203"/>
      <c r="L203"/>
      <c r="M203"/>
      <c r="N203" s="2"/>
      <c r="R203"/>
      <c r="S203"/>
      <c r="T203"/>
      <c r="U203"/>
      <c r="V203"/>
    </row>
    <row r="204" spans="10:22" s="1" customFormat="1" x14ac:dyDescent="0.2">
      <c r="J204"/>
      <c r="K204"/>
      <c r="L204"/>
      <c r="M204"/>
      <c r="N204" s="2"/>
      <c r="R204"/>
      <c r="S204"/>
      <c r="T204"/>
      <c r="U204"/>
      <c r="V204"/>
    </row>
    <row r="205" spans="10:22" s="1" customFormat="1" x14ac:dyDescent="0.2">
      <c r="J205"/>
      <c r="K205"/>
      <c r="L205"/>
      <c r="M205"/>
      <c r="N205" s="2"/>
      <c r="R205"/>
      <c r="S205"/>
      <c r="T205"/>
      <c r="U205"/>
      <c r="V205"/>
    </row>
    <row r="206" spans="10:22" s="1" customFormat="1" x14ac:dyDescent="0.2">
      <c r="J206"/>
      <c r="K206"/>
      <c r="L206"/>
      <c r="M206"/>
      <c r="N206" s="2"/>
      <c r="R206"/>
      <c r="S206"/>
      <c r="T206"/>
      <c r="U206"/>
      <c r="V206"/>
    </row>
    <row r="207" spans="10:22" s="1" customFormat="1" x14ac:dyDescent="0.2">
      <c r="J207"/>
      <c r="K207"/>
      <c r="L207"/>
      <c r="M207"/>
      <c r="N207" s="2"/>
      <c r="R207"/>
      <c r="S207"/>
      <c r="T207"/>
      <c r="U207"/>
      <c r="V207"/>
    </row>
    <row r="208" spans="10:22" s="1" customFormat="1" x14ac:dyDescent="0.2">
      <c r="J208"/>
      <c r="K208"/>
      <c r="L208"/>
      <c r="M208"/>
      <c r="N208" s="2"/>
      <c r="R208"/>
      <c r="S208"/>
      <c r="T208"/>
      <c r="U208"/>
      <c r="V208"/>
    </row>
    <row r="209" spans="10:22" s="1" customFormat="1" x14ac:dyDescent="0.2">
      <c r="J209"/>
      <c r="K209"/>
      <c r="L209"/>
      <c r="M209"/>
      <c r="N209" s="2"/>
      <c r="R209"/>
      <c r="S209"/>
      <c r="T209"/>
      <c r="U209"/>
      <c r="V209"/>
    </row>
    <row r="210" spans="10:22" s="1" customFormat="1" x14ac:dyDescent="0.2">
      <c r="J210"/>
      <c r="K210"/>
      <c r="L210"/>
      <c r="M210"/>
      <c r="N210" s="2"/>
      <c r="R210"/>
      <c r="S210"/>
      <c r="T210"/>
      <c r="U210"/>
      <c r="V210"/>
    </row>
    <row r="211" spans="10:22" s="1" customFormat="1" x14ac:dyDescent="0.2">
      <c r="J211"/>
      <c r="K211"/>
      <c r="L211"/>
      <c r="M211"/>
      <c r="N211" s="2"/>
      <c r="R211"/>
      <c r="S211"/>
      <c r="T211"/>
      <c r="U211"/>
      <c r="V211"/>
    </row>
    <row r="212" spans="10:22" s="1" customFormat="1" x14ac:dyDescent="0.2">
      <c r="J212"/>
      <c r="K212"/>
      <c r="L212"/>
      <c r="M212"/>
      <c r="N212" s="2"/>
      <c r="R212"/>
      <c r="S212"/>
      <c r="T212"/>
      <c r="U212"/>
      <c r="V212"/>
    </row>
    <row r="213" spans="10:22" s="1" customFormat="1" x14ac:dyDescent="0.2">
      <c r="J213"/>
      <c r="K213"/>
      <c r="L213"/>
      <c r="M213"/>
      <c r="N213" s="2"/>
      <c r="R213"/>
      <c r="S213"/>
      <c r="T213"/>
      <c r="U213"/>
      <c r="V213"/>
    </row>
    <row r="214" spans="10:22" s="1" customFormat="1" x14ac:dyDescent="0.2">
      <c r="J214"/>
      <c r="K214"/>
      <c r="L214"/>
      <c r="M214"/>
      <c r="N214" s="2"/>
      <c r="R214"/>
      <c r="S214"/>
      <c r="T214"/>
      <c r="U214"/>
      <c r="V214"/>
    </row>
    <row r="215" spans="10:22" s="1" customFormat="1" x14ac:dyDescent="0.2">
      <c r="J215"/>
      <c r="K215"/>
      <c r="L215"/>
      <c r="M215"/>
      <c r="N215" s="2"/>
      <c r="R215"/>
      <c r="S215"/>
      <c r="T215"/>
      <c r="U215"/>
      <c r="V215"/>
    </row>
    <row r="216" spans="10:22" s="1" customFormat="1" x14ac:dyDescent="0.2">
      <c r="J216"/>
      <c r="K216"/>
      <c r="L216"/>
      <c r="M216"/>
      <c r="N216" s="2"/>
      <c r="R216"/>
      <c r="S216"/>
      <c r="T216"/>
      <c r="U216"/>
      <c r="V216"/>
    </row>
    <row r="217" spans="10:22" s="1" customFormat="1" x14ac:dyDescent="0.2">
      <c r="J217"/>
      <c r="K217"/>
      <c r="L217"/>
      <c r="M217"/>
      <c r="N217" s="2"/>
      <c r="R217"/>
      <c r="S217"/>
      <c r="T217"/>
      <c r="U217"/>
      <c r="V217"/>
    </row>
    <row r="218" spans="10:22" s="1" customFormat="1" x14ac:dyDescent="0.2">
      <c r="J218"/>
      <c r="K218"/>
      <c r="L218"/>
      <c r="M218"/>
      <c r="N218" s="2"/>
      <c r="R218"/>
      <c r="S218"/>
      <c r="T218"/>
      <c r="U218"/>
      <c r="V218"/>
    </row>
    <row r="219" spans="10:22" s="1" customFormat="1" x14ac:dyDescent="0.2">
      <c r="J219"/>
      <c r="K219"/>
      <c r="L219"/>
      <c r="M219"/>
      <c r="N219" s="2"/>
      <c r="R219"/>
      <c r="S219"/>
      <c r="T219"/>
      <c r="U219"/>
      <c r="V219"/>
    </row>
    <row r="220" spans="10:22" s="1" customFormat="1" x14ac:dyDescent="0.2">
      <c r="J220"/>
      <c r="K220"/>
      <c r="L220"/>
      <c r="M220"/>
      <c r="N220" s="2"/>
      <c r="R220"/>
      <c r="S220"/>
      <c r="T220"/>
      <c r="U220"/>
      <c r="V220"/>
    </row>
    <row r="221" spans="10:22" s="1" customFormat="1" x14ac:dyDescent="0.2">
      <c r="J221"/>
      <c r="K221"/>
      <c r="L221"/>
      <c r="M221"/>
      <c r="N221" s="2"/>
      <c r="R221"/>
      <c r="S221"/>
      <c r="T221"/>
      <c r="U221"/>
      <c r="V221"/>
    </row>
    <row r="222" spans="10:22" s="1" customFormat="1" x14ac:dyDescent="0.2">
      <c r="J222"/>
      <c r="K222"/>
      <c r="L222"/>
      <c r="M222"/>
      <c r="N222" s="2"/>
      <c r="R222"/>
      <c r="S222"/>
      <c r="T222"/>
      <c r="U222"/>
      <c r="V222"/>
    </row>
    <row r="223" spans="10:22" s="1" customFormat="1" x14ac:dyDescent="0.2">
      <c r="J223"/>
      <c r="K223"/>
      <c r="L223"/>
      <c r="M223"/>
      <c r="N223" s="2"/>
      <c r="R223"/>
      <c r="S223"/>
      <c r="T223"/>
      <c r="U223"/>
      <c r="V223"/>
    </row>
    <row r="224" spans="10:22" s="1" customFormat="1" x14ac:dyDescent="0.2">
      <c r="J224"/>
      <c r="K224"/>
      <c r="L224"/>
      <c r="M224"/>
      <c r="N224" s="2"/>
      <c r="R224"/>
      <c r="S224"/>
      <c r="T224"/>
      <c r="U224"/>
      <c r="V224"/>
    </row>
    <row r="225" spans="10:22" s="1" customFormat="1" x14ac:dyDescent="0.2">
      <c r="J225"/>
      <c r="K225"/>
      <c r="L225"/>
      <c r="M225"/>
      <c r="N225" s="2"/>
      <c r="R225"/>
      <c r="S225"/>
      <c r="T225"/>
      <c r="U225"/>
      <c r="V225"/>
    </row>
    <row r="226" spans="10:22" s="1" customFormat="1" x14ac:dyDescent="0.2">
      <c r="J226"/>
      <c r="K226"/>
      <c r="L226"/>
      <c r="M226"/>
      <c r="N226" s="2"/>
      <c r="R226"/>
      <c r="S226"/>
      <c r="T226"/>
      <c r="U226"/>
      <c r="V226"/>
    </row>
    <row r="227" spans="10:22" s="1" customFormat="1" x14ac:dyDescent="0.2">
      <c r="J227"/>
      <c r="K227"/>
      <c r="L227"/>
      <c r="M227"/>
      <c r="N227" s="2"/>
      <c r="R227"/>
      <c r="S227"/>
      <c r="T227"/>
      <c r="U227"/>
      <c r="V227"/>
    </row>
    <row r="228" spans="10:22" s="1" customFormat="1" x14ac:dyDescent="0.2">
      <c r="J228"/>
      <c r="K228"/>
      <c r="L228"/>
      <c r="M228"/>
      <c r="N228" s="2"/>
      <c r="R228"/>
      <c r="S228"/>
      <c r="T228"/>
      <c r="U228"/>
      <c r="V228"/>
    </row>
    <row r="229" spans="10:22" s="1" customFormat="1" x14ac:dyDescent="0.2">
      <c r="J229"/>
      <c r="K229"/>
      <c r="L229"/>
      <c r="M229"/>
      <c r="N229" s="2"/>
      <c r="R229"/>
      <c r="S229"/>
      <c r="T229"/>
      <c r="U229"/>
      <c r="V229"/>
    </row>
    <row r="230" spans="10:22" s="1" customFormat="1" x14ac:dyDescent="0.2">
      <c r="J230"/>
      <c r="K230"/>
      <c r="L230"/>
      <c r="M230"/>
      <c r="N230" s="2"/>
      <c r="R230"/>
      <c r="S230"/>
      <c r="T230"/>
      <c r="U230"/>
      <c r="V230"/>
    </row>
    <row r="231" spans="10:22" s="1" customFormat="1" x14ac:dyDescent="0.2">
      <c r="J231"/>
      <c r="K231"/>
      <c r="L231"/>
      <c r="M231"/>
      <c r="N231" s="2"/>
      <c r="R231"/>
      <c r="S231"/>
      <c r="T231"/>
      <c r="U231"/>
      <c r="V231"/>
    </row>
    <row r="232" spans="10:22" s="1" customFormat="1" x14ac:dyDescent="0.2">
      <c r="J232"/>
      <c r="K232"/>
      <c r="L232"/>
      <c r="M232"/>
      <c r="N232" s="2"/>
      <c r="R232"/>
      <c r="S232"/>
      <c r="T232"/>
      <c r="U232"/>
      <c r="V232"/>
    </row>
    <row r="233" spans="10:22" s="1" customFormat="1" x14ac:dyDescent="0.2">
      <c r="J233"/>
      <c r="K233"/>
      <c r="L233"/>
      <c r="M233"/>
      <c r="N233" s="2"/>
      <c r="R233"/>
      <c r="S233"/>
      <c r="T233"/>
      <c r="U233"/>
      <c r="V233"/>
    </row>
    <row r="234" spans="10:22" s="1" customFormat="1" x14ac:dyDescent="0.2">
      <c r="J234"/>
      <c r="K234"/>
      <c r="L234"/>
      <c r="M234"/>
      <c r="N234" s="2"/>
      <c r="R234"/>
      <c r="S234"/>
      <c r="T234"/>
      <c r="U234"/>
      <c r="V234"/>
    </row>
    <row r="235" spans="10:22" s="1" customFormat="1" x14ac:dyDescent="0.2">
      <c r="J235"/>
      <c r="K235"/>
      <c r="L235"/>
      <c r="M235"/>
      <c r="N235" s="2"/>
      <c r="R235"/>
      <c r="S235"/>
      <c r="T235"/>
      <c r="U235"/>
      <c r="V235"/>
    </row>
    <row r="236" spans="10:22" s="1" customFormat="1" x14ac:dyDescent="0.2">
      <c r="J236"/>
      <c r="K236"/>
      <c r="L236"/>
      <c r="M236"/>
      <c r="N236" s="2"/>
      <c r="R236"/>
      <c r="S236"/>
      <c r="T236"/>
      <c r="U236"/>
      <c r="V236"/>
    </row>
    <row r="237" spans="10:22" s="1" customFormat="1" x14ac:dyDescent="0.2">
      <c r="J237"/>
      <c r="K237"/>
      <c r="L237"/>
      <c r="M237"/>
      <c r="N237" s="2"/>
      <c r="R237"/>
      <c r="S237"/>
      <c r="T237"/>
      <c r="U237"/>
      <c r="V237"/>
    </row>
    <row r="238" spans="10:22" s="1" customFormat="1" x14ac:dyDescent="0.2">
      <c r="J238"/>
      <c r="K238"/>
      <c r="L238"/>
      <c r="M238"/>
      <c r="N238" s="2"/>
      <c r="R238"/>
      <c r="S238"/>
      <c r="T238"/>
      <c r="U238"/>
      <c r="V238"/>
    </row>
    <row r="239" spans="10:22" s="1" customFormat="1" x14ac:dyDescent="0.2">
      <c r="J239"/>
      <c r="K239"/>
      <c r="L239"/>
      <c r="M239"/>
      <c r="N239" s="2"/>
      <c r="R239"/>
      <c r="S239"/>
      <c r="T239"/>
      <c r="U239"/>
      <c r="V239"/>
    </row>
    <row r="240" spans="10:22" s="1" customFormat="1" x14ac:dyDescent="0.2">
      <c r="J240"/>
      <c r="K240"/>
      <c r="L240"/>
      <c r="M240"/>
      <c r="N240" s="2"/>
      <c r="R240"/>
      <c r="S240"/>
      <c r="T240"/>
      <c r="U240"/>
      <c r="V240"/>
    </row>
    <row r="241" spans="10:22" s="1" customFormat="1" x14ac:dyDescent="0.2">
      <c r="J241"/>
      <c r="K241"/>
      <c r="L241"/>
      <c r="M241"/>
      <c r="N241" s="2"/>
      <c r="R241"/>
      <c r="S241"/>
      <c r="T241"/>
      <c r="U241"/>
      <c r="V241"/>
    </row>
    <row r="242" spans="10:22" s="1" customFormat="1" x14ac:dyDescent="0.2">
      <c r="J242"/>
      <c r="K242"/>
      <c r="L242"/>
      <c r="M242"/>
      <c r="N242" s="2"/>
      <c r="R242"/>
      <c r="S242"/>
      <c r="T242"/>
      <c r="U242"/>
      <c r="V242"/>
    </row>
    <row r="243" spans="10:22" s="1" customFormat="1" x14ac:dyDescent="0.2">
      <c r="J243"/>
      <c r="K243"/>
      <c r="L243"/>
      <c r="M243"/>
      <c r="N243" s="2"/>
      <c r="R243"/>
      <c r="S243"/>
      <c r="T243"/>
      <c r="U243"/>
      <c r="V243"/>
    </row>
    <row r="244" spans="10:22" s="1" customFormat="1" x14ac:dyDescent="0.2">
      <c r="J244"/>
      <c r="K244"/>
      <c r="L244"/>
      <c r="M244"/>
      <c r="N244" s="2"/>
      <c r="R244"/>
      <c r="S244"/>
      <c r="T244"/>
      <c r="U244"/>
      <c r="V244"/>
    </row>
    <row r="245" spans="10:22" s="1" customFormat="1" x14ac:dyDescent="0.2">
      <c r="J245"/>
      <c r="K245"/>
      <c r="L245"/>
      <c r="M245"/>
      <c r="N245" s="2"/>
      <c r="R245"/>
      <c r="S245"/>
      <c r="T245"/>
      <c r="U245"/>
      <c r="V245"/>
    </row>
    <row r="246" spans="10:22" s="1" customFormat="1" x14ac:dyDescent="0.2">
      <c r="J246"/>
      <c r="K246"/>
      <c r="L246"/>
      <c r="M246"/>
      <c r="N246" s="2"/>
      <c r="R246"/>
      <c r="S246"/>
      <c r="T246"/>
      <c r="U246"/>
      <c r="V246"/>
    </row>
    <row r="247" spans="10:22" s="1" customFormat="1" x14ac:dyDescent="0.2">
      <c r="J247"/>
      <c r="K247"/>
      <c r="L247"/>
      <c r="M247"/>
      <c r="N247" s="2"/>
      <c r="R247"/>
      <c r="S247"/>
      <c r="T247"/>
      <c r="U247"/>
      <c r="V247"/>
    </row>
    <row r="248" spans="10:22" s="1" customFormat="1" x14ac:dyDescent="0.2">
      <c r="J248"/>
      <c r="K248"/>
      <c r="L248"/>
      <c r="M248"/>
      <c r="N248" s="2"/>
      <c r="R248"/>
      <c r="S248"/>
      <c r="T248"/>
      <c r="U248"/>
      <c r="V248"/>
    </row>
    <row r="249" spans="10:22" s="1" customFormat="1" x14ac:dyDescent="0.2">
      <c r="J249"/>
      <c r="K249"/>
      <c r="L249"/>
      <c r="M249"/>
      <c r="N249" s="2"/>
      <c r="R249"/>
      <c r="S249"/>
      <c r="T249"/>
      <c r="U249"/>
      <c r="V249"/>
    </row>
    <row r="250" spans="10:22" s="1" customFormat="1" x14ac:dyDescent="0.2">
      <c r="J250"/>
      <c r="K250"/>
      <c r="L250"/>
      <c r="M250"/>
      <c r="N250" s="2"/>
      <c r="R250"/>
      <c r="S250"/>
      <c r="T250"/>
      <c r="U250"/>
      <c r="V250"/>
    </row>
    <row r="251" spans="10:22" s="1" customFormat="1" x14ac:dyDescent="0.2">
      <c r="J251"/>
      <c r="K251"/>
      <c r="L251"/>
      <c r="M251"/>
      <c r="N251" s="2"/>
      <c r="R251"/>
      <c r="S251"/>
      <c r="T251"/>
      <c r="U251"/>
      <c r="V251"/>
    </row>
    <row r="252" spans="10:22" s="1" customFormat="1" x14ac:dyDescent="0.2">
      <c r="J252"/>
      <c r="K252"/>
      <c r="L252"/>
      <c r="M252"/>
      <c r="N252" s="2"/>
      <c r="R252"/>
      <c r="S252"/>
      <c r="T252"/>
      <c r="U252"/>
      <c r="V252"/>
    </row>
    <row r="253" spans="10:22" s="1" customFormat="1" x14ac:dyDescent="0.2">
      <c r="J253"/>
      <c r="K253"/>
      <c r="L253"/>
      <c r="M253"/>
      <c r="N253" s="2"/>
      <c r="R253"/>
      <c r="S253"/>
      <c r="T253"/>
      <c r="U253"/>
      <c r="V253"/>
    </row>
    <row r="254" spans="10:22" s="1" customFormat="1" x14ac:dyDescent="0.2">
      <c r="J254"/>
      <c r="K254"/>
      <c r="L254"/>
      <c r="M254"/>
      <c r="N254" s="2"/>
      <c r="R254"/>
      <c r="S254"/>
      <c r="T254"/>
      <c r="U254"/>
      <c r="V254"/>
    </row>
    <row r="255" spans="10:22" s="1" customFormat="1" x14ac:dyDescent="0.2">
      <c r="J255"/>
      <c r="K255"/>
      <c r="L255"/>
      <c r="M255"/>
      <c r="N255" s="2"/>
      <c r="R255"/>
      <c r="S255"/>
      <c r="T255"/>
      <c r="U255"/>
      <c r="V255"/>
    </row>
    <row r="256" spans="10:22" s="1" customFormat="1" x14ac:dyDescent="0.2">
      <c r="J256"/>
      <c r="K256"/>
      <c r="L256"/>
      <c r="M256"/>
      <c r="N256" s="2"/>
      <c r="R256"/>
      <c r="S256"/>
      <c r="T256"/>
      <c r="U256"/>
      <c r="V256"/>
    </row>
    <row r="257" spans="10:22" s="1" customFormat="1" x14ac:dyDescent="0.2">
      <c r="J257"/>
      <c r="K257"/>
      <c r="L257"/>
      <c r="M257"/>
      <c r="N257" s="2"/>
      <c r="R257"/>
      <c r="S257"/>
      <c r="T257"/>
      <c r="U257"/>
      <c r="V257"/>
    </row>
    <row r="258" spans="10:22" s="1" customFormat="1" x14ac:dyDescent="0.2">
      <c r="J258"/>
      <c r="K258"/>
      <c r="L258"/>
      <c r="M258"/>
      <c r="N258" s="2"/>
      <c r="R258"/>
      <c r="S258"/>
      <c r="T258"/>
      <c r="U258"/>
      <c r="V258"/>
    </row>
    <row r="259" spans="10:22" s="1" customFormat="1" x14ac:dyDescent="0.2">
      <c r="J259"/>
      <c r="K259"/>
      <c r="L259"/>
      <c r="M259"/>
      <c r="N259" s="2"/>
      <c r="R259"/>
      <c r="S259"/>
      <c r="T259"/>
      <c r="U259"/>
      <c r="V259"/>
    </row>
    <row r="260" spans="10:22" s="1" customFormat="1" x14ac:dyDescent="0.2">
      <c r="J260"/>
      <c r="K260"/>
      <c r="L260"/>
      <c r="M260"/>
      <c r="N260" s="2"/>
      <c r="R260"/>
      <c r="S260"/>
      <c r="T260"/>
      <c r="U260"/>
      <c r="V260"/>
    </row>
    <row r="261" spans="10:22" s="1" customFormat="1" x14ac:dyDescent="0.2">
      <c r="J261"/>
      <c r="K261"/>
      <c r="L261"/>
      <c r="M261"/>
      <c r="N261" s="2"/>
      <c r="R261"/>
      <c r="S261"/>
      <c r="T261"/>
      <c r="U261"/>
      <c r="V261"/>
    </row>
    <row r="262" spans="10:22" s="1" customFormat="1" x14ac:dyDescent="0.2">
      <c r="J262"/>
      <c r="K262"/>
      <c r="L262"/>
      <c r="M262"/>
      <c r="N262" s="2"/>
      <c r="R262"/>
      <c r="S262"/>
      <c r="T262"/>
      <c r="U262"/>
      <c r="V262"/>
    </row>
    <row r="263" spans="10:22" s="1" customFormat="1" x14ac:dyDescent="0.2">
      <c r="J263"/>
      <c r="K263"/>
      <c r="L263"/>
      <c r="M263"/>
      <c r="N263" s="2"/>
      <c r="R263"/>
      <c r="S263"/>
      <c r="T263"/>
      <c r="U263"/>
      <c r="V263"/>
    </row>
    <row r="264" spans="10:22" s="1" customFormat="1" x14ac:dyDescent="0.2">
      <c r="J264"/>
      <c r="K264"/>
      <c r="L264"/>
      <c r="M264"/>
      <c r="N264" s="2"/>
      <c r="R264"/>
      <c r="S264"/>
      <c r="T264"/>
      <c r="U264"/>
      <c r="V264"/>
    </row>
    <row r="265" spans="10:22" s="1" customFormat="1" x14ac:dyDescent="0.2">
      <c r="J265"/>
      <c r="K265"/>
      <c r="L265"/>
      <c r="M265"/>
      <c r="N265" s="2"/>
      <c r="R265"/>
      <c r="S265"/>
      <c r="T265"/>
      <c r="U265"/>
      <c r="V265"/>
    </row>
    <row r="266" spans="10:22" s="1" customFormat="1" x14ac:dyDescent="0.2">
      <c r="J266"/>
      <c r="K266"/>
      <c r="L266"/>
      <c r="M266"/>
      <c r="N266" s="2"/>
      <c r="R266"/>
      <c r="S266"/>
      <c r="T266"/>
      <c r="U266"/>
      <c r="V266"/>
    </row>
    <row r="267" spans="10:22" s="1" customFormat="1" x14ac:dyDescent="0.2">
      <c r="J267"/>
      <c r="K267"/>
      <c r="L267"/>
      <c r="M267"/>
      <c r="N267" s="2"/>
      <c r="R267"/>
      <c r="S267"/>
      <c r="T267"/>
      <c r="U267"/>
      <c r="V267"/>
    </row>
    <row r="268" spans="10:22" s="1" customFormat="1" x14ac:dyDescent="0.2">
      <c r="J268"/>
      <c r="K268"/>
      <c r="L268"/>
      <c r="M268"/>
      <c r="N268" s="2"/>
      <c r="R268"/>
      <c r="S268"/>
      <c r="T268"/>
      <c r="U268"/>
      <c r="V268"/>
    </row>
    <row r="269" spans="10:22" s="1" customFormat="1" x14ac:dyDescent="0.2">
      <c r="J269"/>
      <c r="K269"/>
      <c r="L269"/>
      <c r="M269"/>
      <c r="N269" s="2"/>
      <c r="R269"/>
      <c r="S269"/>
      <c r="T269"/>
      <c r="U269"/>
      <c r="V269"/>
    </row>
    <row r="270" spans="10:22" s="1" customFormat="1" x14ac:dyDescent="0.2">
      <c r="J270"/>
      <c r="K270"/>
      <c r="L270"/>
      <c r="M270"/>
      <c r="N270" s="2"/>
      <c r="R270"/>
      <c r="S270"/>
      <c r="T270"/>
      <c r="U270"/>
      <c r="V270"/>
    </row>
    <row r="271" spans="10:22" s="1" customFormat="1" x14ac:dyDescent="0.2">
      <c r="J271"/>
      <c r="K271"/>
      <c r="L271"/>
      <c r="M271"/>
      <c r="N271" s="2"/>
      <c r="R271"/>
      <c r="S271"/>
      <c r="T271"/>
      <c r="U271"/>
      <c r="V271"/>
    </row>
    <row r="272" spans="10:22" s="1" customFormat="1" x14ac:dyDescent="0.2">
      <c r="J272"/>
      <c r="K272"/>
      <c r="L272"/>
      <c r="M272"/>
      <c r="N272" s="2"/>
      <c r="R272"/>
      <c r="S272"/>
      <c r="T272"/>
      <c r="U272"/>
      <c r="V272"/>
    </row>
    <row r="273" spans="10:22" s="1" customFormat="1" x14ac:dyDescent="0.2">
      <c r="J273"/>
      <c r="K273"/>
      <c r="L273"/>
      <c r="M273"/>
      <c r="N273" s="2"/>
      <c r="R273"/>
      <c r="S273"/>
      <c r="T273"/>
      <c r="U273"/>
      <c r="V273"/>
    </row>
    <row r="274" spans="10:22" s="1" customFormat="1" x14ac:dyDescent="0.2">
      <c r="J274"/>
      <c r="K274"/>
      <c r="L274"/>
      <c r="M274"/>
      <c r="N274" s="2"/>
      <c r="R274"/>
      <c r="S274"/>
      <c r="T274"/>
      <c r="U274"/>
      <c r="V274"/>
    </row>
    <row r="275" spans="10:22" s="1" customFormat="1" x14ac:dyDescent="0.2">
      <c r="J275"/>
      <c r="K275"/>
      <c r="L275"/>
      <c r="M275"/>
      <c r="N275" s="2"/>
      <c r="R275"/>
      <c r="S275"/>
      <c r="T275"/>
      <c r="U275"/>
      <c r="V275"/>
    </row>
    <row r="276" spans="10:22" s="1" customFormat="1" x14ac:dyDescent="0.2">
      <c r="J276"/>
      <c r="K276"/>
      <c r="L276"/>
      <c r="M276"/>
      <c r="N276" s="2"/>
      <c r="R276"/>
      <c r="S276"/>
      <c r="T276"/>
      <c r="U276"/>
      <c r="V276"/>
    </row>
    <row r="277" spans="10:22" s="1" customFormat="1" x14ac:dyDescent="0.2">
      <c r="J277"/>
      <c r="K277"/>
      <c r="L277"/>
      <c r="M277"/>
      <c r="N277" s="2"/>
      <c r="R277"/>
      <c r="S277"/>
      <c r="T277"/>
      <c r="U277"/>
      <c r="V277"/>
    </row>
    <row r="278" spans="10:22" s="1" customFormat="1" x14ac:dyDescent="0.2">
      <c r="J278"/>
      <c r="K278"/>
      <c r="L278"/>
      <c r="M278"/>
      <c r="N278" s="2"/>
      <c r="R278"/>
      <c r="S278"/>
      <c r="T278"/>
      <c r="U278"/>
      <c r="V278"/>
    </row>
    <row r="279" spans="10:22" s="1" customFormat="1" x14ac:dyDescent="0.2">
      <c r="J279"/>
      <c r="K279"/>
      <c r="L279"/>
      <c r="M279"/>
      <c r="N279" s="2"/>
      <c r="R279"/>
      <c r="S279"/>
      <c r="T279"/>
      <c r="U279"/>
      <c r="V279"/>
    </row>
    <row r="280" spans="10:22" s="1" customFormat="1" x14ac:dyDescent="0.2">
      <c r="J280"/>
      <c r="K280"/>
      <c r="L280"/>
      <c r="M280"/>
      <c r="N280" s="2"/>
      <c r="R280"/>
      <c r="S280"/>
      <c r="T280"/>
      <c r="U280"/>
      <c r="V280"/>
    </row>
    <row r="281" spans="10:22" s="1" customFormat="1" x14ac:dyDescent="0.2">
      <c r="J281"/>
      <c r="K281"/>
      <c r="L281"/>
      <c r="M281"/>
      <c r="N281" s="2"/>
      <c r="R281"/>
      <c r="S281"/>
      <c r="T281"/>
      <c r="U281"/>
      <c r="V281"/>
    </row>
    <row r="282" spans="10:22" s="1" customFormat="1" x14ac:dyDescent="0.2">
      <c r="J282"/>
      <c r="K282"/>
      <c r="L282"/>
      <c r="M282"/>
      <c r="N282" s="2"/>
      <c r="R282"/>
      <c r="S282"/>
      <c r="T282"/>
      <c r="U282"/>
      <c r="V282"/>
    </row>
    <row r="283" spans="10:22" s="1" customFormat="1" x14ac:dyDescent="0.2">
      <c r="J283"/>
      <c r="K283"/>
      <c r="L283"/>
      <c r="M283"/>
      <c r="N283" s="2"/>
      <c r="R283"/>
      <c r="S283"/>
      <c r="T283"/>
      <c r="U283"/>
      <c r="V283"/>
    </row>
    <row r="284" spans="10:22" s="1" customFormat="1" x14ac:dyDescent="0.2">
      <c r="J284"/>
      <c r="K284"/>
      <c r="L284"/>
      <c r="M284"/>
      <c r="N284" s="2"/>
      <c r="R284"/>
      <c r="S284"/>
      <c r="T284"/>
      <c r="U284"/>
      <c r="V284"/>
    </row>
    <row r="285" spans="10:22" s="1" customFormat="1" x14ac:dyDescent="0.2">
      <c r="J285"/>
      <c r="K285"/>
      <c r="L285"/>
      <c r="M285"/>
      <c r="N285" s="2"/>
      <c r="R285"/>
      <c r="S285"/>
      <c r="T285"/>
      <c r="U285"/>
      <c r="V285"/>
    </row>
    <row r="286" spans="10:22" s="1" customFormat="1" x14ac:dyDescent="0.2">
      <c r="J286"/>
      <c r="K286"/>
      <c r="L286"/>
      <c r="M286"/>
      <c r="N286" s="2"/>
      <c r="R286"/>
      <c r="S286"/>
      <c r="T286"/>
      <c r="U286"/>
      <c r="V286"/>
    </row>
    <row r="287" spans="10:22" s="1" customFormat="1" x14ac:dyDescent="0.2">
      <c r="J287"/>
      <c r="K287"/>
      <c r="L287"/>
      <c r="M287"/>
      <c r="N287" s="2"/>
      <c r="R287"/>
      <c r="S287"/>
      <c r="T287"/>
      <c r="U287"/>
      <c r="V287"/>
    </row>
    <row r="288" spans="10:22" s="1" customFormat="1" x14ac:dyDescent="0.2">
      <c r="J288"/>
      <c r="K288"/>
      <c r="L288"/>
      <c r="M288"/>
      <c r="N288" s="2"/>
      <c r="R288"/>
      <c r="S288"/>
      <c r="T288"/>
      <c r="U288"/>
      <c r="V288"/>
    </row>
    <row r="289" spans="10:22" s="1" customFormat="1" x14ac:dyDescent="0.2">
      <c r="J289"/>
      <c r="K289"/>
      <c r="L289"/>
      <c r="M289"/>
      <c r="N289" s="2"/>
      <c r="R289"/>
      <c r="S289"/>
      <c r="T289"/>
      <c r="U289"/>
      <c r="V289"/>
    </row>
    <row r="290" spans="10:22" s="1" customFormat="1" x14ac:dyDescent="0.2">
      <c r="J290"/>
      <c r="K290"/>
      <c r="L290"/>
      <c r="M290"/>
      <c r="N290" s="2"/>
      <c r="R290"/>
      <c r="S290"/>
      <c r="T290"/>
      <c r="U290"/>
      <c r="V290"/>
    </row>
    <row r="291" spans="10:22" s="1" customFormat="1" x14ac:dyDescent="0.2">
      <c r="J291"/>
      <c r="K291"/>
      <c r="L291"/>
      <c r="M291"/>
      <c r="N291" s="2"/>
      <c r="R291"/>
      <c r="S291"/>
      <c r="T291"/>
      <c r="U291"/>
      <c r="V291"/>
    </row>
    <row r="292" spans="10:22" s="1" customFormat="1" x14ac:dyDescent="0.2">
      <c r="J292"/>
      <c r="K292"/>
      <c r="L292"/>
      <c r="M292"/>
      <c r="N292" s="2"/>
      <c r="R292"/>
      <c r="S292"/>
      <c r="T292"/>
      <c r="U292"/>
      <c r="V292"/>
    </row>
    <row r="293" spans="10:22" s="1" customFormat="1" x14ac:dyDescent="0.2">
      <c r="J293"/>
      <c r="K293"/>
      <c r="L293"/>
      <c r="M293"/>
      <c r="N293" s="2"/>
      <c r="R293"/>
      <c r="S293"/>
      <c r="T293"/>
      <c r="U293"/>
      <c r="V293"/>
    </row>
    <row r="294" spans="10:22" s="1" customFormat="1" x14ac:dyDescent="0.2">
      <c r="J294"/>
      <c r="K294"/>
      <c r="L294"/>
      <c r="M294"/>
      <c r="N294" s="2"/>
      <c r="R294"/>
      <c r="S294"/>
      <c r="T294"/>
      <c r="U294"/>
      <c r="V294"/>
    </row>
    <row r="295" spans="10:22" s="1" customFormat="1" x14ac:dyDescent="0.2">
      <c r="J295"/>
      <c r="K295"/>
      <c r="L295"/>
      <c r="M295"/>
      <c r="N295" s="2"/>
      <c r="R295"/>
      <c r="S295"/>
      <c r="T295"/>
      <c r="U295"/>
      <c r="V295"/>
    </row>
    <row r="296" spans="10:22" s="1" customFormat="1" x14ac:dyDescent="0.2">
      <c r="J296"/>
      <c r="K296"/>
      <c r="L296"/>
      <c r="M296"/>
      <c r="N296" s="2"/>
      <c r="R296"/>
      <c r="S296"/>
      <c r="T296"/>
      <c r="U296"/>
      <c r="V296"/>
    </row>
    <row r="297" spans="10:22" s="1" customFormat="1" x14ac:dyDescent="0.2">
      <c r="J297"/>
      <c r="K297"/>
      <c r="L297"/>
      <c r="M297"/>
      <c r="N297" s="2"/>
      <c r="R297"/>
      <c r="S297"/>
      <c r="T297"/>
      <c r="U297"/>
      <c r="V297"/>
    </row>
    <row r="298" spans="10:22" s="1" customFormat="1" x14ac:dyDescent="0.2">
      <c r="J298"/>
      <c r="K298"/>
      <c r="L298"/>
      <c r="M298"/>
      <c r="N298" s="2"/>
      <c r="R298"/>
      <c r="S298"/>
      <c r="T298"/>
      <c r="U298"/>
      <c r="V298"/>
    </row>
    <row r="299" spans="10:22" s="1" customFormat="1" x14ac:dyDescent="0.2">
      <c r="J299"/>
      <c r="K299"/>
      <c r="L299"/>
      <c r="M299"/>
      <c r="N299" s="2"/>
      <c r="R299"/>
      <c r="S299"/>
      <c r="T299"/>
      <c r="U299"/>
      <c r="V299"/>
    </row>
    <row r="300" spans="10:22" s="1" customFormat="1" x14ac:dyDescent="0.2">
      <c r="J300"/>
      <c r="K300"/>
      <c r="L300"/>
      <c r="M300"/>
      <c r="N300" s="2"/>
      <c r="R300"/>
      <c r="S300"/>
      <c r="T300"/>
      <c r="U300"/>
      <c r="V300"/>
    </row>
    <row r="301" spans="10:22" s="1" customFormat="1" x14ac:dyDescent="0.2">
      <c r="J301"/>
      <c r="K301"/>
      <c r="L301"/>
      <c r="M301"/>
      <c r="N301" s="2"/>
      <c r="R301"/>
      <c r="S301"/>
      <c r="T301"/>
      <c r="U301"/>
      <c r="V301"/>
    </row>
    <row r="302" spans="10:22" s="1" customFormat="1" x14ac:dyDescent="0.2">
      <c r="J302"/>
      <c r="K302"/>
      <c r="L302"/>
      <c r="M302"/>
      <c r="N302" s="2"/>
      <c r="R302"/>
      <c r="S302"/>
      <c r="T302"/>
      <c r="U302"/>
      <c r="V302"/>
    </row>
    <row r="303" spans="10:22" s="1" customFormat="1" x14ac:dyDescent="0.2">
      <c r="J303"/>
      <c r="K303"/>
      <c r="L303"/>
      <c r="M303"/>
      <c r="N303" s="2"/>
      <c r="R303"/>
      <c r="S303"/>
      <c r="T303"/>
      <c r="U303"/>
      <c r="V303"/>
    </row>
    <row r="304" spans="10:22" s="1" customFormat="1" x14ac:dyDescent="0.2">
      <c r="J304"/>
      <c r="K304"/>
      <c r="L304"/>
      <c r="M304"/>
      <c r="N304" s="2"/>
      <c r="R304"/>
      <c r="S304"/>
      <c r="T304"/>
      <c r="U304"/>
      <c r="V304"/>
    </row>
    <row r="305" spans="10:22" s="1" customFormat="1" x14ac:dyDescent="0.2">
      <c r="J305"/>
      <c r="K305"/>
      <c r="L305"/>
      <c r="M305"/>
      <c r="N305" s="2"/>
      <c r="R305"/>
      <c r="S305"/>
      <c r="T305"/>
      <c r="U305"/>
      <c r="V305"/>
    </row>
    <row r="306" spans="10:22" s="1" customFormat="1" x14ac:dyDescent="0.2">
      <c r="J306"/>
      <c r="K306"/>
      <c r="L306"/>
      <c r="M306"/>
      <c r="N306" s="2"/>
      <c r="R306"/>
      <c r="S306"/>
      <c r="T306"/>
      <c r="U306"/>
      <c r="V306"/>
    </row>
    <row r="307" spans="10:22" s="1" customFormat="1" x14ac:dyDescent="0.2">
      <c r="J307"/>
      <c r="K307"/>
      <c r="L307"/>
      <c r="M307"/>
      <c r="N307" s="2"/>
      <c r="R307"/>
      <c r="S307"/>
      <c r="T307"/>
      <c r="U307"/>
      <c r="V307"/>
    </row>
    <row r="308" spans="10:22" s="1" customFormat="1" x14ac:dyDescent="0.2">
      <c r="J308"/>
      <c r="K308"/>
      <c r="L308"/>
      <c r="M308"/>
      <c r="N308" s="2"/>
      <c r="R308"/>
      <c r="S308"/>
      <c r="T308"/>
      <c r="U308"/>
      <c r="V308"/>
    </row>
    <row r="309" spans="10:22" s="1" customFormat="1" x14ac:dyDescent="0.2">
      <c r="J309"/>
      <c r="K309"/>
      <c r="L309"/>
      <c r="M309"/>
      <c r="N309" s="2"/>
      <c r="R309"/>
      <c r="S309"/>
      <c r="T309"/>
      <c r="U309"/>
      <c r="V309"/>
    </row>
    <row r="310" spans="10:22" s="1" customFormat="1" x14ac:dyDescent="0.2">
      <c r="J310"/>
      <c r="K310"/>
      <c r="L310"/>
      <c r="M310"/>
      <c r="N310" s="2"/>
      <c r="R310"/>
      <c r="S310"/>
      <c r="T310"/>
      <c r="U310"/>
      <c r="V310"/>
    </row>
    <row r="311" spans="10:22" s="1" customFormat="1" x14ac:dyDescent="0.2">
      <c r="J311"/>
      <c r="K311"/>
      <c r="L311"/>
      <c r="M311"/>
      <c r="N311" s="2"/>
      <c r="R311"/>
      <c r="S311"/>
      <c r="T311"/>
      <c r="U311"/>
      <c r="V311"/>
    </row>
    <row r="312" spans="10:22" s="1" customFormat="1" x14ac:dyDescent="0.2">
      <c r="J312"/>
      <c r="K312"/>
      <c r="L312"/>
      <c r="M312"/>
      <c r="N312" s="2"/>
      <c r="R312"/>
      <c r="S312"/>
      <c r="T312"/>
      <c r="U312"/>
      <c r="V312"/>
    </row>
    <row r="313" spans="10:22" s="1" customFormat="1" x14ac:dyDescent="0.2">
      <c r="J313"/>
      <c r="K313"/>
      <c r="L313"/>
      <c r="M313"/>
      <c r="N313" s="2"/>
      <c r="R313"/>
      <c r="S313"/>
      <c r="T313"/>
      <c r="U313"/>
      <c r="V313"/>
    </row>
    <row r="314" spans="10:22" s="1" customFormat="1" x14ac:dyDescent="0.2">
      <c r="J314"/>
      <c r="K314"/>
      <c r="L314"/>
      <c r="M314"/>
      <c r="N314" s="2"/>
      <c r="R314"/>
      <c r="S314"/>
      <c r="T314"/>
      <c r="U314"/>
      <c r="V314"/>
    </row>
    <row r="315" spans="10:22" s="1" customFormat="1" x14ac:dyDescent="0.2">
      <c r="J315"/>
      <c r="K315"/>
      <c r="L315"/>
      <c r="M315"/>
      <c r="N315" s="2"/>
      <c r="R315"/>
      <c r="S315"/>
      <c r="T315"/>
      <c r="U315"/>
      <c r="V315"/>
    </row>
    <row r="316" spans="10:22" s="1" customFormat="1" x14ac:dyDescent="0.2">
      <c r="J316"/>
      <c r="K316"/>
      <c r="L316"/>
      <c r="M316"/>
      <c r="N316" s="2"/>
      <c r="R316"/>
      <c r="S316"/>
      <c r="T316"/>
      <c r="U316"/>
      <c r="V316"/>
    </row>
    <row r="317" spans="10:22" s="1" customFormat="1" x14ac:dyDescent="0.2">
      <c r="J317"/>
      <c r="K317"/>
      <c r="L317"/>
      <c r="M317"/>
      <c r="N317" s="2"/>
      <c r="R317"/>
      <c r="S317"/>
      <c r="T317"/>
      <c r="U317"/>
      <c r="V317"/>
    </row>
    <row r="318" spans="10:22" s="1" customFormat="1" x14ac:dyDescent="0.2">
      <c r="J318"/>
      <c r="K318"/>
      <c r="L318"/>
      <c r="M318"/>
      <c r="N318" s="2"/>
      <c r="R318"/>
      <c r="S318"/>
      <c r="T318"/>
      <c r="U318"/>
      <c r="V318"/>
    </row>
    <row r="319" spans="10:22" s="1" customFormat="1" x14ac:dyDescent="0.2">
      <c r="J319"/>
      <c r="K319"/>
      <c r="L319"/>
      <c r="M319"/>
      <c r="N319" s="2"/>
      <c r="R319"/>
      <c r="S319"/>
      <c r="T319"/>
      <c r="U319"/>
      <c r="V319"/>
    </row>
    <row r="320" spans="10:22" s="1" customFormat="1" x14ac:dyDescent="0.2">
      <c r="J320"/>
      <c r="K320"/>
      <c r="L320"/>
      <c r="M320"/>
      <c r="N320" s="2"/>
      <c r="R320"/>
      <c r="S320"/>
      <c r="T320"/>
      <c r="U320"/>
      <c r="V320"/>
    </row>
    <row r="321" spans="10:22" s="1" customFormat="1" x14ac:dyDescent="0.2">
      <c r="J321"/>
      <c r="K321"/>
      <c r="L321"/>
      <c r="M321"/>
      <c r="N321" s="2"/>
      <c r="R321"/>
      <c r="S321"/>
      <c r="T321"/>
      <c r="U321"/>
      <c r="V321"/>
    </row>
    <row r="322" spans="10:22" s="1" customFormat="1" x14ac:dyDescent="0.2">
      <c r="J322"/>
      <c r="K322"/>
      <c r="L322"/>
      <c r="M322"/>
      <c r="N322" s="2"/>
      <c r="R322"/>
      <c r="S322"/>
      <c r="T322"/>
      <c r="U322"/>
      <c r="V322"/>
    </row>
    <row r="323" spans="10:22" s="1" customFormat="1" x14ac:dyDescent="0.2">
      <c r="J323"/>
      <c r="K323"/>
      <c r="L323"/>
      <c r="M323"/>
      <c r="N323" s="2"/>
      <c r="R323"/>
      <c r="S323"/>
      <c r="T323"/>
      <c r="U323"/>
      <c r="V323"/>
    </row>
    <row r="324" spans="10:22" s="1" customFormat="1" x14ac:dyDescent="0.2">
      <c r="J324"/>
      <c r="K324"/>
      <c r="L324"/>
      <c r="M324"/>
      <c r="N324" s="2"/>
      <c r="R324"/>
      <c r="S324"/>
      <c r="T324"/>
      <c r="U324"/>
      <c r="V324"/>
    </row>
    <row r="325" spans="10:22" s="1" customFormat="1" x14ac:dyDescent="0.2">
      <c r="J325"/>
      <c r="K325"/>
      <c r="L325"/>
      <c r="M325"/>
      <c r="N325" s="2"/>
      <c r="R325"/>
      <c r="S325"/>
      <c r="T325"/>
      <c r="U325"/>
      <c r="V325"/>
    </row>
    <row r="326" spans="10:22" s="1" customFormat="1" x14ac:dyDescent="0.2">
      <c r="J326"/>
      <c r="K326"/>
      <c r="L326"/>
      <c r="M326"/>
      <c r="N326" s="2"/>
      <c r="R326"/>
      <c r="S326"/>
      <c r="T326"/>
      <c r="U326"/>
      <c r="V326"/>
    </row>
    <row r="327" spans="10:22" s="1" customFormat="1" x14ac:dyDescent="0.2">
      <c r="J327"/>
      <c r="K327"/>
      <c r="L327"/>
      <c r="M327"/>
      <c r="N327" s="2"/>
      <c r="R327"/>
      <c r="S327"/>
      <c r="T327"/>
      <c r="U327"/>
      <c r="V327"/>
    </row>
    <row r="328" spans="10:22" s="1" customFormat="1" x14ac:dyDescent="0.2">
      <c r="J328"/>
      <c r="K328"/>
      <c r="L328"/>
      <c r="M328"/>
      <c r="N328" s="2"/>
      <c r="R328"/>
      <c r="S328"/>
      <c r="T328"/>
      <c r="U328"/>
      <c r="V328"/>
    </row>
    <row r="329" spans="10:22" s="1" customFormat="1" x14ac:dyDescent="0.2">
      <c r="J329"/>
      <c r="K329"/>
      <c r="L329"/>
      <c r="M329"/>
      <c r="N329" s="2"/>
      <c r="R329"/>
      <c r="S329"/>
      <c r="T329"/>
      <c r="U329"/>
      <c r="V329"/>
    </row>
    <row r="330" spans="10:22" s="1" customFormat="1" x14ac:dyDescent="0.2">
      <c r="J330"/>
      <c r="K330"/>
      <c r="L330"/>
      <c r="M330"/>
      <c r="N330" s="2"/>
      <c r="R330"/>
      <c r="S330"/>
      <c r="T330"/>
      <c r="U330"/>
      <c r="V330"/>
    </row>
    <row r="331" spans="10:22" s="1" customFormat="1" x14ac:dyDescent="0.2">
      <c r="J331"/>
      <c r="K331"/>
      <c r="L331"/>
      <c r="M331"/>
      <c r="N331" s="2"/>
      <c r="R331"/>
      <c r="S331"/>
      <c r="T331"/>
      <c r="U331"/>
      <c r="V331"/>
    </row>
    <row r="332" spans="10:22" s="1" customFormat="1" x14ac:dyDescent="0.2">
      <c r="J332"/>
      <c r="K332"/>
      <c r="L332"/>
      <c r="M332"/>
      <c r="N332" s="2"/>
      <c r="R332"/>
      <c r="S332"/>
      <c r="T332"/>
      <c r="U332"/>
      <c r="V332"/>
    </row>
    <row r="333" spans="10:22" s="1" customFormat="1" x14ac:dyDescent="0.2">
      <c r="J333"/>
      <c r="K333"/>
      <c r="L333"/>
      <c r="M333"/>
      <c r="N333" s="2"/>
      <c r="R333"/>
      <c r="S333"/>
      <c r="T333"/>
      <c r="U333"/>
      <c r="V333"/>
    </row>
    <row r="334" spans="10:22" s="1" customFormat="1" x14ac:dyDescent="0.2">
      <c r="J334"/>
      <c r="K334"/>
      <c r="L334"/>
      <c r="M334"/>
      <c r="N334" s="2"/>
      <c r="R334"/>
      <c r="S334"/>
      <c r="T334"/>
      <c r="U334"/>
      <c r="V334"/>
    </row>
    <row r="335" spans="10:22" s="1" customFormat="1" x14ac:dyDescent="0.2">
      <c r="J335"/>
      <c r="K335"/>
      <c r="L335"/>
      <c r="M335"/>
      <c r="N335" s="2"/>
      <c r="R335"/>
      <c r="S335"/>
      <c r="T335"/>
      <c r="U335"/>
      <c r="V335"/>
    </row>
    <row r="336" spans="10:22" s="1" customFormat="1" x14ac:dyDescent="0.2">
      <c r="J336"/>
      <c r="K336"/>
      <c r="L336"/>
      <c r="M336"/>
      <c r="N336" s="2"/>
      <c r="R336"/>
      <c r="S336"/>
      <c r="T336"/>
      <c r="U336"/>
      <c r="V336"/>
    </row>
    <row r="337" spans="10:22" s="1" customFormat="1" x14ac:dyDescent="0.2">
      <c r="J337"/>
      <c r="K337"/>
      <c r="L337"/>
      <c r="M337"/>
      <c r="N337" s="2"/>
      <c r="R337"/>
      <c r="S337"/>
      <c r="T337"/>
      <c r="U337"/>
      <c r="V337"/>
    </row>
    <row r="338" spans="10:22" s="1" customFormat="1" x14ac:dyDescent="0.2">
      <c r="J338"/>
      <c r="K338"/>
      <c r="L338"/>
      <c r="M338"/>
      <c r="N338" s="2"/>
      <c r="R338"/>
      <c r="S338"/>
      <c r="T338"/>
      <c r="U338"/>
      <c r="V338"/>
    </row>
    <row r="339" spans="10:22" s="1" customFormat="1" x14ac:dyDescent="0.2">
      <c r="J339"/>
      <c r="K339"/>
      <c r="L339"/>
      <c r="M339"/>
      <c r="N339" s="2"/>
      <c r="R339"/>
      <c r="S339"/>
      <c r="T339"/>
      <c r="U339"/>
      <c r="V339"/>
    </row>
    <row r="340" spans="10:22" s="1" customFormat="1" x14ac:dyDescent="0.2">
      <c r="J340"/>
      <c r="K340"/>
      <c r="L340"/>
      <c r="M340"/>
      <c r="N340" s="2"/>
      <c r="R340"/>
      <c r="S340"/>
      <c r="T340"/>
      <c r="U340"/>
      <c r="V340"/>
    </row>
    <row r="341" spans="10:22" s="1" customFormat="1" x14ac:dyDescent="0.2">
      <c r="J341"/>
      <c r="K341"/>
      <c r="L341"/>
      <c r="M341"/>
      <c r="N341" s="2"/>
      <c r="R341"/>
      <c r="S341"/>
      <c r="T341"/>
      <c r="U341"/>
      <c r="V341"/>
    </row>
    <row r="342" spans="10:22" s="1" customFormat="1" x14ac:dyDescent="0.2">
      <c r="J342"/>
      <c r="K342"/>
      <c r="L342"/>
      <c r="M342"/>
      <c r="N342" s="2"/>
      <c r="R342"/>
      <c r="S342"/>
      <c r="T342"/>
      <c r="U342"/>
      <c r="V342"/>
    </row>
    <row r="343" spans="10:22" s="1" customFormat="1" x14ac:dyDescent="0.2">
      <c r="J343"/>
      <c r="K343"/>
      <c r="L343"/>
      <c r="M343"/>
      <c r="N343" s="2"/>
      <c r="R343"/>
      <c r="S343"/>
      <c r="T343"/>
      <c r="U343"/>
      <c r="V343"/>
    </row>
    <row r="344" spans="10:22" s="1" customFormat="1" x14ac:dyDescent="0.2">
      <c r="J344"/>
      <c r="K344"/>
      <c r="L344"/>
      <c r="M344"/>
      <c r="N344" s="2"/>
      <c r="R344"/>
      <c r="S344"/>
      <c r="T344"/>
      <c r="U344"/>
      <c r="V344"/>
    </row>
    <row r="345" spans="10:22" s="1" customFormat="1" x14ac:dyDescent="0.2">
      <c r="J345"/>
      <c r="K345"/>
      <c r="L345"/>
      <c r="M345"/>
      <c r="N345" s="2"/>
      <c r="R345"/>
      <c r="S345"/>
      <c r="T345"/>
      <c r="U345"/>
      <c r="V345"/>
    </row>
    <row r="346" spans="10:22" s="1" customFormat="1" x14ac:dyDescent="0.2">
      <c r="J346"/>
      <c r="K346"/>
      <c r="L346"/>
      <c r="M346"/>
      <c r="N346" s="2"/>
      <c r="R346"/>
      <c r="S346"/>
      <c r="T346"/>
      <c r="U346"/>
      <c r="V346"/>
    </row>
    <row r="347" spans="10:22" s="1" customFormat="1" x14ac:dyDescent="0.2">
      <c r="J347"/>
      <c r="K347"/>
      <c r="L347"/>
      <c r="M347"/>
      <c r="N347" s="2"/>
      <c r="R347"/>
      <c r="S347"/>
      <c r="T347"/>
      <c r="U347"/>
      <c r="V347"/>
    </row>
    <row r="348" spans="10:22" s="1" customFormat="1" x14ac:dyDescent="0.2">
      <c r="J348"/>
      <c r="K348"/>
      <c r="L348"/>
      <c r="M348"/>
      <c r="N348" s="2"/>
      <c r="R348"/>
      <c r="S348"/>
      <c r="T348"/>
      <c r="U348"/>
      <c r="V348"/>
    </row>
    <row r="349" spans="10:22" s="1" customFormat="1" x14ac:dyDescent="0.2">
      <c r="J349"/>
      <c r="K349"/>
      <c r="L349"/>
      <c r="M349"/>
      <c r="N349" s="2"/>
      <c r="R349"/>
      <c r="S349"/>
      <c r="T349"/>
      <c r="U349"/>
      <c r="V349"/>
    </row>
    <row r="350" spans="10:22" s="1" customFormat="1" x14ac:dyDescent="0.2">
      <c r="J350"/>
      <c r="K350"/>
      <c r="L350"/>
      <c r="M350"/>
      <c r="N350" s="2"/>
      <c r="R350"/>
      <c r="S350"/>
      <c r="T350"/>
      <c r="U350"/>
      <c r="V350"/>
    </row>
    <row r="351" spans="10:22" s="1" customFormat="1" x14ac:dyDescent="0.2">
      <c r="J351"/>
      <c r="K351"/>
      <c r="L351"/>
      <c r="M351"/>
      <c r="N351" s="2"/>
      <c r="R351"/>
      <c r="S351"/>
      <c r="T351"/>
      <c r="U351"/>
      <c r="V351"/>
    </row>
    <row r="352" spans="10:22" s="1" customFormat="1" x14ac:dyDescent="0.2">
      <c r="J352"/>
      <c r="K352"/>
      <c r="L352"/>
      <c r="M352"/>
      <c r="N352" s="2"/>
      <c r="R352"/>
      <c r="S352"/>
      <c r="T352"/>
      <c r="U352"/>
      <c r="V352"/>
    </row>
    <row r="353" spans="10:22" s="1" customFormat="1" x14ac:dyDescent="0.2">
      <c r="J353"/>
      <c r="K353"/>
      <c r="L353"/>
      <c r="M353"/>
      <c r="N353" s="2"/>
      <c r="R353"/>
      <c r="S353"/>
      <c r="T353"/>
      <c r="U353"/>
      <c r="V353"/>
    </row>
    <row r="354" spans="10:22" s="1" customFormat="1" x14ac:dyDescent="0.2">
      <c r="J354"/>
      <c r="K354"/>
      <c r="L354"/>
      <c r="M354"/>
      <c r="N354" s="2"/>
      <c r="R354"/>
      <c r="S354"/>
      <c r="T354"/>
      <c r="U354"/>
      <c r="V354"/>
    </row>
    <row r="355" spans="10:22" s="1" customFormat="1" x14ac:dyDescent="0.2">
      <c r="J355"/>
      <c r="K355"/>
      <c r="L355"/>
      <c r="M355"/>
      <c r="N355" s="2"/>
      <c r="R355"/>
      <c r="S355"/>
      <c r="T355"/>
      <c r="U355"/>
      <c r="V355"/>
    </row>
    <row r="356" spans="10:22" s="1" customFormat="1" x14ac:dyDescent="0.2">
      <c r="J356"/>
      <c r="K356"/>
      <c r="L356"/>
      <c r="M356"/>
      <c r="N356" s="2"/>
      <c r="R356"/>
      <c r="S356"/>
      <c r="T356"/>
      <c r="U356"/>
      <c r="V356"/>
    </row>
    <row r="357" spans="10:22" s="1" customFormat="1" x14ac:dyDescent="0.2">
      <c r="J357"/>
      <c r="K357"/>
      <c r="L357"/>
      <c r="M357"/>
      <c r="N357" s="2"/>
      <c r="R357"/>
      <c r="S357"/>
      <c r="T357"/>
      <c r="U357"/>
      <c r="V357"/>
    </row>
    <row r="358" spans="10:22" s="1" customFormat="1" x14ac:dyDescent="0.2">
      <c r="J358"/>
      <c r="K358"/>
      <c r="L358"/>
      <c r="M358"/>
      <c r="N358" s="2"/>
      <c r="R358"/>
      <c r="S358"/>
      <c r="T358"/>
      <c r="U358"/>
      <c r="V358"/>
    </row>
    <row r="359" spans="10:22" s="1" customFormat="1" x14ac:dyDescent="0.2">
      <c r="J359"/>
      <c r="K359"/>
      <c r="L359"/>
      <c r="M359"/>
      <c r="N359" s="2"/>
      <c r="R359"/>
      <c r="S359"/>
      <c r="T359"/>
      <c r="U359"/>
      <c r="V359"/>
    </row>
    <row r="360" spans="10:22" s="1" customFormat="1" x14ac:dyDescent="0.2">
      <c r="J360"/>
      <c r="K360"/>
      <c r="L360"/>
      <c r="M360"/>
      <c r="N360" s="2"/>
      <c r="R360"/>
      <c r="S360"/>
      <c r="T360"/>
      <c r="U360"/>
      <c r="V360"/>
    </row>
    <row r="361" spans="10:22" s="1" customFormat="1" x14ac:dyDescent="0.2">
      <c r="J361"/>
      <c r="K361"/>
      <c r="L361"/>
      <c r="M361"/>
      <c r="N361" s="2"/>
      <c r="R361"/>
      <c r="S361"/>
      <c r="T361"/>
      <c r="U361"/>
      <c r="V361"/>
    </row>
    <row r="362" spans="10:22" s="1" customFormat="1" x14ac:dyDescent="0.2">
      <c r="J362"/>
      <c r="K362"/>
      <c r="L362"/>
      <c r="M362"/>
      <c r="N362" s="2"/>
      <c r="R362"/>
      <c r="S362"/>
      <c r="T362"/>
      <c r="U362"/>
      <c r="V362"/>
    </row>
    <row r="363" spans="10:22" s="1" customFormat="1" x14ac:dyDescent="0.2">
      <c r="J363"/>
      <c r="K363"/>
      <c r="L363"/>
      <c r="M363"/>
      <c r="N363" s="2"/>
      <c r="R363"/>
      <c r="S363"/>
      <c r="T363"/>
      <c r="U363"/>
      <c r="V363"/>
    </row>
    <row r="364" spans="10:22" s="1" customFormat="1" x14ac:dyDescent="0.2">
      <c r="J364"/>
      <c r="K364"/>
      <c r="L364"/>
      <c r="M364"/>
      <c r="N364" s="2"/>
      <c r="R364"/>
      <c r="S364"/>
      <c r="T364"/>
      <c r="U364"/>
      <c r="V364"/>
    </row>
    <row r="365" spans="10:22" s="1" customFormat="1" x14ac:dyDescent="0.2">
      <c r="J365"/>
      <c r="K365"/>
      <c r="L365"/>
      <c r="M365"/>
      <c r="N365" s="2"/>
      <c r="R365"/>
      <c r="S365"/>
      <c r="T365"/>
      <c r="U365"/>
      <c r="V365"/>
    </row>
    <row r="366" spans="10:22" s="1" customFormat="1" x14ac:dyDescent="0.2">
      <c r="J366"/>
      <c r="K366"/>
      <c r="L366"/>
      <c r="M366"/>
      <c r="N366" s="2"/>
      <c r="R366"/>
      <c r="S366"/>
      <c r="T366"/>
      <c r="U366"/>
      <c r="V366"/>
    </row>
    <row r="367" spans="10:22" s="1" customFormat="1" x14ac:dyDescent="0.2">
      <c r="J367"/>
      <c r="K367"/>
      <c r="L367"/>
      <c r="M367"/>
      <c r="N367" s="2"/>
      <c r="R367"/>
      <c r="S367"/>
      <c r="T367"/>
      <c r="U367"/>
      <c r="V367"/>
    </row>
    <row r="368" spans="10:22" s="1" customFormat="1" x14ac:dyDescent="0.2">
      <c r="J368"/>
      <c r="K368"/>
      <c r="L368"/>
      <c r="M368"/>
      <c r="N368" s="2"/>
      <c r="R368"/>
      <c r="S368"/>
      <c r="T368"/>
      <c r="U368"/>
      <c r="V368"/>
    </row>
    <row r="369" spans="10:22" s="1" customFormat="1" x14ac:dyDescent="0.2">
      <c r="J369"/>
      <c r="K369"/>
      <c r="L369"/>
      <c r="M369"/>
      <c r="N369" s="2"/>
      <c r="R369"/>
      <c r="S369"/>
      <c r="T369"/>
      <c r="U369"/>
      <c r="V369"/>
    </row>
    <row r="370" spans="10:22" s="1" customFormat="1" x14ac:dyDescent="0.2">
      <c r="J370"/>
      <c r="K370"/>
      <c r="L370"/>
      <c r="M370"/>
      <c r="N370" s="2"/>
      <c r="R370"/>
      <c r="S370"/>
      <c r="T370"/>
      <c r="U370"/>
      <c r="V370"/>
    </row>
    <row r="371" spans="10:22" s="1" customFormat="1" x14ac:dyDescent="0.2">
      <c r="J371"/>
      <c r="K371"/>
      <c r="L371"/>
      <c r="M371"/>
      <c r="N371" s="2"/>
      <c r="R371"/>
      <c r="S371"/>
      <c r="T371"/>
      <c r="U371"/>
      <c r="V371"/>
    </row>
    <row r="372" spans="10:22" s="1" customFormat="1" x14ac:dyDescent="0.2">
      <c r="J372"/>
      <c r="K372"/>
      <c r="L372"/>
      <c r="M372"/>
      <c r="N372" s="2"/>
      <c r="R372"/>
      <c r="S372"/>
      <c r="T372"/>
      <c r="U372"/>
      <c r="V372"/>
    </row>
    <row r="373" spans="10:22" s="1" customFormat="1" x14ac:dyDescent="0.2">
      <c r="J373"/>
      <c r="K373"/>
      <c r="L373"/>
      <c r="M373"/>
      <c r="N373" s="2"/>
      <c r="R373"/>
      <c r="S373"/>
      <c r="T373"/>
      <c r="U373"/>
      <c r="V373"/>
    </row>
    <row r="374" spans="10:22" s="1" customFormat="1" x14ac:dyDescent="0.2">
      <c r="J374"/>
      <c r="K374"/>
      <c r="L374"/>
      <c r="M374"/>
      <c r="N374" s="2"/>
      <c r="R374"/>
      <c r="S374"/>
      <c r="T374"/>
      <c r="U374"/>
      <c r="V374"/>
    </row>
    <row r="375" spans="10:22" s="1" customFormat="1" x14ac:dyDescent="0.2">
      <c r="J375"/>
      <c r="K375"/>
      <c r="L375"/>
      <c r="M375"/>
      <c r="N375" s="2"/>
      <c r="R375"/>
      <c r="S375"/>
      <c r="T375"/>
      <c r="U375"/>
      <c r="V375"/>
    </row>
    <row r="376" spans="10:22" s="1" customFormat="1" x14ac:dyDescent="0.2">
      <c r="J376"/>
      <c r="K376"/>
      <c r="L376"/>
      <c r="M376"/>
      <c r="N376" s="2"/>
      <c r="R376"/>
      <c r="S376"/>
      <c r="T376"/>
      <c r="U376"/>
      <c r="V376"/>
    </row>
    <row r="377" spans="10:22" s="1" customFormat="1" x14ac:dyDescent="0.2">
      <c r="J377"/>
      <c r="K377"/>
      <c r="L377"/>
      <c r="M377"/>
      <c r="N377" s="2"/>
      <c r="R377"/>
      <c r="S377"/>
      <c r="T377"/>
      <c r="U377"/>
      <c r="V377"/>
    </row>
    <row r="378" spans="10:22" s="1" customFormat="1" x14ac:dyDescent="0.2">
      <c r="J378"/>
      <c r="K378"/>
      <c r="L378"/>
      <c r="M378"/>
      <c r="N378" s="2"/>
      <c r="R378"/>
      <c r="S378"/>
      <c r="T378"/>
      <c r="U378"/>
      <c r="V378"/>
    </row>
    <row r="379" spans="10:22" s="1" customFormat="1" x14ac:dyDescent="0.2">
      <c r="J379"/>
      <c r="K379"/>
      <c r="L379"/>
      <c r="M379"/>
      <c r="N379" s="2"/>
      <c r="R379"/>
      <c r="S379"/>
      <c r="T379"/>
      <c r="U379"/>
      <c r="V379"/>
    </row>
    <row r="380" spans="10:22" s="1" customFormat="1" x14ac:dyDescent="0.2">
      <c r="J380"/>
      <c r="K380"/>
      <c r="L380"/>
      <c r="M380"/>
      <c r="N380" s="2"/>
      <c r="R380"/>
      <c r="S380"/>
      <c r="T380"/>
      <c r="U380"/>
      <c r="V380"/>
    </row>
    <row r="381" spans="10:22" s="1" customFormat="1" x14ac:dyDescent="0.2">
      <c r="J381"/>
      <c r="K381"/>
      <c r="L381"/>
      <c r="M381"/>
      <c r="N381" s="2"/>
      <c r="R381"/>
      <c r="S381"/>
      <c r="T381"/>
      <c r="U381"/>
      <c r="V381"/>
    </row>
    <row r="382" spans="10:22" s="1" customFormat="1" x14ac:dyDescent="0.2">
      <c r="J382"/>
      <c r="K382"/>
      <c r="L382"/>
      <c r="M382"/>
      <c r="N382" s="2"/>
      <c r="R382"/>
      <c r="S382"/>
      <c r="T382"/>
      <c r="U382"/>
      <c r="V382"/>
    </row>
    <row r="383" spans="10:22" s="1" customFormat="1" x14ac:dyDescent="0.2">
      <c r="J383"/>
      <c r="K383"/>
      <c r="L383"/>
      <c r="M383"/>
      <c r="N383" s="2"/>
      <c r="R383"/>
      <c r="S383"/>
      <c r="T383"/>
      <c r="U383"/>
      <c r="V383"/>
    </row>
    <row r="384" spans="10:22" s="1" customFormat="1" x14ac:dyDescent="0.2">
      <c r="J384"/>
      <c r="K384"/>
      <c r="L384"/>
      <c r="M384"/>
      <c r="N384" s="2"/>
      <c r="R384"/>
      <c r="S384"/>
      <c r="T384"/>
      <c r="U384"/>
      <c r="V384"/>
    </row>
    <row r="385" spans="10:22" s="1" customFormat="1" x14ac:dyDescent="0.2">
      <c r="J385"/>
      <c r="K385"/>
      <c r="L385"/>
      <c r="M385"/>
      <c r="N385" s="2"/>
      <c r="R385"/>
      <c r="S385"/>
      <c r="T385"/>
      <c r="U385"/>
      <c r="V385"/>
    </row>
    <row r="386" spans="10:22" s="1" customFormat="1" x14ac:dyDescent="0.2">
      <c r="J386"/>
      <c r="K386"/>
      <c r="L386"/>
      <c r="M386"/>
      <c r="N386" s="2"/>
      <c r="R386"/>
      <c r="S386"/>
      <c r="T386"/>
      <c r="U386"/>
      <c r="V386"/>
    </row>
    <row r="387" spans="10:22" s="1" customFormat="1" x14ac:dyDescent="0.2">
      <c r="J387"/>
      <c r="K387"/>
      <c r="L387"/>
      <c r="M387"/>
      <c r="N387" s="2"/>
      <c r="R387"/>
      <c r="S387"/>
      <c r="T387"/>
      <c r="U387"/>
      <c r="V387"/>
    </row>
    <row r="388" spans="10:22" s="1" customFormat="1" x14ac:dyDescent="0.2">
      <c r="J388"/>
      <c r="K388"/>
      <c r="L388"/>
      <c r="M388"/>
      <c r="N388" s="2"/>
      <c r="R388"/>
      <c r="S388"/>
      <c r="T388"/>
      <c r="U388"/>
      <c r="V388"/>
    </row>
    <row r="389" spans="10:22" s="1" customFormat="1" x14ac:dyDescent="0.2">
      <c r="J389"/>
      <c r="K389"/>
      <c r="L389"/>
      <c r="M389"/>
      <c r="N389" s="2"/>
      <c r="R389"/>
      <c r="S389"/>
      <c r="T389"/>
      <c r="U389"/>
      <c r="V389"/>
    </row>
    <row r="390" spans="10:22" s="1" customFormat="1" x14ac:dyDescent="0.2">
      <c r="J390"/>
      <c r="K390"/>
      <c r="L390"/>
      <c r="M390"/>
      <c r="N390" s="2"/>
      <c r="R390"/>
      <c r="S390"/>
      <c r="T390"/>
      <c r="U390"/>
      <c r="V390"/>
    </row>
    <row r="391" spans="10:22" s="1" customFormat="1" x14ac:dyDescent="0.2">
      <c r="J391"/>
      <c r="K391"/>
      <c r="L391"/>
      <c r="M391"/>
      <c r="N391" s="2"/>
      <c r="R391"/>
      <c r="S391"/>
      <c r="T391"/>
      <c r="U391"/>
      <c r="V391"/>
    </row>
    <row r="392" spans="10:22" s="1" customFormat="1" x14ac:dyDescent="0.2">
      <c r="J392"/>
      <c r="K392"/>
      <c r="L392"/>
      <c r="M392"/>
      <c r="N392" s="2"/>
      <c r="R392"/>
      <c r="S392"/>
      <c r="T392"/>
      <c r="U392"/>
      <c r="V392"/>
    </row>
    <row r="393" spans="10:22" s="1" customFormat="1" x14ac:dyDescent="0.2">
      <c r="J393"/>
      <c r="K393"/>
      <c r="L393"/>
      <c r="M393"/>
      <c r="N393" s="2"/>
      <c r="R393"/>
      <c r="S393"/>
      <c r="T393"/>
      <c r="U393"/>
      <c r="V393"/>
    </row>
    <row r="394" spans="10:22" s="1" customFormat="1" x14ac:dyDescent="0.2">
      <c r="J394"/>
      <c r="K394"/>
      <c r="L394"/>
      <c r="M394"/>
      <c r="N394" s="2"/>
      <c r="R394"/>
      <c r="S394"/>
      <c r="T394"/>
      <c r="U394"/>
      <c r="V394"/>
    </row>
    <row r="395" spans="10:22" s="1" customFormat="1" x14ac:dyDescent="0.2">
      <c r="J395"/>
      <c r="K395"/>
      <c r="L395"/>
      <c r="M395"/>
      <c r="N395" s="2"/>
      <c r="R395"/>
      <c r="S395"/>
      <c r="T395"/>
      <c r="U395"/>
      <c r="V395"/>
    </row>
    <row r="396" spans="10:22" s="1" customFormat="1" x14ac:dyDescent="0.2">
      <c r="J396"/>
      <c r="K396"/>
      <c r="L396"/>
      <c r="M396"/>
      <c r="N396" s="2"/>
      <c r="R396"/>
      <c r="S396"/>
      <c r="T396"/>
      <c r="U396"/>
      <c r="V396"/>
    </row>
    <row r="397" spans="10:22" s="1" customFormat="1" x14ac:dyDescent="0.2">
      <c r="J397"/>
      <c r="K397"/>
      <c r="L397"/>
      <c r="M397"/>
      <c r="N397" s="2"/>
      <c r="R397"/>
      <c r="S397"/>
      <c r="T397"/>
      <c r="U397"/>
      <c r="V397"/>
    </row>
    <row r="398" spans="10:22" s="1" customFormat="1" x14ac:dyDescent="0.2">
      <c r="J398"/>
      <c r="K398"/>
      <c r="L398"/>
      <c r="M398"/>
      <c r="N398" s="2"/>
      <c r="R398"/>
      <c r="S398"/>
      <c r="T398"/>
      <c r="U398"/>
      <c r="V398"/>
    </row>
    <row r="399" spans="10:22" s="1" customFormat="1" x14ac:dyDescent="0.2">
      <c r="J399"/>
      <c r="K399"/>
      <c r="L399"/>
      <c r="M399"/>
      <c r="N399" s="2"/>
      <c r="R399"/>
      <c r="S399"/>
      <c r="T399"/>
      <c r="U399"/>
      <c r="V399"/>
    </row>
    <row r="400" spans="10:22" s="1" customFormat="1" x14ac:dyDescent="0.2">
      <c r="J400"/>
      <c r="K400"/>
      <c r="L400"/>
      <c r="M400"/>
      <c r="N400" s="2"/>
      <c r="R400"/>
      <c r="S400"/>
      <c r="T400"/>
      <c r="U400"/>
      <c r="V400"/>
    </row>
    <row r="401" spans="10:22" s="1" customFormat="1" x14ac:dyDescent="0.2">
      <c r="J401"/>
      <c r="K401"/>
      <c r="L401"/>
      <c r="M401"/>
      <c r="N401" s="2"/>
      <c r="R401"/>
      <c r="S401"/>
      <c r="T401"/>
      <c r="U401"/>
      <c r="V401"/>
    </row>
    <row r="402" spans="10:22" s="1" customFormat="1" x14ac:dyDescent="0.2">
      <c r="J402"/>
      <c r="K402"/>
      <c r="L402"/>
      <c r="M402"/>
      <c r="N402" s="2"/>
      <c r="R402"/>
      <c r="S402"/>
      <c r="T402"/>
      <c r="U402"/>
      <c r="V402"/>
    </row>
    <row r="403" spans="10:22" s="1" customFormat="1" x14ac:dyDescent="0.2">
      <c r="J403"/>
      <c r="K403"/>
      <c r="L403"/>
      <c r="M403"/>
      <c r="N403" s="2"/>
      <c r="R403"/>
      <c r="S403"/>
      <c r="T403"/>
      <c r="U403"/>
      <c r="V403"/>
    </row>
    <row r="404" spans="10:22" s="1" customFormat="1" x14ac:dyDescent="0.2">
      <c r="J404"/>
      <c r="K404"/>
      <c r="L404"/>
      <c r="M404"/>
      <c r="N404" s="2"/>
      <c r="R404"/>
      <c r="S404"/>
      <c r="T404"/>
      <c r="U404"/>
      <c r="V404"/>
    </row>
    <row r="405" spans="10:22" s="1" customFormat="1" x14ac:dyDescent="0.2">
      <c r="J405"/>
      <c r="K405"/>
      <c r="L405"/>
      <c r="M405"/>
      <c r="N405" s="2"/>
      <c r="R405"/>
      <c r="S405"/>
      <c r="T405"/>
      <c r="U405"/>
      <c r="V405"/>
    </row>
    <row r="406" spans="10:22" s="1" customFormat="1" x14ac:dyDescent="0.2">
      <c r="J406"/>
      <c r="K406"/>
      <c r="L406"/>
      <c r="M406"/>
      <c r="N406" s="2"/>
      <c r="R406"/>
      <c r="S406"/>
      <c r="T406"/>
      <c r="U406"/>
      <c r="V406"/>
    </row>
    <row r="407" spans="10:22" s="1" customFormat="1" x14ac:dyDescent="0.2">
      <c r="J407"/>
      <c r="K407"/>
      <c r="L407"/>
      <c r="M407"/>
      <c r="N407" s="2"/>
      <c r="R407"/>
      <c r="S407"/>
      <c r="T407"/>
      <c r="U407"/>
      <c r="V407"/>
    </row>
    <row r="408" spans="10:22" s="1" customFormat="1" x14ac:dyDescent="0.2">
      <c r="J408"/>
      <c r="K408"/>
      <c r="L408"/>
      <c r="M408"/>
      <c r="N408" s="2"/>
      <c r="R408"/>
      <c r="S408"/>
      <c r="T408"/>
      <c r="U408"/>
      <c r="V408"/>
    </row>
    <row r="409" spans="10:22" s="1" customFormat="1" x14ac:dyDescent="0.2">
      <c r="J409"/>
      <c r="K409"/>
      <c r="L409"/>
      <c r="M409"/>
      <c r="N409" s="2"/>
      <c r="R409"/>
      <c r="S409"/>
      <c r="T409"/>
      <c r="U409"/>
      <c r="V409"/>
    </row>
    <row r="410" spans="10:22" s="1" customFormat="1" x14ac:dyDescent="0.2">
      <c r="J410"/>
      <c r="K410"/>
      <c r="L410"/>
      <c r="M410"/>
      <c r="N410" s="2"/>
      <c r="R410"/>
      <c r="S410"/>
      <c r="T410"/>
      <c r="U410"/>
      <c r="V410"/>
    </row>
    <row r="411" spans="10:22" s="1" customFormat="1" x14ac:dyDescent="0.2">
      <c r="J411"/>
      <c r="K411"/>
      <c r="L411"/>
      <c r="M411"/>
      <c r="N411" s="2"/>
      <c r="R411"/>
      <c r="S411"/>
      <c r="T411"/>
      <c r="U411"/>
      <c r="V411"/>
    </row>
    <row r="412" spans="10:22" s="1" customFormat="1" x14ac:dyDescent="0.2">
      <c r="J412"/>
      <c r="K412"/>
      <c r="L412"/>
      <c r="M412"/>
      <c r="N412" s="2"/>
      <c r="R412"/>
      <c r="S412"/>
      <c r="T412"/>
      <c r="U412"/>
      <c r="V412"/>
    </row>
    <row r="413" spans="10:22" s="1" customFormat="1" x14ac:dyDescent="0.2">
      <c r="J413"/>
      <c r="K413"/>
      <c r="L413"/>
      <c r="M413"/>
      <c r="N413" s="2"/>
      <c r="R413"/>
      <c r="S413"/>
      <c r="T413"/>
      <c r="U413"/>
      <c r="V413"/>
    </row>
    <row r="414" spans="10:22" s="1" customFormat="1" x14ac:dyDescent="0.2">
      <c r="J414"/>
      <c r="K414"/>
      <c r="L414"/>
      <c r="M414"/>
      <c r="N414" s="2"/>
      <c r="R414"/>
      <c r="S414"/>
      <c r="T414"/>
      <c r="U414"/>
      <c r="V414"/>
    </row>
    <row r="415" spans="10:22" s="1" customFormat="1" x14ac:dyDescent="0.2">
      <c r="J415"/>
      <c r="K415"/>
      <c r="L415"/>
      <c r="M415"/>
      <c r="N415" s="2"/>
      <c r="R415"/>
      <c r="S415"/>
      <c r="T415"/>
      <c r="U415"/>
      <c r="V415"/>
    </row>
    <row r="416" spans="10:22" s="1" customFormat="1" x14ac:dyDescent="0.2">
      <c r="J416"/>
      <c r="K416"/>
      <c r="L416"/>
      <c r="M416"/>
      <c r="N416" s="2"/>
      <c r="R416"/>
      <c r="S416"/>
      <c r="T416"/>
      <c r="U416"/>
      <c r="V416"/>
    </row>
    <row r="417" spans="10:22" s="1" customFormat="1" x14ac:dyDescent="0.2">
      <c r="J417"/>
      <c r="K417"/>
      <c r="L417"/>
      <c r="M417"/>
      <c r="N417" s="2"/>
      <c r="R417"/>
      <c r="S417"/>
      <c r="T417"/>
      <c r="U417"/>
      <c r="V417"/>
    </row>
    <row r="418" spans="10:22" s="1" customFormat="1" x14ac:dyDescent="0.2">
      <c r="J418"/>
      <c r="K418"/>
      <c r="L418"/>
      <c r="M418"/>
      <c r="N418" s="2"/>
      <c r="R418"/>
      <c r="S418"/>
      <c r="T418"/>
      <c r="U418"/>
      <c r="V418"/>
    </row>
    <row r="419" spans="10:22" s="1" customFormat="1" x14ac:dyDescent="0.2">
      <c r="J419"/>
      <c r="K419"/>
      <c r="L419"/>
      <c r="M419"/>
      <c r="N419" s="2"/>
      <c r="R419"/>
      <c r="S419"/>
      <c r="T419"/>
      <c r="U419"/>
      <c r="V419"/>
    </row>
    <row r="420" spans="10:22" s="1" customFormat="1" x14ac:dyDescent="0.2">
      <c r="J420"/>
      <c r="K420"/>
      <c r="L420"/>
      <c r="M420"/>
      <c r="N420" s="2"/>
      <c r="R420"/>
      <c r="S420"/>
      <c r="T420"/>
      <c r="U420"/>
      <c r="V420"/>
    </row>
    <row r="421" spans="10:22" s="1" customFormat="1" x14ac:dyDescent="0.2">
      <c r="J421"/>
      <c r="K421"/>
      <c r="L421"/>
      <c r="M421"/>
      <c r="N421" s="2"/>
      <c r="R421"/>
      <c r="S421"/>
      <c r="T421"/>
      <c r="U421"/>
      <c r="V421"/>
    </row>
    <row r="422" spans="10:22" s="1" customFormat="1" x14ac:dyDescent="0.2">
      <c r="J422"/>
      <c r="K422"/>
      <c r="L422"/>
      <c r="M422"/>
      <c r="N422" s="2"/>
      <c r="R422"/>
      <c r="S422"/>
      <c r="T422"/>
      <c r="U422"/>
      <c r="V422"/>
    </row>
    <row r="423" spans="10:22" s="1" customFormat="1" x14ac:dyDescent="0.2">
      <c r="J423"/>
      <c r="K423"/>
      <c r="L423"/>
      <c r="M423"/>
      <c r="N423" s="2"/>
      <c r="R423"/>
      <c r="S423"/>
      <c r="T423"/>
      <c r="U423"/>
      <c r="V423"/>
    </row>
    <row r="424" spans="10:22" s="1" customFormat="1" x14ac:dyDescent="0.2">
      <c r="J424"/>
      <c r="K424"/>
      <c r="L424"/>
      <c r="M424"/>
      <c r="N424" s="2"/>
      <c r="R424"/>
      <c r="S424"/>
      <c r="T424"/>
      <c r="U424"/>
      <c r="V424"/>
    </row>
    <row r="425" spans="10:22" s="1" customFormat="1" x14ac:dyDescent="0.2">
      <c r="J425"/>
      <c r="K425"/>
      <c r="L425"/>
      <c r="M425"/>
      <c r="N425" s="2"/>
      <c r="R425"/>
      <c r="S425"/>
      <c r="T425"/>
      <c r="U425"/>
      <c r="V425"/>
    </row>
    <row r="426" spans="10:22" s="1" customFormat="1" x14ac:dyDescent="0.2">
      <c r="J426"/>
      <c r="K426"/>
      <c r="L426"/>
      <c r="M426"/>
      <c r="N426" s="2"/>
      <c r="R426"/>
      <c r="S426"/>
      <c r="T426"/>
      <c r="U426"/>
      <c r="V426"/>
    </row>
    <row r="427" spans="10:22" s="1" customFormat="1" x14ac:dyDescent="0.2">
      <c r="J427"/>
      <c r="K427"/>
      <c r="L427"/>
      <c r="M427"/>
      <c r="N427" s="2"/>
      <c r="R427"/>
      <c r="S427"/>
      <c r="T427"/>
      <c r="U427"/>
      <c r="V427"/>
    </row>
    <row r="428" spans="10:22" s="1" customFormat="1" x14ac:dyDescent="0.2">
      <c r="J428"/>
      <c r="K428"/>
      <c r="L428"/>
      <c r="M428"/>
      <c r="N428" s="2"/>
      <c r="R428"/>
      <c r="S428"/>
      <c r="T428"/>
      <c r="U428"/>
      <c r="V428"/>
    </row>
    <row r="429" spans="10:22" s="1" customFormat="1" x14ac:dyDescent="0.2">
      <c r="J429"/>
      <c r="K429"/>
      <c r="L429"/>
      <c r="M429"/>
      <c r="N429" s="2"/>
      <c r="R429"/>
      <c r="S429"/>
      <c r="T429"/>
      <c r="U429"/>
      <c r="V429"/>
    </row>
    <row r="430" spans="10:22" s="1" customFormat="1" x14ac:dyDescent="0.2">
      <c r="J430"/>
      <c r="K430"/>
      <c r="L430"/>
      <c r="M430"/>
      <c r="N430" s="2"/>
      <c r="R430"/>
      <c r="S430"/>
      <c r="T430"/>
      <c r="U430"/>
      <c r="V430"/>
    </row>
    <row r="431" spans="10:22" s="1" customFormat="1" x14ac:dyDescent="0.2">
      <c r="J431"/>
      <c r="K431"/>
      <c r="L431"/>
      <c r="M431"/>
      <c r="N431" s="2"/>
      <c r="R431"/>
      <c r="S431"/>
      <c r="T431"/>
      <c r="U431"/>
      <c r="V431"/>
    </row>
    <row r="432" spans="10:22" s="1" customFormat="1" x14ac:dyDescent="0.2">
      <c r="J432"/>
      <c r="K432"/>
      <c r="L432"/>
      <c r="M432"/>
      <c r="N432" s="2"/>
      <c r="R432"/>
      <c r="S432"/>
      <c r="T432"/>
      <c r="U432"/>
      <c r="V432"/>
    </row>
    <row r="433" spans="10:22" s="1" customFormat="1" x14ac:dyDescent="0.2">
      <c r="J433"/>
      <c r="K433"/>
      <c r="L433"/>
      <c r="M433"/>
      <c r="N433" s="2"/>
      <c r="R433"/>
      <c r="S433"/>
      <c r="T433"/>
      <c r="U433"/>
      <c r="V433"/>
    </row>
    <row r="434" spans="10:22" s="1" customFormat="1" x14ac:dyDescent="0.2">
      <c r="J434"/>
      <c r="K434"/>
      <c r="L434"/>
      <c r="M434"/>
      <c r="N434" s="2"/>
      <c r="R434"/>
      <c r="S434"/>
      <c r="T434"/>
      <c r="U434"/>
      <c r="V434"/>
    </row>
    <row r="435" spans="10:22" s="1" customFormat="1" x14ac:dyDescent="0.2">
      <c r="J435"/>
      <c r="K435"/>
      <c r="L435"/>
      <c r="M435"/>
      <c r="N435" s="2"/>
      <c r="R435"/>
      <c r="S435"/>
      <c r="T435"/>
      <c r="U435"/>
      <c r="V435"/>
    </row>
    <row r="436" spans="10:22" s="1" customFormat="1" x14ac:dyDescent="0.2">
      <c r="J436"/>
      <c r="K436"/>
      <c r="L436"/>
      <c r="M436"/>
      <c r="N436" s="2"/>
      <c r="R436"/>
      <c r="S436"/>
      <c r="T436"/>
      <c r="U436"/>
      <c r="V436"/>
    </row>
    <row r="437" spans="10:22" s="1" customFormat="1" x14ac:dyDescent="0.2">
      <c r="J437"/>
      <c r="K437"/>
      <c r="L437"/>
      <c r="M437"/>
      <c r="N437" s="2"/>
      <c r="R437"/>
      <c r="S437"/>
      <c r="T437"/>
      <c r="U437"/>
      <c r="V437"/>
    </row>
    <row r="438" spans="10:22" s="1" customFormat="1" x14ac:dyDescent="0.2">
      <c r="J438"/>
      <c r="K438"/>
      <c r="L438"/>
      <c r="M438"/>
      <c r="N438" s="2"/>
      <c r="R438"/>
      <c r="S438"/>
      <c r="T438"/>
      <c r="U438"/>
      <c r="V438"/>
    </row>
    <row r="439" spans="10:22" s="1" customFormat="1" x14ac:dyDescent="0.2">
      <c r="J439"/>
      <c r="K439"/>
      <c r="L439"/>
      <c r="M439"/>
      <c r="N439" s="2"/>
      <c r="R439"/>
      <c r="S439"/>
      <c r="T439"/>
      <c r="U439"/>
      <c r="V439"/>
    </row>
    <row r="440" spans="10:22" s="1" customFormat="1" x14ac:dyDescent="0.2">
      <c r="J440"/>
      <c r="K440"/>
      <c r="L440"/>
      <c r="M440"/>
      <c r="N440" s="2"/>
      <c r="R440"/>
      <c r="S440"/>
      <c r="T440"/>
      <c r="U440"/>
      <c r="V440"/>
    </row>
    <row r="441" spans="10:22" s="1" customFormat="1" x14ac:dyDescent="0.2">
      <c r="J441"/>
      <c r="K441"/>
      <c r="L441"/>
      <c r="M441"/>
      <c r="N441" s="2"/>
      <c r="R441"/>
      <c r="S441"/>
      <c r="T441"/>
      <c r="U441"/>
      <c r="V441"/>
    </row>
    <row r="442" spans="10:22" s="1" customFormat="1" x14ac:dyDescent="0.2">
      <c r="J442"/>
      <c r="K442"/>
      <c r="L442"/>
      <c r="M442"/>
      <c r="N442" s="2"/>
      <c r="R442"/>
      <c r="S442"/>
      <c r="T442"/>
      <c r="U442"/>
      <c r="V442"/>
    </row>
    <row r="443" spans="10:22" s="1" customFormat="1" x14ac:dyDescent="0.2">
      <c r="J443"/>
      <c r="K443"/>
      <c r="L443"/>
      <c r="M443"/>
      <c r="N443" s="2"/>
      <c r="R443"/>
      <c r="S443"/>
      <c r="T443"/>
      <c r="U443"/>
      <c r="V443"/>
    </row>
    <row r="444" spans="10:22" s="1" customFormat="1" x14ac:dyDescent="0.2">
      <c r="J444"/>
      <c r="K444"/>
      <c r="L444"/>
      <c r="M444"/>
      <c r="N444" s="2"/>
      <c r="R444"/>
      <c r="S444"/>
      <c r="T444"/>
      <c r="U444"/>
      <c r="V444"/>
    </row>
    <row r="445" spans="10:22" s="1" customFormat="1" x14ac:dyDescent="0.2">
      <c r="J445"/>
      <c r="K445"/>
      <c r="L445"/>
      <c r="M445"/>
      <c r="N445" s="2"/>
      <c r="R445"/>
      <c r="S445"/>
      <c r="T445"/>
      <c r="U445"/>
      <c r="V445"/>
    </row>
    <row r="446" spans="10:22" s="1" customFormat="1" x14ac:dyDescent="0.2">
      <c r="J446"/>
      <c r="K446"/>
      <c r="L446"/>
      <c r="M446"/>
      <c r="N446" s="2"/>
      <c r="R446"/>
      <c r="S446"/>
      <c r="T446"/>
      <c r="U446"/>
      <c r="V446"/>
    </row>
    <row r="447" spans="10:22" s="1" customFormat="1" x14ac:dyDescent="0.2">
      <c r="J447"/>
      <c r="K447"/>
      <c r="L447"/>
      <c r="M447"/>
      <c r="N447" s="2"/>
      <c r="R447"/>
      <c r="S447"/>
      <c r="T447"/>
      <c r="U447"/>
      <c r="V447"/>
    </row>
    <row r="448" spans="10:22" s="1" customFormat="1" x14ac:dyDescent="0.2">
      <c r="J448"/>
      <c r="K448"/>
      <c r="L448"/>
      <c r="M448"/>
      <c r="N448" s="2"/>
      <c r="R448"/>
      <c r="S448"/>
      <c r="T448"/>
      <c r="U448"/>
      <c r="V448"/>
    </row>
    <row r="449" spans="10:22" s="1" customFormat="1" x14ac:dyDescent="0.2">
      <c r="J449"/>
      <c r="K449"/>
      <c r="L449"/>
      <c r="M449"/>
      <c r="N449" s="2"/>
      <c r="R449"/>
      <c r="S449"/>
      <c r="T449"/>
      <c r="U449"/>
      <c r="V449"/>
    </row>
    <row r="450" spans="10:22" s="1" customFormat="1" x14ac:dyDescent="0.2">
      <c r="J450"/>
      <c r="K450"/>
      <c r="L450"/>
      <c r="M450"/>
      <c r="N450" s="2"/>
      <c r="R450"/>
      <c r="S450"/>
      <c r="T450"/>
      <c r="U450"/>
      <c r="V450"/>
    </row>
    <row r="451" spans="10:22" s="1" customFormat="1" x14ac:dyDescent="0.2">
      <c r="J451"/>
      <c r="K451"/>
      <c r="L451"/>
      <c r="M451"/>
      <c r="N451" s="2"/>
      <c r="R451"/>
      <c r="S451"/>
      <c r="T451"/>
      <c r="U451"/>
      <c r="V451"/>
    </row>
    <row r="452" spans="10:22" s="1" customFormat="1" x14ac:dyDescent="0.2">
      <c r="J452"/>
      <c r="K452"/>
      <c r="L452"/>
      <c r="M452"/>
      <c r="N452" s="2"/>
      <c r="R452"/>
      <c r="S452"/>
      <c r="T452"/>
      <c r="U452"/>
      <c r="V452"/>
    </row>
    <row r="453" spans="10:22" s="1" customFormat="1" x14ac:dyDescent="0.2">
      <c r="J453"/>
      <c r="K453"/>
      <c r="L453"/>
      <c r="M453"/>
      <c r="N453" s="2"/>
      <c r="R453"/>
      <c r="S453"/>
      <c r="T453"/>
      <c r="U453"/>
      <c r="V453"/>
    </row>
    <row r="454" spans="10:22" s="1" customFormat="1" x14ac:dyDescent="0.2">
      <c r="J454"/>
      <c r="K454"/>
      <c r="L454"/>
      <c r="M454"/>
      <c r="N454" s="2"/>
      <c r="R454"/>
      <c r="S454"/>
      <c r="T454"/>
      <c r="U454"/>
      <c r="V454"/>
    </row>
    <row r="455" spans="10:22" s="1" customFormat="1" x14ac:dyDescent="0.2">
      <c r="J455"/>
      <c r="K455"/>
      <c r="L455"/>
      <c r="M455"/>
      <c r="N455" s="2"/>
      <c r="R455"/>
      <c r="S455"/>
      <c r="T455"/>
      <c r="U455"/>
      <c r="V455"/>
    </row>
    <row r="456" spans="10:22" s="1" customFormat="1" x14ac:dyDescent="0.2">
      <c r="J456"/>
      <c r="K456"/>
      <c r="L456"/>
      <c r="M456"/>
      <c r="N456" s="2"/>
      <c r="R456"/>
      <c r="S456"/>
      <c r="T456"/>
      <c r="U456"/>
      <c r="V456"/>
    </row>
    <row r="457" spans="10:22" s="1" customFormat="1" x14ac:dyDescent="0.2">
      <c r="J457"/>
      <c r="K457"/>
      <c r="L457"/>
      <c r="M457"/>
      <c r="N457" s="2"/>
      <c r="R457"/>
      <c r="S457"/>
      <c r="T457"/>
      <c r="U457"/>
      <c r="V457"/>
    </row>
    <row r="458" spans="10:22" s="1" customFormat="1" x14ac:dyDescent="0.2">
      <c r="J458"/>
      <c r="K458"/>
      <c r="L458"/>
      <c r="M458"/>
      <c r="N458" s="2"/>
      <c r="R458"/>
      <c r="S458"/>
      <c r="T458"/>
      <c r="U458"/>
      <c r="V458"/>
    </row>
    <row r="459" spans="10:22" s="1" customFormat="1" x14ac:dyDescent="0.2">
      <c r="J459"/>
      <c r="K459"/>
      <c r="L459"/>
      <c r="M459"/>
      <c r="N459" s="2"/>
      <c r="R459"/>
      <c r="S459"/>
      <c r="T459"/>
      <c r="U459"/>
      <c r="V459"/>
    </row>
    <row r="460" spans="10:22" s="1" customFormat="1" x14ac:dyDescent="0.2">
      <c r="J460"/>
      <c r="K460"/>
      <c r="L460"/>
      <c r="M460"/>
      <c r="N460" s="2"/>
      <c r="R460"/>
      <c r="S460"/>
      <c r="T460"/>
      <c r="U460"/>
      <c r="V460"/>
    </row>
    <row r="461" spans="10:22" s="1" customFormat="1" x14ac:dyDescent="0.2">
      <c r="J461"/>
      <c r="K461"/>
      <c r="L461"/>
      <c r="M461"/>
      <c r="N461" s="2"/>
      <c r="R461"/>
      <c r="S461"/>
      <c r="T461"/>
      <c r="U461"/>
      <c r="V461"/>
    </row>
    <row r="462" spans="10:22" s="1" customFormat="1" x14ac:dyDescent="0.2">
      <c r="J462"/>
      <c r="K462"/>
      <c r="L462"/>
      <c r="M462"/>
      <c r="N462" s="2"/>
      <c r="R462"/>
      <c r="S462"/>
      <c r="T462"/>
      <c r="U462"/>
      <c r="V462"/>
    </row>
    <row r="463" spans="10:22" s="1" customFormat="1" x14ac:dyDescent="0.2">
      <c r="J463"/>
      <c r="K463"/>
      <c r="L463"/>
      <c r="M463"/>
      <c r="N463" s="2"/>
      <c r="R463"/>
      <c r="S463"/>
      <c r="T463"/>
      <c r="U463"/>
      <c r="V463"/>
    </row>
    <row r="464" spans="10:22" s="1" customFormat="1" x14ac:dyDescent="0.2">
      <c r="J464"/>
      <c r="K464"/>
      <c r="L464"/>
      <c r="M464"/>
      <c r="N464" s="2"/>
      <c r="R464"/>
      <c r="S464"/>
      <c r="T464"/>
      <c r="U464"/>
      <c r="V464"/>
    </row>
    <row r="465" spans="10:22" s="1" customFormat="1" x14ac:dyDescent="0.2">
      <c r="J465"/>
      <c r="K465"/>
      <c r="L465"/>
      <c r="M465"/>
      <c r="N465" s="2"/>
      <c r="R465"/>
      <c r="S465"/>
      <c r="T465"/>
      <c r="U465"/>
      <c r="V465"/>
    </row>
    <row r="466" spans="10:22" s="1" customFormat="1" x14ac:dyDescent="0.2">
      <c r="J466"/>
      <c r="K466"/>
      <c r="L466"/>
      <c r="M466"/>
      <c r="N466" s="2"/>
      <c r="R466"/>
      <c r="S466"/>
      <c r="T466"/>
      <c r="U466"/>
      <c r="V466"/>
    </row>
    <row r="467" spans="10:22" s="1" customFormat="1" x14ac:dyDescent="0.2">
      <c r="J467"/>
      <c r="K467"/>
      <c r="L467"/>
      <c r="M467"/>
      <c r="N467" s="2"/>
      <c r="R467"/>
      <c r="S467"/>
      <c r="T467"/>
      <c r="U467"/>
      <c r="V467"/>
    </row>
    <row r="468" spans="10:22" s="1" customFormat="1" x14ac:dyDescent="0.2">
      <c r="J468"/>
      <c r="K468"/>
      <c r="L468"/>
      <c r="M468"/>
      <c r="N468" s="2"/>
      <c r="R468"/>
      <c r="S468"/>
      <c r="T468"/>
      <c r="U468"/>
      <c r="V468"/>
    </row>
    <row r="469" spans="10:22" s="1" customFormat="1" x14ac:dyDescent="0.2">
      <c r="J469"/>
      <c r="K469"/>
      <c r="L469"/>
      <c r="M469"/>
      <c r="N469" s="2"/>
      <c r="R469"/>
      <c r="S469"/>
      <c r="T469"/>
      <c r="U469"/>
      <c r="V469"/>
    </row>
    <row r="470" spans="10:22" s="1" customFormat="1" x14ac:dyDescent="0.2">
      <c r="J470"/>
      <c r="K470"/>
      <c r="L470"/>
      <c r="M470"/>
      <c r="N470" s="2"/>
      <c r="R470"/>
      <c r="S470"/>
      <c r="T470"/>
      <c r="U470"/>
      <c r="V470"/>
    </row>
    <row r="471" spans="10:22" s="1" customFormat="1" x14ac:dyDescent="0.2">
      <c r="J471"/>
      <c r="K471"/>
      <c r="L471"/>
      <c r="M471"/>
      <c r="N471" s="2"/>
      <c r="R471"/>
      <c r="S471"/>
      <c r="T471"/>
      <c r="U471"/>
      <c r="V471"/>
    </row>
    <row r="472" spans="10:22" s="1" customFormat="1" x14ac:dyDescent="0.2">
      <c r="J472"/>
      <c r="K472"/>
      <c r="L472"/>
      <c r="M472"/>
      <c r="N472" s="2"/>
      <c r="R472"/>
      <c r="S472"/>
      <c r="T472"/>
      <c r="U472"/>
      <c r="V472"/>
    </row>
    <row r="473" spans="10:22" s="1" customFormat="1" x14ac:dyDescent="0.2">
      <c r="J473"/>
      <c r="K473"/>
      <c r="L473"/>
      <c r="M473"/>
      <c r="N473" s="2"/>
      <c r="R473"/>
      <c r="S473"/>
      <c r="T473"/>
      <c r="U473"/>
      <c r="V473"/>
    </row>
    <row r="474" spans="10:22" s="1" customFormat="1" x14ac:dyDescent="0.2">
      <c r="J474"/>
      <c r="K474"/>
      <c r="L474"/>
      <c r="M474"/>
      <c r="N474" s="2"/>
      <c r="R474"/>
      <c r="S474"/>
      <c r="T474"/>
      <c r="U474"/>
      <c r="V474"/>
    </row>
    <row r="475" spans="10:22" s="1" customFormat="1" x14ac:dyDescent="0.2">
      <c r="J475"/>
      <c r="K475"/>
      <c r="L475"/>
      <c r="M475"/>
      <c r="N475" s="2"/>
      <c r="R475"/>
      <c r="S475"/>
      <c r="T475"/>
      <c r="U475"/>
      <c r="V475"/>
    </row>
    <row r="476" spans="10:22" s="1" customFormat="1" x14ac:dyDescent="0.2">
      <c r="J476"/>
      <c r="K476"/>
      <c r="L476"/>
      <c r="M476"/>
      <c r="N476" s="2"/>
      <c r="R476"/>
      <c r="S476"/>
      <c r="T476"/>
      <c r="U476"/>
      <c r="V476"/>
    </row>
    <row r="477" spans="10:22" s="1" customFormat="1" x14ac:dyDescent="0.2">
      <c r="J477"/>
      <c r="K477"/>
      <c r="L477"/>
      <c r="M477"/>
      <c r="N477" s="2"/>
      <c r="R477"/>
      <c r="S477"/>
      <c r="T477"/>
      <c r="U477"/>
      <c r="V477"/>
    </row>
    <row r="478" spans="10:22" s="1" customFormat="1" x14ac:dyDescent="0.2">
      <c r="J478"/>
      <c r="K478"/>
      <c r="L478"/>
      <c r="M478"/>
      <c r="N478" s="2"/>
      <c r="R478"/>
      <c r="S478"/>
      <c r="T478"/>
      <c r="U478"/>
      <c r="V478"/>
    </row>
    <row r="479" spans="10:22" s="1" customFormat="1" x14ac:dyDescent="0.2">
      <c r="J479"/>
      <c r="K479"/>
      <c r="L479"/>
      <c r="M479"/>
      <c r="N479" s="2"/>
      <c r="R479"/>
      <c r="S479"/>
      <c r="T479"/>
      <c r="U479"/>
      <c r="V479"/>
    </row>
    <row r="480" spans="10:22" s="1" customFormat="1" x14ac:dyDescent="0.2">
      <c r="J480"/>
      <c r="K480"/>
      <c r="L480"/>
      <c r="M480"/>
      <c r="N480" s="2"/>
      <c r="R480"/>
      <c r="S480"/>
      <c r="T480"/>
      <c r="U480"/>
      <c r="V480"/>
    </row>
    <row r="481" spans="10:22" s="1" customFormat="1" x14ac:dyDescent="0.2">
      <c r="J481"/>
      <c r="K481"/>
      <c r="L481"/>
      <c r="M481"/>
      <c r="N481" s="2"/>
      <c r="R481"/>
      <c r="S481"/>
      <c r="T481"/>
      <c r="U481"/>
      <c r="V481"/>
    </row>
    <row r="482" spans="10:22" s="1" customFormat="1" x14ac:dyDescent="0.2">
      <c r="J482"/>
      <c r="K482"/>
      <c r="L482"/>
      <c r="M482"/>
      <c r="N482" s="2"/>
      <c r="R482"/>
      <c r="S482"/>
      <c r="T482"/>
      <c r="U482"/>
      <c r="V482"/>
    </row>
    <row r="483" spans="10:22" s="1" customFormat="1" x14ac:dyDescent="0.2">
      <c r="J483"/>
      <c r="K483"/>
      <c r="L483"/>
      <c r="M483"/>
      <c r="N483" s="2"/>
      <c r="R483"/>
      <c r="S483"/>
      <c r="T483"/>
      <c r="U483"/>
      <c r="V483"/>
    </row>
    <row r="484" spans="10:22" s="1" customFormat="1" x14ac:dyDescent="0.2">
      <c r="J484"/>
      <c r="K484"/>
      <c r="L484"/>
      <c r="M484"/>
      <c r="N484" s="2"/>
      <c r="R484"/>
      <c r="S484"/>
      <c r="T484"/>
      <c r="U484"/>
      <c r="V484"/>
    </row>
    <row r="485" spans="10:22" s="1" customFormat="1" x14ac:dyDescent="0.2">
      <c r="J485"/>
      <c r="K485"/>
      <c r="L485"/>
      <c r="M485"/>
      <c r="N485" s="2"/>
      <c r="R485"/>
      <c r="S485"/>
      <c r="T485"/>
      <c r="U485"/>
      <c r="V485"/>
    </row>
    <row r="486" spans="10:22" s="1" customFormat="1" x14ac:dyDescent="0.2">
      <c r="J486"/>
      <c r="K486"/>
      <c r="L486"/>
      <c r="M486"/>
      <c r="N486" s="2"/>
      <c r="R486"/>
      <c r="S486"/>
      <c r="T486"/>
      <c r="U486"/>
      <c r="V486"/>
    </row>
    <row r="487" spans="10:22" s="1" customFormat="1" x14ac:dyDescent="0.2">
      <c r="J487"/>
      <c r="K487"/>
      <c r="L487"/>
      <c r="M487"/>
      <c r="N487" s="2"/>
      <c r="R487"/>
      <c r="S487"/>
      <c r="T487"/>
      <c r="U487"/>
      <c r="V487"/>
    </row>
    <row r="488" spans="10:22" s="1" customFormat="1" x14ac:dyDescent="0.2">
      <c r="J488"/>
      <c r="K488"/>
      <c r="L488"/>
      <c r="M488"/>
      <c r="N488" s="2"/>
      <c r="R488"/>
      <c r="S488"/>
      <c r="T488"/>
      <c r="U488"/>
      <c r="V488"/>
    </row>
    <row r="489" spans="10:22" s="1" customFormat="1" x14ac:dyDescent="0.2">
      <c r="J489"/>
      <c r="K489"/>
      <c r="L489"/>
      <c r="M489"/>
      <c r="N489" s="2"/>
      <c r="R489"/>
      <c r="S489"/>
      <c r="T489"/>
      <c r="U489"/>
      <c r="V489"/>
    </row>
    <row r="490" spans="10:22" s="1" customFormat="1" x14ac:dyDescent="0.2">
      <c r="J490"/>
      <c r="K490"/>
      <c r="L490"/>
      <c r="M490"/>
      <c r="N490" s="2"/>
      <c r="R490"/>
      <c r="S490"/>
      <c r="T490"/>
      <c r="U490"/>
      <c r="V490"/>
    </row>
    <row r="491" spans="10:22" s="1" customFormat="1" x14ac:dyDescent="0.2">
      <c r="J491"/>
      <c r="K491"/>
      <c r="L491"/>
      <c r="M491"/>
      <c r="N491" s="2"/>
      <c r="R491"/>
      <c r="S491"/>
      <c r="T491"/>
      <c r="U491"/>
      <c r="V491"/>
    </row>
    <row r="492" spans="10:22" s="1" customFormat="1" x14ac:dyDescent="0.2">
      <c r="J492"/>
      <c r="K492"/>
      <c r="L492"/>
      <c r="M492"/>
      <c r="N492" s="2"/>
      <c r="R492"/>
      <c r="S492"/>
      <c r="T492"/>
      <c r="U492"/>
      <c r="V492"/>
    </row>
    <row r="493" spans="10:22" s="1" customFormat="1" x14ac:dyDescent="0.2">
      <c r="J493"/>
      <c r="K493"/>
      <c r="L493"/>
      <c r="M493"/>
      <c r="N493" s="2"/>
      <c r="R493"/>
      <c r="S493"/>
      <c r="T493"/>
      <c r="U493"/>
      <c r="V493"/>
    </row>
    <row r="494" spans="10:22" s="1" customFormat="1" x14ac:dyDescent="0.2">
      <c r="J494"/>
      <c r="K494"/>
      <c r="L494"/>
      <c r="M494"/>
      <c r="N494" s="2"/>
      <c r="R494"/>
      <c r="S494"/>
      <c r="T494"/>
      <c r="U494"/>
      <c r="V494"/>
    </row>
    <row r="495" spans="10:22" s="1" customFormat="1" x14ac:dyDescent="0.2">
      <c r="J495"/>
      <c r="K495"/>
      <c r="L495"/>
      <c r="M495"/>
      <c r="N495" s="2"/>
      <c r="R495"/>
      <c r="S495"/>
      <c r="T495"/>
      <c r="U495"/>
      <c r="V495"/>
    </row>
    <row r="496" spans="10:22" s="1" customFormat="1" x14ac:dyDescent="0.2">
      <c r="J496"/>
      <c r="K496"/>
      <c r="L496"/>
      <c r="M496"/>
      <c r="N496" s="2"/>
      <c r="R496"/>
      <c r="S496"/>
      <c r="T496"/>
      <c r="U496"/>
      <c r="V496"/>
    </row>
    <row r="497" spans="10:22" s="1" customFormat="1" x14ac:dyDescent="0.2">
      <c r="J497"/>
      <c r="K497"/>
      <c r="L497"/>
      <c r="M497"/>
      <c r="N497" s="2"/>
      <c r="R497"/>
      <c r="S497"/>
      <c r="T497"/>
      <c r="U497"/>
      <c r="V497"/>
    </row>
    <row r="498" spans="10:22" s="1" customFormat="1" x14ac:dyDescent="0.2">
      <c r="J498"/>
      <c r="K498"/>
      <c r="L498"/>
      <c r="M498"/>
      <c r="N498" s="2"/>
      <c r="R498"/>
      <c r="S498"/>
      <c r="T498"/>
      <c r="U498"/>
      <c r="V498"/>
    </row>
    <row r="499" spans="10:22" s="1" customFormat="1" x14ac:dyDescent="0.2">
      <c r="J499"/>
      <c r="K499"/>
      <c r="L499"/>
      <c r="M499"/>
      <c r="N499" s="2"/>
      <c r="R499"/>
      <c r="S499"/>
      <c r="T499"/>
      <c r="U499"/>
      <c r="V499"/>
    </row>
    <row r="500" spans="10:22" s="1" customFormat="1" x14ac:dyDescent="0.2">
      <c r="J500"/>
      <c r="K500"/>
      <c r="L500"/>
      <c r="M500"/>
      <c r="N500" s="2"/>
      <c r="R500"/>
      <c r="S500"/>
      <c r="T500"/>
      <c r="U500"/>
      <c r="V500"/>
    </row>
    <row r="501" spans="10:22" s="1" customFormat="1" x14ac:dyDescent="0.2">
      <c r="J501"/>
      <c r="K501"/>
      <c r="L501"/>
      <c r="M501"/>
      <c r="N501" s="2"/>
      <c r="R501"/>
      <c r="S501"/>
      <c r="T501"/>
      <c r="U501"/>
      <c r="V501"/>
    </row>
    <row r="502" spans="10:22" s="1" customFormat="1" x14ac:dyDescent="0.2">
      <c r="J502"/>
      <c r="K502"/>
      <c r="L502"/>
      <c r="M502"/>
      <c r="N502" s="2"/>
      <c r="R502"/>
      <c r="S502"/>
      <c r="T502"/>
      <c r="U502"/>
      <c r="V502"/>
    </row>
    <row r="503" spans="10:22" s="1" customFormat="1" x14ac:dyDescent="0.2">
      <c r="J503"/>
      <c r="K503"/>
      <c r="L503"/>
      <c r="M503"/>
      <c r="N503" s="2"/>
      <c r="R503"/>
      <c r="S503"/>
      <c r="T503"/>
      <c r="U503"/>
      <c r="V503"/>
    </row>
    <row r="504" spans="10:22" s="1" customFormat="1" x14ac:dyDescent="0.2">
      <c r="J504"/>
      <c r="K504"/>
      <c r="L504"/>
      <c r="M504"/>
      <c r="N504" s="2"/>
      <c r="R504"/>
      <c r="S504"/>
      <c r="T504"/>
      <c r="U504"/>
      <c r="V504"/>
    </row>
    <row r="505" spans="10:22" s="1" customFormat="1" x14ac:dyDescent="0.2">
      <c r="J505"/>
      <c r="K505"/>
      <c r="L505"/>
      <c r="M505"/>
      <c r="N505" s="2"/>
      <c r="R505"/>
      <c r="S505"/>
      <c r="T505"/>
      <c r="U505"/>
      <c r="V505"/>
    </row>
    <row r="506" spans="10:22" s="1" customFormat="1" x14ac:dyDescent="0.2">
      <c r="J506"/>
      <c r="K506"/>
      <c r="L506"/>
      <c r="M506"/>
      <c r="N506" s="2"/>
      <c r="R506"/>
      <c r="S506"/>
      <c r="T506"/>
      <c r="U506"/>
      <c r="V506"/>
    </row>
    <row r="507" spans="10:22" s="1" customFormat="1" x14ac:dyDescent="0.2">
      <c r="J507"/>
      <c r="K507"/>
      <c r="L507"/>
      <c r="M507"/>
      <c r="N507" s="2"/>
      <c r="R507"/>
      <c r="S507"/>
      <c r="T507"/>
      <c r="U507"/>
      <c r="V507"/>
    </row>
    <row r="508" spans="10:22" s="1" customFormat="1" x14ac:dyDescent="0.2">
      <c r="J508"/>
      <c r="K508"/>
      <c r="L508"/>
      <c r="M508"/>
      <c r="N508" s="2"/>
      <c r="R508"/>
      <c r="S508"/>
      <c r="T508"/>
      <c r="U508"/>
      <c r="V508"/>
    </row>
    <row r="509" spans="10:22" s="1" customFormat="1" x14ac:dyDescent="0.2">
      <c r="J509"/>
      <c r="K509"/>
      <c r="L509"/>
      <c r="M509"/>
      <c r="N509" s="2"/>
      <c r="R509"/>
      <c r="S509"/>
      <c r="T509"/>
      <c r="U509"/>
      <c r="V509"/>
    </row>
    <row r="510" spans="10:22" s="1" customFormat="1" x14ac:dyDescent="0.2">
      <c r="J510"/>
      <c r="K510"/>
      <c r="L510"/>
      <c r="M510"/>
      <c r="N510" s="2"/>
      <c r="R510"/>
      <c r="S510"/>
      <c r="T510"/>
      <c r="U510"/>
      <c r="V510"/>
    </row>
    <row r="511" spans="10:22" s="1" customFormat="1" x14ac:dyDescent="0.2">
      <c r="J511"/>
      <c r="K511"/>
      <c r="L511"/>
      <c r="M511"/>
      <c r="N511" s="2"/>
      <c r="R511"/>
      <c r="S511"/>
      <c r="T511"/>
      <c r="U511"/>
      <c r="V511"/>
    </row>
    <row r="512" spans="10:22" s="1" customFormat="1" x14ac:dyDescent="0.2">
      <c r="J512"/>
      <c r="K512"/>
      <c r="L512"/>
      <c r="M512"/>
      <c r="N512" s="2"/>
      <c r="R512"/>
      <c r="S512"/>
      <c r="T512"/>
      <c r="U512"/>
      <c r="V512"/>
    </row>
    <row r="513" spans="10:22" s="1" customFormat="1" x14ac:dyDescent="0.2">
      <c r="J513"/>
      <c r="K513"/>
      <c r="L513"/>
      <c r="M513"/>
      <c r="N513" s="2"/>
      <c r="R513"/>
      <c r="S513"/>
      <c r="T513"/>
      <c r="U513"/>
      <c r="V513"/>
    </row>
    <row r="514" spans="10:22" s="1" customFormat="1" x14ac:dyDescent="0.2">
      <c r="J514"/>
      <c r="K514"/>
      <c r="L514"/>
      <c r="M514"/>
      <c r="N514" s="2"/>
      <c r="R514"/>
      <c r="S514"/>
      <c r="T514"/>
      <c r="U514"/>
      <c r="V514"/>
    </row>
    <row r="515" spans="10:22" s="1" customFormat="1" x14ac:dyDescent="0.2">
      <c r="J515"/>
      <c r="K515"/>
      <c r="L515"/>
      <c r="M515"/>
      <c r="N515" s="2"/>
      <c r="R515"/>
      <c r="S515"/>
      <c r="T515"/>
      <c r="U515"/>
      <c r="V515"/>
    </row>
    <row r="516" spans="10:22" s="1" customFormat="1" x14ac:dyDescent="0.2">
      <c r="J516"/>
      <c r="K516"/>
      <c r="L516"/>
      <c r="M516"/>
      <c r="N516" s="2"/>
      <c r="R516"/>
      <c r="S516"/>
      <c r="T516"/>
      <c r="U516"/>
      <c r="V516"/>
    </row>
    <row r="517" spans="10:22" s="1" customFormat="1" x14ac:dyDescent="0.2">
      <c r="J517"/>
      <c r="K517"/>
      <c r="L517"/>
      <c r="M517"/>
      <c r="N517" s="2"/>
      <c r="R517"/>
      <c r="S517"/>
      <c r="T517"/>
      <c r="U517"/>
      <c r="V517"/>
    </row>
    <row r="518" spans="10:22" s="1" customFormat="1" x14ac:dyDescent="0.2">
      <c r="J518"/>
      <c r="K518"/>
      <c r="L518"/>
      <c r="M518"/>
      <c r="N518" s="2"/>
      <c r="R518"/>
      <c r="S518"/>
      <c r="T518"/>
      <c r="U518"/>
      <c r="V518"/>
    </row>
    <row r="519" spans="10:22" s="1" customFormat="1" x14ac:dyDescent="0.2">
      <c r="J519"/>
      <c r="K519"/>
      <c r="L519"/>
      <c r="M519"/>
      <c r="N519" s="2"/>
      <c r="R519"/>
      <c r="S519"/>
      <c r="T519"/>
      <c r="U519"/>
      <c r="V519"/>
    </row>
    <row r="520" spans="10:22" s="1" customFormat="1" x14ac:dyDescent="0.2">
      <c r="J520"/>
      <c r="K520"/>
      <c r="L520"/>
      <c r="M520"/>
      <c r="N520" s="2"/>
      <c r="R520"/>
      <c r="S520"/>
      <c r="T520"/>
      <c r="U520"/>
      <c r="V520"/>
    </row>
    <row r="521" spans="10:22" s="1" customFormat="1" x14ac:dyDescent="0.2">
      <c r="J521"/>
      <c r="K521"/>
      <c r="L521"/>
      <c r="M521"/>
      <c r="N521" s="2"/>
      <c r="R521"/>
      <c r="S521"/>
      <c r="T521"/>
      <c r="U521"/>
      <c r="V521"/>
    </row>
    <row r="522" spans="10:22" s="1" customFormat="1" x14ac:dyDescent="0.2">
      <c r="J522"/>
      <c r="K522"/>
      <c r="L522"/>
      <c r="M522"/>
      <c r="N522" s="2"/>
      <c r="R522"/>
      <c r="S522"/>
      <c r="T522"/>
      <c r="U522"/>
      <c r="V522"/>
    </row>
    <row r="523" spans="10:22" s="1" customFormat="1" x14ac:dyDescent="0.2">
      <c r="J523"/>
      <c r="K523"/>
      <c r="L523"/>
      <c r="M523"/>
      <c r="N523" s="2"/>
      <c r="R523"/>
      <c r="S523"/>
      <c r="T523"/>
      <c r="U523"/>
      <c r="V523"/>
    </row>
    <row r="524" spans="10:22" s="1" customFormat="1" x14ac:dyDescent="0.2">
      <c r="J524"/>
      <c r="K524"/>
      <c r="L524"/>
      <c r="M524"/>
      <c r="N524" s="2"/>
      <c r="R524"/>
      <c r="S524"/>
      <c r="T524"/>
      <c r="U524"/>
      <c r="V524"/>
    </row>
    <row r="525" spans="10:22" s="1" customFormat="1" x14ac:dyDescent="0.2">
      <c r="J525"/>
      <c r="K525"/>
      <c r="L525"/>
      <c r="M525"/>
      <c r="N525" s="2"/>
      <c r="R525"/>
      <c r="S525"/>
      <c r="T525"/>
      <c r="U525"/>
      <c r="V525"/>
    </row>
    <row r="526" spans="10:22" s="1" customFormat="1" x14ac:dyDescent="0.2">
      <c r="J526"/>
      <c r="K526"/>
      <c r="L526"/>
      <c r="M526"/>
      <c r="N526" s="2"/>
      <c r="R526"/>
      <c r="S526"/>
      <c r="T526"/>
      <c r="U526"/>
      <c r="V526"/>
    </row>
    <row r="527" spans="10:22" s="1" customFormat="1" x14ac:dyDescent="0.2">
      <c r="J527"/>
      <c r="K527"/>
      <c r="L527"/>
      <c r="M527"/>
      <c r="N527" s="2"/>
      <c r="R527"/>
      <c r="S527"/>
      <c r="T527"/>
      <c r="U527"/>
      <c r="V527"/>
    </row>
    <row r="528" spans="10:22" s="1" customFormat="1" x14ac:dyDescent="0.2">
      <c r="J528"/>
      <c r="K528"/>
      <c r="L528"/>
      <c r="M528"/>
      <c r="N528" s="2"/>
      <c r="R528"/>
      <c r="S528"/>
      <c r="T528"/>
      <c r="U528"/>
      <c r="V528"/>
    </row>
    <row r="529" spans="10:22" s="1" customFormat="1" x14ac:dyDescent="0.2">
      <c r="J529"/>
      <c r="K529"/>
      <c r="L529"/>
      <c r="M529"/>
      <c r="N529" s="2"/>
      <c r="R529"/>
      <c r="S529"/>
      <c r="T529"/>
      <c r="U529"/>
      <c r="V529"/>
    </row>
    <row r="530" spans="10:22" s="1" customFormat="1" x14ac:dyDescent="0.2">
      <c r="J530"/>
      <c r="K530"/>
      <c r="L530"/>
      <c r="M530"/>
      <c r="N530" s="2"/>
      <c r="R530"/>
      <c r="S530"/>
      <c r="T530"/>
      <c r="U530"/>
      <c r="V530"/>
    </row>
    <row r="531" spans="10:22" s="1" customFormat="1" x14ac:dyDescent="0.2">
      <c r="J531"/>
      <c r="K531"/>
      <c r="L531"/>
      <c r="M531"/>
      <c r="N531" s="2"/>
      <c r="R531"/>
      <c r="S531"/>
      <c r="T531"/>
      <c r="U531"/>
      <c r="V531"/>
    </row>
    <row r="532" spans="10:22" s="1" customFormat="1" x14ac:dyDescent="0.2">
      <c r="J532"/>
      <c r="K532"/>
      <c r="L532"/>
      <c r="M532"/>
      <c r="N532" s="2"/>
      <c r="R532"/>
      <c r="S532"/>
      <c r="T532"/>
      <c r="U532"/>
      <c r="V532"/>
    </row>
    <row r="533" spans="10:22" s="1" customFormat="1" x14ac:dyDescent="0.2">
      <c r="J533"/>
      <c r="K533"/>
      <c r="L533"/>
      <c r="M533"/>
      <c r="N533" s="2"/>
      <c r="R533"/>
      <c r="S533"/>
      <c r="T533"/>
      <c r="U533"/>
      <c r="V533"/>
    </row>
    <row r="534" spans="10:22" s="1" customFormat="1" x14ac:dyDescent="0.2">
      <c r="J534"/>
      <c r="K534"/>
      <c r="L534"/>
      <c r="M534"/>
      <c r="N534" s="2"/>
      <c r="R534"/>
      <c r="S534"/>
      <c r="T534"/>
      <c r="U534"/>
      <c r="V534"/>
    </row>
    <row r="535" spans="10:22" s="1" customFormat="1" x14ac:dyDescent="0.2">
      <c r="J535"/>
      <c r="K535"/>
      <c r="L535"/>
      <c r="M535"/>
      <c r="N535" s="2"/>
      <c r="R535"/>
      <c r="S535"/>
      <c r="T535"/>
      <c r="U535"/>
      <c r="V535"/>
    </row>
    <row r="536" spans="10:22" s="1" customFormat="1" x14ac:dyDescent="0.2">
      <c r="J536"/>
      <c r="K536"/>
      <c r="L536"/>
      <c r="M536"/>
      <c r="N536" s="2"/>
      <c r="R536"/>
      <c r="S536"/>
      <c r="T536"/>
      <c r="U536"/>
      <c r="V536"/>
    </row>
    <row r="537" spans="10:22" s="1" customFormat="1" x14ac:dyDescent="0.2">
      <c r="J537"/>
      <c r="K537"/>
      <c r="L537"/>
      <c r="M537"/>
      <c r="N537" s="2"/>
      <c r="R537"/>
      <c r="S537"/>
      <c r="T537"/>
      <c r="U537"/>
      <c r="V537"/>
    </row>
    <row r="538" spans="10:22" s="1" customFormat="1" x14ac:dyDescent="0.2">
      <c r="J538"/>
      <c r="K538"/>
      <c r="L538"/>
      <c r="M538"/>
      <c r="N538" s="2"/>
      <c r="R538"/>
      <c r="S538"/>
      <c r="T538"/>
      <c r="U538"/>
      <c r="V538"/>
    </row>
    <row r="539" spans="10:22" s="1" customFormat="1" x14ac:dyDescent="0.2">
      <c r="J539"/>
      <c r="K539"/>
      <c r="L539"/>
      <c r="M539"/>
      <c r="N539" s="2"/>
      <c r="R539"/>
      <c r="S539"/>
      <c r="T539"/>
      <c r="U539"/>
      <c r="V539"/>
    </row>
    <row r="540" spans="10:22" s="1" customFormat="1" x14ac:dyDescent="0.2">
      <c r="J540"/>
      <c r="K540"/>
      <c r="L540"/>
      <c r="M540"/>
      <c r="N540" s="2"/>
      <c r="R540"/>
      <c r="S540"/>
      <c r="T540"/>
      <c r="U540"/>
      <c r="V540"/>
    </row>
    <row r="541" spans="10:22" s="1" customFormat="1" x14ac:dyDescent="0.2">
      <c r="J541"/>
      <c r="K541"/>
      <c r="L541"/>
      <c r="M541"/>
      <c r="N541" s="2"/>
      <c r="R541"/>
      <c r="S541"/>
      <c r="T541"/>
      <c r="U541"/>
      <c r="V541"/>
    </row>
    <row r="542" spans="10:22" s="1" customFormat="1" x14ac:dyDescent="0.2">
      <c r="J542"/>
      <c r="K542"/>
      <c r="L542"/>
      <c r="M542"/>
      <c r="N542" s="2"/>
      <c r="R542"/>
      <c r="S542"/>
      <c r="T542"/>
      <c r="U542"/>
      <c r="V542"/>
    </row>
    <row r="543" spans="10:22" s="1" customFormat="1" x14ac:dyDescent="0.2">
      <c r="J543"/>
      <c r="K543"/>
      <c r="L543"/>
      <c r="M543"/>
      <c r="N543" s="2"/>
      <c r="R543"/>
      <c r="S543"/>
      <c r="T543"/>
      <c r="U543"/>
      <c r="V543"/>
    </row>
    <row r="544" spans="10:22" s="1" customFormat="1" x14ac:dyDescent="0.2">
      <c r="J544"/>
      <c r="K544"/>
      <c r="L544"/>
      <c r="M544"/>
      <c r="N544" s="2"/>
      <c r="R544"/>
      <c r="S544"/>
      <c r="T544"/>
      <c r="U544"/>
      <c r="V544"/>
    </row>
    <row r="545" spans="10:22" s="1" customFormat="1" x14ac:dyDescent="0.2">
      <c r="J545"/>
      <c r="K545"/>
      <c r="L545"/>
      <c r="M545"/>
      <c r="N545" s="2"/>
      <c r="R545"/>
      <c r="S545"/>
      <c r="T545"/>
      <c r="U545"/>
      <c r="V545"/>
    </row>
    <row r="546" spans="10:22" s="1" customFormat="1" x14ac:dyDescent="0.2">
      <c r="J546"/>
      <c r="K546"/>
      <c r="L546"/>
      <c r="M546"/>
      <c r="N546" s="2"/>
      <c r="R546"/>
      <c r="S546"/>
      <c r="T546"/>
      <c r="U546"/>
      <c r="V546"/>
    </row>
    <row r="547" spans="10:22" s="1" customFormat="1" x14ac:dyDescent="0.2">
      <c r="J547"/>
      <c r="K547"/>
      <c r="L547"/>
      <c r="M547"/>
      <c r="N547" s="2"/>
      <c r="R547"/>
      <c r="S547"/>
      <c r="T547"/>
      <c r="U547"/>
      <c r="V547"/>
    </row>
    <row r="548" spans="10:22" s="1" customFormat="1" x14ac:dyDescent="0.2">
      <c r="J548"/>
      <c r="K548"/>
      <c r="L548"/>
      <c r="M548"/>
      <c r="N548" s="2"/>
      <c r="R548"/>
      <c r="S548"/>
      <c r="T548"/>
      <c r="U548"/>
      <c r="V548"/>
    </row>
    <row r="549" spans="10:22" s="1" customFormat="1" x14ac:dyDescent="0.2">
      <c r="J549"/>
      <c r="K549"/>
      <c r="L549"/>
      <c r="M549"/>
      <c r="N549" s="2"/>
      <c r="R549"/>
      <c r="S549"/>
      <c r="T549"/>
      <c r="U549"/>
      <c r="V549"/>
    </row>
    <row r="550" spans="10:22" s="1" customFormat="1" x14ac:dyDescent="0.2">
      <c r="J550"/>
      <c r="K550"/>
      <c r="L550"/>
      <c r="M550"/>
      <c r="N550" s="2"/>
      <c r="R550"/>
      <c r="S550"/>
      <c r="T550"/>
      <c r="U550"/>
      <c r="V550"/>
    </row>
    <row r="551" spans="10:22" s="1" customFormat="1" x14ac:dyDescent="0.2">
      <c r="J551"/>
      <c r="K551"/>
      <c r="L551"/>
      <c r="M551"/>
      <c r="N551" s="2"/>
      <c r="R551"/>
      <c r="S551"/>
      <c r="T551"/>
      <c r="U551"/>
      <c r="V551"/>
    </row>
    <row r="552" spans="10:22" s="1" customFormat="1" x14ac:dyDescent="0.2">
      <c r="J552"/>
      <c r="K552"/>
      <c r="L552"/>
      <c r="M552"/>
      <c r="N552" s="2"/>
      <c r="R552"/>
      <c r="S552"/>
      <c r="T552"/>
      <c r="U552"/>
      <c r="V552"/>
    </row>
    <row r="553" spans="10:22" s="1" customFormat="1" x14ac:dyDescent="0.2">
      <c r="J553"/>
      <c r="K553"/>
      <c r="L553"/>
      <c r="M553"/>
      <c r="N553" s="2"/>
      <c r="R553"/>
      <c r="S553"/>
      <c r="T553"/>
      <c r="U553"/>
      <c r="V553"/>
    </row>
    <row r="554" spans="10:22" s="1" customFormat="1" x14ac:dyDescent="0.2">
      <c r="J554"/>
      <c r="K554"/>
      <c r="L554"/>
      <c r="M554"/>
      <c r="N554" s="2"/>
      <c r="R554"/>
      <c r="S554"/>
      <c r="T554"/>
      <c r="U554"/>
      <c r="V554"/>
    </row>
    <row r="555" spans="10:22" s="1" customFormat="1" x14ac:dyDescent="0.2">
      <c r="J555"/>
      <c r="K555"/>
      <c r="L555"/>
      <c r="M555"/>
      <c r="N555" s="2"/>
      <c r="R555"/>
      <c r="S555"/>
      <c r="T555"/>
      <c r="U555"/>
      <c r="V555"/>
    </row>
    <row r="556" spans="10:22" s="1" customFormat="1" x14ac:dyDescent="0.2">
      <c r="J556"/>
      <c r="K556"/>
      <c r="L556"/>
      <c r="M556"/>
      <c r="N556" s="2"/>
      <c r="R556"/>
      <c r="S556"/>
      <c r="T556"/>
      <c r="U556"/>
      <c r="V556"/>
    </row>
    <row r="557" spans="10:22" s="1" customFormat="1" x14ac:dyDescent="0.2">
      <c r="J557"/>
      <c r="K557"/>
      <c r="L557"/>
      <c r="M557"/>
      <c r="N557" s="2"/>
      <c r="R557"/>
      <c r="S557"/>
      <c r="T557"/>
      <c r="U557"/>
      <c r="V557"/>
    </row>
    <row r="558" spans="10:22" s="1" customFormat="1" x14ac:dyDescent="0.2">
      <c r="J558"/>
      <c r="K558"/>
      <c r="L558"/>
      <c r="M558"/>
      <c r="N558" s="2"/>
      <c r="R558"/>
      <c r="S558"/>
      <c r="T558"/>
      <c r="U558"/>
      <c r="V558"/>
    </row>
    <row r="559" spans="10:22" s="1" customFormat="1" x14ac:dyDescent="0.2">
      <c r="J559"/>
      <c r="K559"/>
      <c r="L559"/>
      <c r="M559"/>
      <c r="N559" s="2"/>
      <c r="R559"/>
      <c r="S559"/>
      <c r="T559"/>
      <c r="U559"/>
      <c r="V559"/>
    </row>
    <row r="560" spans="10:22" s="1" customFormat="1" x14ac:dyDescent="0.2">
      <c r="J560"/>
      <c r="K560"/>
      <c r="L560"/>
      <c r="M560"/>
      <c r="N560" s="2"/>
      <c r="R560"/>
      <c r="S560"/>
      <c r="T560"/>
      <c r="U560"/>
      <c r="V560"/>
    </row>
    <row r="561" spans="10:22" s="1" customFormat="1" x14ac:dyDescent="0.2">
      <c r="J561"/>
      <c r="K561"/>
      <c r="L561"/>
      <c r="M561"/>
      <c r="N561" s="2"/>
      <c r="R561"/>
      <c r="S561"/>
      <c r="T561"/>
      <c r="U561"/>
      <c r="V561"/>
    </row>
    <row r="562" spans="10:22" s="1" customFormat="1" x14ac:dyDescent="0.2">
      <c r="J562"/>
      <c r="K562"/>
      <c r="L562"/>
      <c r="M562"/>
      <c r="N562" s="2"/>
      <c r="R562"/>
      <c r="S562"/>
      <c r="T562"/>
      <c r="U562"/>
      <c r="V562"/>
    </row>
    <row r="563" spans="10:22" s="1" customFormat="1" x14ac:dyDescent="0.2">
      <c r="J563"/>
      <c r="K563"/>
      <c r="L563"/>
      <c r="M563"/>
      <c r="N563" s="2"/>
      <c r="R563"/>
      <c r="S563"/>
      <c r="T563"/>
      <c r="U563"/>
      <c r="V563"/>
    </row>
    <row r="564" spans="10:22" s="1" customFormat="1" x14ac:dyDescent="0.2">
      <c r="J564"/>
      <c r="K564"/>
      <c r="L564"/>
      <c r="M564"/>
      <c r="N564" s="2"/>
      <c r="R564"/>
      <c r="S564"/>
      <c r="T564"/>
      <c r="U564"/>
      <c r="V564"/>
    </row>
    <row r="565" spans="10:22" s="1" customFormat="1" x14ac:dyDescent="0.2">
      <c r="J565"/>
      <c r="K565"/>
      <c r="L565"/>
      <c r="M565"/>
      <c r="N565" s="2"/>
      <c r="R565"/>
      <c r="S565"/>
      <c r="T565"/>
      <c r="U565"/>
      <c r="V565"/>
    </row>
    <row r="566" spans="10:22" s="1" customFormat="1" x14ac:dyDescent="0.2">
      <c r="J566"/>
      <c r="K566"/>
      <c r="L566"/>
      <c r="M566"/>
      <c r="N566" s="2"/>
      <c r="R566"/>
      <c r="S566"/>
      <c r="T566"/>
      <c r="U566"/>
      <c r="V566"/>
    </row>
    <row r="567" spans="10:22" s="1" customFormat="1" x14ac:dyDescent="0.2">
      <c r="J567"/>
      <c r="K567"/>
      <c r="L567"/>
      <c r="M567"/>
      <c r="N567" s="2"/>
      <c r="R567"/>
      <c r="S567"/>
      <c r="T567"/>
      <c r="U567"/>
      <c r="V567"/>
    </row>
    <row r="568" spans="10:22" s="1" customFormat="1" x14ac:dyDescent="0.2">
      <c r="J568"/>
      <c r="K568"/>
      <c r="L568"/>
      <c r="M568"/>
      <c r="N568" s="2"/>
      <c r="R568"/>
      <c r="S568"/>
      <c r="T568"/>
      <c r="U568"/>
      <c r="V568"/>
    </row>
    <row r="569" spans="10:22" s="1" customFormat="1" x14ac:dyDescent="0.2">
      <c r="J569"/>
      <c r="K569"/>
      <c r="L569"/>
      <c r="M569"/>
      <c r="N569" s="2"/>
      <c r="R569"/>
      <c r="S569"/>
      <c r="T569"/>
      <c r="U569"/>
      <c r="V569"/>
    </row>
    <row r="570" spans="10:22" s="1" customFormat="1" x14ac:dyDescent="0.2">
      <c r="J570"/>
      <c r="K570"/>
      <c r="L570"/>
      <c r="M570"/>
      <c r="N570" s="2"/>
      <c r="R570"/>
      <c r="S570"/>
      <c r="T570"/>
      <c r="U570"/>
      <c r="V570"/>
    </row>
    <row r="571" spans="10:22" s="1" customFormat="1" x14ac:dyDescent="0.2">
      <c r="J571"/>
      <c r="K571"/>
      <c r="L571"/>
      <c r="M571"/>
      <c r="N571" s="2"/>
      <c r="R571"/>
      <c r="S571"/>
      <c r="T571"/>
      <c r="U571"/>
      <c r="V571"/>
    </row>
    <row r="572" spans="10:22" s="1" customFormat="1" x14ac:dyDescent="0.2">
      <c r="J572"/>
      <c r="K572"/>
      <c r="L572"/>
      <c r="M572"/>
      <c r="N572" s="2"/>
      <c r="R572"/>
      <c r="S572"/>
      <c r="T572"/>
      <c r="U572"/>
      <c r="V572"/>
    </row>
    <row r="573" spans="10:22" s="1" customFormat="1" x14ac:dyDescent="0.2">
      <c r="J573"/>
      <c r="K573"/>
      <c r="L573"/>
      <c r="M573"/>
      <c r="N573" s="2"/>
      <c r="R573"/>
      <c r="S573"/>
      <c r="T573"/>
      <c r="U573"/>
      <c r="V573"/>
    </row>
    <row r="574" spans="10:22" s="1" customFormat="1" x14ac:dyDescent="0.2">
      <c r="J574"/>
      <c r="K574"/>
      <c r="L574"/>
      <c r="M574"/>
      <c r="N574" s="2"/>
      <c r="R574"/>
      <c r="S574"/>
      <c r="T574"/>
      <c r="U574"/>
      <c r="V574"/>
    </row>
    <row r="575" spans="10:22" s="1" customFormat="1" x14ac:dyDescent="0.2">
      <c r="J575"/>
      <c r="K575"/>
      <c r="L575"/>
      <c r="M575"/>
      <c r="N575" s="2"/>
      <c r="R575"/>
      <c r="S575"/>
      <c r="T575"/>
      <c r="U575"/>
      <c r="V575"/>
    </row>
    <row r="576" spans="10:22" s="1" customFormat="1" x14ac:dyDescent="0.2">
      <c r="J576"/>
      <c r="K576"/>
      <c r="L576"/>
      <c r="M576"/>
      <c r="N576" s="2"/>
      <c r="R576"/>
      <c r="S576"/>
      <c r="T576"/>
      <c r="U576"/>
      <c r="V576"/>
    </row>
    <row r="577" spans="10:22" s="1" customFormat="1" x14ac:dyDescent="0.2">
      <c r="J577"/>
      <c r="K577"/>
      <c r="L577"/>
      <c r="M577"/>
      <c r="N577" s="2"/>
      <c r="R577"/>
      <c r="S577"/>
      <c r="T577"/>
      <c r="U577"/>
      <c r="V577"/>
    </row>
    <row r="578" spans="10:22" s="1" customFormat="1" x14ac:dyDescent="0.2">
      <c r="J578"/>
      <c r="K578"/>
      <c r="L578"/>
      <c r="M578"/>
      <c r="N578" s="2"/>
      <c r="R578"/>
      <c r="S578"/>
      <c r="T578"/>
      <c r="U578"/>
      <c r="V578"/>
    </row>
    <row r="579" spans="10:22" s="1" customFormat="1" x14ac:dyDescent="0.2">
      <c r="J579"/>
      <c r="K579"/>
      <c r="L579"/>
      <c r="M579"/>
      <c r="N579" s="2"/>
      <c r="R579"/>
      <c r="S579"/>
      <c r="T579"/>
      <c r="U579"/>
      <c r="V579"/>
    </row>
    <row r="580" spans="10:22" s="1" customFormat="1" x14ac:dyDescent="0.2">
      <c r="J580"/>
      <c r="K580"/>
      <c r="L580"/>
      <c r="M580"/>
      <c r="N580" s="2"/>
      <c r="R580"/>
      <c r="S580"/>
      <c r="T580"/>
      <c r="U580"/>
      <c r="V580"/>
    </row>
    <row r="581" spans="10:22" s="1" customFormat="1" x14ac:dyDescent="0.2">
      <c r="J581"/>
      <c r="K581"/>
      <c r="L581"/>
      <c r="M581"/>
      <c r="N581" s="2"/>
      <c r="R581"/>
      <c r="S581"/>
      <c r="T581"/>
      <c r="U581"/>
      <c r="V581"/>
    </row>
    <row r="582" spans="10:22" s="1" customFormat="1" x14ac:dyDescent="0.2">
      <c r="J582"/>
      <c r="K582"/>
      <c r="L582"/>
      <c r="M582"/>
      <c r="N582" s="2"/>
      <c r="R582"/>
      <c r="S582"/>
      <c r="T582"/>
      <c r="U582"/>
      <c r="V582"/>
    </row>
    <row r="583" spans="10:22" s="1" customFormat="1" x14ac:dyDescent="0.2">
      <c r="J583"/>
      <c r="K583"/>
      <c r="L583"/>
      <c r="M583"/>
      <c r="N583" s="2"/>
      <c r="R583"/>
      <c r="S583"/>
      <c r="T583"/>
      <c r="U583"/>
      <c r="V583"/>
    </row>
    <row r="584" spans="10:22" s="1" customFormat="1" x14ac:dyDescent="0.2">
      <c r="J584"/>
      <c r="K584"/>
      <c r="L584"/>
      <c r="M584"/>
      <c r="N584" s="2"/>
      <c r="R584"/>
      <c r="S584"/>
      <c r="T584"/>
      <c r="U584"/>
      <c r="V584"/>
    </row>
    <row r="585" spans="10:22" s="1" customFormat="1" x14ac:dyDescent="0.2">
      <c r="J585"/>
      <c r="K585"/>
      <c r="L585"/>
      <c r="M585"/>
      <c r="N585" s="2"/>
      <c r="R585"/>
      <c r="S585"/>
      <c r="T585"/>
      <c r="U585"/>
      <c r="V585"/>
    </row>
    <row r="586" spans="10:22" s="1" customFormat="1" x14ac:dyDescent="0.2">
      <c r="J586"/>
      <c r="K586"/>
      <c r="L586"/>
      <c r="M586"/>
      <c r="N586" s="2"/>
      <c r="R586"/>
      <c r="S586"/>
      <c r="T586"/>
      <c r="U586"/>
      <c r="V586"/>
    </row>
    <row r="587" spans="10:22" s="1" customFormat="1" x14ac:dyDescent="0.2">
      <c r="J587"/>
      <c r="K587"/>
      <c r="L587"/>
      <c r="M587"/>
      <c r="N587" s="2"/>
      <c r="R587"/>
      <c r="S587"/>
      <c r="T587"/>
      <c r="U587"/>
      <c r="V587"/>
    </row>
    <row r="588" spans="10:22" s="1" customFormat="1" x14ac:dyDescent="0.2">
      <c r="J588"/>
      <c r="K588"/>
      <c r="L588"/>
      <c r="M588"/>
      <c r="N588" s="2"/>
      <c r="R588"/>
      <c r="S588"/>
      <c r="T588"/>
      <c r="U588"/>
      <c r="V588"/>
    </row>
    <row r="589" spans="10:22" s="1" customFormat="1" x14ac:dyDescent="0.2">
      <c r="J589"/>
      <c r="K589"/>
      <c r="L589"/>
      <c r="M589"/>
      <c r="N589" s="2"/>
      <c r="R589"/>
      <c r="S589"/>
      <c r="T589"/>
      <c r="U589"/>
      <c r="V589"/>
    </row>
    <row r="590" spans="10:22" s="1" customFormat="1" x14ac:dyDescent="0.2">
      <c r="J590"/>
      <c r="K590"/>
      <c r="L590"/>
      <c r="M590"/>
      <c r="N590" s="2"/>
      <c r="R590"/>
      <c r="S590"/>
      <c r="T590"/>
      <c r="U590"/>
      <c r="V590"/>
    </row>
    <row r="591" spans="10:22" s="1" customFormat="1" x14ac:dyDescent="0.2">
      <c r="J591"/>
      <c r="K591"/>
      <c r="L591"/>
      <c r="M591"/>
      <c r="N591" s="2"/>
      <c r="R591"/>
      <c r="S591"/>
      <c r="T591"/>
      <c r="U591"/>
      <c r="V591"/>
    </row>
    <row r="592" spans="10:22" s="1" customFormat="1" x14ac:dyDescent="0.2">
      <c r="J592"/>
      <c r="K592"/>
      <c r="L592"/>
      <c r="M592"/>
      <c r="N592" s="2"/>
      <c r="R592"/>
      <c r="S592"/>
      <c r="T592"/>
      <c r="U592"/>
      <c r="V592"/>
    </row>
    <row r="593" spans="10:22" s="1" customFormat="1" x14ac:dyDescent="0.2">
      <c r="J593"/>
      <c r="K593"/>
      <c r="L593"/>
      <c r="M593"/>
      <c r="N593" s="2"/>
      <c r="R593"/>
      <c r="S593"/>
      <c r="T593"/>
      <c r="U593"/>
      <c r="V593"/>
    </row>
    <row r="594" spans="10:22" s="1" customFormat="1" x14ac:dyDescent="0.2">
      <c r="J594"/>
      <c r="K594"/>
      <c r="L594"/>
      <c r="M594"/>
      <c r="N594" s="2"/>
      <c r="R594"/>
      <c r="S594"/>
      <c r="T594"/>
      <c r="U594"/>
      <c r="V594"/>
    </row>
    <row r="595" spans="10:22" s="1" customFormat="1" x14ac:dyDescent="0.2">
      <c r="J595"/>
      <c r="K595"/>
      <c r="L595"/>
      <c r="M595"/>
      <c r="N595" s="2"/>
      <c r="R595"/>
      <c r="S595"/>
      <c r="T595"/>
      <c r="U595"/>
      <c r="V595"/>
    </row>
    <row r="596" spans="10:22" s="1" customFormat="1" x14ac:dyDescent="0.2">
      <c r="J596"/>
      <c r="K596"/>
      <c r="L596"/>
      <c r="M596"/>
      <c r="N596" s="2"/>
      <c r="R596"/>
      <c r="S596"/>
      <c r="T596"/>
      <c r="U596"/>
      <c r="V596"/>
    </row>
    <row r="597" spans="10:22" s="1" customFormat="1" x14ac:dyDescent="0.2">
      <c r="J597"/>
      <c r="K597"/>
      <c r="L597"/>
      <c r="M597"/>
      <c r="N597" s="2"/>
      <c r="R597"/>
      <c r="S597"/>
      <c r="T597"/>
      <c r="U597"/>
      <c r="V597"/>
    </row>
    <row r="598" spans="10:22" s="1" customFormat="1" x14ac:dyDescent="0.2">
      <c r="J598"/>
      <c r="K598"/>
      <c r="L598"/>
      <c r="M598"/>
      <c r="N598" s="2"/>
      <c r="R598"/>
      <c r="S598"/>
      <c r="T598"/>
      <c r="U598"/>
      <c r="V598"/>
    </row>
    <row r="599" spans="10:22" s="1" customFormat="1" x14ac:dyDescent="0.2">
      <c r="J599"/>
      <c r="K599"/>
      <c r="L599"/>
      <c r="M599"/>
      <c r="N599" s="2"/>
      <c r="R599"/>
      <c r="S599"/>
      <c r="T599"/>
      <c r="U599"/>
      <c r="V599"/>
    </row>
    <row r="600" spans="10:22" s="1" customFormat="1" x14ac:dyDescent="0.2">
      <c r="J600"/>
      <c r="K600"/>
      <c r="L600"/>
      <c r="M600"/>
      <c r="N600" s="2"/>
      <c r="R600"/>
      <c r="S600"/>
      <c r="T600"/>
      <c r="U600"/>
      <c r="V600"/>
    </row>
    <row r="601" spans="10:22" s="1" customFormat="1" x14ac:dyDescent="0.2">
      <c r="J601"/>
      <c r="K601"/>
      <c r="L601"/>
      <c r="M601"/>
      <c r="N601" s="2"/>
      <c r="R601"/>
      <c r="S601"/>
      <c r="T601"/>
      <c r="U601"/>
      <c r="V601"/>
    </row>
    <row r="602" spans="10:22" s="1" customFormat="1" x14ac:dyDescent="0.2">
      <c r="J602"/>
      <c r="K602"/>
      <c r="L602"/>
      <c r="M602"/>
      <c r="N602" s="2"/>
      <c r="R602"/>
      <c r="S602"/>
      <c r="T602"/>
      <c r="U602"/>
      <c r="V602"/>
    </row>
    <row r="603" spans="10:22" s="1" customFormat="1" x14ac:dyDescent="0.2">
      <c r="J603"/>
      <c r="K603"/>
      <c r="L603"/>
      <c r="M603"/>
      <c r="N603" s="2"/>
      <c r="R603"/>
      <c r="S603"/>
      <c r="T603"/>
      <c r="U603"/>
      <c r="V603"/>
    </row>
    <row r="604" spans="10:22" s="1" customFormat="1" x14ac:dyDescent="0.2">
      <c r="J604"/>
      <c r="K604"/>
      <c r="L604"/>
      <c r="M604"/>
      <c r="N604" s="2"/>
      <c r="R604"/>
      <c r="S604"/>
      <c r="T604"/>
      <c r="U604"/>
      <c r="V604"/>
    </row>
    <row r="605" spans="10:22" s="1" customFormat="1" x14ac:dyDescent="0.2">
      <c r="J605"/>
      <c r="K605"/>
      <c r="L605"/>
      <c r="M605"/>
      <c r="N605" s="2"/>
      <c r="R605"/>
      <c r="S605"/>
      <c r="T605"/>
      <c r="U605"/>
      <c r="V605"/>
    </row>
    <row r="606" spans="10:22" s="1" customFormat="1" x14ac:dyDescent="0.2">
      <c r="J606"/>
      <c r="K606"/>
      <c r="L606"/>
      <c r="M606"/>
      <c r="N606" s="2"/>
      <c r="R606"/>
      <c r="S606"/>
      <c r="T606"/>
      <c r="U606"/>
      <c r="V606"/>
    </row>
    <row r="607" spans="10:22" s="1" customFormat="1" x14ac:dyDescent="0.2">
      <c r="J607"/>
      <c r="K607"/>
      <c r="L607"/>
      <c r="M607"/>
      <c r="N607" s="2"/>
      <c r="R607"/>
      <c r="S607"/>
      <c r="T607"/>
      <c r="U607"/>
      <c r="V607"/>
    </row>
    <row r="608" spans="10:22" s="1" customFormat="1" x14ac:dyDescent="0.2">
      <c r="J608"/>
      <c r="K608"/>
      <c r="L608"/>
      <c r="M608"/>
      <c r="N608" s="2"/>
      <c r="R608"/>
      <c r="S608"/>
      <c r="T608"/>
      <c r="U608"/>
      <c r="V608"/>
    </row>
    <row r="609" spans="10:22" s="1" customFormat="1" x14ac:dyDescent="0.2">
      <c r="J609"/>
      <c r="K609"/>
      <c r="L609"/>
      <c r="M609"/>
      <c r="N609" s="2"/>
      <c r="R609"/>
      <c r="S609"/>
      <c r="T609"/>
      <c r="U609"/>
      <c r="V609"/>
    </row>
    <row r="610" spans="10:22" s="1" customFormat="1" x14ac:dyDescent="0.2">
      <c r="J610"/>
      <c r="K610"/>
      <c r="L610"/>
      <c r="M610"/>
      <c r="N610" s="2"/>
      <c r="R610"/>
      <c r="S610"/>
      <c r="T610"/>
      <c r="U610"/>
      <c r="V610"/>
    </row>
    <row r="611" spans="10:22" s="1" customFormat="1" x14ac:dyDescent="0.2">
      <c r="J611"/>
      <c r="K611"/>
      <c r="L611"/>
      <c r="M611"/>
      <c r="N611" s="2"/>
      <c r="R611"/>
      <c r="S611"/>
      <c r="T611"/>
      <c r="U611"/>
      <c r="V611"/>
    </row>
    <row r="612" spans="10:22" s="1" customFormat="1" x14ac:dyDescent="0.2">
      <c r="J612"/>
      <c r="K612"/>
      <c r="L612"/>
      <c r="M612"/>
      <c r="N612" s="2"/>
      <c r="R612"/>
      <c r="S612"/>
      <c r="T612"/>
      <c r="U612"/>
      <c r="V612"/>
    </row>
    <row r="613" spans="10:22" s="1" customFormat="1" x14ac:dyDescent="0.2">
      <c r="J613"/>
      <c r="K613"/>
      <c r="L613"/>
      <c r="M613"/>
      <c r="N613" s="2"/>
      <c r="R613"/>
      <c r="S613"/>
      <c r="T613"/>
      <c r="U613"/>
      <c r="V613"/>
    </row>
    <row r="614" spans="10:22" s="1" customFormat="1" x14ac:dyDescent="0.2">
      <c r="J614"/>
      <c r="K614"/>
      <c r="L614"/>
      <c r="M614"/>
      <c r="N614" s="2"/>
      <c r="R614"/>
      <c r="S614"/>
      <c r="T614"/>
      <c r="U614"/>
      <c r="V614"/>
    </row>
    <row r="615" spans="10:22" s="1" customFormat="1" x14ac:dyDescent="0.2">
      <c r="J615"/>
      <c r="K615"/>
      <c r="L615"/>
      <c r="M615"/>
      <c r="N615" s="2"/>
      <c r="R615"/>
      <c r="S615"/>
      <c r="T615"/>
      <c r="U615"/>
      <c r="V615"/>
    </row>
    <row r="616" spans="10:22" s="1" customFormat="1" x14ac:dyDescent="0.2">
      <c r="J616"/>
      <c r="K616"/>
      <c r="L616"/>
      <c r="M616"/>
      <c r="N616" s="2"/>
      <c r="R616"/>
      <c r="S616"/>
      <c r="T616"/>
      <c r="U616"/>
      <c r="V616"/>
    </row>
    <row r="617" spans="10:22" s="1" customFormat="1" x14ac:dyDescent="0.2">
      <c r="J617"/>
      <c r="K617"/>
      <c r="L617"/>
      <c r="M617"/>
      <c r="N617" s="2"/>
      <c r="R617"/>
      <c r="S617"/>
      <c r="T617"/>
      <c r="U617"/>
      <c r="V617"/>
    </row>
    <row r="618" spans="10:22" s="1" customFormat="1" x14ac:dyDescent="0.2">
      <c r="J618"/>
      <c r="K618"/>
      <c r="L618"/>
      <c r="M618"/>
      <c r="N618" s="2"/>
      <c r="R618"/>
      <c r="S618"/>
      <c r="T618"/>
      <c r="U618"/>
      <c r="V618"/>
    </row>
    <row r="619" spans="10:22" s="1" customFormat="1" x14ac:dyDescent="0.2">
      <c r="J619"/>
      <c r="K619"/>
      <c r="L619"/>
      <c r="M619"/>
      <c r="N619" s="2"/>
      <c r="R619"/>
      <c r="S619"/>
      <c r="T619"/>
      <c r="U619"/>
      <c r="V619"/>
    </row>
    <row r="620" spans="10:22" s="1" customFormat="1" x14ac:dyDescent="0.2">
      <c r="J620"/>
      <c r="K620"/>
      <c r="L620"/>
      <c r="M620"/>
      <c r="N620" s="2"/>
      <c r="R620"/>
      <c r="S620"/>
      <c r="T620"/>
      <c r="U620"/>
      <c r="V620"/>
    </row>
    <row r="621" spans="10:22" s="1" customFormat="1" x14ac:dyDescent="0.2">
      <c r="J621"/>
      <c r="K621"/>
      <c r="L621"/>
      <c r="M621"/>
      <c r="N621" s="2"/>
      <c r="R621"/>
      <c r="S621"/>
      <c r="T621"/>
      <c r="U621"/>
      <c r="V621"/>
    </row>
    <row r="622" spans="10:22" s="1" customFormat="1" x14ac:dyDescent="0.2">
      <c r="J622"/>
      <c r="K622"/>
      <c r="L622"/>
      <c r="M622"/>
      <c r="N622" s="2"/>
      <c r="R622"/>
      <c r="S622"/>
      <c r="T622"/>
      <c r="U622"/>
      <c r="V622"/>
    </row>
    <row r="623" spans="10:22" s="1" customFormat="1" x14ac:dyDescent="0.2">
      <c r="J623"/>
      <c r="K623"/>
      <c r="L623"/>
      <c r="M623"/>
      <c r="N623" s="2"/>
      <c r="R623"/>
      <c r="S623"/>
      <c r="T623"/>
      <c r="U623"/>
      <c r="V623"/>
    </row>
    <row r="624" spans="10:22" s="1" customFormat="1" x14ac:dyDescent="0.2">
      <c r="J624"/>
      <c r="K624"/>
      <c r="L624"/>
      <c r="M624"/>
      <c r="N624" s="2"/>
      <c r="R624"/>
      <c r="S624"/>
      <c r="T624"/>
      <c r="U624"/>
      <c r="V624"/>
    </row>
    <row r="625" spans="10:22" s="1" customFormat="1" x14ac:dyDescent="0.2">
      <c r="J625"/>
      <c r="K625"/>
      <c r="L625"/>
      <c r="M625"/>
      <c r="N625" s="2"/>
      <c r="R625"/>
      <c r="S625"/>
      <c r="T625"/>
      <c r="U625"/>
      <c r="V625"/>
    </row>
    <row r="626" spans="10:22" s="1" customFormat="1" x14ac:dyDescent="0.2">
      <c r="J626"/>
      <c r="K626"/>
      <c r="L626"/>
      <c r="M626"/>
      <c r="N626" s="2"/>
      <c r="R626"/>
      <c r="S626"/>
      <c r="T626"/>
      <c r="U626"/>
      <c r="V626"/>
    </row>
    <row r="627" spans="10:22" s="1" customFormat="1" x14ac:dyDescent="0.2">
      <c r="J627"/>
      <c r="K627"/>
      <c r="L627"/>
      <c r="M627"/>
      <c r="N627" s="2"/>
      <c r="R627"/>
      <c r="S627"/>
      <c r="T627"/>
      <c r="U627"/>
      <c r="V627"/>
    </row>
    <row r="628" spans="10:22" s="1" customFormat="1" x14ac:dyDescent="0.2">
      <c r="J628"/>
      <c r="K628"/>
      <c r="L628"/>
      <c r="M628"/>
      <c r="N628" s="2"/>
      <c r="R628"/>
      <c r="S628"/>
      <c r="T628"/>
      <c r="U628"/>
      <c r="V628"/>
    </row>
    <row r="629" spans="10:22" s="1" customFormat="1" x14ac:dyDescent="0.2">
      <c r="J629"/>
      <c r="K629"/>
      <c r="L629"/>
      <c r="M629"/>
      <c r="N629" s="2"/>
      <c r="R629"/>
      <c r="S629"/>
      <c r="T629"/>
      <c r="U629"/>
      <c r="V629"/>
    </row>
    <row r="630" spans="10:22" s="1" customFormat="1" x14ac:dyDescent="0.2">
      <c r="J630"/>
      <c r="K630"/>
      <c r="L630"/>
      <c r="M630"/>
      <c r="N630" s="2"/>
      <c r="R630"/>
      <c r="S630"/>
      <c r="T630"/>
      <c r="U630"/>
      <c r="V630"/>
    </row>
    <row r="631" spans="10:22" s="1" customFormat="1" x14ac:dyDescent="0.2">
      <c r="J631"/>
      <c r="K631"/>
      <c r="L631"/>
      <c r="M631"/>
      <c r="N631" s="2"/>
      <c r="R631"/>
      <c r="S631"/>
      <c r="T631"/>
      <c r="U631"/>
      <c r="V631"/>
    </row>
    <row r="632" spans="10:22" s="1" customFormat="1" x14ac:dyDescent="0.2">
      <c r="J632"/>
      <c r="K632"/>
      <c r="L632"/>
      <c r="M632"/>
      <c r="N632" s="2"/>
      <c r="R632"/>
      <c r="S632"/>
      <c r="T632"/>
      <c r="U632"/>
      <c r="V632"/>
    </row>
    <row r="633" spans="10:22" s="1" customFormat="1" x14ac:dyDescent="0.2">
      <c r="J633"/>
      <c r="K633"/>
      <c r="L633"/>
      <c r="M633"/>
      <c r="N633" s="2"/>
      <c r="R633"/>
      <c r="S633"/>
      <c r="T633"/>
      <c r="U633"/>
      <c r="V633"/>
    </row>
    <row r="634" spans="10:22" s="1" customFormat="1" x14ac:dyDescent="0.2">
      <c r="J634"/>
      <c r="K634"/>
      <c r="L634"/>
      <c r="M634"/>
      <c r="N634" s="2"/>
      <c r="R634"/>
      <c r="S634"/>
      <c r="T634"/>
      <c r="U634"/>
      <c r="V634"/>
    </row>
    <row r="635" spans="10:22" s="1" customFormat="1" x14ac:dyDescent="0.2">
      <c r="J635"/>
      <c r="K635"/>
      <c r="L635"/>
      <c r="M635"/>
      <c r="N635" s="2"/>
      <c r="R635"/>
      <c r="S635"/>
      <c r="T635"/>
      <c r="U635"/>
      <c r="V635"/>
    </row>
    <row r="636" spans="10:22" s="1" customFormat="1" x14ac:dyDescent="0.2">
      <c r="J636"/>
      <c r="K636"/>
      <c r="L636"/>
      <c r="M636"/>
      <c r="N636" s="2"/>
      <c r="R636"/>
      <c r="S636"/>
      <c r="T636"/>
      <c r="U636"/>
      <c r="V636"/>
    </row>
    <row r="637" spans="10:22" s="1" customFormat="1" x14ac:dyDescent="0.2">
      <c r="J637"/>
      <c r="K637"/>
      <c r="L637"/>
      <c r="M637"/>
      <c r="N637" s="2"/>
      <c r="R637"/>
      <c r="S637"/>
      <c r="T637"/>
      <c r="U637"/>
      <c r="V637"/>
    </row>
    <row r="638" spans="10:22" s="1" customFormat="1" x14ac:dyDescent="0.2">
      <c r="J638"/>
      <c r="K638"/>
      <c r="L638"/>
      <c r="M638"/>
      <c r="N638" s="2"/>
      <c r="R638"/>
      <c r="S638"/>
      <c r="T638"/>
      <c r="U638"/>
      <c r="V638"/>
    </row>
    <row r="639" spans="10:22" s="1" customFormat="1" x14ac:dyDescent="0.2">
      <c r="J639"/>
      <c r="K639"/>
      <c r="L639"/>
      <c r="M639"/>
      <c r="N639" s="2"/>
      <c r="R639"/>
      <c r="S639"/>
      <c r="T639"/>
      <c r="U639"/>
      <c r="V639"/>
    </row>
    <row r="640" spans="10:22" s="1" customFormat="1" x14ac:dyDescent="0.2">
      <c r="J640"/>
      <c r="K640"/>
      <c r="L640"/>
      <c r="M640"/>
      <c r="N640" s="2"/>
      <c r="R640"/>
      <c r="S640"/>
      <c r="T640"/>
      <c r="U640"/>
      <c r="V640"/>
    </row>
    <row r="641" spans="10:22" s="1" customFormat="1" x14ac:dyDescent="0.2">
      <c r="J641"/>
      <c r="K641"/>
      <c r="L641"/>
      <c r="M641"/>
      <c r="N641" s="2"/>
      <c r="R641"/>
      <c r="S641"/>
      <c r="T641"/>
      <c r="U641"/>
      <c r="V641"/>
    </row>
    <row r="642" spans="10:22" s="1" customFormat="1" x14ac:dyDescent="0.2">
      <c r="J642"/>
      <c r="K642"/>
      <c r="L642"/>
      <c r="M642"/>
      <c r="N642" s="2"/>
      <c r="R642"/>
      <c r="S642"/>
      <c r="T642"/>
      <c r="U642"/>
      <c r="V642"/>
    </row>
    <row r="643" spans="10:22" s="1" customFormat="1" x14ac:dyDescent="0.2">
      <c r="J643"/>
      <c r="K643"/>
      <c r="L643"/>
      <c r="M643"/>
      <c r="N643" s="2"/>
      <c r="R643"/>
      <c r="S643"/>
      <c r="T643"/>
      <c r="U643"/>
      <c r="V643"/>
    </row>
    <row r="644" spans="10:22" s="1" customFormat="1" x14ac:dyDescent="0.2">
      <c r="J644"/>
      <c r="K644"/>
      <c r="L644"/>
      <c r="M644"/>
      <c r="N644" s="2"/>
      <c r="R644"/>
      <c r="S644"/>
      <c r="T644"/>
      <c r="U644"/>
      <c r="V644"/>
    </row>
    <row r="645" spans="10:22" s="1" customFormat="1" x14ac:dyDescent="0.2">
      <c r="J645"/>
      <c r="K645"/>
      <c r="L645"/>
      <c r="M645"/>
      <c r="N645" s="2"/>
      <c r="R645"/>
      <c r="S645"/>
      <c r="T645"/>
      <c r="U645"/>
      <c r="V645"/>
    </row>
    <row r="646" spans="10:22" s="1" customFormat="1" x14ac:dyDescent="0.2">
      <c r="J646"/>
      <c r="K646"/>
      <c r="L646"/>
      <c r="M646"/>
      <c r="N646" s="2"/>
      <c r="R646"/>
      <c r="S646"/>
      <c r="T646"/>
      <c r="U646"/>
      <c r="V646"/>
    </row>
    <row r="647" spans="10:22" s="1" customFormat="1" x14ac:dyDescent="0.2">
      <c r="J647"/>
      <c r="K647"/>
      <c r="L647"/>
      <c r="M647"/>
      <c r="N647" s="2"/>
      <c r="R647"/>
      <c r="S647"/>
      <c r="T647"/>
      <c r="U647"/>
      <c r="V647"/>
    </row>
    <row r="648" spans="10:22" s="1" customFormat="1" x14ac:dyDescent="0.2">
      <c r="J648"/>
      <c r="K648"/>
      <c r="L648"/>
      <c r="M648"/>
      <c r="N648" s="2"/>
      <c r="R648"/>
      <c r="S648"/>
      <c r="T648"/>
      <c r="U648"/>
      <c r="V648"/>
    </row>
    <row r="649" spans="10:22" s="1" customFormat="1" x14ac:dyDescent="0.2">
      <c r="J649"/>
      <c r="K649"/>
      <c r="L649"/>
      <c r="M649"/>
      <c r="N649" s="2"/>
      <c r="R649"/>
      <c r="S649"/>
      <c r="T649"/>
      <c r="U649"/>
      <c r="V649"/>
    </row>
    <row r="650" spans="10:22" s="1" customFormat="1" x14ac:dyDescent="0.2">
      <c r="J650"/>
      <c r="K650"/>
      <c r="L650"/>
      <c r="M650"/>
      <c r="N650" s="2"/>
      <c r="R650"/>
      <c r="S650"/>
      <c r="T650"/>
      <c r="U650"/>
      <c r="V650"/>
    </row>
    <row r="651" spans="10:22" s="1" customFormat="1" x14ac:dyDescent="0.2">
      <c r="J651"/>
      <c r="K651"/>
      <c r="L651"/>
      <c r="M651"/>
      <c r="N651" s="2"/>
      <c r="R651"/>
      <c r="S651"/>
      <c r="T651"/>
      <c r="U651"/>
      <c r="V651"/>
    </row>
    <row r="652" spans="10:22" s="1" customFormat="1" x14ac:dyDescent="0.2">
      <c r="J652"/>
      <c r="K652"/>
      <c r="L652"/>
      <c r="M652"/>
      <c r="N652" s="2"/>
      <c r="R652"/>
      <c r="S652"/>
      <c r="T652"/>
      <c r="U652"/>
      <c r="V652"/>
    </row>
    <row r="653" spans="10:22" s="1" customFormat="1" x14ac:dyDescent="0.2">
      <c r="J653"/>
      <c r="K653"/>
      <c r="L653"/>
      <c r="M653"/>
      <c r="N653" s="2"/>
      <c r="R653"/>
      <c r="S653"/>
      <c r="T653"/>
      <c r="U653"/>
      <c r="V653"/>
    </row>
    <row r="654" spans="10:22" s="1" customFormat="1" x14ac:dyDescent="0.2">
      <c r="J654"/>
      <c r="K654"/>
      <c r="L654"/>
      <c r="M654"/>
      <c r="N654" s="2"/>
      <c r="R654"/>
      <c r="S654"/>
      <c r="T654"/>
      <c r="U654"/>
      <c r="V654"/>
    </row>
    <row r="655" spans="10:22" s="1" customFormat="1" x14ac:dyDescent="0.2">
      <c r="J655"/>
      <c r="K655"/>
      <c r="L655"/>
      <c r="M655"/>
      <c r="N655" s="2"/>
      <c r="R655"/>
      <c r="S655"/>
      <c r="T655"/>
      <c r="U655"/>
      <c r="V655"/>
    </row>
    <row r="656" spans="10:22" s="1" customFormat="1" x14ac:dyDescent="0.2">
      <c r="J656"/>
      <c r="K656"/>
      <c r="L656"/>
      <c r="M656"/>
      <c r="N656" s="2"/>
      <c r="R656"/>
      <c r="S656"/>
      <c r="T656"/>
      <c r="U656"/>
      <c r="V656"/>
    </row>
    <row r="657" spans="10:22" s="1" customFormat="1" x14ac:dyDescent="0.2">
      <c r="J657"/>
      <c r="K657"/>
      <c r="L657"/>
      <c r="M657"/>
      <c r="N657" s="2"/>
      <c r="R657"/>
      <c r="S657"/>
      <c r="T657"/>
      <c r="U657"/>
      <c r="V657"/>
    </row>
    <row r="658" spans="10:22" s="1" customFormat="1" x14ac:dyDescent="0.2">
      <c r="J658"/>
      <c r="K658"/>
      <c r="L658"/>
      <c r="M658"/>
      <c r="N658" s="2"/>
      <c r="R658"/>
      <c r="S658"/>
      <c r="T658"/>
      <c r="U658"/>
      <c r="V658"/>
    </row>
    <row r="659" spans="10:22" s="1" customFormat="1" x14ac:dyDescent="0.2">
      <c r="J659"/>
      <c r="K659"/>
      <c r="L659"/>
      <c r="M659"/>
      <c r="N659" s="2"/>
      <c r="R659"/>
      <c r="S659"/>
      <c r="T659"/>
      <c r="U659"/>
      <c r="V659"/>
    </row>
    <row r="660" spans="10:22" s="1" customFormat="1" x14ac:dyDescent="0.2">
      <c r="J660"/>
      <c r="K660"/>
      <c r="L660"/>
      <c r="M660"/>
      <c r="N660" s="2"/>
      <c r="R660"/>
      <c r="S660"/>
      <c r="T660"/>
      <c r="U660"/>
      <c r="V660"/>
    </row>
    <row r="661" spans="10:22" s="1" customFormat="1" x14ac:dyDescent="0.2">
      <c r="J661"/>
      <c r="K661"/>
      <c r="L661"/>
      <c r="M661"/>
      <c r="N661" s="2"/>
      <c r="R661"/>
      <c r="S661"/>
      <c r="T661"/>
      <c r="U661"/>
      <c r="V661"/>
    </row>
    <row r="662" spans="10:22" s="1" customFormat="1" x14ac:dyDescent="0.2">
      <c r="J662"/>
      <c r="K662"/>
      <c r="L662"/>
      <c r="M662"/>
      <c r="N662" s="2"/>
      <c r="R662"/>
      <c r="S662"/>
      <c r="T662"/>
      <c r="U662"/>
      <c r="V662"/>
    </row>
    <row r="663" spans="10:22" s="1" customFormat="1" x14ac:dyDescent="0.2">
      <c r="J663"/>
      <c r="K663"/>
      <c r="L663"/>
      <c r="M663"/>
      <c r="N663" s="2"/>
      <c r="R663"/>
      <c r="S663"/>
      <c r="T663"/>
      <c r="U663"/>
      <c r="V663"/>
    </row>
    <row r="664" spans="10:22" s="1" customFormat="1" x14ac:dyDescent="0.2">
      <c r="J664"/>
      <c r="K664"/>
      <c r="L664"/>
      <c r="M664"/>
      <c r="N664" s="2"/>
      <c r="R664"/>
      <c r="S664"/>
      <c r="T664"/>
      <c r="U664"/>
      <c r="V664"/>
    </row>
    <row r="665" spans="10:22" s="1" customFormat="1" x14ac:dyDescent="0.2">
      <c r="J665"/>
      <c r="K665"/>
      <c r="L665"/>
      <c r="M665"/>
      <c r="N665" s="2"/>
      <c r="R665"/>
      <c r="S665"/>
      <c r="T665"/>
      <c r="U665"/>
      <c r="V665"/>
    </row>
    <row r="666" spans="10:22" s="1" customFormat="1" x14ac:dyDescent="0.2">
      <c r="J666"/>
      <c r="K666"/>
      <c r="L666"/>
      <c r="M666"/>
      <c r="N666" s="2"/>
      <c r="R666"/>
      <c r="S666"/>
      <c r="T666"/>
      <c r="U666"/>
      <c r="V666"/>
    </row>
    <row r="667" spans="10:22" s="1" customFormat="1" x14ac:dyDescent="0.2">
      <c r="J667"/>
      <c r="K667"/>
      <c r="L667"/>
      <c r="M667"/>
      <c r="N667" s="2"/>
      <c r="R667"/>
      <c r="S667"/>
      <c r="T667"/>
      <c r="U667"/>
      <c r="V667"/>
    </row>
    <row r="668" spans="10:22" s="1" customFormat="1" x14ac:dyDescent="0.2">
      <c r="J668"/>
      <c r="K668"/>
      <c r="L668"/>
      <c r="M668"/>
      <c r="N668" s="2"/>
      <c r="R668"/>
      <c r="S668"/>
      <c r="T668"/>
      <c r="U668"/>
      <c r="V668"/>
    </row>
    <row r="669" spans="10:22" s="1" customFormat="1" x14ac:dyDescent="0.2">
      <c r="J669"/>
      <c r="K669"/>
      <c r="L669"/>
      <c r="M669"/>
      <c r="N669" s="2"/>
      <c r="R669"/>
      <c r="S669"/>
      <c r="T669"/>
      <c r="U669"/>
      <c r="V669"/>
    </row>
    <row r="670" spans="10:22" s="1" customFormat="1" x14ac:dyDescent="0.2">
      <c r="J670"/>
      <c r="K670"/>
      <c r="L670"/>
      <c r="M670"/>
      <c r="N670" s="2"/>
      <c r="R670"/>
      <c r="S670"/>
      <c r="T670"/>
      <c r="U670"/>
      <c r="V670"/>
    </row>
    <row r="671" spans="10:22" s="1" customFormat="1" x14ac:dyDescent="0.2">
      <c r="J671"/>
      <c r="K671"/>
      <c r="L671"/>
      <c r="M671"/>
      <c r="N671" s="2"/>
      <c r="R671"/>
      <c r="S671"/>
      <c r="T671"/>
      <c r="U671"/>
      <c r="V671"/>
    </row>
    <row r="672" spans="10:22" s="1" customFormat="1" x14ac:dyDescent="0.2">
      <c r="J672"/>
      <c r="K672"/>
      <c r="L672"/>
      <c r="M672"/>
      <c r="N672" s="2"/>
      <c r="R672"/>
      <c r="S672"/>
      <c r="T672"/>
      <c r="U672"/>
      <c r="V672"/>
    </row>
    <row r="673" spans="10:22" s="1" customFormat="1" x14ac:dyDescent="0.2">
      <c r="J673"/>
      <c r="K673"/>
      <c r="L673"/>
      <c r="M673"/>
      <c r="N673" s="2"/>
      <c r="R673"/>
      <c r="S673"/>
      <c r="T673"/>
      <c r="U673"/>
      <c r="V673"/>
    </row>
    <row r="674" spans="10:22" s="1" customFormat="1" x14ac:dyDescent="0.2">
      <c r="J674"/>
      <c r="K674"/>
      <c r="L674"/>
      <c r="M674"/>
      <c r="N674" s="2"/>
      <c r="R674"/>
      <c r="S674"/>
      <c r="T674"/>
      <c r="U674"/>
      <c r="V674"/>
    </row>
    <row r="675" spans="10:22" s="1" customFormat="1" x14ac:dyDescent="0.2">
      <c r="J675"/>
      <c r="K675"/>
      <c r="L675"/>
      <c r="M675"/>
      <c r="N675" s="2"/>
      <c r="R675"/>
      <c r="S675"/>
      <c r="T675"/>
      <c r="U675"/>
      <c r="V675"/>
    </row>
    <row r="676" spans="10:22" s="1" customFormat="1" x14ac:dyDescent="0.2">
      <c r="J676"/>
      <c r="K676"/>
      <c r="L676"/>
      <c r="M676"/>
      <c r="N676" s="2"/>
      <c r="R676"/>
      <c r="S676"/>
      <c r="T676"/>
      <c r="U676"/>
      <c r="V676"/>
    </row>
    <row r="677" spans="10:22" s="1" customFormat="1" x14ac:dyDescent="0.2">
      <c r="J677"/>
      <c r="K677"/>
      <c r="L677"/>
      <c r="M677"/>
      <c r="N677" s="2"/>
      <c r="R677"/>
      <c r="S677"/>
      <c r="T677"/>
      <c r="U677"/>
      <c r="V677"/>
    </row>
    <row r="678" spans="10:22" s="1" customFormat="1" x14ac:dyDescent="0.2">
      <c r="J678"/>
      <c r="K678"/>
      <c r="L678"/>
      <c r="M678"/>
      <c r="N678" s="2"/>
      <c r="R678"/>
      <c r="S678"/>
      <c r="T678"/>
      <c r="U678"/>
      <c r="V678"/>
    </row>
    <row r="679" spans="10:22" s="1" customFormat="1" x14ac:dyDescent="0.2">
      <c r="J679"/>
      <c r="K679"/>
      <c r="L679"/>
      <c r="M679"/>
      <c r="N679" s="2"/>
      <c r="R679"/>
      <c r="S679"/>
      <c r="T679"/>
      <c r="U679"/>
      <c r="V679"/>
    </row>
    <row r="680" spans="10:22" s="1" customFormat="1" x14ac:dyDescent="0.2">
      <c r="J680"/>
      <c r="K680"/>
      <c r="L680"/>
      <c r="M680"/>
      <c r="N680" s="2"/>
      <c r="R680"/>
      <c r="S680"/>
      <c r="T680"/>
      <c r="U680"/>
      <c r="V680"/>
    </row>
    <row r="681" spans="10:22" s="1" customFormat="1" x14ac:dyDescent="0.2">
      <c r="J681"/>
      <c r="K681"/>
      <c r="L681"/>
      <c r="M681"/>
      <c r="N681" s="2"/>
      <c r="R681"/>
      <c r="S681"/>
      <c r="T681"/>
      <c r="U681"/>
      <c r="V681"/>
    </row>
    <row r="682" spans="10:22" s="1" customFormat="1" x14ac:dyDescent="0.2">
      <c r="J682"/>
      <c r="K682"/>
      <c r="L682"/>
      <c r="M682"/>
      <c r="N682" s="2"/>
      <c r="R682"/>
      <c r="S682"/>
      <c r="T682"/>
      <c r="U682"/>
      <c r="V682"/>
    </row>
    <row r="683" spans="10:22" s="1" customFormat="1" x14ac:dyDescent="0.2">
      <c r="J683"/>
      <c r="K683"/>
      <c r="L683"/>
      <c r="M683"/>
      <c r="N683" s="2"/>
      <c r="R683"/>
      <c r="S683"/>
      <c r="T683"/>
      <c r="U683"/>
      <c r="V683"/>
    </row>
    <row r="684" spans="10:22" s="1" customFormat="1" x14ac:dyDescent="0.2">
      <c r="J684"/>
      <c r="K684"/>
      <c r="L684"/>
      <c r="M684"/>
      <c r="N684" s="2"/>
      <c r="R684"/>
      <c r="S684"/>
      <c r="T684"/>
      <c r="U684"/>
      <c r="V684"/>
    </row>
    <row r="685" spans="10:22" s="1" customFormat="1" x14ac:dyDescent="0.2">
      <c r="J685"/>
      <c r="K685"/>
      <c r="L685"/>
      <c r="M685"/>
      <c r="N685" s="2"/>
      <c r="R685"/>
      <c r="S685"/>
      <c r="T685"/>
      <c r="U685"/>
      <c r="V685"/>
    </row>
    <row r="686" spans="10:22" s="1" customFormat="1" x14ac:dyDescent="0.2">
      <c r="J686"/>
      <c r="K686"/>
      <c r="L686"/>
      <c r="M686"/>
      <c r="N686" s="2"/>
      <c r="R686"/>
      <c r="S686"/>
      <c r="T686"/>
      <c r="U686"/>
      <c r="V686"/>
    </row>
    <row r="687" spans="10:22" s="1" customFormat="1" x14ac:dyDescent="0.2">
      <c r="J687"/>
      <c r="K687"/>
      <c r="L687"/>
      <c r="M687"/>
      <c r="N687" s="2"/>
      <c r="R687"/>
      <c r="S687"/>
      <c r="T687"/>
      <c r="U687"/>
      <c r="V687"/>
    </row>
    <row r="688" spans="10:22" s="1" customFormat="1" x14ac:dyDescent="0.2">
      <c r="J688"/>
      <c r="K688"/>
      <c r="L688"/>
      <c r="M688"/>
      <c r="N688" s="2"/>
      <c r="R688"/>
      <c r="S688"/>
      <c r="T688"/>
      <c r="U688"/>
      <c r="V688"/>
    </row>
    <row r="689" spans="10:22" s="1" customFormat="1" x14ac:dyDescent="0.2">
      <c r="J689"/>
      <c r="K689"/>
      <c r="L689"/>
      <c r="M689"/>
      <c r="N689" s="2"/>
      <c r="R689"/>
      <c r="S689"/>
      <c r="T689"/>
      <c r="U689"/>
      <c r="V689"/>
    </row>
    <row r="690" spans="10:22" s="1" customFormat="1" x14ac:dyDescent="0.2">
      <c r="J690"/>
      <c r="K690"/>
      <c r="L690"/>
      <c r="M690"/>
      <c r="N690" s="2"/>
      <c r="R690"/>
      <c r="S690"/>
      <c r="T690"/>
      <c r="U690"/>
      <c r="V690"/>
    </row>
    <row r="691" spans="10:22" s="1" customFormat="1" x14ac:dyDescent="0.2">
      <c r="J691"/>
      <c r="K691"/>
      <c r="L691"/>
      <c r="M691"/>
      <c r="N691" s="2"/>
      <c r="R691"/>
      <c r="S691"/>
      <c r="T691"/>
      <c r="U691"/>
      <c r="V691"/>
    </row>
    <row r="692" spans="10:22" s="1" customFormat="1" x14ac:dyDescent="0.2">
      <c r="J692"/>
      <c r="K692"/>
      <c r="L692"/>
      <c r="M692"/>
      <c r="N692" s="2"/>
      <c r="R692"/>
      <c r="S692"/>
      <c r="T692"/>
      <c r="U692"/>
      <c r="V692"/>
    </row>
    <row r="693" spans="10:22" s="1" customFormat="1" x14ac:dyDescent="0.2">
      <c r="J693"/>
      <c r="K693"/>
      <c r="L693"/>
      <c r="M693"/>
      <c r="N693" s="2"/>
      <c r="R693"/>
      <c r="S693"/>
      <c r="T693"/>
      <c r="U693"/>
      <c r="V693"/>
    </row>
    <row r="694" spans="10:22" s="1" customFormat="1" x14ac:dyDescent="0.2">
      <c r="J694"/>
      <c r="K694"/>
      <c r="L694"/>
      <c r="M694"/>
      <c r="N694" s="2"/>
      <c r="R694"/>
      <c r="S694"/>
      <c r="T694"/>
      <c r="U694"/>
      <c r="V694"/>
    </row>
    <row r="695" spans="10:22" s="1" customFormat="1" x14ac:dyDescent="0.2">
      <c r="J695"/>
      <c r="K695"/>
      <c r="L695"/>
      <c r="M695"/>
      <c r="N695" s="2"/>
      <c r="R695"/>
      <c r="S695"/>
      <c r="T695"/>
      <c r="U695"/>
      <c r="V695"/>
    </row>
    <row r="696" spans="10:22" s="1" customFormat="1" x14ac:dyDescent="0.2">
      <c r="J696"/>
      <c r="K696"/>
      <c r="L696"/>
      <c r="M696"/>
      <c r="N696" s="2"/>
      <c r="R696"/>
      <c r="S696"/>
      <c r="T696"/>
      <c r="U696"/>
      <c r="V696"/>
    </row>
    <row r="697" spans="10:22" s="1" customFormat="1" x14ac:dyDescent="0.2">
      <c r="J697"/>
      <c r="K697"/>
      <c r="L697"/>
      <c r="M697"/>
      <c r="N697" s="2"/>
      <c r="R697"/>
      <c r="S697"/>
      <c r="T697"/>
      <c r="U697"/>
      <c r="V697"/>
    </row>
    <row r="698" spans="10:22" s="1" customFormat="1" x14ac:dyDescent="0.2">
      <c r="J698"/>
      <c r="K698"/>
      <c r="L698"/>
      <c r="M698"/>
      <c r="N698" s="2"/>
      <c r="R698"/>
      <c r="S698"/>
      <c r="T698"/>
      <c r="U698"/>
      <c r="V698"/>
    </row>
    <row r="699" spans="10:22" s="1" customFormat="1" x14ac:dyDescent="0.2">
      <c r="J699"/>
      <c r="K699"/>
      <c r="L699"/>
      <c r="M699"/>
      <c r="N699" s="2"/>
      <c r="R699"/>
      <c r="S699"/>
      <c r="T699"/>
      <c r="U699"/>
      <c r="V699"/>
    </row>
    <row r="700" spans="10:22" s="1" customFormat="1" x14ac:dyDescent="0.2">
      <c r="J700"/>
      <c r="K700"/>
      <c r="L700"/>
      <c r="M700"/>
      <c r="N700" s="2"/>
      <c r="R700"/>
      <c r="S700"/>
      <c r="T700"/>
      <c r="U700"/>
      <c r="V700"/>
    </row>
    <row r="701" spans="10:22" s="1" customFormat="1" x14ac:dyDescent="0.2">
      <c r="J701"/>
      <c r="K701"/>
      <c r="L701"/>
      <c r="M701"/>
      <c r="N701" s="2"/>
      <c r="R701"/>
      <c r="S701"/>
      <c r="T701"/>
      <c r="U701"/>
      <c r="V701"/>
    </row>
    <row r="702" spans="10:22" s="1" customFormat="1" x14ac:dyDescent="0.2">
      <c r="J702"/>
      <c r="K702"/>
      <c r="L702"/>
      <c r="M702"/>
      <c r="N702" s="2"/>
      <c r="R702"/>
      <c r="S702"/>
      <c r="T702"/>
      <c r="U702"/>
      <c r="V702"/>
    </row>
    <row r="703" spans="10:22" s="1" customFormat="1" x14ac:dyDescent="0.2">
      <c r="J703"/>
      <c r="K703"/>
      <c r="L703"/>
      <c r="M703"/>
      <c r="N703" s="2"/>
      <c r="R703"/>
      <c r="S703"/>
      <c r="T703"/>
      <c r="U703"/>
      <c r="V703"/>
    </row>
    <row r="704" spans="10:22" s="1" customFormat="1" x14ac:dyDescent="0.2">
      <c r="J704"/>
      <c r="K704"/>
      <c r="L704"/>
      <c r="M704"/>
      <c r="N704" s="2"/>
      <c r="R704"/>
      <c r="S704"/>
      <c r="T704"/>
      <c r="U704"/>
      <c r="V704"/>
    </row>
    <row r="705" spans="10:22" s="1" customFormat="1" x14ac:dyDescent="0.2">
      <c r="J705"/>
      <c r="K705"/>
      <c r="L705"/>
      <c r="M705"/>
      <c r="N705" s="2"/>
      <c r="R705"/>
      <c r="S705"/>
      <c r="T705"/>
      <c r="U705"/>
      <c r="V705"/>
    </row>
    <row r="706" spans="10:22" s="1" customFormat="1" x14ac:dyDescent="0.2">
      <c r="J706"/>
      <c r="K706"/>
      <c r="L706"/>
      <c r="M706"/>
      <c r="N706" s="2"/>
      <c r="R706"/>
      <c r="S706"/>
      <c r="T706"/>
      <c r="U706"/>
      <c r="V706"/>
    </row>
    <row r="707" spans="10:22" s="1" customFormat="1" x14ac:dyDescent="0.2">
      <c r="J707"/>
      <c r="K707"/>
      <c r="L707"/>
      <c r="M707"/>
      <c r="N707" s="2"/>
      <c r="R707"/>
      <c r="S707"/>
      <c r="T707"/>
      <c r="U707"/>
      <c r="V707"/>
    </row>
    <row r="708" spans="10:22" s="1" customFormat="1" x14ac:dyDescent="0.2">
      <c r="J708"/>
      <c r="K708"/>
      <c r="L708"/>
      <c r="M708"/>
      <c r="N708" s="2"/>
      <c r="R708"/>
      <c r="S708"/>
      <c r="T708"/>
      <c r="U708"/>
      <c r="V708"/>
    </row>
    <row r="709" spans="10:22" s="1" customFormat="1" x14ac:dyDescent="0.2">
      <c r="J709"/>
      <c r="K709"/>
      <c r="L709"/>
      <c r="M709"/>
      <c r="N709" s="2"/>
      <c r="R709"/>
      <c r="S709"/>
      <c r="T709"/>
      <c r="U709"/>
      <c r="V709"/>
    </row>
    <row r="710" spans="10:22" s="1" customFormat="1" x14ac:dyDescent="0.2">
      <c r="J710"/>
      <c r="K710"/>
      <c r="L710"/>
      <c r="M710"/>
      <c r="N710" s="2"/>
      <c r="R710"/>
      <c r="S710"/>
      <c r="T710"/>
      <c r="U710"/>
      <c r="V710"/>
    </row>
    <row r="711" spans="10:22" s="1" customFormat="1" x14ac:dyDescent="0.2">
      <c r="J711"/>
      <c r="K711"/>
      <c r="L711"/>
      <c r="M711"/>
      <c r="N711" s="2"/>
      <c r="R711"/>
      <c r="S711"/>
      <c r="T711"/>
      <c r="U711"/>
      <c r="V711"/>
    </row>
    <row r="712" spans="10:22" s="1" customFormat="1" x14ac:dyDescent="0.2">
      <c r="J712"/>
      <c r="K712"/>
      <c r="L712"/>
      <c r="M712"/>
      <c r="N712" s="2"/>
      <c r="R712"/>
      <c r="S712"/>
      <c r="T712"/>
      <c r="U712"/>
      <c r="V712"/>
    </row>
    <row r="713" spans="10:22" s="1" customFormat="1" x14ac:dyDescent="0.2">
      <c r="J713"/>
      <c r="K713"/>
      <c r="L713"/>
      <c r="M713"/>
      <c r="N713" s="2"/>
      <c r="R713"/>
      <c r="S713"/>
      <c r="T713"/>
      <c r="U713"/>
      <c r="V713"/>
    </row>
    <row r="714" spans="10:22" s="1" customFormat="1" x14ac:dyDescent="0.2">
      <c r="J714"/>
      <c r="K714"/>
      <c r="L714"/>
      <c r="M714"/>
      <c r="N714" s="2"/>
      <c r="R714"/>
      <c r="S714"/>
      <c r="T714"/>
      <c r="U714"/>
      <c r="V714"/>
    </row>
    <row r="715" spans="10:22" s="1" customFormat="1" x14ac:dyDescent="0.2">
      <c r="J715"/>
      <c r="K715"/>
      <c r="L715"/>
      <c r="M715"/>
      <c r="N715" s="2"/>
      <c r="R715"/>
      <c r="S715"/>
      <c r="T715"/>
      <c r="U715"/>
      <c r="V715"/>
    </row>
    <row r="716" spans="10:22" s="1" customFormat="1" x14ac:dyDescent="0.2">
      <c r="J716"/>
      <c r="K716"/>
      <c r="L716"/>
      <c r="M716"/>
      <c r="N716" s="2"/>
      <c r="R716"/>
      <c r="S716"/>
      <c r="T716"/>
      <c r="U716"/>
      <c r="V716"/>
    </row>
    <row r="717" spans="10:22" s="1" customFormat="1" x14ac:dyDescent="0.2">
      <c r="J717"/>
      <c r="K717"/>
      <c r="L717"/>
      <c r="M717"/>
      <c r="N717" s="2"/>
      <c r="R717"/>
      <c r="S717"/>
      <c r="T717"/>
      <c r="U717"/>
      <c r="V717"/>
    </row>
    <row r="718" spans="10:22" s="1" customFormat="1" x14ac:dyDescent="0.2">
      <c r="J718"/>
      <c r="K718"/>
      <c r="L718"/>
      <c r="M718"/>
      <c r="N718" s="2"/>
      <c r="R718"/>
      <c r="S718"/>
      <c r="T718"/>
      <c r="U718"/>
      <c r="V718"/>
    </row>
    <row r="719" spans="10:22" s="1" customFormat="1" x14ac:dyDescent="0.2">
      <c r="J719"/>
      <c r="K719"/>
      <c r="L719"/>
      <c r="M719"/>
      <c r="N719" s="2"/>
      <c r="R719"/>
      <c r="S719"/>
      <c r="T719"/>
      <c r="U719"/>
      <c r="V719"/>
    </row>
    <row r="720" spans="10:22" s="1" customFormat="1" x14ac:dyDescent="0.2">
      <c r="J720"/>
      <c r="K720"/>
      <c r="L720"/>
      <c r="M720"/>
      <c r="N720" s="2"/>
      <c r="R720"/>
      <c r="S720"/>
      <c r="T720"/>
      <c r="U720"/>
      <c r="V720"/>
    </row>
    <row r="721" spans="10:22" s="1" customFormat="1" x14ac:dyDescent="0.2">
      <c r="J721"/>
      <c r="K721"/>
      <c r="L721"/>
      <c r="M721"/>
      <c r="N721" s="2"/>
      <c r="R721"/>
      <c r="S721"/>
      <c r="T721"/>
      <c r="U721"/>
      <c r="V721"/>
    </row>
    <row r="722" spans="10:22" s="1" customFormat="1" x14ac:dyDescent="0.2">
      <c r="J722"/>
      <c r="K722"/>
      <c r="L722"/>
      <c r="M722"/>
      <c r="N722" s="2"/>
      <c r="R722"/>
      <c r="S722"/>
      <c r="T722"/>
      <c r="U722"/>
      <c r="V722"/>
    </row>
    <row r="723" spans="10:22" s="1" customFormat="1" x14ac:dyDescent="0.2">
      <c r="J723"/>
      <c r="K723"/>
      <c r="L723"/>
      <c r="M723"/>
      <c r="N723" s="2"/>
      <c r="R723"/>
      <c r="S723"/>
      <c r="T723"/>
      <c r="U723"/>
      <c r="V723"/>
    </row>
    <row r="724" spans="10:22" s="1" customFormat="1" x14ac:dyDescent="0.2">
      <c r="J724"/>
      <c r="K724"/>
      <c r="L724"/>
      <c r="M724"/>
      <c r="N724" s="2"/>
      <c r="R724"/>
      <c r="S724"/>
      <c r="T724"/>
      <c r="U724"/>
      <c r="V724"/>
    </row>
    <row r="725" spans="10:22" s="1" customFormat="1" x14ac:dyDescent="0.2">
      <c r="J725"/>
      <c r="K725"/>
      <c r="L725"/>
      <c r="M725"/>
      <c r="N725" s="2"/>
      <c r="R725"/>
      <c r="S725"/>
      <c r="T725"/>
      <c r="U725"/>
      <c r="V725"/>
    </row>
    <row r="726" spans="10:22" s="1" customFormat="1" x14ac:dyDescent="0.2">
      <c r="J726"/>
      <c r="K726"/>
      <c r="L726"/>
      <c r="M726"/>
      <c r="N726" s="2"/>
      <c r="R726"/>
      <c r="S726"/>
      <c r="T726"/>
      <c r="U726"/>
      <c r="V726"/>
    </row>
    <row r="727" spans="10:22" s="1" customFormat="1" x14ac:dyDescent="0.2">
      <c r="J727"/>
      <c r="K727"/>
      <c r="L727"/>
      <c r="M727"/>
      <c r="N727" s="2"/>
      <c r="R727"/>
      <c r="S727"/>
      <c r="T727"/>
      <c r="U727"/>
      <c r="V727"/>
    </row>
    <row r="728" spans="10:22" s="1" customFormat="1" x14ac:dyDescent="0.2">
      <c r="J728"/>
      <c r="K728"/>
      <c r="L728"/>
      <c r="M728"/>
      <c r="N728" s="2"/>
      <c r="R728"/>
      <c r="S728"/>
      <c r="T728"/>
      <c r="U728"/>
      <c r="V728"/>
    </row>
    <row r="729" spans="10:22" s="1" customFormat="1" x14ac:dyDescent="0.2">
      <c r="J729"/>
      <c r="K729"/>
      <c r="L729"/>
      <c r="M729"/>
      <c r="N729" s="2"/>
      <c r="R729"/>
      <c r="S729"/>
      <c r="T729"/>
      <c r="U729"/>
      <c r="V729"/>
    </row>
    <row r="730" spans="10:22" s="1" customFormat="1" x14ac:dyDescent="0.2">
      <c r="J730"/>
      <c r="K730"/>
      <c r="L730"/>
      <c r="M730"/>
      <c r="N730" s="2"/>
      <c r="R730"/>
      <c r="S730"/>
      <c r="T730"/>
      <c r="U730"/>
      <c r="V730"/>
    </row>
    <row r="731" spans="10:22" s="1" customFormat="1" x14ac:dyDescent="0.2">
      <c r="J731"/>
      <c r="K731"/>
      <c r="L731"/>
      <c r="M731"/>
      <c r="N731" s="2"/>
      <c r="R731"/>
      <c r="S731"/>
      <c r="T731"/>
      <c r="U731"/>
      <c r="V731"/>
    </row>
    <row r="732" spans="10:22" s="1" customFormat="1" x14ac:dyDescent="0.2">
      <c r="J732"/>
      <c r="K732"/>
      <c r="L732"/>
      <c r="M732"/>
      <c r="N732" s="2"/>
      <c r="R732"/>
      <c r="S732"/>
      <c r="T732"/>
      <c r="U732"/>
      <c r="V732"/>
    </row>
    <row r="733" spans="10:22" s="1" customFormat="1" x14ac:dyDescent="0.2">
      <c r="J733"/>
      <c r="K733"/>
      <c r="L733"/>
      <c r="M733"/>
      <c r="N733" s="2"/>
      <c r="R733"/>
      <c r="S733"/>
      <c r="T733"/>
      <c r="U733"/>
      <c r="V733"/>
    </row>
    <row r="734" spans="10:22" s="1" customFormat="1" x14ac:dyDescent="0.2">
      <c r="J734"/>
      <c r="K734"/>
      <c r="L734"/>
      <c r="M734"/>
      <c r="N734" s="2"/>
      <c r="R734"/>
      <c r="S734"/>
      <c r="T734"/>
      <c r="U734"/>
      <c r="V734"/>
    </row>
  </sheetData>
  <mergeCells count="92">
    <mergeCell ref="U8:U9"/>
    <mergeCell ref="B6:B7"/>
    <mergeCell ref="E6:E7"/>
    <mergeCell ref="M8:M9"/>
    <mergeCell ref="I8:I9"/>
    <mergeCell ref="O8:O9"/>
    <mergeCell ref="Q8:Q9"/>
    <mergeCell ref="S8:S9"/>
    <mergeCell ref="B8:B9"/>
    <mergeCell ref="E8:E9"/>
    <mergeCell ref="J8:J9"/>
    <mergeCell ref="K8:K9"/>
    <mergeCell ref="F8:F9"/>
    <mergeCell ref="H8:H9"/>
    <mergeCell ref="J6:J7"/>
    <mergeCell ref="K6:K7"/>
    <mergeCell ref="Q6:Q7"/>
    <mergeCell ref="B2:V2"/>
    <mergeCell ref="K4:K5"/>
    <mergeCell ref="B4:B5"/>
    <mergeCell ref="E4:E5"/>
    <mergeCell ref="Q4:Q5"/>
    <mergeCell ref="S4:S5"/>
    <mergeCell ref="U4:U5"/>
    <mergeCell ref="J4:J5"/>
    <mergeCell ref="S6:S7"/>
    <mergeCell ref="U6:U7"/>
    <mergeCell ref="V8:V9"/>
    <mergeCell ref="E61:F61"/>
    <mergeCell ref="J61:J63"/>
    <mergeCell ref="E62:F62"/>
    <mergeCell ref="E63:F63"/>
    <mergeCell ref="Q20:Q21"/>
    <mergeCell ref="S20:S21"/>
    <mergeCell ref="E22:E23"/>
    <mergeCell ref="Q22:Q23"/>
    <mergeCell ref="S22:S23"/>
    <mergeCell ref="J22:J23"/>
    <mergeCell ref="K22:K23"/>
    <mergeCell ref="K27:K29"/>
    <mergeCell ref="Q27:Q29"/>
    <mergeCell ref="S27:S29"/>
    <mergeCell ref="J31:J32"/>
    <mergeCell ref="U11:U12"/>
    <mergeCell ref="B11:B12"/>
    <mergeCell ref="E11:E12"/>
    <mergeCell ref="J11:J12"/>
    <mergeCell ref="K11:K12"/>
    <mergeCell ref="Q11:Q12"/>
    <mergeCell ref="S11:S12"/>
    <mergeCell ref="U15:U16"/>
    <mergeCell ref="V15:V16"/>
    <mergeCell ref="B15:B16"/>
    <mergeCell ref="E15:E16"/>
    <mergeCell ref="J15:J16"/>
    <mergeCell ref="K15:K16"/>
    <mergeCell ref="Q15:Q16"/>
    <mergeCell ref="S15:S16"/>
    <mergeCell ref="D16:D17"/>
    <mergeCell ref="U20:U21"/>
    <mergeCell ref="B18:B19"/>
    <mergeCell ref="E18:E19"/>
    <mergeCell ref="F18:F19"/>
    <mergeCell ref="H18:H19"/>
    <mergeCell ref="I18:I19"/>
    <mergeCell ref="J18:J19"/>
    <mergeCell ref="J20:J21"/>
    <mergeCell ref="K20:K21"/>
    <mergeCell ref="E20:E21"/>
    <mergeCell ref="B20:B21"/>
    <mergeCell ref="U18:U19"/>
    <mergeCell ref="V18:V19"/>
    <mergeCell ref="K18:K19"/>
    <mergeCell ref="L18:L19"/>
    <mergeCell ref="M18:M19"/>
    <mergeCell ref="O18:O19"/>
    <mergeCell ref="Q18:Q19"/>
    <mergeCell ref="S18:S19"/>
    <mergeCell ref="U31:U32"/>
    <mergeCell ref="B31:B32"/>
    <mergeCell ref="E31:E32"/>
    <mergeCell ref="V22:V23"/>
    <mergeCell ref="U22:U23"/>
    <mergeCell ref="V31:V32"/>
    <mergeCell ref="U27:U29"/>
    <mergeCell ref="B27:B29"/>
    <mergeCell ref="E27:E29"/>
    <mergeCell ref="J27:J29"/>
    <mergeCell ref="B22:B23"/>
    <mergeCell ref="K31:K32"/>
    <mergeCell ref="Q31:Q32"/>
    <mergeCell ref="S31:S32"/>
  </mergeCells>
  <conditionalFormatting sqref="I65:I71">
    <cfRule type="cellIs" dxfId="421" priority="180" stopIfTrue="1" operator="greaterThan">
      <formula>1.5%</formula>
    </cfRule>
    <cfRule type="cellIs" dxfId="420" priority="181" stopIfTrue="1" operator="lessThan">
      <formula>0%</formula>
    </cfRule>
  </conditionalFormatting>
  <conditionalFormatting sqref="I73">
    <cfRule type="cellIs" dxfId="419" priority="175" stopIfTrue="1" operator="lessThan">
      <formula>438</formula>
    </cfRule>
  </conditionalFormatting>
  <conditionalFormatting sqref="J3 B2 J72:J65536">
    <cfRule type="cellIs" dxfId="418" priority="198" stopIfTrue="1" operator="lessThan">
      <formula>438</formula>
    </cfRule>
  </conditionalFormatting>
  <conditionalFormatting sqref="J3">
    <cfRule type="cellIs" dxfId="417" priority="195" stopIfTrue="1" operator="lessThan">
      <formula>456.25</formula>
    </cfRule>
  </conditionalFormatting>
  <conditionalFormatting sqref="J4">
    <cfRule type="cellIs" dxfId="416" priority="174" stopIfTrue="1" operator="lessThan">
      <formula>462</formula>
    </cfRule>
  </conditionalFormatting>
  <conditionalFormatting sqref="J6 J8">
    <cfRule type="cellIs" dxfId="415" priority="90" stopIfTrue="1" operator="lessThan">
      <formula>462</formula>
    </cfRule>
  </conditionalFormatting>
  <conditionalFormatting sqref="J10:J11">
    <cfRule type="cellIs" dxfId="414" priority="74" stopIfTrue="1" operator="lessThan">
      <formula>462</formula>
    </cfRule>
  </conditionalFormatting>
  <conditionalFormatting sqref="J13:J15">
    <cfRule type="cellIs" dxfId="413" priority="32" stopIfTrue="1" operator="lessThan">
      <formula>462</formula>
    </cfRule>
  </conditionalFormatting>
  <conditionalFormatting sqref="J17:J18 J20 J22">
    <cfRule type="cellIs" dxfId="412" priority="23" stopIfTrue="1" operator="lessThan">
      <formula>462</formula>
    </cfRule>
  </conditionalFormatting>
  <conditionalFormatting sqref="J24:J27">
    <cfRule type="cellIs" dxfId="411" priority="15" stopIfTrue="1" operator="lessThan">
      <formula>462</formula>
    </cfRule>
  </conditionalFormatting>
  <conditionalFormatting sqref="J30:J31">
    <cfRule type="cellIs" dxfId="410" priority="97" stopIfTrue="1" operator="lessThan">
      <formula>462</formula>
    </cfRule>
  </conditionalFormatting>
  <conditionalFormatting sqref="J33:J60">
    <cfRule type="cellIs" dxfId="409" priority="5" stopIfTrue="1" operator="lessThan">
      <formula>462</formula>
    </cfRule>
  </conditionalFormatting>
  <conditionalFormatting sqref="J65:J71">
    <cfRule type="cellIs" dxfId="408" priority="193" stopIfTrue="1" operator="lessThan">
      <formula>73%</formula>
    </cfRule>
  </conditionalFormatting>
  <conditionalFormatting sqref="K4">
    <cfRule type="cellIs" dxfId="407" priority="172" stopIfTrue="1" operator="lessThan">
      <formula>540</formula>
    </cfRule>
  </conditionalFormatting>
  <conditionalFormatting sqref="K6 K8">
    <cfRule type="cellIs" dxfId="406" priority="89" stopIfTrue="1" operator="lessThan">
      <formula>540</formula>
    </cfRule>
  </conditionalFormatting>
  <conditionalFormatting sqref="K10:K11">
    <cfRule type="cellIs" dxfId="405" priority="73" stopIfTrue="1" operator="lessThan">
      <formula>540</formula>
    </cfRule>
  </conditionalFormatting>
  <conditionalFormatting sqref="K13:K15">
    <cfRule type="cellIs" dxfId="404" priority="31" stopIfTrue="1" operator="lessThan">
      <formula>540</formula>
    </cfRule>
  </conditionalFormatting>
  <conditionalFormatting sqref="K17:K18 K20 K22">
    <cfRule type="cellIs" dxfId="403" priority="22" stopIfTrue="1" operator="lessThan">
      <formula>540</formula>
    </cfRule>
  </conditionalFormatting>
  <conditionalFormatting sqref="K24:K27">
    <cfRule type="cellIs" dxfId="402" priority="14" stopIfTrue="1" operator="lessThan">
      <formula>540</formula>
    </cfRule>
  </conditionalFormatting>
  <conditionalFormatting sqref="K30:K31 K35:L56">
    <cfRule type="cellIs" dxfId="401" priority="95" stopIfTrue="1" operator="lessThan">
      <formula>540</formula>
    </cfRule>
  </conditionalFormatting>
  <conditionalFormatting sqref="K33:K34">
    <cfRule type="cellIs" dxfId="400" priority="4" stopIfTrue="1" operator="lessThan">
      <formula>540</formula>
    </cfRule>
  </conditionalFormatting>
  <conditionalFormatting sqref="K57:L59">
    <cfRule type="cellIs" dxfId="399" priority="188" stopIfTrue="1" operator="lessThan">
      <formula>456.25</formula>
    </cfRule>
    <cfRule type="cellIs" dxfId="398" priority="189" stopIfTrue="1" operator="lessThan">
      <formula>438</formula>
    </cfRule>
  </conditionalFormatting>
  <conditionalFormatting sqref="O4:O8">
    <cfRule type="cellIs" dxfId="397" priority="173" stopIfTrue="1" operator="greaterThan">
      <formula>1.1</formula>
    </cfRule>
  </conditionalFormatting>
  <conditionalFormatting sqref="O10:O18 O20:O61">
    <cfRule type="cellIs" dxfId="396" priority="21" stopIfTrue="1" operator="greaterThan">
      <formula>1.1</formula>
    </cfRule>
  </conditionalFormatting>
  <conditionalFormatting sqref="O61:O62">
    <cfRule type="cellIs" dxfId="395" priority="192" stopIfTrue="1" operator="lessThan">
      <formula>0%</formula>
    </cfRule>
    <cfRule type="cellIs" dxfId="394" priority="191" stopIfTrue="1" operator="greaterThan">
      <formula>1.5%</formula>
    </cfRule>
  </conditionalFormatting>
  <conditionalFormatting sqref="Q4">
    <cfRule type="cellIs" dxfId="393" priority="164" stopIfTrue="1" operator="lessThan">
      <formula>0.74</formula>
    </cfRule>
  </conditionalFormatting>
  <conditionalFormatting sqref="Q6 Q8">
    <cfRule type="cellIs" dxfId="392" priority="85" stopIfTrue="1" operator="lessThan">
      <formula>0.74</formula>
    </cfRule>
  </conditionalFormatting>
  <conditionalFormatting sqref="Q10:Q11">
    <cfRule type="cellIs" dxfId="391" priority="50" stopIfTrue="1" operator="lessThan">
      <formula>0.74</formula>
    </cfRule>
  </conditionalFormatting>
  <conditionalFormatting sqref="Q13:Q15">
    <cfRule type="cellIs" dxfId="390" priority="27" stopIfTrue="1" operator="lessThan">
      <formula>0.74</formula>
    </cfRule>
  </conditionalFormatting>
  <conditionalFormatting sqref="Q17:Q18 Q20 Q22">
    <cfRule type="cellIs" dxfId="389" priority="19" stopIfTrue="1" operator="lessThan">
      <formula>0.74</formula>
    </cfRule>
  </conditionalFormatting>
  <conditionalFormatting sqref="Q24:Q27">
    <cfRule type="cellIs" dxfId="388" priority="12" stopIfTrue="1" operator="lessThan">
      <formula>0.74</formula>
    </cfRule>
  </conditionalFormatting>
  <conditionalFormatting sqref="Q30:Q31">
    <cfRule type="cellIs" dxfId="387" priority="9" stopIfTrue="1" operator="lessThan">
      <formula>0.74</formula>
    </cfRule>
  </conditionalFormatting>
  <conditionalFormatting sqref="Q33:Q60">
    <cfRule type="cellIs" dxfId="386" priority="2" stopIfTrue="1" operator="lessThan">
      <formula>0.74</formula>
    </cfRule>
  </conditionalFormatting>
  <conditionalFormatting sqref="S42:S59">
    <cfRule type="cellIs" dxfId="385" priority="184" stopIfTrue="1" operator="lessThan">
      <formula>0.74</formula>
    </cfRule>
  </conditionalFormatting>
  <conditionalFormatting sqref="S61:S62">
    <cfRule type="cellIs" dxfId="384" priority="194" stopIfTrue="1" operator="lessThan">
      <formula>73%</formula>
    </cfRule>
  </conditionalFormatting>
  <conditionalFormatting sqref="S3:U3">
    <cfRule type="cellIs" dxfId="383" priority="165" stopIfTrue="1" operator="lessThan">
      <formula>0.65</formula>
    </cfRule>
  </conditionalFormatting>
  <conditionalFormatting sqref="S4:U4 T5">
    <cfRule type="cellIs" dxfId="382" priority="163" stopIfTrue="1" operator="lessThan">
      <formula>0.74</formula>
    </cfRule>
  </conditionalFormatting>
  <conditionalFormatting sqref="S6:U6 S8:U8">
    <cfRule type="cellIs" dxfId="381" priority="84" stopIfTrue="1" operator="lessThan">
      <formula>0.74</formula>
    </cfRule>
  </conditionalFormatting>
  <conditionalFormatting sqref="S10:U11">
    <cfRule type="cellIs" dxfId="380" priority="49" stopIfTrue="1" operator="lessThan">
      <formula>0.74</formula>
    </cfRule>
  </conditionalFormatting>
  <conditionalFormatting sqref="S13:U15">
    <cfRule type="cellIs" dxfId="379" priority="26" stopIfTrue="1" operator="lessThan">
      <formula>0.74</formula>
    </cfRule>
  </conditionalFormatting>
  <conditionalFormatting sqref="S17:U18 S20:U20 S22:U22">
    <cfRule type="cellIs" dxfId="378" priority="18" stopIfTrue="1" operator="lessThan">
      <formula>0.74</formula>
    </cfRule>
  </conditionalFormatting>
  <conditionalFormatting sqref="S24:U27">
    <cfRule type="cellIs" dxfId="377" priority="11" stopIfTrue="1" operator="lessThan">
      <formula>0.74</formula>
    </cfRule>
  </conditionalFormatting>
  <conditionalFormatting sqref="S30:U31">
    <cfRule type="cellIs" dxfId="376" priority="8" stopIfTrue="1" operator="lessThan">
      <formula>0.74</formula>
    </cfRule>
  </conditionalFormatting>
  <conditionalFormatting sqref="S33:U41">
    <cfRule type="cellIs" dxfId="375" priority="1" stopIfTrue="1" operator="lessThan">
      <formula>0.74</formula>
    </cfRule>
  </conditionalFormatting>
  <conditionalFormatting sqref="S60:U60">
    <cfRule type="cellIs" dxfId="374" priority="186" stopIfTrue="1" operator="lessThan">
      <formula>0.74</formula>
    </cfRule>
  </conditionalFormatting>
  <conditionalFormatting sqref="T7 T9">
    <cfRule type="cellIs" dxfId="373" priority="87" stopIfTrue="1" operator="lessThan">
      <formula>75%</formula>
    </cfRule>
  </conditionalFormatting>
  <conditionalFormatting sqref="T12">
    <cfRule type="cellIs" dxfId="372" priority="52" stopIfTrue="1" operator="lessThan">
      <formula>75%</formula>
    </cfRule>
  </conditionalFormatting>
  <conditionalFormatting sqref="T16">
    <cfRule type="cellIs" dxfId="371" priority="29" stopIfTrue="1" operator="lessThan">
      <formula>75%</formula>
    </cfRule>
  </conditionalFormatting>
  <conditionalFormatting sqref="T19 T21 T23 T28:T29 T32">
    <cfRule type="cellIs" dxfId="370" priority="93" stopIfTrue="1" operator="lessThan">
      <formula>0.74</formula>
    </cfRule>
  </conditionalFormatting>
  <conditionalFormatting sqref="T42:U59">
    <cfRule type="cellIs" dxfId="369" priority="178" stopIfTrue="1" operator="lessThan">
      <formula>75%</formula>
    </cfRule>
  </conditionalFormatting>
  <conditionalFormatting sqref="T61:U62">
    <cfRule type="cellIs" dxfId="368" priority="197" stopIfTrue="1" operator="lessThan">
      <formula>75%</formula>
    </cfRule>
  </conditionalFormatting>
  <printOptions horizontalCentered="1"/>
  <pageMargins left="0.10312499999999999" right="0.5" top="0.25" bottom="0.27" header="0.25" footer="0.27"/>
  <pageSetup paperSize="5" scale="45" orientation="landscape" r:id="rId1"/>
  <headerFooter alignWithMargins="0"/>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C402F-C695-4CA2-B392-31EFCCD6D7C9}">
  <sheetPr codeName="Sheet7">
    <pageSetUpPr fitToPage="1"/>
  </sheetPr>
  <dimension ref="B2:V734"/>
  <sheetViews>
    <sheetView showZeros="0" showWhiteSpace="0" zoomScale="70" zoomScaleNormal="70" workbookViewId="0">
      <pane ySplit="3" topLeftCell="A19" activePane="bottomLeft" state="frozen"/>
      <selection activeCell="B2" sqref="B2:W2"/>
      <selection pane="bottomLeft" activeCell="B2" sqref="B2:W2"/>
    </sheetView>
  </sheetViews>
  <sheetFormatPr defaultColWidth="9.42578125" defaultRowHeight="12.75" x14ac:dyDescent="0.2"/>
  <cols>
    <col min="2" max="2" width="10.42578125" style="1" customWidth="1"/>
    <col min="3" max="3" width="31.42578125" style="1" customWidth="1"/>
    <col min="4" max="4" width="13.5703125" style="1" customWidth="1"/>
    <col min="5" max="5" width="13.42578125" style="1" customWidth="1"/>
    <col min="6" max="6" width="14.5703125" style="1" bestFit="1" customWidth="1"/>
    <col min="7" max="7" width="15.5703125" customWidth="1"/>
    <col min="8" max="8" width="15" customWidth="1"/>
    <col min="9" max="9" width="15.5703125" style="1" customWidth="1"/>
    <col min="10" max="10" width="12.5703125" customWidth="1"/>
    <col min="11" max="11" width="11" customWidth="1"/>
    <col min="12" max="13" width="11.42578125" customWidth="1"/>
    <col min="14" max="14" width="15" style="2" bestFit="1" customWidth="1"/>
    <col min="15" max="15" width="15.5703125" style="1" bestFit="1" customWidth="1"/>
    <col min="16" max="16" width="7.5703125" style="1" hidden="1" customWidth="1"/>
    <col min="17" max="17" width="13.42578125" style="1" customWidth="1"/>
    <col min="18" max="18" width="12" hidden="1" customWidth="1"/>
    <col min="19" max="19" width="14.42578125" customWidth="1"/>
    <col min="20" max="20" width="10.42578125" hidden="1" customWidth="1"/>
    <col min="21" max="21" width="14.42578125" customWidth="1"/>
    <col min="22" max="22" width="91" customWidth="1"/>
    <col min="23" max="23" width="12.5703125" customWidth="1"/>
    <col min="24" max="24" width="13.5703125" customWidth="1"/>
  </cols>
  <sheetData>
    <row r="2" spans="2:22" ht="24" thickBot="1" x14ac:dyDescent="0.4">
      <c r="B2" s="1022" t="s">
        <v>52</v>
      </c>
      <c r="C2" s="1022"/>
      <c r="D2" s="1022"/>
      <c r="E2" s="1022"/>
      <c r="F2" s="1022"/>
      <c r="G2" s="1022"/>
      <c r="H2" s="1022"/>
      <c r="I2" s="1022"/>
      <c r="J2" s="1022"/>
      <c r="K2" s="1022"/>
      <c r="L2" s="1022"/>
      <c r="M2" s="1022"/>
      <c r="N2" s="1022"/>
      <c r="O2" s="1022"/>
      <c r="P2" s="1022"/>
      <c r="Q2" s="1022"/>
      <c r="R2" s="1022"/>
      <c r="S2" s="1022"/>
      <c r="T2" s="1022"/>
      <c r="U2" s="1022"/>
      <c r="V2" s="1022"/>
    </row>
    <row r="3" spans="2:22" ht="80.25" thickTop="1" thickBot="1" x14ac:dyDescent="0.25">
      <c r="B3" s="37" t="s">
        <v>0</v>
      </c>
      <c r="C3" s="38" t="s">
        <v>2</v>
      </c>
      <c r="D3" s="38" t="s">
        <v>12</v>
      </c>
      <c r="E3" s="38" t="s">
        <v>11</v>
      </c>
      <c r="F3" s="38" t="s">
        <v>15</v>
      </c>
      <c r="G3" s="38" t="s">
        <v>9</v>
      </c>
      <c r="H3" s="38" t="s">
        <v>17</v>
      </c>
      <c r="I3" s="38" t="s">
        <v>5</v>
      </c>
      <c r="J3" s="38" t="s">
        <v>43</v>
      </c>
      <c r="K3" s="38" t="s">
        <v>4</v>
      </c>
      <c r="L3" s="38" t="s">
        <v>161</v>
      </c>
      <c r="M3" s="38" t="s">
        <v>10</v>
      </c>
      <c r="N3" s="39" t="s">
        <v>34</v>
      </c>
      <c r="O3" s="40" t="s">
        <v>55</v>
      </c>
      <c r="P3" s="40" t="s">
        <v>8</v>
      </c>
      <c r="Q3" s="41" t="s">
        <v>7</v>
      </c>
      <c r="R3" s="41" t="s">
        <v>6</v>
      </c>
      <c r="S3" s="41" t="s">
        <v>170</v>
      </c>
      <c r="T3" s="41" t="s">
        <v>47</v>
      </c>
      <c r="U3" s="124" t="s">
        <v>170</v>
      </c>
      <c r="V3" s="5" t="s">
        <v>1</v>
      </c>
    </row>
    <row r="4" spans="2:22" s="19" customFormat="1" ht="33.75" thickTop="1" x14ac:dyDescent="0.2">
      <c r="B4" s="1252">
        <v>42522</v>
      </c>
      <c r="C4" s="48" t="s">
        <v>27</v>
      </c>
      <c r="D4" s="49"/>
      <c r="E4" s="1253">
        <v>0.3576388888888889</v>
      </c>
      <c r="F4" s="51">
        <f>SUM([16]June_2016!$J8)</f>
        <v>49.3</v>
      </c>
      <c r="G4" s="52">
        <f>SUM([16]June_2016!$F8)</f>
        <v>729</v>
      </c>
      <c r="H4" s="51">
        <f>SUM([16]June_2016!$K8)</f>
        <v>48.114000000000004</v>
      </c>
      <c r="I4" s="53">
        <f>SUM([16]June_2016!$N8)</f>
        <v>11</v>
      </c>
      <c r="J4" s="1251">
        <f>SUM([16]June_2016!$Q8)</f>
        <v>316.16326530612247</v>
      </c>
      <c r="K4" s="1251">
        <f>SUM([16]June_2016!$E8)</f>
        <v>490</v>
      </c>
      <c r="L4" s="133">
        <v>0.48958333333333331</v>
      </c>
      <c r="M4" s="54">
        <f>SUM([16]June_2016!$M8)</f>
        <v>72</v>
      </c>
      <c r="N4" s="122"/>
      <c r="O4" s="55">
        <f>SUM([16]June_2016!$P8)</f>
        <v>2.4056795131845696</v>
      </c>
      <c r="P4" s="54"/>
      <c r="Q4" s="1254">
        <f>(G4+G5)/(9*15000*(1/24))</f>
        <v>0.45902222222222222</v>
      </c>
      <c r="R4" s="56"/>
      <c r="S4" s="1074">
        <f>(G4+G5)*24/(K4/60)/15000</f>
        <v>0.50586122448979598</v>
      </c>
      <c r="T4" s="46">
        <f>(H4+H5)*24/(M4/60)/15000</f>
        <v>0.22721600000000003</v>
      </c>
      <c r="U4" s="1241">
        <f>(G4+G5)*24/(K4/60)/15300</f>
        <v>0.49594237695078036</v>
      </c>
      <c r="V4" s="24" t="s">
        <v>185</v>
      </c>
    </row>
    <row r="5" spans="2:22" s="19" customFormat="1" ht="20.25" x14ac:dyDescent="0.2">
      <c r="B5" s="1233"/>
      <c r="C5" s="48" t="s">
        <v>29</v>
      </c>
      <c r="D5" s="49">
        <v>4200</v>
      </c>
      <c r="E5" s="1218"/>
      <c r="F5" s="51">
        <f>SUM([16]June_2016!$J9)</f>
        <v>125.39999999999998</v>
      </c>
      <c r="G5" s="52">
        <f>SUM([16]June_2016!$F9)</f>
        <v>1853</v>
      </c>
      <c r="H5" s="51">
        <f>SUM([16]June_2016!$K9)</f>
        <v>122.298</v>
      </c>
      <c r="I5" s="53">
        <f>SUM([16]June_2016!$N9)</f>
        <v>20.75</v>
      </c>
      <c r="J5" s="1235"/>
      <c r="K5" s="1235"/>
      <c r="L5" s="134">
        <v>0.71736111111111101</v>
      </c>
      <c r="M5" s="54">
        <f>SUM([16]June_2016!$M9)</f>
        <v>36</v>
      </c>
      <c r="N5" s="54"/>
      <c r="O5" s="55">
        <f>SUM([16]June_2016!$P9)</f>
        <v>2.4736842105262968</v>
      </c>
      <c r="P5" s="54"/>
      <c r="Q5" s="1236"/>
      <c r="R5" s="136"/>
      <c r="S5" s="1041"/>
      <c r="T5" s="129">
        <f>(H5+H6)*24/(M5/60)/15000</f>
        <v>0.74201600000000001</v>
      </c>
      <c r="U5" s="1238"/>
      <c r="V5" s="24" t="s">
        <v>184</v>
      </c>
    </row>
    <row r="6" spans="2:22" s="19" customFormat="1" ht="23.25" customHeight="1" x14ac:dyDescent="0.2">
      <c r="B6" s="1213">
        <v>42523</v>
      </c>
      <c r="C6" s="48" t="s">
        <v>29</v>
      </c>
      <c r="D6" s="49"/>
      <c r="E6" s="1217">
        <v>0.31805555555555554</v>
      </c>
      <c r="F6" s="51">
        <f>SUM([16]June_2016!$J10)</f>
        <v>158</v>
      </c>
      <c r="G6" s="52">
        <f>SUM([16]June_2016!$F10)</f>
        <v>2363</v>
      </c>
      <c r="H6" s="51">
        <f>SUM([16]June_2016!$K10)</f>
        <v>155.958</v>
      </c>
      <c r="I6" s="53">
        <f>SUM([16]June_2016!$N10)</f>
        <v>17</v>
      </c>
      <c r="J6" s="1223">
        <f>SUM([16]June_2016!$Q10)</f>
        <v>456.12456747404849</v>
      </c>
      <c r="K6" s="1223">
        <f>SUM([16]June_2016!$E10)</f>
        <v>578</v>
      </c>
      <c r="L6" s="134">
        <v>0.55694444444444446</v>
      </c>
      <c r="M6" s="54">
        <f>SUM([16]June_2016!$M10)</f>
        <v>26</v>
      </c>
      <c r="N6" s="54"/>
      <c r="O6" s="55">
        <f>SUM([16]June_2016!$P10)</f>
        <v>1.2924050632911404</v>
      </c>
      <c r="P6" s="54"/>
      <c r="Q6" s="1227">
        <f>(G6+G7)/(10.067*15000*(1/24))</f>
        <v>0.69836098142445613</v>
      </c>
      <c r="R6" s="56"/>
      <c r="S6" s="1039">
        <f>(G6+G7)*24/(K6/60)/15000</f>
        <v>0.72979930795847758</v>
      </c>
      <c r="T6" s="46">
        <f>(H6+H7)*24/(M6/60)/15000</f>
        <v>1.070784</v>
      </c>
      <c r="U6" s="1237">
        <f>(G6+G7)*24/(K6/60)/15300</f>
        <v>0.7154895176063506</v>
      </c>
      <c r="V6" s="1208" t="s">
        <v>186</v>
      </c>
    </row>
    <row r="7" spans="2:22" s="19" customFormat="1" ht="24.75" customHeight="1" x14ac:dyDescent="0.2">
      <c r="B7" s="1214"/>
      <c r="C7" s="48" t="s">
        <v>33</v>
      </c>
      <c r="D7" s="49">
        <v>2000</v>
      </c>
      <c r="E7" s="1218"/>
      <c r="F7" s="51">
        <f>SUM([16]June_2016!$J11)</f>
        <v>135</v>
      </c>
      <c r="G7" s="52">
        <f>SUM([16]June_2016!$F11)</f>
        <v>2031</v>
      </c>
      <c r="H7" s="51">
        <f>SUM([16]June_2016!$K11)</f>
        <v>134.04599999999999</v>
      </c>
      <c r="I7" s="53">
        <f>SUM([16]June_2016!$N11)</f>
        <v>5.75</v>
      </c>
      <c r="J7" s="1224"/>
      <c r="K7" s="1224"/>
      <c r="L7" s="134">
        <v>0.80347222222222225</v>
      </c>
      <c r="M7" s="54">
        <f>SUM([16]June_2016!$M11)</f>
        <v>143</v>
      </c>
      <c r="N7" s="54"/>
      <c r="O7" s="55">
        <f>SUM([16]June_2016!$P11)</f>
        <v>0.70666666666667233</v>
      </c>
      <c r="P7" s="54"/>
      <c r="Q7" s="1228"/>
      <c r="R7" s="56"/>
      <c r="S7" s="1040"/>
      <c r="T7" s="46">
        <f>(H7+H8)*24/(M7/60)/15000</f>
        <v>0.26336492307692311</v>
      </c>
      <c r="U7" s="1239"/>
      <c r="V7" s="1209"/>
    </row>
    <row r="8" spans="2:22" s="19" customFormat="1" ht="33" x14ac:dyDescent="0.2">
      <c r="B8" s="137">
        <v>42524</v>
      </c>
      <c r="C8" s="48" t="s">
        <v>33</v>
      </c>
      <c r="D8" s="49">
        <v>3600</v>
      </c>
      <c r="E8" s="50">
        <v>0.31805555555555554</v>
      </c>
      <c r="F8" s="51">
        <f>SUM([16]June_2016!$J12)</f>
        <v>259.7</v>
      </c>
      <c r="G8" s="52">
        <f>SUM([16]June_2016!$F12)</f>
        <v>3913</v>
      </c>
      <c r="H8" s="51">
        <f>SUM([16]June_2016!$K12)</f>
        <v>258.25800000000004</v>
      </c>
      <c r="I8" s="53">
        <f>SUM([16]June_2016!$N12)</f>
        <v>18</v>
      </c>
      <c r="J8" s="54">
        <f>[16]June_2016!$Q12</f>
        <v>479.14285714285717</v>
      </c>
      <c r="K8" s="54">
        <f>[16]June_2016!$E12</f>
        <v>490</v>
      </c>
      <c r="L8" s="134">
        <v>0.7319444444444444</v>
      </c>
      <c r="M8" s="54">
        <f>SUM([16]June_2016!$M12)</f>
        <v>90</v>
      </c>
      <c r="N8" s="54"/>
      <c r="O8" s="55">
        <f>SUM([16]June_2016!$P12)</f>
        <v>0.55525606469000788</v>
      </c>
      <c r="P8" s="54"/>
      <c r="Q8" s="66">
        <f>(G8)/(8*15000*(1/24))</f>
        <v>0.78259999999999996</v>
      </c>
      <c r="R8" s="56"/>
      <c r="S8" s="46">
        <f>(G8)*24/(K8/60)/15000</f>
        <v>0.76662857142857155</v>
      </c>
      <c r="T8" s="46">
        <f>(H8+H11)*24/(M8/60)/15000</f>
        <v>0.3260224000000001</v>
      </c>
      <c r="U8" s="125">
        <f>(G8)*24/(K8/60)/15300</f>
        <v>0.75159663865546222</v>
      </c>
      <c r="V8" s="24" t="s">
        <v>187</v>
      </c>
    </row>
    <row r="9" spans="2:22" s="19" customFormat="1" ht="49.5" x14ac:dyDescent="0.2">
      <c r="B9" s="137">
        <v>42527</v>
      </c>
      <c r="C9" s="48" t="s">
        <v>27</v>
      </c>
      <c r="D9" s="49">
        <v>4200</v>
      </c>
      <c r="E9" s="50">
        <v>0.33055555555555555</v>
      </c>
      <c r="F9" s="51">
        <f>SUM([16]June_2016!$J13)</f>
        <v>318.5</v>
      </c>
      <c r="G9" s="52">
        <f>SUM([16]June_2016!$F13)</f>
        <v>4750</v>
      </c>
      <c r="H9" s="51">
        <f>SUM([16]June_2016!$K13)</f>
        <v>316.35000000000002</v>
      </c>
      <c r="I9" s="53">
        <f>SUM([16]June_2016!$N13)</f>
        <v>24</v>
      </c>
      <c r="J9" s="54">
        <f>[16]June_2016!$Q13</f>
        <v>459.67741935483866</v>
      </c>
      <c r="K9" s="54">
        <f>[16]June_2016!$E13</f>
        <v>620</v>
      </c>
      <c r="L9" s="134">
        <v>0.81041666666666667</v>
      </c>
      <c r="M9" s="54">
        <f>SUM([16]June_2016!$M13)</f>
        <v>123</v>
      </c>
      <c r="N9" s="54"/>
      <c r="O9" s="55">
        <f>SUM([16]June_2016!$P13)</f>
        <v>0.67503924646781077</v>
      </c>
      <c r="P9" s="54"/>
      <c r="Q9" s="66">
        <f>(G9)/(10.167*15000*(1/24))</f>
        <v>0.74751647486967643</v>
      </c>
      <c r="R9" s="56"/>
      <c r="S9" s="46">
        <f>(G9)*24/(K9/60)/15000</f>
        <v>0.73548387096774193</v>
      </c>
      <c r="T9" s="46">
        <f>(H9+H12)*24/(M9/60)/15000</f>
        <v>0.42920273170731715</v>
      </c>
      <c r="U9" s="125">
        <f>(G9)*24/(K9/60)/15300</f>
        <v>0.72106261859582543</v>
      </c>
      <c r="V9" s="24" t="s">
        <v>188</v>
      </c>
    </row>
    <row r="10" spans="2:22" s="19" customFormat="1" ht="20.25" x14ac:dyDescent="0.2">
      <c r="B10" s="1213">
        <v>42528</v>
      </c>
      <c r="C10" s="48" t="s">
        <v>27</v>
      </c>
      <c r="D10" s="49">
        <v>4150</v>
      </c>
      <c r="E10" s="1217">
        <v>0.31875000000000003</v>
      </c>
      <c r="F10" s="51">
        <f>SUM([16]June_2016!$J14)</f>
        <v>256.3</v>
      </c>
      <c r="G10" s="52">
        <f>SUM([16]June_2016!$F14)</f>
        <v>3872</v>
      </c>
      <c r="H10" s="51">
        <f>SUM([16]June_2016!$K14)</f>
        <v>255.55200000000002</v>
      </c>
      <c r="I10" s="53">
        <f>SUM([16]June_2016!$N14)</f>
        <v>15.25</v>
      </c>
      <c r="J10" s="1223">
        <f>[16]June_2016!$Q14</f>
        <v>483.15789473684208</v>
      </c>
      <c r="K10" s="1223">
        <f>[16]June_2016!$E14</f>
        <v>570</v>
      </c>
      <c r="L10" s="134">
        <v>0.6958333333333333</v>
      </c>
      <c r="M10" s="54">
        <f>SUM([16]June_2016!$M14)</f>
        <v>49</v>
      </c>
      <c r="N10" s="54"/>
      <c r="O10" s="55">
        <f>SUM([16]June_2016!$P14)</f>
        <v>0.291845493562228</v>
      </c>
      <c r="P10" s="54"/>
      <c r="Q10" s="1227">
        <f>(G10+G11)/(9.33*15000*(1/24))</f>
        <v>0.78713826366559481</v>
      </c>
      <c r="R10" s="56"/>
      <c r="S10" s="1039">
        <f>(G10+G11)*24/(K10/60)/15000</f>
        <v>0.77305263157894732</v>
      </c>
      <c r="T10" s="46">
        <f>(H10+H13)*24/(M10/60)/15000</f>
        <v>0.50067330612244898</v>
      </c>
      <c r="U10" s="1237">
        <f>(G10+G11)*24/(K10/60)/15300</f>
        <v>0.75789473684210518</v>
      </c>
      <c r="V10" s="1208" t="s">
        <v>189</v>
      </c>
    </row>
    <row r="11" spans="2:22" s="19" customFormat="1" ht="20.25" x14ac:dyDescent="0.2">
      <c r="B11" s="1214"/>
      <c r="C11" s="48" t="s">
        <v>46</v>
      </c>
      <c r="D11" s="49">
        <v>700</v>
      </c>
      <c r="E11" s="1218"/>
      <c r="F11" s="51">
        <f>SUM([16]June_2016!$J15)</f>
        <v>50.1</v>
      </c>
      <c r="G11" s="52">
        <f>SUM([16]June_2016!$F15)</f>
        <v>718</v>
      </c>
      <c r="H11" s="51">
        <f>SUM([16]June_2016!$K15)</f>
        <v>47.388000000000005</v>
      </c>
      <c r="I11" s="53">
        <f>SUM([16]June_2016!$N15)</f>
        <v>7</v>
      </c>
      <c r="J11" s="1224"/>
      <c r="K11" s="1224"/>
      <c r="L11" s="134">
        <v>0.7680555555555556</v>
      </c>
      <c r="M11" s="54">
        <f>SUM([16]June_2016!$M15)</f>
        <v>11</v>
      </c>
      <c r="N11" s="54"/>
      <c r="O11" s="55">
        <f>SUM([16]June_2016!$P15)</f>
        <v>5.4131736526946028</v>
      </c>
      <c r="P11" s="54"/>
      <c r="Q11" s="1228"/>
      <c r="R11" s="56"/>
      <c r="S11" s="1040"/>
      <c r="T11" s="46"/>
      <c r="U11" s="1239"/>
      <c r="V11" s="1209"/>
    </row>
    <row r="12" spans="2:22" s="19" customFormat="1" ht="23.25" customHeight="1" x14ac:dyDescent="0.2">
      <c r="B12" s="1213">
        <v>42529</v>
      </c>
      <c r="C12" s="48" t="s">
        <v>32</v>
      </c>
      <c r="D12" s="49">
        <v>2300</v>
      </c>
      <c r="E12" s="1217">
        <v>0.33611111111111108</v>
      </c>
      <c r="F12" s="1219">
        <f>SUM([16]June_2016!$J16)</f>
        <v>236.3</v>
      </c>
      <c r="G12" s="52">
        <f>SUM([16]June_2016!$F16)</f>
        <v>2143</v>
      </c>
      <c r="H12" s="1219">
        <f>SUM([16]June_2016!$K16)</f>
        <v>233.566</v>
      </c>
      <c r="I12" s="1221">
        <f>SUM([16]June_2016!$N16)</f>
        <v>49</v>
      </c>
      <c r="J12" s="1223">
        <f>[16]June_2016!$Q16</f>
        <v>386.2574257425743</v>
      </c>
      <c r="K12" s="1223">
        <f>[16]June_2016!$E16</f>
        <v>505</v>
      </c>
      <c r="L12" s="1247">
        <v>0.71805555555555556</v>
      </c>
      <c r="M12" s="1223">
        <f>SUM([16]June_2016!$M16)</f>
        <v>121</v>
      </c>
      <c r="N12" s="130"/>
      <c r="O12" s="1225">
        <f>SUM([16]June_2016!$P16)</f>
        <v>1.1570038087177354</v>
      </c>
      <c r="P12" s="54"/>
      <c r="Q12" s="1227">
        <f>(G12+G13)/(9*15000*(1/24))</f>
        <v>0.57795555555555556</v>
      </c>
      <c r="R12" s="56"/>
      <c r="S12" s="1039">
        <f>(G12+G13)*24/(K12/60)/15000</f>
        <v>0.61801188118811889</v>
      </c>
      <c r="T12" s="46">
        <f>(H12+H13)*24/(M12/60)/15000</f>
        <v>0.18530856198347107</v>
      </c>
      <c r="U12" s="1237">
        <f>(G12+G13)*24/(K12/60)/15300</f>
        <v>0.6058940011648225</v>
      </c>
      <c r="V12" s="1208" t="s">
        <v>190</v>
      </c>
    </row>
    <row r="13" spans="2:22" s="19" customFormat="1" ht="24" customHeight="1" x14ac:dyDescent="0.2">
      <c r="B13" s="1214"/>
      <c r="C13" s="48" t="s">
        <v>29</v>
      </c>
      <c r="D13" s="49">
        <v>925</v>
      </c>
      <c r="E13" s="1218"/>
      <c r="F13" s="1220"/>
      <c r="G13" s="52">
        <f>SUM([16]June_2016!$F17)</f>
        <v>1108</v>
      </c>
      <c r="H13" s="1220"/>
      <c r="I13" s="1222"/>
      <c r="J13" s="1224"/>
      <c r="K13" s="1224"/>
      <c r="L13" s="1248"/>
      <c r="M13" s="1224"/>
      <c r="N13" s="54"/>
      <c r="O13" s="1226"/>
      <c r="P13" s="54"/>
      <c r="Q13" s="1228"/>
      <c r="R13" s="56"/>
      <c r="S13" s="1040"/>
      <c r="T13" s="46" t="e">
        <f>(H13+H14)*24/(M13/60)/15000</f>
        <v>#DIV/0!</v>
      </c>
      <c r="U13" s="1239"/>
      <c r="V13" s="1209"/>
    </row>
    <row r="14" spans="2:22" s="19" customFormat="1" ht="33" x14ac:dyDescent="0.2">
      <c r="B14" s="137">
        <v>42530</v>
      </c>
      <c r="C14" s="48" t="s">
        <v>31</v>
      </c>
      <c r="D14" s="49">
        <v>2800</v>
      </c>
      <c r="E14" s="50">
        <v>0.36249999999999999</v>
      </c>
      <c r="F14" s="51">
        <f>SUM([16]June_2016!$J18)</f>
        <v>208.60000000000002</v>
      </c>
      <c r="G14" s="52">
        <f>SUM([16]June_2016!$F18)</f>
        <v>2782</v>
      </c>
      <c r="H14" s="51">
        <f>SUM([16]June_2016!$K18)</f>
        <v>206.98079999999999</v>
      </c>
      <c r="I14" s="53">
        <f>SUM([16]June_2016!$N18)</f>
        <v>11.5</v>
      </c>
      <c r="J14" s="54">
        <f>[16]June_2016!$Q18</f>
        <v>228.65753424657535</v>
      </c>
      <c r="K14" s="54">
        <f>[16]June_2016!$E18</f>
        <v>730</v>
      </c>
      <c r="L14" s="134">
        <v>0.875</v>
      </c>
      <c r="M14" s="54">
        <f>SUM([16]June_2016!$M18)</f>
        <v>305</v>
      </c>
      <c r="N14" s="54"/>
      <c r="O14" s="55">
        <f>SUM([16]June_2016!$P18)</f>
        <v>0.77622243528285462</v>
      </c>
      <c r="P14" s="54"/>
      <c r="Q14" s="66">
        <f>(G14)/(12*15000*(1/24))</f>
        <v>0.37093333333333334</v>
      </c>
      <c r="R14" s="56"/>
      <c r="S14" s="46">
        <f>(G14)*24/(K14/60)/15000</f>
        <v>0.3658520547945206</v>
      </c>
      <c r="T14" s="46">
        <f>(H14+H17)*24/(M14/60)/15000</f>
        <v>0.15742514360655738</v>
      </c>
      <c r="U14" s="125">
        <f>(G14)*24/(K14/60)/15300</f>
        <v>0.35867848509266725</v>
      </c>
      <c r="V14" s="24" t="s">
        <v>191</v>
      </c>
    </row>
    <row r="15" spans="2:22" s="19" customFormat="1" ht="33" x14ac:dyDescent="0.2">
      <c r="B15" s="1213">
        <v>42531</v>
      </c>
      <c r="C15" s="48" t="s">
        <v>30</v>
      </c>
      <c r="D15" s="49">
        <v>2100</v>
      </c>
      <c r="E15" s="1217">
        <v>0.3923611111111111</v>
      </c>
      <c r="F15" s="51">
        <f>SUM([16]June_2016!$J19)</f>
        <v>148</v>
      </c>
      <c r="G15" s="52">
        <f>SUM([16]June_2016!$F19)</f>
        <v>2228</v>
      </c>
      <c r="H15" s="51">
        <f>SUM([16]June_2016!$K19)</f>
        <v>147.048</v>
      </c>
      <c r="I15" s="53">
        <f>SUM([16]June_2016!$N19)</f>
        <v>12</v>
      </c>
      <c r="J15" s="1223">
        <f>[16]June_2016!$Q19</f>
        <v>336.35820895522392</v>
      </c>
      <c r="K15" s="1223">
        <f>[16]June_2016!$E19</f>
        <v>670</v>
      </c>
      <c r="L15" s="134">
        <v>0.65208333333333335</v>
      </c>
      <c r="M15" s="54">
        <f>SUM([16]June_2016!$M19)</f>
        <v>147</v>
      </c>
      <c r="N15" s="54"/>
      <c r="O15" s="55">
        <f>SUM([16]June_2016!$P19)</f>
        <v>0.643243243243242</v>
      </c>
      <c r="P15" s="54"/>
      <c r="Q15" s="1227">
        <f>(G15+G16)/(11*15000*(1/24))</f>
        <v>0.54632727272727277</v>
      </c>
      <c r="R15" s="56"/>
      <c r="S15" s="1039">
        <f>(G15+G16)*24/(K15/60)/15000</f>
        <v>0.53817313432835823</v>
      </c>
      <c r="T15" s="46">
        <f>(H15+H16)*24/(M15/60)/15000</f>
        <v>0.16189126530612244</v>
      </c>
      <c r="U15" s="1237">
        <f>(G15+G16)*24/(K15/60)/15300</f>
        <v>0.527620719929763</v>
      </c>
      <c r="V15" s="24" t="s">
        <v>193</v>
      </c>
    </row>
    <row r="16" spans="2:22" s="19" customFormat="1" ht="33" x14ac:dyDescent="0.2">
      <c r="B16" s="1214"/>
      <c r="C16" s="48" t="s">
        <v>51</v>
      </c>
      <c r="D16" s="49">
        <v>1500</v>
      </c>
      <c r="E16" s="1218"/>
      <c r="F16" s="51">
        <f>SUM([16]June_2016!$J20)</f>
        <v>102.1</v>
      </c>
      <c r="G16" s="52">
        <f>SUM([16]June_2016!$F20)</f>
        <v>1528</v>
      </c>
      <c r="H16" s="51">
        <f>SUM([16]June_2016!$K20)</f>
        <v>100.848</v>
      </c>
      <c r="I16" s="53">
        <f>SUM([16]June_2016!$N20)</f>
        <v>9</v>
      </c>
      <c r="J16" s="1224"/>
      <c r="K16" s="1224"/>
      <c r="L16" s="134">
        <v>0.86736111111111114</v>
      </c>
      <c r="M16" s="54">
        <f>SUM([16]June_2016!$M20)</f>
        <v>74</v>
      </c>
      <c r="N16" s="54"/>
      <c r="O16" s="55">
        <f>SUM([16]June_2016!$P20)</f>
        <v>1.2262487757100835</v>
      </c>
      <c r="P16" s="54"/>
      <c r="Q16" s="1228"/>
      <c r="R16" s="56"/>
      <c r="S16" s="1040"/>
      <c r="T16" s="46">
        <f>(H16+H17)*24/(M16/60)/15000</f>
        <v>0.51116108108108105</v>
      </c>
      <c r="U16" s="1239"/>
      <c r="V16" s="24" t="s">
        <v>192</v>
      </c>
    </row>
    <row r="17" spans="2:22" s="19" customFormat="1" ht="49.5" x14ac:dyDescent="0.2">
      <c r="B17" s="137">
        <v>42536</v>
      </c>
      <c r="C17" s="48" t="s">
        <v>27</v>
      </c>
      <c r="D17" s="49">
        <v>4200</v>
      </c>
      <c r="E17" s="50">
        <v>0.33819444444444446</v>
      </c>
      <c r="F17" s="51">
        <f>SUM([16]June_2016!$J21)</f>
        <v>295.10000000000002</v>
      </c>
      <c r="G17" s="52">
        <f>SUM([16]June_2016!$F21)</f>
        <v>4442</v>
      </c>
      <c r="H17" s="51">
        <f>SUM([16]June_2016!$K21)</f>
        <v>293.17200000000003</v>
      </c>
      <c r="I17" s="53">
        <f>SUM([16]June_2016!$N21)</f>
        <v>37.75</v>
      </c>
      <c r="J17" s="54">
        <f>[16]June_2016!$Q21</f>
        <v>434.77977161500814</v>
      </c>
      <c r="K17" s="54">
        <f>[16]June_2016!$E21</f>
        <v>613</v>
      </c>
      <c r="L17" s="134">
        <v>0.79166666666666663</v>
      </c>
      <c r="M17" s="54">
        <f>SUM([16]June_2016!$M21)</f>
        <v>109</v>
      </c>
      <c r="N17" s="54"/>
      <c r="O17" s="55">
        <f>SUM([16]June_2016!$P21)</f>
        <v>0.65333785157573609</v>
      </c>
      <c r="P17" s="54"/>
      <c r="Q17" s="66">
        <f>(G17)/(10.05*15000*(1/24))</f>
        <v>0.70718407960199003</v>
      </c>
      <c r="R17" s="56"/>
      <c r="S17" s="46">
        <f>(G17)*24/(K17/60)/15000</f>
        <v>0.69564763458401313</v>
      </c>
      <c r="T17" s="46">
        <f>(H17+H20)*24/(M17/60)/15000</f>
        <v>0.50507097247706434</v>
      </c>
      <c r="U17" s="125">
        <f>(G17)*24/(K17/60)/15300</f>
        <v>0.68200748488628737</v>
      </c>
      <c r="V17" s="24" t="s">
        <v>195</v>
      </c>
    </row>
    <row r="18" spans="2:22" s="19" customFormat="1" ht="49.5" x14ac:dyDescent="0.2">
      <c r="B18" s="137">
        <v>42537</v>
      </c>
      <c r="C18" s="48" t="s">
        <v>27</v>
      </c>
      <c r="D18" s="49">
        <v>4200</v>
      </c>
      <c r="E18" s="50">
        <v>0.34722222222222227</v>
      </c>
      <c r="F18" s="51">
        <f>SUM([16]June_2016!$J22)</f>
        <v>277.60000000000002</v>
      </c>
      <c r="G18" s="52">
        <f>SUM([16]June_2016!$F22)</f>
        <v>4153</v>
      </c>
      <c r="H18" s="51">
        <f>SUM([16]June_2016!$K22)</f>
        <v>275.99799999999999</v>
      </c>
      <c r="I18" s="53">
        <f>SUM([16]June_2016!$N22)</f>
        <v>23</v>
      </c>
      <c r="J18" s="54">
        <f>[16]June_2016!$Q22</f>
        <v>442.59325044404977</v>
      </c>
      <c r="K18" s="54">
        <f>[16]June_2016!$E22</f>
        <v>563</v>
      </c>
      <c r="L18" s="134">
        <v>0.7597222222222223</v>
      </c>
      <c r="M18" s="54">
        <f>SUM([16]June_2016!$M22)</f>
        <v>110</v>
      </c>
      <c r="N18" s="54"/>
      <c r="O18" s="55">
        <f>SUM([16]June_2016!$P22)</f>
        <v>0.57708933717580413</v>
      </c>
      <c r="P18" s="54"/>
      <c r="Q18" s="66">
        <f>(G18)/(9.217*15000*(1/24))</f>
        <v>0.72092871867201913</v>
      </c>
      <c r="R18" s="56"/>
      <c r="S18" s="46">
        <f>(G18)*24/(K18/60)/15000</f>
        <v>0.7081492007104796</v>
      </c>
      <c r="T18" s="46">
        <f>(H18+H21)*24/(M18/60)/15000</f>
        <v>0.40336058181818185</v>
      </c>
      <c r="U18" s="125">
        <f>(G18)*24/(K18/60)/15300</f>
        <v>0.69426392226517608</v>
      </c>
      <c r="V18" s="24" t="s">
        <v>194</v>
      </c>
    </row>
    <row r="19" spans="2:22" s="19" customFormat="1" ht="30.75" customHeight="1" x14ac:dyDescent="0.2">
      <c r="B19" s="137">
        <v>42538</v>
      </c>
      <c r="C19" s="48" t="s">
        <v>42</v>
      </c>
      <c r="D19" s="49">
        <v>4200</v>
      </c>
      <c r="E19" s="50">
        <v>0.31805555555555554</v>
      </c>
      <c r="F19" s="51">
        <f>SUM([16]June_2016!$J23)</f>
        <v>302.10000000000002</v>
      </c>
      <c r="G19" s="52">
        <f>SUM([16]June_2016!$F23)</f>
        <v>4541</v>
      </c>
      <c r="H19" s="51">
        <f>SUM([16]June_2016!$K23)</f>
        <v>299.70600000000002</v>
      </c>
      <c r="I19" s="53">
        <f>SUM([16]June_2016!$N23)</f>
        <v>22.25</v>
      </c>
      <c r="J19" s="54">
        <f>[16]June_2016!$Q23</f>
        <v>511.18198874296439</v>
      </c>
      <c r="K19" s="54">
        <f>[16]June_2016!$E23</f>
        <v>533</v>
      </c>
      <c r="L19" s="134">
        <v>0.73958333333333337</v>
      </c>
      <c r="M19" s="54">
        <f>SUM([16]June_2016!$M23)</f>
        <v>52</v>
      </c>
      <c r="N19" s="54"/>
      <c r="O19" s="55">
        <f>SUM([16]June_2016!$P23)</f>
        <v>0.79245283018868096</v>
      </c>
      <c r="P19" s="54"/>
      <c r="Q19" s="66">
        <f>(G19)/(8.717*15000*(1/24))</f>
        <v>0.83349776299185496</v>
      </c>
      <c r="R19" s="56"/>
      <c r="S19" s="46">
        <f>(G19)*24/(K19/60)/15000</f>
        <v>0.817891181988743</v>
      </c>
      <c r="T19" s="46">
        <f>(H19+H22)*24/(M19/60)/15000</f>
        <v>0.55330338461538464</v>
      </c>
      <c r="U19" s="125">
        <f>(G19)*24/(K19/60)/15300</f>
        <v>0.80185409998896373</v>
      </c>
      <c r="V19" s="24" t="s">
        <v>208</v>
      </c>
    </row>
    <row r="20" spans="2:22" s="19" customFormat="1" ht="49.5" x14ac:dyDescent="0.2">
      <c r="B20" s="137">
        <v>42541</v>
      </c>
      <c r="C20" s="48" t="s">
        <v>29</v>
      </c>
      <c r="D20" s="49">
        <v>4900</v>
      </c>
      <c r="E20" s="50">
        <v>0.3444444444444445</v>
      </c>
      <c r="F20" s="51">
        <f>SUM([16]June_2016!$J24)</f>
        <v>282.79999999999995</v>
      </c>
      <c r="G20" s="52">
        <f>SUM([16]June_2016!$F24)</f>
        <v>3959</v>
      </c>
      <c r="H20" s="51">
        <f>SUM([16]June_2016!$K24)</f>
        <v>280.29400000000004</v>
      </c>
      <c r="I20" s="53">
        <f>SUM([16]June_2016!$N24)</f>
        <v>18</v>
      </c>
      <c r="J20" s="54">
        <f>[16]June_2016!$Q24</f>
        <v>383.12903225806451</v>
      </c>
      <c r="K20" s="54">
        <f>[16]June_2016!$E24</f>
        <v>620</v>
      </c>
      <c r="L20" s="134">
        <v>0.78125</v>
      </c>
      <c r="M20" s="54">
        <f>SUM([16]June_2016!$M24)</f>
        <v>176</v>
      </c>
      <c r="N20" s="54"/>
      <c r="O20" s="55">
        <f>SUM([16]June_2016!$P24)</f>
        <v>0.88613861386135617</v>
      </c>
      <c r="P20" s="54"/>
      <c r="Q20" s="66">
        <f>(G20)/(10.167*15000*(1/24))</f>
        <v>0.62303531031769455</v>
      </c>
      <c r="R20" s="56"/>
      <c r="S20" s="46">
        <f>(G20)*24/(K20/60)/15000</f>
        <v>0.61300645161290312</v>
      </c>
      <c r="T20" s="46">
        <f>(H20+H23)*24/(M20/60)/15000</f>
        <v>0.1804276363636364</v>
      </c>
      <c r="U20" s="125">
        <f>(G20)*24/(K20/60)/15300</f>
        <v>0.60098671726755215</v>
      </c>
      <c r="V20" s="24" t="s">
        <v>197</v>
      </c>
    </row>
    <row r="21" spans="2:22" s="19" customFormat="1" ht="22.5" customHeight="1" x14ac:dyDescent="0.2">
      <c r="B21" s="1213">
        <v>42542</v>
      </c>
      <c r="C21" s="48" t="s">
        <v>32</v>
      </c>
      <c r="D21" s="49">
        <v>1600</v>
      </c>
      <c r="E21" s="1217">
        <v>0.32500000000000001</v>
      </c>
      <c r="F21" s="1219">
        <f>SUM([16]June_2016!$J25)</f>
        <v>189.9</v>
      </c>
      <c r="G21" s="52">
        <f>SUM([16]June_2016!$F25)</f>
        <v>1787</v>
      </c>
      <c r="H21" s="1219">
        <f>SUM([16]June_2016!$K25)</f>
        <v>186.18600000000001</v>
      </c>
      <c r="I21" s="1221">
        <f>SUM([16]June_2016!$N25)</f>
        <v>25</v>
      </c>
      <c r="J21" s="1223">
        <f>[16]June_2016!$Q25</f>
        <v>346.47342995169083</v>
      </c>
      <c r="K21" s="1223">
        <f>[16]June_2016!$E25</f>
        <v>621</v>
      </c>
      <c r="L21" s="1247">
        <v>0.7006944444444444</v>
      </c>
      <c r="M21" s="1223">
        <f>SUM([16]June_2016!$M25)</f>
        <v>131</v>
      </c>
      <c r="N21" s="54"/>
      <c r="O21" s="1225">
        <f>SUM([16]June_2016!$P25)</f>
        <v>1.9557661927330166</v>
      </c>
      <c r="P21" s="54"/>
      <c r="Q21" s="1227">
        <f>(G21+G22+G23)/(9.183*15000*(1/24))</f>
        <v>0.62480670804747906</v>
      </c>
      <c r="R21" s="56"/>
      <c r="S21" s="1039">
        <f>(G21+G22+G23)*24/(K21/60)/15000</f>
        <v>0.55435748792270534</v>
      </c>
      <c r="T21" s="46">
        <f>(H21+H24)*24/(M21/60)/15000</f>
        <v>0.33711389312977097</v>
      </c>
      <c r="U21" s="1237">
        <f>(G21+G22+G23)*24/(K21/60)/15300</f>
        <v>0.54348773325755428</v>
      </c>
      <c r="V21" s="1208" t="s">
        <v>196</v>
      </c>
    </row>
    <row r="22" spans="2:22" s="19" customFormat="1" ht="22.5" customHeight="1" x14ac:dyDescent="0.2">
      <c r="B22" s="1233"/>
      <c r="C22" s="48" t="s">
        <v>29</v>
      </c>
      <c r="D22" s="49">
        <v>1200</v>
      </c>
      <c r="E22" s="1234"/>
      <c r="F22" s="1220"/>
      <c r="G22" s="52">
        <f>SUM([16]June_2016!$F26)</f>
        <v>1034</v>
      </c>
      <c r="H22" s="1220"/>
      <c r="I22" s="1222"/>
      <c r="J22" s="1235"/>
      <c r="K22" s="1235"/>
      <c r="L22" s="1248"/>
      <c r="M22" s="1224"/>
      <c r="N22" s="54"/>
      <c r="O22" s="1226"/>
      <c r="P22" s="54"/>
      <c r="Q22" s="1236"/>
      <c r="R22" s="56"/>
      <c r="S22" s="1041"/>
      <c r="T22" s="46"/>
      <c r="U22" s="1238"/>
      <c r="V22" s="1243"/>
    </row>
    <row r="23" spans="2:22" s="19" customFormat="1" ht="22.5" customHeight="1" x14ac:dyDescent="0.2">
      <c r="B23" s="1214"/>
      <c r="C23" s="48" t="s">
        <v>30</v>
      </c>
      <c r="D23" s="49">
        <v>2100</v>
      </c>
      <c r="E23" s="1218"/>
      <c r="F23" s="51">
        <f>SUM([16]June_2016!$J27)</f>
        <v>52</v>
      </c>
      <c r="G23" s="52">
        <f>SUM([16]June_2016!$F27)</f>
        <v>765</v>
      </c>
      <c r="H23" s="51">
        <f>SUM([16]June_2016!$K27)</f>
        <v>50.49</v>
      </c>
      <c r="I23" s="53">
        <f>SUM([16]June_2016!$N27)</f>
        <v>2.75</v>
      </c>
      <c r="J23" s="1224"/>
      <c r="K23" s="1224"/>
      <c r="L23" s="134">
        <v>0.79861111111111116</v>
      </c>
      <c r="M23" s="54">
        <f>SUM([16]June_2016!$M27)</f>
        <v>46</v>
      </c>
      <c r="N23" s="54"/>
      <c r="O23" s="55">
        <f>SUM([16]June_2016!$P27)</f>
        <v>2.9038461538461497</v>
      </c>
      <c r="P23" s="54"/>
      <c r="Q23" s="1228"/>
      <c r="R23" s="56"/>
      <c r="S23" s="1040"/>
      <c r="T23" s="46"/>
      <c r="U23" s="1239"/>
      <c r="V23" s="1209"/>
    </row>
    <row r="24" spans="2:22" s="19" customFormat="1" ht="49.5" x14ac:dyDescent="0.2">
      <c r="B24" s="137">
        <v>42543</v>
      </c>
      <c r="C24" s="48" t="s">
        <v>30</v>
      </c>
      <c r="D24" s="49">
        <v>4900</v>
      </c>
      <c r="E24" s="50">
        <v>0.37222222222222223</v>
      </c>
      <c r="F24" s="51">
        <f>SUM([16]June_2016!$J28)</f>
        <v>275.10000000000002</v>
      </c>
      <c r="G24" s="52">
        <f>SUM([16]June_2016!$F28)</f>
        <v>4149</v>
      </c>
      <c r="H24" s="51">
        <f>SUM([16]June_2016!$K28)</f>
        <v>273.834</v>
      </c>
      <c r="I24" s="53">
        <f>SUM([16]June_2016!$N28)</f>
        <v>15.75</v>
      </c>
      <c r="J24" s="54">
        <f>[16]June_2016!$Q28</f>
        <v>403.46839546191251</v>
      </c>
      <c r="K24" s="54">
        <f>[16]June_2016!$E28</f>
        <v>617</v>
      </c>
      <c r="L24" s="134">
        <v>0.81597222222222221</v>
      </c>
      <c r="M24" s="54">
        <f>SUM([16]June_2016!$M28)</f>
        <v>128</v>
      </c>
      <c r="N24" s="54"/>
      <c r="O24" s="55">
        <f>SUM([16]June_2016!$P28)</f>
        <v>0.46019629225736802</v>
      </c>
      <c r="P24" s="54"/>
      <c r="Q24" s="66">
        <f>(G24)/(10.12*15000*(1/24))</f>
        <v>0.65596837944664033</v>
      </c>
      <c r="R24" s="56"/>
      <c r="S24" s="46">
        <f>(G24)*24/(K24/60)/15000</f>
        <v>0.64554943273905996</v>
      </c>
      <c r="T24" s="46">
        <f>(H24+H27)*24/(M24/60)/15000</f>
        <v>0.42944099999999996</v>
      </c>
      <c r="U24" s="125">
        <f>(G24)*24/(K24/60)/15300</f>
        <v>0.63289160072456851</v>
      </c>
      <c r="V24" s="24" t="s">
        <v>198</v>
      </c>
    </row>
    <row r="25" spans="2:22" s="19" customFormat="1" ht="20.25" x14ac:dyDescent="0.2">
      <c r="B25" s="1213">
        <v>42544</v>
      </c>
      <c r="C25" s="48" t="s">
        <v>30</v>
      </c>
      <c r="D25" s="49"/>
      <c r="E25" s="1217">
        <v>0.32708333333333334</v>
      </c>
      <c r="F25" s="51">
        <f>SUM([16]June_2016!$J29)</f>
        <v>147.80000000000001</v>
      </c>
      <c r="G25" s="52">
        <f>SUM([16]June_2016!$F29)</f>
        <v>2221</v>
      </c>
      <c r="H25" s="51">
        <f>SUM([16]June_2016!$K29)</f>
        <v>146.58600000000001</v>
      </c>
      <c r="I25" s="53">
        <f>SUM([16]June_2016!$N29)</f>
        <v>12.5</v>
      </c>
      <c r="J25" s="1223">
        <f>[16]June_2016!$Q29</f>
        <v>337.39130434782612</v>
      </c>
      <c r="K25" s="1223">
        <f>[16]June_2016!$E29</f>
        <v>621</v>
      </c>
      <c r="L25" s="134">
        <v>0.57222222222222219</v>
      </c>
      <c r="M25" s="54">
        <f>SUM([16]June_2016!$M29)</f>
        <v>19</v>
      </c>
      <c r="N25" s="54"/>
      <c r="O25" s="55">
        <f>SUM([16]June_2016!$P29)</f>
        <v>0.82138024357239425</v>
      </c>
      <c r="P25" s="54"/>
      <c r="Q25" s="1227">
        <f>(G25+G26)/(10.183*15000*(1/24))</f>
        <v>0.54867917116763232</v>
      </c>
      <c r="R25" s="56"/>
      <c r="S25" s="1039">
        <f>(G25+G26)*24/(K25/60)/15000</f>
        <v>0.53982608695652179</v>
      </c>
      <c r="T25" s="46">
        <f>(H25+H26)*24/(M25/60)/15000</f>
        <v>1.1644901052631584</v>
      </c>
      <c r="U25" s="1237">
        <f>(G25+G26)*24/(K25/60)/15300</f>
        <v>0.52924126172208008</v>
      </c>
      <c r="V25" s="24" t="s">
        <v>199</v>
      </c>
    </row>
    <row r="26" spans="2:22" s="19" customFormat="1" ht="20.25" x14ac:dyDescent="0.2">
      <c r="B26" s="1214"/>
      <c r="C26" s="48" t="s">
        <v>131</v>
      </c>
      <c r="D26" s="49">
        <v>1400</v>
      </c>
      <c r="E26" s="1218"/>
      <c r="F26" s="51">
        <f>SUM([16]June_2016!$J30)</f>
        <v>86.2</v>
      </c>
      <c r="G26" s="52">
        <f>SUM([16]June_2016!$F30)</f>
        <v>1271</v>
      </c>
      <c r="H26" s="51">
        <f>SUM([16]June_2016!$K30)</f>
        <v>83.88600000000001</v>
      </c>
      <c r="I26" s="53">
        <f>SUM([16]June_2016!$N30)</f>
        <v>17</v>
      </c>
      <c r="J26" s="1224"/>
      <c r="K26" s="1224"/>
      <c r="L26" s="134">
        <v>0.79999999999999993</v>
      </c>
      <c r="M26" s="54">
        <f>SUM([16]June_2016!$M30)</f>
        <v>183</v>
      </c>
      <c r="N26" s="54"/>
      <c r="O26" s="55">
        <f>SUM([16]June_2016!$P30)</f>
        <v>2.6844547563805023</v>
      </c>
      <c r="P26" s="54"/>
      <c r="Q26" s="1228"/>
      <c r="R26" s="56"/>
      <c r="S26" s="1040"/>
      <c r="T26" s="46">
        <f>(H26+H27)*24/(M26/60)/15000</f>
        <v>0.20072918032786888</v>
      </c>
      <c r="U26" s="1239"/>
      <c r="V26" s="24" t="s">
        <v>200</v>
      </c>
    </row>
    <row r="27" spans="2:22" s="19" customFormat="1" ht="33" x14ac:dyDescent="0.2">
      <c r="B27" s="137">
        <v>42545</v>
      </c>
      <c r="C27" s="48" t="s">
        <v>27</v>
      </c>
      <c r="D27" s="49">
        <v>4200</v>
      </c>
      <c r="E27" s="50">
        <v>0.33055555555555555</v>
      </c>
      <c r="F27" s="51">
        <f>SUM([16]June_2016!$J31)</f>
        <v>300.60000000000002</v>
      </c>
      <c r="G27" s="52">
        <f>SUM([16]June_2016!$F31)</f>
        <v>4469</v>
      </c>
      <c r="H27" s="51">
        <f>SUM([16]June_2016!$K31)</f>
        <v>298.75400000000002</v>
      </c>
      <c r="I27" s="53">
        <f>SUM([16]June_2016!$N31)</f>
        <v>27</v>
      </c>
      <c r="J27" s="54">
        <f>[16]June_2016!$Q31</f>
        <v>487.52727272727276</v>
      </c>
      <c r="K27" s="54">
        <f>[16]June_2016!$E31</f>
        <v>550</v>
      </c>
      <c r="L27" s="134">
        <v>0.75</v>
      </c>
      <c r="M27" s="54">
        <f>SUM([16]June_2016!$M31)</f>
        <v>79</v>
      </c>
      <c r="N27" s="54"/>
      <c r="O27" s="55">
        <f>SUM([16]June_2016!$P31)</f>
        <v>0.61410512308716025</v>
      </c>
      <c r="P27" s="54"/>
      <c r="Q27" s="66">
        <f>(G27)/(9*15000*(1/24))</f>
        <v>0.79448888888888891</v>
      </c>
      <c r="R27" s="56"/>
      <c r="S27" s="46">
        <f>(G27)*24/(K27/60)/15000</f>
        <v>0.78004363636363649</v>
      </c>
      <c r="T27" s="46">
        <f>(H27+H30)*24/(M27/60)/15000</f>
        <v>0.77824891139240504</v>
      </c>
      <c r="U27" s="125">
        <f>(G27)*24/(K27/60)/15300</f>
        <v>0.76474866310160439</v>
      </c>
      <c r="V27" s="24" t="s">
        <v>201</v>
      </c>
    </row>
    <row r="28" spans="2:22" s="19" customFormat="1" ht="33" x14ac:dyDescent="0.2">
      <c r="B28" s="1213">
        <v>42548</v>
      </c>
      <c r="C28" s="48" t="s">
        <v>27</v>
      </c>
      <c r="D28" s="49">
        <v>4200</v>
      </c>
      <c r="E28" s="1217">
        <v>0.32222222222222224</v>
      </c>
      <c r="F28" s="51">
        <f>SUM([16]June_2016!$J32)</f>
        <v>256.89999999999998</v>
      </c>
      <c r="G28" s="52">
        <f>SUM([16]June_2016!$F32)</f>
        <v>3884</v>
      </c>
      <c r="H28" s="51">
        <f>SUM([16]June_2016!$K32)</f>
        <v>256.34399999999999</v>
      </c>
      <c r="I28" s="53">
        <f>SUM([16]June_2016!$N32)</f>
        <v>20.5</v>
      </c>
      <c r="J28" s="1223">
        <f>[16]June_2016!$Q32</f>
        <v>474.40261865793781</v>
      </c>
      <c r="K28" s="1223">
        <f>[16]June_2016!$E32</f>
        <v>611</v>
      </c>
      <c r="L28" s="134">
        <v>0.69444444444444453</v>
      </c>
      <c r="M28" s="54">
        <f>SUM([16]June_2016!$M32)</f>
        <v>54</v>
      </c>
      <c r="N28" s="54"/>
      <c r="O28" s="55">
        <f>SUM([16]June_2016!$P32)</f>
        <v>0.21642662514596467</v>
      </c>
      <c r="P28" s="54"/>
      <c r="Q28" s="1227">
        <f>(G28+G29)/(10.017*15000*(1/24))</f>
        <v>0.77164819806329243</v>
      </c>
      <c r="R28" s="56"/>
      <c r="S28" s="1039">
        <f>(G28+G29)*24/(K28/60)/15000</f>
        <v>0.7590441898527005</v>
      </c>
      <c r="T28" s="46">
        <f>(H28+H29)*24/(M28/60)/15000</f>
        <v>0.5668373333333333</v>
      </c>
      <c r="U28" s="1237">
        <f>(G28+G29)*24/(K28/60)/15300</f>
        <v>0.74416097044382401</v>
      </c>
      <c r="V28" s="24" t="s">
        <v>202</v>
      </c>
    </row>
    <row r="29" spans="2:22" s="19" customFormat="1" ht="33" x14ac:dyDescent="0.2">
      <c r="B29" s="1214"/>
      <c r="C29" s="48" t="s">
        <v>29</v>
      </c>
      <c r="D29" s="49">
        <v>1000</v>
      </c>
      <c r="E29" s="1218"/>
      <c r="F29" s="51">
        <f>SUM([16]June_2016!$J33)</f>
        <v>64.100000000000009</v>
      </c>
      <c r="G29" s="52">
        <f>SUM([16]June_2016!$F33)</f>
        <v>947</v>
      </c>
      <c r="H29" s="51">
        <f>SUM([16]June_2016!$K33)</f>
        <v>62.502000000000002</v>
      </c>
      <c r="I29" s="53">
        <f>SUM([16]June_2016!$N33)</f>
        <v>7.75</v>
      </c>
      <c r="J29" s="1224"/>
      <c r="K29" s="1224"/>
      <c r="L29" s="134">
        <v>0.79722222222222217</v>
      </c>
      <c r="M29" s="54">
        <f>SUM([16]June_2016!$M33)</f>
        <v>32</v>
      </c>
      <c r="N29" s="54"/>
      <c r="O29" s="55">
        <f>SUM([16]June_2016!$P33)</f>
        <v>2.4929797191887766</v>
      </c>
      <c r="P29" s="54"/>
      <c r="Q29" s="1228"/>
      <c r="R29" s="56"/>
      <c r="S29" s="1040"/>
      <c r="T29" s="46">
        <f>(H29+H30)*24/(M29/60)/15000</f>
        <v>1.2125460000000001</v>
      </c>
      <c r="U29" s="1239"/>
      <c r="V29" s="24" t="s">
        <v>203</v>
      </c>
    </row>
    <row r="30" spans="2:22" s="19" customFormat="1" ht="49.5" x14ac:dyDescent="0.2">
      <c r="B30" s="137">
        <v>42549</v>
      </c>
      <c r="C30" s="48" t="s">
        <v>29</v>
      </c>
      <c r="D30" s="49">
        <v>4900</v>
      </c>
      <c r="E30" s="50">
        <v>0.30833333333333335</v>
      </c>
      <c r="F30" s="51">
        <f>SUM([16]June_2016!$J34)</f>
        <v>346.02</v>
      </c>
      <c r="G30" s="52">
        <f>SUM([16]June_2016!$F34)</f>
        <v>5010</v>
      </c>
      <c r="H30" s="51">
        <f>SUM([16]June_2016!$K34)</f>
        <v>341.68</v>
      </c>
      <c r="I30" s="53">
        <f>SUM([16]June_2016!$N34)</f>
        <v>25.25</v>
      </c>
      <c r="J30" s="54">
        <f>[16]June_2016!$Q34</f>
        <v>498.50746268656712</v>
      </c>
      <c r="K30" s="54">
        <f>[16]June_2016!$E34</f>
        <v>603</v>
      </c>
      <c r="L30" s="134">
        <v>0.79166666666666663</v>
      </c>
      <c r="M30" s="54">
        <f>SUM([16]June_2016!$M34)</f>
        <v>72</v>
      </c>
      <c r="N30" s="54"/>
      <c r="O30" s="55">
        <f>SUM([16]June_2016!$P34)</f>
        <v>1.2542627593780635</v>
      </c>
      <c r="P30" s="54"/>
      <c r="Q30" s="66">
        <f>(G30)/(9.883*15000*(1/24))</f>
        <v>0.81108975007588791</v>
      </c>
      <c r="R30" s="56"/>
      <c r="S30" s="46">
        <f>(G30)*24/(K30/60)/15000</f>
        <v>0.79761194029850735</v>
      </c>
      <c r="T30" s="46">
        <f>(H30+H33)*24/(M30/60)/15000</f>
        <v>0.45557333333333333</v>
      </c>
      <c r="U30" s="125">
        <f>(G30)*24/(K30/60)/15300</f>
        <v>0.78197249048873274</v>
      </c>
      <c r="V30" s="24" t="s">
        <v>204</v>
      </c>
    </row>
    <row r="31" spans="2:22" s="19" customFormat="1" ht="28.5" customHeight="1" x14ac:dyDescent="0.2">
      <c r="B31" s="137">
        <v>42551</v>
      </c>
      <c r="C31" s="48" t="s">
        <v>29</v>
      </c>
      <c r="D31" s="49">
        <v>4500</v>
      </c>
      <c r="E31" s="50">
        <v>0.32222222222222224</v>
      </c>
      <c r="F31" s="51">
        <f>SUM([16]June_2016!$J35)</f>
        <v>294.29999999999995</v>
      </c>
      <c r="G31" s="52">
        <f>SUM([16]June_2016!$F35)</f>
        <v>4424</v>
      </c>
      <c r="H31" s="51">
        <f>SUM([16]June_2016!$K35)</f>
        <v>291.98400000000004</v>
      </c>
      <c r="I31" s="53">
        <f>SUM([16]June_2016!$N35)</f>
        <v>16.5</v>
      </c>
      <c r="J31" s="54">
        <f>[16]June_2016!$Q35</f>
        <v>515.4174757281553</v>
      </c>
      <c r="K31" s="54">
        <f>[16]June_2016!$E35</f>
        <v>515</v>
      </c>
      <c r="L31" s="134">
        <v>0.72986111111111107</v>
      </c>
      <c r="M31" s="54">
        <f>SUM([16]June_2016!$M35)</f>
        <v>36</v>
      </c>
      <c r="N31" s="54"/>
      <c r="O31" s="55">
        <f>SUM([16]June_2016!$P35)</f>
        <v>0.78695208970435537</v>
      </c>
      <c r="P31" s="54"/>
      <c r="Q31" s="66">
        <f>(G31)/(9*15000*(1/24))</f>
        <v>0.7864888888888889</v>
      </c>
      <c r="R31" s="56"/>
      <c r="S31" s="46">
        <f>(G31)*24/(K31/60)/15000</f>
        <v>0.82466796116504848</v>
      </c>
      <c r="T31" s="46">
        <f>(H31+H34)*24/(M31/60)/15000</f>
        <v>0.7786240000000002</v>
      </c>
      <c r="U31" s="125">
        <f>(G31)*24/(K31/60)/15300</f>
        <v>0.80849800114220438</v>
      </c>
      <c r="V31" s="24" t="s">
        <v>205</v>
      </c>
    </row>
    <row r="32" spans="2:22" s="19" customFormat="1" ht="20.25" x14ac:dyDescent="0.2">
      <c r="B32" s="137"/>
      <c r="C32" s="48"/>
      <c r="D32" s="49"/>
      <c r="E32" s="50"/>
      <c r="F32" s="51"/>
      <c r="G32" s="52"/>
      <c r="H32" s="51"/>
      <c r="I32" s="53"/>
      <c r="J32" s="54"/>
      <c r="K32" s="54"/>
      <c r="L32" s="134"/>
      <c r="M32" s="54"/>
      <c r="N32" s="54"/>
      <c r="O32" s="55"/>
      <c r="P32" s="54"/>
      <c r="Q32" s="66"/>
      <c r="R32" s="56"/>
      <c r="S32" s="46"/>
      <c r="T32" s="46"/>
      <c r="U32" s="125"/>
      <c r="V32" s="24"/>
    </row>
    <row r="33" spans="2:22" s="19" customFormat="1" ht="21" thickBot="1" x14ac:dyDescent="0.25">
      <c r="B33" s="137"/>
      <c r="C33" s="48"/>
      <c r="D33" s="49"/>
      <c r="E33" s="50"/>
      <c r="F33" s="51"/>
      <c r="G33" s="52"/>
      <c r="H33" s="51"/>
      <c r="I33" s="53"/>
      <c r="J33" s="54"/>
      <c r="K33" s="54"/>
      <c r="L33" s="134"/>
      <c r="M33" s="54"/>
      <c r="N33" s="54"/>
      <c r="O33" s="55"/>
      <c r="P33" s="54"/>
      <c r="Q33" s="66"/>
      <c r="R33" s="56"/>
      <c r="S33" s="46"/>
      <c r="T33" s="46"/>
      <c r="U33" s="125"/>
      <c r="V33" s="24"/>
    </row>
    <row r="34" spans="2:22" s="19" customFormat="1" ht="20.25" hidden="1" x14ac:dyDescent="0.2">
      <c r="B34" s="137"/>
      <c r="C34" s="48"/>
      <c r="D34" s="49"/>
      <c r="E34" s="50"/>
      <c r="F34" s="51"/>
      <c r="G34" s="52"/>
      <c r="H34" s="51"/>
      <c r="I34" s="53"/>
      <c r="J34" s="54"/>
      <c r="K34" s="54"/>
      <c r="L34" s="134"/>
      <c r="M34" s="54"/>
      <c r="N34" s="54"/>
      <c r="O34" s="55"/>
      <c r="P34" s="54"/>
      <c r="Q34" s="66"/>
      <c r="R34" s="56"/>
      <c r="S34" s="46"/>
      <c r="T34" s="46"/>
      <c r="U34" s="125"/>
      <c r="V34" s="24"/>
    </row>
    <row r="35" spans="2:22" s="19" customFormat="1" ht="21" hidden="1" thickBot="1" x14ac:dyDescent="0.25">
      <c r="B35" s="137"/>
      <c r="C35" s="48"/>
      <c r="D35" s="49"/>
      <c r="E35" s="50"/>
      <c r="F35" s="51"/>
      <c r="G35" s="52"/>
      <c r="H35" s="51"/>
      <c r="I35" s="53"/>
      <c r="J35" s="54"/>
      <c r="K35" s="54"/>
      <c r="L35" s="54"/>
      <c r="M35" s="54"/>
      <c r="N35" s="54"/>
      <c r="O35" s="55"/>
      <c r="P35" s="54"/>
      <c r="Q35" s="66"/>
      <c r="R35" s="56"/>
      <c r="S35" s="46"/>
      <c r="T35" s="46"/>
      <c r="U35" s="125"/>
      <c r="V35" s="24"/>
    </row>
    <row r="36" spans="2:22" s="19" customFormat="1" ht="20.25" hidden="1" x14ac:dyDescent="0.2">
      <c r="B36" s="137"/>
      <c r="C36" s="48"/>
      <c r="D36" s="49"/>
      <c r="E36" s="50"/>
      <c r="F36" s="51"/>
      <c r="G36" s="52"/>
      <c r="H36" s="51"/>
      <c r="I36" s="53"/>
      <c r="J36" s="54"/>
      <c r="K36" s="54"/>
      <c r="L36" s="54"/>
      <c r="M36" s="54"/>
      <c r="N36" s="54"/>
      <c r="O36" s="55"/>
      <c r="P36" s="54"/>
      <c r="Q36" s="66"/>
      <c r="R36" s="56"/>
      <c r="S36" s="46"/>
      <c r="T36" s="46"/>
      <c r="U36" s="125"/>
      <c r="V36" s="24"/>
    </row>
    <row r="37" spans="2:22" s="19" customFormat="1" ht="20.25" hidden="1" x14ac:dyDescent="0.2">
      <c r="B37" s="137"/>
      <c r="C37" s="48"/>
      <c r="D37" s="49"/>
      <c r="E37" s="50"/>
      <c r="F37" s="51"/>
      <c r="G37" s="52"/>
      <c r="H37" s="51"/>
      <c r="I37" s="53"/>
      <c r="J37" s="54"/>
      <c r="K37" s="54"/>
      <c r="L37" s="54"/>
      <c r="M37" s="54"/>
      <c r="N37" s="54"/>
      <c r="O37" s="55"/>
      <c r="P37" s="54"/>
      <c r="Q37" s="66"/>
      <c r="R37" s="56"/>
      <c r="S37" s="46"/>
      <c r="T37" s="46"/>
      <c r="U37" s="125"/>
      <c r="V37" s="24"/>
    </row>
    <row r="38" spans="2:22" s="19" customFormat="1" ht="20.25" hidden="1" x14ac:dyDescent="0.2">
      <c r="B38" s="137"/>
      <c r="C38" s="48"/>
      <c r="D38" s="49"/>
      <c r="E38" s="50"/>
      <c r="F38" s="51"/>
      <c r="G38" s="52"/>
      <c r="H38" s="51"/>
      <c r="I38" s="53"/>
      <c r="J38" s="54"/>
      <c r="K38" s="54"/>
      <c r="L38" s="54"/>
      <c r="M38" s="54"/>
      <c r="N38" s="54"/>
      <c r="O38" s="55"/>
      <c r="P38" s="54"/>
      <c r="Q38" s="66"/>
      <c r="R38" s="56"/>
      <c r="S38" s="46"/>
      <c r="T38" s="46"/>
      <c r="U38" s="125"/>
      <c r="V38" s="24"/>
    </row>
    <row r="39" spans="2:22" s="19" customFormat="1" ht="20.25" hidden="1" x14ac:dyDescent="0.2">
      <c r="B39" s="137"/>
      <c r="C39" s="48"/>
      <c r="D39" s="49"/>
      <c r="E39" s="50"/>
      <c r="F39" s="51"/>
      <c r="G39" s="52"/>
      <c r="H39" s="51"/>
      <c r="I39" s="53"/>
      <c r="J39" s="54"/>
      <c r="K39" s="54"/>
      <c r="L39" s="54"/>
      <c r="M39" s="54"/>
      <c r="N39" s="54"/>
      <c r="O39" s="55"/>
      <c r="P39" s="54"/>
      <c r="Q39" s="66"/>
      <c r="R39" s="56"/>
      <c r="S39" s="46"/>
      <c r="T39" s="46"/>
      <c r="U39" s="125"/>
      <c r="V39" s="24"/>
    </row>
    <row r="40" spans="2:22" s="19" customFormat="1" ht="20.25" hidden="1" x14ac:dyDescent="0.2">
      <c r="B40" s="137"/>
      <c r="C40" s="48"/>
      <c r="D40" s="49"/>
      <c r="E40" s="50"/>
      <c r="F40" s="51"/>
      <c r="G40" s="52"/>
      <c r="H40" s="51"/>
      <c r="I40" s="53"/>
      <c r="J40" s="54"/>
      <c r="K40" s="54"/>
      <c r="L40" s="54"/>
      <c r="M40" s="54"/>
      <c r="N40" s="54"/>
      <c r="O40" s="55"/>
      <c r="P40" s="54"/>
      <c r="Q40" s="66"/>
      <c r="R40" s="56"/>
      <c r="S40" s="46"/>
      <c r="T40" s="46"/>
      <c r="U40" s="125"/>
      <c r="V40" s="24"/>
    </row>
    <row r="41" spans="2:22" s="19" customFormat="1" ht="20.25" hidden="1" x14ac:dyDescent="0.2">
      <c r="B41" s="137"/>
      <c r="C41" s="48"/>
      <c r="D41" s="49"/>
      <c r="E41" s="50"/>
      <c r="F41" s="51"/>
      <c r="G41" s="52"/>
      <c r="H41" s="51"/>
      <c r="I41" s="53"/>
      <c r="J41" s="54"/>
      <c r="K41" s="54"/>
      <c r="L41" s="54"/>
      <c r="M41" s="54"/>
      <c r="N41" s="54"/>
      <c r="O41" s="55"/>
      <c r="P41" s="54"/>
      <c r="Q41" s="66"/>
      <c r="R41" s="56"/>
      <c r="S41" s="46"/>
      <c r="T41" s="46"/>
      <c r="U41" s="125"/>
      <c r="V41" s="24"/>
    </row>
    <row r="42" spans="2:22" s="19" customFormat="1" ht="31.5" hidden="1" customHeight="1" x14ac:dyDescent="0.2">
      <c r="B42" s="137"/>
      <c r="C42" s="48"/>
      <c r="D42" s="49"/>
      <c r="E42" s="50"/>
      <c r="F42" s="51"/>
      <c r="G42" s="52"/>
      <c r="H42" s="51"/>
      <c r="I42" s="53"/>
      <c r="J42" s="54"/>
      <c r="K42" s="54"/>
      <c r="L42" s="54"/>
      <c r="M42" s="54"/>
      <c r="N42" s="54"/>
      <c r="O42" s="55"/>
      <c r="P42" s="54"/>
      <c r="Q42" s="66"/>
      <c r="R42" s="56"/>
      <c r="S42" s="46"/>
      <c r="T42" s="18"/>
      <c r="U42" s="126"/>
      <c r="V42" s="24"/>
    </row>
    <row r="43" spans="2:22" s="19" customFormat="1" ht="31.5" hidden="1" customHeight="1" x14ac:dyDescent="0.2">
      <c r="B43" s="137"/>
      <c r="C43" s="48"/>
      <c r="D43" s="49"/>
      <c r="E43" s="50"/>
      <c r="F43" s="51"/>
      <c r="G43" s="52"/>
      <c r="H43" s="51"/>
      <c r="I43" s="53"/>
      <c r="J43" s="54"/>
      <c r="K43" s="54"/>
      <c r="L43" s="54"/>
      <c r="M43" s="54"/>
      <c r="N43" s="54"/>
      <c r="O43" s="55"/>
      <c r="P43" s="54"/>
      <c r="Q43" s="66"/>
      <c r="R43" s="56"/>
      <c r="S43" s="46"/>
      <c r="T43" s="18"/>
      <c r="U43" s="126"/>
      <c r="V43" s="24"/>
    </row>
    <row r="44" spans="2:22" s="19" customFormat="1" ht="31.5" hidden="1" customHeight="1" x14ac:dyDescent="0.2">
      <c r="B44" s="137"/>
      <c r="C44" s="48"/>
      <c r="D44" s="49"/>
      <c r="E44" s="50"/>
      <c r="F44" s="51"/>
      <c r="G44" s="52"/>
      <c r="H44" s="51"/>
      <c r="I44" s="53"/>
      <c r="J44" s="54"/>
      <c r="K44" s="54"/>
      <c r="L44" s="54"/>
      <c r="M44" s="54"/>
      <c r="N44" s="54"/>
      <c r="O44" s="55"/>
      <c r="P44" s="54"/>
      <c r="Q44" s="66"/>
      <c r="R44" s="56"/>
      <c r="S44" s="46"/>
      <c r="T44" s="18"/>
      <c r="U44" s="126"/>
      <c r="V44" s="24"/>
    </row>
    <row r="45" spans="2:22" s="19" customFormat="1" ht="31.5" hidden="1" customHeight="1" x14ac:dyDescent="0.2">
      <c r="B45" s="137"/>
      <c r="C45" s="48"/>
      <c r="D45" s="49"/>
      <c r="E45" s="50"/>
      <c r="F45" s="51"/>
      <c r="G45" s="52"/>
      <c r="H45" s="51"/>
      <c r="I45" s="53"/>
      <c r="J45" s="54"/>
      <c r="K45" s="54"/>
      <c r="L45" s="54"/>
      <c r="M45" s="54"/>
      <c r="N45" s="54"/>
      <c r="O45" s="55"/>
      <c r="P45" s="54"/>
      <c r="Q45" s="66"/>
      <c r="R45" s="56"/>
      <c r="S45" s="46"/>
      <c r="T45" s="18"/>
      <c r="U45" s="126"/>
      <c r="V45" s="24"/>
    </row>
    <row r="46" spans="2:22" s="19" customFormat="1" ht="31.5" hidden="1" customHeight="1" x14ac:dyDescent="0.2">
      <c r="B46" s="137"/>
      <c r="C46" s="48"/>
      <c r="D46" s="49"/>
      <c r="E46" s="50"/>
      <c r="F46" s="51"/>
      <c r="G46" s="52"/>
      <c r="H46" s="51"/>
      <c r="I46" s="53"/>
      <c r="J46" s="54"/>
      <c r="K46" s="54"/>
      <c r="L46" s="54"/>
      <c r="M46" s="54"/>
      <c r="N46" s="54"/>
      <c r="O46" s="55"/>
      <c r="P46" s="54"/>
      <c r="Q46" s="66"/>
      <c r="R46" s="56"/>
      <c r="S46" s="46"/>
      <c r="T46" s="18"/>
      <c r="U46" s="126"/>
      <c r="V46" s="24"/>
    </row>
    <row r="47" spans="2:22" s="19" customFormat="1" ht="31.5" hidden="1" customHeight="1" x14ac:dyDescent="0.2">
      <c r="B47" s="137"/>
      <c r="C47" s="48"/>
      <c r="D47" s="49"/>
      <c r="E47" s="50"/>
      <c r="F47" s="51"/>
      <c r="G47" s="52"/>
      <c r="H47" s="51"/>
      <c r="I47" s="53"/>
      <c r="J47" s="54"/>
      <c r="K47" s="54"/>
      <c r="L47" s="54"/>
      <c r="M47" s="54"/>
      <c r="N47" s="54"/>
      <c r="O47" s="55"/>
      <c r="P47" s="54"/>
      <c r="Q47" s="66"/>
      <c r="R47" s="56"/>
      <c r="S47" s="46"/>
      <c r="T47" s="18"/>
      <c r="U47" s="126"/>
      <c r="V47" s="24"/>
    </row>
    <row r="48" spans="2:22" s="19" customFormat="1" ht="31.5" hidden="1" customHeight="1" x14ac:dyDescent="0.2">
      <c r="B48" s="137"/>
      <c r="C48" s="48"/>
      <c r="D48" s="49"/>
      <c r="E48" s="50"/>
      <c r="F48" s="51"/>
      <c r="G48" s="52"/>
      <c r="H48" s="51"/>
      <c r="I48" s="53"/>
      <c r="J48" s="54"/>
      <c r="K48" s="54"/>
      <c r="L48" s="54"/>
      <c r="M48" s="54"/>
      <c r="N48" s="54"/>
      <c r="O48" s="55"/>
      <c r="P48" s="54"/>
      <c r="Q48" s="66"/>
      <c r="R48" s="56"/>
      <c r="S48" s="46"/>
      <c r="T48" s="18"/>
      <c r="U48" s="126"/>
      <c r="V48" s="24"/>
    </row>
    <row r="49" spans="2:22" s="19" customFormat="1" ht="31.5" hidden="1" customHeight="1" x14ac:dyDescent="0.2">
      <c r="B49" s="137"/>
      <c r="C49" s="48"/>
      <c r="D49" s="49"/>
      <c r="E49" s="50"/>
      <c r="F49" s="51"/>
      <c r="G49" s="52"/>
      <c r="H49" s="51"/>
      <c r="I49" s="53"/>
      <c r="J49" s="54"/>
      <c r="K49" s="54"/>
      <c r="L49" s="54"/>
      <c r="M49" s="54"/>
      <c r="N49" s="54"/>
      <c r="O49" s="55"/>
      <c r="P49" s="54"/>
      <c r="Q49" s="66"/>
      <c r="R49" s="56"/>
      <c r="S49" s="46"/>
      <c r="T49" s="18"/>
      <c r="U49" s="126"/>
      <c r="V49" s="24"/>
    </row>
    <row r="50" spans="2:22" s="19" customFormat="1" ht="31.5" hidden="1" customHeight="1" x14ac:dyDescent="0.2">
      <c r="B50" s="137"/>
      <c r="C50" s="48"/>
      <c r="D50" s="49"/>
      <c r="E50" s="50"/>
      <c r="F50" s="51"/>
      <c r="G50" s="52"/>
      <c r="H50" s="51"/>
      <c r="I50" s="53"/>
      <c r="J50" s="54"/>
      <c r="K50" s="54"/>
      <c r="L50" s="54"/>
      <c r="M50" s="54"/>
      <c r="N50" s="54"/>
      <c r="O50" s="55"/>
      <c r="P50" s="54"/>
      <c r="Q50" s="66"/>
      <c r="R50" s="56"/>
      <c r="S50" s="46"/>
      <c r="T50" s="18"/>
      <c r="U50" s="126"/>
      <c r="V50" s="24"/>
    </row>
    <row r="51" spans="2:22" s="19" customFormat="1" ht="31.5" hidden="1" customHeight="1" x14ac:dyDescent="0.2">
      <c r="B51" s="137"/>
      <c r="C51" s="48"/>
      <c r="D51" s="49"/>
      <c r="E51" s="50"/>
      <c r="F51" s="51"/>
      <c r="G51" s="52"/>
      <c r="H51" s="51"/>
      <c r="I51" s="53"/>
      <c r="J51" s="54"/>
      <c r="K51" s="54"/>
      <c r="L51" s="54"/>
      <c r="M51" s="54"/>
      <c r="N51" s="54"/>
      <c r="O51" s="55"/>
      <c r="P51" s="54"/>
      <c r="Q51" s="66"/>
      <c r="R51" s="56"/>
      <c r="S51" s="46"/>
      <c r="T51" s="18"/>
      <c r="U51" s="126"/>
      <c r="V51" s="24"/>
    </row>
    <row r="52" spans="2:22" s="19" customFormat="1" ht="31.5" hidden="1" customHeight="1" x14ac:dyDescent="0.2">
      <c r="B52" s="137"/>
      <c r="C52" s="48"/>
      <c r="D52" s="49"/>
      <c r="E52" s="50"/>
      <c r="F52" s="51"/>
      <c r="G52" s="52"/>
      <c r="H52" s="51"/>
      <c r="I52" s="53"/>
      <c r="J52" s="54"/>
      <c r="K52" s="54"/>
      <c r="L52" s="54"/>
      <c r="M52" s="54"/>
      <c r="N52" s="54"/>
      <c r="O52" s="55"/>
      <c r="P52" s="54"/>
      <c r="Q52" s="66"/>
      <c r="R52" s="56"/>
      <c r="S52" s="46"/>
      <c r="T52" s="18"/>
      <c r="U52" s="126"/>
      <c r="V52" s="24"/>
    </row>
    <row r="53" spans="2:22" s="19" customFormat="1" ht="31.5" hidden="1" customHeight="1" x14ac:dyDescent="0.2">
      <c r="B53" s="137"/>
      <c r="C53" s="48"/>
      <c r="D53" s="49"/>
      <c r="E53" s="50"/>
      <c r="F53" s="51"/>
      <c r="G53" s="52"/>
      <c r="H53" s="51"/>
      <c r="I53" s="53"/>
      <c r="J53" s="54"/>
      <c r="K53" s="54"/>
      <c r="L53" s="54"/>
      <c r="M53" s="54"/>
      <c r="N53" s="54"/>
      <c r="O53" s="55"/>
      <c r="P53" s="54"/>
      <c r="Q53" s="66"/>
      <c r="R53" s="56"/>
      <c r="S53" s="46"/>
      <c r="T53" s="18"/>
      <c r="U53" s="126"/>
      <c r="V53" s="24"/>
    </row>
    <row r="54" spans="2:22" s="19" customFormat="1" ht="31.5" hidden="1" customHeight="1" x14ac:dyDescent="0.2">
      <c r="B54" s="137"/>
      <c r="C54" s="48"/>
      <c r="D54" s="49"/>
      <c r="E54" s="50"/>
      <c r="F54" s="51"/>
      <c r="G54" s="52"/>
      <c r="H54" s="51"/>
      <c r="I54" s="53"/>
      <c r="J54" s="54"/>
      <c r="K54" s="54"/>
      <c r="L54" s="54"/>
      <c r="M54" s="54"/>
      <c r="N54" s="54"/>
      <c r="O54" s="55"/>
      <c r="P54" s="54"/>
      <c r="Q54" s="66"/>
      <c r="R54" s="56"/>
      <c r="S54" s="46"/>
      <c r="T54" s="18"/>
      <c r="U54" s="126"/>
      <c r="V54" s="24"/>
    </row>
    <row r="55" spans="2:22" s="19" customFormat="1" ht="31.5" hidden="1" customHeight="1" x14ac:dyDescent="0.2">
      <c r="B55" s="137"/>
      <c r="C55" s="48"/>
      <c r="D55" s="49"/>
      <c r="E55" s="50"/>
      <c r="F55" s="51"/>
      <c r="G55" s="52"/>
      <c r="H55" s="51"/>
      <c r="I55" s="53"/>
      <c r="J55" s="54"/>
      <c r="K55" s="54"/>
      <c r="L55" s="54"/>
      <c r="M55" s="54"/>
      <c r="N55" s="54"/>
      <c r="O55" s="55"/>
      <c r="P55" s="54"/>
      <c r="Q55" s="66"/>
      <c r="R55" s="56"/>
      <c r="S55" s="46"/>
      <c r="T55" s="18" t="e">
        <f>G55*24/(K55/60)/15400</f>
        <v>#DIV/0!</v>
      </c>
      <c r="U55" s="126"/>
      <c r="V55" s="24"/>
    </row>
    <row r="56" spans="2:22" s="19" customFormat="1" ht="31.5" hidden="1" customHeight="1" x14ac:dyDescent="0.2">
      <c r="B56" s="137"/>
      <c r="C56" s="48"/>
      <c r="D56" s="49"/>
      <c r="E56" s="50"/>
      <c r="F56" s="51"/>
      <c r="G56" s="52"/>
      <c r="H56" s="51"/>
      <c r="I56" s="53"/>
      <c r="J56" s="54"/>
      <c r="K56" s="54"/>
      <c r="L56" s="54"/>
      <c r="M56" s="54"/>
      <c r="N56" s="67"/>
      <c r="O56" s="55"/>
      <c r="P56" s="54"/>
      <c r="Q56" s="66"/>
      <c r="R56" s="56"/>
      <c r="S56" s="46"/>
      <c r="T56" s="18" t="e">
        <f>G56*24/(K56/60)/15400</f>
        <v>#DIV/0!</v>
      </c>
      <c r="U56" s="126"/>
      <c r="V56" s="24"/>
    </row>
    <row r="57" spans="2:22" s="19" customFormat="1" ht="30" hidden="1" customHeight="1" x14ac:dyDescent="0.2">
      <c r="B57" s="137"/>
      <c r="C57" s="26"/>
      <c r="D57" s="27"/>
      <c r="E57" s="28"/>
      <c r="F57" s="29"/>
      <c r="G57" s="30"/>
      <c r="H57" s="29"/>
      <c r="I57" s="31"/>
      <c r="J57" s="32"/>
      <c r="K57" s="32"/>
      <c r="L57" s="32"/>
      <c r="M57" s="32"/>
      <c r="N57" s="32"/>
      <c r="O57" s="33"/>
      <c r="P57" s="32"/>
      <c r="Q57" s="46"/>
      <c r="R57" s="34"/>
      <c r="S57" s="46"/>
      <c r="T57" s="18"/>
      <c r="U57" s="126"/>
      <c r="V57" s="24"/>
    </row>
    <row r="58" spans="2:22" s="19" customFormat="1" ht="20.25" hidden="1" x14ac:dyDescent="0.2">
      <c r="B58" s="137"/>
      <c r="C58" s="26"/>
      <c r="D58" s="27"/>
      <c r="E58" s="28"/>
      <c r="F58" s="29"/>
      <c r="G58" s="30"/>
      <c r="H58" s="29"/>
      <c r="I58" s="31"/>
      <c r="J58" s="32"/>
      <c r="K58" s="32"/>
      <c r="L58" s="32"/>
      <c r="M58" s="32"/>
      <c r="N58" s="32"/>
      <c r="O58" s="33"/>
      <c r="P58" s="32"/>
      <c r="Q58" s="46"/>
      <c r="R58" s="34"/>
      <c r="S58" s="46"/>
      <c r="T58" s="18"/>
      <c r="U58" s="126"/>
      <c r="V58" s="24"/>
    </row>
    <row r="59" spans="2:22" s="19" customFormat="1" ht="21" hidden="1" thickBot="1" x14ac:dyDescent="0.25">
      <c r="B59" s="137"/>
      <c r="C59" s="75"/>
      <c r="D59" s="71"/>
      <c r="E59" s="73"/>
      <c r="F59" s="76"/>
      <c r="G59" s="77"/>
      <c r="H59" s="76"/>
      <c r="I59" s="78"/>
      <c r="J59" s="72"/>
      <c r="K59" s="72"/>
      <c r="L59" s="72"/>
      <c r="M59" s="72"/>
      <c r="N59" s="72"/>
      <c r="O59" s="79"/>
      <c r="P59" s="80"/>
      <c r="Q59" s="70"/>
      <c r="R59" s="81"/>
      <c r="S59" s="70"/>
      <c r="T59" s="82"/>
      <c r="U59" s="127"/>
      <c r="V59" s="83"/>
    </row>
    <row r="60" spans="2:22" s="19" customFormat="1" ht="21" customHeight="1" thickBot="1" x14ac:dyDescent="0.35">
      <c r="B60" s="35" t="s">
        <v>3</v>
      </c>
      <c r="C60" s="36"/>
      <c r="D60" s="57">
        <f>SUM(D4:D58)</f>
        <v>75975</v>
      </c>
      <c r="E60" s="58">
        <f>AVERAGE(E4:E58)</f>
        <v>0.33629385964912278</v>
      </c>
      <c r="F60" s="59">
        <f>SUM(F4:F58)</f>
        <v>5217.8200000000006</v>
      </c>
      <c r="G60" s="57">
        <f>SUM(G4:G58)</f>
        <v>77074</v>
      </c>
      <c r="H60" s="59">
        <f>SUM(H4:H58)</f>
        <v>5167.8228000000017</v>
      </c>
      <c r="I60" s="60">
        <f>SUM(I4:I58)</f>
        <v>471.25</v>
      </c>
      <c r="J60" s="61">
        <f>G60/(K60/60)</f>
        <v>415.8669064748201</v>
      </c>
      <c r="K60" s="57">
        <f>SUM(K4:K58)</f>
        <v>11120</v>
      </c>
      <c r="L60" s="135">
        <f>AVERAGE(L4:L59)</f>
        <v>0.73880876068376067</v>
      </c>
      <c r="M60" s="57">
        <f>SUM(M4:M58)</f>
        <v>2424</v>
      </c>
      <c r="N60" s="60">
        <f>SUM(N4:N58)</f>
        <v>0</v>
      </c>
      <c r="O60" s="87">
        <f>(F60-H60)/F60</f>
        <v>9.5820093448986121E-3</v>
      </c>
      <c r="P60" s="62">
        <f>SUM(P4:P58)</f>
        <v>0</v>
      </c>
      <c r="Q60" s="63">
        <f>AVERAGE(Q4:Q56)</f>
        <v>0.67619315578738848</v>
      </c>
      <c r="R60" s="64"/>
      <c r="S60" s="63">
        <f>(G60)*24/(K60/60)/15000</f>
        <v>0.66538705035971213</v>
      </c>
      <c r="T60" s="63">
        <f>H60*24/(M60/60)/15000</f>
        <v>0.20466624950495058</v>
      </c>
      <c r="U60" s="128">
        <f>(G60)*24/(K60/60)/15300</f>
        <v>0.65234024545069824</v>
      </c>
      <c r="V60" s="21"/>
    </row>
    <row r="61" spans="2:22" ht="16.5" customHeight="1" thickTop="1" x14ac:dyDescent="0.25">
      <c r="B61" s="11"/>
      <c r="C61" s="22" t="s">
        <v>35</v>
      </c>
      <c r="D61" s="42">
        <v>72740</v>
      </c>
      <c r="E61" s="1082" t="s">
        <v>39</v>
      </c>
      <c r="F61" s="1082"/>
      <c r="G61" s="43">
        <f>(D62/D61)</f>
        <v>1.059582073137201</v>
      </c>
      <c r="H61" s="44"/>
      <c r="I61" s="44"/>
      <c r="J61" s="1210">
        <v>0</v>
      </c>
      <c r="K61" s="12"/>
      <c r="L61" s="12"/>
      <c r="M61" s="12"/>
      <c r="N61" s="13"/>
      <c r="O61" s="14"/>
      <c r="P61" s="12"/>
      <c r="Q61" s="15"/>
      <c r="R61" s="16"/>
      <c r="S61" s="15"/>
      <c r="T61" s="15"/>
      <c r="U61" s="15"/>
      <c r="V61" s="17" t="s">
        <v>48</v>
      </c>
    </row>
    <row r="62" spans="2:22" ht="14.25" customHeight="1" x14ac:dyDescent="0.25">
      <c r="B62" s="11"/>
      <c r="C62" s="22" t="s">
        <v>38</v>
      </c>
      <c r="D62" s="42">
        <f>G60</f>
        <v>77074</v>
      </c>
      <c r="E62" s="1082" t="s">
        <v>36</v>
      </c>
      <c r="F62" s="1082"/>
      <c r="G62" s="42">
        <f>May_16!G62+June_16!D62</f>
        <v>459321.20833333337</v>
      </c>
      <c r="H62" s="44"/>
      <c r="I62" s="45" t="s">
        <v>40</v>
      </c>
      <c r="J62" s="1211"/>
      <c r="K62" s="12">
        <v>0</v>
      </c>
      <c r="L62" s="12"/>
      <c r="M62" s="12"/>
      <c r="N62" s="13"/>
      <c r="O62" s="14"/>
      <c r="P62" s="12"/>
      <c r="Q62" s="15"/>
      <c r="R62" s="16"/>
      <c r="S62" s="15"/>
      <c r="T62" s="15"/>
      <c r="U62" s="15"/>
      <c r="V62" s="17"/>
    </row>
    <row r="63" spans="2:22" ht="17.25" thickBot="1" x14ac:dyDescent="0.3">
      <c r="C63" s="23" t="s">
        <v>41</v>
      </c>
      <c r="D63" s="42">
        <f>D61-D62</f>
        <v>-4334</v>
      </c>
      <c r="E63" s="1082" t="s">
        <v>37</v>
      </c>
      <c r="F63" s="1082"/>
      <c r="G63" s="42">
        <f>May_16!G63+June_16!D61</f>
        <v>421340</v>
      </c>
      <c r="H63" s="44"/>
      <c r="I63" s="44"/>
      <c r="J63" s="1212"/>
      <c r="Q63" s="10"/>
      <c r="V63" s="17"/>
    </row>
    <row r="64" spans="2:22" ht="17.25" thickTop="1" x14ac:dyDescent="0.2">
      <c r="B64" s="7"/>
      <c r="C64" s="88" t="s">
        <v>19</v>
      </c>
      <c r="D64" s="89" t="s">
        <v>14</v>
      </c>
      <c r="E64" s="89" t="s">
        <v>23</v>
      </c>
      <c r="F64" s="89" t="s">
        <v>24</v>
      </c>
      <c r="G64" s="90" t="s">
        <v>15</v>
      </c>
      <c r="H64" s="89" t="s">
        <v>17</v>
      </c>
      <c r="I64" s="89" t="s">
        <v>16</v>
      </c>
      <c r="J64" s="91">
        <v>0</v>
      </c>
    </row>
    <row r="65" spans="2:22" ht="16.5" x14ac:dyDescent="0.25">
      <c r="B65" s="8"/>
      <c r="C65" s="92">
        <v>1</v>
      </c>
      <c r="D65" s="93" t="s">
        <v>20</v>
      </c>
      <c r="E65" s="94">
        <f>SUM(G4:G5,G6,G9,G10,G12:G13,G17,G18,G20,G21:G22,G27,G28:G29,G30,G31)</f>
        <v>50927</v>
      </c>
      <c r="F65" s="95">
        <f>SUM(K4,K6,K9,K10,K12,K17,K18,K20,K21,K27,K28,K30,K31)</f>
        <v>7459</v>
      </c>
      <c r="G65" s="96">
        <f>SUM(F4:F5,F6,F9,F10,F12,F17,F18,F20,F21,F27,F28:F29,F30,F31)</f>
        <v>3451.12</v>
      </c>
      <c r="H65" s="96">
        <f>SUM(H4:H5,H6,H9,H10,H12,H17,H18,H20,H21,H27,H28:H29,H30,H31)</f>
        <v>3418.752</v>
      </c>
      <c r="I65" s="97">
        <f t="shared" ref="I65:I70" si="0">(G65-H65)/G65</f>
        <v>9.3789842138204231E-3</v>
      </c>
      <c r="J65" s="98">
        <f>(E65+G7+G11+G23)*24/(F65/60)/15000</f>
        <v>0.70067515752781873</v>
      </c>
      <c r="Q65" s="65"/>
    </row>
    <row r="66" spans="2:22" s="1" customFormat="1" ht="16.5" x14ac:dyDescent="0.25">
      <c r="B66" s="8"/>
      <c r="C66" s="99">
        <v>2</v>
      </c>
      <c r="D66" s="100" t="s">
        <v>21</v>
      </c>
      <c r="E66" s="101">
        <f>SUM(G7,G8,G15,G23,G24,G25)</f>
        <v>15307</v>
      </c>
      <c r="F66" s="102">
        <f>SUM(K6,K8,K15,K21,K24,K25)</f>
        <v>3597</v>
      </c>
      <c r="G66" s="103">
        <f>SUM(F7,F8,F15,F23,F24,F25)</f>
        <v>1017.6000000000001</v>
      </c>
      <c r="H66" s="103">
        <f>SUM(H7,H8,H15,H23,H24,H25)</f>
        <v>1010.2620000000002</v>
      </c>
      <c r="I66" s="97">
        <f>(G66-H66)/G66</f>
        <v>7.2110849056603423E-3</v>
      </c>
      <c r="J66" s="98">
        <f>(E66+G16+G21+G22+G26)*24/(F66/60)/15000</f>
        <v>0.5585187656380316</v>
      </c>
      <c r="K66"/>
      <c r="L66"/>
      <c r="M66"/>
      <c r="N66" s="2"/>
      <c r="R66"/>
      <c r="S66"/>
      <c r="T66"/>
      <c r="U66"/>
      <c r="V66"/>
    </row>
    <row r="67" spans="2:22" s="1" customFormat="1" ht="16.5" x14ac:dyDescent="0.25">
      <c r="B67" s="8"/>
      <c r="C67" s="92">
        <v>3</v>
      </c>
      <c r="D67" s="100" t="s">
        <v>124</v>
      </c>
      <c r="E67" s="101"/>
      <c r="F67" s="102"/>
      <c r="G67" s="103"/>
      <c r="H67" s="103"/>
      <c r="I67" s="109" t="e">
        <f t="shared" si="0"/>
        <v>#DIV/0!</v>
      </c>
      <c r="J67" s="111" t="e">
        <f>(E67)*24/(F67/60)/15000</f>
        <v>#DIV/0!</v>
      </c>
      <c r="K67"/>
      <c r="L67"/>
      <c r="M67"/>
      <c r="N67" s="2"/>
      <c r="R67"/>
      <c r="S67"/>
      <c r="T67"/>
      <c r="U67"/>
      <c r="V67"/>
    </row>
    <row r="68" spans="2:22" s="1" customFormat="1" ht="16.5" x14ac:dyDescent="0.25">
      <c r="B68" s="8"/>
      <c r="C68" s="99">
        <v>4</v>
      </c>
      <c r="D68" s="100" t="s">
        <v>18</v>
      </c>
      <c r="E68" s="101">
        <f>SUM(G14,G19)</f>
        <v>7323</v>
      </c>
      <c r="F68" s="102">
        <f>SUM(K14,K19)</f>
        <v>1263</v>
      </c>
      <c r="G68" s="101">
        <f>SUM(F14,F19)</f>
        <v>510.70000000000005</v>
      </c>
      <c r="H68" s="101">
        <f>SUM(H14,H19)</f>
        <v>506.68680000000001</v>
      </c>
      <c r="I68" s="97">
        <f t="shared" si="0"/>
        <v>7.8582337967496377E-3</v>
      </c>
      <c r="J68" s="98">
        <f>(E68)*24/(F68/60)/15000</f>
        <v>0.55661757719714966</v>
      </c>
      <c r="K68"/>
      <c r="L68"/>
      <c r="M68"/>
      <c r="N68" s="2"/>
      <c r="Q68" s="8"/>
      <c r="R68"/>
      <c r="S68"/>
      <c r="T68" s="6"/>
      <c r="U68" s="6"/>
      <c r="V68"/>
    </row>
    <row r="69" spans="2:22" s="1" customFormat="1" ht="16.5" x14ac:dyDescent="0.25">
      <c r="B69" s="8"/>
      <c r="C69" s="92">
        <v>5</v>
      </c>
      <c r="D69" s="105" t="s">
        <v>26</v>
      </c>
      <c r="E69" s="106">
        <f>SUM(G11,G16,G26)</f>
        <v>3517</v>
      </c>
      <c r="F69" s="107">
        <f>SUM(K10,K15,K25)</f>
        <v>1861</v>
      </c>
      <c r="G69" s="108">
        <f>SUM(F11,F16,F26)</f>
        <v>238.39999999999998</v>
      </c>
      <c r="H69" s="108">
        <f>SUM(H11,H16,H26)</f>
        <v>232.12200000000001</v>
      </c>
      <c r="I69" s="97">
        <f t="shared" si="0"/>
        <v>2.6333892617449513E-2</v>
      </c>
      <c r="J69" s="98">
        <f>(E69+G10+G15+G25)*24/(F69/60)/15000</f>
        <v>0.61066523374529824</v>
      </c>
      <c r="K69"/>
      <c r="L69"/>
      <c r="M69"/>
      <c r="N69" s="2"/>
      <c r="R69"/>
      <c r="S69"/>
      <c r="T69" s="6"/>
      <c r="U69" s="6"/>
      <c r="V69"/>
    </row>
    <row r="70" spans="2:22" s="1" customFormat="1" ht="16.5" x14ac:dyDescent="0.25">
      <c r="B70" s="8"/>
      <c r="C70" s="99">
        <v>6</v>
      </c>
      <c r="D70" s="105" t="s">
        <v>25</v>
      </c>
      <c r="E70" s="106"/>
      <c r="F70" s="107"/>
      <c r="G70" s="108"/>
      <c r="H70" s="108"/>
      <c r="I70" s="109" t="e">
        <f t="shared" si="0"/>
        <v>#DIV/0!</v>
      </c>
      <c r="J70" s="111" t="e">
        <f>(E70)*24/(F70/60)/15000</f>
        <v>#DIV/0!</v>
      </c>
      <c r="K70"/>
      <c r="L70"/>
      <c r="M70"/>
      <c r="N70" s="2"/>
      <c r="R70"/>
      <c r="S70"/>
      <c r="T70"/>
      <c r="U70"/>
      <c r="V70"/>
    </row>
    <row r="71" spans="2:22" s="1" customFormat="1" ht="17.25" thickBot="1" x14ac:dyDescent="0.3">
      <c r="C71" s="112"/>
      <c r="D71" s="113" t="s">
        <v>22</v>
      </c>
      <c r="E71" s="114">
        <f>SUM(E65:E70)</f>
        <v>77074</v>
      </c>
      <c r="F71" s="115">
        <f>K60</f>
        <v>11120</v>
      </c>
      <c r="G71" s="116">
        <f>SUM(G65:G70)</f>
        <v>5217.82</v>
      </c>
      <c r="H71" s="116">
        <f>SUM(H65:H70)</f>
        <v>5167.8228000000008</v>
      </c>
      <c r="I71" s="117">
        <f>((G71)-(H71))/(G71)</f>
        <v>9.5820093448986138E-3</v>
      </c>
      <c r="J71" s="118">
        <f>E71*24/(F71/60)/15000</f>
        <v>0.66538705035971213</v>
      </c>
      <c r="K71"/>
      <c r="L71"/>
      <c r="M71"/>
      <c r="N71" s="2"/>
      <c r="R71"/>
      <c r="S71"/>
      <c r="T71"/>
      <c r="U71"/>
      <c r="V71"/>
    </row>
    <row r="72" spans="2:22" s="1" customFormat="1" ht="13.5" thickTop="1" x14ac:dyDescent="0.2">
      <c r="J72"/>
      <c r="K72"/>
      <c r="L72"/>
      <c r="M72"/>
      <c r="N72" s="2"/>
      <c r="R72"/>
      <c r="S72"/>
      <c r="T72"/>
      <c r="U72"/>
      <c r="V72"/>
    </row>
    <row r="73" spans="2:22" s="1" customFormat="1" x14ac:dyDescent="0.2">
      <c r="E73" s="3"/>
      <c r="F73" s="119"/>
      <c r="G73" s="120"/>
      <c r="H73" s="120"/>
      <c r="I73"/>
      <c r="J73"/>
      <c r="K73"/>
      <c r="L73"/>
      <c r="M73"/>
      <c r="N73" s="2"/>
      <c r="R73"/>
      <c r="S73"/>
      <c r="T73"/>
      <c r="U73"/>
      <c r="V73"/>
    </row>
    <row r="74" spans="2:22" s="1" customFormat="1" ht="13.5" customHeight="1" x14ac:dyDescent="0.2">
      <c r="J74"/>
      <c r="K74"/>
      <c r="L74"/>
      <c r="M74"/>
      <c r="N74" s="2"/>
      <c r="R74"/>
      <c r="S74"/>
      <c r="T74"/>
      <c r="U74"/>
      <c r="V74" s="9"/>
    </row>
    <row r="75" spans="2:22" s="1" customFormat="1" ht="12.75" customHeight="1" x14ac:dyDescent="0.2">
      <c r="J75"/>
      <c r="K75"/>
      <c r="L75"/>
      <c r="M75"/>
      <c r="N75" s="2"/>
      <c r="R75"/>
      <c r="S75"/>
      <c r="T75"/>
      <c r="U75"/>
      <c r="V75" s="9"/>
    </row>
    <row r="76" spans="2:22" s="1" customFormat="1" ht="12.75" customHeight="1" x14ac:dyDescent="0.2">
      <c r="J76"/>
      <c r="K76"/>
      <c r="L76"/>
      <c r="M76"/>
      <c r="N76" s="2"/>
      <c r="R76"/>
      <c r="S76"/>
      <c r="T76"/>
      <c r="U76"/>
      <c r="V76" s="9"/>
    </row>
    <row r="77" spans="2:22" s="1" customFormat="1" ht="12.75" customHeight="1" x14ac:dyDescent="0.2">
      <c r="J77"/>
      <c r="K77"/>
      <c r="L77"/>
      <c r="M77"/>
      <c r="N77" s="2"/>
      <c r="R77"/>
      <c r="S77"/>
      <c r="T77"/>
      <c r="U77"/>
      <c r="V77" s="9"/>
    </row>
    <row r="78" spans="2:22" s="1" customFormat="1" ht="12.75" customHeight="1" x14ac:dyDescent="0.2">
      <c r="J78"/>
      <c r="K78"/>
      <c r="L78"/>
      <c r="M78"/>
      <c r="N78" s="2"/>
      <c r="R78"/>
      <c r="S78"/>
      <c r="T78"/>
      <c r="U78"/>
      <c r="V78" s="9"/>
    </row>
    <row r="79" spans="2:22" s="1" customFormat="1" ht="12.75" customHeight="1" x14ac:dyDescent="0.2">
      <c r="J79"/>
      <c r="K79"/>
      <c r="L79"/>
      <c r="M79"/>
      <c r="N79" s="2"/>
      <c r="R79"/>
      <c r="S79"/>
      <c r="T79"/>
      <c r="U79"/>
      <c r="V79" s="9"/>
    </row>
    <row r="80" spans="2:22" s="1" customFormat="1" ht="12.75" customHeight="1" x14ac:dyDescent="0.2">
      <c r="J80"/>
      <c r="K80"/>
      <c r="L80"/>
      <c r="M80"/>
      <c r="N80" s="2"/>
      <c r="R80"/>
      <c r="S80"/>
      <c r="T80"/>
      <c r="U80"/>
      <c r="V80" s="9"/>
    </row>
    <row r="81" spans="10:22" s="1" customFormat="1" x14ac:dyDescent="0.2">
      <c r="J81"/>
      <c r="K81"/>
      <c r="L81"/>
      <c r="M81"/>
      <c r="N81" s="2"/>
      <c r="R81"/>
      <c r="S81"/>
      <c r="T81"/>
      <c r="U81"/>
      <c r="V81" s="9"/>
    </row>
    <row r="82" spans="10:22" s="1" customFormat="1" ht="12.75" customHeight="1" x14ac:dyDescent="0.2">
      <c r="J82"/>
      <c r="K82"/>
      <c r="L82"/>
      <c r="M82"/>
      <c r="N82" s="2"/>
      <c r="R82"/>
      <c r="S82"/>
      <c r="T82"/>
      <c r="U82"/>
      <c r="V82" s="9"/>
    </row>
    <row r="83" spans="10:22" s="1" customFormat="1" ht="12.75" customHeight="1" x14ac:dyDescent="0.2">
      <c r="J83"/>
      <c r="K83"/>
      <c r="L83"/>
      <c r="M83"/>
      <c r="N83" s="2"/>
      <c r="R83"/>
      <c r="S83"/>
      <c r="T83"/>
      <c r="U83"/>
      <c r="V83" s="9"/>
    </row>
    <row r="84" spans="10:22" s="1" customFormat="1" ht="12.75" customHeight="1" x14ac:dyDescent="0.2">
      <c r="J84"/>
      <c r="K84"/>
      <c r="L84"/>
      <c r="M84"/>
      <c r="N84" s="2"/>
      <c r="R84"/>
      <c r="S84"/>
      <c r="T84"/>
      <c r="U84"/>
      <c r="V84" s="9"/>
    </row>
    <row r="85" spans="10:22" s="1" customFormat="1" ht="12.75" customHeight="1" x14ac:dyDescent="0.2">
      <c r="J85"/>
      <c r="K85"/>
      <c r="L85"/>
      <c r="M85"/>
      <c r="N85" s="2"/>
      <c r="R85"/>
      <c r="S85"/>
      <c r="T85"/>
      <c r="U85"/>
      <c r="V85" s="9"/>
    </row>
    <row r="86" spans="10:22" s="1" customFormat="1" ht="12.75" customHeight="1" x14ac:dyDescent="0.2">
      <c r="J86"/>
      <c r="K86"/>
      <c r="L86"/>
      <c r="M86"/>
      <c r="N86" s="2"/>
      <c r="R86"/>
      <c r="S86"/>
      <c r="T86"/>
      <c r="U86"/>
      <c r="V86" s="9"/>
    </row>
    <row r="87" spans="10:22" s="1" customFormat="1" x14ac:dyDescent="0.2">
      <c r="J87"/>
      <c r="K87"/>
      <c r="L87"/>
      <c r="M87"/>
      <c r="N87" s="2"/>
      <c r="R87"/>
      <c r="S87"/>
      <c r="T87"/>
      <c r="U87"/>
      <c r="V87"/>
    </row>
    <row r="88" spans="10:22" s="1" customFormat="1" x14ac:dyDescent="0.2">
      <c r="J88"/>
      <c r="K88"/>
      <c r="L88"/>
      <c r="M88"/>
      <c r="N88" s="2"/>
      <c r="R88"/>
      <c r="S88"/>
      <c r="T88"/>
      <c r="U88"/>
      <c r="V88"/>
    </row>
    <row r="89" spans="10:22" s="1" customFormat="1" x14ac:dyDescent="0.2">
      <c r="J89"/>
      <c r="K89"/>
      <c r="L89"/>
      <c r="M89"/>
      <c r="N89" s="2"/>
      <c r="R89"/>
      <c r="S89"/>
      <c r="T89"/>
      <c r="U89"/>
      <c r="V89"/>
    </row>
    <row r="90" spans="10:22" s="1" customFormat="1" x14ac:dyDescent="0.2">
      <c r="J90"/>
      <c r="K90"/>
      <c r="L90"/>
      <c r="M90"/>
      <c r="N90" s="2"/>
      <c r="R90"/>
      <c r="S90"/>
      <c r="T90"/>
      <c r="U90"/>
      <c r="V90"/>
    </row>
    <row r="91" spans="10:22" s="1" customFormat="1" x14ac:dyDescent="0.2">
      <c r="J91"/>
      <c r="K91"/>
      <c r="L91"/>
      <c r="M91"/>
      <c r="N91" s="2"/>
      <c r="R91"/>
      <c r="S91"/>
      <c r="T91"/>
      <c r="U91"/>
      <c r="V91"/>
    </row>
    <row r="92" spans="10:22" s="1" customFormat="1" x14ac:dyDescent="0.2">
      <c r="J92"/>
      <c r="K92"/>
      <c r="L92"/>
      <c r="M92"/>
      <c r="N92" s="2"/>
      <c r="R92"/>
      <c r="S92"/>
      <c r="T92"/>
      <c r="U92"/>
      <c r="V92"/>
    </row>
    <row r="93" spans="10:22" s="1" customFormat="1" x14ac:dyDescent="0.2">
      <c r="J93"/>
      <c r="K93"/>
      <c r="L93"/>
      <c r="M93"/>
      <c r="N93" s="2"/>
      <c r="R93"/>
      <c r="S93"/>
      <c r="T93"/>
      <c r="U93"/>
      <c r="V93"/>
    </row>
    <row r="94" spans="10:22" s="1" customFormat="1" x14ac:dyDescent="0.2">
      <c r="J94"/>
      <c r="K94"/>
      <c r="L94"/>
      <c r="M94"/>
      <c r="N94" s="2"/>
      <c r="R94"/>
      <c r="S94"/>
      <c r="T94"/>
      <c r="U94"/>
      <c r="V94"/>
    </row>
    <row r="95" spans="10:22" s="1" customFormat="1" x14ac:dyDescent="0.2">
      <c r="J95"/>
      <c r="K95"/>
      <c r="L95"/>
      <c r="M95"/>
      <c r="N95" s="2"/>
      <c r="R95"/>
      <c r="S95"/>
      <c r="T95"/>
      <c r="U95"/>
      <c r="V95"/>
    </row>
    <row r="96" spans="10:22" s="1" customFormat="1" x14ac:dyDescent="0.2">
      <c r="J96"/>
      <c r="K96"/>
      <c r="L96"/>
      <c r="M96"/>
      <c r="N96" s="2"/>
      <c r="R96"/>
      <c r="S96"/>
      <c r="T96"/>
      <c r="U96"/>
      <c r="V96"/>
    </row>
    <row r="97" spans="10:22" s="1" customFormat="1" x14ac:dyDescent="0.2">
      <c r="J97"/>
      <c r="K97"/>
      <c r="L97"/>
      <c r="M97"/>
      <c r="N97" s="2"/>
      <c r="R97"/>
      <c r="S97"/>
      <c r="T97"/>
      <c r="U97"/>
      <c r="V97"/>
    </row>
    <row r="98" spans="10:22" s="1" customFormat="1" x14ac:dyDescent="0.2">
      <c r="J98"/>
      <c r="K98"/>
      <c r="L98"/>
      <c r="M98"/>
      <c r="N98" s="2"/>
      <c r="R98"/>
      <c r="S98"/>
      <c r="T98"/>
      <c r="U98"/>
      <c r="V98"/>
    </row>
    <row r="99" spans="10:22" s="1" customFormat="1" x14ac:dyDescent="0.2">
      <c r="J99"/>
      <c r="K99"/>
      <c r="L99"/>
      <c r="M99"/>
      <c r="N99" s="2"/>
      <c r="R99"/>
      <c r="S99"/>
      <c r="T99"/>
      <c r="U99"/>
      <c r="V99"/>
    </row>
    <row r="100" spans="10:22" s="1" customFormat="1" x14ac:dyDescent="0.2">
      <c r="J100"/>
      <c r="K100"/>
      <c r="L100"/>
      <c r="M100"/>
      <c r="N100" s="2"/>
      <c r="R100"/>
      <c r="S100"/>
      <c r="T100"/>
      <c r="U100"/>
      <c r="V100"/>
    </row>
    <row r="101" spans="10:22" s="1" customFormat="1" x14ac:dyDescent="0.2">
      <c r="J101"/>
      <c r="K101"/>
      <c r="L101"/>
      <c r="M101"/>
      <c r="N101" s="2"/>
      <c r="R101"/>
      <c r="S101"/>
      <c r="T101"/>
      <c r="U101"/>
      <c r="V101"/>
    </row>
    <row r="102" spans="10:22" s="1" customFormat="1" x14ac:dyDescent="0.2">
      <c r="J102"/>
      <c r="K102"/>
      <c r="L102"/>
      <c r="M102"/>
      <c r="N102" s="2"/>
      <c r="R102"/>
      <c r="S102"/>
      <c r="T102"/>
      <c r="U102"/>
      <c r="V102"/>
    </row>
    <row r="103" spans="10:22" s="1" customFormat="1" x14ac:dyDescent="0.2">
      <c r="J103"/>
      <c r="K103"/>
      <c r="L103"/>
      <c r="M103"/>
      <c r="N103" s="2"/>
      <c r="R103"/>
      <c r="S103"/>
      <c r="T103"/>
      <c r="U103"/>
      <c r="V103"/>
    </row>
    <row r="104" spans="10:22" s="1" customFormat="1" x14ac:dyDescent="0.2">
      <c r="J104"/>
      <c r="K104"/>
      <c r="L104"/>
      <c r="M104"/>
      <c r="N104" s="2"/>
      <c r="R104"/>
      <c r="S104"/>
      <c r="T104"/>
      <c r="U104"/>
      <c r="V104"/>
    </row>
    <row r="105" spans="10:22" s="1" customFormat="1" x14ac:dyDescent="0.2">
      <c r="J105"/>
      <c r="K105"/>
      <c r="L105"/>
      <c r="M105"/>
      <c r="N105" s="2"/>
      <c r="R105"/>
      <c r="S105"/>
      <c r="T105"/>
      <c r="U105"/>
      <c r="V105"/>
    </row>
    <row r="106" spans="10:22" s="1" customFormat="1" x14ac:dyDescent="0.2">
      <c r="J106"/>
      <c r="K106"/>
      <c r="L106"/>
      <c r="M106"/>
      <c r="N106" s="2"/>
      <c r="R106"/>
      <c r="S106"/>
      <c r="T106"/>
      <c r="U106"/>
      <c r="V106"/>
    </row>
    <row r="107" spans="10:22" s="1" customFormat="1" x14ac:dyDescent="0.2">
      <c r="J107"/>
      <c r="K107"/>
      <c r="L107"/>
      <c r="M107"/>
      <c r="N107" s="2"/>
      <c r="R107"/>
      <c r="S107"/>
      <c r="T107"/>
      <c r="U107"/>
      <c r="V107"/>
    </row>
    <row r="108" spans="10:22" s="1" customFormat="1" x14ac:dyDescent="0.2">
      <c r="J108"/>
      <c r="K108"/>
      <c r="L108"/>
      <c r="M108"/>
      <c r="N108" s="2"/>
      <c r="R108"/>
      <c r="S108"/>
      <c r="T108"/>
      <c r="U108"/>
      <c r="V108"/>
    </row>
    <row r="109" spans="10:22" s="1" customFormat="1" x14ac:dyDescent="0.2">
      <c r="J109"/>
      <c r="K109"/>
      <c r="L109"/>
      <c r="M109"/>
      <c r="N109" s="2"/>
      <c r="R109"/>
      <c r="S109"/>
      <c r="T109"/>
      <c r="U109"/>
      <c r="V109"/>
    </row>
    <row r="110" spans="10:22" s="1" customFormat="1" x14ac:dyDescent="0.2">
      <c r="J110"/>
      <c r="K110"/>
      <c r="L110"/>
      <c r="M110"/>
      <c r="N110" s="2"/>
      <c r="R110"/>
      <c r="S110"/>
      <c r="T110"/>
      <c r="U110"/>
      <c r="V110"/>
    </row>
    <row r="111" spans="10:22" s="1" customFormat="1" x14ac:dyDescent="0.2">
      <c r="J111"/>
      <c r="K111"/>
      <c r="L111"/>
      <c r="M111"/>
      <c r="N111" s="2"/>
      <c r="R111"/>
      <c r="S111"/>
      <c r="T111"/>
      <c r="U111"/>
      <c r="V111"/>
    </row>
    <row r="112" spans="10:22" s="1" customFormat="1" x14ac:dyDescent="0.2">
      <c r="J112"/>
      <c r="K112"/>
      <c r="L112"/>
      <c r="M112"/>
      <c r="N112" s="2"/>
      <c r="R112"/>
      <c r="S112"/>
      <c r="T112"/>
      <c r="U112"/>
      <c r="V112"/>
    </row>
    <row r="113" spans="10:22" s="1" customFormat="1" x14ac:dyDescent="0.2">
      <c r="J113"/>
      <c r="K113"/>
      <c r="L113"/>
      <c r="M113"/>
      <c r="N113" s="2"/>
      <c r="R113"/>
      <c r="S113"/>
      <c r="T113"/>
      <c r="U113"/>
      <c r="V113"/>
    </row>
    <row r="114" spans="10:22" s="1" customFormat="1" x14ac:dyDescent="0.2">
      <c r="J114"/>
      <c r="K114"/>
      <c r="L114"/>
      <c r="M114"/>
      <c r="N114" s="2"/>
      <c r="R114"/>
      <c r="S114"/>
      <c r="T114"/>
      <c r="U114"/>
      <c r="V114"/>
    </row>
    <row r="115" spans="10:22" s="1" customFormat="1" x14ac:dyDescent="0.2">
      <c r="J115"/>
      <c r="K115"/>
      <c r="L115"/>
      <c r="M115"/>
      <c r="N115" s="2"/>
      <c r="R115"/>
      <c r="S115"/>
      <c r="T115"/>
      <c r="U115"/>
      <c r="V115"/>
    </row>
    <row r="116" spans="10:22" s="1" customFormat="1" x14ac:dyDescent="0.2">
      <c r="J116"/>
      <c r="K116"/>
      <c r="L116"/>
      <c r="M116"/>
      <c r="N116" s="2"/>
      <c r="R116"/>
      <c r="S116"/>
      <c r="T116"/>
      <c r="U116"/>
      <c r="V116"/>
    </row>
    <row r="117" spans="10:22" s="1" customFormat="1" x14ac:dyDescent="0.2">
      <c r="J117"/>
      <c r="K117"/>
      <c r="L117"/>
      <c r="M117"/>
      <c r="N117" s="2"/>
      <c r="R117"/>
      <c r="S117"/>
      <c r="T117"/>
      <c r="U117"/>
      <c r="V117"/>
    </row>
    <row r="118" spans="10:22" s="1" customFormat="1" x14ac:dyDescent="0.2">
      <c r="J118"/>
      <c r="K118"/>
      <c r="L118"/>
      <c r="M118"/>
      <c r="N118" s="2"/>
      <c r="R118"/>
      <c r="S118"/>
      <c r="T118"/>
      <c r="U118"/>
      <c r="V118"/>
    </row>
    <row r="119" spans="10:22" s="1" customFormat="1" x14ac:dyDescent="0.2">
      <c r="J119"/>
      <c r="K119"/>
      <c r="L119"/>
      <c r="M119"/>
      <c r="N119" s="2"/>
      <c r="R119"/>
      <c r="S119"/>
      <c r="T119"/>
      <c r="U119"/>
      <c r="V119"/>
    </row>
    <row r="120" spans="10:22" s="1" customFormat="1" x14ac:dyDescent="0.2">
      <c r="J120"/>
      <c r="K120"/>
      <c r="L120"/>
      <c r="M120"/>
      <c r="N120" s="2"/>
      <c r="R120"/>
      <c r="S120"/>
      <c r="T120"/>
      <c r="U120"/>
      <c r="V120"/>
    </row>
    <row r="121" spans="10:22" s="1" customFormat="1" x14ac:dyDescent="0.2">
      <c r="J121"/>
      <c r="K121"/>
      <c r="L121"/>
      <c r="M121"/>
      <c r="N121" s="2"/>
      <c r="R121"/>
      <c r="S121"/>
      <c r="T121"/>
      <c r="U121"/>
      <c r="V121"/>
    </row>
    <row r="122" spans="10:22" s="1" customFormat="1" x14ac:dyDescent="0.2">
      <c r="J122"/>
      <c r="K122"/>
      <c r="L122"/>
      <c r="M122"/>
      <c r="N122" s="2"/>
      <c r="R122"/>
      <c r="S122"/>
      <c r="T122"/>
      <c r="U122"/>
      <c r="V122"/>
    </row>
    <row r="123" spans="10:22" s="1" customFormat="1" x14ac:dyDescent="0.2">
      <c r="J123"/>
      <c r="K123"/>
      <c r="L123"/>
      <c r="M123"/>
      <c r="N123" s="2"/>
      <c r="R123"/>
      <c r="S123"/>
      <c r="T123"/>
      <c r="U123"/>
      <c r="V123"/>
    </row>
    <row r="124" spans="10:22" s="1" customFormat="1" x14ac:dyDescent="0.2">
      <c r="J124"/>
      <c r="K124"/>
      <c r="L124"/>
      <c r="M124"/>
      <c r="N124" s="2"/>
      <c r="R124"/>
      <c r="S124"/>
      <c r="T124"/>
      <c r="U124"/>
      <c r="V124"/>
    </row>
    <row r="125" spans="10:22" s="1" customFormat="1" x14ac:dyDescent="0.2">
      <c r="J125"/>
      <c r="K125"/>
      <c r="L125"/>
      <c r="M125"/>
      <c r="N125" s="2"/>
      <c r="R125"/>
      <c r="S125"/>
      <c r="T125"/>
      <c r="U125"/>
      <c r="V125"/>
    </row>
    <row r="126" spans="10:22" s="1" customFormat="1" x14ac:dyDescent="0.2">
      <c r="J126"/>
      <c r="K126"/>
      <c r="L126"/>
      <c r="M126"/>
      <c r="N126" s="2"/>
      <c r="R126"/>
      <c r="S126"/>
      <c r="T126"/>
      <c r="U126"/>
      <c r="V126"/>
    </row>
    <row r="127" spans="10:22" s="1" customFormat="1" x14ac:dyDescent="0.2">
      <c r="J127"/>
      <c r="K127"/>
      <c r="L127"/>
      <c r="M127"/>
      <c r="N127" s="2"/>
      <c r="R127"/>
      <c r="S127"/>
      <c r="T127"/>
      <c r="U127"/>
      <c r="V127"/>
    </row>
    <row r="128" spans="10:22" s="1" customFormat="1" x14ac:dyDescent="0.2">
      <c r="J128"/>
      <c r="K128"/>
      <c r="L128"/>
      <c r="M128"/>
      <c r="N128" s="2"/>
      <c r="R128"/>
      <c r="S128"/>
      <c r="T128"/>
      <c r="U128"/>
      <c r="V128"/>
    </row>
    <row r="129" spans="10:22" s="1" customFormat="1" x14ac:dyDescent="0.2">
      <c r="J129"/>
      <c r="K129"/>
      <c r="L129"/>
      <c r="M129"/>
      <c r="N129" s="2"/>
      <c r="R129"/>
      <c r="S129"/>
      <c r="T129"/>
      <c r="U129"/>
      <c r="V129"/>
    </row>
    <row r="130" spans="10:22" s="1" customFormat="1" x14ac:dyDescent="0.2">
      <c r="J130"/>
      <c r="K130"/>
      <c r="L130"/>
      <c r="M130"/>
      <c r="N130" s="2"/>
      <c r="R130"/>
      <c r="S130"/>
      <c r="T130"/>
      <c r="U130"/>
      <c r="V130"/>
    </row>
    <row r="131" spans="10:22" s="1" customFormat="1" x14ac:dyDescent="0.2">
      <c r="J131"/>
      <c r="K131"/>
      <c r="L131"/>
      <c r="M131"/>
      <c r="N131" s="2"/>
      <c r="R131"/>
      <c r="S131"/>
      <c r="T131"/>
      <c r="U131"/>
      <c r="V131"/>
    </row>
    <row r="132" spans="10:22" s="1" customFormat="1" x14ac:dyDescent="0.2">
      <c r="J132"/>
      <c r="K132"/>
      <c r="L132"/>
      <c r="M132"/>
      <c r="N132" s="2"/>
      <c r="R132"/>
      <c r="S132"/>
      <c r="T132"/>
      <c r="U132"/>
      <c r="V132"/>
    </row>
    <row r="133" spans="10:22" s="1" customFormat="1" x14ac:dyDescent="0.2">
      <c r="J133"/>
      <c r="K133"/>
      <c r="L133"/>
      <c r="M133"/>
      <c r="N133" s="2"/>
      <c r="R133"/>
      <c r="S133"/>
      <c r="T133"/>
      <c r="U133"/>
      <c r="V133"/>
    </row>
    <row r="134" spans="10:22" s="1" customFormat="1" x14ac:dyDescent="0.2">
      <c r="J134"/>
      <c r="K134"/>
      <c r="L134"/>
      <c r="M134"/>
      <c r="N134" s="2"/>
      <c r="R134"/>
      <c r="S134"/>
      <c r="T134"/>
      <c r="U134"/>
      <c r="V134"/>
    </row>
    <row r="135" spans="10:22" s="1" customFormat="1" x14ac:dyDescent="0.2">
      <c r="J135"/>
      <c r="K135"/>
      <c r="L135"/>
      <c r="M135"/>
      <c r="N135" s="2"/>
      <c r="R135"/>
      <c r="S135"/>
      <c r="T135"/>
      <c r="U135"/>
      <c r="V135"/>
    </row>
    <row r="136" spans="10:22" s="1" customFormat="1" x14ac:dyDescent="0.2">
      <c r="J136"/>
      <c r="K136"/>
      <c r="L136"/>
      <c r="M136"/>
      <c r="N136" s="2"/>
      <c r="R136"/>
      <c r="S136"/>
      <c r="T136"/>
      <c r="U136"/>
      <c r="V136"/>
    </row>
    <row r="137" spans="10:22" s="1" customFormat="1" x14ac:dyDescent="0.2">
      <c r="J137"/>
      <c r="K137"/>
      <c r="L137"/>
      <c r="M137"/>
      <c r="N137" s="2"/>
      <c r="R137"/>
      <c r="S137"/>
      <c r="T137"/>
      <c r="U137"/>
      <c r="V137"/>
    </row>
    <row r="138" spans="10:22" s="1" customFormat="1" x14ac:dyDescent="0.2">
      <c r="J138"/>
      <c r="K138"/>
      <c r="L138"/>
      <c r="M138"/>
      <c r="N138" s="2"/>
      <c r="R138"/>
      <c r="S138"/>
      <c r="T138"/>
      <c r="U138"/>
      <c r="V138"/>
    </row>
    <row r="139" spans="10:22" s="1" customFormat="1" x14ac:dyDescent="0.2">
      <c r="J139"/>
      <c r="K139"/>
      <c r="L139"/>
      <c r="M139"/>
      <c r="N139" s="2"/>
      <c r="R139"/>
      <c r="S139"/>
      <c r="T139"/>
      <c r="U139"/>
      <c r="V139"/>
    </row>
    <row r="140" spans="10:22" s="1" customFormat="1" x14ac:dyDescent="0.2">
      <c r="J140"/>
      <c r="K140"/>
      <c r="L140"/>
      <c r="M140"/>
      <c r="N140" s="2"/>
      <c r="R140"/>
      <c r="S140"/>
      <c r="T140"/>
      <c r="U140"/>
      <c r="V140"/>
    </row>
    <row r="141" spans="10:22" s="1" customFormat="1" x14ac:dyDescent="0.2">
      <c r="J141"/>
      <c r="K141"/>
      <c r="L141"/>
      <c r="M141"/>
      <c r="N141" s="2"/>
      <c r="R141"/>
      <c r="S141"/>
      <c r="T141"/>
      <c r="U141"/>
      <c r="V141"/>
    </row>
    <row r="142" spans="10:22" s="1" customFormat="1" x14ac:dyDescent="0.2">
      <c r="J142"/>
      <c r="K142"/>
      <c r="L142"/>
      <c r="M142"/>
      <c r="N142" s="2"/>
      <c r="R142"/>
      <c r="S142"/>
      <c r="T142"/>
      <c r="U142"/>
      <c r="V142"/>
    </row>
    <row r="143" spans="10:22" s="1" customFormat="1" x14ac:dyDescent="0.2">
      <c r="J143"/>
      <c r="K143"/>
      <c r="L143"/>
      <c r="M143"/>
      <c r="N143" s="2"/>
      <c r="R143"/>
      <c r="S143"/>
      <c r="T143"/>
      <c r="U143"/>
      <c r="V143"/>
    </row>
    <row r="144" spans="10:22" s="1" customFormat="1" x14ac:dyDescent="0.2">
      <c r="J144"/>
      <c r="K144"/>
      <c r="L144"/>
      <c r="M144"/>
      <c r="N144" s="2"/>
      <c r="R144"/>
      <c r="S144"/>
      <c r="T144"/>
      <c r="U144"/>
      <c r="V144"/>
    </row>
    <row r="145" spans="10:22" s="1" customFormat="1" x14ac:dyDescent="0.2">
      <c r="J145"/>
      <c r="K145"/>
      <c r="L145"/>
      <c r="M145"/>
      <c r="N145" s="2"/>
      <c r="R145"/>
      <c r="S145"/>
      <c r="T145"/>
      <c r="U145"/>
      <c r="V145"/>
    </row>
    <row r="146" spans="10:22" s="1" customFormat="1" x14ac:dyDescent="0.2">
      <c r="J146"/>
      <c r="K146"/>
      <c r="L146"/>
      <c r="M146"/>
      <c r="N146" s="2"/>
      <c r="R146"/>
      <c r="S146"/>
      <c r="T146"/>
      <c r="U146"/>
      <c r="V146"/>
    </row>
    <row r="147" spans="10:22" s="1" customFormat="1" x14ac:dyDescent="0.2">
      <c r="J147"/>
      <c r="K147"/>
      <c r="L147"/>
      <c r="M147"/>
      <c r="N147" s="2"/>
      <c r="R147"/>
      <c r="S147"/>
      <c r="T147"/>
      <c r="U147"/>
      <c r="V147"/>
    </row>
    <row r="148" spans="10:22" s="1" customFormat="1" x14ac:dyDescent="0.2">
      <c r="J148"/>
      <c r="K148"/>
      <c r="L148"/>
      <c r="M148"/>
      <c r="N148" s="2"/>
      <c r="R148"/>
      <c r="S148"/>
      <c r="T148"/>
      <c r="U148"/>
      <c r="V148"/>
    </row>
    <row r="149" spans="10:22" s="1" customFormat="1" x14ac:dyDescent="0.2">
      <c r="J149"/>
      <c r="K149"/>
      <c r="L149"/>
      <c r="M149"/>
      <c r="N149" s="2"/>
      <c r="R149"/>
      <c r="S149"/>
      <c r="T149"/>
      <c r="U149"/>
      <c r="V149"/>
    </row>
    <row r="150" spans="10:22" s="1" customFormat="1" x14ac:dyDescent="0.2">
      <c r="J150"/>
      <c r="K150"/>
      <c r="L150"/>
      <c r="M150"/>
      <c r="N150" s="2"/>
      <c r="R150"/>
      <c r="S150"/>
      <c r="T150"/>
      <c r="U150"/>
      <c r="V150"/>
    </row>
    <row r="151" spans="10:22" s="1" customFormat="1" x14ac:dyDescent="0.2">
      <c r="J151"/>
      <c r="K151"/>
      <c r="L151"/>
      <c r="M151"/>
      <c r="N151" s="2"/>
      <c r="R151"/>
      <c r="S151"/>
      <c r="T151"/>
      <c r="U151"/>
      <c r="V151"/>
    </row>
    <row r="152" spans="10:22" s="1" customFormat="1" x14ac:dyDescent="0.2">
      <c r="J152"/>
      <c r="K152"/>
      <c r="L152"/>
      <c r="M152"/>
      <c r="N152" s="2"/>
      <c r="R152"/>
      <c r="S152"/>
      <c r="T152"/>
      <c r="U152"/>
      <c r="V152"/>
    </row>
    <row r="153" spans="10:22" s="1" customFormat="1" x14ac:dyDescent="0.2">
      <c r="J153"/>
      <c r="K153"/>
      <c r="L153"/>
      <c r="M153"/>
      <c r="N153" s="2"/>
      <c r="R153"/>
      <c r="S153"/>
      <c r="T153"/>
      <c r="U153"/>
      <c r="V153"/>
    </row>
    <row r="154" spans="10:22" s="1" customFormat="1" x14ac:dyDescent="0.2">
      <c r="J154"/>
      <c r="K154"/>
      <c r="L154"/>
      <c r="M154"/>
      <c r="N154" s="2"/>
      <c r="R154"/>
      <c r="S154"/>
      <c r="T154"/>
      <c r="U154"/>
      <c r="V154"/>
    </row>
    <row r="155" spans="10:22" s="1" customFormat="1" x14ac:dyDescent="0.2">
      <c r="J155"/>
      <c r="K155"/>
      <c r="L155"/>
      <c r="M155"/>
      <c r="N155" s="2"/>
      <c r="R155"/>
      <c r="S155"/>
      <c r="T155"/>
      <c r="U155"/>
      <c r="V155"/>
    </row>
    <row r="156" spans="10:22" s="1" customFormat="1" x14ac:dyDescent="0.2">
      <c r="J156"/>
      <c r="K156"/>
      <c r="L156"/>
      <c r="M156"/>
      <c r="N156" s="2"/>
      <c r="R156"/>
      <c r="S156"/>
      <c r="T156"/>
      <c r="U156"/>
      <c r="V156"/>
    </row>
    <row r="157" spans="10:22" s="1" customFormat="1" x14ac:dyDescent="0.2">
      <c r="J157"/>
      <c r="K157"/>
      <c r="L157"/>
      <c r="M157"/>
      <c r="N157" s="2"/>
      <c r="R157"/>
      <c r="S157"/>
      <c r="T157"/>
      <c r="U157"/>
      <c r="V157"/>
    </row>
    <row r="158" spans="10:22" s="1" customFormat="1" x14ac:dyDescent="0.2">
      <c r="J158"/>
      <c r="K158"/>
      <c r="L158"/>
      <c r="M158"/>
      <c r="N158" s="2"/>
      <c r="R158"/>
      <c r="S158"/>
      <c r="T158"/>
      <c r="U158"/>
      <c r="V158"/>
    </row>
    <row r="159" spans="10:22" s="1" customFormat="1" x14ac:dyDescent="0.2">
      <c r="J159"/>
      <c r="K159"/>
      <c r="L159"/>
      <c r="M159"/>
      <c r="N159" s="2"/>
      <c r="R159"/>
      <c r="S159"/>
      <c r="T159"/>
      <c r="U159"/>
      <c r="V159"/>
    </row>
    <row r="160" spans="10:22" s="1" customFormat="1" x14ac:dyDescent="0.2">
      <c r="J160"/>
      <c r="K160"/>
      <c r="L160"/>
      <c r="M160"/>
      <c r="N160" s="2"/>
      <c r="R160"/>
      <c r="S160"/>
      <c r="T160"/>
      <c r="U160"/>
      <c r="V160"/>
    </row>
    <row r="161" spans="10:22" s="1" customFormat="1" x14ac:dyDescent="0.2">
      <c r="J161"/>
      <c r="K161"/>
      <c r="L161"/>
      <c r="M161"/>
      <c r="N161" s="2"/>
      <c r="R161"/>
      <c r="S161"/>
      <c r="T161"/>
      <c r="U161"/>
      <c r="V161"/>
    </row>
    <row r="162" spans="10:22" s="1" customFormat="1" x14ac:dyDescent="0.2">
      <c r="J162"/>
      <c r="K162"/>
      <c r="L162"/>
      <c r="M162"/>
      <c r="N162" s="2"/>
      <c r="R162"/>
      <c r="S162"/>
      <c r="T162"/>
      <c r="U162"/>
      <c r="V162"/>
    </row>
    <row r="163" spans="10:22" s="1" customFormat="1" x14ac:dyDescent="0.2">
      <c r="J163"/>
      <c r="K163"/>
      <c r="L163"/>
      <c r="M163"/>
      <c r="N163" s="2"/>
      <c r="R163"/>
      <c r="S163"/>
      <c r="T163"/>
      <c r="U163"/>
      <c r="V163"/>
    </row>
    <row r="164" spans="10:22" s="1" customFormat="1" x14ac:dyDescent="0.2">
      <c r="J164"/>
      <c r="K164"/>
      <c r="L164"/>
      <c r="M164"/>
      <c r="N164" s="2"/>
      <c r="R164"/>
      <c r="S164"/>
      <c r="T164"/>
      <c r="U164"/>
      <c r="V164"/>
    </row>
    <row r="165" spans="10:22" s="1" customFormat="1" x14ac:dyDescent="0.2">
      <c r="J165"/>
      <c r="K165"/>
      <c r="L165"/>
      <c r="M165"/>
      <c r="N165" s="2"/>
      <c r="R165"/>
      <c r="S165"/>
      <c r="T165"/>
      <c r="U165"/>
      <c r="V165"/>
    </row>
    <row r="166" spans="10:22" s="1" customFormat="1" x14ac:dyDescent="0.2">
      <c r="J166"/>
      <c r="K166"/>
      <c r="L166"/>
      <c r="M166"/>
      <c r="N166" s="2"/>
      <c r="R166"/>
      <c r="S166"/>
      <c r="T166"/>
      <c r="U166"/>
      <c r="V166"/>
    </row>
    <row r="167" spans="10:22" s="1" customFormat="1" x14ac:dyDescent="0.2">
      <c r="J167"/>
      <c r="K167"/>
      <c r="L167"/>
      <c r="M167"/>
      <c r="N167" s="2"/>
      <c r="R167"/>
      <c r="S167"/>
      <c r="T167"/>
      <c r="U167"/>
      <c r="V167"/>
    </row>
    <row r="168" spans="10:22" s="1" customFormat="1" x14ac:dyDescent="0.2">
      <c r="J168"/>
      <c r="K168"/>
      <c r="L168"/>
      <c r="M168"/>
      <c r="N168" s="2"/>
      <c r="R168"/>
      <c r="S168"/>
      <c r="T168"/>
      <c r="U168"/>
      <c r="V168"/>
    </row>
    <row r="169" spans="10:22" s="1" customFormat="1" x14ac:dyDescent="0.2">
      <c r="J169"/>
      <c r="K169"/>
      <c r="L169"/>
      <c r="M169"/>
      <c r="N169" s="2"/>
      <c r="R169"/>
      <c r="S169"/>
      <c r="T169"/>
      <c r="U169"/>
      <c r="V169"/>
    </row>
    <row r="170" spans="10:22" s="1" customFormat="1" x14ac:dyDescent="0.2">
      <c r="J170"/>
      <c r="K170"/>
      <c r="L170"/>
      <c r="M170"/>
      <c r="N170" s="2"/>
      <c r="R170"/>
      <c r="S170"/>
      <c r="T170"/>
      <c r="U170"/>
      <c r="V170"/>
    </row>
    <row r="171" spans="10:22" s="1" customFormat="1" x14ac:dyDescent="0.2">
      <c r="J171"/>
      <c r="K171"/>
      <c r="L171"/>
      <c r="M171"/>
      <c r="N171" s="2"/>
      <c r="R171"/>
      <c r="S171"/>
      <c r="T171"/>
      <c r="U171"/>
      <c r="V171"/>
    </row>
    <row r="172" spans="10:22" s="1" customFormat="1" x14ac:dyDescent="0.2">
      <c r="J172"/>
      <c r="K172"/>
      <c r="L172"/>
      <c r="M172"/>
      <c r="N172" s="2"/>
      <c r="R172"/>
      <c r="S172"/>
      <c r="T172"/>
      <c r="U172"/>
      <c r="V172"/>
    </row>
    <row r="173" spans="10:22" s="1" customFormat="1" x14ac:dyDescent="0.2">
      <c r="J173"/>
      <c r="K173"/>
      <c r="L173"/>
      <c r="M173"/>
      <c r="N173" s="2"/>
      <c r="R173"/>
      <c r="S173"/>
      <c r="T173"/>
      <c r="U173"/>
      <c r="V173"/>
    </row>
    <row r="174" spans="10:22" s="1" customFormat="1" x14ac:dyDescent="0.2">
      <c r="J174"/>
      <c r="K174"/>
      <c r="L174"/>
      <c r="M174"/>
      <c r="N174" s="2"/>
      <c r="R174"/>
      <c r="S174"/>
      <c r="T174"/>
      <c r="U174"/>
      <c r="V174"/>
    </row>
    <row r="175" spans="10:22" s="1" customFormat="1" x14ac:dyDescent="0.2">
      <c r="J175"/>
      <c r="K175"/>
      <c r="L175"/>
      <c r="M175"/>
      <c r="N175" s="2"/>
      <c r="R175"/>
      <c r="S175"/>
      <c r="T175"/>
      <c r="U175"/>
      <c r="V175"/>
    </row>
    <row r="176" spans="10:22" s="1" customFormat="1" x14ac:dyDescent="0.2">
      <c r="J176"/>
      <c r="K176"/>
      <c r="L176"/>
      <c r="M176"/>
      <c r="N176" s="2"/>
      <c r="R176"/>
      <c r="S176"/>
      <c r="T176"/>
      <c r="U176"/>
      <c r="V176"/>
    </row>
    <row r="177" spans="10:22" s="1" customFormat="1" x14ac:dyDescent="0.2">
      <c r="J177"/>
      <c r="K177"/>
      <c r="L177"/>
      <c r="M177"/>
      <c r="N177" s="2"/>
      <c r="R177"/>
      <c r="S177"/>
      <c r="T177"/>
      <c r="U177"/>
      <c r="V177"/>
    </row>
    <row r="178" spans="10:22" s="1" customFormat="1" x14ac:dyDescent="0.2">
      <c r="J178"/>
      <c r="K178"/>
      <c r="L178"/>
      <c r="M178"/>
      <c r="N178" s="2"/>
      <c r="R178"/>
      <c r="S178"/>
      <c r="T178"/>
      <c r="U178"/>
      <c r="V178"/>
    </row>
    <row r="179" spans="10:22" s="1" customFormat="1" x14ac:dyDescent="0.2">
      <c r="J179"/>
      <c r="K179"/>
      <c r="L179"/>
      <c r="M179"/>
      <c r="N179" s="2"/>
      <c r="R179"/>
      <c r="S179"/>
      <c r="T179"/>
      <c r="U179"/>
      <c r="V179"/>
    </row>
    <row r="180" spans="10:22" s="1" customFormat="1" x14ac:dyDescent="0.2">
      <c r="J180"/>
      <c r="K180"/>
      <c r="L180"/>
      <c r="M180"/>
      <c r="N180" s="2"/>
      <c r="R180"/>
      <c r="S180"/>
      <c r="T180"/>
      <c r="U180"/>
      <c r="V180"/>
    </row>
    <row r="181" spans="10:22" s="1" customFormat="1" x14ac:dyDescent="0.2">
      <c r="J181"/>
      <c r="K181"/>
      <c r="L181"/>
      <c r="M181"/>
      <c r="N181" s="2"/>
      <c r="R181"/>
      <c r="S181"/>
      <c r="T181"/>
      <c r="U181"/>
      <c r="V181"/>
    </row>
    <row r="182" spans="10:22" s="1" customFormat="1" x14ac:dyDescent="0.2">
      <c r="J182"/>
      <c r="K182"/>
      <c r="L182"/>
      <c r="M182"/>
      <c r="N182" s="2"/>
      <c r="R182"/>
      <c r="S182"/>
      <c r="T182"/>
      <c r="U182"/>
      <c r="V182"/>
    </row>
    <row r="183" spans="10:22" s="1" customFormat="1" x14ac:dyDescent="0.2">
      <c r="J183"/>
      <c r="K183"/>
      <c r="L183"/>
      <c r="M183"/>
      <c r="N183" s="2"/>
      <c r="R183"/>
      <c r="S183"/>
      <c r="T183"/>
      <c r="U183"/>
      <c r="V183"/>
    </row>
    <row r="184" spans="10:22" s="1" customFormat="1" x14ac:dyDescent="0.2">
      <c r="J184"/>
      <c r="K184"/>
      <c r="L184"/>
      <c r="M184"/>
      <c r="N184" s="2"/>
      <c r="R184"/>
      <c r="S184"/>
      <c r="T184"/>
      <c r="U184"/>
      <c r="V184"/>
    </row>
    <row r="185" spans="10:22" s="1" customFormat="1" x14ac:dyDescent="0.2">
      <c r="J185"/>
      <c r="K185"/>
      <c r="L185"/>
      <c r="M185"/>
      <c r="N185" s="2"/>
      <c r="R185"/>
      <c r="S185"/>
      <c r="T185"/>
      <c r="U185"/>
      <c r="V185"/>
    </row>
    <row r="186" spans="10:22" s="1" customFormat="1" x14ac:dyDescent="0.2">
      <c r="J186"/>
      <c r="K186"/>
      <c r="L186"/>
      <c r="M186"/>
      <c r="N186" s="2"/>
      <c r="R186"/>
      <c r="S186"/>
      <c r="T186"/>
      <c r="U186"/>
      <c r="V186"/>
    </row>
    <row r="187" spans="10:22" s="1" customFormat="1" x14ac:dyDescent="0.2">
      <c r="J187"/>
      <c r="K187"/>
      <c r="L187"/>
      <c r="M187"/>
      <c r="N187" s="2"/>
      <c r="R187"/>
      <c r="S187"/>
      <c r="T187"/>
      <c r="U187"/>
      <c r="V187"/>
    </row>
    <row r="188" spans="10:22" s="1" customFormat="1" x14ac:dyDescent="0.2">
      <c r="J188"/>
      <c r="K188"/>
      <c r="L188"/>
      <c r="M188"/>
      <c r="N188" s="2"/>
      <c r="R188"/>
      <c r="S188"/>
      <c r="T188"/>
      <c r="U188"/>
      <c r="V188"/>
    </row>
    <row r="189" spans="10:22" s="1" customFormat="1" x14ac:dyDescent="0.2">
      <c r="J189"/>
      <c r="K189"/>
      <c r="L189"/>
      <c r="M189"/>
      <c r="N189" s="2"/>
      <c r="R189"/>
      <c r="S189"/>
      <c r="T189"/>
      <c r="U189"/>
      <c r="V189"/>
    </row>
    <row r="190" spans="10:22" s="1" customFormat="1" x14ac:dyDescent="0.2">
      <c r="J190"/>
      <c r="K190"/>
      <c r="L190"/>
      <c r="M190"/>
      <c r="N190" s="2"/>
      <c r="R190"/>
      <c r="S190"/>
      <c r="T190"/>
      <c r="U190"/>
      <c r="V190"/>
    </row>
    <row r="191" spans="10:22" s="1" customFormat="1" x14ac:dyDescent="0.2">
      <c r="J191"/>
      <c r="K191"/>
      <c r="L191"/>
      <c r="M191"/>
      <c r="N191" s="2"/>
      <c r="R191"/>
      <c r="S191"/>
      <c r="T191"/>
      <c r="U191"/>
      <c r="V191"/>
    </row>
    <row r="192" spans="10:22" s="1" customFormat="1" x14ac:dyDescent="0.2">
      <c r="J192"/>
      <c r="K192"/>
      <c r="L192"/>
      <c r="M192"/>
      <c r="N192" s="2"/>
      <c r="R192"/>
      <c r="S192"/>
      <c r="T192"/>
      <c r="U192"/>
      <c r="V192"/>
    </row>
    <row r="193" spans="10:22" s="1" customFormat="1" x14ac:dyDescent="0.2">
      <c r="J193"/>
      <c r="K193"/>
      <c r="L193"/>
      <c r="M193"/>
      <c r="N193" s="2"/>
      <c r="R193"/>
      <c r="S193"/>
      <c r="T193"/>
      <c r="U193"/>
      <c r="V193"/>
    </row>
    <row r="194" spans="10:22" s="1" customFormat="1" x14ac:dyDescent="0.2">
      <c r="J194"/>
      <c r="K194"/>
      <c r="L194"/>
      <c r="M194"/>
      <c r="N194" s="2"/>
      <c r="R194"/>
      <c r="S194"/>
      <c r="T194"/>
      <c r="U194"/>
      <c r="V194"/>
    </row>
    <row r="195" spans="10:22" s="1" customFormat="1" x14ac:dyDescent="0.2">
      <c r="J195"/>
      <c r="K195"/>
      <c r="L195"/>
      <c r="M195"/>
      <c r="N195" s="2"/>
      <c r="R195"/>
      <c r="S195"/>
      <c r="T195"/>
      <c r="U195"/>
      <c r="V195"/>
    </row>
    <row r="196" spans="10:22" s="1" customFormat="1" x14ac:dyDescent="0.2">
      <c r="J196"/>
      <c r="K196"/>
      <c r="L196"/>
      <c r="M196"/>
      <c r="N196" s="2"/>
      <c r="R196"/>
      <c r="S196"/>
      <c r="T196"/>
      <c r="U196"/>
      <c r="V196"/>
    </row>
    <row r="197" spans="10:22" s="1" customFormat="1" x14ac:dyDescent="0.2">
      <c r="J197"/>
      <c r="K197"/>
      <c r="L197"/>
      <c r="M197"/>
      <c r="N197" s="2"/>
      <c r="R197"/>
      <c r="S197"/>
      <c r="T197"/>
      <c r="U197"/>
      <c r="V197"/>
    </row>
    <row r="198" spans="10:22" s="1" customFormat="1" x14ac:dyDescent="0.2">
      <c r="J198"/>
      <c r="K198"/>
      <c r="L198"/>
      <c r="M198"/>
      <c r="N198" s="2"/>
      <c r="R198"/>
      <c r="S198"/>
      <c r="T198"/>
      <c r="U198"/>
      <c r="V198"/>
    </row>
    <row r="199" spans="10:22" s="1" customFormat="1" x14ac:dyDescent="0.2">
      <c r="J199"/>
      <c r="K199"/>
      <c r="L199"/>
      <c r="M199"/>
      <c r="N199" s="2"/>
      <c r="R199"/>
      <c r="S199"/>
      <c r="T199"/>
      <c r="U199"/>
      <c r="V199"/>
    </row>
    <row r="200" spans="10:22" s="1" customFormat="1" x14ac:dyDescent="0.2">
      <c r="J200"/>
      <c r="K200"/>
      <c r="L200"/>
      <c r="M200"/>
      <c r="N200" s="2"/>
      <c r="R200"/>
      <c r="S200"/>
      <c r="T200"/>
      <c r="U200"/>
      <c r="V200"/>
    </row>
    <row r="201" spans="10:22" s="1" customFormat="1" x14ac:dyDescent="0.2">
      <c r="J201"/>
      <c r="K201"/>
      <c r="L201"/>
      <c r="M201"/>
      <c r="N201" s="2"/>
      <c r="R201"/>
      <c r="S201"/>
      <c r="T201"/>
      <c r="U201"/>
      <c r="V201"/>
    </row>
    <row r="202" spans="10:22" s="1" customFormat="1" x14ac:dyDescent="0.2">
      <c r="J202"/>
      <c r="K202"/>
      <c r="L202"/>
      <c r="M202"/>
      <c r="N202" s="2"/>
      <c r="R202"/>
      <c r="S202"/>
      <c r="T202"/>
      <c r="U202"/>
      <c r="V202"/>
    </row>
    <row r="203" spans="10:22" s="1" customFormat="1" x14ac:dyDescent="0.2">
      <c r="J203"/>
      <c r="K203"/>
      <c r="L203"/>
      <c r="M203"/>
      <c r="N203" s="2"/>
      <c r="R203"/>
      <c r="S203"/>
      <c r="T203"/>
      <c r="U203"/>
      <c r="V203"/>
    </row>
    <row r="204" spans="10:22" s="1" customFormat="1" x14ac:dyDescent="0.2">
      <c r="J204"/>
      <c r="K204"/>
      <c r="L204"/>
      <c r="M204"/>
      <c r="N204" s="2"/>
      <c r="R204"/>
      <c r="S204"/>
      <c r="T204"/>
      <c r="U204"/>
      <c r="V204"/>
    </row>
    <row r="205" spans="10:22" s="1" customFormat="1" x14ac:dyDescent="0.2">
      <c r="J205"/>
      <c r="K205"/>
      <c r="L205"/>
      <c r="M205"/>
      <c r="N205" s="2"/>
      <c r="R205"/>
      <c r="S205"/>
      <c r="T205"/>
      <c r="U205"/>
      <c r="V205"/>
    </row>
    <row r="206" spans="10:22" s="1" customFormat="1" x14ac:dyDescent="0.2">
      <c r="J206"/>
      <c r="K206"/>
      <c r="L206"/>
      <c r="M206"/>
      <c r="N206" s="2"/>
      <c r="R206"/>
      <c r="S206"/>
      <c r="T206"/>
      <c r="U206"/>
      <c r="V206"/>
    </row>
    <row r="207" spans="10:22" s="1" customFormat="1" x14ac:dyDescent="0.2">
      <c r="J207"/>
      <c r="K207"/>
      <c r="L207"/>
      <c r="M207"/>
      <c r="N207" s="2"/>
      <c r="R207"/>
      <c r="S207"/>
      <c r="T207"/>
      <c r="U207"/>
      <c r="V207"/>
    </row>
    <row r="208" spans="10:22" s="1" customFormat="1" x14ac:dyDescent="0.2">
      <c r="J208"/>
      <c r="K208"/>
      <c r="L208"/>
      <c r="M208"/>
      <c r="N208" s="2"/>
      <c r="R208"/>
      <c r="S208"/>
      <c r="T208"/>
      <c r="U208"/>
      <c r="V208"/>
    </row>
    <row r="209" spans="10:22" s="1" customFormat="1" x14ac:dyDescent="0.2">
      <c r="J209"/>
      <c r="K209"/>
      <c r="L209"/>
      <c r="M209"/>
      <c r="N209" s="2"/>
      <c r="R209"/>
      <c r="S209"/>
      <c r="T209"/>
      <c r="U209"/>
      <c r="V209"/>
    </row>
    <row r="210" spans="10:22" s="1" customFormat="1" x14ac:dyDescent="0.2">
      <c r="J210"/>
      <c r="K210"/>
      <c r="L210"/>
      <c r="M210"/>
      <c r="N210" s="2"/>
      <c r="R210"/>
      <c r="S210"/>
      <c r="T210"/>
      <c r="U210"/>
      <c r="V210"/>
    </row>
    <row r="211" spans="10:22" s="1" customFormat="1" x14ac:dyDescent="0.2">
      <c r="J211"/>
      <c r="K211"/>
      <c r="L211"/>
      <c r="M211"/>
      <c r="N211" s="2"/>
      <c r="R211"/>
      <c r="S211"/>
      <c r="T211"/>
      <c r="U211"/>
      <c r="V211"/>
    </row>
    <row r="212" spans="10:22" s="1" customFormat="1" x14ac:dyDescent="0.2">
      <c r="J212"/>
      <c r="K212"/>
      <c r="L212"/>
      <c r="M212"/>
      <c r="N212" s="2"/>
      <c r="R212"/>
      <c r="S212"/>
      <c r="T212"/>
      <c r="U212"/>
      <c r="V212"/>
    </row>
    <row r="213" spans="10:22" s="1" customFormat="1" x14ac:dyDescent="0.2">
      <c r="J213"/>
      <c r="K213"/>
      <c r="L213"/>
      <c r="M213"/>
      <c r="N213" s="2"/>
      <c r="R213"/>
      <c r="S213"/>
      <c r="T213"/>
      <c r="U213"/>
      <c r="V213"/>
    </row>
    <row r="214" spans="10:22" s="1" customFormat="1" x14ac:dyDescent="0.2">
      <c r="J214"/>
      <c r="K214"/>
      <c r="L214"/>
      <c r="M214"/>
      <c r="N214" s="2"/>
      <c r="R214"/>
      <c r="S214"/>
      <c r="T214"/>
      <c r="U214"/>
      <c r="V214"/>
    </row>
    <row r="215" spans="10:22" s="1" customFormat="1" x14ac:dyDescent="0.2">
      <c r="J215"/>
      <c r="K215"/>
      <c r="L215"/>
      <c r="M215"/>
      <c r="N215" s="2"/>
      <c r="R215"/>
      <c r="S215"/>
      <c r="T215"/>
      <c r="U215"/>
      <c r="V215"/>
    </row>
    <row r="216" spans="10:22" s="1" customFormat="1" x14ac:dyDescent="0.2">
      <c r="J216"/>
      <c r="K216"/>
      <c r="L216"/>
      <c r="M216"/>
      <c r="N216" s="2"/>
      <c r="R216"/>
      <c r="S216"/>
      <c r="T216"/>
      <c r="U216"/>
      <c r="V216"/>
    </row>
    <row r="217" spans="10:22" s="1" customFormat="1" x14ac:dyDescent="0.2">
      <c r="J217"/>
      <c r="K217"/>
      <c r="L217"/>
      <c r="M217"/>
      <c r="N217" s="2"/>
      <c r="R217"/>
      <c r="S217"/>
      <c r="T217"/>
      <c r="U217"/>
      <c r="V217"/>
    </row>
    <row r="218" spans="10:22" s="1" customFormat="1" x14ac:dyDescent="0.2">
      <c r="J218"/>
      <c r="K218"/>
      <c r="L218"/>
      <c r="M218"/>
      <c r="N218" s="2"/>
      <c r="R218"/>
      <c r="S218"/>
      <c r="T218"/>
      <c r="U218"/>
      <c r="V218"/>
    </row>
    <row r="219" spans="10:22" s="1" customFormat="1" x14ac:dyDescent="0.2">
      <c r="J219"/>
      <c r="K219"/>
      <c r="L219"/>
      <c r="M219"/>
      <c r="N219" s="2"/>
      <c r="R219"/>
      <c r="S219"/>
      <c r="T219"/>
      <c r="U219"/>
      <c r="V219"/>
    </row>
    <row r="220" spans="10:22" s="1" customFormat="1" x14ac:dyDescent="0.2">
      <c r="J220"/>
      <c r="K220"/>
      <c r="L220"/>
      <c r="M220"/>
      <c r="N220" s="2"/>
      <c r="R220"/>
      <c r="S220"/>
      <c r="T220"/>
      <c r="U220"/>
      <c r="V220"/>
    </row>
    <row r="221" spans="10:22" s="1" customFormat="1" x14ac:dyDescent="0.2">
      <c r="J221"/>
      <c r="K221"/>
      <c r="L221"/>
      <c r="M221"/>
      <c r="N221" s="2"/>
      <c r="R221"/>
      <c r="S221"/>
      <c r="T221"/>
      <c r="U221"/>
      <c r="V221"/>
    </row>
    <row r="222" spans="10:22" s="1" customFormat="1" x14ac:dyDescent="0.2">
      <c r="J222"/>
      <c r="K222"/>
      <c r="L222"/>
      <c r="M222"/>
      <c r="N222" s="2"/>
      <c r="R222"/>
      <c r="S222"/>
      <c r="T222"/>
      <c r="U222"/>
      <c r="V222"/>
    </row>
    <row r="223" spans="10:22" s="1" customFormat="1" x14ac:dyDescent="0.2">
      <c r="J223"/>
      <c r="K223"/>
      <c r="L223"/>
      <c r="M223"/>
      <c r="N223" s="2"/>
      <c r="R223"/>
      <c r="S223"/>
      <c r="T223"/>
      <c r="U223"/>
      <c r="V223"/>
    </row>
    <row r="224" spans="10:22" s="1" customFormat="1" x14ac:dyDescent="0.2">
      <c r="J224"/>
      <c r="K224"/>
      <c r="L224"/>
      <c r="M224"/>
      <c r="N224" s="2"/>
      <c r="R224"/>
      <c r="S224"/>
      <c r="T224"/>
      <c r="U224"/>
      <c r="V224"/>
    </row>
    <row r="225" spans="10:22" s="1" customFormat="1" x14ac:dyDescent="0.2">
      <c r="J225"/>
      <c r="K225"/>
      <c r="L225"/>
      <c r="M225"/>
      <c r="N225" s="2"/>
      <c r="R225"/>
      <c r="S225"/>
      <c r="T225"/>
      <c r="U225"/>
      <c r="V225"/>
    </row>
    <row r="226" spans="10:22" s="1" customFormat="1" x14ac:dyDescent="0.2">
      <c r="J226"/>
      <c r="K226"/>
      <c r="L226"/>
      <c r="M226"/>
      <c r="N226" s="2"/>
      <c r="R226"/>
      <c r="S226"/>
      <c r="T226"/>
      <c r="U226"/>
      <c r="V226"/>
    </row>
    <row r="227" spans="10:22" s="1" customFormat="1" x14ac:dyDescent="0.2">
      <c r="J227"/>
      <c r="K227"/>
      <c r="L227"/>
      <c r="M227"/>
      <c r="N227" s="2"/>
      <c r="R227"/>
      <c r="S227"/>
      <c r="T227"/>
      <c r="U227"/>
      <c r="V227"/>
    </row>
    <row r="228" spans="10:22" s="1" customFormat="1" x14ac:dyDescent="0.2">
      <c r="J228"/>
      <c r="K228"/>
      <c r="L228"/>
      <c r="M228"/>
      <c r="N228" s="2"/>
      <c r="R228"/>
      <c r="S228"/>
      <c r="T228"/>
      <c r="U228"/>
      <c r="V228"/>
    </row>
    <row r="229" spans="10:22" s="1" customFormat="1" x14ac:dyDescent="0.2">
      <c r="J229"/>
      <c r="K229"/>
      <c r="L229"/>
      <c r="M229"/>
      <c r="N229" s="2"/>
      <c r="R229"/>
      <c r="S229"/>
      <c r="T229"/>
      <c r="U229"/>
      <c r="V229"/>
    </row>
    <row r="230" spans="10:22" s="1" customFormat="1" x14ac:dyDescent="0.2">
      <c r="J230"/>
      <c r="K230"/>
      <c r="L230"/>
      <c r="M230"/>
      <c r="N230" s="2"/>
      <c r="R230"/>
      <c r="S230"/>
      <c r="T230"/>
      <c r="U230"/>
      <c r="V230"/>
    </row>
    <row r="231" spans="10:22" s="1" customFormat="1" x14ac:dyDescent="0.2">
      <c r="J231"/>
      <c r="K231"/>
      <c r="L231"/>
      <c r="M231"/>
      <c r="N231" s="2"/>
      <c r="R231"/>
      <c r="S231"/>
      <c r="T231"/>
      <c r="U231"/>
      <c r="V231"/>
    </row>
    <row r="232" spans="10:22" s="1" customFormat="1" x14ac:dyDescent="0.2">
      <c r="J232"/>
      <c r="K232"/>
      <c r="L232"/>
      <c r="M232"/>
      <c r="N232" s="2"/>
      <c r="R232"/>
      <c r="S232"/>
      <c r="T232"/>
      <c r="U232"/>
      <c r="V232"/>
    </row>
    <row r="233" spans="10:22" s="1" customFormat="1" x14ac:dyDescent="0.2">
      <c r="J233"/>
      <c r="K233"/>
      <c r="L233"/>
      <c r="M233"/>
      <c r="N233" s="2"/>
      <c r="R233"/>
      <c r="S233"/>
      <c r="T233"/>
      <c r="U233"/>
      <c r="V233"/>
    </row>
    <row r="234" spans="10:22" s="1" customFormat="1" x14ac:dyDescent="0.2">
      <c r="J234"/>
      <c r="K234"/>
      <c r="L234"/>
      <c r="M234"/>
      <c r="N234" s="2"/>
      <c r="R234"/>
      <c r="S234"/>
      <c r="T234"/>
      <c r="U234"/>
      <c r="V234"/>
    </row>
    <row r="235" spans="10:22" s="1" customFormat="1" x14ac:dyDescent="0.2">
      <c r="J235"/>
      <c r="K235"/>
      <c r="L235"/>
      <c r="M235"/>
      <c r="N235" s="2"/>
      <c r="R235"/>
      <c r="S235"/>
      <c r="T235"/>
      <c r="U235"/>
      <c r="V235"/>
    </row>
    <row r="236" spans="10:22" s="1" customFormat="1" x14ac:dyDescent="0.2">
      <c r="J236"/>
      <c r="K236"/>
      <c r="L236"/>
      <c r="M236"/>
      <c r="N236" s="2"/>
      <c r="R236"/>
      <c r="S236"/>
      <c r="T236"/>
      <c r="U236"/>
      <c r="V236"/>
    </row>
    <row r="237" spans="10:22" s="1" customFormat="1" x14ac:dyDescent="0.2">
      <c r="J237"/>
      <c r="K237"/>
      <c r="L237"/>
      <c r="M237"/>
      <c r="N237" s="2"/>
      <c r="R237"/>
      <c r="S237"/>
      <c r="T237"/>
      <c r="U237"/>
      <c r="V237"/>
    </row>
    <row r="238" spans="10:22" s="1" customFormat="1" x14ac:dyDescent="0.2">
      <c r="J238"/>
      <c r="K238"/>
      <c r="L238"/>
      <c r="M238"/>
      <c r="N238" s="2"/>
      <c r="R238"/>
      <c r="S238"/>
      <c r="T238"/>
      <c r="U238"/>
      <c r="V238"/>
    </row>
    <row r="239" spans="10:22" s="1" customFormat="1" x14ac:dyDescent="0.2">
      <c r="J239"/>
      <c r="K239"/>
      <c r="L239"/>
      <c r="M239"/>
      <c r="N239" s="2"/>
      <c r="R239"/>
      <c r="S239"/>
      <c r="T239"/>
      <c r="U239"/>
      <c r="V239"/>
    </row>
    <row r="240" spans="10:22" s="1" customFormat="1" x14ac:dyDescent="0.2">
      <c r="J240"/>
      <c r="K240"/>
      <c r="L240"/>
      <c r="M240"/>
      <c r="N240" s="2"/>
      <c r="R240"/>
      <c r="S240"/>
      <c r="T240"/>
      <c r="U240"/>
      <c r="V240"/>
    </row>
    <row r="241" spans="10:22" s="1" customFormat="1" x14ac:dyDescent="0.2">
      <c r="J241"/>
      <c r="K241"/>
      <c r="L241"/>
      <c r="M241"/>
      <c r="N241" s="2"/>
      <c r="R241"/>
      <c r="S241"/>
      <c r="T241"/>
      <c r="U241"/>
      <c r="V241"/>
    </row>
    <row r="242" spans="10:22" s="1" customFormat="1" x14ac:dyDescent="0.2">
      <c r="J242"/>
      <c r="K242"/>
      <c r="L242"/>
      <c r="M242"/>
      <c r="N242" s="2"/>
      <c r="R242"/>
      <c r="S242"/>
      <c r="T242"/>
      <c r="U242"/>
      <c r="V242"/>
    </row>
    <row r="243" spans="10:22" s="1" customFormat="1" x14ac:dyDescent="0.2">
      <c r="J243"/>
      <c r="K243"/>
      <c r="L243"/>
      <c r="M243"/>
      <c r="N243" s="2"/>
      <c r="R243"/>
      <c r="S243"/>
      <c r="T243"/>
      <c r="U243"/>
      <c r="V243"/>
    </row>
    <row r="244" spans="10:22" s="1" customFormat="1" x14ac:dyDescent="0.2">
      <c r="J244"/>
      <c r="K244"/>
      <c r="L244"/>
      <c r="M244"/>
      <c r="N244" s="2"/>
      <c r="R244"/>
      <c r="S244"/>
      <c r="T244"/>
      <c r="U244"/>
      <c r="V244"/>
    </row>
    <row r="245" spans="10:22" s="1" customFormat="1" x14ac:dyDescent="0.2">
      <c r="J245"/>
      <c r="K245"/>
      <c r="L245"/>
      <c r="M245"/>
      <c r="N245" s="2"/>
      <c r="R245"/>
      <c r="S245"/>
      <c r="T245"/>
      <c r="U245"/>
      <c r="V245"/>
    </row>
    <row r="246" spans="10:22" s="1" customFormat="1" x14ac:dyDescent="0.2">
      <c r="J246"/>
      <c r="K246"/>
      <c r="L246"/>
      <c r="M246"/>
      <c r="N246" s="2"/>
      <c r="R246"/>
      <c r="S246"/>
      <c r="T246"/>
      <c r="U246"/>
      <c r="V246"/>
    </row>
    <row r="247" spans="10:22" s="1" customFormat="1" x14ac:dyDescent="0.2">
      <c r="J247"/>
      <c r="K247"/>
      <c r="L247"/>
      <c r="M247"/>
      <c r="N247" s="2"/>
      <c r="R247"/>
      <c r="S247"/>
      <c r="T247"/>
      <c r="U247"/>
      <c r="V247"/>
    </row>
    <row r="248" spans="10:22" s="1" customFormat="1" x14ac:dyDescent="0.2">
      <c r="J248"/>
      <c r="K248"/>
      <c r="L248"/>
      <c r="M248"/>
      <c r="N248" s="2"/>
      <c r="R248"/>
      <c r="S248"/>
      <c r="T248"/>
      <c r="U248"/>
      <c r="V248"/>
    </row>
    <row r="249" spans="10:22" s="1" customFormat="1" x14ac:dyDescent="0.2">
      <c r="J249"/>
      <c r="K249"/>
      <c r="L249"/>
      <c r="M249"/>
      <c r="N249" s="2"/>
      <c r="R249"/>
      <c r="S249"/>
      <c r="T249"/>
      <c r="U249"/>
      <c r="V249"/>
    </row>
    <row r="250" spans="10:22" s="1" customFormat="1" x14ac:dyDescent="0.2">
      <c r="J250"/>
      <c r="K250"/>
      <c r="L250"/>
      <c r="M250"/>
      <c r="N250" s="2"/>
      <c r="R250"/>
      <c r="S250"/>
      <c r="T250"/>
      <c r="U250"/>
      <c r="V250"/>
    </row>
    <row r="251" spans="10:22" s="1" customFormat="1" x14ac:dyDescent="0.2">
      <c r="J251"/>
      <c r="K251"/>
      <c r="L251"/>
      <c r="M251"/>
      <c r="N251" s="2"/>
      <c r="R251"/>
      <c r="S251"/>
      <c r="T251"/>
      <c r="U251"/>
      <c r="V251"/>
    </row>
    <row r="252" spans="10:22" s="1" customFormat="1" x14ac:dyDescent="0.2">
      <c r="J252"/>
      <c r="K252"/>
      <c r="L252"/>
      <c r="M252"/>
      <c r="N252" s="2"/>
      <c r="R252"/>
      <c r="S252"/>
      <c r="T252"/>
      <c r="U252"/>
      <c r="V252"/>
    </row>
    <row r="253" spans="10:22" s="1" customFormat="1" x14ac:dyDescent="0.2">
      <c r="J253"/>
      <c r="K253"/>
      <c r="L253"/>
      <c r="M253"/>
      <c r="N253" s="2"/>
      <c r="R253"/>
      <c r="S253"/>
      <c r="T253"/>
      <c r="U253"/>
      <c r="V253"/>
    </row>
    <row r="254" spans="10:22" s="1" customFormat="1" x14ac:dyDescent="0.2">
      <c r="J254"/>
      <c r="K254"/>
      <c r="L254"/>
      <c r="M254"/>
      <c r="N254" s="2"/>
      <c r="R254"/>
      <c r="S254"/>
      <c r="T254"/>
      <c r="U254"/>
      <c r="V254"/>
    </row>
    <row r="255" spans="10:22" s="1" customFormat="1" x14ac:dyDescent="0.2">
      <c r="J255"/>
      <c r="K255"/>
      <c r="L255"/>
      <c r="M255"/>
      <c r="N255" s="2"/>
      <c r="R255"/>
      <c r="S255"/>
      <c r="T255"/>
      <c r="U255"/>
      <c r="V255"/>
    </row>
    <row r="256" spans="10:22" s="1" customFormat="1" x14ac:dyDescent="0.2">
      <c r="J256"/>
      <c r="K256"/>
      <c r="L256"/>
      <c r="M256"/>
      <c r="N256" s="2"/>
      <c r="R256"/>
      <c r="S256"/>
      <c r="T256"/>
      <c r="U256"/>
      <c r="V256"/>
    </row>
    <row r="257" spans="10:22" s="1" customFormat="1" x14ac:dyDescent="0.2">
      <c r="J257"/>
      <c r="K257"/>
      <c r="L257"/>
      <c r="M257"/>
      <c r="N257" s="2"/>
      <c r="R257"/>
      <c r="S257"/>
      <c r="T257"/>
      <c r="U257"/>
      <c r="V257"/>
    </row>
    <row r="258" spans="10:22" s="1" customFormat="1" x14ac:dyDescent="0.2">
      <c r="J258"/>
      <c r="K258"/>
      <c r="L258"/>
      <c r="M258"/>
      <c r="N258" s="2"/>
      <c r="R258"/>
      <c r="S258"/>
      <c r="T258"/>
      <c r="U258"/>
      <c r="V258"/>
    </row>
    <row r="259" spans="10:22" s="1" customFormat="1" x14ac:dyDescent="0.2">
      <c r="J259"/>
      <c r="K259"/>
      <c r="L259"/>
      <c r="M259"/>
      <c r="N259" s="2"/>
      <c r="R259"/>
      <c r="S259"/>
      <c r="T259"/>
      <c r="U259"/>
      <c r="V259"/>
    </row>
    <row r="260" spans="10:22" s="1" customFormat="1" x14ac:dyDescent="0.2">
      <c r="J260"/>
      <c r="K260"/>
      <c r="L260"/>
      <c r="M260"/>
      <c r="N260" s="2"/>
      <c r="R260"/>
      <c r="S260"/>
      <c r="T260"/>
      <c r="U260"/>
      <c r="V260"/>
    </row>
    <row r="261" spans="10:22" s="1" customFormat="1" x14ac:dyDescent="0.2">
      <c r="J261"/>
      <c r="K261"/>
      <c r="L261"/>
      <c r="M261"/>
      <c r="N261" s="2"/>
      <c r="R261"/>
      <c r="S261"/>
      <c r="T261"/>
      <c r="U261"/>
      <c r="V261"/>
    </row>
    <row r="262" spans="10:22" s="1" customFormat="1" x14ac:dyDescent="0.2">
      <c r="J262"/>
      <c r="K262"/>
      <c r="L262"/>
      <c r="M262"/>
      <c r="N262" s="2"/>
      <c r="R262"/>
      <c r="S262"/>
      <c r="T262"/>
      <c r="U262"/>
      <c r="V262"/>
    </row>
    <row r="263" spans="10:22" s="1" customFormat="1" x14ac:dyDescent="0.2">
      <c r="J263"/>
      <c r="K263"/>
      <c r="L263"/>
      <c r="M263"/>
      <c r="N263" s="2"/>
      <c r="R263"/>
      <c r="S263"/>
      <c r="T263"/>
      <c r="U263"/>
      <c r="V263"/>
    </row>
    <row r="264" spans="10:22" s="1" customFormat="1" x14ac:dyDescent="0.2">
      <c r="J264"/>
      <c r="K264"/>
      <c r="L264"/>
      <c r="M264"/>
      <c r="N264" s="2"/>
      <c r="R264"/>
      <c r="S264"/>
      <c r="T264"/>
      <c r="U264"/>
      <c r="V264"/>
    </row>
    <row r="265" spans="10:22" s="1" customFormat="1" x14ac:dyDescent="0.2">
      <c r="J265"/>
      <c r="K265"/>
      <c r="L265"/>
      <c r="M265"/>
      <c r="N265" s="2"/>
      <c r="R265"/>
      <c r="S265"/>
      <c r="T265"/>
      <c r="U265"/>
      <c r="V265"/>
    </row>
    <row r="266" spans="10:22" s="1" customFormat="1" x14ac:dyDescent="0.2">
      <c r="J266"/>
      <c r="K266"/>
      <c r="L266"/>
      <c r="M266"/>
      <c r="N266" s="2"/>
      <c r="R266"/>
      <c r="S266"/>
      <c r="T266"/>
      <c r="U266"/>
      <c r="V266"/>
    </row>
    <row r="267" spans="10:22" s="1" customFormat="1" x14ac:dyDescent="0.2">
      <c r="J267"/>
      <c r="K267"/>
      <c r="L267"/>
      <c r="M267"/>
      <c r="N267" s="2"/>
      <c r="R267"/>
      <c r="S267"/>
      <c r="T267"/>
      <c r="U267"/>
      <c r="V267"/>
    </row>
    <row r="268" spans="10:22" s="1" customFormat="1" x14ac:dyDescent="0.2">
      <c r="J268"/>
      <c r="K268"/>
      <c r="L268"/>
      <c r="M268"/>
      <c r="N268" s="2"/>
      <c r="R268"/>
      <c r="S268"/>
      <c r="T268"/>
      <c r="U268"/>
      <c r="V268"/>
    </row>
    <row r="269" spans="10:22" s="1" customFormat="1" x14ac:dyDescent="0.2">
      <c r="J269"/>
      <c r="K269"/>
      <c r="L269"/>
      <c r="M269"/>
      <c r="N269" s="2"/>
      <c r="R269"/>
      <c r="S269"/>
      <c r="T269"/>
      <c r="U269"/>
      <c r="V269"/>
    </row>
    <row r="270" spans="10:22" s="1" customFormat="1" x14ac:dyDescent="0.2">
      <c r="J270"/>
      <c r="K270"/>
      <c r="L270"/>
      <c r="M270"/>
      <c r="N270" s="2"/>
      <c r="R270"/>
      <c r="S270"/>
      <c r="T270"/>
      <c r="U270"/>
      <c r="V270"/>
    </row>
    <row r="271" spans="10:22" s="1" customFormat="1" x14ac:dyDescent="0.2">
      <c r="J271"/>
      <c r="K271"/>
      <c r="L271"/>
      <c r="M271"/>
      <c r="N271" s="2"/>
      <c r="R271"/>
      <c r="S271"/>
      <c r="T271"/>
      <c r="U271"/>
      <c r="V271"/>
    </row>
    <row r="272" spans="10:22" s="1" customFormat="1" x14ac:dyDescent="0.2">
      <c r="J272"/>
      <c r="K272"/>
      <c r="L272"/>
      <c r="M272"/>
      <c r="N272" s="2"/>
      <c r="R272"/>
      <c r="S272"/>
      <c r="T272"/>
      <c r="U272"/>
      <c r="V272"/>
    </row>
    <row r="273" spans="10:22" s="1" customFormat="1" x14ac:dyDescent="0.2">
      <c r="J273"/>
      <c r="K273"/>
      <c r="L273"/>
      <c r="M273"/>
      <c r="N273" s="2"/>
      <c r="R273"/>
      <c r="S273"/>
      <c r="T273"/>
      <c r="U273"/>
      <c r="V273"/>
    </row>
    <row r="274" spans="10:22" s="1" customFormat="1" x14ac:dyDescent="0.2">
      <c r="J274"/>
      <c r="K274"/>
      <c r="L274"/>
      <c r="M274"/>
      <c r="N274" s="2"/>
      <c r="R274"/>
      <c r="S274"/>
      <c r="T274"/>
      <c r="U274"/>
      <c r="V274"/>
    </row>
    <row r="275" spans="10:22" s="1" customFormat="1" x14ac:dyDescent="0.2">
      <c r="J275"/>
      <c r="K275"/>
      <c r="L275"/>
      <c r="M275"/>
      <c r="N275" s="2"/>
      <c r="R275"/>
      <c r="S275"/>
      <c r="T275"/>
      <c r="U275"/>
      <c r="V275"/>
    </row>
    <row r="276" spans="10:22" s="1" customFormat="1" x14ac:dyDescent="0.2">
      <c r="J276"/>
      <c r="K276"/>
      <c r="L276"/>
      <c r="M276"/>
      <c r="N276" s="2"/>
      <c r="R276"/>
      <c r="S276"/>
      <c r="T276"/>
      <c r="U276"/>
      <c r="V276"/>
    </row>
    <row r="277" spans="10:22" s="1" customFormat="1" x14ac:dyDescent="0.2">
      <c r="J277"/>
      <c r="K277"/>
      <c r="L277"/>
      <c r="M277"/>
      <c r="N277" s="2"/>
      <c r="R277"/>
      <c r="S277"/>
      <c r="T277"/>
      <c r="U277"/>
      <c r="V277"/>
    </row>
    <row r="278" spans="10:22" s="1" customFormat="1" x14ac:dyDescent="0.2">
      <c r="J278"/>
      <c r="K278"/>
      <c r="L278"/>
      <c r="M278"/>
      <c r="N278" s="2"/>
      <c r="R278"/>
      <c r="S278"/>
      <c r="T278"/>
      <c r="U278"/>
      <c r="V278"/>
    </row>
    <row r="279" spans="10:22" s="1" customFormat="1" x14ac:dyDescent="0.2">
      <c r="J279"/>
      <c r="K279"/>
      <c r="L279"/>
      <c r="M279"/>
      <c r="N279" s="2"/>
      <c r="R279"/>
      <c r="S279"/>
      <c r="T279"/>
      <c r="U279"/>
      <c r="V279"/>
    </row>
    <row r="280" spans="10:22" s="1" customFormat="1" x14ac:dyDescent="0.2">
      <c r="J280"/>
      <c r="K280"/>
      <c r="L280"/>
      <c r="M280"/>
      <c r="N280" s="2"/>
      <c r="R280"/>
      <c r="S280"/>
      <c r="T280"/>
      <c r="U280"/>
      <c r="V280"/>
    </row>
    <row r="281" spans="10:22" s="1" customFormat="1" x14ac:dyDescent="0.2">
      <c r="J281"/>
      <c r="K281"/>
      <c r="L281"/>
      <c r="M281"/>
      <c r="N281" s="2"/>
      <c r="R281"/>
      <c r="S281"/>
      <c r="T281"/>
      <c r="U281"/>
      <c r="V281"/>
    </row>
    <row r="282" spans="10:22" s="1" customFormat="1" x14ac:dyDescent="0.2">
      <c r="J282"/>
      <c r="K282"/>
      <c r="L282"/>
      <c r="M282"/>
      <c r="N282" s="2"/>
      <c r="R282"/>
      <c r="S282"/>
      <c r="T282"/>
      <c r="U282"/>
      <c r="V282"/>
    </row>
    <row r="283" spans="10:22" s="1" customFormat="1" x14ac:dyDescent="0.2">
      <c r="J283"/>
      <c r="K283"/>
      <c r="L283"/>
      <c r="M283"/>
      <c r="N283" s="2"/>
      <c r="R283"/>
      <c r="S283"/>
      <c r="T283"/>
      <c r="U283"/>
      <c r="V283"/>
    </row>
    <row r="284" spans="10:22" s="1" customFormat="1" x14ac:dyDescent="0.2">
      <c r="J284"/>
      <c r="K284"/>
      <c r="L284"/>
      <c r="M284"/>
      <c r="N284" s="2"/>
      <c r="R284"/>
      <c r="S284"/>
      <c r="T284"/>
      <c r="U284"/>
      <c r="V284"/>
    </row>
    <row r="285" spans="10:22" s="1" customFormat="1" x14ac:dyDescent="0.2">
      <c r="J285"/>
      <c r="K285"/>
      <c r="L285"/>
      <c r="M285"/>
      <c r="N285" s="2"/>
      <c r="R285"/>
      <c r="S285"/>
      <c r="T285"/>
      <c r="U285"/>
      <c r="V285"/>
    </row>
    <row r="286" spans="10:22" s="1" customFormat="1" x14ac:dyDescent="0.2">
      <c r="J286"/>
      <c r="K286"/>
      <c r="L286"/>
      <c r="M286"/>
      <c r="N286" s="2"/>
      <c r="R286"/>
      <c r="S286"/>
      <c r="T286"/>
      <c r="U286"/>
      <c r="V286"/>
    </row>
    <row r="287" spans="10:22" s="1" customFormat="1" x14ac:dyDescent="0.2">
      <c r="J287"/>
      <c r="K287"/>
      <c r="L287"/>
      <c r="M287"/>
      <c r="N287" s="2"/>
      <c r="R287"/>
      <c r="S287"/>
      <c r="T287"/>
      <c r="U287"/>
      <c r="V287"/>
    </row>
    <row r="288" spans="10:22" s="1" customFormat="1" x14ac:dyDescent="0.2">
      <c r="J288"/>
      <c r="K288"/>
      <c r="L288"/>
      <c r="M288"/>
      <c r="N288" s="2"/>
      <c r="R288"/>
      <c r="S288"/>
      <c r="T288"/>
      <c r="U288"/>
      <c r="V288"/>
    </row>
    <row r="289" spans="10:22" s="1" customFormat="1" x14ac:dyDescent="0.2">
      <c r="J289"/>
      <c r="K289"/>
      <c r="L289"/>
      <c r="M289"/>
      <c r="N289" s="2"/>
      <c r="R289"/>
      <c r="S289"/>
      <c r="T289"/>
      <c r="U289"/>
      <c r="V289"/>
    </row>
    <row r="290" spans="10:22" s="1" customFormat="1" x14ac:dyDescent="0.2">
      <c r="J290"/>
      <c r="K290"/>
      <c r="L290"/>
      <c r="M290"/>
      <c r="N290" s="2"/>
      <c r="R290"/>
      <c r="S290"/>
      <c r="T290"/>
      <c r="U290"/>
      <c r="V290"/>
    </row>
    <row r="291" spans="10:22" s="1" customFormat="1" x14ac:dyDescent="0.2">
      <c r="J291"/>
      <c r="K291"/>
      <c r="L291"/>
      <c r="M291"/>
      <c r="N291" s="2"/>
      <c r="R291"/>
      <c r="S291"/>
      <c r="T291"/>
      <c r="U291"/>
      <c r="V291"/>
    </row>
    <row r="292" spans="10:22" s="1" customFormat="1" x14ac:dyDescent="0.2">
      <c r="J292"/>
      <c r="K292"/>
      <c r="L292"/>
      <c r="M292"/>
      <c r="N292" s="2"/>
      <c r="R292"/>
      <c r="S292"/>
      <c r="T292"/>
      <c r="U292"/>
      <c r="V292"/>
    </row>
    <row r="293" spans="10:22" s="1" customFormat="1" x14ac:dyDescent="0.2">
      <c r="J293"/>
      <c r="K293"/>
      <c r="L293"/>
      <c r="M293"/>
      <c r="N293" s="2"/>
      <c r="R293"/>
      <c r="S293"/>
      <c r="T293"/>
      <c r="U293"/>
      <c r="V293"/>
    </row>
    <row r="294" spans="10:22" s="1" customFormat="1" x14ac:dyDescent="0.2">
      <c r="J294"/>
      <c r="K294"/>
      <c r="L294"/>
      <c r="M294"/>
      <c r="N294" s="2"/>
      <c r="R294"/>
      <c r="S294"/>
      <c r="T294"/>
      <c r="U294"/>
      <c r="V294"/>
    </row>
    <row r="295" spans="10:22" s="1" customFormat="1" x14ac:dyDescent="0.2">
      <c r="J295"/>
      <c r="K295"/>
      <c r="L295"/>
      <c r="M295"/>
      <c r="N295" s="2"/>
      <c r="R295"/>
      <c r="S295"/>
      <c r="T295"/>
      <c r="U295"/>
      <c r="V295"/>
    </row>
    <row r="296" spans="10:22" s="1" customFormat="1" x14ac:dyDescent="0.2">
      <c r="J296"/>
      <c r="K296"/>
      <c r="L296"/>
      <c r="M296"/>
      <c r="N296" s="2"/>
      <c r="R296"/>
      <c r="S296"/>
      <c r="T296"/>
      <c r="U296"/>
      <c r="V296"/>
    </row>
    <row r="297" spans="10:22" s="1" customFormat="1" x14ac:dyDescent="0.2">
      <c r="J297"/>
      <c r="K297"/>
      <c r="L297"/>
      <c r="M297"/>
      <c r="N297" s="2"/>
      <c r="R297"/>
      <c r="S297"/>
      <c r="T297"/>
      <c r="U297"/>
      <c r="V297"/>
    </row>
    <row r="298" spans="10:22" s="1" customFormat="1" x14ac:dyDescent="0.2">
      <c r="J298"/>
      <c r="K298"/>
      <c r="L298"/>
      <c r="M298"/>
      <c r="N298" s="2"/>
      <c r="R298"/>
      <c r="S298"/>
      <c r="T298"/>
      <c r="U298"/>
      <c r="V298"/>
    </row>
    <row r="299" spans="10:22" s="1" customFormat="1" x14ac:dyDescent="0.2">
      <c r="J299"/>
      <c r="K299"/>
      <c r="L299"/>
      <c r="M299"/>
      <c r="N299" s="2"/>
      <c r="R299"/>
      <c r="S299"/>
      <c r="T299"/>
      <c r="U299"/>
      <c r="V299"/>
    </row>
    <row r="300" spans="10:22" s="1" customFormat="1" x14ac:dyDescent="0.2">
      <c r="J300"/>
      <c r="K300"/>
      <c r="L300"/>
      <c r="M300"/>
      <c r="N300" s="2"/>
      <c r="R300"/>
      <c r="S300"/>
      <c r="T300"/>
      <c r="U300"/>
      <c r="V300"/>
    </row>
    <row r="301" spans="10:22" s="1" customFormat="1" x14ac:dyDescent="0.2">
      <c r="J301"/>
      <c r="K301"/>
      <c r="L301"/>
      <c r="M301"/>
      <c r="N301" s="2"/>
      <c r="R301"/>
      <c r="S301"/>
      <c r="T301"/>
      <c r="U301"/>
      <c r="V301"/>
    </row>
    <row r="302" spans="10:22" s="1" customFormat="1" x14ac:dyDescent="0.2">
      <c r="J302"/>
      <c r="K302"/>
      <c r="L302"/>
      <c r="M302"/>
      <c r="N302" s="2"/>
      <c r="R302"/>
      <c r="S302"/>
      <c r="T302"/>
      <c r="U302"/>
      <c r="V302"/>
    </row>
    <row r="303" spans="10:22" s="1" customFormat="1" x14ac:dyDescent="0.2">
      <c r="J303"/>
      <c r="K303"/>
      <c r="L303"/>
      <c r="M303"/>
      <c r="N303" s="2"/>
      <c r="R303"/>
      <c r="S303"/>
      <c r="T303"/>
      <c r="U303"/>
      <c r="V303"/>
    </row>
    <row r="304" spans="10:22" s="1" customFormat="1" x14ac:dyDescent="0.2">
      <c r="J304"/>
      <c r="K304"/>
      <c r="L304"/>
      <c r="M304"/>
      <c r="N304" s="2"/>
      <c r="R304"/>
      <c r="S304"/>
      <c r="T304"/>
      <c r="U304"/>
      <c r="V304"/>
    </row>
    <row r="305" spans="10:22" s="1" customFormat="1" x14ac:dyDescent="0.2">
      <c r="J305"/>
      <c r="K305"/>
      <c r="L305"/>
      <c r="M305"/>
      <c r="N305" s="2"/>
      <c r="R305"/>
      <c r="S305"/>
      <c r="T305"/>
      <c r="U305"/>
      <c r="V305"/>
    </row>
    <row r="306" spans="10:22" s="1" customFormat="1" x14ac:dyDescent="0.2">
      <c r="J306"/>
      <c r="K306"/>
      <c r="L306"/>
      <c r="M306"/>
      <c r="N306" s="2"/>
      <c r="R306"/>
      <c r="S306"/>
      <c r="T306"/>
      <c r="U306"/>
      <c r="V306"/>
    </row>
    <row r="307" spans="10:22" s="1" customFormat="1" x14ac:dyDescent="0.2">
      <c r="J307"/>
      <c r="K307"/>
      <c r="L307"/>
      <c r="M307"/>
      <c r="N307" s="2"/>
      <c r="R307"/>
      <c r="S307"/>
      <c r="T307"/>
      <c r="U307"/>
      <c r="V307"/>
    </row>
    <row r="308" spans="10:22" s="1" customFormat="1" x14ac:dyDescent="0.2">
      <c r="J308"/>
      <c r="K308"/>
      <c r="L308"/>
      <c r="M308"/>
      <c r="N308" s="2"/>
      <c r="R308"/>
      <c r="S308"/>
      <c r="T308"/>
      <c r="U308"/>
      <c r="V308"/>
    </row>
    <row r="309" spans="10:22" s="1" customFormat="1" x14ac:dyDescent="0.2">
      <c r="J309"/>
      <c r="K309"/>
      <c r="L309"/>
      <c r="M309"/>
      <c r="N309" s="2"/>
      <c r="R309"/>
      <c r="S309"/>
      <c r="T309"/>
      <c r="U309"/>
      <c r="V309"/>
    </row>
    <row r="310" spans="10:22" s="1" customFormat="1" x14ac:dyDescent="0.2">
      <c r="J310"/>
      <c r="K310"/>
      <c r="L310"/>
      <c r="M310"/>
      <c r="N310" s="2"/>
      <c r="R310"/>
      <c r="S310"/>
      <c r="T310"/>
      <c r="U310"/>
      <c r="V310"/>
    </row>
    <row r="311" spans="10:22" s="1" customFormat="1" x14ac:dyDescent="0.2">
      <c r="J311"/>
      <c r="K311"/>
      <c r="L311"/>
      <c r="M311"/>
      <c r="N311" s="2"/>
      <c r="R311"/>
      <c r="S311"/>
      <c r="T311"/>
      <c r="U311"/>
      <c r="V311"/>
    </row>
    <row r="312" spans="10:22" s="1" customFormat="1" x14ac:dyDescent="0.2">
      <c r="J312"/>
      <c r="K312"/>
      <c r="L312"/>
      <c r="M312"/>
      <c r="N312" s="2"/>
      <c r="R312"/>
      <c r="S312"/>
      <c r="T312"/>
      <c r="U312"/>
      <c r="V312"/>
    </row>
    <row r="313" spans="10:22" s="1" customFormat="1" x14ac:dyDescent="0.2">
      <c r="J313"/>
      <c r="K313"/>
      <c r="L313"/>
      <c r="M313"/>
      <c r="N313" s="2"/>
      <c r="R313"/>
      <c r="S313"/>
      <c r="T313"/>
      <c r="U313"/>
      <c r="V313"/>
    </row>
    <row r="314" spans="10:22" s="1" customFormat="1" x14ac:dyDescent="0.2">
      <c r="J314"/>
      <c r="K314"/>
      <c r="L314"/>
      <c r="M314"/>
      <c r="N314" s="2"/>
      <c r="R314"/>
      <c r="S314"/>
      <c r="T314"/>
      <c r="U314"/>
      <c r="V314"/>
    </row>
    <row r="315" spans="10:22" s="1" customFormat="1" x14ac:dyDescent="0.2">
      <c r="J315"/>
      <c r="K315"/>
      <c r="L315"/>
      <c r="M315"/>
      <c r="N315" s="2"/>
      <c r="R315"/>
      <c r="S315"/>
      <c r="T315"/>
      <c r="U315"/>
      <c r="V315"/>
    </row>
    <row r="316" spans="10:22" s="1" customFormat="1" x14ac:dyDescent="0.2">
      <c r="J316"/>
      <c r="K316"/>
      <c r="L316"/>
      <c r="M316"/>
      <c r="N316" s="2"/>
      <c r="R316"/>
      <c r="S316"/>
      <c r="T316"/>
      <c r="U316"/>
      <c r="V316"/>
    </row>
    <row r="317" spans="10:22" s="1" customFormat="1" x14ac:dyDescent="0.2">
      <c r="J317"/>
      <c r="K317"/>
      <c r="L317"/>
      <c r="M317"/>
      <c r="N317" s="2"/>
      <c r="R317"/>
      <c r="S317"/>
      <c r="T317"/>
      <c r="U317"/>
      <c r="V317"/>
    </row>
    <row r="318" spans="10:22" s="1" customFormat="1" x14ac:dyDescent="0.2">
      <c r="J318"/>
      <c r="K318"/>
      <c r="L318"/>
      <c r="M318"/>
      <c r="N318" s="2"/>
      <c r="R318"/>
      <c r="S318"/>
      <c r="T318"/>
      <c r="U318"/>
      <c r="V318"/>
    </row>
    <row r="319" spans="10:22" s="1" customFormat="1" x14ac:dyDescent="0.2">
      <c r="J319"/>
      <c r="K319"/>
      <c r="L319"/>
      <c r="M319"/>
      <c r="N319" s="2"/>
      <c r="R319"/>
      <c r="S319"/>
      <c r="T319"/>
      <c r="U319"/>
      <c r="V319"/>
    </row>
    <row r="320" spans="10:22" s="1" customFormat="1" x14ac:dyDescent="0.2">
      <c r="J320"/>
      <c r="K320"/>
      <c r="L320"/>
      <c r="M320"/>
      <c r="N320" s="2"/>
      <c r="R320"/>
      <c r="S320"/>
      <c r="T320"/>
      <c r="U320"/>
      <c r="V320"/>
    </row>
    <row r="321" spans="10:22" s="1" customFormat="1" x14ac:dyDescent="0.2">
      <c r="J321"/>
      <c r="K321"/>
      <c r="L321"/>
      <c r="M321"/>
      <c r="N321" s="2"/>
      <c r="R321"/>
      <c r="S321"/>
      <c r="T321"/>
      <c r="U321"/>
      <c r="V321"/>
    </row>
    <row r="322" spans="10:22" s="1" customFormat="1" x14ac:dyDescent="0.2">
      <c r="J322"/>
      <c r="K322"/>
      <c r="L322"/>
      <c r="M322"/>
      <c r="N322" s="2"/>
      <c r="R322"/>
      <c r="S322"/>
      <c r="T322"/>
      <c r="U322"/>
      <c r="V322"/>
    </row>
    <row r="323" spans="10:22" s="1" customFormat="1" x14ac:dyDescent="0.2">
      <c r="J323"/>
      <c r="K323"/>
      <c r="L323"/>
      <c r="M323"/>
      <c r="N323" s="2"/>
      <c r="R323"/>
      <c r="S323"/>
      <c r="T323"/>
      <c r="U323"/>
      <c r="V323"/>
    </row>
    <row r="324" spans="10:22" s="1" customFormat="1" x14ac:dyDescent="0.2">
      <c r="J324"/>
      <c r="K324"/>
      <c r="L324"/>
      <c r="M324"/>
      <c r="N324" s="2"/>
      <c r="R324"/>
      <c r="S324"/>
      <c r="T324"/>
      <c r="U324"/>
      <c r="V324"/>
    </row>
    <row r="325" spans="10:22" s="1" customFormat="1" x14ac:dyDescent="0.2">
      <c r="J325"/>
      <c r="K325"/>
      <c r="L325"/>
      <c r="M325"/>
      <c r="N325" s="2"/>
      <c r="R325"/>
      <c r="S325"/>
      <c r="T325"/>
      <c r="U325"/>
      <c r="V325"/>
    </row>
    <row r="326" spans="10:22" s="1" customFormat="1" x14ac:dyDescent="0.2">
      <c r="J326"/>
      <c r="K326"/>
      <c r="L326"/>
      <c r="M326"/>
      <c r="N326" s="2"/>
      <c r="R326"/>
      <c r="S326"/>
      <c r="T326"/>
      <c r="U326"/>
      <c r="V326"/>
    </row>
    <row r="327" spans="10:22" s="1" customFormat="1" x14ac:dyDescent="0.2">
      <c r="J327"/>
      <c r="K327"/>
      <c r="L327"/>
      <c r="M327"/>
      <c r="N327" s="2"/>
      <c r="R327"/>
      <c r="S327"/>
      <c r="T327"/>
      <c r="U327"/>
      <c r="V327"/>
    </row>
    <row r="328" spans="10:22" s="1" customFormat="1" x14ac:dyDescent="0.2">
      <c r="J328"/>
      <c r="K328"/>
      <c r="L328"/>
      <c r="M328"/>
      <c r="N328" s="2"/>
      <c r="R328"/>
      <c r="S328"/>
      <c r="T328"/>
      <c r="U328"/>
      <c r="V328"/>
    </row>
    <row r="329" spans="10:22" s="1" customFormat="1" x14ac:dyDescent="0.2">
      <c r="J329"/>
      <c r="K329"/>
      <c r="L329"/>
      <c r="M329"/>
      <c r="N329" s="2"/>
      <c r="R329"/>
      <c r="S329"/>
      <c r="T329"/>
      <c r="U329"/>
      <c r="V329"/>
    </row>
    <row r="330" spans="10:22" s="1" customFormat="1" x14ac:dyDescent="0.2">
      <c r="J330"/>
      <c r="K330"/>
      <c r="L330"/>
      <c r="M330"/>
      <c r="N330" s="2"/>
      <c r="R330"/>
      <c r="S330"/>
      <c r="T330"/>
      <c r="U330"/>
      <c r="V330"/>
    </row>
    <row r="331" spans="10:22" s="1" customFormat="1" x14ac:dyDescent="0.2">
      <c r="J331"/>
      <c r="K331"/>
      <c r="L331"/>
      <c r="M331"/>
      <c r="N331" s="2"/>
      <c r="R331"/>
      <c r="S331"/>
      <c r="T331"/>
      <c r="U331"/>
      <c r="V331"/>
    </row>
    <row r="332" spans="10:22" s="1" customFormat="1" x14ac:dyDescent="0.2">
      <c r="J332"/>
      <c r="K332"/>
      <c r="L332"/>
      <c r="M332"/>
      <c r="N332" s="2"/>
      <c r="R332"/>
      <c r="S332"/>
      <c r="T332"/>
      <c r="U332"/>
      <c r="V332"/>
    </row>
    <row r="333" spans="10:22" s="1" customFormat="1" x14ac:dyDescent="0.2">
      <c r="J333"/>
      <c r="K333"/>
      <c r="L333"/>
      <c r="M333"/>
      <c r="N333" s="2"/>
      <c r="R333"/>
      <c r="S333"/>
      <c r="T333"/>
      <c r="U333"/>
      <c r="V333"/>
    </row>
    <row r="334" spans="10:22" s="1" customFormat="1" x14ac:dyDescent="0.2">
      <c r="J334"/>
      <c r="K334"/>
      <c r="L334"/>
      <c r="M334"/>
      <c r="N334" s="2"/>
      <c r="R334"/>
      <c r="S334"/>
      <c r="T334"/>
      <c r="U334"/>
      <c r="V334"/>
    </row>
    <row r="335" spans="10:22" s="1" customFormat="1" x14ac:dyDescent="0.2">
      <c r="J335"/>
      <c r="K335"/>
      <c r="L335"/>
      <c r="M335"/>
      <c r="N335" s="2"/>
      <c r="R335"/>
      <c r="S335"/>
      <c r="T335"/>
      <c r="U335"/>
      <c r="V335"/>
    </row>
    <row r="336" spans="10:22" s="1" customFormat="1" x14ac:dyDescent="0.2">
      <c r="J336"/>
      <c r="K336"/>
      <c r="L336"/>
      <c r="M336"/>
      <c r="N336" s="2"/>
      <c r="R336"/>
      <c r="S336"/>
      <c r="T336"/>
      <c r="U336"/>
      <c r="V336"/>
    </row>
    <row r="337" spans="10:22" s="1" customFormat="1" x14ac:dyDescent="0.2">
      <c r="J337"/>
      <c r="K337"/>
      <c r="L337"/>
      <c r="M337"/>
      <c r="N337" s="2"/>
      <c r="R337"/>
      <c r="S337"/>
      <c r="T337"/>
      <c r="U337"/>
      <c r="V337"/>
    </row>
    <row r="338" spans="10:22" s="1" customFormat="1" x14ac:dyDescent="0.2">
      <c r="J338"/>
      <c r="K338"/>
      <c r="L338"/>
      <c r="M338"/>
      <c r="N338" s="2"/>
      <c r="R338"/>
      <c r="S338"/>
      <c r="T338"/>
      <c r="U338"/>
      <c r="V338"/>
    </row>
    <row r="339" spans="10:22" s="1" customFormat="1" x14ac:dyDescent="0.2">
      <c r="J339"/>
      <c r="K339"/>
      <c r="L339"/>
      <c r="M339"/>
      <c r="N339" s="2"/>
      <c r="R339"/>
      <c r="S339"/>
      <c r="T339"/>
      <c r="U339"/>
      <c r="V339"/>
    </row>
    <row r="340" spans="10:22" s="1" customFormat="1" x14ac:dyDescent="0.2">
      <c r="J340"/>
      <c r="K340"/>
      <c r="L340"/>
      <c r="M340"/>
      <c r="N340" s="2"/>
      <c r="R340"/>
      <c r="S340"/>
      <c r="T340"/>
      <c r="U340"/>
      <c r="V340"/>
    </row>
    <row r="341" spans="10:22" s="1" customFormat="1" x14ac:dyDescent="0.2">
      <c r="J341"/>
      <c r="K341"/>
      <c r="L341"/>
      <c r="M341"/>
      <c r="N341" s="2"/>
      <c r="R341"/>
      <c r="S341"/>
      <c r="T341"/>
      <c r="U341"/>
      <c r="V341"/>
    </row>
    <row r="342" spans="10:22" s="1" customFormat="1" x14ac:dyDescent="0.2">
      <c r="J342"/>
      <c r="K342"/>
      <c r="L342"/>
      <c r="M342"/>
      <c r="N342" s="2"/>
      <c r="R342"/>
      <c r="S342"/>
      <c r="T342"/>
      <c r="U342"/>
      <c r="V342"/>
    </row>
    <row r="343" spans="10:22" s="1" customFormat="1" x14ac:dyDescent="0.2">
      <c r="J343"/>
      <c r="K343"/>
      <c r="L343"/>
      <c r="M343"/>
      <c r="N343" s="2"/>
      <c r="R343"/>
      <c r="S343"/>
      <c r="T343"/>
      <c r="U343"/>
      <c r="V343"/>
    </row>
    <row r="344" spans="10:22" s="1" customFormat="1" x14ac:dyDescent="0.2">
      <c r="J344"/>
      <c r="K344"/>
      <c r="L344"/>
      <c r="M344"/>
      <c r="N344" s="2"/>
      <c r="R344"/>
      <c r="S344"/>
      <c r="T344"/>
      <c r="U344"/>
      <c r="V344"/>
    </row>
    <row r="345" spans="10:22" s="1" customFormat="1" x14ac:dyDescent="0.2">
      <c r="J345"/>
      <c r="K345"/>
      <c r="L345"/>
      <c r="M345"/>
      <c r="N345" s="2"/>
      <c r="R345"/>
      <c r="S345"/>
      <c r="T345"/>
      <c r="U345"/>
      <c r="V345"/>
    </row>
    <row r="346" spans="10:22" s="1" customFormat="1" x14ac:dyDescent="0.2">
      <c r="J346"/>
      <c r="K346"/>
      <c r="L346"/>
      <c r="M346"/>
      <c r="N346" s="2"/>
      <c r="R346"/>
      <c r="S346"/>
      <c r="T346"/>
      <c r="U346"/>
      <c r="V346"/>
    </row>
    <row r="347" spans="10:22" s="1" customFormat="1" x14ac:dyDescent="0.2">
      <c r="J347"/>
      <c r="K347"/>
      <c r="L347"/>
      <c r="M347"/>
      <c r="N347" s="2"/>
      <c r="R347"/>
      <c r="S347"/>
      <c r="T347"/>
      <c r="U347"/>
      <c r="V347"/>
    </row>
    <row r="348" spans="10:22" s="1" customFormat="1" x14ac:dyDescent="0.2">
      <c r="J348"/>
      <c r="K348"/>
      <c r="L348"/>
      <c r="M348"/>
      <c r="N348" s="2"/>
      <c r="R348"/>
      <c r="S348"/>
      <c r="T348"/>
      <c r="U348"/>
      <c r="V348"/>
    </row>
    <row r="349" spans="10:22" s="1" customFormat="1" x14ac:dyDescent="0.2">
      <c r="J349"/>
      <c r="K349"/>
      <c r="L349"/>
      <c r="M349"/>
      <c r="N349" s="2"/>
      <c r="R349"/>
      <c r="S349"/>
      <c r="T349"/>
      <c r="U349"/>
      <c r="V349"/>
    </row>
    <row r="350" spans="10:22" s="1" customFormat="1" x14ac:dyDescent="0.2">
      <c r="J350"/>
      <c r="K350"/>
      <c r="L350"/>
      <c r="M350"/>
      <c r="N350" s="2"/>
      <c r="R350"/>
      <c r="S350"/>
      <c r="T350"/>
      <c r="U350"/>
      <c r="V350"/>
    </row>
    <row r="351" spans="10:22" s="1" customFormat="1" x14ac:dyDescent="0.2">
      <c r="J351"/>
      <c r="K351"/>
      <c r="L351"/>
      <c r="M351"/>
      <c r="N351" s="2"/>
      <c r="R351"/>
      <c r="S351"/>
      <c r="T351"/>
      <c r="U351"/>
      <c r="V351"/>
    </row>
    <row r="352" spans="10:22" s="1" customFormat="1" x14ac:dyDescent="0.2">
      <c r="J352"/>
      <c r="K352"/>
      <c r="L352"/>
      <c r="M352"/>
      <c r="N352" s="2"/>
      <c r="R352"/>
      <c r="S352"/>
      <c r="T352"/>
      <c r="U352"/>
      <c r="V352"/>
    </row>
    <row r="353" spans="10:22" s="1" customFormat="1" x14ac:dyDescent="0.2">
      <c r="J353"/>
      <c r="K353"/>
      <c r="L353"/>
      <c r="M353"/>
      <c r="N353" s="2"/>
      <c r="R353"/>
      <c r="S353"/>
      <c r="T353"/>
      <c r="U353"/>
      <c r="V353"/>
    </row>
    <row r="354" spans="10:22" s="1" customFormat="1" x14ac:dyDescent="0.2">
      <c r="J354"/>
      <c r="K354"/>
      <c r="L354"/>
      <c r="M354"/>
      <c r="N354" s="2"/>
      <c r="R354"/>
      <c r="S354"/>
      <c r="T354"/>
      <c r="U354"/>
      <c r="V354"/>
    </row>
    <row r="355" spans="10:22" s="1" customFormat="1" x14ac:dyDescent="0.2">
      <c r="J355"/>
      <c r="K355"/>
      <c r="L355"/>
      <c r="M355"/>
      <c r="N355" s="2"/>
      <c r="R355"/>
      <c r="S355"/>
      <c r="T355"/>
      <c r="U355"/>
      <c r="V355"/>
    </row>
    <row r="356" spans="10:22" s="1" customFormat="1" x14ac:dyDescent="0.2">
      <c r="J356"/>
      <c r="K356"/>
      <c r="L356"/>
      <c r="M356"/>
      <c r="N356" s="2"/>
      <c r="R356"/>
      <c r="S356"/>
      <c r="T356"/>
      <c r="U356"/>
      <c r="V356"/>
    </row>
    <row r="357" spans="10:22" s="1" customFormat="1" x14ac:dyDescent="0.2">
      <c r="J357"/>
      <c r="K357"/>
      <c r="L357"/>
      <c r="M357"/>
      <c r="N357" s="2"/>
      <c r="R357"/>
      <c r="S357"/>
      <c r="T357"/>
      <c r="U357"/>
      <c r="V357"/>
    </row>
    <row r="358" spans="10:22" s="1" customFormat="1" x14ac:dyDescent="0.2">
      <c r="J358"/>
      <c r="K358"/>
      <c r="L358"/>
      <c r="M358"/>
      <c r="N358" s="2"/>
      <c r="R358"/>
      <c r="S358"/>
      <c r="T358"/>
      <c r="U358"/>
      <c r="V358"/>
    </row>
    <row r="359" spans="10:22" s="1" customFormat="1" x14ac:dyDescent="0.2">
      <c r="J359"/>
      <c r="K359"/>
      <c r="L359"/>
      <c r="M359"/>
      <c r="N359" s="2"/>
      <c r="R359"/>
      <c r="S359"/>
      <c r="T359"/>
      <c r="U359"/>
      <c r="V359"/>
    </row>
    <row r="360" spans="10:22" s="1" customFormat="1" x14ac:dyDescent="0.2">
      <c r="J360"/>
      <c r="K360"/>
      <c r="L360"/>
      <c r="M360"/>
      <c r="N360" s="2"/>
      <c r="R360"/>
      <c r="S360"/>
      <c r="T360"/>
      <c r="U360"/>
      <c r="V360"/>
    </row>
    <row r="361" spans="10:22" s="1" customFormat="1" x14ac:dyDescent="0.2">
      <c r="J361"/>
      <c r="K361"/>
      <c r="L361"/>
      <c r="M361"/>
      <c r="N361" s="2"/>
      <c r="R361"/>
      <c r="S361"/>
      <c r="T361"/>
      <c r="U361"/>
      <c r="V361"/>
    </row>
    <row r="362" spans="10:22" s="1" customFormat="1" x14ac:dyDescent="0.2">
      <c r="J362"/>
      <c r="K362"/>
      <c r="L362"/>
      <c r="M362"/>
      <c r="N362" s="2"/>
      <c r="R362"/>
      <c r="S362"/>
      <c r="T362"/>
      <c r="U362"/>
      <c r="V362"/>
    </row>
    <row r="363" spans="10:22" s="1" customFormat="1" x14ac:dyDescent="0.2">
      <c r="J363"/>
      <c r="K363"/>
      <c r="L363"/>
      <c r="M363"/>
      <c r="N363" s="2"/>
      <c r="R363"/>
      <c r="S363"/>
      <c r="T363"/>
      <c r="U363"/>
      <c r="V363"/>
    </row>
    <row r="364" spans="10:22" s="1" customFormat="1" x14ac:dyDescent="0.2">
      <c r="J364"/>
      <c r="K364"/>
      <c r="L364"/>
      <c r="M364"/>
      <c r="N364" s="2"/>
      <c r="R364"/>
      <c r="S364"/>
      <c r="T364"/>
      <c r="U364"/>
      <c r="V364"/>
    </row>
    <row r="365" spans="10:22" s="1" customFormat="1" x14ac:dyDescent="0.2">
      <c r="J365"/>
      <c r="K365"/>
      <c r="L365"/>
      <c r="M365"/>
      <c r="N365" s="2"/>
      <c r="R365"/>
      <c r="S365"/>
      <c r="T365"/>
      <c r="U365"/>
      <c r="V365"/>
    </row>
    <row r="366" spans="10:22" s="1" customFormat="1" x14ac:dyDescent="0.2">
      <c r="J366"/>
      <c r="K366"/>
      <c r="L366"/>
      <c r="M366"/>
      <c r="N366" s="2"/>
      <c r="R366"/>
      <c r="S366"/>
      <c r="T366"/>
      <c r="U366"/>
      <c r="V366"/>
    </row>
    <row r="367" spans="10:22" s="1" customFormat="1" x14ac:dyDescent="0.2">
      <c r="J367"/>
      <c r="K367"/>
      <c r="L367"/>
      <c r="M367"/>
      <c r="N367" s="2"/>
      <c r="R367"/>
      <c r="S367"/>
      <c r="T367"/>
      <c r="U367"/>
      <c r="V367"/>
    </row>
    <row r="368" spans="10:22" s="1" customFormat="1" x14ac:dyDescent="0.2">
      <c r="J368"/>
      <c r="K368"/>
      <c r="L368"/>
      <c r="M368"/>
      <c r="N368" s="2"/>
      <c r="R368"/>
      <c r="S368"/>
      <c r="T368"/>
      <c r="U368"/>
      <c r="V368"/>
    </row>
    <row r="369" spans="10:22" s="1" customFormat="1" x14ac:dyDescent="0.2">
      <c r="J369"/>
      <c r="K369"/>
      <c r="L369"/>
      <c r="M369"/>
      <c r="N369" s="2"/>
      <c r="R369"/>
      <c r="S369"/>
      <c r="T369"/>
      <c r="U369"/>
      <c r="V369"/>
    </row>
    <row r="370" spans="10:22" s="1" customFormat="1" x14ac:dyDescent="0.2">
      <c r="J370"/>
      <c r="K370"/>
      <c r="L370"/>
      <c r="M370"/>
      <c r="N370" s="2"/>
      <c r="R370"/>
      <c r="S370"/>
      <c r="T370"/>
      <c r="U370"/>
      <c r="V370"/>
    </row>
    <row r="371" spans="10:22" s="1" customFormat="1" x14ac:dyDescent="0.2">
      <c r="J371"/>
      <c r="K371"/>
      <c r="L371"/>
      <c r="M371"/>
      <c r="N371" s="2"/>
      <c r="R371"/>
      <c r="S371"/>
      <c r="T371"/>
      <c r="U371"/>
      <c r="V371"/>
    </row>
    <row r="372" spans="10:22" s="1" customFormat="1" x14ac:dyDescent="0.2">
      <c r="J372"/>
      <c r="K372"/>
      <c r="L372"/>
      <c r="M372"/>
      <c r="N372" s="2"/>
      <c r="R372"/>
      <c r="S372"/>
      <c r="T372"/>
      <c r="U372"/>
      <c r="V372"/>
    </row>
    <row r="373" spans="10:22" s="1" customFormat="1" x14ac:dyDescent="0.2">
      <c r="J373"/>
      <c r="K373"/>
      <c r="L373"/>
      <c r="M373"/>
      <c r="N373" s="2"/>
      <c r="R373"/>
      <c r="S373"/>
      <c r="T373"/>
      <c r="U373"/>
      <c r="V373"/>
    </row>
    <row r="374" spans="10:22" s="1" customFormat="1" x14ac:dyDescent="0.2">
      <c r="J374"/>
      <c r="K374"/>
      <c r="L374"/>
      <c r="M374"/>
      <c r="N374" s="2"/>
      <c r="R374"/>
      <c r="S374"/>
      <c r="T374"/>
      <c r="U374"/>
      <c r="V374"/>
    </row>
    <row r="375" spans="10:22" s="1" customFormat="1" x14ac:dyDescent="0.2">
      <c r="J375"/>
      <c r="K375"/>
      <c r="L375"/>
      <c r="M375"/>
      <c r="N375" s="2"/>
      <c r="R375"/>
      <c r="S375"/>
      <c r="T375"/>
      <c r="U375"/>
      <c r="V375"/>
    </row>
    <row r="376" spans="10:22" s="1" customFormat="1" x14ac:dyDescent="0.2">
      <c r="J376"/>
      <c r="K376"/>
      <c r="L376"/>
      <c r="M376"/>
      <c r="N376" s="2"/>
      <c r="R376"/>
      <c r="S376"/>
      <c r="T376"/>
      <c r="U376"/>
      <c r="V376"/>
    </row>
    <row r="377" spans="10:22" s="1" customFormat="1" x14ac:dyDescent="0.2">
      <c r="J377"/>
      <c r="K377"/>
      <c r="L377"/>
      <c r="M377"/>
      <c r="N377" s="2"/>
      <c r="R377"/>
      <c r="S377"/>
      <c r="T377"/>
      <c r="U377"/>
      <c r="V377"/>
    </row>
    <row r="378" spans="10:22" s="1" customFormat="1" x14ac:dyDescent="0.2">
      <c r="J378"/>
      <c r="K378"/>
      <c r="L378"/>
      <c r="M378"/>
      <c r="N378" s="2"/>
      <c r="R378"/>
      <c r="S378"/>
      <c r="T378"/>
      <c r="U378"/>
      <c r="V378"/>
    </row>
    <row r="379" spans="10:22" s="1" customFormat="1" x14ac:dyDescent="0.2">
      <c r="J379"/>
      <c r="K379"/>
      <c r="L379"/>
      <c r="M379"/>
      <c r="N379" s="2"/>
      <c r="R379"/>
      <c r="S379"/>
      <c r="T379"/>
      <c r="U379"/>
      <c r="V379"/>
    </row>
    <row r="380" spans="10:22" s="1" customFormat="1" x14ac:dyDescent="0.2">
      <c r="J380"/>
      <c r="K380"/>
      <c r="L380"/>
      <c r="M380"/>
      <c r="N380" s="2"/>
      <c r="R380"/>
      <c r="S380"/>
      <c r="T380"/>
      <c r="U380"/>
      <c r="V380"/>
    </row>
    <row r="381" spans="10:22" s="1" customFormat="1" x14ac:dyDescent="0.2">
      <c r="J381"/>
      <c r="K381"/>
      <c r="L381"/>
      <c r="M381"/>
      <c r="N381" s="2"/>
      <c r="R381"/>
      <c r="S381"/>
      <c r="T381"/>
      <c r="U381"/>
      <c r="V381"/>
    </row>
    <row r="382" spans="10:22" s="1" customFormat="1" x14ac:dyDescent="0.2">
      <c r="J382"/>
      <c r="K382"/>
      <c r="L382"/>
      <c r="M382"/>
      <c r="N382" s="2"/>
      <c r="R382"/>
      <c r="S382"/>
      <c r="T382"/>
      <c r="U382"/>
      <c r="V382"/>
    </row>
    <row r="383" spans="10:22" s="1" customFormat="1" x14ac:dyDescent="0.2">
      <c r="J383"/>
      <c r="K383"/>
      <c r="L383"/>
      <c r="M383"/>
      <c r="N383" s="2"/>
      <c r="R383"/>
      <c r="S383"/>
      <c r="T383"/>
      <c r="U383"/>
      <c r="V383"/>
    </row>
    <row r="384" spans="10:22" s="1" customFormat="1" x14ac:dyDescent="0.2">
      <c r="J384"/>
      <c r="K384"/>
      <c r="L384"/>
      <c r="M384"/>
      <c r="N384" s="2"/>
      <c r="R384"/>
      <c r="S384"/>
      <c r="T384"/>
      <c r="U384"/>
      <c r="V384"/>
    </row>
    <row r="385" spans="10:22" s="1" customFormat="1" x14ac:dyDescent="0.2">
      <c r="J385"/>
      <c r="K385"/>
      <c r="L385"/>
      <c r="M385"/>
      <c r="N385" s="2"/>
      <c r="R385"/>
      <c r="S385"/>
      <c r="T385"/>
      <c r="U385"/>
      <c r="V385"/>
    </row>
    <row r="386" spans="10:22" s="1" customFormat="1" x14ac:dyDescent="0.2">
      <c r="J386"/>
      <c r="K386"/>
      <c r="L386"/>
      <c r="M386"/>
      <c r="N386" s="2"/>
      <c r="R386"/>
      <c r="S386"/>
      <c r="T386"/>
      <c r="U386"/>
      <c r="V386"/>
    </row>
    <row r="387" spans="10:22" s="1" customFormat="1" x14ac:dyDescent="0.2">
      <c r="J387"/>
      <c r="K387"/>
      <c r="L387"/>
      <c r="M387"/>
      <c r="N387" s="2"/>
      <c r="R387"/>
      <c r="S387"/>
      <c r="T387"/>
      <c r="U387"/>
      <c r="V387"/>
    </row>
    <row r="388" spans="10:22" s="1" customFormat="1" x14ac:dyDescent="0.2">
      <c r="J388"/>
      <c r="K388"/>
      <c r="L388"/>
      <c r="M388"/>
      <c r="N388" s="2"/>
      <c r="R388"/>
      <c r="S388"/>
      <c r="T388"/>
      <c r="U388"/>
      <c r="V388"/>
    </row>
    <row r="389" spans="10:22" s="1" customFormat="1" x14ac:dyDescent="0.2">
      <c r="J389"/>
      <c r="K389"/>
      <c r="L389"/>
      <c r="M389"/>
      <c r="N389" s="2"/>
      <c r="R389"/>
      <c r="S389"/>
      <c r="T389"/>
      <c r="U389"/>
      <c r="V389"/>
    </row>
    <row r="390" spans="10:22" s="1" customFormat="1" x14ac:dyDescent="0.2">
      <c r="J390"/>
      <c r="K390"/>
      <c r="L390"/>
      <c r="M390"/>
      <c r="N390" s="2"/>
      <c r="R390"/>
      <c r="S390"/>
      <c r="T390"/>
      <c r="U390"/>
      <c r="V390"/>
    </row>
    <row r="391" spans="10:22" s="1" customFormat="1" x14ac:dyDescent="0.2">
      <c r="J391"/>
      <c r="K391"/>
      <c r="L391"/>
      <c r="M391"/>
      <c r="N391" s="2"/>
      <c r="R391"/>
      <c r="S391"/>
      <c r="T391"/>
      <c r="U391"/>
      <c r="V391"/>
    </row>
    <row r="392" spans="10:22" s="1" customFormat="1" x14ac:dyDescent="0.2">
      <c r="J392"/>
      <c r="K392"/>
      <c r="L392"/>
      <c r="M392"/>
      <c r="N392" s="2"/>
      <c r="R392"/>
      <c r="S392"/>
      <c r="T392"/>
      <c r="U392"/>
      <c r="V392"/>
    </row>
    <row r="393" spans="10:22" s="1" customFormat="1" x14ac:dyDescent="0.2">
      <c r="J393"/>
      <c r="K393"/>
      <c r="L393"/>
      <c r="M393"/>
      <c r="N393" s="2"/>
      <c r="R393"/>
      <c r="S393"/>
      <c r="T393"/>
      <c r="U393"/>
      <c r="V393"/>
    </row>
    <row r="394" spans="10:22" s="1" customFormat="1" x14ac:dyDescent="0.2">
      <c r="J394"/>
      <c r="K394"/>
      <c r="L394"/>
      <c r="M394"/>
      <c r="N394" s="2"/>
      <c r="R394"/>
      <c r="S394"/>
      <c r="T394"/>
      <c r="U394"/>
      <c r="V394"/>
    </row>
    <row r="395" spans="10:22" s="1" customFormat="1" x14ac:dyDescent="0.2">
      <c r="J395"/>
      <c r="K395"/>
      <c r="L395"/>
      <c r="M395"/>
      <c r="N395" s="2"/>
      <c r="R395"/>
      <c r="S395"/>
      <c r="T395"/>
      <c r="U395"/>
      <c r="V395"/>
    </row>
    <row r="396" spans="10:22" s="1" customFormat="1" x14ac:dyDescent="0.2">
      <c r="J396"/>
      <c r="K396"/>
      <c r="L396"/>
      <c r="M396"/>
      <c r="N396" s="2"/>
      <c r="R396"/>
      <c r="S396"/>
      <c r="T396"/>
      <c r="U396"/>
      <c r="V396"/>
    </row>
    <row r="397" spans="10:22" s="1" customFormat="1" x14ac:dyDescent="0.2">
      <c r="J397"/>
      <c r="K397"/>
      <c r="L397"/>
      <c r="M397"/>
      <c r="N397" s="2"/>
      <c r="R397"/>
      <c r="S397"/>
      <c r="T397"/>
      <c r="U397"/>
      <c r="V397"/>
    </row>
    <row r="398" spans="10:22" s="1" customFormat="1" x14ac:dyDescent="0.2">
      <c r="J398"/>
      <c r="K398"/>
      <c r="L398"/>
      <c r="M398"/>
      <c r="N398" s="2"/>
      <c r="R398"/>
      <c r="S398"/>
      <c r="T398"/>
      <c r="U398"/>
      <c r="V398"/>
    </row>
    <row r="399" spans="10:22" s="1" customFormat="1" x14ac:dyDescent="0.2">
      <c r="J399"/>
      <c r="K399"/>
      <c r="L399"/>
      <c r="M399"/>
      <c r="N399" s="2"/>
      <c r="R399"/>
      <c r="S399"/>
      <c r="T399"/>
      <c r="U399"/>
      <c r="V399"/>
    </row>
    <row r="400" spans="10:22" s="1" customFormat="1" x14ac:dyDescent="0.2">
      <c r="J400"/>
      <c r="K400"/>
      <c r="L400"/>
      <c r="M400"/>
      <c r="N400" s="2"/>
      <c r="R400"/>
      <c r="S400"/>
      <c r="T400"/>
      <c r="U400"/>
      <c r="V400"/>
    </row>
    <row r="401" spans="10:22" s="1" customFormat="1" x14ac:dyDescent="0.2">
      <c r="J401"/>
      <c r="K401"/>
      <c r="L401"/>
      <c r="M401"/>
      <c r="N401" s="2"/>
      <c r="R401"/>
      <c r="S401"/>
      <c r="T401"/>
      <c r="U401"/>
      <c r="V401"/>
    </row>
    <row r="402" spans="10:22" s="1" customFormat="1" x14ac:dyDescent="0.2">
      <c r="J402"/>
      <c r="K402"/>
      <c r="L402"/>
      <c r="M402"/>
      <c r="N402" s="2"/>
      <c r="R402"/>
      <c r="S402"/>
      <c r="T402"/>
      <c r="U402"/>
      <c r="V402"/>
    </row>
    <row r="403" spans="10:22" s="1" customFormat="1" x14ac:dyDescent="0.2">
      <c r="J403"/>
      <c r="K403"/>
      <c r="L403"/>
      <c r="M403"/>
      <c r="N403" s="2"/>
      <c r="R403"/>
      <c r="S403"/>
      <c r="T403"/>
      <c r="U403"/>
      <c r="V403"/>
    </row>
    <row r="404" spans="10:22" s="1" customFormat="1" x14ac:dyDescent="0.2">
      <c r="J404"/>
      <c r="K404"/>
      <c r="L404"/>
      <c r="M404"/>
      <c r="N404" s="2"/>
      <c r="R404"/>
      <c r="S404"/>
      <c r="T404"/>
      <c r="U404"/>
      <c r="V404"/>
    </row>
    <row r="405" spans="10:22" s="1" customFormat="1" x14ac:dyDescent="0.2">
      <c r="J405"/>
      <c r="K405"/>
      <c r="L405"/>
      <c r="M405"/>
      <c r="N405" s="2"/>
      <c r="R405"/>
      <c r="S405"/>
      <c r="T405"/>
      <c r="U405"/>
      <c r="V405"/>
    </row>
    <row r="406" spans="10:22" s="1" customFormat="1" x14ac:dyDescent="0.2">
      <c r="J406"/>
      <c r="K406"/>
      <c r="L406"/>
      <c r="M406"/>
      <c r="N406" s="2"/>
      <c r="R406"/>
      <c r="S406"/>
      <c r="T406"/>
      <c r="U406"/>
      <c r="V406"/>
    </row>
    <row r="407" spans="10:22" s="1" customFormat="1" x14ac:dyDescent="0.2">
      <c r="J407"/>
      <c r="K407"/>
      <c r="L407"/>
      <c r="M407"/>
      <c r="N407" s="2"/>
      <c r="R407"/>
      <c r="S407"/>
      <c r="T407"/>
      <c r="U407"/>
      <c r="V407"/>
    </row>
    <row r="408" spans="10:22" s="1" customFormat="1" x14ac:dyDescent="0.2">
      <c r="J408"/>
      <c r="K408"/>
      <c r="L408"/>
      <c r="M408"/>
      <c r="N408" s="2"/>
      <c r="R408"/>
      <c r="S408"/>
      <c r="T408"/>
      <c r="U408"/>
      <c r="V408"/>
    </row>
    <row r="409" spans="10:22" s="1" customFormat="1" x14ac:dyDescent="0.2">
      <c r="J409"/>
      <c r="K409"/>
      <c r="L409"/>
      <c r="M409"/>
      <c r="N409" s="2"/>
      <c r="R409"/>
      <c r="S409"/>
      <c r="T409"/>
      <c r="U409"/>
      <c r="V409"/>
    </row>
    <row r="410" spans="10:22" s="1" customFormat="1" x14ac:dyDescent="0.2">
      <c r="J410"/>
      <c r="K410"/>
      <c r="L410"/>
      <c r="M410"/>
      <c r="N410" s="2"/>
      <c r="R410"/>
      <c r="S410"/>
      <c r="T410"/>
      <c r="U410"/>
      <c r="V410"/>
    </row>
    <row r="411" spans="10:22" s="1" customFormat="1" x14ac:dyDescent="0.2">
      <c r="J411"/>
      <c r="K411"/>
      <c r="L411"/>
      <c r="M411"/>
      <c r="N411" s="2"/>
      <c r="R411"/>
      <c r="S411"/>
      <c r="T411"/>
      <c r="U411"/>
      <c r="V411"/>
    </row>
    <row r="412" spans="10:22" s="1" customFormat="1" x14ac:dyDescent="0.2">
      <c r="J412"/>
      <c r="K412"/>
      <c r="L412"/>
      <c r="M412"/>
      <c r="N412" s="2"/>
      <c r="R412"/>
      <c r="S412"/>
      <c r="T412"/>
      <c r="U412"/>
      <c r="V412"/>
    </row>
    <row r="413" spans="10:22" s="1" customFormat="1" x14ac:dyDescent="0.2">
      <c r="J413"/>
      <c r="K413"/>
      <c r="L413"/>
      <c r="M413"/>
      <c r="N413" s="2"/>
      <c r="R413"/>
      <c r="S413"/>
      <c r="T413"/>
      <c r="U413"/>
      <c r="V413"/>
    </row>
    <row r="414" spans="10:22" s="1" customFormat="1" x14ac:dyDescent="0.2">
      <c r="J414"/>
      <c r="K414"/>
      <c r="L414"/>
      <c r="M414"/>
      <c r="N414" s="2"/>
      <c r="R414"/>
      <c r="S414"/>
      <c r="T414"/>
      <c r="U414"/>
      <c r="V414"/>
    </row>
    <row r="415" spans="10:22" s="1" customFormat="1" x14ac:dyDescent="0.2">
      <c r="J415"/>
      <c r="K415"/>
      <c r="L415"/>
      <c r="M415"/>
      <c r="N415" s="2"/>
      <c r="R415"/>
      <c r="S415"/>
      <c r="T415"/>
      <c r="U415"/>
      <c r="V415"/>
    </row>
    <row r="416" spans="10:22" s="1" customFormat="1" x14ac:dyDescent="0.2">
      <c r="J416"/>
      <c r="K416"/>
      <c r="L416"/>
      <c r="M416"/>
      <c r="N416" s="2"/>
      <c r="R416"/>
      <c r="S416"/>
      <c r="T416"/>
      <c r="U416"/>
      <c r="V416"/>
    </row>
    <row r="417" spans="10:22" s="1" customFormat="1" x14ac:dyDescent="0.2">
      <c r="J417"/>
      <c r="K417"/>
      <c r="L417"/>
      <c r="M417"/>
      <c r="N417" s="2"/>
      <c r="R417"/>
      <c r="S417"/>
      <c r="T417"/>
      <c r="U417"/>
      <c r="V417"/>
    </row>
    <row r="418" spans="10:22" s="1" customFormat="1" x14ac:dyDescent="0.2">
      <c r="J418"/>
      <c r="K418"/>
      <c r="L418"/>
      <c r="M418"/>
      <c r="N418" s="2"/>
      <c r="R418"/>
      <c r="S418"/>
      <c r="T418"/>
      <c r="U418"/>
      <c r="V418"/>
    </row>
    <row r="419" spans="10:22" s="1" customFormat="1" x14ac:dyDescent="0.2">
      <c r="J419"/>
      <c r="K419"/>
      <c r="L419"/>
      <c r="M419"/>
      <c r="N419" s="2"/>
      <c r="R419"/>
      <c r="S419"/>
      <c r="T419"/>
      <c r="U419"/>
      <c r="V419"/>
    </row>
    <row r="420" spans="10:22" s="1" customFormat="1" x14ac:dyDescent="0.2">
      <c r="J420"/>
      <c r="K420"/>
      <c r="L420"/>
      <c r="M420"/>
      <c r="N420" s="2"/>
      <c r="R420"/>
      <c r="S420"/>
      <c r="T420"/>
      <c r="U420"/>
      <c r="V420"/>
    </row>
    <row r="421" spans="10:22" s="1" customFormat="1" x14ac:dyDescent="0.2">
      <c r="J421"/>
      <c r="K421"/>
      <c r="L421"/>
      <c r="M421"/>
      <c r="N421" s="2"/>
      <c r="R421"/>
      <c r="S421"/>
      <c r="T421"/>
      <c r="U421"/>
      <c r="V421"/>
    </row>
    <row r="422" spans="10:22" s="1" customFormat="1" x14ac:dyDescent="0.2">
      <c r="J422"/>
      <c r="K422"/>
      <c r="L422"/>
      <c r="M422"/>
      <c r="N422" s="2"/>
      <c r="R422"/>
      <c r="S422"/>
      <c r="T422"/>
      <c r="U422"/>
      <c r="V422"/>
    </row>
    <row r="423" spans="10:22" s="1" customFormat="1" x14ac:dyDescent="0.2">
      <c r="J423"/>
      <c r="K423"/>
      <c r="L423"/>
      <c r="M423"/>
      <c r="N423" s="2"/>
      <c r="R423"/>
      <c r="S423"/>
      <c r="T423"/>
      <c r="U423"/>
      <c r="V423"/>
    </row>
    <row r="424" spans="10:22" s="1" customFormat="1" x14ac:dyDescent="0.2">
      <c r="J424"/>
      <c r="K424"/>
      <c r="L424"/>
      <c r="M424"/>
      <c r="N424" s="2"/>
      <c r="R424"/>
      <c r="S424"/>
      <c r="T424"/>
      <c r="U424"/>
      <c r="V424"/>
    </row>
    <row r="425" spans="10:22" s="1" customFormat="1" x14ac:dyDescent="0.2">
      <c r="J425"/>
      <c r="K425"/>
      <c r="L425"/>
      <c r="M425"/>
      <c r="N425" s="2"/>
      <c r="R425"/>
      <c r="S425"/>
      <c r="T425"/>
      <c r="U425"/>
      <c r="V425"/>
    </row>
    <row r="426" spans="10:22" s="1" customFormat="1" x14ac:dyDescent="0.2">
      <c r="J426"/>
      <c r="K426"/>
      <c r="L426"/>
      <c r="M426"/>
      <c r="N426" s="2"/>
      <c r="R426"/>
      <c r="S426"/>
      <c r="T426"/>
      <c r="U426"/>
      <c r="V426"/>
    </row>
    <row r="427" spans="10:22" s="1" customFormat="1" x14ac:dyDescent="0.2">
      <c r="J427"/>
      <c r="K427"/>
      <c r="L427"/>
      <c r="M427"/>
      <c r="N427" s="2"/>
      <c r="R427"/>
      <c r="S427"/>
      <c r="T427"/>
      <c r="U427"/>
      <c r="V427"/>
    </row>
    <row r="428" spans="10:22" s="1" customFormat="1" x14ac:dyDescent="0.2">
      <c r="J428"/>
      <c r="K428"/>
      <c r="L428"/>
      <c r="M428"/>
      <c r="N428" s="2"/>
      <c r="R428"/>
      <c r="S428"/>
      <c r="T428"/>
      <c r="U428"/>
      <c r="V428"/>
    </row>
    <row r="429" spans="10:22" s="1" customFormat="1" x14ac:dyDescent="0.2">
      <c r="J429"/>
      <c r="K429"/>
      <c r="L429"/>
      <c r="M429"/>
      <c r="N429" s="2"/>
      <c r="R429"/>
      <c r="S429"/>
      <c r="T429"/>
      <c r="U429"/>
      <c r="V429"/>
    </row>
    <row r="430" spans="10:22" s="1" customFormat="1" x14ac:dyDescent="0.2">
      <c r="J430"/>
      <c r="K430"/>
      <c r="L430"/>
      <c r="M430"/>
      <c r="N430" s="2"/>
      <c r="R430"/>
      <c r="S430"/>
      <c r="T430"/>
      <c r="U430"/>
      <c r="V430"/>
    </row>
    <row r="431" spans="10:22" s="1" customFormat="1" x14ac:dyDescent="0.2">
      <c r="J431"/>
      <c r="K431"/>
      <c r="L431"/>
      <c r="M431"/>
      <c r="N431" s="2"/>
      <c r="R431"/>
      <c r="S431"/>
      <c r="T431"/>
      <c r="U431"/>
      <c r="V431"/>
    </row>
    <row r="432" spans="10:22" s="1" customFormat="1" x14ac:dyDescent="0.2">
      <c r="J432"/>
      <c r="K432"/>
      <c r="L432"/>
      <c r="M432"/>
      <c r="N432" s="2"/>
      <c r="R432"/>
      <c r="S432"/>
      <c r="T432"/>
      <c r="U432"/>
      <c r="V432"/>
    </row>
    <row r="433" spans="10:22" s="1" customFormat="1" x14ac:dyDescent="0.2">
      <c r="J433"/>
      <c r="K433"/>
      <c r="L433"/>
      <c r="M433"/>
      <c r="N433" s="2"/>
      <c r="R433"/>
      <c r="S433"/>
      <c r="T433"/>
      <c r="U433"/>
      <c r="V433"/>
    </row>
    <row r="434" spans="10:22" s="1" customFormat="1" x14ac:dyDescent="0.2">
      <c r="J434"/>
      <c r="K434"/>
      <c r="L434"/>
      <c r="M434"/>
      <c r="N434" s="2"/>
      <c r="R434"/>
      <c r="S434"/>
      <c r="T434"/>
      <c r="U434"/>
      <c r="V434"/>
    </row>
    <row r="435" spans="10:22" s="1" customFormat="1" x14ac:dyDescent="0.2">
      <c r="J435"/>
      <c r="K435"/>
      <c r="L435"/>
      <c r="M435"/>
      <c r="N435" s="2"/>
      <c r="R435"/>
      <c r="S435"/>
      <c r="T435"/>
      <c r="U435"/>
      <c r="V435"/>
    </row>
    <row r="436" spans="10:22" s="1" customFormat="1" x14ac:dyDescent="0.2">
      <c r="J436"/>
      <c r="K436"/>
      <c r="L436"/>
      <c r="M436"/>
      <c r="N436" s="2"/>
      <c r="R436"/>
      <c r="S436"/>
      <c r="T436"/>
      <c r="U436"/>
      <c r="V436"/>
    </row>
    <row r="437" spans="10:22" s="1" customFormat="1" x14ac:dyDescent="0.2">
      <c r="J437"/>
      <c r="K437"/>
      <c r="L437"/>
      <c r="M437"/>
      <c r="N437" s="2"/>
      <c r="R437"/>
      <c r="S437"/>
      <c r="T437"/>
      <c r="U437"/>
      <c r="V437"/>
    </row>
    <row r="438" spans="10:22" s="1" customFormat="1" x14ac:dyDescent="0.2">
      <c r="J438"/>
      <c r="K438"/>
      <c r="L438"/>
      <c r="M438"/>
      <c r="N438" s="2"/>
      <c r="R438"/>
      <c r="S438"/>
      <c r="T438"/>
      <c r="U438"/>
      <c r="V438"/>
    </row>
    <row r="439" spans="10:22" s="1" customFormat="1" x14ac:dyDescent="0.2">
      <c r="J439"/>
      <c r="K439"/>
      <c r="L439"/>
      <c r="M439"/>
      <c r="N439" s="2"/>
      <c r="R439"/>
      <c r="S439"/>
      <c r="T439"/>
      <c r="U439"/>
      <c r="V439"/>
    </row>
    <row r="440" spans="10:22" s="1" customFormat="1" x14ac:dyDescent="0.2">
      <c r="J440"/>
      <c r="K440"/>
      <c r="L440"/>
      <c r="M440"/>
      <c r="N440" s="2"/>
      <c r="R440"/>
      <c r="S440"/>
      <c r="T440"/>
      <c r="U440"/>
      <c r="V440"/>
    </row>
    <row r="441" spans="10:22" s="1" customFormat="1" x14ac:dyDescent="0.2">
      <c r="J441"/>
      <c r="K441"/>
      <c r="L441"/>
      <c r="M441"/>
      <c r="N441" s="2"/>
      <c r="R441"/>
      <c r="S441"/>
      <c r="T441"/>
      <c r="U441"/>
      <c r="V441"/>
    </row>
    <row r="442" spans="10:22" s="1" customFormat="1" x14ac:dyDescent="0.2">
      <c r="J442"/>
      <c r="K442"/>
      <c r="L442"/>
      <c r="M442"/>
      <c r="N442" s="2"/>
      <c r="R442"/>
      <c r="S442"/>
      <c r="T442"/>
      <c r="U442"/>
      <c r="V442"/>
    </row>
    <row r="443" spans="10:22" s="1" customFormat="1" x14ac:dyDescent="0.2">
      <c r="J443"/>
      <c r="K443"/>
      <c r="L443"/>
      <c r="M443"/>
      <c r="N443" s="2"/>
      <c r="R443"/>
      <c r="S443"/>
      <c r="T443"/>
      <c r="U443"/>
      <c r="V443"/>
    </row>
    <row r="444" spans="10:22" s="1" customFormat="1" x14ac:dyDescent="0.2">
      <c r="J444"/>
      <c r="K444"/>
      <c r="L444"/>
      <c r="M444"/>
      <c r="N444" s="2"/>
      <c r="R444"/>
      <c r="S444"/>
      <c r="T444"/>
      <c r="U444"/>
      <c r="V444"/>
    </row>
    <row r="445" spans="10:22" s="1" customFormat="1" x14ac:dyDescent="0.2">
      <c r="J445"/>
      <c r="K445"/>
      <c r="L445"/>
      <c r="M445"/>
      <c r="N445" s="2"/>
      <c r="R445"/>
      <c r="S445"/>
      <c r="T445"/>
      <c r="U445"/>
      <c r="V445"/>
    </row>
    <row r="446" spans="10:22" s="1" customFormat="1" x14ac:dyDescent="0.2">
      <c r="J446"/>
      <c r="K446"/>
      <c r="L446"/>
      <c r="M446"/>
      <c r="N446" s="2"/>
      <c r="R446"/>
      <c r="S446"/>
      <c r="T446"/>
      <c r="U446"/>
      <c r="V446"/>
    </row>
    <row r="447" spans="10:22" s="1" customFormat="1" x14ac:dyDescent="0.2">
      <c r="J447"/>
      <c r="K447"/>
      <c r="L447"/>
      <c r="M447"/>
      <c r="N447" s="2"/>
      <c r="R447"/>
      <c r="S447"/>
      <c r="T447"/>
      <c r="U447"/>
      <c r="V447"/>
    </row>
    <row r="448" spans="10:22" s="1" customFormat="1" x14ac:dyDescent="0.2">
      <c r="J448"/>
      <c r="K448"/>
      <c r="L448"/>
      <c r="M448"/>
      <c r="N448" s="2"/>
      <c r="R448"/>
      <c r="S448"/>
      <c r="T448"/>
      <c r="U448"/>
      <c r="V448"/>
    </row>
    <row r="449" spans="10:22" s="1" customFormat="1" x14ac:dyDescent="0.2">
      <c r="J449"/>
      <c r="K449"/>
      <c r="L449"/>
      <c r="M449"/>
      <c r="N449" s="2"/>
      <c r="R449"/>
      <c r="S449"/>
      <c r="T449"/>
      <c r="U449"/>
      <c r="V449"/>
    </row>
    <row r="450" spans="10:22" s="1" customFormat="1" x14ac:dyDescent="0.2">
      <c r="J450"/>
      <c r="K450"/>
      <c r="L450"/>
      <c r="M450"/>
      <c r="N450" s="2"/>
      <c r="R450"/>
      <c r="S450"/>
      <c r="T450"/>
      <c r="U450"/>
      <c r="V450"/>
    </row>
    <row r="451" spans="10:22" s="1" customFormat="1" x14ac:dyDescent="0.2">
      <c r="J451"/>
      <c r="K451"/>
      <c r="L451"/>
      <c r="M451"/>
      <c r="N451" s="2"/>
      <c r="R451"/>
      <c r="S451"/>
      <c r="T451"/>
      <c r="U451"/>
      <c r="V451"/>
    </row>
    <row r="452" spans="10:22" s="1" customFormat="1" x14ac:dyDescent="0.2">
      <c r="J452"/>
      <c r="K452"/>
      <c r="L452"/>
      <c r="M452"/>
      <c r="N452" s="2"/>
      <c r="R452"/>
      <c r="S452"/>
      <c r="T452"/>
      <c r="U452"/>
      <c r="V452"/>
    </row>
    <row r="453" spans="10:22" s="1" customFormat="1" x14ac:dyDescent="0.2">
      <c r="J453"/>
      <c r="K453"/>
      <c r="L453"/>
      <c r="M453"/>
      <c r="N453" s="2"/>
      <c r="R453"/>
      <c r="S453"/>
      <c r="T453"/>
      <c r="U453"/>
      <c r="V453"/>
    </row>
    <row r="454" spans="10:22" s="1" customFormat="1" x14ac:dyDescent="0.2">
      <c r="J454"/>
      <c r="K454"/>
      <c r="L454"/>
      <c r="M454"/>
      <c r="N454" s="2"/>
      <c r="R454"/>
      <c r="S454"/>
      <c r="T454"/>
      <c r="U454"/>
      <c r="V454"/>
    </row>
    <row r="455" spans="10:22" s="1" customFormat="1" x14ac:dyDescent="0.2">
      <c r="J455"/>
      <c r="K455"/>
      <c r="L455"/>
      <c r="M455"/>
      <c r="N455" s="2"/>
      <c r="R455"/>
      <c r="S455"/>
      <c r="T455"/>
      <c r="U455"/>
      <c r="V455"/>
    </row>
    <row r="456" spans="10:22" s="1" customFormat="1" x14ac:dyDescent="0.2">
      <c r="J456"/>
      <c r="K456"/>
      <c r="L456"/>
      <c r="M456"/>
      <c r="N456" s="2"/>
      <c r="R456"/>
      <c r="S456"/>
      <c r="T456"/>
      <c r="U456"/>
      <c r="V456"/>
    </row>
    <row r="457" spans="10:22" s="1" customFormat="1" x14ac:dyDescent="0.2">
      <c r="J457"/>
      <c r="K457"/>
      <c r="L457"/>
      <c r="M457"/>
      <c r="N457" s="2"/>
      <c r="R457"/>
      <c r="S457"/>
      <c r="T457"/>
      <c r="U457"/>
      <c r="V457"/>
    </row>
    <row r="458" spans="10:22" s="1" customFormat="1" x14ac:dyDescent="0.2">
      <c r="J458"/>
      <c r="K458"/>
      <c r="L458"/>
      <c r="M458"/>
      <c r="N458" s="2"/>
      <c r="R458"/>
      <c r="S458"/>
      <c r="T458"/>
      <c r="U458"/>
      <c r="V458"/>
    </row>
    <row r="459" spans="10:22" s="1" customFormat="1" x14ac:dyDescent="0.2">
      <c r="J459"/>
      <c r="K459"/>
      <c r="L459"/>
      <c r="M459"/>
      <c r="N459" s="2"/>
      <c r="R459"/>
      <c r="S459"/>
      <c r="T459"/>
      <c r="U459"/>
      <c r="V459"/>
    </row>
    <row r="460" spans="10:22" s="1" customFormat="1" x14ac:dyDescent="0.2">
      <c r="J460"/>
      <c r="K460"/>
      <c r="L460"/>
      <c r="M460"/>
      <c r="N460" s="2"/>
      <c r="R460"/>
      <c r="S460"/>
      <c r="T460"/>
      <c r="U460"/>
      <c r="V460"/>
    </row>
    <row r="461" spans="10:22" s="1" customFormat="1" x14ac:dyDescent="0.2">
      <c r="J461"/>
      <c r="K461"/>
      <c r="L461"/>
      <c r="M461"/>
      <c r="N461" s="2"/>
      <c r="R461"/>
      <c r="S461"/>
      <c r="T461"/>
      <c r="U461"/>
      <c r="V461"/>
    </row>
    <row r="462" spans="10:22" s="1" customFormat="1" x14ac:dyDescent="0.2">
      <c r="J462"/>
      <c r="K462"/>
      <c r="L462"/>
      <c r="M462"/>
      <c r="N462" s="2"/>
      <c r="R462"/>
      <c r="S462"/>
      <c r="T462"/>
      <c r="U462"/>
      <c r="V462"/>
    </row>
    <row r="463" spans="10:22" s="1" customFormat="1" x14ac:dyDescent="0.2">
      <c r="J463"/>
      <c r="K463"/>
      <c r="L463"/>
      <c r="M463"/>
      <c r="N463" s="2"/>
      <c r="R463"/>
      <c r="S463"/>
      <c r="T463"/>
      <c r="U463"/>
      <c r="V463"/>
    </row>
    <row r="464" spans="10:22" s="1" customFormat="1" x14ac:dyDescent="0.2">
      <c r="J464"/>
      <c r="K464"/>
      <c r="L464"/>
      <c r="M464"/>
      <c r="N464" s="2"/>
      <c r="R464"/>
      <c r="S464"/>
      <c r="T464"/>
      <c r="U464"/>
      <c r="V464"/>
    </row>
    <row r="465" spans="10:22" s="1" customFormat="1" x14ac:dyDescent="0.2">
      <c r="J465"/>
      <c r="K465"/>
      <c r="L465"/>
      <c r="M465"/>
      <c r="N465" s="2"/>
      <c r="R465"/>
      <c r="S465"/>
      <c r="T465"/>
      <c r="U465"/>
      <c r="V465"/>
    </row>
    <row r="466" spans="10:22" s="1" customFormat="1" x14ac:dyDescent="0.2">
      <c r="J466"/>
      <c r="K466"/>
      <c r="L466"/>
      <c r="M466"/>
      <c r="N466" s="2"/>
      <c r="R466"/>
      <c r="S466"/>
      <c r="T466"/>
      <c r="U466"/>
      <c r="V466"/>
    </row>
    <row r="467" spans="10:22" s="1" customFormat="1" x14ac:dyDescent="0.2">
      <c r="J467"/>
      <c r="K467"/>
      <c r="L467"/>
      <c r="M467"/>
      <c r="N467" s="2"/>
      <c r="R467"/>
      <c r="S467"/>
      <c r="T467"/>
      <c r="U467"/>
      <c r="V467"/>
    </row>
    <row r="468" spans="10:22" s="1" customFormat="1" x14ac:dyDescent="0.2">
      <c r="J468"/>
      <c r="K468"/>
      <c r="L468"/>
      <c r="M468"/>
      <c r="N468" s="2"/>
      <c r="R468"/>
      <c r="S468"/>
      <c r="T468"/>
      <c r="U468"/>
      <c r="V468"/>
    </row>
    <row r="469" spans="10:22" s="1" customFormat="1" x14ac:dyDescent="0.2">
      <c r="J469"/>
      <c r="K469"/>
      <c r="L469"/>
      <c r="M469"/>
      <c r="N469" s="2"/>
      <c r="R469"/>
      <c r="S469"/>
      <c r="T469"/>
      <c r="U469"/>
      <c r="V469"/>
    </row>
    <row r="470" spans="10:22" s="1" customFormat="1" x14ac:dyDescent="0.2">
      <c r="J470"/>
      <c r="K470"/>
      <c r="L470"/>
      <c r="M470"/>
      <c r="N470" s="2"/>
      <c r="R470"/>
      <c r="S470"/>
      <c r="T470"/>
      <c r="U470"/>
      <c r="V470"/>
    </row>
    <row r="471" spans="10:22" s="1" customFormat="1" x14ac:dyDescent="0.2">
      <c r="J471"/>
      <c r="K471"/>
      <c r="L471"/>
      <c r="M471"/>
      <c r="N471" s="2"/>
      <c r="R471"/>
      <c r="S471"/>
      <c r="T471"/>
      <c r="U471"/>
      <c r="V471"/>
    </row>
    <row r="472" spans="10:22" s="1" customFormat="1" x14ac:dyDescent="0.2">
      <c r="J472"/>
      <c r="K472"/>
      <c r="L472"/>
      <c r="M472"/>
      <c r="N472" s="2"/>
      <c r="R472"/>
      <c r="S472"/>
      <c r="T472"/>
      <c r="U472"/>
      <c r="V472"/>
    </row>
    <row r="473" spans="10:22" s="1" customFormat="1" x14ac:dyDescent="0.2">
      <c r="J473"/>
      <c r="K473"/>
      <c r="L473"/>
      <c r="M473"/>
      <c r="N473" s="2"/>
      <c r="R473"/>
      <c r="S473"/>
      <c r="T473"/>
      <c r="U473"/>
      <c r="V473"/>
    </row>
    <row r="474" spans="10:22" s="1" customFormat="1" x14ac:dyDescent="0.2">
      <c r="J474"/>
      <c r="K474"/>
      <c r="L474"/>
      <c r="M474"/>
      <c r="N474" s="2"/>
      <c r="R474"/>
      <c r="S474"/>
      <c r="T474"/>
      <c r="U474"/>
      <c r="V474"/>
    </row>
    <row r="475" spans="10:22" s="1" customFormat="1" x14ac:dyDescent="0.2">
      <c r="J475"/>
      <c r="K475"/>
      <c r="L475"/>
      <c r="M475"/>
      <c r="N475" s="2"/>
      <c r="R475"/>
      <c r="S475"/>
      <c r="T475"/>
      <c r="U475"/>
      <c r="V475"/>
    </row>
    <row r="476" spans="10:22" s="1" customFormat="1" x14ac:dyDescent="0.2">
      <c r="J476"/>
      <c r="K476"/>
      <c r="L476"/>
      <c r="M476"/>
      <c r="N476" s="2"/>
      <c r="R476"/>
      <c r="S476"/>
      <c r="T476"/>
      <c r="U476"/>
      <c r="V476"/>
    </row>
    <row r="477" spans="10:22" s="1" customFormat="1" x14ac:dyDescent="0.2">
      <c r="J477"/>
      <c r="K477"/>
      <c r="L477"/>
      <c r="M477"/>
      <c r="N477" s="2"/>
      <c r="R477"/>
      <c r="S477"/>
      <c r="T477"/>
      <c r="U477"/>
      <c r="V477"/>
    </row>
    <row r="478" spans="10:22" s="1" customFormat="1" x14ac:dyDescent="0.2">
      <c r="J478"/>
      <c r="K478"/>
      <c r="L478"/>
      <c r="M478"/>
      <c r="N478" s="2"/>
      <c r="R478"/>
      <c r="S478"/>
      <c r="T478"/>
      <c r="U478"/>
      <c r="V478"/>
    </row>
    <row r="479" spans="10:22" s="1" customFormat="1" x14ac:dyDescent="0.2">
      <c r="J479"/>
      <c r="K479"/>
      <c r="L479"/>
      <c r="M479"/>
      <c r="N479" s="2"/>
      <c r="R479"/>
      <c r="S479"/>
      <c r="T479"/>
      <c r="U479"/>
      <c r="V479"/>
    </row>
    <row r="480" spans="10:22" s="1" customFormat="1" x14ac:dyDescent="0.2">
      <c r="J480"/>
      <c r="K480"/>
      <c r="L480"/>
      <c r="M480"/>
      <c r="N480" s="2"/>
      <c r="R480"/>
      <c r="S480"/>
      <c r="T480"/>
      <c r="U480"/>
      <c r="V480"/>
    </row>
    <row r="481" spans="10:22" s="1" customFormat="1" x14ac:dyDescent="0.2">
      <c r="J481"/>
      <c r="K481"/>
      <c r="L481"/>
      <c r="M481"/>
      <c r="N481" s="2"/>
      <c r="R481"/>
      <c r="S481"/>
      <c r="T481"/>
      <c r="U481"/>
      <c r="V481"/>
    </row>
    <row r="482" spans="10:22" s="1" customFormat="1" x14ac:dyDescent="0.2">
      <c r="J482"/>
      <c r="K482"/>
      <c r="L482"/>
      <c r="M482"/>
      <c r="N482" s="2"/>
      <c r="R482"/>
      <c r="S482"/>
      <c r="T482"/>
      <c r="U482"/>
      <c r="V482"/>
    </row>
    <row r="483" spans="10:22" s="1" customFormat="1" x14ac:dyDescent="0.2">
      <c r="J483"/>
      <c r="K483"/>
      <c r="L483"/>
      <c r="M483"/>
      <c r="N483" s="2"/>
      <c r="R483"/>
      <c r="S483"/>
      <c r="T483"/>
      <c r="U483"/>
      <c r="V483"/>
    </row>
    <row r="484" spans="10:22" s="1" customFormat="1" x14ac:dyDescent="0.2">
      <c r="J484"/>
      <c r="K484"/>
      <c r="L484"/>
      <c r="M484"/>
      <c r="N484" s="2"/>
      <c r="R484"/>
      <c r="S484"/>
      <c r="T484"/>
      <c r="U484"/>
      <c r="V484"/>
    </row>
    <row r="485" spans="10:22" s="1" customFormat="1" x14ac:dyDescent="0.2">
      <c r="J485"/>
      <c r="K485"/>
      <c r="L485"/>
      <c r="M485"/>
      <c r="N485" s="2"/>
      <c r="R485"/>
      <c r="S485"/>
      <c r="T485"/>
      <c r="U485"/>
      <c r="V485"/>
    </row>
    <row r="486" spans="10:22" s="1" customFormat="1" x14ac:dyDescent="0.2">
      <c r="J486"/>
      <c r="K486"/>
      <c r="L486"/>
      <c r="M486"/>
      <c r="N486" s="2"/>
      <c r="R486"/>
      <c r="S486"/>
      <c r="T486"/>
      <c r="U486"/>
      <c r="V486"/>
    </row>
    <row r="487" spans="10:22" s="1" customFormat="1" x14ac:dyDescent="0.2">
      <c r="J487"/>
      <c r="K487"/>
      <c r="L487"/>
      <c r="M487"/>
      <c r="N487" s="2"/>
      <c r="R487"/>
      <c r="S487"/>
      <c r="T487"/>
      <c r="U487"/>
      <c r="V487"/>
    </row>
    <row r="488" spans="10:22" s="1" customFormat="1" x14ac:dyDescent="0.2">
      <c r="J488"/>
      <c r="K488"/>
      <c r="L488"/>
      <c r="M488"/>
      <c r="N488" s="2"/>
      <c r="R488"/>
      <c r="S488"/>
      <c r="T488"/>
      <c r="U488"/>
      <c r="V488"/>
    </row>
    <row r="489" spans="10:22" s="1" customFormat="1" x14ac:dyDescent="0.2">
      <c r="J489"/>
      <c r="K489"/>
      <c r="L489"/>
      <c r="M489"/>
      <c r="N489" s="2"/>
      <c r="R489"/>
      <c r="S489"/>
      <c r="T489"/>
      <c r="U489"/>
      <c r="V489"/>
    </row>
    <row r="490" spans="10:22" s="1" customFormat="1" x14ac:dyDescent="0.2">
      <c r="J490"/>
      <c r="K490"/>
      <c r="L490"/>
      <c r="M490"/>
      <c r="N490" s="2"/>
      <c r="R490"/>
      <c r="S490"/>
      <c r="T490"/>
      <c r="U490"/>
      <c r="V490"/>
    </row>
    <row r="491" spans="10:22" s="1" customFormat="1" x14ac:dyDescent="0.2">
      <c r="J491"/>
      <c r="K491"/>
      <c r="L491"/>
      <c r="M491"/>
      <c r="N491" s="2"/>
      <c r="R491"/>
      <c r="S491"/>
      <c r="T491"/>
      <c r="U491"/>
      <c r="V491"/>
    </row>
    <row r="492" spans="10:22" s="1" customFormat="1" x14ac:dyDescent="0.2">
      <c r="J492"/>
      <c r="K492"/>
      <c r="L492"/>
      <c r="M492"/>
      <c r="N492" s="2"/>
      <c r="R492"/>
      <c r="S492"/>
      <c r="T492"/>
      <c r="U492"/>
      <c r="V492"/>
    </row>
    <row r="493" spans="10:22" s="1" customFormat="1" x14ac:dyDescent="0.2">
      <c r="J493"/>
      <c r="K493"/>
      <c r="L493"/>
      <c r="M493"/>
      <c r="N493" s="2"/>
      <c r="R493"/>
      <c r="S493"/>
      <c r="T493"/>
      <c r="U493"/>
      <c r="V493"/>
    </row>
    <row r="494" spans="10:22" s="1" customFormat="1" x14ac:dyDescent="0.2">
      <c r="J494"/>
      <c r="K494"/>
      <c r="L494"/>
      <c r="M494"/>
      <c r="N494" s="2"/>
      <c r="R494"/>
      <c r="S494"/>
      <c r="T494"/>
      <c r="U494"/>
      <c r="V494"/>
    </row>
    <row r="495" spans="10:22" s="1" customFormat="1" x14ac:dyDescent="0.2">
      <c r="J495"/>
      <c r="K495"/>
      <c r="L495"/>
      <c r="M495"/>
      <c r="N495" s="2"/>
      <c r="R495"/>
      <c r="S495"/>
      <c r="T495"/>
      <c r="U495"/>
      <c r="V495"/>
    </row>
    <row r="496" spans="10:22" s="1" customFormat="1" x14ac:dyDescent="0.2">
      <c r="J496"/>
      <c r="K496"/>
      <c r="L496"/>
      <c r="M496"/>
      <c r="N496" s="2"/>
      <c r="R496"/>
      <c r="S496"/>
      <c r="T496"/>
      <c r="U496"/>
      <c r="V496"/>
    </row>
    <row r="497" spans="10:22" s="1" customFormat="1" x14ac:dyDescent="0.2">
      <c r="J497"/>
      <c r="K497"/>
      <c r="L497"/>
      <c r="M497"/>
      <c r="N497" s="2"/>
      <c r="R497"/>
      <c r="S497"/>
      <c r="T497"/>
      <c r="U497"/>
      <c r="V497"/>
    </row>
    <row r="498" spans="10:22" s="1" customFormat="1" x14ac:dyDescent="0.2">
      <c r="J498"/>
      <c r="K498"/>
      <c r="L498"/>
      <c r="M498"/>
      <c r="N498" s="2"/>
      <c r="R498"/>
      <c r="S498"/>
      <c r="T498"/>
      <c r="U498"/>
      <c r="V498"/>
    </row>
    <row r="499" spans="10:22" s="1" customFormat="1" x14ac:dyDescent="0.2">
      <c r="J499"/>
      <c r="K499"/>
      <c r="L499"/>
      <c r="M499"/>
      <c r="N499" s="2"/>
      <c r="R499"/>
      <c r="S499"/>
      <c r="T499"/>
      <c r="U499"/>
      <c r="V499"/>
    </row>
    <row r="500" spans="10:22" s="1" customFormat="1" x14ac:dyDescent="0.2">
      <c r="J500"/>
      <c r="K500"/>
      <c r="L500"/>
      <c r="M500"/>
      <c r="N500" s="2"/>
      <c r="R500"/>
      <c r="S500"/>
      <c r="T500"/>
      <c r="U500"/>
      <c r="V500"/>
    </row>
    <row r="501" spans="10:22" s="1" customFormat="1" x14ac:dyDescent="0.2">
      <c r="J501"/>
      <c r="K501"/>
      <c r="L501"/>
      <c r="M501"/>
      <c r="N501" s="2"/>
      <c r="R501"/>
      <c r="S501"/>
      <c r="T501"/>
      <c r="U501"/>
      <c r="V501"/>
    </row>
    <row r="502" spans="10:22" s="1" customFormat="1" x14ac:dyDescent="0.2">
      <c r="J502"/>
      <c r="K502"/>
      <c r="L502"/>
      <c r="M502"/>
      <c r="N502" s="2"/>
      <c r="R502"/>
      <c r="S502"/>
      <c r="T502"/>
      <c r="U502"/>
      <c r="V502"/>
    </row>
    <row r="503" spans="10:22" s="1" customFormat="1" x14ac:dyDescent="0.2">
      <c r="J503"/>
      <c r="K503"/>
      <c r="L503"/>
      <c r="M503"/>
      <c r="N503" s="2"/>
      <c r="R503"/>
      <c r="S503"/>
      <c r="T503"/>
      <c r="U503"/>
      <c r="V503"/>
    </row>
    <row r="504" spans="10:22" s="1" customFormat="1" x14ac:dyDescent="0.2">
      <c r="J504"/>
      <c r="K504"/>
      <c r="L504"/>
      <c r="M504"/>
      <c r="N504" s="2"/>
      <c r="R504"/>
      <c r="S504"/>
      <c r="T504"/>
      <c r="U504"/>
      <c r="V504"/>
    </row>
    <row r="505" spans="10:22" s="1" customFormat="1" x14ac:dyDescent="0.2">
      <c r="J505"/>
      <c r="K505"/>
      <c r="L505"/>
      <c r="M505"/>
      <c r="N505" s="2"/>
      <c r="R505"/>
      <c r="S505"/>
      <c r="T505"/>
      <c r="U505"/>
      <c r="V505"/>
    </row>
    <row r="506" spans="10:22" s="1" customFormat="1" x14ac:dyDescent="0.2">
      <c r="J506"/>
      <c r="K506"/>
      <c r="L506"/>
      <c r="M506"/>
      <c r="N506" s="2"/>
      <c r="R506"/>
      <c r="S506"/>
      <c r="T506"/>
      <c r="U506"/>
      <c r="V506"/>
    </row>
    <row r="507" spans="10:22" s="1" customFormat="1" x14ac:dyDescent="0.2">
      <c r="J507"/>
      <c r="K507"/>
      <c r="L507"/>
      <c r="M507"/>
      <c r="N507" s="2"/>
      <c r="R507"/>
      <c r="S507"/>
      <c r="T507"/>
      <c r="U507"/>
      <c r="V507"/>
    </row>
    <row r="508" spans="10:22" s="1" customFormat="1" x14ac:dyDescent="0.2">
      <c r="J508"/>
      <c r="K508"/>
      <c r="L508"/>
      <c r="M508"/>
      <c r="N508" s="2"/>
      <c r="R508"/>
      <c r="S508"/>
      <c r="T508"/>
      <c r="U508"/>
      <c r="V508"/>
    </row>
    <row r="509" spans="10:22" s="1" customFormat="1" x14ac:dyDescent="0.2">
      <c r="J509"/>
      <c r="K509"/>
      <c r="L509"/>
      <c r="M509"/>
      <c r="N509" s="2"/>
      <c r="R509"/>
      <c r="S509"/>
      <c r="T509"/>
      <c r="U509"/>
      <c r="V509"/>
    </row>
    <row r="510" spans="10:22" s="1" customFormat="1" x14ac:dyDescent="0.2">
      <c r="J510"/>
      <c r="K510"/>
      <c r="L510"/>
      <c r="M510"/>
      <c r="N510" s="2"/>
      <c r="R510"/>
      <c r="S510"/>
      <c r="T510"/>
      <c r="U510"/>
      <c r="V510"/>
    </row>
    <row r="511" spans="10:22" s="1" customFormat="1" x14ac:dyDescent="0.2">
      <c r="J511"/>
      <c r="K511"/>
      <c r="L511"/>
      <c r="M511"/>
      <c r="N511" s="2"/>
      <c r="R511"/>
      <c r="S511"/>
      <c r="T511"/>
      <c r="U511"/>
      <c r="V511"/>
    </row>
    <row r="512" spans="10:22" s="1" customFormat="1" x14ac:dyDescent="0.2">
      <c r="J512"/>
      <c r="K512"/>
      <c r="L512"/>
      <c r="M512"/>
      <c r="N512" s="2"/>
      <c r="R512"/>
      <c r="S512"/>
      <c r="T512"/>
      <c r="U512"/>
      <c r="V512"/>
    </row>
    <row r="513" spans="10:22" s="1" customFormat="1" x14ac:dyDescent="0.2">
      <c r="J513"/>
      <c r="K513"/>
      <c r="L513"/>
      <c r="M513"/>
      <c r="N513" s="2"/>
      <c r="R513"/>
      <c r="S513"/>
      <c r="T513"/>
      <c r="U513"/>
      <c r="V513"/>
    </row>
    <row r="514" spans="10:22" s="1" customFormat="1" x14ac:dyDescent="0.2">
      <c r="J514"/>
      <c r="K514"/>
      <c r="L514"/>
      <c r="M514"/>
      <c r="N514" s="2"/>
      <c r="R514"/>
      <c r="S514"/>
      <c r="T514"/>
      <c r="U514"/>
      <c r="V514"/>
    </row>
    <row r="515" spans="10:22" s="1" customFormat="1" x14ac:dyDescent="0.2">
      <c r="J515"/>
      <c r="K515"/>
      <c r="L515"/>
      <c r="M515"/>
      <c r="N515" s="2"/>
      <c r="R515"/>
      <c r="S515"/>
      <c r="T515"/>
      <c r="U515"/>
      <c r="V515"/>
    </row>
    <row r="516" spans="10:22" s="1" customFormat="1" x14ac:dyDescent="0.2">
      <c r="J516"/>
      <c r="K516"/>
      <c r="L516"/>
      <c r="M516"/>
      <c r="N516" s="2"/>
      <c r="R516"/>
      <c r="S516"/>
      <c r="T516"/>
      <c r="U516"/>
      <c r="V516"/>
    </row>
    <row r="517" spans="10:22" s="1" customFormat="1" x14ac:dyDescent="0.2">
      <c r="J517"/>
      <c r="K517"/>
      <c r="L517"/>
      <c r="M517"/>
      <c r="N517" s="2"/>
      <c r="R517"/>
      <c r="S517"/>
      <c r="T517"/>
      <c r="U517"/>
      <c r="V517"/>
    </row>
    <row r="518" spans="10:22" s="1" customFormat="1" x14ac:dyDescent="0.2">
      <c r="J518"/>
      <c r="K518"/>
      <c r="L518"/>
      <c r="M518"/>
      <c r="N518" s="2"/>
      <c r="R518"/>
      <c r="S518"/>
      <c r="T518"/>
      <c r="U518"/>
      <c r="V518"/>
    </row>
    <row r="519" spans="10:22" s="1" customFormat="1" x14ac:dyDescent="0.2">
      <c r="J519"/>
      <c r="K519"/>
      <c r="L519"/>
      <c r="M519"/>
      <c r="N519" s="2"/>
      <c r="R519"/>
      <c r="S519"/>
      <c r="T519"/>
      <c r="U519"/>
      <c r="V519"/>
    </row>
    <row r="520" spans="10:22" s="1" customFormat="1" x14ac:dyDescent="0.2">
      <c r="J520"/>
      <c r="K520"/>
      <c r="L520"/>
      <c r="M520"/>
      <c r="N520" s="2"/>
      <c r="R520"/>
      <c r="S520"/>
      <c r="T520"/>
      <c r="U520"/>
      <c r="V520"/>
    </row>
    <row r="521" spans="10:22" s="1" customFormat="1" x14ac:dyDescent="0.2">
      <c r="J521"/>
      <c r="K521"/>
      <c r="L521"/>
      <c r="M521"/>
      <c r="N521" s="2"/>
      <c r="R521"/>
      <c r="S521"/>
      <c r="T521"/>
      <c r="U521"/>
      <c r="V521"/>
    </row>
    <row r="522" spans="10:22" s="1" customFormat="1" x14ac:dyDescent="0.2">
      <c r="J522"/>
      <c r="K522"/>
      <c r="L522"/>
      <c r="M522"/>
      <c r="N522" s="2"/>
      <c r="R522"/>
      <c r="S522"/>
      <c r="T522"/>
      <c r="U522"/>
      <c r="V522"/>
    </row>
    <row r="523" spans="10:22" s="1" customFormat="1" x14ac:dyDescent="0.2">
      <c r="J523"/>
      <c r="K523"/>
      <c r="L523"/>
      <c r="M523"/>
      <c r="N523" s="2"/>
      <c r="R523"/>
      <c r="S523"/>
      <c r="T523"/>
      <c r="U523"/>
      <c r="V523"/>
    </row>
    <row r="524" spans="10:22" s="1" customFormat="1" x14ac:dyDescent="0.2">
      <c r="J524"/>
      <c r="K524"/>
      <c r="L524"/>
      <c r="M524"/>
      <c r="N524" s="2"/>
      <c r="R524"/>
      <c r="S524"/>
      <c r="T524"/>
      <c r="U524"/>
      <c r="V524"/>
    </row>
    <row r="525" spans="10:22" s="1" customFormat="1" x14ac:dyDescent="0.2">
      <c r="J525"/>
      <c r="K525"/>
      <c r="L525"/>
      <c r="M525"/>
      <c r="N525" s="2"/>
      <c r="R525"/>
      <c r="S525"/>
      <c r="T525"/>
      <c r="U525"/>
      <c r="V525"/>
    </row>
    <row r="526" spans="10:22" s="1" customFormat="1" x14ac:dyDescent="0.2">
      <c r="J526"/>
      <c r="K526"/>
      <c r="L526"/>
      <c r="M526"/>
      <c r="N526" s="2"/>
      <c r="R526"/>
      <c r="S526"/>
      <c r="T526"/>
      <c r="U526"/>
      <c r="V526"/>
    </row>
    <row r="527" spans="10:22" s="1" customFormat="1" x14ac:dyDescent="0.2">
      <c r="J527"/>
      <c r="K527"/>
      <c r="L527"/>
      <c r="M527"/>
      <c r="N527" s="2"/>
      <c r="R527"/>
      <c r="S527"/>
      <c r="T527"/>
      <c r="U527"/>
      <c r="V527"/>
    </row>
    <row r="528" spans="10:22" s="1" customFormat="1" x14ac:dyDescent="0.2">
      <c r="J528"/>
      <c r="K528"/>
      <c r="L528"/>
      <c r="M528"/>
      <c r="N528" s="2"/>
      <c r="R528"/>
      <c r="S528"/>
      <c r="T528"/>
      <c r="U528"/>
      <c r="V528"/>
    </row>
    <row r="529" spans="10:22" s="1" customFormat="1" x14ac:dyDescent="0.2">
      <c r="J529"/>
      <c r="K529"/>
      <c r="L529"/>
      <c r="M529"/>
      <c r="N529" s="2"/>
      <c r="R529"/>
      <c r="S529"/>
      <c r="T529"/>
      <c r="U529"/>
      <c r="V529"/>
    </row>
    <row r="530" spans="10:22" s="1" customFormat="1" x14ac:dyDescent="0.2">
      <c r="J530"/>
      <c r="K530"/>
      <c r="L530"/>
      <c r="M530"/>
      <c r="N530" s="2"/>
      <c r="R530"/>
      <c r="S530"/>
      <c r="T530"/>
      <c r="U530"/>
      <c r="V530"/>
    </row>
    <row r="531" spans="10:22" s="1" customFormat="1" x14ac:dyDescent="0.2">
      <c r="J531"/>
      <c r="K531"/>
      <c r="L531"/>
      <c r="M531"/>
      <c r="N531" s="2"/>
      <c r="R531"/>
      <c r="S531"/>
      <c r="T531"/>
      <c r="U531"/>
      <c r="V531"/>
    </row>
    <row r="532" spans="10:22" s="1" customFormat="1" x14ac:dyDescent="0.2">
      <c r="J532"/>
      <c r="K532"/>
      <c r="L532"/>
      <c r="M532"/>
      <c r="N532" s="2"/>
      <c r="R532"/>
      <c r="S532"/>
      <c r="T532"/>
      <c r="U532"/>
      <c r="V532"/>
    </row>
    <row r="533" spans="10:22" s="1" customFormat="1" x14ac:dyDescent="0.2">
      <c r="J533"/>
      <c r="K533"/>
      <c r="L533"/>
      <c r="M533"/>
      <c r="N533" s="2"/>
      <c r="R533"/>
      <c r="S533"/>
      <c r="T533"/>
      <c r="U533"/>
      <c r="V533"/>
    </row>
    <row r="534" spans="10:22" s="1" customFormat="1" x14ac:dyDescent="0.2">
      <c r="J534"/>
      <c r="K534"/>
      <c r="L534"/>
      <c r="M534"/>
      <c r="N534" s="2"/>
      <c r="R534"/>
      <c r="S534"/>
      <c r="T534"/>
      <c r="U534"/>
      <c r="V534"/>
    </row>
    <row r="535" spans="10:22" s="1" customFormat="1" x14ac:dyDescent="0.2">
      <c r="J535"/>
      <c r="K535"/>
      <c r="L535"/>
      <c r="M535"/>
      <c r="N535" s="2"/>
      <c r="R535"/>
      <c r="S535"/>
      <c r="T535"/>
      <c r="U535"/>
      <c r="V535"/>
    </row>
    <row r="536" spans="10:22" s="1" customFormat="1" x14ac:dyDescent="0.2">
      <c r="J536"/>
      <c r="K536"/>
      <c r="L536"/>
      <c r="M536"/>
      <c r="N536" s="2"/>
      <c r="R536"/>
      <c r="S536"/>
      <c r="T536"/>
      <c r="U536"/>
      <c r="V536"/>
    </row>
    <row r="537" spans="10:22" s="1" customFormat="1" x14ac:dyDescent="0.2">
      <c r="J537"/>
      <c r="K537"/>
      <c r="L537"/>
      <c r="M537"/>
      <c r="N537" s="2"/>
      <c r="R537"/>
      <c r="S537"/>
      <c r="T537"/>
      <c r="U537"/>
      <c r="V537"/>
    </row>
    <row r="538" spans="10:22" s="1" customFormat="1" x14ac:dyDescent="0.2">
      <c r="J538"/>
      <c r="K538"/>
      <c r="L538"/>
      <c r="M538"/>
      <c r="N538" s="2"/>
      <c r="R538"/>
      <c r="S538"/>
      <c r="T538"/>
      <c r="U538"/>
      <c r="V538"/>
    </row>
    <row r="539" spans="10:22" s="1" customFormat="1" x14ac:dyDescent="0.2">
      <c r="J539"/>
      <c r="K539"/>
      <c r="L539"/>
      <c r="M539"/>
      <c r="N539" s="2"/>
      <c r="R539"/>
      <c r="S539"/>
      <c r="T539"/>
      <c r="U539"/>
      <c r="V539"/>
    </row>
    <row r="540" spans="10:22" s="1" customFormat="1" x14ac:dyDescent="0.2">
      <c r="J540"/>
      <c r="K540"/>
      <c r="L540"/>
      <c r="M540"/>
      <c r="N540" s="2"/>
      <c r="R540"/>
      <c r="S540"/>
      <c r="T540"/>
      <c r="U540"/>
      <c r="V540"/>
    </row>
    <row r="541" spans="10:22" s="1" customFormat="1" x14ac:dyDescent="0.2">
      <c r="J541"/>
      <c r="K541"/>
      <c r="L541"/>
      <c r="M541"/>
      <c r="N541" s="2"/>
      <c r="R541"/>
      <c r="S541"/>
      <c r="T541"/>
      <c r="U541"/>
      <c r="V541"/>
    </row>
    <row r="542" spans="10:22" s="1" customFormat="1" x14ac:dyDescent="0.2">
      <c r="J542"/>
      <c r="K542"/>
      <c r="L542"/>
      <c r="M542"/>
      <c r="N542" s="2"/>
      <c r="R542"/>
      <c r="S542"/>
      <c r="T542"/>
      <c r="U542"/>
      <c r="V542"/>
    </row>
    <row r="543" spans="10:22" s="1" customFormat="1" x14ac:dyDescent="0.2">
      <c r="J543"/>
      <c r="K543"/>
      <c r="L543"/>
      <c r="M543"/>
      <c r="N543" s="2"/>
      <c r="R543"/>
      <c r="S543"/>
      <c r="T543"/>
      <c r="U543"/>
      <c r="V543"/>
    </row>
    <row r="544" spans="10:22" s="1" customFormat="1" x14ac:dyDescent="0.2">
      <c r="J544"/>
      <c r="K544"/>
      <c r="L544"/>
      <c r="M544"/>
      <c r="N544" s="2"/>
      <c r="R544"/>
      <c r="S544"/>
      <c r="T544"/>
      <c r="U544"/>
      <c r="V544"/>
    </row>
    <row r="545" spans="10:22" s="1" customFormat="1" x14ac:dyDescent="0.2">
      <c r="J545"/>
      <c r="K545"/>
      <c r="L545"/>
      <c r="M545"/>
      <c r="N545" s="2"/>
      <c r="R545"/>
      <c r="S545"/>
      <c r="T545"/>
      <c r="U545"/>
      <c r="V545"/>
    </row>
    <row r="546" spans="10:22" s="1" customFormat="1" x14ac:dyDescent="0.2">
      <c r="J546"/>
      <c r="K546"/>
      <c r="L546"/>
      <c r="M546"/>
      <c r="N546" s="2"/>
      <c r="R546"/>
      <c r="S546"/>
      <c r="T546"/>
      <c r="U546"/>
      <c r="V546"/>
    </row>
    <row r="547" spans="10:22" s="1" customFormat="1" x14ac:dyDescent="0.2">
      <c r="J547"/>
      <c r="K547"/>
      <c r="L547"/>
      <c r="M547"/>
      <c r="N547" s="2"/>
      <c r="R547"/>
      <c r="S547"/>
      <c r="T547"/>
      <c r="U547"/>
      <c r="V547"/>
    </row>
    <row r="548" spans="10:22" s="1" customFormat="1" x14ac:dyDescent="0.2">
      <c r="J548"/>
      <c r="K548"/>
      <c r="L548"/>
      <c r="M548"/>
      <c r="N548" s="2"/>
      <c r="R548"/>
      <c r="S548"/>
      <c r="T548"/>
      <c r="U548"/>
      <c r="V548"/>
    </row>
    <row r="549" spans="10:22" s="1" customFormat="1" x14ac:dyDescent="0.2">
      <c r="J549"/>
      <c r="K549"/>
      <c r="L549"/>
      <c r="M549"/>
      <c r="N549" s="2"/>
      <c r="R549"/>
      <c r="S549"/>
      <c r="T549"/>
      <c r="U549"/>
      <c r="V549"/>
    </row>
    <row r="550" spans="10:22" s="1" customFormat="1" x14ac:dyDescent="0.2">
      <c r="J550"/>
      <c r="K550"/>
      <c r="L550"/>
      <c r="M550"/>
      <c r="N550" s="2"/>
      <c r="R550"/>
      <c r="S550"/>
      <c r="T550"/>
      <c r="U550"/>
      <c r="V550"/>
    </row>
    <row r="551" spans="10:22" s="1" customFormat="1" x14ac:dyDescent="0.2">
      <c r="J551"/>
      <c r="K551"/>
      <c r="L551"/>
      <c r="M551"/>
      <c r="N551" s="2"/>
      <c r="R551"/>
      <c r="S551"/>
      <c r="T551"/>
      <c r="U551"/>
      <c r="V551"/>
    </row>
    <row r="552" spans="10:22" s="1" customFormat="1" x14ac:dyDescent="0.2">
      <c r="J552"/>
      <c r="K552"/>
      <c r="L552"/>
      <c r="M552"/>
      <c r="N552" s="2"/>
      <c r="R552"/>
      <c r="S552"/>
      <c r="T552"/>
      <c r="U552"/>
      <c r="V552"/>
    </row>
    <row r="553" spans="10:22" s="1" customFormat="1" x14ac:dyDescent="0.2">
      <c r="J553"/>
      <c r="K553"/>
      <c r="L553"/>
      <c r="M553"/>
      <c r="N553" s="2"/>
      <c r="R553"/>
      <c r="S553"/>
      <c r="T553"/>
      <c r="U553"/>
      <c r="V553"/>
    </row>
    <row r="554" spans="10:22" s="1" customFormat="1" x14ac:dyDescent="0.2">
      <c r="J554"/>
      <c r="K554"/>
      <c r="L554"/>
      <c r="M554"/>
      <c r="N554" s="2"/>
      <c r="R554"/>
      <c r="S554"/>
      <c r="T554"/>
      <c r="U554"/>
      <c r="V554"/>
    </row>
    <row r="555" spans="10:22" s="1" customFormat="1" x14ac:dyDescent="0.2">
      <c r="J555"/>
      <c r="K555"/>
      <c r="L555"/>
      <c r="M555"/>
      <c r="N555" s="2"/>
      <c r="R555"/>
      <c r="S555"/>
      <c r="T555"/>
      <c r="U555"/>
      <c r="V555"/>
    </row>
    <row r="556" spans="10:22" s="1" customFormat="1" x14ac:dyDescent="0.2">
      <c r="J556"/>
      <c r="K556"/>
      <c r="L556"/>
      <c r="M556"/>
      <c r="N556" s="2"/>
      <c r="R556"/>
      <c r="S556"/>
      <c r="T556"/>
      <c r="U556"/>
      <c r="V556"/>
    </row>
    <row r="557" spans="10:22" s="1" customFormat="1" x14ac:dyDescent="0.2">
      <c r="J557"/>
      <c r="K557"/>
      <c r="L557"/>
      <c r="M557"/>
      <c r="N557" s="2"/>
      <c r="R557"/>
      <c r="S557"/>
      <c r="T557"/>
      <c r="U557"/>
      <c r="V557"/>
    </row>
    <row r="558" spans="10:22" s="1" customFormat="1" x14ac:dyDescent="0.2">
      <c r="J558"/>
      <c r="K558"/>
      <c r="L558"/>
      <c r="M558"/>
      <c r="N558" s="2"/>
      <c r="R558"/>
      <c r="S558"/>
      <c r="T558"/>
      <c r="U558"/>
      <c r="V558"/>
    </row>
    <row r="559" spans="10:22" s="1" customFormat="1" x14ac:dyDescent="0.2">
      <c r="J559"/>
      <c r="K559"/>
      <c r="L559"/>
      <c r="M559"/>
      <c r="N559" s="2"/>
      <c r="R559"/>
      <c r="S559"/>
      <c r="T559"/>
      <c r="U559"/>
      <c r="V559"/>
    </row>
    <row r="560" spans="10:22" s="1" customFormat="1" x14ac:dyDescent="0.2">
      <c r="J560"/>
      <c r="K560"/>
      <c r="L560"/>
      <c r="M560"/>
      <c r="N560" s="2"/>
      <c r="R560"/>
      <c r="S560"/>
      <c r="T560"/>
      <c r="U560"/>
      <c r="V560"/>
    </row>
    <row r="561" spans="10:22" s="1" customFormat="1" x14ac:dyDescent="0.2">
      <c r="J561"/>
      <c r="K561"/>
      <c r="L561"/>
      <c r="M561"/>
      <c r="N561" s="2"/>
      <c r="R561"/>
      <c r="S561"/>
      <c r="T561"/>
      <c r="U561"/>
      <c r="V561"/>
    </row>
    <row r="562" spans="10:22" s="1" customFormat="1" x14ac:dyDescent="0.2">
      <c r="J562"/>
      <c r="K562"/>
      <c r="L562"/>
      <c r="M562"/>
      <c r="N562" s="2"/>
      <c r="R562"/>
      <c r="S562"/>
      <c r="T562"/>
      <c r="U562"/>
      <c r="V562"/>
    </row>
    <row r="563" spans="10:22" s="1" customFormat="1" x14ac:dyDescent="0.2">
      <c r="J563"/>
      <c r="K563"/>
      <c r="L563"/>
      <c r="M563"/>
      <c r="N563" s="2"/>
      <c r="R563"/>
      <c r="S563"/>
      <c r="T563"/>
      <c r="U563"/>
      <c r="V563"/>
    </row>
    <row r="564" spans="10:22" s="1" customFormat="1" x14ac:dyDescent="0.2">
      <c r="J564"/>
      <c r="K564"/>
      <c r="L564"/>
      <c r="M564"/>
      <c r="N564" s="2"/>
      <c r="R564"/>
      <c r="S564"/>
      <c r="T564"/>
      <c r="U564"/>
      <c r="V564"/>
    </row>
    <row r="565" spans="10:22" s="1" customFormat="1" x14ac:dyDescent="0.2">
      <c r="J565"/>
      <c r="K565"/>
      <c r="L565"/>
      <c r="M565"/>
      <c r="N565" s="2"/>
      <c r="R565"/>
      <c r="S565"/>
      <c r="T565"/>
      <c r="U565"/>
      <c r="V565"/>
    </row>
    <row r="566" spans="10:22" s="1" customFormat="1" x14ac:dyDescent="0.2">
      <c r="J566"/>
      <c r="K566"/>
      <c r="L566"/>
      <c r="M566"/>
      <c r="N566" s="2"/>
      <c r="R566"/>
      <c r="S566"/>
      <c r="T566"/>
      <c r="U566"/>
      <c r="V566"/>
    </row>
    <row r="567" spans="10:22" s="1" customFormat="1" x14ac:dyDescent="0.2">
      <c r="J567"/>
      <c r="K567"/>
      <c r="L567"/>
      <c r="M567"/>
      <c r="N567" s="2"/>
      <c r="R567"/>
      <c r="S567"/>
      <c r="T567"/>
      <c r="U567"/>
      <c r="V567"/>
    </row>
    <row r="568" spans="10:22" s="1" customFormat="1" x14ac:dyDescent="0.2">
      <c r="J568"/>
      <c r="K568"/>
      <c r="L568"/>
      <c r="M568"/>
      <c r="N568" s="2"/>
      <c r="R568"/>
      <c r="S568"/>
      <c r="T568"/>
      <c r="U568"/>
      <c r="V568"/>
    </row>
    <row r="569" spans="10:22" s="1" customFormat="1" x14ac:dyDescent="0.2">
      <c r="J569"/>
      <c r="K569"/>
      <c r="L569"/>
      <c r="M569"/>
      <c r="N569" s="2"/>
      <c r="R569"/>
      <c r="S569"/>
      <c r="T569"/>
      <c r="U569"/>
      <c r="V569"/>
    </row>
    <row r="570" spans="10:22" s="1" customFormat="1" x14ac:dyDescent="0.2">
      <c r="J570"/>
      <c r="K570"/>
      <c r="L570"/>
      <c r="M570"/>
      <c r="N570" s="2"/>
      <c r="R570"/>
      <c r="S570"/>
      <c r="T570"/>
      <c r="U570"/>
      <c r="V570"/>
    </row>
    <row r="571" spans="10:22" s="1" customFormat="1" x14ac:dyDescent="0.2">
      <c r="J571"/>
      <c r="K571"/>
      <c r="L571"/>
      <c r="M571"/>
      <c r="N571" s="2"/>
      <c r="R571"/>
      <c r="S571"/>
      <c r="T571"/>
      <c r="U571"/>
      <c r="V571"/>
    </row>
    <row r="572" spans="10:22" s="1" customFormat="1" x14ac:dyDescent="0.2">
      <c r="J572"/>
      <c r="K572"/>
      <c r="L572"/>
      <c r="M572"/>
      <c r="N572" s="2"/>
      <c r="R572"/>
      <c r="S572"/>
      <c r="T572"/>
      <c r="U572"/>
      <c r="V572"/>
    </row>
    <row r="573" spans="10:22" s="1" customFormat="1" x14ac:dyDescent="0.2">
      <c r="J573"/>
      <c r="K573"/>
      <c r="L573"/>
      <c r="M573"/>
      <c r="N573" s="2"/>
      <c r="R573"/>
      <c r="S573"/>
      <c r="T573"/>
      <c r="U573"/>
      <c r="V573"/>
    </row>
    <row r="574" spans="10:22" s="1" customFormat="1" x14ac:dyDescent="0.2">
      <c r="J574"/>
      <c r="K574"/>
      <c r="L574"/>
      <c r="M574"/>
      <c r="N574" s="2"/>
      <c r="R574"/>
      <c r="S574"/>
      <c r="T574"/>
      <c r="U574"/>
      <c r="V574"/>
    </row>
    <row r="575" spans="10:22" s="1" customFormat="1" x14ac:dyDescent="0.2">
      <c r="J575"/>
      <c r="K575"/>
      <c r="L575"/>
      <c r="M575"/>
      <c r="N575" s="2"/>
      <c r="R575"/>
      <c r="S575"/>
      <c r="T575"/>
      <c r="U575"/>
      <c r="V575"/>
    </row>
    <row r="576" spans="10:22" s="1" customFormat="1" x14ac:dyDescent="0.2">
      <c r="J576"/>
      <c r="K576"/>
      <c r="L576"/>
      <c r="M576"/>
      <c r="N576" s="2"/>
      <c r="R576"/>
      <c r="S576"/>
      <c r="T576"/>
      <c r="U576"/>
      <c r="V576"/>
    </row>
    <row r="577" spans="10:22" s="1" customFormat="1" x14ac:dyDescent="0.2">
      <c r="J577"/>
      <c r="K577"/>
      <c r="L577"/>
      <c r="M577"/>
      <c r="N577" s="2"/>
      <c r="R577"/>
      <c r="S577"/>
      <c r="T577"/>
      <c r="U577"/>
      <c r="V577"/>
    </row>
    <row r="578" spans="10:22" s="1" customFormat="1" x14ac:dyDescent="0.2">
      <c r="J578"/>
      <c r="K578"/>
      <c r="L578"/>
      <c r="M578"/>
      <c r="N578" s="2"/>
      <c r="R578"/>
      <c r="S578"/>
      <c r="T578"/>
      <c r="U578"/>
      <c r="V578"/>
    </row>
    <row r="579" spans="10:22" s="1" customFormat="1" x14ac:dyDescent="0.2">
      <c r="J579"/>
      <c r="K579"/>
      <c r="L579"/>
      <c r="M579"/>
      <c r="N579" s="2"/>
      <c r="R579"/>
      <c r="S579"/>
      <c r="T579"/>
      <c r="U579"/>
      <c r="V579"/>
    </row>
    <row r="580" spans="10:22" s="1" customFormat="1" x14ac:dyDescent="0.2">
      <c r="J580"/>
      <c r="K580"/>
      <c r="L580"/>
      <c r="M580"/>
      <c r="N580" s="2"/>
      <c r="R580"/>
      <c r="S580"/>
      <c r="T580"/>
      <c r="U580"/>
      <c r="V580"/>
    </row>
    <row r="581" spans="10:22" s="1" customFormat="1" x14ac:dyDescent="0.2">
      <c r="J581"/>
      <c r="K581"/>
      <c r="L581"/>
      <c r="M581"/>
      <c r="N581" s="2"/>
      <c r="R581"/>
      <c r="S581"/>
      <c r="T581"/>
      <c r="U581"/>
      <c r="V581"/>
    </row>
    <row r="582" spans="10:22" s="1" customFormat="1" x14ac:dyDescent="0.2">
      <c r="J582"/>
      <c r="K582"/>
      <c r="L582"/>
      <c r="M582"/>
      <c r="N582" s="2"/>
      <c r="R582"/>
      <c r="S582"/>
      <c r="T582"/>
      <c r="U582"/>
      <c r="V582"/>
    </row>
    <row r="583" spans="10:22" s="1" customFormat="1" x14ac:dyDescent="0.2">
      <c r="J583"/>
      <c r="K583"/>
      <c r="L583"/>
      <c r="M583"/>
      <c r="N583" s="2"/>
      <c r="R583"/>
      <c r="S583"/>
      <c r="T583"/>
      <c r="U583"/>
      <c r="V583"/>
    </row>
    <row r="584" spans="10:22" s="1" customFormat="1" x14ac:dyDescent="0.2">
      <c r="J584"/>
      <c r="K584"/>
      <c r="L584"/>
      <c r="M584"/>
      <c r="N584" s="2"/>
      <c r="R584"/>
      <c r="S584"/>
      <c r="T584"/>
      <c r="U584"/>
      <c r="V584"/>
    </row>
    <row r="585" spans="10:22" s="1" customFormat="1" x14ac:dyDescent="0.2">
      <c r="J585"/>
      <c r="K585"/>
      <c r="L585"/>
      <c r="M585"/>
      <c r="N585" s="2"/>
      <c r="R585"/>
      <c r="S585"/>
      <c r="T585"/>
      <c r="U585"/>
      <c r="V585"/>
    </row>
    <row r="586" spans="10:22" s="1" customFormat="1" x14ac:dyDescent="0.2">
      <c r="J586"/>
      <c r="K586"/>
      <c r="L586"/>
      <c r="M586"/>
      <c r="N586" s="2"/>
      <c r="R586"/>
      <c r="S586"/>
      <c r="T586"/>
      <c r="U586"/>
      <c r="V586"/>
    </row>
    <row r="587" spans="10:22" s="1" customFormat="1" x14ac:dyDescent="0.2">
      <c r="J587"/>
      <c r="K587"/>
      <c r="L587"/>
      <c r="M587"/>
      <c r="N587" s="2"/>
      <c r="R587"/>
      <c r="S587"/>
      <c r="T587"/>
      <c r="U587"/>
      <c r="V587"/>
    </row>
    <row r="588" spans="10:22" s="1" customFormat="1" x14ac:dyDescent="0.2">
      <c r="J588"/>
      <c r="K588"/>
      <c r="L588"/>
      <c r="M588"/>
      <c r="N588" s="2"/>
      <c r="R588"/>
      <c r="S588"/>
      <c r="T588"/>
      <c r="U588"/>
      <c r="V588"/>
    </row>
    <row r="589" spans="10:22" s="1" customFormat="1" x14ac:dyDescent="0.2">
      <c r="J589"/>
      <c r="K589"/>
      <c r="L589"/>
      <c r="M589"/>
      <c r="N589" s="2"/>
      <c r="R589"/>
      <c r="S589"/>
      <c r="T589"/>
      <c r="U589"/>
      <c r="V589"/>
    </row>
    <row r="590" spans="10:22" s="1" customFormat="1" x14ac:dyDescent="0.2">
      <c r="J590"/>
      <c r="K590"/>
      <c r="L590"/>
      <c r="M590"/>
      <c r="N590" s="2"/>
      <c r="R590"/>
      <c r="S590"/>
      <c r="T590"/>
      <c r="U590"/>
      <c r="V590"/>
    </row>
    <row r="591" spans="10:22" s="1" customFormat="1" x14ac:dyDescent="0.2">
      <c r="J591"/>
      <c r="K591"/>
      <c r="L591"/>
      <c r="M591"/>
      <c r="N591" s="2"/>
      <c r="R591"/>
      <c r="S591"/>
      <c r="T591"/>
      <c r="U591"/>
      <c r="V591"/>
    </row>
    <row r="592" spans="10:22" s="1" customFormat="1" x14ac:dyDescent="0.2">
      <c r="J592"/>
      <c r="K592"/>
      <c r="L592"/>
      <c r="M592"/>
      <c r="N592" s="2"/>
      <c r="R592"/>
      <c r="S592"/>
      <c r="T592"/>
      <c r="U592"/>
      <c r="V592"/>
    </row>
    <row r="593" spans="10:22" s="1" customFormat="1" x14ac:dyDescent="0.2">
      <c r="J593"/>
      <c r="K593"/>
      <c r="L593"/>
      <c r="M593"/>
      <c r="N593" s="2"/>
      <c r="R593"/>
      <c r="S593"/>
      <c r="T593"/>
      <c r="U593"/>
      <c r="V593"/>
    </row>
    <row r="594" spans="10:22" s="1" customFormat="1" x14ac:dyDescent="0.2">
      <c r="J594"/>
      <c r="K594"/>
      <c r="L594"/>
      <c r="M594"/>
      <c r="N594" s="2"/>
      <c r="R594"/>
      <c r="S594"/>
      <c r="T594"/>
      <c r="U594"/>
      <c r="V594"/>
    </row>
    <row r="595" spans="10:22" s="1" customFormat="1" x14ac:dyDescent="0.2">
      <c r="J595"/>
      <c r="K595"/>
      <c r="L595"/>
      <c r="M595"/>
      <c r="N595" s="2"/>
      <c r="R595"/>
      <c r="S595"/>
      <c r="T595"/>
      <c r="U595"/>
      <c r="V595"/>
    </row>
    <row r="596" spans="10:22" s="1" customFormat="1" x14ac:dyDescent="0.2">
      <c r="J596"/>
      <c r="K596"/>
      <c r="L596"/>
      <c r="M596"/>
      <c r="N596" s="2"/>
      <c r="R596"/>
      <c r="S596"/>
      <c r="T596"/>
      <c r="U596"/>
      <c r="V596"/>
    </row>
    <row r="597" spans="10:22" s="1" customFormat="1" x14ac:dyDescent="0.2">
      <c r="J597"/>
      <c r="K597"/>
      <c r="L597"/>
      <c r="M597"/>
      <c r="N597" s="2"/>
      <c r="R597"/>
      <c r="S597"/>
      <c r="T597"/>
      <c r="U597"/>
      <c r="V597"/>
    </row>
    <row r="598" spans="10:22" s="1" customFormat="1" x14ac:dyDescent="0.2">
      <c r="J598"/>
      <c r="K598"/>
      <c r="L598"/>
      <c r="M598"/>
      <c r="N598" s="2"/>
      <c r="R598"/>
      <c r="S598"/>
      <c r="T598"/>
      <c r="U598"/>
      <c r="V598"/>
    </row>
    <row r="599" spans="10:22" s="1" customFormat="1" x14ac:dyDescent="0.2">
      <c r="J599"/>
      <c r="K599"/>
      <c r="L599"/>
      <c r="M599"/>
      <c r="N599" s="2"/>
      <c r="R599"/>
      <c r="S599"/>
      <c r="T599"/>
      <c r="U599"/>
      <c r="V599"/>
    </row>
    <row r="600" spans="10:22" s="1" customFormat="1" x14ac:dyDescent="0.2">
      <c r="J600"/>
      <c r="K600"/>
      <c r="L600"/>
      <c r="M600"/>
      <c r="N600" s="2"/>
      <c r="R600"/>
      <c r="S600"/>
      <c r="T600"/>
      <c r="U600"/>
      <c r="V600"/>
    </row>
    <row r="601" spans="10:22" s="1" customFormat="1" x14ac:dyDescent="0.2">
      <c r="J601"/>
      <c r="K601"/>
      <c r="L601"/>
      <c r="M601"/>
      <c r="N601" s="2"/>
      <c r="R601"/>
      <c r="S601"/>
      <c r="T601"/>
      <c r="U601"/>
      <c r="V601"/>
    </row>
    <row r="602" spans="10:22" s="1" customFormat="1" x14ac:dyDescent="0.2">
      <c r="J602"/>
      <c r="K602"/>
      <c r="L602"/>
      <c r="M602"/>
      <c r="N602" s="2"/>
      <c r="R602"/>
      <c r="S602"/>
      <c r="T602"/>
      <c r="U602"/>
      <c r="V602"/>
    </row>
    <row r="603" spans="10:22" s="1" customFormat="1" x14ac:dyDescent="0.2">
      <c r="J603"/>
      <c r="K603"/>
      <c r="L603"/>
      <c r="M603"/>
      <c r="N603" s="2"/>
      <c r="R603"/>
      <c r="S603"/>
      <c r="T603"/>
      <c r="U603"/>
      <c r="V603"/>
    </row>
    <row r="604" spans="10:22" s="1" customFormat="1" x14ac:dyDescent="0.2">
      <c r="J604"/>
      <c r="K604"/>
      <c r="L604"/>
      <c r="M604"/>
      <c r="N604" s="2"/>
      <c r="R604"/>
      <c r="S604"/>
      <c r="T604"/>
      <c r="U604"/>
      <c r="V604"/>
    </row>
    <row r="605" spans="10:22" s="1" customFormat="1" x14ac:dyDescent="0.2">
      <c r="J605"/>
      <c r="K605"/>
      <c r="L605"/>
      <c r="M605"/>
      <c r="N605" s="2"/>
      <c r="R605"/>
      <c r="S605"/>
      <c r="T605"/>
      <c r="U605"/>
      <c r="V605"/>
    </row>
    <row r="606" spans="10:22" s="1" customFormat="1" x14ac:dyDescent="0.2">
      <c r="J606"/>
      <c r="K606"/>
      <c r="L606"/>
      <c r="M606"/>
      <c r="N606" s="2"/>
      <c r="R606"/>
      <c r="S606"/>
      <c r="T606"/>
      <c r="U606"/>
      <c r="V606"/>
    </row>
    <row r="607" spans="10:22" s="1" customFormat="1" x14ac:dyDescent="0.2">
      <c r="J607"/>
      <c r="K607"/>
      <c r="L607"/>
      <c r="M607"/>
      <c r="N607" s="2"/>
      <c r="R607"/>
      <c r="S607"/>
      <c r="T607"/>
      <c r="U607"/>
      <c r="V607"/>
    </row>
    <row r="608" spans="10:22" s="1" customFormat="1" x14ac:dyDescent="0.2">
      <c r="J608"/>
      <c r="K608"/>
      <c r="L608"/>
      <c r="M608"/>
      <c r="N608" s="2"/>
      <c r="R608"/>
      <c r="S608"/>
      <c r="T608"/>
      <c r="U608"/>
      <c r="V608"/>
    </row>
    <row r="609" spans="10:22" s="1" customFormat="1" x14ac:dyDescent="0.2">
      <c r="J609"/>
      <c r="K609"/>
      <c r="L609"/>
      <c r="M609"/>
      <c r="N609" s="2"/>
      <c r="R609"/>
      <c r="S609"/>
      <c r="T609"/>
      <c r="U609"/>
      <c r="V609"/>
    </row>
    <row r="610" spans="10:22" s="1" customFormat="1" x14ac:dyDescent="0.2">
      <c r="J610"/>
      <c r="K610"/>
      <c r="L610"/>
      <c r="M610"/>
      <c r="N610" s="2"/>
      <c r="R610"/>
      <c r="S610"/>
      <c r="T610"/>
      <c r="U610"/>
      <c r="V610"/>
    </row>
    <row r="611" spans="10:22" s="1" customFormat="1" x14ac:dyDescent="0.2">
      <c r="J611"/>
      <c r="K611"/>
      <c r="L611"/>
      <c r="M611"/>
      <c r="N611" s="2"/>
      <c r="R611"/>
      <c r="S611"/>
      <c r="T611"/>
      <c r="U611"/>
      <c r="V611"/>
    </row>
    <row r="612" spans="10:22" s="1" customFormat="1" x14ac:dyDescent="0.2">
      <c r="J612"/>
      <c r="K612"/>
      <c r="L612"/>
      <c r="M612"/>
      <c r="N612" s="2"/>
      <c r="R612"/>
      <c r="S612"/>
      <c r="T612"/>
      <c r="U612"/>
      <c r="V612"/>
    </row>
    <row r="613" spans="10:22" s="1" customFormat="1" x14ac:dyDescent="0.2">
      <c r="J613"/>
      <c r="K613"/>
      <c r="L613"/>
      <c r="M613"/>
      <c r="N613" s="2"/>
      <c r="R613"/>
      <c r="S613"/>
      <c r="T613"/>
      <c r="U613"/>
      <c r="V613"/>
    </row>
    <row r="614" spans="10:22" s="1" customFormat="1" x14ac:dyDescent="0.2">
      <c r="J614"/>
      <c r="K614"/>
      <c r="L614"/>
      <c r="M614"/>
      <c r="N614" s="2"/>
      <c r="R614"/>
      <c r="S614"/>
      <c r="T614"/>
      <c r="U614"/>
      <c r="V614"/>
    </row>
    <row r="615" spans="10:22" s="1" customFormat="1" x14ac:dyDescent="0.2">
      <c r="J615"/>
      <c r="K615"/>
      <c r="L615"/>
      <c r="M615"/>
      <c r="N615" s="2"/>
      <c r="R615"/>
      <c r="S615"/>
      <c r="T615"/>
      <c r="U615"/>
      <c r="V615"/>
    </row>
    <row r="616" spans="10:22" s="1" customFormat="1" x14ac:dyDescent="0.2">
      <c r="J616"/>
      <c r="K616"/>
      <c r="L616"/>
      <c r="M616"/>
      <c r="N616" s="2"/>
      <c r="R616"/>
      <c r="S616"/>
      <c r="T616"/>
      <c r="U616"/>
      <c r="V616"/>
    </row>
    <row r="617" spans="10:22" s="1" customFormat="1" x14ac:dyDescent="0.2">
      <c r="J617"/>
      <c r="K617"/>
      <c r="L617"/>
      <c r="M617"/>
      <c r="N617" s="2"/>
      <c r="R617"/>
      <c r="S617"/>
      <c r="T617"/>
      <c r="U617"/>
      <c r="V617"/>
    </row>
    <row r="618" spans="10:22" s="1" customFormat="1" x14ac:dyDescent="0.2">
      <c r="J618"/>
      <c r="K618"/>
      <c r="L618"/>
      <c r="M618"/>
      <c r="N618" s="2"/>
      <c r="R618"/>
      <c r="S618"/>
      <c r="T618"/>
      <c r="U618"/>
      <c r="V618"/>
    </row>
    <row r="619" spans="10:22" s="1" customFormat="1" x14ac:dyDescent="0.2">
      <c r="J619"/>
      <c r="K619"/>
      <c r="L619"/>
      <c r="M619"/>
      <c r="N619" s="2"/>
      <c r="R619"/>
      <c r="S619"/>
      <c r="T619"/>
      <c r="U619"/>
      <c r="V619"/>
    </row>
    <row r="620" spans="10:22" s="1" customFormat="1" x14ac:dyDescent="0.2">
      <c r="J620"/>
      <c r="K620"/>
      <c r="L620"/>
      <c r="M620"/>
      <c r="N620" s="2"/>
      <c r="R620"/>
      <c r="S620"/>
      <c r="T620"/>
      <c r="U620"/>
      <c r="V620"/>
    </row>
    <row r="621" spans="10:22" s="1" customFormat="1" x14ac:dyDescent="0.2">
      <c r="J621"/>
      <c r="K621"/>
      <c r="L621"/>
      <c r="M621"/>
      <c r="N621" s="2"/>
      <c r="R621"/>
      <c r="S621"/>
      <c r="T621"/>
      <c r="U621"/>
      <c r="V621"/>
    </row>
    <row r="622" spans="10:22" s="1" customFormat="1" x14ac:dyDescent="0.2">
      <c r="J622"/>
      <c r="K622"/>
      <c r="L622"/>
      <c r="M622"/>
      <c r="N622" s="2"/>
      <c r="R622"/>
      <c r="S622"/>
      <c r="T622"/>
      <c r="U622"/>
      <c r="V622"/>
    </row>
    <row r="623" spans="10:22" s="1" customFormat="1" x14ac:dyDescent="0.2">
      <c r="J623"/>
      <c r="K623"/>
      <c r="L623"/>
      <c r="M623"/>
      <c r="N623" s="2"/>
      <c r="R623"/>
      <c r="S623"/>
      <c r="T623"/>
      <c r="U623"/>
      <c r="V623"/>
    </row>
    <row r="624" spans="10:22" s="1" customFormat="1" x14ac:dyDescent="0.2">
      <c r="J624"/>
      <c r="K624"/>
      <c r="L624"/>
      <c r="M624"/>
      <c r="N624" s="2"/>
      <c r="R624"/>
      <c r="S624"/>
      <c r="T624"/>
      <c r="U624"/>
      <c r="V624"/>
    </row>
    <row r="625" spans="10:22" s="1" customFormat="1" x14ac:dyDescent="0.2">
      <c r="J625"/>
      <c r="K625"/>
      <c r="L625"/>
      <c r="M625"/>
      <c r="N625" s="2"/>
      <c r="R625"/>
      <c r="S625"/>
      <c r="T625"/>
      <c r="U625"/>
      <c r="V625"/>
    </row>
    <row r="626" spans="10:22" s="1" customFormat="1" x14ac:dyDescent="0.2">
      <c r="J626"/>
      <c r="K626"/>
      <c r="L626"/>
      <c r="M626"/>
      <c r="N626" s="2"/>
      <c r="R626"/>
      <c r="S626"/>
      <c r="T626"/>
      <c r="U626"/>
      <c r="V626"/>
    </row>
    <row r="627" spans="10:22" s="1" customFormat="1" x14ac:dyDescent="0.2">
      <c r="J627"/>
      <c r="K627"/>
      <c r="L627"/>
      <c r="M627"/>
      <c r="N627" s="2"/>
      <c r="R627"/>
      <c r="S627"/>
      <c r="T627"/>
      <c r="U627"/>
      <c r="V627"/>
    </row>
    <row r="628" spans="10:22" s="1" customFormat="1" x14ac:dyDescent="0.2">
      <c r="J628"/>
      <c r="K628"/>
      <c r="L628"/>
      <c r="M628"/>
      <c r="N628" s="2"/>
      <c r="R628"/>
      <c r="S628"/>
      <c r="T628"/>
      <c r="U628"/>
      <c r="V628"/>
    </row>
    <row r="629" spans="10:22" s="1" customFormat="1" x14ac:dyDescent="0.2">
      <c r="J629"/>
      <c r="K629"/>
      <c r="L629"/>
      <c r="M629"/>
      <c r="N629" s="2"/>
      <c r="R629"/>
      <c r="S629"/>
      <c r="T629"/>
      <c r="U629"/>
      <c r="V629"/>
    </row>
    <row r="630" spans="10:22" s="1" customFormat="1" x14ac:dyDescent="0.2">
      <c r="J630"/>
      <c r="K630"/>
      <c r="L630"/>
      <c r="M630"/>
      <c r="N630" s="2"/>
      <c r="R630"/>
      <c r="S630"/>
      <c r="T630"/>
      <c r="U630"/>
      <c r="V630"/>
    </row>
    <row r="631" spans="10:22" s="1" customFormat="1" x14ac:dyDescent="0.2">
      <c r="J631"/>
      <c r="K631"/>
      <c r="L631"/>
      <c r="M631"/>
      <c r="N631" s="2"/>
      <c r="R631"/>
      <c r="S631"/>
      <c r="T631"/>
      <c r="U631"/>
      <c r="V631"/>
    </row>
    <row r="632" spans="10:22" s="1" customFormat="1" x14ac:dyDescent="0.2">
      <c r="J632"/>
      <c r="K632"/>
      <c r="L632"/>
      <c r="M632"/>
      <c r="N632" s="2"/>
      <c r="R632"/>
      <c r="S632"/>
      <c r="T632"/>
      <c r="U632"/>
      <c r="V632"/>
    </row>
    <row r="633" spans="10:22" s="1" customFormat="1" x14ac:dyDescent="0.2">
      <c r="J633"/>
      <c r="K633"/>
      <c r="L633"/>
      <c r="M633"/>
      <c r="N633" s="2"/>
      <c r="R633"/>
      <c r="S633"/>
      <c r="T633"/>
      <c r="U633"/>
      <c r="V633"/>
    </row>
    <row r="634" spans="10:22" s="1" customFormat="1" x14ac:dyDescent="0.2">
      <c r="J634"/>
      <c r="K634"/>
      <c r="L634"/>
      <c r="M634"/>
      <c r="N634" s="2"/>
      <c r="R634"/>
      <c r="S634"/>
      <c r="T634"/>
      <c r="U634"/>
      <c r="V634"/>
    </row>
    <row r="635" spans="10:22" s="1" customFormat="1" x14ac:dyDescent="0.2">
      <c r="J635"/>
      <c r="K635"/>
      <c r="L635"/>
      <c r="M635"/>
      <c r="N635" s="2"/>
      <c r="R635"/>
      <c r="S635"/>
      <c r="T635"/>
      <c r="U635"/>
      <c r="V635"/>
    </row>
    <row r="636" spans="10:22" s="1" customFormat="1" x14ac:dyDescent="0.2">
      <c r="J636"/>
      <c r="K636"/>
      <c r="L636"/>
      <c r="M636"/>
      <c r="N636" s="2"/>
      <c r="R636"/>
      <c r="S636"/>
      <c r="T636"/>
      <c r="U636"/>
      <c r="V636"/>
    </row>
    <row r="637" spans="10:22" s="1" customFormat="1" x14ac:dyDescent="0.2">
      <c r="J637"/>
      <c r="K637"/>
      <c r="L637"/>
      <c r="M637"/>
      <c r="N637" s="2"/>
      <c r="R637"/>
      <c r="S637"/>
      <c r="T637"/>
      <c r="U637"/>
      <c r="V637"/>
    </row>
    <row r="638" spans="10:22" s="1" customFormat="1" x14ac:dyDescent="0.2">
      <c r="J638"/>
      <c r="K638"/>
      <c r="L638"/>
      <c r="M638"/>
      <c r="N638" s="2"/>
      <c r="R638"/>
      <c r="S638"/>
      <c r="T638"/>
      <c r="U638"/>
      <c r="V638"/>
    </row>
    <row r="639" spans="10:22" s="1" customFormat="1" x14ac:dyDescent="0.2">
      <c r="J639"/>
      <c r="K639"/>
      <c r="L639"/>
      <c r="M639"/>
      <c r="N639" s="2"/>
      <c r="R639"/>
      <c r="S639"/>
      <c r="T639"/>
      <c r="U639"/>
      <c r="V639"/>
    </row>
    <row r="640" spans="10:22" s="1" customFormat="1" x14ac:dyDescent="0.2">
      <c r="J640"/>
      <c r="K640"/>
      <c r="L640"/>
      <c r="M640"/>
      <c r="N640" s="2"/>
      <c r="R640"/>
      <c r="S640"/>
      <c r="T640"/>
      <c r="U640"/>
      <c r="V640"/>
    </row>
    <row r="641" spans="10:22" s="1" customFormat="1" x14ac:dyDescent="0.2">
      <c r="J641"/>
      <c r="K641"/>
      <c r="L641"/>
      <c r="M641"/>
      <c r="N641" s="2"/>
      <c r="R641"/>
      <c r="S641"/>
      <c r="T641"/>
      <c r="U641"/>
      <c r="V641"/>
    </row>
    <row r="642" spans="10:22" s="1" customFormat="1" x14ac:dyDescent="0.2">
      <c r="J642"/>
      <c r="K642"/>
      <c r="L642"/>
      <c r="M642"/>
      <c r="N642" s="2"/>
      <c r="R642"/>
      <c r="S642"/>
      <c r="T642"/>
      <c r="U642"/>
      <c r="V642"/>
    </row>
    <row r="643" spans="10:22" s="1" customFormat="1" x14ac:dyDescent="0.2">
      <c r="J643"/>
      <c r="K643"/>
      <c r="L643"/>
      <c r="M643"/>
      <c r="N643" s="2"/>
      <c r="R643"/>
      <c r="S643"/>
      <c r="T643"/>
      <c r="U643"/>
      <c r="V643"/>
    </row>
    <row r="644" spans="10:22" s="1" customFormat="1" x14ac:dyDescent="0.2">
      <c r="J644"/>
      <c r="K644"/>
      <c r="L644"/>
      <c r="M644"/>
      <c r="N644" s="2"/>
      <c r="R644"/>
      <c r="S644"/>
      <c r="T644"/>
      <c r="U644"/>
      <c r="V644"/>
    </row>
    <row r="645" spans="10:22" s="1" customFormat="1" x14ac:dyDescent="0.2">
      <c r="J645"/>
      <c r="K645"/>
      <c r="L645"/>
      <c r="M645"/>
      <c r="N645" s="2"/>
      <c r="R645"/>
      <c r="S645"/>
      <c r="T645"/>
      <c r="U645"/>
      <c r="V645"/>
    </row>
    <row r="646" spans="10:22" s="1" customFormat="1" x14ac:dyDescent="0.2">
      <c r="J646"/>
      <c r="K646"/>
      <c r="L646"/>
      <c r="M646"/>
      <c r="N646" s="2"/>
      <c r="R646"/>
      <c r="S646"/>
      <c r="T646"/>
      <c r="U646"/>
      <c r="V646"/>
    </row>
    <row r="647" spans="10:22" s="1" customFormat="1" x14ac:dyDescent="0.2">
      <c r="J647"/>
      <c r="K647"/>
      <c r="L647"/>
      <c r="M647"/>
      <c r="N647" s="2"/>
      <c r="R647"/>
      <c r="S647"/>
      <c r="T647"/>
      <c r="U647"/>
      <c r="V647"/>
    </row>
    <row r="648" spans="10:22" s="1" customFormat="1" x14ac:dyDescent="0.2">
      <c r="J648"/>
      <c r="K648"/>
      <c r="L648"/>
      <c r="M648"/>
      <c r="N648" s="2"/>
      <c r="R648"/>
      <c r="S648"/>
      <c r="T648"/>
      <c r="U648"/>
      <c r="V648"/>
    </row>
    <row r="649" spans="10:22" s="1" customFormat="1" x14ac:dyDescent="0.2">
      <c r="J649"/>
      <c r="K649"/>
      <c r="L649"/>
      <c r="M649"/>
      <c r="N649" s="2"/>
      <c r="R649"/>
      <c r="S649"/>
      <c r="T649"/>
      <c r="U649"/>
      <c r="V649"/>
    </row>
    <row r="650" spans="10:22" s="1" customFormat="1" x14ac:dyDescent="0.2">
      <c r="J650"/>
      <c r="K650"/>
      <c r="L650"/>
      <c r="M650"/>
      <c r="N650" s="2"/>
      <c r="R650"/>
      <c r="S650"/>
      <c r="T650"/>
      <c r="U650"/>
      <c r="V650"/>
    </row>
    <row r="651" spans="10:22" s="1" customFormat="1" x14ac:dyDescent="0.2">
      <c r="J651"/>
      <c r="K651"/>
      <c r="L651"/>
      <c r="M651"/>
      <c r="N651" s="2"/>
      <c r="R651"/>
      <c r="S651"/>
      <c r="T651"/>
      <c r="U651"/>
      <c r="V651"/>
    </row>
    <row r="652" spans="10:22" s="1" customFormat="1" x14ac:dyDescent="0.2">
      <c r="J652"/>
      <c r="K652"/>
      <c r="L652"/>
      <c r="M652"/>
      <c r="N652" s="2"/>
      <c r="R652"/>
      <c r="S652"/>
      <c r="T652"/>
      <c r="U652"/>
      <c r="V652"/>
    </row>
    <row r="653" spans="10:22" s="1" customFormat="1" x14ac:dyDescent="0.2">
      <c r="J653"/>
      <c r="K653"/>
      <c r="L653"/>
      <c r="M653"/>
      <c r="N653" s="2"/>
      <c r="R653"/>
      <c r="S653"/>
      <c r="T653"/>
      <c r="U653"/>
      <c r="V653"/>
    </row>
    <row r="654" spans="10:22" s="1" customFormat="1" x14ac:dyDescent="0.2">
      <c r="J654"/>
      <c r="K654"/>
      <c r="L654"/>
      <c r="M654"/>
      <c r="N654" s="2"/>
      <c r="R654"/>
      <c r="S654"/>
      <c r="T654"/>
      <c r="U654"/>
      <c r="V654"/>
    </row>
    <row r="655" spans="10:22" s="1" customFormat="1" x14ac:dyDescent="0.2">
      <c r="J655"/>
      <c r="K655"/>
      <c r="L655"/>
      <c r="M655"/>
      <c r="N655" s="2"/>
      <c r="R655"/>
      <c r="S655"/>
      <c r="T655"/>
      <c r="U655"/>
      <c r="V655"/>
    </row>
    <row r="656" spans="10:22" s="1" customFormat="1" x14ac:dyDescent="0.2">
      <c r="J656"/>
      <c r="K656"/>
      <c r="L656"/>
      <c r="M656"/>
      <c r="N656" s="2"/>
      <c r="R656"/>
      <c r="S656"/>
      <c r="T656"/>
      <c r="U656"/>
      <c r="V656"/>
    </row>
    <row r="657" spans="10:22" s="1" customFormat="1" x14ac:dyDescent="0.2">
      <c r="J657"/>
      <c r="K657"/>
      <c r="L657"/>
      <c r="M657"/>
      <c r="N657" s="2"/>
      <c r="R657"/>
      <c r="S657"/>
      <c r="T657"/>
      <c r="U657"/>
      <c r="V657"/>
    </row>
    <row r="658" spans="10:22" s="1" customFormat="1" x14ac:dyDescent="0.2">
      <c r="J658"/>
      <c r="K658"/>
      <c r="L658"/>
      <c r="M658"/>
      <c r="N658" s="2"/>
      <c r="R658"/>
      <c r="S658"/>
      <c r="T658"/>
      <c r="U658"/>
      <c r="V658"/>
    </row>
    <row r="659" spans="10:22" s="1" customFormat="1" x14ac:dyDescent="0.2">
      <c r="J659"/>
      <c r="K659"/>
      <c r="L659"/>
      <c r="M659"/>
      <c r="N659" s="2"/>
      <c r="R659"/>
      <c r="S659"/>
      <c r="T659"/>
      <c r="U659"/>
      <c r="V659"/>
    </row>
    <row r="660" spans="10:22" s="1" customFormat="1" x14ac:dyDescent="0.2">
      <c r="J660"/>
      <c r="K660"/>
      <c r="L660"/>
      <c r="M660"/>
      <c r="N660" s="2"/>
      <c r="R660"/>
      <c r="S660"/>
      <c r="T660"/>
      <c r="U660"/>
      <c r="V660"/>
    </row>
    <row r="661" spans="10:22" s="1" customFormat="1" x14ac:dyDescent="0.2">
      <c r="J661"/>
      <c r="K661"/>
      <c r="L661"/>
      <c r="M661"/>
      <c r="N661" s="2"/>
      <c r="R661"/>
      <c r="S661"/>
      <c r="T661"/>
      <c r="U661"/>
      <c r="V661"/>
    </row>
    <row r="662" spans="10:22" s="1" customFormat="1" x14ac:dyDescent="0.2">
      <c r="J662"/>
      <c r="K662"/>
      <c r="L662"/>
      <c r="M662"/>
      <c r="N662" s="2"/>
      <c r="R662"/>
      <c r="S662"/>
      <c r="T662"/>
      <c r="U662"/>
      <c r="V662"/>
    </row>
    <row r="663" spans="10:22" s="1" customFormat="1" x14ac:dyDescent="0.2">
      <c r="J663"/>
      <c r="K663"/>
      <c r="L663"/>
      <c r="M663"/>
      <c r="N663" s="2"/>
      <c r="R663"/>
      <c r="S663"/>
      <c r="T663"/>
      <c r="U663"/>
      <c r="V663"/>
    </row>
    <row r="664" spans="10:22" s="1" customFormat="1" x14ac:dyDescent="0.2">
      <c r="J664"/>
      <c r="K664"/>
      <c r="L664"/>
      <c r="M664"/>
      <c r="N664" s="2"/>
      <c r="R664"/>
      <c r="S664"/>
      <c r="T664"/>
      <c r="U664"/>
      <c r="V664"/>
    </row>
    <row r="665" spans="10:22" s="1" customFormat="1" x14ac:dyDescent="0.2">
      <c r="J665"/>
      <c r="K665"/>
      <c r="L665"/>
      <c r="M665"/>
      <c r="N665" s="2"/>
      <c r="R665"/>
      <c r="S665"/>
      <c r="T665"/>
      <c r="U665"/>
      <c r="V665"/>
    </row>
    <row r="666" spans="10:22" s="1" customFormat="1" x14ac:dyDescent="0.2">
      <c r="J666"/>
      <c r="K666"/>
      <c r="L666"/>
      <c r="M666"/>
      <c r="N666" s="2"/>
      <c r="R666"/>
      <c r="S666"/>
      <c r="T666"/>
      <c r="U666"/>
      <c r="V666"/>
    </row>
    <row r="667" spans="10:22" s="1" customFormat="1" x14ac:dyDescent="0.2">
      <c r="J667"/>
      <c r="K667"/>
      <c r="L667"/>
      <c r="M667"/>
      <c r="N667" s="2"/>
      <c r="R667"/>
      <c r="S667"/>
      <c r="T667"/>
      <c r="U667"/>
      <c r="V667"/>
    </row>
    <row r="668" spans="10:22" s="1" customFormat="1" x14ac:dyDescent="0.2">
      <c r="J668"/>
      <c r="K668"/>
      <c r="L668"/>
      <c r="M668"/>
      <c r="N668" s="2"/>
      <c r="R668"/>
      <c r="S668"/>
      <c r="T668"/>
      <c r="U668"/>
      <c r="V668"/>
    </row>
    <row r="669" spans="10:22" s="1" customFormat="1" x14ac:dyDescent="0.2">
      <c r="J669"/>
      <c r="K669"/>
      <c r="L669"/>
      <c r="M669"/>
      <c r="N669" s="2"/>
      <c r="R669"/>
      <c r="S669"/>
      <c r="T669"/>
      <c r="U669"/>
      <c r="V669"/>
    </row>
    <row r="670" spans="10:22" s="1" customFormat="1" x14ac:dyDescent="0.2">
      <c r="J670"/>
      <c r="K670"/>
      <c r="L670"/>
      <c r="M670"/>
      <c r="N670" s="2"/>
      <c r="R670"/>
      <c r="S670"/>
      <c r="T670"/>
      <c r="U670"/>
      <c r="V670"/>
    </row>
    <row r="671" spans="10:22" s="1" customFormat="1" x14ac:dyDescent="0.2">
      <c r="J671"/>
      <c r="K671"/>
      <c r="L671"/>
      <c r="M671"/>
      <c r="N671" s="2"/>
      <c r="R671"/>
      <c r="S671"/>
      <c r="T671"/>
      <c r="U671"/>
      <c r="V671"/>
    </row>
    <row r="672" spans="10:22" s="1" customFormat="1" x14ac:dyDescent="0.2">
      <c r="J672"/>
      <c r="K672"/>
      <c r="L672"/>
      <c r="M672"/>
      <c r="N672" s="2"/>
      <c r="R672"/>
      <c r="S672"/>
      <c r="T672"/>
      <c r="U672"/>
      <c r="V672"/>
    </row>
    <row r="673" spans="10:22" s="1" customFormat="1" x14ac:dyDescent="0.2">
      <c r="J673"/>
      <c r="K673"/>
      <c r="L673"/>
      <c r="M673"/>
      <c r="N673" s="2"/>
      <c r="R673"/>
      <c r="S673"/>
      <c r="T673"/>
      <c r="U673"/>
      <c r="V673"/>
    </row>
    <row r="674" spans="10:22" s="1" customFormat="1" x14ac:dyDescent="0.2">
      <c r="J674"/>
      <c r="K674"/>
      <c r="L674"/>
      <c r="M674"/>
      <c r="N674" s="2"/>
      <c r="R674"/>
      <c r="S674"/>
      <c r="T674"/>
      <c r="U674"/>
      <c r="V674"/>
    </row>
    <row r="675" spans="10:22" s="1" customFormat="1" x14ac:dyDescent="0.2">
      <c r="J675"/>
      <c r="K675"/>
      <c r="L675"/>
      <c r="M675"/>
      <c r="N675" s="2"/>
      <c r="R675"/>
      <c r="S675"/>
      <c r="T675"/>
      <c r="U675"/>
      <c r="V675"/>
    </row>
    <row r="676" spans="10:22" s="1" customFormat="1" x14ac:dyDescent="0.2">
      <c r="J676"/>
      <c r="K676"/>
      <c r="L676"/>
      <c r="M676"/>
      <c r="N676" s="2"/>
      <c r="R676"/>
      <c r="S676"/>
      <c r="T676"/>
      <c r="U676"/>
      <c r="V676"/>
    </row>
    <row r="677" spans="10:22" s="1" customFormat="1" x14ac:dyDescent="0.2">
      <c r="J677"/>
      <c r="K677"/>
      <c r="L677"/>
      <c r="M677"/>
      <c r="N677" s="2"/>
      <c r="R677"/>
      <c r="S677"/>
      <c r="T677"/>
      <c r="U677"/>
      <c r="V677"/>
    </row>
    <row r="678" spans="10:22" s="1" customFormat="1" x14ac:dyDescent="0.2">
      <c r="J678"/>
      <c r="K678"/>
      <c r="L678"/>
      <c r="M678"/>
      <c r="N678" s="2"/>
      <c r="R678"/>
      <c r="S678"/>
      <c r="T678"/>
      <c r="U678"/>
      <c r="V678"/>
    </row>
    <row r="679" spans="10:22" s="1" customFormat="1" x14ac:dyDescent="0.2">
      <c r="J679"/>
      <c r="K679"/>
      <c r="L679"/>
      <c r="M679"/>
      <c r="N679" s="2"/>
      <c r="R679"/>
      <c r="S679"/>
      <c r="T679"/>
      <c r="U679"/>
      <c r="V679"/>
    </row>
    <row r="680" spans="10:22" s="1" customFormat="1" x14ac:dyDescent="0.2">
      <c r="J680"/>
      <c r="K680"/>
      <c r="L680"/>
      <c r="M680"/>
      <c r="N680" s="2"/>
      <c r="R680"/>
      <c r="S680"/>
      <c r="T680"/>
      <c r="U680"/>
      <c r="V680"/>
    </row>
    <row r="681" spans="10:22" s="1" customFormat="1" x14ac:dyDescent="0.2">
      <c r="J681"/>
      <c r="K681"/>
      <c r="L681"/>
      <c r="M681"/>
      <c r="N681" s="2"/>
      <c r="R681"/>
      <c r="S681"/>
      <c r="T681"/>
      <c r="U681"/>
      <c r="V681"/>
    </row>
    <row r="682" spans="10:22" s="1" customFormat="1" x14ac:dyDescent="0.2">
      <c r="J682"/>
      <c r="K682"/>
      <c r="L682"/>
      <c r="M682"/>
      <c r="N682" s="2"/>
      <c r="R682"/>
      <c r="S682"/>
      <c r="T682"/>
      <c r="U682"/>
      <c r="V682"/>
    </row>
    <row r="683" spans="10:22" s="1" customFormat="1" x14ac:dyDescent="0.2">
      <c r="J683"/>
      <c r="K683"/>
      <c r="L683"/>
      <c r="M683"/>
      <c r="N683" s="2"/>
      <c r="R683"/>
      <c r="S683"/>
      <c r="T683"/>
      <c r="U683"/>
      <c r="V683"/>
    </row>
    <row r="684" spans="10:22" s="1" customFormat="1" x14ac:dyDescent="0.2">
      <c r="J684"/>
      <c r="K684"/>
      <c r="L684"/>
      <c r="M684"/>
      <c r="N684" s="2"/>
      <c r="R684"/>
      <c r="S684"/>
      <c r="T684"/>
      <c r="U684"/>
      <c r="V684"/>
    </row>
    <row r="685" spans="10:22" s="1" customFormat="1" x14ac:dyDescent="0.2">
      <c r="J685"/>
      <c r="K685"/>
      <c r="L685"/>
      <c r="M685"/>
      <c r="N685" s="2"/>
      <c r="R685"/>
      <c r="S685"/>
      <c r="T685"/>
      <c r="U685"/>
      <c r="V685"/>
    </row>
    <row r="686" spans="10:22" s="1" customFormat="1" x14ac:dyDescent="0.2">
      <c r="J686"/>
      <c r="K686"/>
      <c r="L686"/>
      <c r="M686"/>
      <c r="N686" s="2"/>
      <c r="R686"/>
      <c r="S686"/>
      <c r="T686"/>
      <c r="U686"/>
      <c r="V686"/>
    </row>
    <row r="687" spans="10:22" s="1" customFormat="1" x14ac:dyDescent="0.2">
      <c r="J687"/>
      <c r="K687"/>
      <c r="L687"/>
      <c r="M687"/>
      <c r="N687" s="2"/>
      <c r="R687"/>
      <c r="S687"/>
      <c r="T687"/>
      <c r="U687"/>
      <c r="V687"/>
    </row>
    <row r="688" spans="10:22" s="1" customFormat="1" x14ac:dyDescent="0.2">
      <c r="J688"/>
      <c r="K688"/>
      <c r="L688"/>
      <c r="M688"/>
      <c r="N688" s="2"/>
      <c r="R688"/>
      <c r="S688"/>
      <c r="T688"/>
      <c r="U688"/>
      <c r="V688"/>
    </row>
    <row r="689" spans="10:22" s="1" customFormat="1" x14ac:dyDescent="0.2">
      <c r="J689"/>
      <c r="K689"/>
      <c r="L689"/>
      <c r="M689"/>
      <c r="N689" s="2"/>
      <c r="R689"/>
      <c r="S689"/>
      <c r="T689"/>
      <c r="U689"/>
      <c r="V689"/>
    </row>
    <row r="690" spans="10:22" s="1" customFormat="1" x14ac:dyDescent="0.2">
      <c r="J690"/>
      <c r="K690"/>
      <c r="L690"/>
      <c r="M690"/>
      <c r="N690" s="2"/>
      <c r="R690"/>
      <c r="S690"/>
      <c r="T690"/>
      <c r="U690"/>
      <c r="V690"/>
    </row>
    <row r="691" spans="10:22" s="1" customFormat="1" x14ac:dyDescent="0.2">
      <c r="J691"/>
      <c r="K691"/>
      <c r="L691"/>
      <c r="M691"/>
      <c r="N691" s="2"/>
      <c r="R691"/>
      <c r="S691"/>
      <c r="T691"/>
      <c r="U691"/>
      <c r="V691"/>
    </row>
    <row r="692" spans="10:22" s="1" customFormat="1" x14ac:dyDescent="0.2">
      <c r="J692"/>
      <c r="K692"/>
      <c r="L692"/>
      <c r="M692"/>
      <c r="N692" s="2"/>
      <c r="R692"/>
      <c r="S692"/>
      <c r="T692"/>
      <c r="U692"/>
      <c r="V692"/>
    </row>
    <row r="693" spans="10:22" s="1" customFormat="1" x14ac:dyDescent="0.2">
      <c r="J693"/>
      <c r="K693"/>
      <c r="L693"/>
      <c r="M693"/>
      <c r="N693" s="2"/>
      <c r="R693"/>
      <c r="S693"/>
      <c r="T693"/>
      <c r="U693"/>
      <c r="V693"/>
    </row>
    <row r="694" spans="10:22" s="1" customFormat="1" x14ac:dyDescent="0.2">
      <c r="J694"/>
      <c r="K694"/>
      <c r="L694"/>
      <c r="M694"/>
      <c r="N694" s="2"/>
      <c r="R694"/>
      <c r="S694"/>
      <c r="T694"/>
      <c r="U694"/>
      <c r="V694"/>
    </row>
    <row r="695" spans="10:22" s="1" customFormat="1" x14ac:dyDescent="0.2">
      <c r="J695"/>
      <c r="K695"/>
      <c r="L695"/>
      <c r="M695"/>
      <c r="N695" s="2"/>
      <c r="R695"/>
      <c r="S695"/>
      <c r="T695"/>
      <c r="U695"/>
      <c r="V695"/>
    </row>
    <row r="696" spans="10:22" s="1" customFormat="1" x14ac:dyDescent="0.2">
      <c r="J696"/>
      <c r="K696"/>
      <c r="L696"/>
      <c r="M696"/>
      <c r="N696" s="2"/>
      <c r="R696"/>
      <c r="S696"/>
      <c r="T696"/>
      <c r="U696"/>
      <c r="V696"/>
    </row>
    <row r="697" spans="10:22" s="1" customFormat="1" x14ac:dyDescent="0.2">
      <c r="J697"/>
      <c r="K697"/>
      <c r="L697"/>
      <c r="M697"/>
      <c r="N697" s="2"/>
      <c r="R697"/>
      <c r="S697"/>
      <c r="T697"/>
      <c r="U697"/>
      <c r="V697"/>
    </row>
    <row r="698" spans="10:22" s="1" customFormat="1" x14ac:dyDescent="0.2">
      <c r="J698"/>
      <c r="K698"/>
      <c r="L698"/>
      <c r="M698"/>
      <c r="N698" s="2"/>
      <c r="R698"/>
      <c r="S698"/>
      <c r="T698"/>
      <c r="U698"/>
      <c r="V698"/>
    </row>
    <row r="699" spans="10:22" s="1" customFormat="1" x14ac:dyDescent="0.2">
      <c r="J699"/>
      <c r="K699"/>
      <c r="L699"/>
      <c r="M699"/>
      <c r="N699" s="2"/>
      <c r="R699"/>
      <c r="S699"/>
      <c r="T699"/>
      <c r="U699"/>
      <c r="V699"/>
    </row>
    <row r="700" spans="10:22" s="1" customFormat="1" x14ac:dyDescent="0.2">
      <c r="J700"/>
      <c r="K700"/>
      <c r="L700"/>
      <c r="M700"/>
      <c r="N700" s="2"/>
      <c r="R700"/>
      <c r="S700"/>
      <c r="T700"/>
      <c r="U700"/>
      <c r="V700"/>
    </row>
    <row r="701" spans="10:22" s="1" customFormat="1" x14ac:dyDescent="0.2">
      <c r="J701"/>
      <c r="K701"/>
      <c r="L701"/>
      <c r="M701"/>
      <c r="N701" s="2"/>
      <c r="R701"/>
      <c r="S701"/>
      <c r="T701"/>
      <c r="U701"/>
      <c r="V701"/>
    </row>
    <row r="702" spans="10:22" s="1" customFormat="1" x14ac:dyDescent="0.2">
      <c r="J702"/>
      <c r="K702"/>
      <c r="L702"/>
      <c r="M702"/>
      <c r="N702" s="2"/>
      <c r="R702"/>
      <c r="S702"/>
      <c r="T702"/>
      <c r="U702"/>
      <c r="V702"/>
    </row>
    <row r="703" spans="10:22" s="1" customFormat="1" x14ac:dyDescent="0.2">
      <c r="J703"/>
      <c r="K703"/>
      <c r="L703"/>
      <c r="M703"/>
      <c r="N703" s="2"/>
      <c r="R703"/>
      <c r="S703"/>
      <c r="T703"/>
      <c r="U703"/>
      <c r="V703"/>
    </row>
    <row r="704" spans="10:22" s="1" customFormat="1" x14ac:dyDescent="0.2">
      <c r="J704"/>
      <c r="K704"/>
      <c r="L704"/>
      <c r="M704"/>
      <c r="N704" s="2"/>
      <c r="R704"/>
      <c r="S704"/>
      <c r="T704"/>
      <c r="U704"/>
      <c r="V704"/>
    </row>
    <row r="705" spans="10:22" s="1" customFormat="1" x14ac:dyDescent="0.2">
      <c r="J705"/>
      <c r="K705"/>
      <c r="L705"/>
      <c r="M705"/>
      <c r="N705" s="2"/>
      <c r="R705"/>
      <c r="S705"/>
      <c r="T705"/>
      <c r="U705"/>
      <c r="V705"/>
    </row>
    <row r="706" spans="10:22" s="1" customFormat="1" x14ac:dyDescent="0.2">
      <c r="J706"/>
      <c r="K706"/>
      <c r="L706"/>
      <c r="M706"/>
      <c r="N706" s="2"/>
      <c r="R706"/>
      <c r="S706"/>
      <c r="T706"/>
      <c r="U706"/>
      <c r="V706"/>
    </row>
    <row r="707" spans="10:22" s="1" customFormat="1" x14ac:dyDescent="0.2">
      <c r="J707"/>
      <c r="K707"/>
      <c r="L707"/>
      <c r="M707"/>
      <c r="N707" s="2"/>
      <c r="R707"/>
      <c r="S707"/>
      <c r="T707"/>
      <c r="U707"/>
      <c r="V707"/>
    </row>
    <row r="708" spans="10:22" s="1" customFormat="1" x14ac:dyDescent="0.2">
      <c r="J708"/>
      <c r="K708"/>
      <c r="L708"/>
      <c r="M708"/>
      <c r="N708" s="2"/>
      <c r="R708"/>
      <c r="S708"/>
      <c r="T708"/>
      <c r="U708"/>
      <c r="V708"/>
    </row>
    <row r="709" spans="10:22" s="1" customFormat="1" x14ac:dyDescent="0.2">
      <c r="J709"/>
      <c r="K709"/>
      <c r="L709"/>
      <c r="M709"/>
      <c r="N709" s="2"/>
      <c r="R709"/>
      <c r="S709"/>
      <c r="T709"/>
      <c r="U709"/>
      <c r="V709"/>
    </row>
    <row r="710" spans="10:22" s="1" customFormat="1" x14ac:dyDescent="0.2">
      <c r="J710"/>
      <c r="K710"/>
      <c r="L710"/>
      <c r="M710"/>
      <c r="N710" s="2"/>
      <c r="R710"/>
      <c r="S710"/>
      <c r="T710"/>
      <c r="U710"/>
      <c r="V710"/>
    </row>
    <row r="711" spans="10:22" s="1" customFormat="1" x14ac:dyDescent="0.2">
      <c r="J711"/>
      <c r="K711"/>
      <c r="L711"/>
      <c r="M711"/>
      <c r="N711" s="2"/>
      <c r="R711"/>
      <c r="S711"/>
      <c r="T711"/>
      <c r="U711"/>
      <c r="V711"/>
    </row>
    <row r="712" spans="10:22" s="1" customFormat="1" x14ac:dyDescent="0.2">
      <c r="J712"/>
      <c r="K712"/>
      <c r="L712"/>
      <c r="M712"/>
      <c r="N712" s="2"/>
      <c r="R712"/>
      <c r="S712"/>
      <c r="T712"/>
      <c r="U712"/>
      <c r="V712"/>
    </row>
    <row r="713" spans="10:22" s="1" customFormat="1" x14ac:dyDescent="0.2">
      <c r="J713"/>
      <c r="K713"/>
      <c r="L713"/>
      <c r="M713"/>
      <c r="N713" s="2"/>
      <c r="R713"/>
      <c r="S713"/>
      <c r="T713"/>
      <c r="U713"/>
      <c r="V713"/>
    </row>
    <row r="714" spans="10:22" s="1" customFormat="1" x14ac:dyDescent="0.2">
      <c r="J714"/>
      <c r="K714"/>
      <c r="L714"/>
      <c r="M714"/>
      <c r="N714" s="2"/>
      <c r="R714"/>
      <c r="S714"/>
      <c r="T714"/>
      <c r="U714"/>
      <c r="V714"/>
    </row>
    <row r="715" spans="10:22" s="1" customFormat="1" x14ac:dyDescent="0.2">
      <c r="J715"/>
      <c r="K715"/>
      <c r="L715"/>
      <c r="M715"/>
      <c r="N715" s="2"/>
      <c r="R715"/>
      <c r="S715"/>
      <c r="T715"/>
      <c r="U715"/>
      <c r="V715"/>
    </row>
    <row r="716" spans="10:22" s="1" customFormat="1" x14ac:dyDescent="0.2">
      <c r="J716"/>
      <c r="K716"/>
      <c r="L716"/>
      <c r="M716"/>
      <c r="N716" s="2"/>
      <c r="R716"/>
      <c r="S716"/>
      <c r="T716"/>
      <c r="U716"/>
      <c r="V716"/>
    </row>
    <row r="717" spans="10:22" s="1" customFormat="1" x14ac:dyDescent="0.2">
      <c r="J717"/>
      <c r="K717"/>
      <c r="L717"/>
      <c r="M717"/>
      <c r="N717" s="2"/>
      <c r="R717"/>
      <c r="S717"/>
      <c r="T717"/>
      <c r="U717"/>
      <c r="V717"/>
    </row>
    <row r="718" spans="10:22" s="1" customFormat="1" x14ac:dyDescent="0.2">
      <c r="J718"/>
      <c r="K718"/>
      <c r="L718"/>
      <c r="M718"/>
      <c r="N718" s="2"/>
      <c r="R718"/>
      <c r="S718"/>
      <c r="T718"/>
      <c r="U718"/>
      <c r="V718"/>
    </row>
    <row r="719" spans="10:22" s="1" customFormat="1" x14ac:dyDescent="0.2">
      <c r="J719"/>
      <c r="K719"/>
      <c r="L719"/>
      <c r="M719"/>
      <c r="N719" s="2"/>
      <c r="R719"/>
      <c r="S719"/>
      <c r="T719"/>
      <c r="U719"/>
      <c r="V719"/>
    </row>
    <row r="720" spans="10:22" s="1" customFormat="1" x14ac:dyDescent="0.2">
      <c r="J720"/>
      <c r="K720"/>
      <c r="L720"/>
      <c r="M720"/>
      <c r="N720" s="2"/>
      <c r="R720"/>
      <c r="S720"/>
      <c r="T720"/>
      <c r="U720"/>
      <c r="V720"/>
    </row>
    <row r="721" spans="10:22" s="1" customFormat="1" x14ac:dyDescent="0.2">
      <c r="J721"/>
      <c r="K721"/>
      <c r="L721"/>
      <c r="M721"/>
      <c r="N721" s="2"/>
      <c r="R721"/>
      <c r="S721"/>
      <c r="T721"/>
      <c r="U721"/>
      <c r="V721"/>
    </row>
    <row r="722" spans="10:22" s="1" customFormat="1" x14ac:dyDescent="0.2">
      <c r="J722"/>
      <c r="K722"/>
      <c r="L722"/>
      <c r="M722"/>
      <c r="N722" s="2"/>
      <c r="R722"/>
      <c r="S722"/>
      <c r="T722"/>
      <c r="U722"/>
      <c r="V722"/>
    </row>
    <row r="723" spans="10:22" s="1" customFormat="1" x14ac:dyDescent="0.2">
      <c r="J723"/>
      <c r="K723"/>
      <c r="L723"/>
      <c r="M723"/>
      <c r="N723" s="2"/>
      <c r="R723"/>
      <c r="S723"/>
      <c r="T723"/>
      <c r="U723"/>
      <c r="V723"/>
    </row>
    <row r="724" spans="10:22" s="1" customFormat="1" x14ac:dyDescent="0.2">
      <c r="J724"/>
      <c r="K724"/>
      <c r="L724"/>
      <c r="M724"/>
      <c r="N724" s="2"/>
      <c r="R724"/>
      <c r="S724"/>
      <c r="T724"/>
      <c r="U724"/>
      <c r="V724"/>
    </row>
    <row r="725" spans="10:22" s="1" customFormat="1" x14ac:dyDescent="0.2">
      <c r="J725"/>
      <c r="K725"/>
      <c r="L725"/>
      <c r="M725"/>
      <c r="N725" s="2"/>
      <c r="R725"/>
      <c r="S725"/>
      <c r="T725"/>
      <c r="U725"/>
      <c r="V725"/>
    </row>
    <row r="726" spans="10:22" s="1" customFormat="1" x14ac:dyDescent="0.2">
      <c r="J726"/>
      <c r="K726"/>
      <c r="L726"/>
      <c r="M726"/>
      <c r="N726" s="2"/>
      <c r="R726"/>
      <c r="S726"/>
      <c r="T726"/>
      <c r="U726"/>
      <c r="V726"/>
    </row>
    <row r="727" spans="10:22" s="1" customFormat="1" x14ac:dyDescent="0.2">
      <c r="J727"/>
      <c r="K727"/>
      <c r="L727"/>
      <c r="M727"/>
      <c r="N727" s="2"/>
      <c r="R727"/>
      <c r="S727"/>
      <c r="T727"/>
      <c r="U727"/>
      <c r="V727"/>
    </row>
    <row r="728" spans="10:22" s="1" customFormat="1" x14ac:dyDescent="0.2">
      <c r="J728"/>
      <c r="K728"/>
      <c r="L728"/>
      <c r="M728"/>
      <c r="N728" s="2"/>
      <c r="R728"/>
      <c r="S728"/>
      <c r="T728"/>
      <c r="U728"/>
      <c r="V728"/>
    </row>
    <row r="729" spans="10:22" s="1" customFormat="1" x14ac:dyDescent="0.2">
      <c r="J729"/>
      <c r="K729"/>
      <c r="L729"/>
      <c r="M729"/>
      <c r="N729" s="2"/>
      <c r="R729"/>
      <c r="S729"/>
      <c r="T729"/>
      <c r="U729"/>
      <c r="V729"/>
    </row>
    <row r="730" spans="10:22" s="1" customFormat="1" x14ac:dyDescent="0.2">
      <c r="J730"/>
      <c r="K730"/>
      <c r="L730"/>
      <c r="M730"/>
      <c r="N730" s="2"/>
      <c r="R730"/>
      <c r="S730"/>
      <c r="T730"/>
      <c r="U730"/>
      <c r="V730"/>
    </row>
    <row r="731" spans="10:22" s="1" customFormat="1" x14ac:dyDescent="0.2">
      <c r="J731"/>
      <c r="K731"/>
      <c r="L731"/>
      <c r="M731"/>
      <c r="N731" s="2"/>
      <c r="R731"/>
      <c r="S731"/>
      <c r="T731"/>
      <c r="U731"/>
      <c r="V731"/>
    </row>
    <row r="732" spans="10:22" s="1" customFormat="1" x14ac:dyDescent="0.2">
      <c r="J732"/>
      <c r="K732"/>
      <c r="L732"/>
      <c r="M732"/>
      <c r="N732" s="2"/>
      <c r="R732"/>
      <c r="S732"/>
      <c r="T732"/>
      <c r="U732"/>
      <c r="V732"/>
    </row>
    <row r="733" spans="10:22" s="1" customFormat="1" x14ac:dyDescent="0.2">
      <c r="J733"/>
      <c r="K733"/>
      <c r="L733"/>
      <c r="M733"/>
      <c r="N733" s="2"/>
      <c r="R733"/>
      <c r="S733"/>
      <c r="T733"/>
      <c r="U733"/>
      <c r="V733"/>
    </row>
    <row r="734" spans="10:22" s="1" customFormat="1" x14ac:dyDescent="0.2">
      <c r="J734"/>
      <c r="K734"/>
      <c r="L734"/>
      <c r="M734"/>
      <c r="N734" s="2"/>
      <c r="R734"/>
      <c r="S734"/>
      <c r="T734"/>
      <c r="U734"/>
      <c r="V734"/>
    </row>
  </sheetData>
  <mergeCells count="77">
    <mergeCell ref="Q25:Q26"/>
    <mergeCell ref="S25:S26"/>
    <mergeCell ref="U25:U26"/>
    <mergeCell ref="F21:F22"/>
    <mergeCell ref="H21:H22"/>
    <mergeCell ref="J21:J23"/>
    <mergeCell ref="K21:K23"/>
    <mergeCell ref="Q21:Q23"/>
    <mergeCell ref="L21:L22"/>
    <mergeCell ref="B10:B11"/>
    <mergeCell ref="V10:V11"/>
    <mergeCell ref="J10:J11"/>
    <mergeCell ref="K10:K11"/>
    <mergeCell ref="Q10:Q11"/>
    <mergeCell ref="S10:S11"/>
    <mergeCell ref="U10:U11"/>
    <mergeCell ref="E10:E11"/>
    <mergeCell ref="B6:B7"/>
    <mergeCell ref="J6:J7"/>
    <mergeCell ref="K6:K7"/>
    <mergeCell ref="Q6:Q7"/>
    <mergeCell ref="S6:S7"/>
    <mergeCell ref="E6:E7"/>
    <mergeCell ref="V6:V7"/>
    <mergeCell ref="E61:F61"/>
    <mergeCell ref="J61:J63"/>
    <mergeCell ref="E62:F62"/>
    <mergeCell ref="E63:F63"/>
    <mergeCell ref="I12:I13"/>
    <mergeCell ref="V21:V23"/>
    <mergeCell ref="M12:M13"/>
    <mergeCell ref="O12:O13"/>
    <mergeCell ref="Q12:Q13"/>
    <mergeCell ref="U6:U7"/>
    <mergeCell ref="L12:L13"/>
    <mergeCell ref="J12:J13"/>
    <mergeCell ref="E25:E26"/>
    <mergeCell ref="J25:J26"/>
    <mergeCell ref="K25:K26"/>
    <mergeCell ref="K12:K13"/>
    <mergeCell ref="B12:B13"/>
    <mergeCell ref="E12:E13"/>
    <mergeCell ref="F12:F13"/>
    <mergeCell ref="H12:H13"/>
    <mergeCell ref="B2:V2"/>
    <mergeCell ref="B4:B5"/>
    <mergeCell ref="E4:E5"/>
    <mergeCell ref="J4:J5"/>
    <mergeCell ref="K4:K5"/>
    <mergeCell ref="Q4:Q5"/>
    <mergeCell ref="S4:S5"/>
    <mergeCell ref="U4:U5"/>
    <mergeCell ref="S12:S13"/>
    <mergeCell ref="U12:U13"/>
    <mergeCell ref="V12:V13"/>
    <mergeCell ref="U15:U16"/>
    <mergeCell ref="M21:M22"/>
    <mergeCell ref="O21:O22"/>
    <mergeCell ref="S15:S16"/>
    <mergeCell ref="S21:S23"/>
    <mergeCell ref="U21:U23"/>
    <mergeCell ref="S28:S29"/>
    <mergeCell ref="U28:U29"/>
    <mergeCell ref="Q15:Q16"/>
    <mergeCell ref="B28:B29"/>
    <mergeCell ref="E28:E29"/>
    <mergeCell ref="J28:J29"/>
    <mergeCell ref="K28:K29"/>
    <mergeCell ref="Q28:Q29"/>
    <mergeCell ref="E21:E23"/>
    <mergeCell ref="B25:B26"/>
    <mergeCell ref="I21:I22"/>
    <mergeCell ref="B15:B16"/>
    <mergeCell ref="E15:E16"/>
    <mergeCell ref="J15:J16"/>
    <mergeCell ref="K15:K16"/>
    <mergeCell ref="B21:B23"/>
  </mergeCells>
  <conditionalFormatting sqref="I65:I71">
    <cfRule type="cellIs" dxfId="367" priority="152" stopIfTrue="1" operator="lessThan">
      <formula>0%</formula>
    </cfRule>
    <cfRule type="cellIs" dxfId="366" priority="151" stopIfTrue="1" operator="greaterThan">
      <formula>1.5%</formula>
    </cfRule>
  </conditionalFormatting>
  <conditionalFormatting sqref="I73">
    <cfRule type="cellIs" dxfId="365" priority="146" stopIfTrue="1" operator="lessThan">
      <formula>438</formula>
    </cfRule>
  </conditionalFormatting>
  <conditionalFormatting sqref="J3 B2 J72:J65536">
    <cfRule type="cellIs" dxfId="364" priority="169" stopIfTrue="1" operator="lessThan">
      <formula>438</formula>
    </cfRule>
  </conditionalFormatting>
  <conditionalFormatting sqref="J3">
    <cfRule type="cellIs" dxfId="363" priority="166" stopIfTrue="1" operator="lessThan">
      <formula>456.25</formula>
    </cfRule>
  </conditionalFormatting>
  <conditionalFormatting sqref="J4 J6">
    <cfRule type="cellIs" dxfId="362" priority="145" stopIfTrue="1" operator="lessThan">
      <formula>462</formula>
    </cfRule>
  </conditionalFormatting>
  <conditionalFormatting sqref="J8:J10">
    <cfRule type="cellIs" dxfId="361" priority="124" stopIfTrue="1" operator="lessThan">
      <formula>462</formula>
    </cfRule>
  </conditionalFormatting>
  <conditionalFormatting sqref="J12">
    <cfRule type="cellIs" dxfId="360" priority="60" stopIfTrue="1" operator="lessThan">
      <formula>462</formula>
    </cfRule>
  </conditionalFormatting>
  <conditionalFormatting sqref="J14:J15">
    <cfRule type="cellIs" dxfId="359" priority="131" stopIfTrue="1" operator="lessThan">
      <formula>462</formula>
    </cfRule>
  </conditionalFormatting>
  <conditionalFormatting sqref="J17:J21">
    <cfRule type="cellIs" dxfId="358" priority="38" stopIfTrue="1" operator="lessThan">
      <formula>462</formula>
    </cfRule>
  </conditionalFormatting>
  <conditionalFormatting sqref="J24:J25">
    <cfRule type="cellIs" dxfId="357" priority="28" stopIfTrue="1" operator="lessThan">
      <formula>462</formula>
    </cfRule>
  </conditionalFormatting>
  <conditionalFormatting sqref="J27:J28">
    <cfRule type="cellIs" dxfId="356" priority="12" stopIfTrue="1" operator="lessThan">
      <formula>462</formula>
    </cfRule>
  </conditionalFormatting>
  <conditionalFormatting sqref="J30:J60">
    <cfRule type="cellIs" dxfId="355" priority="5" stopIfTrue="1" operator="lessThan">
      <formula>462</formula>
    </cfRule>
  </conditionalFormatting>
  <conditionalFormatting sqref="J65:J71">
    <cfRule type="cellIs" dxfId="354" priority="164" stopIfTrue="1" operator="lessThan">
      <formula>73%</formula>
    </cfRule>
  </conditionalFormatting>
  <conditionalFormatting sqref="K4 K6">
    <cfRule type="cellIs" dxfId="353" priority="143" stopIfTrue="1" operator="lessThan">
      <formula>540</formula>
    </cfRule>
  </conditionalFormatting>
  <conditionalFormatting sqref="K8:K10">
    <cfRule type="cellIs" dxfId="352" priority="123" stopIfTrue="1" operator="lessThan">
      <formula>540</formula>
    </cfRule>
  </conditionalFormatting>
  <conditionalFormatting sqref="K12">
    <cfRule type="cellIs" dxfId="351" priority="59" stopIfTrue="1" operator="lessThan">
      <formula>540</formula>
    </cfRule>
  </conditionalFormatting>
  <conditionalFormatting sqref="K14:K15 K35:L56">
    <cfRule type="cellIs" dxfId="350" priority="129" stopIfTrue="1" operator="lessThan">
      <formula>540</formula>
    </cfRule>
  </conditionalFormatting>
  <conditionalFormatting sqref="K17:K21">
    <cfRule type="cellIs" dxfId="349" priority="37" stopIfTrue="1" operator="lessThan">
      <formula>540</formula>
    </cfRule>
  </conditionalFormatting>
  <conditionalFormatting sqref="K24:K25">
    <cfRule type="cellIs" dxfId="348" priority="27" stopIfTrue="1" operator="lessThan">
      <formula>540</formula>
    </cfRule>
  </conditionalFormatting>
  <conditionalFormatting sqref="K27:K28">
    <cfRule type="cellIs" dxfId="347" priority="11" stopIfTrue="1" operator="lessThan">
      <formula>540</formula>
    </cfRule>
  </conditionalFormatting>
  <conditionalFormatting sqref="K30:K34">
    <cfRule type="cellIs" dxfId="346" priority="4" stopIfTrue="1" operator="lessThan">
      <formula>540</formula>
    </cfRule>
  </conditionalFormatting>
  <conditionalFormatting sqref="K57:L59">
    <cfRule type="cellIs" dxfId="345" priority="160" stopIfTrue="1" operator="lessThan">
      <formula>438</formula>
    </cfRule>
    <cfRule type="cellIs" dxfId="344" priority="159" stopIfTrue="1" operator="lessThan">
      <formula>456.25</formula>
    </cfRule>
  </conditionalFormatting>
  <conditionalFormatting sqref="O4:O12">
    <cfRule type="cellIs" dxfId="343" priority="63" stopIfTrue="1" operator="greaterThan">
      <formula>1.1</formula>
    </cfRule>
  </conditionalFormatting>
  <conditionalFormatting sqref="O14:O21 O23:O61">
    <cfRule type="cellIs" dxfId="342" priority="47" stopIfTrue="1" operator="greaterThan">
      <formula>1.1</formula>
    </cfRule>
  </conditionalFormatting>
  <conditionalFormatting sqref="O61:O62">
    <cfRule type="cellIs" dxfId="341" priority="163" stopIfTrue="1" operator="lessThan">
      <formula>0%</formula>
    </cfRule>
    <cfRule type="cellIs" dxfId="340" priority="162" stopIfTrue="1" operator="greaterThan">
      <formula>1.5%</formula>
    </cfRule>
  </conditionalFormatting>
  <conditionalFormatting sqref="Q4 Q6">
    <cfRule type="cellIs" dxfId="339" priority="137" stopIfTrue="1" operator="lessThan">
      <formula>0.74</formula>
    </cfRule>
  </conditionalFormatting>
  <conditionalFormatting sqref="Q8:Q10">
    <cfRule type="cellIs" dxfId="338" priority="65" stopIfTrue="1" operator="lessThan">
      <formula>0.74</formula>
    </cfRule>
  </conditionalFormatting>
  <conditionalFormatting sqref="Q12">
    <cfRule type="cellIs" dxfId="337" priority="49" stopIfTrue="1" operator="lessThan">
      <formula>0.74</formula>
    </cfRule>
  </conditionalFormatting>
  <conditionalFormatting sqref="Q14:Q15">
    <cfRule type="cellIs" dxfId="336" priority="42" stopIfTrue="1" operator="lessThan">
      <formula>0.74</formula>
    </cfRule>
  </conditionalFormatting>
  <conditionalFormatting sqref="Q17:Q21">
    <cfRule type="cellIs" dxfId="335" priority="32" stopIfTrue="1" operator="lessThan">
      <formula>0.74</formula>
    </cfRule>
  </conditionalFormatting>
  <conditionalFormatting sqref="Q24:Q25">
    <cfRule type="cellIs" dxfId="334" priority="19" stopIfTrue="1" operator="lessThan">
      <formula>0.74</formula>
    </cfRule>
  </conditionalFormatting>
  <conditionalFormatting sqref="Q27:Q28">
    <cfRule type="cellIs" dxfId="333" priority="9" stopIfTrue="1" operator="lessThan">
      <formula>0.74</formula>
    </cfRule>
  </conditionalFormatting>
  <conditionalFormatting sqref="Q30:Q60">
    <cfRule type="cellIs" dxfId="332" priority="2" stopIfTrue="1" operator="lessThan">
      <formula>0.74</formula>
    </cfRule>
  </conditionalFormatting>
  <conditionalFormatting sqref="S42:S59">
    <cfRule type="cellIs" dxfId="331" priority="155" stopIfTrue="1" operator="lessThan">
      <formula>0.74</formula>
    </cfRule>
  </conditionalFormatting>
  <conditionalFormatting sqref="S61:S62">
    <cfRule type="cellIs" dxfId="330" priority="165" stopIfTrue="1" operator="lessThan">
      <formula>73%</formula>
    </cfRule>
  </conditionalFormatting>
  <conditionalFormatting sqref="S3:U3">
    <cfRule type="cellIs" dxfId="329" priority="138" stopIfTrue="1" operator="lessThan">
      <formula>0.65</formula>
    </cfRule>
  </conditionalFormatting>
  <conditionalFormatting sqref="S4:U4 T5 S6:U6 T7">
    <cfRule type="cellIs" dxfId="328" priority="136" stopIfTrue="1" operator="lessThan">
      <formula>0.74</formula>
    </cfRule>
  </conditionalFormatting>
  <conditionalFormatting sqref="S8:U10">
    <cfRule type="cellIs" dxfId="327" priority="64" stopIfTrue="1" operator="lessThan">
      <formula>0.74</formula>
    </cfRule>
  </conditionalFormatting>
  <conditionalFormatting sqref="S12:U12 T13">
    <cfRule type="cellIs" dxfId="326" priority="48" stopIfTrue="1" operator="lessThan">
      <formula>0.74</formula>
    </cfRule>
  </conditionalFormatting>
  <conditionalFormatting sqref="S14:U15 T16">
    <cfRule type="cellIs" dxfId="325" priority="41" stopIfTrue="1" operator="lessThan">
      <formula>0.74</formula>
    </cfRule>
  </conditionalFormatting>
  <conditionalFormatting sqref="S17:U21">
    <cfRule type="cellIs" dxfId="324" priority="31" stopIfTrue="1" operator="lessThan">
      <formula>0.74</formula>
    </cfRule>
  </conditionalFormatting>
  <conditionalFormatting sqref="S24:U25 T26">
    <cfRule type="cellIs" dxfId="323" priority="18" stopIfTrue="1" operator="lessThan">
      <formula>0.74</formula>
    </cfRule>
  </conditionalFormatting>
  <conditionalFormatting sqref="S27:U28 T29">
    <cfRule type="cellIs" dxfId="322" priority="8" stopIfTrue="1" operator="lessThan">
      <formula>0.74</formula>
    </cfRule>
  </conditionalFormatting>
  <conditionalFormatting sqref="S30:U41">
    <cfRule type="cellIs" dxfId="321" priority="1" stopIfTrue="1" operator="lessThan">
      <formula>0.74</formula>
    </cfRule>
  </conditionalFormatting>
  <conditionalFormatting sqref="S60:U60">
    <cfRule type="cellIs" dxfId="320" priority="157" stopIfTrue="1" operator="lessThan">
      <formula>0.74</formula>
    </cfRule>
  </conditionalFormatting>
  <conditionalFormatting sqref="T11">
    <cfRule type="cellIs" dxfId="319" priority="102" stopIfTrue="1" operator="lessThan">
      <formula>0.74</formula>
    </cfRule>
  </conditionalFormatting>
  <conditionalFormatting sqref="T22:T23">
    <cfRule type="cellIs" dxfId="318" priority="84" stopIfTrue="1" operator="lessThan">
      <formula>0.74</formula>
    </cfRule>
  </conditionalFormatting>
  <conditionalFormatting sqref="T32">
    <cfRule type="cellIs" dxfId="317" priority="127" stopIfTrue="1" operator="lessThan">
      <formula>0.74</formula>
    </cfRule>
  </conditionalFormatting>
  <conditionalFormatting sqref="T42:U59">
    <cfRule type="cellIs" dxfId="316" priority="149" stopIfTrue="1" operator="lessThan">
      <formula>75%</formula>
    </cfRule>
  </conditionalFormatting>
  <conditionalFormatting sqref="T61:U62">
    <cfRule type="cellIs" dxfId="315" priority="168" stopIfTrue="1" operator="lessThan">
      <formula>75%</formula>
    </cfRule>
  </conditionalFormatting>
  <printOptions horizontalCentered="1"/>
  <pageMargins left="0.10312499999999999" right="0.5" top="0.25" bottom="0.27" header="0.25" footer="0.27"/>
  <pageSetup paperSize="5" scale="46" orientation="landscape" r:id="rId1"/>
  <headerFooter alignWithMargins="0"/>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82896-B3DF-4F3A-B2F2-002C7D1DE50C}">
  <sheetPr codeName="Sheet8">
    <pageSetUpPr fitToPage="1"/>
  </sheetPr>
  <dimension ref="B2:V734"/>
  <sheetViews>
    <sheetView showZeros="0" showWhiteSpace="0" zoomScale="70" zoomScaleNormal="70" workbookViewId="0">
      <pane ySplit="3" topLeftCell="A22" activePane="bottomLeft" state="frozen"/>
      <selection activeCell="B2" sqref="B2:W2"/>
      <selection pane="bottomLeft" activeCell="B2" sqref="B2:W2"/>
    </sheetView>
  </sheetViews>
  <sheetFormatPr defaultColWidth="9.42578125" defaultRowHeight="12.75" x14ac:dyDescent="0.2"/>
  <cols>
    <col min="2" max="2" width="10.42578125" style="1" customWidth="1"/>
    <col min="3" max="3" width="31.42578125" style="1" customWidth="1"/>
    <col min="4" max="4" width="13.5703125" style="1" customWidth="1"/>
    <col min="5" max="5" width="13.42578125" style="1" customWidth="1"/>
    <col min="6" max="6" width="14.5703125" style="1" bestFit="1" customWidth="1"/>
    <col min="7" max="7" width="15.5703125" customWidth="1"/>
    <col min="8" max="8" width="15" customWidth="1"/>
    <col min="9" max="9" width="15.5703125" style="1" customWidth="1"/>
    <col min="10" max="10" width="12.5703125" customWidth="1"/>
    <col min="11" max="11" width="11" customWidth="1"/>
    <col min="12" max="13" width="11.42578125" customWidth="1"/>
    <col min="14" max="14" width="15" style="2" bestFit="1" customWidth="1"/>
    <col min="15" max="15" width="15.5703125" style="1" bestFit="1" customWidth="1"/>
    <col min="16" max="16" width="7.5703125" style="1" hidden="1" customWidth="1"/>
    <col min="17" max="17" width="13.42578125" style="1" customWidth="1"/>
    <col min="18" max="18" width="12" hidden="1" customWidth="1"/>
    <col min="19" max="19" width="14.42578125" customWidth="1"/>
    <col min="20" max="20" width="10.42578125" hidden="1" customWidth="1"/>
    <col min="21" max="21" width="14.42578125" customWidth="1"/>
    <col min="22" max="22" width="91" customWidth="1"/>
    <col min="23" max="23" width="12.5703125" customWidth="1"/>
    <col min="24" max="24" width="13.5703125" customWidth="1"/>
  </cols>
  <sheetData>
    <row r="2" spans="2:22" ht="24" thickBot="1" x14ac:dyDescent="0.4">
      <c r="B2" s="1022" t="s">
        <v>52</v>
      </c>
      <c r="C2" s="1022"/>
      <c r="D2" s="1022"/>
      <c r="E2" s="1022"/>
      <c r="F2" s="1022"/>
      <c r="G2" s="1022"/>
      <c r="H2" s="1022"/>
      <c r="I2" s="1022"/>
      <c r="J2" s="1022"/>
      <c r="K2" s="1022"/>
      <c r="L2" s="1022"/>
      <c r="M2" s="1022"/>
      <c r="N2" s="1022"/>
      <c r="O2" s="1022"/>
      <c r="P2" s="1022"/>
      <c r="Q2" s="1022"/>
      <c r="R2" s="1022"/>
      <c r="S2" s="1022"/>
      <c r="T2" s="1022"/>
      <c r="U2" s="1022"/>
      <c r="V2" s="1022"/>
    </row>
    <row r="3" spans="2:22" ht="80.25" thickTop="1" thickBot="1" x14ac:dyDescent="0.25">
      <c r="B3" s="37" t="s">
        <v>0</v>
      </c>
      <c r="C3" s="38" t="s">
        <v>2</v>
      </c>
      <c r="D3" s="38" t="s">
        <v>12</v>
      </c>
      <c r="E3" s="38" t="s">
        <v>11</v>
      </c>
      <c r="F3" s="38" t="s">
        <v>15</v>
      </c>
      <c r="G3" s="38" t="s">
        <v>9</v>
      </c>
      <c r="H3" s="38" t="s">
        <v>17</v>
      </c>
      <c r="I3" s="38" t="s">
        <v>5</v>
      </c>
      <c r="J3" s="38" t="s">
        <v>43</v>
      </c>
      <c r="K3" s="38" t="s">
        <v>4</v>
      </c>
      <c r="L3" s="38" t="s">
        <v>161</v>
      </c>
      <c r="M3" s="38" t="s">
        <v>10</v>
      </c>
      <c r="N3" s="39" t="s">
        <v>34</v>
      </c>
      <c r="O3" s="40" t="s">
        <v>55</v>
      </c>
      <c r="P3" s="40" t="s">
        <v>8</v>
      </c>
      <c r="Q3" s="41" t="s">
        <v>7</v>
      </c>
      <c r="R3" s="41" t="s">
        <v>6</v>
      </c>
      <c r="S3" s="41" t="s">
        <v>170</v>
      </c>
      <c r="T3" s="41" t="s">
        <v>47</v>
      </c>
      <c r="U3" s="124" t="s">
        <v>170</v>
      </c>
      <c r="V3" s="5" t="s">
        <v>1</v>
      </c>
    </row>
    <row r="4" spans="2:22" s="19" customFormat="1" ht="50.25" thickTop="1" x14ac:dyDescent="0.2">
      <c r="B4" s="137">
        <v>42552</v>
      </c>
      <c r="C4" s="48" t="s">
        <v>33</v>
      </c>
      <c r="D4" s="49">
        <v>4200</v>
      </c>
      <c r="E4" s="50">
        <v>0.33124999999999999</v>
      </c>
      <c r="F4" s="51">
        <f>SUM([16]July_2016!$J8)</f>
        <v>290.8</v>
      </c>
      <c r="G4" s="52">
        <f>SUM([16]July_2016!$F8)</f>
        <v>4389</v>
      </c>
      <c r="H4" s="51">
        <f>SUM([16]July_2016!$K8)</f>
        <v>289.67400000000004</v>
      </c>
      <c r="I4" s="53">
        <f>SUM([16]July_2016!$N8)</f>
        <v>10.25</v>
      </c>
      <c r="J4" s="54">
        <f>SUM([16]July_2016!$Q8)</f>
        <v>413.4065934065934</v>
      </c>
      <c r="K4" s="54">
        <f>SUM([16]July_2016!$E8)</f>
        <v>637</v>
      </c>
      <c r="L4" s="134">
        <v>0.81736111111111109</v>
      </c>
      <c r="M4" s="54">
        <f>SUM([16]July_2016!$M8)</f>
        <v>138</v>
      </c>
      <c r="N4" s="122"/>
      <c r="O4" s="55">
        <f>SUM([16]July_2016!$P8)</f>
        <v>0.38720770288857509</v>
      </c>
      <c r="P4" s="54"/>
      <c r="Q4" s="66">
        <f>(G4)/(10.45*15000*(1/24))</f>
        <v>0.67200000000000004</v>
      </c>
      <c r="R4" s="56"/>
      <c r="S4" s="46">
        <f t="shared" ref="S4:S9" si="0">(G4)*24/(K4/60)/15000</f>
        <v>0.66145054945054949</v>
      </c>
      <c r="T4" s="46">
        <f t="shared" ref="T4:T9" si="1">(H4+H7)*24/(M4/60)/15000</f>
        <v>0.3710594782608696</v>
      </c>
      <c r="U4" s="125">
        <f t="shared" ref="U4:U9" si="2">(G4)*24/(K4/60)/15300</f>
        <v>0.64848093083387204</v>
      </c>
      <c r="V4" s="24" t="s">
        <v>209</v>
      </c>
    </row>
    <row r="5" spans="2:22" s="19" customFormat="1" ht="49.5" x14ac:dyDescent="0.2">
      <c r="B5" s="137">
        <v>42553</v>
      </c>
      <c r="C5" s="48" t="s">
        <v>31</v>
      </c>
      <c r="D5" s="49">
        <v>3300</v>
      </c>
      <c r="E5" s="50">
        <v>0.34027777777777773</v>
      </c>
      <c r="F5" s="51">
        <f>SUM([16]July_2016!$J9)</f>
        <v>250.9</v>
      </c>
      <c r="G5" s="52">
        <f>SUM([16]July_2016!$F9)</f>
        <v>3336</v>
      </c>
      <c r="H5" s="51">
        <f>SUM([16]July_2016!$K9)</f>
        <v>248.19839999999999</v>
      </c>
      <c r="I5" s="53">
        <f>SUM([16]July_2016!$N9)</f>
        <v>18</v>
      </c>
      <c r="J5" s="54">
        <f>SUM([16]July_2016!$Q9)</f>
        <v>404.36363636363637</v>
      </c>
      <c r="K5" s="54">
        <f>SUM([16]July_2016!$E9)</f>
        <v>495</v>
      </c>
      <c r="L5" s="134">
        <v>0.71458333333333324</v>
      </c>
      <c r="M5" s="54">
        <f>SUM([16]July_2016!$M9)</f>
        <v>78</v>
      </c>
      <c r="N5" s="54"/>
      <c r="O5" s="55">
        <f>SUM([16]July_2016!$P9)</f>
        <v>1.0767636508569205</v>
      </c>
      <c r="P5" s="54"/>
      <c r="Q5" s="66">
        <f>(G5)/(8.083*15000*(1/24))</f>
        <v>0.66034888036620065</v>
      </c>
      <c r="R5" s="56"/>
      <c r="S5" s="46">
        <f t="shared" si="0"/>
        <v>0.6469818181818181</v>
      </c>
      <c r="T5" s="46">
        <f t="shared" si="1"/>
        <v>0.69700726153846138</v>
      </c>
      <c r="U5" s="125">
        <f t="shared" si="2"/>
        <v>0.6342959001782531</v>
      </c>
      <c r="V5" s="24" t="s">
        <v>206</v>
      </c>
    </row>
    <row r="6" spans="2:22" s="19" customFormat="1" ht="49.5" x14ac:dyDescent="0.2">
      <c r="B6" s="137">
        <v>42555</v>
      </c>
      <c r="C6" s="48" t="s">
        <v>27</v>
      </c>
      <c r="D6" s="49">
        <v>4900</v>
      </c>
      <c r="E6" s="50">
        <v>0.32083333333333336</v>
      </c>
      <c r="F6" s="51">
        <f>SUM([16]July_2016!$J10)</f>
        <v>328.2</v>
      </c>
      <c r="G6" s="52">
        <f>SUM([16]July_2016!$F10)</f>
        <v>4932</v>
      </c>
      <c r="H6" s="51">
        <f>SUM([16]July_2016!$K10)</f>
        <v>325.512</v>
      </c>
      <c r="I6" s="53">
        <f>SUM([16]July_2016!$N10)</f>
        <v>22.75</v>
      </c>
      <c r="J6" s="54">
        <f>SUM([16]July_2016!$Q10)</f>
        <v>485.91133004926104</v>
      </c>
      <c r="K6" s="54">
        <f>SUM([16]July_2016!$E10)</f>
        <v>609</v>
      </c>
      <c r="L6" s="134">
        <v>0.79027777777777775</v>
      </c>
      <c r="M6" s="54">
        <f>SUM([16]July_2016!$M10)</f>
        <v>82</v>
      </c>
      <c r="N6" s="54"/>
      <c r="O6" s="55">
        <f>SUM([16]July_2016!$P10)</f>
        <v>0.81901279707495067</v>
      </c>
      <c r="P6" s="54"/>
      <c r="Q6" s="66">
        <f>(G6)/(9.983*15000*(1/24))</f>
        <v>0.79046378844034859</v>
      </c>
      <c r="R6" s="56"/>
      <c r="S6" s="46">
        <f t="shared" si="0"/>
        <v>0.77745812807881776</v>
      </c>
      <c r="T6" s="46">
        <f t="shared" si="1"/>
        <v>0.75366556097560977</v>
      </c>
      <c r="U6" s="125">
        <f t="shared" si="2"/>
        <v>0.76221385105766448</v>
      </c>
      <c r="V6" s="24" t="s">
        <v>207</v>
      </c>
    </row>
    <row r="7" spans="2:22" s="19" customFormat="1" ht="49.5" x14ac:dyDescent="0.2">
      <c r="B7" s="137">
        <v>42556</v>
      </c>
      <c r="C7" s="48" t="s">
        <v>27</v>
      </c>
      <c r="D7" s="49">
        <v>4900</v>
      </c>
      <c r="E7" s="50">
        <v>0.31736111111111115</v>
      </c>
      <c r="F7" s="51">
        <f>SUM([16]July_2016!$J11)</f>
        <v>245.80000000000004</v>
      </c>
      <c r="G7" s="52">
        <f>SUM([16]July_2016!$F11)</f>
        <v>3664</v>
      </c>
      <c r="H7" s="51">
        <f>SUM([16]July_2016!$K11)</f>
        <v>243.72400000000002</v>
      </c>
      <c r="I7" s="53">
        <f>SUM([16]July_2016!$N11)</f>
        <v>33.75</v>
      </c>
      <c r="J7" s="54">
        <f>SUM([16]July_2016!$Q11)</f>
        <v>355.15347334410342</v>
      </c>
      <c r="K7" s="54">
        <f>SUM([16]July_2016!$E11)</f>
        <v>619</v>
      </c>
      <c r="L7" s="134">
        <v>0.79791666666666661</v>
      </c>
      <c r="M7" s="54">
        <f>SUM([16]July_2016!$M11)</f>
        <v>246</v>
      </c>
      <c r="N7" s="54"/>
      <c r="O7" s="55">
        <f>SUM([16]July_2016!$P11)</f>
        <v>0.84458909682669714</v>
      </c>
      <c r="P7" s="54"/>
      <c r="Q7" s="66">
        <f>(G7)/(10.15*15000*(1/24))</f>
        <v>0.57757635467980295</v>
      </c>
      <c r="R7" s="56"/>
      <c r="S7" s="46">
        <f t="shared" si="0"/>
        <v>0.56824555735056537</v>
      </c>
      <c r="T7" s="46">
        <f t="shared" si="1"/>
        <v>0.20797502439024393</v>
      </c>
      <c r="U7" s="125">
        <f t="shared" si="2"/>
        <v>0.55710348759859352</v>
      </c>
      <c r="V7" s="24" t="s">
        <v>210</v>
      </c>
    </row>
    <row r="8" spans="2:22" s="19" customFormat="1" ht="66" x14ac:dyDescent="0.2">
      <c r="B8" s="137">
        <v>42557</v>
      </c>
      <c r="C8" s="48" t="s">
        <v>27</v>
      </c>
      <c r="D8" s="49">
        <v>3500</v>
      </c>
      <c r="E8" s="50">
        <v>0.32847222222222222</v>
      </c>
      <c r="F8" s="51">
        <f>SUM([16]July_2016!$J12)</f>
        <v>322.2</v>
      </c>
      <c r="G8" s="52">
        <f>SUM([16]July_2016!$F12)</f>
        <v>4820</v>
      </c>
      <c r="H8" s="51">
        <f>SUM([16]July_2016!$K12)</f>
        <v>318.12</v>
      </c>
      <c r="I8" s="53">
        <f>SUM([16]July_2016!$N12)</f>
        <v>63.25</v>
      </c>
      <c r="J8" s="54">
        <f>SUM([16]July_2016!$Q12)</f>
        <v>429.08011869436206</v>
      </c>
      <c r="K8" s="54">
        <f>SUM([16]July_2016!$E12)</f>
        <v>674</v>
      </c>
      <c r="L8" s="134">
        <v>0.83680555555555547</v>
      </c>
      <c r="M8" s="54">
        <f>SUM([16]July_2016!$M12)</f>
        <v>145</v>
      </c>
      <c r="N8" s="54"/>
      <c r="O8" s="55">
        <f>SUM([16]July_2016!$P12)</f>
        <v>1.266294227188077</v>
      </c>
      <c r="P8" s="54"/>
      <c r="Q8" s="66">
        <f>(G8)/(11.067*15000*(1/24))</f>
        <v>0.69684648052769493</v>
      </c>
      <c r="R8" s="56"/>
      <c r="S8" s="46">
        <f t="shared" si="0"/>
        <v>0.6865281899109793</v>
      </c>
      <c r="T8" s="46">
        <f t="shared" si="1"/>
        <v>0.37832474482758627</v>
      </c>
      <c r="U8" s="125">
        <f t="shared" si="2"/>
        <v>0.67306685285390133</v>
      </c>
      <c r="V8" s="24" t="s">
        <v>211</v>
      </c>
    </row>
    <row r="9" spans="2:22" s="19" customFormat="1" ht="30.75" customHeight="1" x14ac:dyDescent="0.2">
      <c r="B9" s="137">
        <v>42558</v>
      </c>
      <c r="C9" s="48" t="s">
        <v>29</v>
      </c>
      <c r="D9" s="49">
        <v>5600</v>
      </c>
      <c r="E9" s="50">
        <v>0.32222222222222224</v>
      </c>
      <c r="F9" s="51">
        <f>SUM([16]July_2016!$J13)</f>
        <v>322.2</v>
      </c>
      <c r="G9" s="52">
        <f>SUM([16]July_2016!$F13)</f>
        <v>4534</v>
      </c>
      <c r="H9" s="51">
        <f>SUM([16]July_2016!$K13)</f>
        <v>318.24400000000003</v>
      </c>
      <c r="I9" s="53">
        <f>SUM([16]July_2016!$N13)</f>
        <v>37.75</v>
      </c>
      <c r="J9" s="54">
        <f>SUM([16]July_2016!$Q13)</f>
        <v>444.50980392156868</v>
      </c>
      <c r="K9" s="54">
        <f>SUM([16]July_2016!$E13)</f>
        <v>612</v>
      </c>
      <c r="L9" s="134">
        <v>0.79166666666666663</v>
      </c>
      <c r="M9" s="54">
        <f>SUM([16]July_2016!$M13)</f>
        <v>105</v>
      </c>
      <c r="N9" s="54"/>
      <c r="O9" s="55">
        <f>SUM([16]July_2016!$P13)</f>
        <v>1.2278088144009809</v>
      </c>
      <c r="P9" s="54"/>
      <c r="Q9" s="66">
        <f>(G9)/(10.03*15000*(1/24))</f>
        <v>0.72327018943170485</v>
      </c>
      <c r="R9" s="56"/>
      <c r="S9" s="46">
        <f t="shared" si="0"/>
        <v>0.71121568627450993</v>
      </c>
      <c r="T9" s="46">
        <f t="shared" si="1"/>
        <v>0.40791040000000006</v>
      </c>
      <c r="U9" s="125">
        <f t="shared" si="2"/>
        <v>0.69727028066128427</v>
      </c>
      <c r="V9" s="24" t="s">
        <v>212</v>
      </c>
    </row>
    <row r="10" spans="2:22" s="19" customFormat="1" ht="33" x14ac:dyDescent="0.2">
      <c r="B10" s="137">
        <v>42559</v>
      </c>
      <c r="C10" s="48" t="s">
        <v>30</v>
      </c>
      <c r="D10" s="49">
        <v>4200</v>
      </c>
      <c r="E10" s="50">
        <v>0.2722222222222222</v>
      </c>
      <c r="F10" s="51">
        <f>SUM([16]July_2016!$J14)</f>
        <v>291.5</v>
      </c>
      <c r="G10" s="52">
        <f>SUM([16]July_2016!$F14)</f>
        <v>4382</v>
      </c>
      <c r="H10" s="51">
        <f>SUM([16]July_2016!$K14)</f>
        <v>289.21199999999999</v>
      </c>
      <c r="I10" s="53">
        <f>SUM([16]July_2016!$N14)</f>
        <v>24</v>
      </c>
      <c r="J10" s="54">
        <f>SUM([16]July_2016!$Q14)</f>
        <v>497.01323251417773</v>
      </c>
      <c r="K10" s="54">
        <f>SUM([16]July_2016!$E14)</f>
        <v>529</v>
      </c>
      <c r="L10" s="134">
        <v>0.68263888888888891</v>
      </c>
      <c r="M10" s="54">
        <f>SUM([16]July_2016!$M14)</f>
        <v>64</v>
      </c>
      <c r="N10" s="54"/>
      <c r="O10" s="55">
        <f>SUM([16]July_2016!$P14)</f>
        <v>0.78490566037736231</v>
      </c>
      <c r="P10" s="54"/>
      <c r="Q10" s="66">
        <f>(G10)/(8*15000*(1/24))</f>
        <v>0.87639999999999996</v>
      </c>
      <c r="R10" s="56"/>
      <c r="S10" s="46">
        <f>(G10)*24/(K10/60)/15000</f>
        <v>0.79522117202268428</v>
      </c>
      <c r="T10" s="46">
        <f>(H10+H13)*24/(M10/60)/15000</f>
        <v>0.71883899999999989</v>
      </c>
      <c r="U10" s="125">
        <f>(G10)*24/(K10/60)/15300</f>
        <v>0.77962860002223955</v>
      </c>
      <c r="V10" s="24" t="s">
        <v>213</v>
      </c>
    </row>
    <row r="11" spans="2:22" s="19" customFormat="1" ht="24.75" customHeight="1" x14ac:dyDescent="0.2">
      <c r="B11" s="137">
        <v>42562</v>
      </c>
      <c r="C11" s="48" t="s">
        <v>29</v>
      </c>
      <c r="D11" s="49">
        <v>4200</v>
      </c>
      <c r="E11" s="50">
        <v>0.42222222222222222</v>
      </c>
      <c r="F11" s="51">
        <f>SUM([16]July_2016!$J15)</f>
        <v>256.60000000000002</v>
      </c>
      <c r="G11" s="52">
        <f>SUM([16]July_2016!$F15)</f>
        <v>3838</v>
      </c>
      <c r="H11" s="51">
        <f>SUM([16]July_2016!$K15)</f>
        <v>253.30800000000002</v>
      </c>
      <c r="I11" s="53">
        <f>SUM([16]July_2016!$N15)</f>
        <v>21</v>
      </c>
      <c r="J11" s="54">
        <f>SUM([16]July_2016!$Q15)</f>
        <v>495.22580645161293</v>
      </c>
      <c r="K11" s="54">
        <f>SUM([16]July_2016!$E15)</f>
        <v>465</v>
      </c>
      <c r="L11" s="134">
        <v>0.78888888888888886</v>
      </c>
      <c r="M11" s="54">
        <f>SUM([16]July_2016!$M15)</f>
        <v>33</v>
      </c>
      <c r="N11" s="54"/>
      <c r="O11" s="55">
        <f>SUM([16]July_2016!$P15)</f>
        <v>1.2829306313328142</v>
      </c>
      <c r="P11" s="54"/>
      <c r="Q11" s="66">
        <f>(G11)/(9.883*15000*(1/24))</f>
        <v>0.6213497925731053</v>
      </c>
      <c r="R11" s="56"/>
      <c r="S11" s="46">
        <f>(G11)*24/(K11/60)/15000</f>
        <v>0.79236129032258074</v>
      </c>
      <c r="T11" s="46">
        <f>(H11+H14)*24/(M11/60)/15000</f>
        <v>0.736896</v>
      </c>
      <c r="U11" s="125">
        <f>(G11)*24/(K11/60)/15300</f>
        <v>0.77682479443390262</v>
      </c>
      <c r="V11" s="24" t="s">
        <v>214</v>
      </c>
    </row>
    <row r="12" spans="2:22" s="19" customFormat="1" ht="66" x14ac:dyDescent="0.2">
      <c r="B12" s="137">
        <v>42563</v>
      </c>
      <c r="C12" s="48" t="s">
        <v>32</v>
      </c>
      <c r="D12" s="49">
        <v>2800</v>
      </c>
      <c r="E12" s="50">
        <v>0.31388888888888888</v>
      </c>
      <c r="F12" s="51">
        <f>SUM([16]July_2016!$J16)</f>
        <v>130.19999999999999</v>
      </c>
      <c r="G12" s="52">
        <f>SUM([16]July_2016!$F16)</f>
        <v>1938</v>
      </c>
      <c r="H12" s="51">
        <f>SUM([16]July_2016!$K16)</f>
        <v>127.908</v>
      </c>
      <c r="I12" s="53">
        <f>SUM([16]July_2016!$N16)</f>
        <v>10.75</v>
      </c>
      <c r="J12" s="54">
        <f>SUM([16]July_2016!$Q16)</f>
        <v>412.34042553191489</v>
      </c>
      <c r="K12" s="54">
        <f>SUM([16]July_2016!$E16)</f>
        <v>282</v>
      </c>
      <c r="L12" s="134">
        <v>0.58124999999999993</v>
      </c>
      <c r="M12" s="54">
        <f>SUM([16]July_2016!$M16)</f>
        <v>85</v>
      </c>
      <c r="N12" s="54"/>
      <c r="O12" s="55">
        <f>SUM([16]July_2016!$P16)</f>
        <v>1.7603686635944606</v>
      </c>
      <c r="P12" s="54"/>
      <c r="Q12" s="66">
        <f>(G12)/(9*15000*(1/24))</f>
        <v>0.34453333333333336</v>
      </c>
      <c r="R12" s="56"/>
      <c r="S12" s="46">
        <f>(G12)*24/(K12/60)/15000</f>
        <v>0.65974468085106386</v>
      </c>
      <c r="T12" s="46">
        <f>(H12+H15)*24/(M12/60)/15000</f>
        <v>0.21982192941176473</v>
      </c>
      <c r="U12" s="125">
        <f>(G12)*24/(K12/60)/15300</f>
        <v>0.64680851063829792</v>
      </c>
      <c r="V12" s="24" t="s">
        <v>215</v>
      </c>
    </row>
    <row r="13" spans="2:22" s="19" customFormat="1" ht="25.5" customHeight="1" x14ac:dyDescent="0.2">
      <c r="B13" s="1213">
        <v>42564</v>
      </c>
      <c r="C13" s="48" t="s">
        <v>32</v>
      </c>
      <c r="D13" s="1215">
        <v>2000</v>
      </c>
      <c r="E13" s="1217">
        <v>0.33194444444444443</v>
      </c>
      <c r="F13" s="1219">
        <f>SUM([16]July_2016!$J17)</f>
        <v>191.5</v>
      </c>
      <c r="G13" s="52">
        <f>SUM([16]July_2016!$F17)</f>
        <v>1691</v>
      </c>
      <c r="H13" s="1219">
        <f>SUM([16]July_2016!$K17)</f>
        <v>190.01400000000001</v>
      </c>
      <c r="I13" s="1221">
        <f>SUM([16]July_2016!$N17)</f>
        <v>21.25</v>
      </c>
      <c r="J13" s="1223">
        <f>SUM([16]July_2016!$Q17)</f>
        <v>387.06467661691539</v>
      </c>
      <c r="K13" s="1223">
        <f>SUM([16]July_2016!$E17)</f>
        <v>603</v>
      </c>
      <c r="L13" s="1247">
        <v>0.6791666666666667</v>
      </c>
      <c r="M13" s="1223">
        <f>SUM([16]July_2016!$M17)</f>
        <v>96</v>
      </c>
      <c r="N13" s="1223"/>
      <c r="O13" s="1225">
        <f>SUM([16]July_2016!$P17)</f>
        <v>0.77597911227153515</v>
      </c>
      <c r="P13" s="54"/>
      <c r="Q13" s="1227">
        <f>(G13+G14+G15)/(9.883*15000*(1/24))</f>
        <v>0.62976828898107862</v>
      </c>
      <c r="R13" s="56"/>
      <c r="S13" s="1039">
        <f>(G13+G14+G15)*24/(K13/60)/15000</f>
        <v>0.61930348258706458</v>
      </c>
      <c r="T13" s="46">
        <f>(H13+H16)*24/(M13/60)/15000</f>
        <v>0.52271999999999996</v>
      </c>
      <c r="U13" s="1237">
        <f>(G13+G14+G15)*24/(K13/60)/15300</f>
        <v>0.60716027704614173</v>
      </c>
      <c r="V13" s="1208" t="s">
        <v>217</v>
      </c>
    </row>
    <row r="14" spans="2:22" s="19" customFormat="1" ht="23.25" customHeight="1" x14ac:dyDescent="0.2">
      <c r="B14" s="1233"/>
      <c r="C14" s="48" t="s">
        <v>29</v>
      </c>
      <c r="D14" s="1216"/>
      <c r="E14" s="1234"/>
      <c r="F14" s="1220"/>
      <c r="G14" s="52">
        <f>SUM([16]July_2016!$F18)</f>
        <v>1188</v>
      </c>
      <c r="H14" s="1220"/>
      <c r="I14" s="1222"/>
      <c r="J14" s="1235"/>
      <c r="K14" s="1235"/>
      <c r="L14" s="1248"/>
      <c r="M14" s="1224"/>
      <c r="N14" s="1224"/>
      <c r="O14" s="1226"/>
      <c r="P14" s="54"/>
      <c r="Q14" s="1236"/>
      <c r="R14" s="56"/>
      <c r="S14" s="1041"/>
      <c r="T14" s="46"/>
      <c r="U14" s="1238"/>
      <c r="V14" s="1209"/>
    </row>
    <row r="15" spans="2:22" s="19" customFormat="1" ht="20.25" x14ac:dyDescent="0.2">
      <c r="B15" s="1214"/>
      <c r="C15" s="48" t="s">
        <v>27</v>
      </c>
      <c r="D15" s="49">
        <v>1000</v>
      </c>
      <c r="E15" s="1218"/>
      <c r="F15" s="51">
        <f>SUM([16]July_2016!$J19)</f>
        <v>67.8</v>
      </c>
      <c r="G15" s="52">
        <f>SUM([16]July_2016!$F19)</f>
        <v>1011</v>
      </c>
      <c r="H15" s="51">
        <f>SUM([16]July_2016!$K19)</f>
        <v>66.725999999999999</v>
      </c>
      <c r="I15" s="53">
        <f>SUM([16]July_2016!$N19)</f>
        <v>5.5</v>
      </c>
      <c r="J15" s="1224"/>
      <c r="K15" s="1224"/>
      <c r="L15" s="134">
        <v>0.78819444444444453</v>
      </c>
      <c r="M15" s="54">
        <f>SUM([16]July_2016!$M19)</f>
        <v>22</v>
      </c>
      <c r="N15" s="54"/>
      <c r="O15" s="55">
        <f>SUM([16]July_2016!$P19)</f>
        <v>1.5840707964601741</v>
      </c>
      <c r="P15" s="54"/>
      <c r="Q15" s="1228"/>
      <c r="R15" s="56"/>
      <c r="S15" s="1040"/>
      <c r="T15" s="46"/>
      <c r="U15" s="1239"/>
      <c r="V15" s="24" t="s">
        <v>216</v>
      </c>
    </row>
    <row r="16" spans="2:22" s="19" customFormat="1" ht="36" customHeight="1" x14ac:dyDescent="0.2">
      <c r="B16" s="137">
        <v>42565</v>
      </c>
      <c r="C16" s="48" t="s">
        <v>27</v>
      </c>
      <c r="D16" s="49">
        <v>4200</v>
      </c>
      <c r="E16" s="50">
        <v>0.33749999999999997</v>
      </c>
      <c r="F16" s="51">
        <f>SUM([16]July_2016!$J20)</f>
        <v>336.1</v>
      </c>
      <c r="G16" s="52">
        <f>SUM([16]July_2016!$F20)</f>
        <v>5041</v>
      </c>
      <c r="H16" s="51">
        <f>SUM([16]July_2016!$K20)</f>
        <v>332.70600000000002</v>
      </c>
      <c r="I16" s="53">
        <f>SUM([16]July_2016!$N20)</f>
        <v>29</v>
      </c>
      <c r="J16" s="54">
        <f>SUM([16]July_2016!$Q20)</f>
        <v>491.00649350649348</v>
      </c>
      <c r="K16" s="54">
        <f>SUM([16]July_2016!$E20)</f>
        <v>616</v>
      </c>
      <c r="L16" s="134">
        <v>0.79513888888888884</v>
      </c>
      <c r="M16" s="54">
        <f>SUM([16]July_2016!$M20)</f>
        <v>55</v>
      </c>
      <c r="N16" s="54"/>
      <c r="O16" s="55">
        <f>SUM([16]July_2016!$P20)</f>
        <v>1.0098185063969072</v>
      </c>
      <c r="P16" s="54"/>
      <c r="Q16" s="66">
        <f>(G16)/(10.1*15000*(1/24))</f>
        <v>0.79857425742574262</v>
      </c>
      <c r="R16" s="56"/>
      <c r="S16" s="46">
        <f>(G16)*24/(K16/60)/15000</f>
        <v>0.78561038961038954</v>
      </c>
      <c r="T16" s="46">
        <f>(H16+H19)*24/(M16/60)/15000</f>
        <v>1.0330319127272729</v>
      </c>
      <c r="U16" s="125">
        <f>(G16)*24/(K16/60)/15300</f>
        <v>0.77020626432391126</v>
      </c>
      <c r="V16" s="24" t="s">
        <v>218</v>
      </c>
    </row>
    <row r="17" spans="2:22" s="19" customFormat="1" ht="20.25" x14ac:dyDescent="0.2">
      <c r="B17" s="1213">
        <v>42566</v>
      </c>
      <c r="C17" s="48" t="s">
        <v>27</v>
      </c>
      <c r="D17" s="49">
        <v>3200</v>
      </c>
      <c r="E17" s="1217">
        <v>0.32013888888888892</v>
      </c>
      <c r="F17" s="51">
        <f>SUM([16]July_2016!$J21)</f>
        <v>160.30000000000001</v>
      </c>
      <c r="G17" s="52">
        <f>SUM([16]July_2016!$F21)</f>
        <v>2401</v>
      </c>
      <c r="H17" s="51">
        <f>SUM([16]July_2016!$K21)</f>
        <v>158.46600000000001</v>
      </c>
      <c r="I17" s="53">
        <f>SUM([16]July_2016!$N21)</f>
        <v>21.75</v>
      </c>
      <c r="J17" s="1223">
        <f>SUM([16]July_2016!$Q21)</f>
        <v>403.85120350109412</v>
      </c>
      <c r="K17" s="1223">
        <f>SUM([16]July_2016!$E21)</f>
        <v>457</v>
      </c>
      <c r="L17" s="134">
        <v>0.60763888888888895</v>
      </c>
      <c r="M17" s="54">
        <f>SUM([16]July_2016!$M21)</f>
        <v>55</v>
      </c>
      <c r="N17" s="54"/>
      <c r="O17" s="55">
        <f>SUM([16]July_2016!$P21)</f>
        <v>1.1441048034934518</v>
      </c>
      <c r="P17" s="54"/>
      <c r="Q17" s="1227">
        <f>(G17+G18)/(8*15000*(1/24))</f>
        <v>0.61519999999999997</v>
      </c>
      <c r="R17" s="56"/>
      <c r="S17" s="1039">
        <f>(G17+G18)*24/(K17/60)/15000</f>
        <v>0.64616192560175056</v>
      </c>
      <c r="T17" s="46">
        <f>(H17+H20)*24/(M17/60)/15000</f>
        <v>0.3506688</v>
      </c>
      <c r="U17" s="1237">
        <f>(G17+G18)*24/(K17/60)/15300</f>
        <v>0.63349208392328482</v>
      </c>
      <c r="V17" s="1208" t="s">
        <v>219</v>
      </c>
    </row>
    <row r="18" spans="2:22" s="19" customFormat="1" ht="20.25" x14ac:dyDescent="0.2">
      <c r="B18" s="1214"/>
      <c r="C18" s="48" t="s">
        <v>46</v>
      </c>
      <c r="D18" s="49">
        <v>700</v>
      </c>
      <c r="E18" s="1218"/>
      <c r="F18" s="51">
        <f>SUM([16]July_2016!$J22)</f>
        <v>48.8</v>
      </c>
      <c r="G18" s="52">
        <f>SUM([16]July_2016!$F22)</f>
        <v>675</v>
      </c>
      <c r="H18" s="51">
        <f>SUM([16]July_2016!$K22)</f>
        <v>44.550000000000004</v>
      </c>
      <c r="I18" s="53">
        <f>SUM([16]July_2016!$N22)</f>
        <v>4.75</v>
      </c>
      <c r="J18" s="1224"/>
      <c r="K18" s="1224"/>
      <c r="L18" s="134">
        <v>0.68680555555555556</v>
      </c>
      <c r="M18" s="54">
        <f>SUM([16]July_2016!$M22)</f>
        <v>70</v>
      </c>
      <c r="N18" s="54"/>
      <c r="O18" s="55">
        <f>SUM([16]July_2016!$P22)</f>
        <v>8.7090163934426084</v>
      </c>
      <c r="P18" s="54"/>
      <c r="Q18" s="1228"/>
      <c r="R18" s="56"/>
      <c r="S18" s="1040"/>
      <c r="T18" s="46"/>
      <c r="U18" s="1239"/>
      <c r="V18" s="1209"/>
    </row>
    <row r="19" spans="2:22" s="19" customFormat="1" ht="49.5" x14ac:dyDescent="0.2">
      <c r="B19" s="137">
        <v>42569</v>
      </c>
      <c r="C19" s="48" t="s">
        <v>31</v>
      </c>
      <c r="D19" s="49">
        <v>3300</v>
      </c>
      <c r="E19" s="50">
        <v>0.33333333333333331</v>
      </c>
      <c r="F19" s="51">
        <f>SUM([16]July_2016!$J23)</f>
        <v>260.39999999999998</v>
      </c>
      <c r="G19" s="52">
        <f>SUM([16]July_2016!$F23)</f>
        <v>3483</v>
      </c>
      <c r="H19" s="51">
        <f>SUM([16]July_2016!$K23)</f>
        <v>259.1352</v>
      </c>
      <c r="I19" s="53">
        <f>SUM([16]July_2016!$N23)</f>
        <v>14.5</v>
      </c>
      <c r="J19" s="54">
        <f>SUM([16]July_2016!$Q23)</f>
        <v>322.0030816640986</v>
      </c>
      <c r="K19" s="54">
        <f>SUM([16]July_2016!$E23)</f>
        <v>649</v>
      </c>
      <c r="L19" s="134">
        <v>0.81527777777777777</v>
      </c>
      <c r="M19" s="54">
        <f>SUM([16]July_2016!$M23)</f>
        <v>148</v>
      </c>
      <c r="N19" s="54"/>
      <c r="O19" s="55">
        <f>SUM([16]July_2016!$P23)</f>
        <v>0.48571428571427794</v>
      </c>
      <c r="P19" s="54"/>
      <c r="Q19" s="66">
        <f>(G19)/(10.65*15000*(1/24))</f>
        <v>0.52326760563380281</v>
      </c>
      <c r="R19" s="56"/>
      <c r="S19" s="46">
        <f>(G19)*24/(K19/60)/15000</f>
        <v>0.51520493066255779</v>
      </c>
      <c r="T19" s="46">
        <f>(H19+H22)*24/(M19/60)/15000</f>
        <v>0.22489504864864862</v>
      </c>
      <c r="U19" s="125">
        <f>(G19)*24/(K19/60)/15300</f>
        <v>0.50510287319858604</v>
      </c>
      <c r="V19" s="24" t="s">
        <v>220</v>
      </c>
    </row>
    <row r="20" spans="2:22" s="19" customFormat="1" ht="49.5" x14ac:dyDescent="0.2">
      <c r="B20" s="137">
        <v>42570</v>
      </c>
      <c r="C20" s="48" t="s">
        <v>33</v>
      </c>
      <c r="D20" s="49">
        <v>4200</v>
      </c>
      <c r="E20" s="50">
        <v>0.3215277777777778</v>
      </c>
      <c r="F20" s="51">
        <f>SUM([16]July_2016!$J24)</f>
        <v>43.499999999999986</v>
      </c>
      <c r="G20" s="52">
        <f>SUM([16]July_2016!$F24)</f>
        <v>643</v>
      </c>
      <c r="H20" s="51">
        <f>SUM([16]July_2016!$K24)</f>
        <v>42.438000000000002</v>
      </c>
      <c r="I20" s="53">
        <f>SUM([16]July_2016!$N24)</f>
        <v>6.5</v>
      </c>
      <c r="J20" s="54">
        <f>SUM([16]July_2016!$Q24)</f>
        <v>163.47457627118644</v>
      </c>
      <c r="K20" s="54">
        <f>SUM([16]July_2016!$E24)</f>
        <v>236</v>
      </c>
      <c r="L20" s="134"/>
      <c r="M20" s="54">
        <f>SUM([16]July_2016!$M24)</f>
        <v>405</v>
      </c>
      <c r="N20" s="54"/>
      <c r="O20" s="55">
        <f>SUM([16]July_2016!$P24)</f>
        <v>2.4413793103447903</v>
      </c>
      <c r="P20" s="54"/>
      <c r="Q20" s="66">
        <f>(G20)/(9*15000*(1/24))</f>
        <v>0.11431111111111111</v>
      </c>
      <c r="R20" s="56"/>
      <c r="S20" s="46">
        <f>(G20)*24/(K20/60)/15000</f>
        <v>0.26155932203389831</v>
      </c>
      <c r="T20" s="46">
        <f>(H20+H23)*24/(M20/60)/15000</f>
        <v>8.9657362962962964E-2</v>
      </c>
      <c r="U20" s="125">
        <f>(G20)*24/(K20/60)/15300</f>
        <v>0.2564307078763709</v>
      </c>
      <c r="V20" s="24" t="s">
        <v>221</v>
      </c>
    </row>
    <row r="21" spans="2:22" s="19" customFormat="1" ht="33" x14ac:dyDescent="0.2">
      <c r="B21" s="1213">
        <v>42571</v>
      </c>
      <c r="C21" s="48" t="s">
        <v>33</v>
      </c>
      <c r="D21" s="49"/>
      <c r="E21" s="1217">
        <v>0.34166666666666662</v>
      </c>
      <c r="F21" s="51">
        <f>SUM([16]July_2016!$J25)</f>
        <v>239.5</v>
      </c>
      <c r="G21" s="52">
        <f>SUM([16]July_2016!$F25)</f>
        <v>3614</v>
      </c>
      <c r="H21" s="51">
        <f>SUM([16]July_2016!$K25)</f>
        <v>238.524</v>
      </c>
      <c r="I21" s="53">
        <f>SUM([16]July_2016!$N25)</f>
        <v>24</v>
      </c>
      <c r="J21" s="1223">
        <f>SUM([16]July_2016!$Q25)</f>
        <v>357.54037267080747</v>
      </c>
      <c r="K21" s="1223">
        <f>SUM([16]July_2016!$E25)</f>
        <v>805</v>
      </c>
      <c r="L21" s="134"/>
      <c r="M21" s="54">
        <f>SUM([16]July_2016!$M25)</f>
        <v>84</v>
      </c>
      <c r="N21" s="54"/>
      <c r="O21" s="55">
        <f>SUM([16]July_2016!$P25)</f>
        <v>0.40751565762004138</v>
      </c>
      <c r="P21" s="54"/>
      <c r="Q21" s="1227">
        <f>(G21+G22)/(15*15000*(1/24))</f>
        <v>0.51168000000000002</v>
      </c>
      <c r="R21" s="56"/>
      <c r="S21" s="1039">
        <f>(G21+G22)*24/(K21/60)/15000</f>
        <v>0.57206459627329187</v>
      </c>
      <c r="T21" s="46">
        <f>(H21+H24)*24/(M21/60)/15000</f>
        <v>0.27259885714285714</v>
      </c>
      <c r="U21" s="1237">
        <f>(G21+G22)*24/(K21/60)/15300</f>
        <v>0.56084764340518811</v>
      </c>
      <c r="V21" s="24" t="s">
        <v>222</v>
      </c>
    </row>
    <row r="22" spans="2:22" s="19" customFormat="1" ht="49.5" x14ac:dyDescent="0.2">
      <c r="B22" s="1214"/>
      <c r="C22" s="48" t="s">
        <v>29</v>
      </c>
      <c r="D22" s="49">
        <v>2300</v>
      </c>
      <c r="E22" s="1218"/>
      <c r="F22" s="51">
        <f>SUM([16]July_2016!$J26)</f>
        <v>89.200000000000017</v>
      </c>
      <c r="G22" s="52">
        <f>SUM([16]July_2016!$F26)</f>
        <v>1183</v>
      </c>
      <c r="H22" s="51">
        <f>SUM([16]July_2016!$K26)</f>
        <v>87.578000000000003</v>
      </c>
      <c r="I22" s="53">
        <f>SUM([16]July_2016!$N26)</f>
        <v>2</v>
      </c>
      <c r="J22" s="1224"/>
      <c r="K22" s="1224"/>
      <c r="L22" s="134">
        <v>0.99652777777777779</v>
      </c>
      <c r="M22" s="54">
        <f>SUM([16]July_2016!$M26)</f>
        <v>156</v>
      </c>
      <c r="N22" s="54"/>
      <c r="O22" s="55">
        <f>SUM([16]July_2016!$P26)</f>
        <v>1.8183856502242308</v>
      </c>
      <c r="P22" s="54"/>
      <c r="Q22" s="1228"/>
      <c r="R22" s="56"/>
      <c r="S22" s="1040"/>
      <c r="T22" s="46"/>
      <c r="U22" s="1239"/>
      <c r="V22" s="24" t="s">
        <v>223</v>
      </c>
    </row>
    <row r="23" spans="2:22" s="19" customFormat="1" ht="20.25" x14ac:dyDescent="0.2">
      <c r="B23" s="1213">
        <v>42572</v>
      </c>
      <c r="C23" s="48" t="s">
        <v>29</v>
      </c>
      <c r="D23" s="49">
        <v>3300</v>
      </c>
      <c r="E23" s="1217">
        <v>0.35069444444444442</v>
      </c>
      <c r="F23" s="1219">
        <f>SUM([16]July_2016!$J27)</f>
        <v>338</v>
      </c>
      <c r="G23" s="52">
        <f>SUM([16]July_2016!$F27)</f>
        <v>4282</v>
      </c>
      <c r="H23" s="1219">
        <f>SUM([16]July_2016!$K27)</f>
        <v>335.80400000000003</v>
      </c>
      <c r="I23" s="1221">
        <f>SUM([16]July_2016!$N27)</f>
        <v>26.25</v>
      </c>
      <c r="J23" s="1223">
        <f>SUM([16]July_2016!$Q27)</f>
        <v>458.87788778877888</v>
      </c>
      <c r="K23" s="1223">
        <f>SUM([16]July_2016!$E27)</f>
        <v>909</v>
      </c>
      <c r="L23" s="1247">
        <v>0.81666666666666676</v>
      </c>
      <c r="M23" s="1223">
        <f>SUM([16]July_2016!$M27)</f>
        <v>83</v>
      </c>
      <c r="N23" s="54"/>
      <c r="O23" s="1225">
        <f>SUM([16]July_2016!$P27)</f>
        <v>0.64970414201182525</v>
      </c>
      <c r="P23" s="54"/>
      <c r="Q23" s="1227">
        <f>(G23+G24+G25)/(15*15000*(1/24))</f>
        <v>0.74154666666666669</v>
      </c>
      <c r="R23" s="56"/>
      <c r="S23" s="1039">
        <f>(G23+G24+G25)*24/(K23/60)/15000</f>
        <v>0.73420462046204615</v>
      </c>
      <c r="T23" s="46">
        <f>(H23+H26)*24/(M23/60)/15000</f>
        <v>0.87662110843373497</v>
      </c>
      <c r="U23" s="1237">
        <f>(G23+G24+G25)*24/(K23/60)/15300</f>
        <v>0.71980845143337857</v>
      </c>
      <c r="V23" s="1208" t="s">
        <v>224</v>
      </c>
    </row>
    <row r="24" spans="2:22" s="19" customFormat="1" ht="20.25" x14ac:dyDescent="0.2">
      <c r="B24" s="1233"/>
      <c r="C24" s="48" t="s">
        <v>32</v>
      </c>
      <c r="D24" s="49">
        <v>650</v>
      </c>
      <c r="E24" s="1234"/>
      <c r="F24" s="1220"/>
      <c r="G24" s="52">
        <f>SUM([16]July_2016!$F28)</f>
        <v>662</v>
      </c>
      <c r="H24" s="1220"/>
      <c r="I24" s="1222"/>
      <c r="J24" s="1235"/>
      <c r="K24" s="1235"/>
      <c r="L24" s="1248"/>
      <c r="M24" s="1224"/>
      <c r="N24" s="54"/>
      <c r="O24" s="1226"/>
      <c r="P24" s="54"/>
      <c r="Q24" s="1236"/>
      <c r="R24" s="56"/>
      <c r="S24" s="1041"/>
      <c r="T24" s="46"/>
      <c r="U24" s="1238"/>
      <c r="V24" s="1209"/>
    </row>
    <row r="25" spans="2:22" s="19" customFormat="1" ht="20.25" x14ac:dyDescent="0.2">
      <c r="B25" s="1214"/>
      <c r="C25" s="48" t="s">
        <v>27</v>
      </c>
      <c r="D25" s="49">
        <v>2100</v>
      </c>
      <c r="E25" s="1218"/>
      <c r="F25" s="51">
        <f>SUM([16]July_2016!$J29)</f>
        <v>133.60000000000002</v>
      </c>
      <c r="G25" s="52">
        <f>SUM([16]July_2016!$F29)</f>
        <v>2008</v>
      </c>
      <c r="H25" s="51">
        <f>SUM([16]July_2016!$K29)</f>
        <v>132.52800000000002</v>
      </c>
      <c r="I25" s="53">
        <f>SUM([16]July_2016!$N29)</f>
        <v>8</v>
      </c>
      <c r="J25" s="1224"/>
      <c r="K25" s="1224"/>
      <c r="L25" s="134">
        <v>0.99861111111111101</v>
      </c>
      <c r="M25" s="54">
        <f>SUM([16]July_2016!$M29)</f>
        <v>51</v>
      </c>
      <c r="N25" s="54"/>
      <c r="O25" s="55">
        <f>SUM([16]July_2016!$P29)</f>
        <v>0.80239520958084021</v>
      </c>
      <c r="P25" s="54"/>
      <c r="Q25" s="1228"/>
      <c r="R25" s="56"/>
      <c r="S25" s="1040"/>
      <c r="T25" s="46"/>
      <c r="U25" s="1239"/>
      <c r="V25" s="24" t="s">
        <v>225</v>
      </c>
    </row>
    <row r="26" spans="2:22" s="19" customFormat="1" ht="33" customHeight="1" x14ac:dyDescent="0.2">
      <c r="B26" s="137">
        <v>42573</v>
      </c>
      <c r="C26" s="48" t="s">
        <v>27</v>
      </c>
      <c r="D26" s="49">
        <v>6300</v>
      </c>
      <c r="E26" s="50">
        <v>0.3263888888888889</v>
      </c>
      <c r="F26" s="51">
        <f>SUM([16]July_2016!$J30)</f>
        <v>426.6</v>
      </c>
      <c r="G26" s="52">
        <f>SUM([16]July_2016!$F30)</f>
        <v>6338</v>
      </c>
      <c r="H26" s="51">
        <f>SUM([16]July_2016!$K30)</f>
        <v>422.108</v>
      </c>
      <c r="I26" s="53">
        <f>SUM([16]July_2016!$N30)</f>
        <v>22.75</v>
      </c>
      <c r="J26" s="54">
        <f>SUM([16]July_2016!$Q30)</f>
        <v>483.81679389312978</v>
      </c>
      <c r="K26" s="54">
        <f>SUM([16]July_2016!$E30)</f>
        <v>786</v>
      </c>
      <c r="L26" s="134">
        <v>0.91319444444444453</v>
      </c>
      <c r="M26" s="54">
        <f>SUM([16]July_2016!$M30)</f>
        <v>93</v>
      </c>
      <c r="N26" s="54"/>
      <c r="O26" s="55">
        <f>SUM([16]July_2016!$P30)</f>
        <v>1.0529770276605763</v>
      </c>
      <c r="P26" s="54"/>
      <c r="Q26" s="66">
        <f>(G26)/(14*15000*(1/24))</f>
        <v>0.72434285714285718</v>
      </c>
      <c r="R26" s="56"/>
      <c r="S26" s="46">
        <f>(G26)*24/(K26/60)/15000</f>
        <v>0.7741068702290077</v>
      </c>
      <c r="T26" s="46">
        <f>(H26+H29)*24/(M26/60)/15000</f>
        <v>0.5292286451612902</v>
      </c>
      <c r="U26" s="125">
        <f>(G26)*24/(K26/60)/15300</f>
        <v>0.75892830414608603</v>
      </c>
      <c r="V26" s="24" t="s">
        <v>226</v>
      </c>
    </row>
    <row r="27" spans="2:22" s="19" customFormat="1" ht="33" x14ac:dyDescent="0.2">
      <c r="B27" s="1213">
        <v>42576</v>
      </c>
      <c r="C27" s="48" t="s">
        <v>27</v>
      </c>
      <c r="D27" s="49">
        <v>2800</v>
      </c>
      <c r="E27" s="1217">
        <v>0.32013888888888892</v>
      </c>
      <c r="F27" s="51">
        <f>SUM([16]July_2016!$J31)</f>
        <v>185.8</v>
      </c>
      <c r="G27" s="52">
        <f>SUM([16]July_2016!$F31)</f>
        <v>2786</v>
      </c>
      <c r="H27" s="51">
        <f>SUM([16]July_2016!$K31)</f>
        <v>183.876</v>
      </c>
      <c r="I27" s="53">
        <f>SUM([16]July_2016!$N31)</f>
        <v>15.25</v>
      </c>
      <c r="J27" s="1223">
        <f>SUM([16]July_2016!$Q31)</f>
        <v>376.62653975363941</v>
      </c>
      <c r="K27" s="1223">
        <f>SUM([16]July_2016!$E31)</f>
        <v>893</v>
      </c>
      <c r="L27" s="134">
        <v>0.6958333333333333</v>
      </c>
      <c r="M27" s="54">
        <f>SUM([16]July_2016!$M31)</f>
        <v>124</v>
      </c>
      <c r="N27" s="54"/>
      <c r="O27" s="55">
        <f>SUM([16]July_2016!$P31)</f>
        <v>1.0355220667384319</v>
      </c>
      <c r="P27" s="54"/>
      <c r="Q27" s="1227">
        <f>(G27+G28+G29)/(15*15000*(1/24))</f>
        <v>0.59791555555555553</v>
      </c>
      <c r="R27" s="56"/>
      <c r="S27" s="1039">
        <f>(G27+G28+G29)*24/(K27/60)/15000</f>
        <v>0.60260246360582315</v>
      </c>
      <c r="T27" s="46">
        <f>(H27+H30)*24/(M27/60)/15000</f>
        <v>0.30169238709677415</v>
      </c>
      <c r="U27" s="1237">
        <f>(G27+G28+G29)*24/(K27/60)/15300</f>
        <v>0.59078672902531681</v>
      </c>
      <c r="V27" s="24" t="s">
        <v>228</v>
      </c>
    </row>
    <row r="28" spans="2:22" s="19" customFormat="1" ht="20.25" x14ac:dyDescent="0.2">
      <c r="B28" s="1233"/>
      <c r="C28" s="48" t="s">
        <v>44</v>
      </c>
      <c r="D28" s="49">
        <v>1400</v>
      </c>
      <c r="E28" s="1234"/>
      <c r="F28" s="51">
        <f>SUM([16]July_2016!$J32)</f>
        <v>98</v>
      </c>
      <c r="G28" s="52">
        <f>SUM([16]July_2016!$F32)</f>
        <v>1447</v>
      </c>
      <c r="H28" s="51">
        <f>SUM([16]July_2016!$K32)</f>
        <v>95.50200000000001</v>
      </c>
      <c r="I28" s="53">
        <f>SUM([16]July_2016!$N32)</f>
        <v>6</v>
      </c>
      <c r="J28" s="1235"/>
      <c r="K28" s="1235"/>
      <c r="L28" s="134">
        <v>0.84791666666666676</v>
      </c>
      <c r="M28" s="54">
        <f>SUM([16]July_2016!$M32)</f>
        <v>35</v>
      </c>
      <c r="N28" s="54"/>
      <c r="O28" s="55">
        <f>SUM([16]July_2016!$P32)</f>
        <v>2.5489795918367251</v>
      </c>
      <c r="P28" s="54"/>
      <c r="Q28" s="1236"/>
      <c r="R28" s="56"/>
      <c r="S28" s="1041"/>
      <c r="T28" s="46"/>
      <c r="U28" s="1238"/>
      <c r="V28" s="24" t="s">
        <v>227</v>
      </c>
    </row>
    <row r="29" spans="2:22" s="19" customFormat="1" ht="21" customHeight="1" x14ac:dyDescent="0.2">
      <c r="B29" s="1214"/>
      <c r="C29" s="48" t="s">
        <v>42</v>
      </c>
      <c r="D29" s="49">
        <v>1960</v>
      </c>
      <c r="E29" s="1218"/>
      <c r="F29" s="51">
        <f>SUM([16]July_2016!$J33)</f>
        <v>92.1</v>
      </c>
      <c r="G29" s="52">
        <f>SUM([16]July_2016!$F33)</f>
        <v>1372.4583333333333</v>
      </c>
      <c r="H29" s="51">
        <f>SUM([16]July_2016!$K33)</f>
        <v>90.582250000000002</v>
      </c>
      <c r="I29" s="53">
        <f>SUM([16]July_2016!$N33)</f>
        <v>10.75</v>
      </c>
      <c r="J29" s="1224"/>
      <c r="K29" s="1224"/>
      <c r="L29" s="134">
        <v>0.99305555555555547</v>
      </c>
      <c r="M29" s="54">
        <f>SUM([16]July_2016!$M33)</f>
        <v>66</v>
      </c>
      <c r="N29" s="54"/>
      <c r="O29" s="55">
        <f>SUM([16]July_2016!$P33)</f>
        <v>1.6479370249728473</v>
      </c>
      <c r="P29" s="54"/>
      <c r="Q29" s="1228"/>
      <c r="R29" s="56"/>
      <c r="S29" s="1040"/>
      <c r="T29" s="46"/>
      <c r="U29" s="1239"/>
      <c r="V29" s="24" t="s">
        <v>229</v>
      </c>
    </row>
    <row r="30" spans="2:22" s="19" customFormat="1" ht="20.25" x14ac:dyDescent="0.2">
      <c r="B30" s="1213">
        <v>42577</v>
      </c>
      <c r="C30" s="48" t="s">
        <v>42</v>
      </c>
      <c r="D30" s="49">
        <v>2900</v>
      </c>
      <c r="E30" s="1217">
        <v>0.31458333333333333</v>
      </c>
      <c r="F30" s="51">
        <f>SUM([16]July_2016!$J34)</f>
        <v>208.9</v>
      </c>
      <c r="G30" s="52">
        <f>SUM([16]July_2016!$F34)</f>
        <v>3055</v>
      </c>
      <c r="H30" s="51">
        <f>SUM([16]July_2016!$K34)</f>
        <v>205.81</v>
      </c>
      <c r="I30" s="53">
        <f>SUM([16]July_2016!$N34)</f>
        <v>15</v>
      </c>
      <c r="J30" s="1223">
        <f>SUM([16]July_2016!$Q34)</f>
        <v>397.47508305647841</v>
      </c>
      <c r="K30" s="1223">
        <f>SUM([16]July_2016!$E34)</f>
        <v>903</v>
      </c>
      <c r="L30" s="134">
        <v>0.61805555555555558</v>
      </c>
      <c r="M30" s="54">
        <f>SUM([16]July_2016!$M34)</f>
        <v>21</v>
      </c>
      <c r="N30" s="54"/>
      <c r="O30" s="55">
        <f>SUM([16]July_2016!$P34)</f>
        <v>1.4791766395404515</v>
      </c>
      <c r="P30" s="54"/>
      <c r="Q30" s="1227">
        <f>(G30+G31)/(15*15000*(1/24))</f>
        <v>0.63807999999999998</v>
      </c>
      <c r="R30" s="56"/>
      <c r="S30" s="1039">
        <f>(G30+G31)*24/(K30/60)/15000</f>
        <v>0.63596013289036535</v>
      </c>
      <c r="T30" s="46">
        <f>(H30+H33)*24/(M30/60)/15000</f>
        <v>0.94084571428571451</v>
      </c>
      <c r="U30" s="1237">
        <f>(G30+G31)*24/(K30/60)/15300</f>
        <v>0.62349032636310331</v>
      </c>
      <c r="V30" s="24" t="s">
        <v>230</v>
      </c>
    </row>
    <row r="31" spans="2:22" s="19" customFormat="1" ht="33" x14ac:dyDescent="0.2">
      <c r="B31" s="1214"/>
      <c r="C31" s="48" t="s">
        <v>30</v>
      </c>
      <c r="D31" s="49">
        <v>4900</v>
      </c>
      <c r="E31" s="1218"/>
      <c r="F31" s="51">
        <f>SUM([16]July_2016!$J35)</f>
        <v>194.2</v>
      </c>
      <c r="G31" s="52">
        <f>SUM([16]July_2016!$F35)</f>
        <v>2927</v>
      </c>
      <c r="H31" s="51">
        <f>SUM([16]July_2016!$K35)</f>
        <v>193.18200000000002</v>
      </c>
      <c r="I31" s="53">
        <f>SUM([16]July_2016!$N35)</f>
        <v>14.75</v>
      </c>
      <c r="J31" s="1224"/>
      <c r="K31" s="1224"/>
      <c r="L31" s="134">
        <v>1.007638888888889</v>
      </c>
      <c r="M31" s="54">
        <f>SUM([16]July_2016!$M35)</f>
        <v>212</v>
      </c>
      <c r="N31" s="54"/>
      <c r="O31" s="55">
        <f>SUM([16]July_2016!$P35)</f>
        <v>0.52420185375899708</v>
      </c>
      <c r="P31" s="54"/>
      <c r="Q31" s="1228"/>
      <c r="R31" s="56"/>
      <c r="S31" s="1040"/>
      <c r="T31" s="46"/>
      <c r="U31" s="1239"/>
      <c r="V31" s="24" t="s">
        <v>231</v>
      </c>
    </row>
    <row r="32" spans="2:22" s="19" customFormat="1" ht="33" customHeight="1" x14ac:dyDescent="0.2">
      <c r="B32" s="1213">
        <v>42578</v>
      </c>
      <c r="C32" s="48" t="s">
        <v>32</v>
      </c>
      <c r="D32" s="1215">
        <v>4900</v>
      </c>
      <c r="E32" s="1217">
        <v>0.32013888888888892</v>
      </c>
      <c r="F32" s="1219">
        <f>SUM([16]July_2016!$J36)</f>
        <v>327.79999999999995</v>
      </c>
      <c r="G32" s="52">
        <f>SUM([16]July_2016!$F36)</f>
        <v>3120</v>
      </c>
      <c r="H32" s="1219">
        <f>SUM([16]July_2016!$K36)</f>
        <v>325.108</v>
      </c>
      <c r="I32" s="1221">
        <f>SUM([16]July_2016!$N36)</f>
        <v>15</v>
      </c>
      <c r="J32" s="1223">
        <f>SUM([16]July_2016!$Q36)</f>
        <v>378.37714285714281</v>
      </c>
      <c r="K32" s="1223">
        <f>SUM([16]July_2016!$E36)</f>
        <v>875</v>
      </c>
      <c r="L32" s="1247">
        <v>0.87638888888888899</v>
      </c>
      <c r="M32" s="1223">
        <f>SUM([16]July_2016!$M36)</f>
        <v>232</v>
      </c>
      <c r="N32" s="54"/>
      <c r="O32" s="1225">
        <f>SUM([16]July_2016!$P36)</f>
        <v>0.82123245881633633</v>
      </c>
      <c r="P32" s="54"/>
      <c r="Q32" s="1227">
        <f>(G32+G33+G34)/(15*15000*(1/24))</f>
        <v>0.5885866666666667</v>
      </c>
      <c r="R32" s="56"/>
      <c r="S32" s="1039">
        <f>(G32+G33+G34)*24/(K32/60)/15000</f>
        <v>0.60540342857142859</v>
      </c>
      <c r="T32" s="46">
        <f>(H32+H35)*24/(M32/60)/15000</f>
        <v>0.29142537931034485</v>
      </c>
      <c r="U32" s="1237">
        <f>(G32+G33+G34)*24/(K32/60)/15300</f>
        <v>0.59353277310924368</v>
      </c>
      <c r="V32" s="1208" t="s">
        <v>233</v>
      </c>
    </row>
    <row r="33" spans="2:22" s="19" customFormat="1" ht="33" customHeight="1" x14ac:dyDescent="0.2">
      <c r="B33" s="1233"/>
      <c r="C33" s="48" t="s">
        <v>29</v>
      </c>
      <c r="D33" s="1216"/>
      <c r="E33" s="1234"/>
      <c r="F33" s="1220"/>
      <c r="G33" s="52">
        <f>SUM([16]July_2016!$F37)</f>
        <v>1518</v>
      </c>
      <c r="H33" s="1220"/>
      <c r="I33" s="1222"/>
      <c r="J33" s="1235"/>
      <c r="K33" s="1235"/>
      <c r="L33" s="1248"/>
      <c r="M33" s="1224"/>
      <c r="N33" s="54"/>
      <c r="O33" s="1226"/>
      <c r="P33" s="54"/>
      <c r="Q33" s="1236"/>
      <c r="R33" s="56"/>
      <c r="S33" s="1041"/>
      <c r="T33" s="46"/>
      <c r="U33" s="1238"/>
      <c r="V33" s="1209"/>
    </row>
    <row r="34" spans="2:22" s="19" customFormat="1" ht="20.25" x14ac:dyDescent="0.2">
      <c r="B34" s="1214"/>
      <c r="C34" s="48" t="s">
        <v>30</v>
      </c>
      <c r="D34" s="49"/>
      <c r="E34" s="1218"/>
      <c r="F34" s="51">
        <f>SUM([16]July_2016!$J38)</f>
        <v>59.3</v>
      </c>
      <c r="G34" s="52">
        <f>SUM([16]July_2016!$F38)</f>
        <v>880</v>
      </c>
      <c r="H34" s="51">
        <f>SUM([16]July_2016!$K38)</f>
        <v>58.080000000000005</v>
      </c>
      <c r="I34" s="53">
        <f>SUM([16]July_2016!$N38)</f>
        <v>6</v>
      </c>
      <c r="J34" s="1224"/>
      <c r="K34" s="1224"/>
      <c r="L34" s="134">
        <v>0.98749999999999993</v>
      </c>
      <c r="M34" s="54">
        <f>SUM([16]July_2016!$M38)</f>
        <v>46</v>
      </c>
      <c r="N34" s="54"/>
      <c r="O34" s="55">
        <f>SUM([16]July_2016!$P38)</f>
        <v>2.0573355817875072</v>
      </c>
      <c r="P34" s="54"/>
      <c r="Q34" s="1228"/>
      <c r="R34" s="56"/>
      <c r="S34" s="1040"/>
      <c r="T34" s="46"/>
      <c r="U34" s="1239"/>
      <c r="V34" s="24" t="s">
        <v>232</v>
      </c>
    </row>
    <row r="35" spans="2:22" s="19" customFormat="1" ht="49.5" x14ac:dyDescent="0.2">
      <c r="B35" s="137">
        <v>42579</v>
      </c>
      <c r="C35" s="48" t="s">
        <v>29</v>
      </c>
      <c r="D35" s="49">
        <v>6500</v>
      </c>
      <c r="E35" s="50">
        <v>0.32083333333333336</v>
      </c>
      <c r="F35" s="51">
        <f>SUM([16]July_2016!$J39)</f>
        <v>385.6</v>
      </c>
      <c r="G35" s="52">
        <f>SUM([16]July_2016!$F39)</f>
        <v>5745</v>
      </c>
      <c r="H35" s="51">
        <f>SUM([16]July_2016!$K39)</f>
        <v>379.17</v>
      </c>
      <c r="I35" s="53">
        <f>SUM([16]July_2016!$N39)</f>
        <v>64</v>
      </c>
      <c r="J35" s="54">
        <f>SUM([16]July_2016!$Q39)</f>
        <v>385.13966480446931</v>
      </c>
      <c r="K35" s="54">
        <f>SUM([16]July_2016!$E39)</f>
        <v>895</v>
      </c>
      <c r="L35" s="134">
        <v>0.9868055555555556</v>
      </c>
      <c r="M35" s="54">
        <f>SUM([16]July_2016!$M39)</f>
        <v>259</v>
      </c>
      <c r="N35" s="54"/>
      <c r="O35" s="55">
        <f>SUM([16]July_2016!$P39)</f>
        <v>1.6675311203319518</v>
      </c>
      <c r="P35" s="54"/>
      <c r="Q35" s="66">
        <f>(G35)/(15*15000*(1/24))</f>
        <v>0.61280000000000001</v>
      </c>
      <c r="R35" s="56"/>
      <c r="S35" s="46">
        <f>(G35)*24/(K35/60)/15000</f>
        <v>0.61622346368715097</v>
      </c>
      <c r="T35" s="46">
        <f>(H35+H38)*24/(M35/60)/15000</f>
        <v>0.15950084942084944</v>
      </c>
      <c r="U35" s="125">
        <f>(G35)*24/(K35/60)/15300</f>
        <v>0.60414065067367739</v>
      </c>
      <c r="V35" s="24" t="s">
        <v>234</v>
      </c>
    </row>
    <row r="36" spans="2:22" s="19" customFormat="1" ht="20.25" x14ac:dyDescent="0.2">
      <c r="B36" s="1213">
        <v>42580</v>
      </c>
      <c r="C36" s="48" t="s">
        <v>29</v>
      </c>
      <c r="D36" s="49"/>
      <c r="E36" s="1217">
        <v>0.33263888888888887</v>
      </c>
      <c r="F36" s="51">
        <f>SUM([16]July_2016!$J40)</f>
        <v>56.5</v>
      </c>
      <c r="G36" s="52">
        <f>SUM([16]July_2016!$F40)</f>
        <v>831</v>
      </c>
      <c r="H36" s="51">
        <f>SUM([16]July_2016!$K40)</f>
        <v>54.846000000000004</v>
      </c>
      <c r="I36" s="53">
        <f>SUM([16]July_2016!$N40)</f>
        <v>9</v>
      </c>
      <c r="J36" s="1223">
        <f>SUM([16]July_2016!$Q40)</f>
        <v>356.84647302904563</v>
      </c>
      <c r="K36" s="1223">
        <f>SUM([16]July_2016!$E40)</f>
        <v>723</v>
      </c>
      <c r="L36" s="134">
        <v>0.46597222222222223</v>
      </c>
      <c r="M36" s="54">
        <f>SUM([16]July_2016!$M40)</f>
        <v>21</v>
      </c>
      <c r="N36" s="54"/>
      <c r="O36" s="55">
        <f>SUM([16]July_2016!$P40)</f>
        <v>2.9274336283185773</v>
      </c>
      <c r="P36" s="54"/>
      <c r="Q36" s="1227">
        <f>(G36+G37+G38)/(14*15000*(1/24))</f>
        <v>0.49142857142857144</v>
      </c>
      <c r="R36" s="56"/>
      <c r="S36" s="1039">
        <f>(G36+G37+G38)*24/(K36/60)/15000</f>
        <v>0.570954356846473</v>
      </c>
      <c r="T36" s="46">
        <f>(H36+H39)*24/(M36/60)/15000</f>
        <v>0.25072457142857146</v>
      </c>
      <c r="U36" s="1237">
        <f>(G36+G37+G38)*24/(K36/60)/15300</f>
        <v>0.55975917337889503</v>
      </c>
      <c r="V36" s="24" t="s">
        <v>235</v>
      </c>
    </row>
    <row r="37" spans="2:22" s="19" customFormat="1" ht="33" x14ac:dyDescent="0.2">
      <c r="B37" s="1233"/>
      <c r="C37" s="48" t="s">
        <v>30</v>
      </c>
      <c r="D37" s="49">
        <v>2700</v>
      </c>
      <c r="E37" s="1234"/>
      <c r="F37" s="51">
        <f>SUM([16]July_2016!$J41)</f>
        <v>178.7</v>
      </c>
      <c r="G37" s="52">
        <f>SUM([16]July_2016!$F41)</f>
        <v>2694</v>
      </c>
      <c r="H37" s="51">
        <f>SUM([16]July_2016!$K41)</f>
        <v>177.804</v>
      </c>
      <c r="I37" s="53">
        <f>SUM([16]July_2016!$N41)</f>
        <v>19</v>
      </c>
      <c r="J37" s="1235"/>
      <c r="K37" s="1235"/>
      <c r="L37" s="134">
        <v>0.74861111111111101</v>
      </c>
      <c r="M37" s="54">
        <f>SUM([16]July_2016!$M41)</f>
        <v>109</v>
      </c>
      <c r="N37" s="54"/>
      <c r="O37" s="55">
        <f>SUM([16]July_2016!$P41)</f>
        <v>0.50139899272523036</v>
      </c>
      <c r="P37" s="54"/>
      <c r="Q37" s="1236"/>
      <c r="R37" s="56"/>
      <c r="S37" s="1041"/>
      <c r="T37" s="46"/>
      <c r="U37" s="1238"/>
      <c r="V37" s="24" t="s">
        <v>236</v>
      </c>
    </row>
    <row r="38" spans="2:22" s="19" customFormat="1" ht="20.25" x14ac:dyDescent="0.2">
      <c r="B38" s="1214"/>
      <c r="C38" s="48" t="s">
        <v>51</v>
      </c>
      <c r="D38" s="49">
        <v>750</v>
      </c>
      <c r="E38" s="1218"/>
      <c r="F38" s="51">
        <f>SUM([16]July_2016!$J42)</f>
        <v>53</v>
      </c>
      <c r="G38" s="52">
        <f>SUM([16]July_2016!$F42)</f>
        <v>775</v>
      </c>
      <c r="H38" s="51">
        <f>SUM([16]July_2016!$K42)</f>
        <v>51.150000000000006</v>
      </c>
      <c r="I38" s="53">
        <f>SUM([16]July_2016!$N42)</f>
        <v>10</v>
      </c>
      <c r="J38" s="1224"/>
      <c r="K38" s="1224"/>
      <c r="L38" s="134">
        <v>0.86944444444444446</v>
      </c>
      <c r="M38" s="54">
        <f>SUM([16]July_2016!$M42)</f>
        <v>92</v>
      </c>
      <c r="N38" s="54"/>
      <c r="O38" s="55">
        <f>SUM([16]July_2016!$P42)</f>
        <v>3.4905660377358387</v>
      </c>
      <c r="P38" s="54"/>
      <c r="Q38" s="1228"/>
      <c r="R38" s="56"/>
      <c r="S38" s="1040"/>
      <c r="T38" s="46"/>
      <c r="U38" s="1239"/>
      <c r="V38" s="24" t="s">
        <v>237</v>
      </c>
    </row>
    <row r="39" spans="2:22" s="19" customFormat="1" ht="20.25" x14ac:dyDescent="0.2">
      <c r="B39" s="137"/>
      <c r="C39" s="48"/>
      <c r="D39" s="49"/>
      <c r="E39" s="50"/>
      <c r="F39" s="51"/>
      <c r="G39" s="52"/>
      <c r="H39" s="51"/>
      <c r="I39" s="53"/>
      <c r="J39" s="54"/>
      <c r="K39" s="54"/>
      <c r="L39" s="54"/>
      <c r="M39" s="54"/>
      <c r="N39" s="54"/>
      <c r="O39" s="55"/>
      <c r="P39" s="54"/>
      <c r="Q39" s="66"/>
      <c r="R39" s="56"/>
      <c r="S39" s="46"/>
      <c r="T39" s="46"/>
      <c r="U39" s="125"/>
      <c r="V39" s="24"/>
    </row>
    <row r="40" spans="2:22" s="19" customFormat="1" ht="21" thickBot="1" x14ac:dyDescent="0.25">
      <c r="B40" s="137"/>
      <c r="C40" s="48"/>
      <c r="D40" s="49"/>
      <c r="E40" s="50"/>
      <c r="F40" s="51"/>
      <c r="G40" s="52"/>
      <c r="H40" s="51"/>
      <c r="I40" s="53"/>
      <c r="J40" s="54"/>
      <c r="K40" s="54"/>
      <c r="L40" s="54"/>
      <c r="M40" s="54"/>
      <c r="N40" s="54"/>
      <c r="O40" s="55"/>
      <c r="P40" s="54"/>
      <c r="Q40" s="66"/>
      <c r="R40" s="56"/>
      <c r="S40" s="46"/>
      <c r="T40" s="46"/>
      <c r="U40" s="125"/>
      <c r="V40" s="24"/>
    </row>
    <row r="41" spans="2:22" s="19" customFormat="1" ht="20.25" hidden="1" x14ac:dyDescent="0.2">
      <c r="B41" s="137"/>
      <c r="C41" s="48"/>
      <c r="D41" s="49"/>
      <c r="E41" s="50"/>
      <c r="F41" s="51"/>
      <c r="G41" s="52"/>
      <c r="H41" s="51"/>
      <c r="I41" s="53"/>
      <c r="J41" s="54"/>
      <c r="K41" s="54"/>
      <c r="L41" s="54"/>
      <c r="M41" s="54"/>
      <c r="N41" s="54"/>
      <c r="O41" s="55"/>
      <c r="P41" s="54"/>
      <c r="Q41" s="66"/>
      <c r="R41" s="56"/>
      <c r="S41" s="46"/>
      <c r="T41" s="46"/>
      <c r="U41" s="125"/>
      <c r="V41" s="24"/>
    </row>
    <row r="42" spans="2:22" s="19" customFormat="1" ht="31.5" hidden="1" customHeight="1" x14ac:dyDescent="0.2">
      <c r="B42" s="137"/>
      <c r="C42" s="48"/>
      <c r="D42" s="49"/>
      <c r="E42" s="50"/>
      <c r="F42" s="51"/>
      <c r="G42" s="52"/>
      <c r="H42" s="51"/>
      <c r="I42" s="53"/>
      <c r="J42" s="54"/>
      <c r="K42" s="54"/>
      <c r="L42" s="54"/>
      <c r="M42" s="54"/>
      <c r="N42" s="54"/>
      <c r="O42" s="55"/>
      <c r="P42" s="54"/>
      <c r="Q42" s="66"/>
      <c r="R42" s="56"/>
      <c r="S42" s="46"/>
      <c r="T42" s="18"/>
      <c r="U42" s="126"/>
      <c r="V42" s="24"/>
    </row>
    <row r="43" spans="2:22" s="19" customFormat="1" ht="31.5" hidden="1" customHeight="1" x14ac:dyDescent="0.2">
      <c r="B43" s="137"/>
      <c r="C43" s="48"/>
      <c r="D43" s="49"/>
      <c r="E43" s="50"/>
      <c r="F43" s="51"/>
      <c r="G43" s="52"/>
      <c r="H43" s="51"/>
      <c r="I43" s="53"/>
      <c r="J43" s="54"/>
      <c r="K43" s="54"/>
      <c r="L43" s="54"/>
      <c r="M43" s="54"/>
      <c r="N43" s="54"/>
      <c r="O43" s="55"/>
      <c r="P43" s="54"/>
      <c r="Q43" s="66"/>
      <c r="R43" s="56"/>
      <c r="S43" s="46"/>
      <c r="T43" s="18"/>
      <c r="U43" s="126"/>
      <c r="V43" s="24"/>
    </row>
    <row r="44" spans="2:22" s="19" customFormat="1" ht="31.5" hidden="1" customHeight="1" x14ac:dyDescent="0.2">
      <c r="B44" s="137"/>
      <c r="C44" s="48"/>
      <c r="D44" s="49"/>
      <c r="E44" s="50"/>
      <c r="F44" s="51"/>
      <c r="G44" s="52"/>
      <c r="H44" s="51"/>
      <c r="I44" s="53"/>
      <c r="J44" s="54"/>
      <c r="K44" s="54"/>
      <c r="L44" s="54"/>
      <c r="M44" s="54"/>
      <c r="N44" s="54"/>
      <c r="O44" s="55"/>
      <c r="P44" s="54"/>
      <c r="Q44" s="66"/>
      <c r="R44" s="56"/>
      <c r="S44" s="46"/>
      <c r="T44" s="18"/>
      <c r="U44" s="126"/>
      <c r="V44" s="24"/>
    </row>
    <row r="45" spans="2:22" s="19" customFormat="1" ht="31.5" hidden="1" customHeight="1" x14ac:dyDescent="0.2">
      <c r="B45" s="137"/>
      <c r="C45" s="48"/>
      <c r="D45" s="49"/>
      <c r="E45" s="50"/>
      <c r="F45" s="51"/>
      <c r="G45" s="52"/>
      <c r="H45" s="51"/>
      <c r="I45" s="53"/>
      <c r="J45" s="54"/>
      <c r="K45" s="54"/>
      <c r="L45" s="54"/>
      <c r="M45" s="54"/>
      <c r="N45" s="54"/>
      <c r="O45" s="55"/>
      <c r="P45" s="54"/>
      <c r="Q45" s="66"/>
      <c r="R45" s="56"/>
      <c r="S45" s="46"/>
      <c r="T45" s="18"/>
      <c r="U45" s="126"/>
      <c r="V45" s="24"/>
    </row>
    <row r="46" spans="2:22" s="19" customFormat="1" ht="31.5" hidden="1" customHeight="1" x14ac:dyDescent="0.2">
      <c r="B46" s="137"/>
      <c r="C46" s="48"/>
      <c r="D46" s="49"/>
      <c r="E46" s="50"/>
      <c r="F46" s="51"/>
      <c r="G46" s="52"/>
      <c r="H46" s="51"/>
      <c r="I46" s="53"/>
      <c r="J46" s="54"/>
      <c r="K46" s="54"/>
      <c r="L46" s="54"/>
      <c r="M46" s="54"/>
      <c r="N46" s="54"/>
      <c r="O46" s="55"/>
      <c r="P46" s="54"/>
      <c r="Q46" s="66"/>
      <c r="R46" s="56"/>
      <c r="S46" s="46"/>
      <c r="T46" s="18"/>
      <c r="U46" s="126"/>
      <c r="V46" s="24"/>
    </row>
    <row r="47" spans="2:22" s="19" customFormat="1" ht="31.5" hidden="1" customHeight="1" x14ac:dyDescent="0.2">
      <c r="B47" s="137"/>
      <c r="C47" s="48"/>
      <c r="D47" s="49"/>
      <c r="E47" s="50"/>
      <c r="F47" s="51"/>
      <c r="G47" s="52"/>
      <c r="H47" s="51"/>
      <c r="I47" s="53"/>
      <c r="J47" s="54"/>
      <c r="K47" s="54"/>
      <c r="L47" s="54"/>
      <c r="M47" s="54"/>
      <c r="N47" s="54"/>
      <c r="O47" s="55"/>
      <c r="P47" s="54"/>
      <c r="Q47" s="66"/>
      <c r="R47" s="56"/>
      <c r="S47" s="46"/>
      <c r="T47" s="18"/>
      <c r="U47" s="126"/>
      <c r="V47" s="24"/>
    </row>
    <row r="48" spans="2:22" s="19" customFormat="1" ht="31.5" hidden="1" customHeight="1" x14ac:dyDescent="0.2">
      <c r="B48" s="137"/>
      <c r="C48" s="48"/>
      <c r="D48" s="49"/>
      <c r="E48" s="50"/>
      <c r="F48" s="51"/>
      <c r="G48" s="52"/>
      <c r="H48" s="51"/>
      <c r="I48" s="53"/>
      <c r="J48" s="54"/>
      <c r="K48" s="54"/>
      <c r="L48" s="54"/>
      <c r="M48" s="54"/>
      <c r="N48" s="54"/>
      <c r="O48" s="55"/>
      <c r="P48" s="54"/>
      <c r="Q48" s="66"/>
      <c r="R48" s="56"/>
      <c r="S48" s="46"/>
      <c r="T48" s="18"/>
      <c r="U48" s="126"/>
      <c r="V48" s="24"/>
    </row>
    <row r="49" spans="2:22" s="19" customFormat="1" ht="31.5" hidden="1" customHeight="1" x14ac:dyDescent="0.2">
      <c r="B49" s="137"/>
      <c r="C49" s="48"/>
      <c r="D49" s="49"/>
      <c r="E49" s="50"/>
      <c r="F49" s="51"/>
      <c r="G49" s="52"/>
      <c r="H49" s="51"/>
      <c r="I49" s="53"/>
      <c r="J49" s="54"/>
      <c r="K49" s="54"/>
      <c r="L49" s="54"/>
      <c r="M49" s="54"/>
      <c r="N49" s="54"/>
      <c r="O49" s="55"/>
      <c r="P49" s="54"/>
      <c r="Q49" s="66"/>
      <c r="R49" s="56"/>
      <c r="S49" s="46"/>
      <c r="T49" s="18"/>
      <c r="U49" s="126"/>
      <c r="V49" s="24"/>
    </row>
    <row r="50" spans="2:22" s="19" customFormat="1" ht="31.5" hidden="1" customHeight="1" x14ac:dyDescent="0.2">
      <c r="B50" s="137"/>
      <c r="C50" s="48"/>
      <c r="D50" s="49"/>
      <c r="E50" s="50"/>
      <c r="F50" s="51"/>
      <c r="G50" s="52"/>
      <c r="H50" s="51"/>
      <c r="I50" s="53"/>
      <c r="J50" s="54"/>
      <c r="K50" s="54"/>
      <c r="L50" s="54"/>
      <c r="M50" s="54"/>
      <c r="N50" s="54"/>
      <c r="O50" s="55"/>
      <c r="P50" s="54"/>
      <c r="Q50" s="66"/>
      <c r="R50" s="56"/>
      <c r="S50" s="46"/>
      <c r="T50" s="18"/>
      <c r="U50" s="126"/>
      <c r="V50" s="24"/>
    </row>
    <row r="51" spans="2:22" s="19" customFormat="1" ht="31.5" hidden="1" customHeight="1" x14ac:dyDescent="0.2">
      <c r="B51" s="137"/>
      <c r="C51" s="48"/>
      <c r="D51" s="49"/>
      <c r="E51" s="50"/>
      <c r="F51" s="51"/>
      <c r="G51" s="52"/>
      <c r="H51" s="51"/>
      <c r="I51" s="53"/>
      <c r="J51" s="54"/>
      <c r="K51" s="54"/>
      <c r="L51" s="54"/>
      <c r="M51" s="54"/>
      <c r="N51" s="54"/>
      <c r="O51" s="55"/>
      <c r="P51" s="54"/>
      <c r="Q51" s="66"/>
      <c r="R51" s="56"/>
      <c r="S51" s="46"/>
      <c r="T51" s="18"/>
      <c r="U51" s="126"/>
      <c r="V51" s="24"/>
    </row>
    <row r="52" spans="2:22" s="19" customFormat="1" ht="31.5" hidden="1" customHeight="1" x14ac:dyDescent="0.2">
      <c r="B52" s="137"/>
      <c r="C52" s="48"/>
      <c r="D52" s="49"/>
      <c r="E52" s="50"/>
      <c r="F52" s="51"/>
      <c r="G52" s="52"/>
      <c r="H52" s="51"/>
      <c r="I52" s="53"/>
      <c r="J52" s="54"/>
      <c r="K52" s="54"/>
      <c r="L52" s="54"/>
      <c r="M52" s="54"/>
      <c r="N52" s="54"/>
      <c r="O52" s="55"/>
      <c r="P52" s="54"/>
      <c r="Q52" s="66"/>
      <c r="R52" s="56"/>
      <c r="S52" s="46"/>
      <c r="T52" s="18"/>
      <c r="U52" s="126"/>
      <c r="V52" s="24"/>
    </row>
    <row r="53" spans="2:22" s="19" customFormat="1" ht="31.5" hidden="1" customHeight="1" x14ac:dyDescent="0.2">
      <c r="B53" s="137"/>
      <c r="C53" s="48"/>
      <c r="D53" s="49"/>
      <c r="E53" s="50"/>
      <c r="F53" s="51"/>
      <c r="G53" s="52"/>
      <c r="H53" s="51"/>
      <c r="I53" s="53"/>
      <c r="J53" s="54"/>
      <c r="K53" s="54"/>
      <c r="L53" s="54"/>
      <c r="M53" s="54"/>
      <c r="N53" s="54"/>
      <c r="O53" s="55"/>
      <c r="P53" s="54"/>
      <c r="Q53" s="66"/>
      <c r="R53" s="56"/>
      <c r="S53" s="46"/>
      <c r="T53" s="18"/>
      <c r="U53" s="126"/>
      <c r="V53" s="24"/>
    </row>
    <row r="54" spans="2:22" s="19" customFormat="1" ht="31.5" hidden="1" customHeight="1" x14ac:dyDescent="0.2">
      <c r="B54" s="137"/>
      <c r="C54" s="48"/>
      <c r="D54" s="49"/>
      <c r="E54" s="50"/>
      <c r="F54" s="51"/>
      <c r="G54" s="52"/>
      <c r="H54" s="51"/>
      <c r="I54" s="53"/>
      <c r="J54" s="54"/>
      <c r="K54" s="54"/>
      <c r="L54" s="54"/>
      <c r="M54" s="54"/>
      <c r="N54" s="54"/>
      <c r="O54" s="55"/>
      <c r="P54" s="54"/>
      <c r="Q54" s="66"/>
      <c r="R54" s="56"/>
      <c r="S54" s="46"/>
      <c r="T54" s="18"/>
      <c r="U54" s="126"/>
      <c r="V54" s="24"/>
    </row>
    <row r="55" spans="2:22" s="19" customFormat="1" ht="31.5" hidden="1" customHeight="1" x14ac:dyDescent="0.2">
      <c r="B55" s="137"/>
      <c r="C55" s="48"/>
      <c r="D55" s="49"/>
      <c r="E55" s="50"/>
      <c r="F55" s="51"/>
      <c r="G55" s="52"/>
      <c r="H55" s="51"/>
      <c r="I55" s="53"/>
      <c r="J55" s="54"/>
      <c r="K55" s="54"/>
      <c r="L55" s="54"/>
      <c r="M55" s="54"/>
      <c r="N55" s="54"/>
      <c r="O55" s="55"/>
      <c r="P55" s="54"/>
      <c r="Q55" s="66"/>
      <c r="R55" s="56"/>
      <c r="S55" s="46"/>
      <c r="T55" s="18" t="e">
        <f>G55*24/(K55/60)/15400</f>
        <v>#DIV/0!</v>
      </c>
      <c r="U55" s="126"/>
      <c r="V55" s="24"/>
    </row>
    <row r="56" spans="2:22" s="19" customFormat="1" ht="31.5" hidden="1" customHeight="1" x14ac:dyDescent="0.2">
      <c r="B56" s="137"/>
      <c r="C56" s="48"/>
      <c r="D56" s="49"/>
      <c r="E56" s="50"/>
      <c r="F56" s="51"/>
      <c r="G56" s="52"/>
      <c r="H56" s="51"/>
      <c r="I56" s="53"/>
      <c r="J56" s="54"/>
      <c r="K56" s="54"/>
      <c r="L56" s="54"/>
      <c r="M56" s="54"/>
      <c r="N56" s="67"/>
      <c r="O56" s="55"/>
      <c r="P56" s="54"/>
      <c r="Q56" s="66"/>
      <c r="R56" s="56"/>
      <c r="S56" s="46"/>
      <c r="T56" s="18" t="e">
        <f>G56*24/(K56/60)/15400</f>
        <v>#DIV/0!</v>
      </c>
      <c r="U56" s="126"/>
      <c r="V56" s="24"/>
    </row>
    <row r="57" spans="2:22" s="19" customFormat="1" ht="30" hidden="1" customHeight="1" x14ac:dyDescent="0.2">
      <c r="B57" s="137"/>
      <c r="C57" s="26"/>
      <c r="D57" s="27"/>
      <c r="E57" s="28"/>
      <c r="F57" s="29"/>
      <c r="G57" s="30"/>
      <c r="H57" s="29"/>
      <c r="I57" s="31"/>
      <c r="J57" s="32"/>
      <c r="K57" s="32"/>
      <c r="L57" s="32"/>
      <c r="M57" s="32"/>
      <c r="N57" s="32"/>
      <c r="O57" s="33"/>
      <c r="P57" s="32"/>
      <c r="Q57" s="46"/>
      <c r="R57" s="34"/>
      <c r="S57" s="46"/>
      <c r="T57" s="18"/>
      <c r="U57" s="126"/>
      <c r="V57" s="24"/>
    </row>
    <row r="58" spans="2:22" s="19" customFormat="1" ht="20.25" hidden="1" x14ac:dyDescent="0.2">
      <c r="B58" s="137"/>
      <c r="C58" s="26"/>
      <c r="D58" s="27"/>
      <c r="E58" s="28"/>
      <c r="F58" s="29"/>
      <c r="G58" s="30"/>
      <c r="H58" s="29"/>
      <c r="I58" s="31"/>
      <c r="J58" s="32"/>
      <c r="K58" s="32"/>
      <c r="L58" s="32"/>
      <c r="M58" s="32"/>
      <c r="N58" s="32"/>
      <c r="O58" s="33"/>
      <c r="P58" s="32"/>
      <c r="Q58" s="46"/>
      <c r="R58" s="34"/>
      <c r="S58" s="46"/>
      <c r="T58" s="18"/>
      <c r="U58" s="126"/>
      <c r="V58" s="24"/>
    </row>
    <row r="59" spans="2:22" s="19" customFormat="1" ht="21" hidden="1" thickBot="1" x14ac:dyDescent="0.25">
      <c r="B59" s="137"/>
      <c r="C59" s="75"/>
      <c r="D59" s="71"/>
      <c r="E59" s="73"/>
      <c r="F59" s="76"/>
      <c r="G59" s="77"/>
      <c r="H59" s="76"/>
      <c r="I59" s="78"/>
      <c r="J59" s="72"/>
      <c r="K59" s="72"/>
      <c r="L59" s="72"/>
      <c r="M59" s="72"/>
      <c r="N59" s="72"/>
      <c r="O59" s="79"/>
      <c r="P59" s="80"/>
      <c r="Q59" s="70"/>
      <c r="R59" s="81"/>
      <c r="S59" s="70"/>
      <c r="T59" s="82"/>
      <c r="U59" s="127"/>
      <c r="V59" s="83"/>
    </row>
    <row r="60" spans="2:22" s="19" customFormat="1" ht="21" customHeight="1" thickBot="1" x14ac:dyDescent="0.35">
      <c r="B60" s="35" t="s">
        <v>3</v>
      </c>
      <c r="C60" s="36"/>
      <c r="D60" s="57">
        <f>SUM(D4:D58)</f>
        <v>99660</v>
      </c>
      <c r="E60" s="58">
        <f>AVERAGE(E4:E58)</f>
        <v>0.32910353535353537</v>
      </c>
      <c r="F60" s="59">
        <f>SUM(F4:F58)</f>
        <v>6613.6000000000013</v>
      </c>
      <c r="G60" s="57">
        <f>SUM(G4:G58)</f>
        <v>97203.458333333328</v>
      </c>
      <c r="H60" s="59">
        <f>SUM(H4:H58)</f>
        <v>6539.5878500000017</v>
      </c>
      <c r="I60" s="60">
        <f>SUM(I4:I58)</f>
        <v>612.5</v>
      </c>
      <c r="J60" s="61">
        <f>G60/(K60/60)</f>
        <v>408.64682595291475</v>
      </c>
      <c r="K60" s="57">
        <f>SUM(K4:K58)</f>
        <v>14272</v>
      </c>
      <c r="L60" s="135">
        <f>AVERAGE(L4:L59)</f>
        <v>0.79986111111111124</v>
      </c>
      <c r="M60" s="57">
        <f>SUM(M4:M58)</f>
        <v>3511</v>
      </c>
      <c r="N60" s="60">
        <f>SUM(N4:N58)</f>
        <v>0</v>
      </c>
      <c r="O60" s="87">
        <f>(F60-H60)/F60</f>
        <v>1.1190902080561199E-2</v>
      </c>
      <c r="P60" s="62">
        <f>SUM(P4:P58)</f>
        <v>0</v>
      </c>
      <c r="Q60" s="63">
        <f>AVERAGE(Q4:Q56)</f>
        <v>0.61592229090746564</v>
      </c>
      <c r="R60" s="64"/>
      <c r="S60" s="63">
        <f>(G60)*24/(K60/60)/15000</f>
        <v>0.6538349215246636</v>
      </c>
      <c r="T60" s="63">
        <f>H60*24/(M60/60)/15000</f>
        <v>0.17880957949302195</v>
      </c>
      <c r="U60" s="128">
        <f>(G60)*24/(K60/60)/15300</f>
        <v>0.64101462894574868</v>
      </c>
      <c r="V60" s="21"/>
    </row>
    <row r="61" spans="2:22" ht="16.5" customHeight="1" thickTop="1" x14ac:dyDescent="0.25">
      <c r="B61" s="11"/>
      <c r="C61" s="22" t="s">
        <v>35</v>
      </c>
      <c r="D61" s="42">
        <v>86910</v>
      </c>
      <c r="E61" s="1082" t="s">
        <v>39</v>
      </c>
      <c r="F61" s="1082"/>
      <c r="G61" s="43">
        <f>(D62/D61)</f>
        <v>1.1184381352356845</v>
      </c>
      <c r="H61" s="44"/>
      <c r="I61" s="44"/>
      <c r="J61" s="1210">
        <v>0</v>
      </c>
      <c r="K61" s="12"/>
      <c r="L61" s="12"/>
      <c r="M61" s="12"/>
      <c r="N61" s="13"/>
      <c r="O61" s="14"/>
      <c r="P61" s="12"/>
      <c r="Q61" s="15"/>
      <c r="R61" s="16"/>
      <c r="S61" s="15"/>
      <c r="T61" s="15"/>
      <c r="U61" s="15"/>
      <c r="V61" s="17" t="s">
        <v>48</v>
      </c>
    </row>
    <row r="62" spans="2:22" ht="14.25" customHeight="1" x14ac:dyDescent="0.25">
      <c r="B62" s="11"/>
      <c r="C62" s="22" t="s">
        <v>38</v>
      </c>
      <c r="D62" s="42">
        <f>G60</f>
        <v>97203.458333333328</v>
      </c>
      <c r="E62" s="1082" t="s">
        <v>36</v>
      </c>
      <c r="F62" s="1082"/>
      <c r="G62" s="42">
        <f>June_16!G62+July_16!D62</f>
        <v>556524.66666666674</v>
      </c>
      <c r="H62" s="44"/>
      <c r="I62" s="45" t="s">
        <v>40</v>
      </c>
      <c r="J62" s="1211"/>
      <c r="K62" s="12">
        <v>0</v>
      </c>
      <c r="L62" s="12"/>
      <c r="M62" s="12"/>
      <c r="N62" s="13"/>
      <c r="O62" s="14"/>
      <c r="P62" s="12"/>
      <c r="Q62" s="15"/>
      <c r="R62" s="16"/>
      <c r="S62" s="15"/>
      <c r="T62" s="15"/>
      <c r="U62" s="15"/>
      <c r="V62" s="17"/>
    </row>
    <row r="63" spans="2:22" ht="17.25" thickBot="1" x14ac:dyDescent="0.3">
      <c r="C63" s="23" t="s">
        <v>41</v>
      </c>
      <c r="D63" s="42">
        <f>D61-D62</f>
        <v>-10293.458333333328</v>
      </c>
      <c r="E63" s="1082" t="s">
        <v>37</v>
      </c>
      <c r="F63" s="1082"/>
      <c r="G63" s="42">
        <f>June_16!G63+July_16!D61</f>
        <v>508250</v>
      </c>
      <c r="H63" s="44"/>
      <c r="I63" s="44"/>
      <c r="J63" s="1212"/>
      <c r="Q63" s="10"/>
      <c r="V63" s="17"/>
    </row>
    <row r="64" spans="2:22" ht="17.25" thickTop="1" x14ac:dyDescent="0.2">
      <c r="B64" s="7"/>
      <c r="C64" s="88" t="s">
        <v>19</v>
      </c>
      <c r="D64" s="89" t="s">
        <v>14</v>
      </c>
      <c r="E64" s="89" t="s">
        <v>23</v>
      </c>
      <c r="F64" s="89" t="s">
        <v>24</v>
      </c>
      <c r="G64" s="90" t="s">
        <v>15</v>
      </c>
      <c r="H64" s="89" t="s">
        <v>17</v>
      </c>
      <c r="I64" s="89" t="s">
        <v>16</v>
      </c>
      <c r="J64" s="91">
        <v>0</v>
      </c>
    </row>
    <row r="65" spans="2:22" ht="16.5" x14ac:dyDescent="0.25">
      <c r="B65" s="8"/>
      <c r="C65" s="92">
        <v>1</v>
      </c>
      <c r="D65" s="93" t="s">
        <v>20</v>
      </c>
      <c r="E65" s="94">
        <f>SUM(G6,G7,G8,G9,G11,G12,G13:G15,G16,G17,G22,G23:G25,G26,G27,G33,G32,G35,G36)</f>
        <v>63531</v>
      </c>
      <c r="F65" s="95">
        <f>SUM(K6,K7,K8,K9,K11,K12,K13:K15,K16,K17,K21,K23,K26,K27,K32,K35,K36)</f>
        <v>10823</v>
      </c>
      <c r="G65" s="96">
        <f>SUM(F6,F7,F8,F9,F11,F12,F13:F15,F16,F17,F22,F23:F25,F26,F27,F32,F35,F36)</f>
        <v>4304</v>
      </c>
      <c r="H65" s="96">
        <f>SUM(H6,H7,H8,H9,H11,H12,H13:H15,H16,H17,H22,H23:H25,H26,H27,H32,H35,H36)</f>
        <v>4255.746000000001</v>
      </c>
      <c r="I65" s="97">
        <f t="shared" ref="I65:I70" si="3">(G65-H65)/G65</f>
        <v>1.1211431226765566E-2</v>
      </c>
      <c r="J65" s="98">
        <f>(E65+G18+G21+G28+G29+G34+G37+G38)*24/(F65/60)/15000</f>
        <v>0.66514755613046295</v>
      </c>
      <c r="Q65" s="65"/>
    </row>
    <row r="66" spans="2:22" s="1" customFormat="1" ht="16.5" x14ac:dyDescent="0.25">
      <c r="B66" s="8"/>
      <c r="C66" s="99">
        <v>2</v>
      </c>
      <c r="D66" s="100" t="s">
        <v>21</v>
      </c>
      <c r="E66" s="101">
        <f>SUM(G4,G10,G20,G21,G31,G34,G37)</f>
        <v>19529</v>
      </c>
      <c r="F66" s="102">
        <f>SUM(K4,K10,K20,K21,K30,K32,K36)</f>
        <v>4708</v>
      </c>
      <c r="G66" s="103">
        <f>SUM(F4,F10,F20,F21,F31,F34,F37)</f>
        <v>1297.5</v>
      </c>
      <c r="H66" s="103">
        <f>SUM(H4,H10,H20,H21,H31,H34,H37)</f>
        <v>1288.914</v>
      </c>
      <c r="I66" s="97">
        <f>(G66-H66)/G66</f>
        <v>6.6173410404624378E-3</v>
      </c>
      <c r="J66" s="98">
        <f>(E66+G22+G30+G32+G33+G36+G38)*24/(F66/60)/15000</f>
        <v>0.61194902293967712</v>
      </c>
      <c r="K66"/>
      <c r="L66"/>
      <c r="M66"/>
      <c r="N66" s="2"/>
      <c r="R66"/>
      <c r="S66"/>
      <c r="T66"/>
      <c r="U66"/>
      <c r="V66"/>
    </row>
    <row r="67" spans="2:22" s="1" customFormat="1" ht="16.5" x14ac:dyDescent="0.25">
      <c r="B67" s="8"/>
      <c r="C67" s="92">
        <v>3</v>
      </c>
      <c r="D67" s="100" t="s">
        <v>124</v>
      </c>
      <c r="E67" s="101"/>
      <c r="F67" s="102"/>
      <c r="G67" s="103"/>
      <c r="H67" s="103"/>
      <c r="I67" s="109" t="e">
        <f t="shared" si="3"/>
        <v>#DIV/0!</v>
      </c>
      <c r="J67" s="111" t="e">
        <f>(E67)*24/(F67/60)/15000</f>
        <v>#DIV/0!</v>
      </c>
      <c r="K67"/>
      <c r="L67"/>
      <c r="M67"/>
      <c r="N67" s="2"/>
      <c r="R67"/>
      <c r="S67"/>
      <c r="T67"/>
      <c r="U67"/>
      <c r="V67"/>
    </row>
    <row r="68" spans="2:22" s="1" customFormat="1" ht="16.5" x14ac:dyDescent="0.25">
      <c r="B68" s="8"/>
      <c r="C68" s="99">
        <v>4</v>
      </c>
      <c r="D68" s="100" t="s">
        <v>18</v>
      </c>
      <c r="E68" s="101">
        <f>SUM(G5,G19,G29,G30)</f>
        <v>11246.458333333332</v>
      </c>
      <c r="F68" s="102">
        <f>SUM(K5,K19,K27,K30)</f>
        <v>2940</v>
      </c>
      <c r="G68" s="101">
        <f>SUM(F5,F19,F29,F30)</f>
        <v>812.3</v>
      </c>
      <c r="H68" s="101">
        <f>SUM(H5,H19,H29,H30)</f>
        <v>803.72585000000004</v>
      </c>
      <c r="I68" s="97">
        <f t="shared" si="3"/>
        <v>1.0555398251877285E-2</v>
      </c>
      <c r="J68" s="98">
        <f>(E68+G27+G28+G31)*24/(F68/60)/15000</f>
        <v>0.60102721088435385</v>
      </c>
      <c r="K68"/>
      <c r="L68"/>
      <c r="M68"/>
      <c r="N68" s="2"/>
      <c r="Q68" s="8"/>
      <c r="R68"/>
      <c r="S68"/>
      <c r="T68" s="6"/>
      <c r="U68" s="6"/>
      <c r="V68"/>
    </row>
    <row r="69" spans="2:22" s="1" customFormat="1" ht="16.5" x14ac:dyDescent="0.25">
      <c r="B69" s="8"/>
      <c r="C69" s="92">
        <v>5</v>
      </c>
      <c r="D69" s="105" t="s">
        <v>26</v>
      </c>
      <c r="E69" s="106">
        <f>SUM(G18,G28,G38)</f>
        <v>2897</v>
      </c>
      <c r="F69" s="107">
        <f>SUM(K17,K27,K36)</f>
        <v>2073</v>
      </c>
      <c r="G69" s="108">
        <f>SUM(F18,F28,F38)</f>
        <v>199.8</v>
      </c>
      <c r="H69" s="108">
        <f>SUM(H18,H28,H38)</f>
        <v>191.20200000000003</v>
      </c>
      <c r="I69" s="97">
        <f t="shared" si="3"/>
        <v>4.3033033033032957E-2</v>
      </c>
      <c r="J69" s="98">
        <f>(E69+G17+G27+G29+G36+G37)*24/(F69/60)/15000</f>
        <v>0.60116739025566823</v>
      </c>
      <c r="K69"/>
      <c r="L69"/>
      <c r="M69"/>
      <c r="N69" s="2"/>
      <c r="R69"/>
      <c r="S69"/>
      <c r="T69" s="6"/>
      <c r="U69" s="6"/>
      <c r="V69"/>
    </row>
    <row r="70" spans="2:22" s="1" customFormat="1" ht="16.5" x14ac:dyDescent="0.25">
      <c r="B70" s="8"/>
      <c r="C70" s="99">
        <v>6</v>
      </c>
      <c r="D70" s="105" t="s">
        <v>25</v>
      </c>
      <c r="E70" s="106"/>
      <c r="F70" s="107"/>
      <c r="G70" s="108"/>
      <c r="H70" s="108"/>
      <c r="I70" s="109" t="e">
        <f t="shared" si="3"/>
        <v>#DIV/0!</v>
      </c>
      <c r="J70" s="111" t="e">
        <f>(E70)*24/(F70/60)/15000</f>
        <v>#DIV/0!</v>
      </c>
      <c r="K70"/>
      <c r="L70"/>
      <c r="M70"/>
      <c r="N70" s="2"/>
      <c r="R70"/>
      <c r="S70"/>
      <c r="T70"/>
      <c r="U70"/>
      <c r="V70"/>
    </row>
    <row r="71" spans="2:22" s="1" customFormat="1" ht="17.25" thickBot="1" x14ac:dyDescent="0.3">
      <c r="C71" s="112"/>
      <c r="D71" s="113" t="s">
        <v>22</v>
      </c>
      <c r="E71" s="114">
        <f>SUM(E65:E70)</f>
        <v>97203.458333333328</v>
      </c>
      <c r="F71" s="115">
        <f>K60</f>
        <v>14272</v>
      </c>
      <c r="G71" s="116">
        <f>SUM(G65:G70)</f>
        <v>6613.6</v>
      </c>
      <c r="H71" s="116">
        <f>SUM(H65:H70)</f>
        <v>6539.5878500000008</v>
      </c>
      <c r="I71" s="117">
        <f>((G71)-(H71))/(G71)</f>
        <v>1.1190902080561201E-2</v>
      </c>
      <c r="J71" s="118">
        <f>E71*24/(F71/60)/15000</f>
        <v>0.6538349215246636</v>
      </c>
      <c r="K71"/>
      <c r="L71"/>
      <c r="M71"/>
      <c r="N71" s="2"/>
      <c r="R71"/>
      <c r="S71"/>
      <c r="T71"/>
      <c r="U71"/>
      <c r="V71"/>
    </row>
    <row r="72" spans="2:22" s="1" customFormat="1" ht="13.5" thickTop="1" x14ac:dyDescent="0.2">
      <c r="J72"/>
      <c r="K72"/>
      <c r="L72"/>
      <c r="M72"/>
      <c r="N72" s="2"/>
      <c r="R72"/>
      <c r="S72"/>
      <c r="T72"/>
      <c r="U72"/>
      <c r="V72"/>
    </row>
    <row r="73" spans="2:22" s="1" customFormat="1" x14ac:dyDescent="0.2">
      <c r="E73" s="3"/>
      <c r="F73" s="119"/>
      <c r="G73" s="120"/>
      <c r="H73" s="120"/>
      <c r="I73"/>
      <c r="J73"/>
      <c r="K73"/>
      <c r="L73"/>
      <c r="M73"/>
      <c r="N73" s="2"/>
      <c r="R73"/>
      <c r="S73"/>
      <c r="T73"/>
      <c r="U73"/>
      <c r="V73"/>
    </row>
    <row r="74" spans="2:22" s="1" customFormat="1" ht="13.5" customHeight="1" x14ac:dyDescent="0.2">
      <c r="J74"/>
      <c r="K74"/>
      <c r="L74"/>
      <c r="M74"/>
      <c r="N74" s="2"/>
      <c r="R74"/>
      <c r="S74"/>
      <c r="T74"/>
      <c r="U74"/>
      <c r="V74" s="9"/>
    </row>
    <row r="75" spans="2:22" s="1" customFormat="1" ht="12.75" customHeight="1" x14ac:dyDescent="0.2">
      <c r="J75"/>
      <c r="K75"/>
      <c r="L75"/>
      <c r="M75"/>
      <c r="N75" s="2"/>
      <c r="R75"/>
      <c r="S75"/>
      <c r="T75"/>
      <c r="U75"/>
      <c r="V75" s="9"/>
    </row>
    <row r="76" spans="2:22" s="1" customFormat="1" ht="12.75" customHeight="1" x14ac:dyDescent="0.2">
      <c r="J76"/>
      <c r="K76"/>
      <c r="L76"/>
      <c r="M76"/>
      <c r="N76" s="2"/>
      <c r="R76"/>
      <c r="S76"/>
      <c r="T76"/>
      <c r="U76"/>
      <c r="V76" s="9"/>
    </row>
    <row r="77" spans="2:22" s="1" customFormat="1" ht="12.75" customHeight="1" x14ac:dyDescent="0.2">
      <c r="J77"/>
      <c r="K77"/>
      <c r="L77"/>
      <c r="M77"/>
      <c r="N77" s="2"/>
      <c r="R77"/>
      <c r="S77"/>
      <c r="T77"/>
      <c r="U77"/>
      <c r="V77" s="9"/>
    </row>
    <row r="78" spans="2:22" s="1" customFormat="1" ht="12.75" customHeight="1" x14ac:dyDescent="0.2">
      <c r="J78"/>
      <c r="K78"/>
      <c r="L78"/>
      <c r="M78"/>
      <c r="N78" s="2"/>
      <c r="R78"/>
      <c r="S78"/>
      <c r="T78"/>
      <c r="U78"/>
      <c r="V78" s="9"/>
    </row>
    <row r="79" spans="2:22" s="1" customFormat="1" ht="12.75" customHeight="1" x14ac:dyDescent="0.2">
      <c r="J79"/>
      <c r="K79"/>
      <c r="L79"/>
      <c r="M79"/>
      <c r="N79" s="2"/>
      <c r="R79"/>
      <c r="S79"/>
      <c r="T79"/>
      <c r="U79"/>
      <c r="V79" s="9"/>
    </row>
    <row r="80" spans="2:22" s="1" customFormat="1" ht="12.75" customHeight="1" x14ac:dyDescent="0.2">
      <c r="J80"/>
      <c r="K80"/>
      <c r="L80"/>
      <c r="M80"/>
      <c r="N80" s="2"/>
      <c r="R80"/>
      <c r="S80"/>
      <c r="T80"/>
      <c r="U80"/>
      <c r="V80" s="9"/>
    </row>
    <row r="81" spans="10:22" s="1" customFormat="1" x14ac:dyDescent="0.2">
      <c r="J81"/>
      <c r="K81"/>
      <c r="L81"/>
      <c r="M81"/>
      <c r="N81" s="2"/>
      <c r="R81"/>
      <c r="S81"/>
      <c r="T81"/>
      <c r="U81"/>
      <c r="V81" s="9"/>
    </row>
    <row r="82" spans="10:22" s="1" customFormat="1" ht="12.75" customHeight="1" x14ac:dyDescent="0.2">
      <c r="J82"/>
      <c r="K82"/>
      <c r="L82"/>
      <c r="M82"/>
      <c r="N82" s="2"/>
      <c r="R82"/>
      <c r="S82"/>
      <c r="T82"/>
      <c r="U82"/>
      <c r="V82" s="9"/>
    </row>
    <row r="83" spans="10:22" s="1" customFormat="1" ht="12.75" customHeight="1" x14ac:dyDescent="0.2">
      <c r="J83"/>
      <c r="K83"/>
      <c r="L83"/>
      <c r="M83"/>
      <c r="N83" s="2"/>
      <c r="R83"/>
      <c r="S83"/>
      <c r="T83"/>
      <c r="U83"/>
      <c r="V83" s="9"/>
    </row>
    <row r="84" spans="10:22" s="1" customFormat="1" ht="12.75" customHeight="1" x14ac:dyDescent="0.2">
      <c r="J84"/>
      <c r="K84"/>
      <c r="L84"/>
      <c r="M84"/>
      <c r="N84" s="2"/>
      <c r="R84"/>
      <c r="S84"/>
      <c r="T84"/>
      <c r="U84"/>
      <c r="V84" s="9"/>
    </row>
    <row r="85" spans="10:22" s="1" customFormat="1" ht="12.75" customHeight="1" x14ac:dyDescent="0.2">
      <c r="J85"/>
      <c r="K85"/>
      <c r="L85"/>
      <c r="M85"/>
      <c r="N85" s="2"/>
      <c r="R85"/>
      <c r="S85"/>
      <c r="T85"/>
      <c r="U85"/>
      <c r="V85" s="9"/>
    </row>
    <row r="86" spans="10:22" s="1" customFormat="1" ht="12.75" customHeight="1" x14ac:dyDescent="0.2">
      <c r="J86"/>
      <c r="K86"/>
      <c r="L86"/>
      <c r="M86"/>
      <c r="N86" s="2"/>
      <c r="R86"/>
      <c r="S86"/>
      <c r="T86"/>
      <c r="U86"/>
      <c r="V86" s="9"/>
    </row>
    <row r="87" spans="10:22" s="1" customFormat="1" x14ac:dyDescent="0.2">
      <c r="J87"/>
      <c r="K87"/>
      <c r="L87"/>
      <c r="M87"/>
      <c r="N87" s="2"/>
      <c r="R87"/>
      <c r="S87"/>
      <c r="T87"/>
      <c r="U87"/>
      <c r="V87"/>
    </row>
    <row r="88" spans="10:22" s="1" customFormat="1" x14ac:dyDescent="0.2">
      <c r="J88"/>
      <c r="K88"/>
      <c r="L88"/>
      <c r="M88"/>
      <c r="N88" s="2"/>
      <c r="R88"/>
      <c r="S88"/>
      <c r="T88"/>
      <c r="U88"/>
      <c r="V88"/>
    </row>
    <row r="89" spans="10:22" s="1" customFormat="1" x14ac:dyDescent="0.2">
      <c r="J89"/>
      <c r="K89"/>
      <c r="L89"/>
      <c r="M89"/>
      <c r="N89" s="2"/>
      <c r="R89"/>
      <c r="S89"/>
      <c r="T89"/>
      <c r="U89"/>
      <c r="V89"/>
    </row>
    <row r="90" spans="10:22" s="1" customFormat="1" x14ac:dyDescent="0.2">
      <c r="J90"/>
      <c r="K90"/>
      <c r="L90"/>
      <c r="M90"/>
      <c r="N90" s="2"/>
      <c r="R90"/>
      <c r="S90"/>
      <c r="T90"/>
      <c r="U90"/>
      <c r="V90"/>
    </row>
    <row r="91" spans="10:22" s="1" customFormat="1" x14ac:dyDescent="0.2">
      <c r="J91"/>
      <c r="K91"/>
      <c r="L91"/>
      <c r="M91"/>
      <c r="N91" s="2"/>
      <c r="R91"/>
      <c r="S91"/>
      <c r="T91"/>
      <c r="U91"/>
      <c r="V91"/>
    </row>
    <row r="92" spans="10:22" s="1" customFormat="1" x14ac:dyDescent="0.2">
      <c r="J92"/>
      <c r="K92"/>
      <c r="L92"/>
      <c r="M92"/>
      <c r="N92" s="2"/>
      <c r="R92"/>
      <c r="S92"/>
      <c r="T92"/>
      <c r="U92"/>
      <c r="V92"/>
    </row>
    <row r="93" spans="10:22" s="1" customFormat="1" x14ac:dyDescent="0.2">
      <c r="J93"/>
      <c r="K93"/>
      <c r="L93"/>
      <c r="M93"/>
      <c r="N93" s="2"/>
      <c r="R93"/>
      <c r="S93"/>
      <c r="T93"/>
      <c r="U93"/>
      <c r="V93"/>
    </row>
    <row r="94" spans="10:22" s="1" customFormat="1" x14ac:dyDescent="0.2">
      <c r="J94"/>
      <c r="K94"/>
      <c r="L94"/>
      <c r="M94"/>
      <c r="N94" s="2"/>
      <c r="R94"/>
      <c r="S94"/>
      <c r="T94"/>
      <c r="U94"/>
      <c r="V94"/>
    </row>
    <row r="95" spans="10:22" s="1" customFormat="1" x14ac:dyDescent="0.2">
      <c r="J95"/>
      <c r="K95"/>
      <c r="L95"/>
      <c r="M95"/>
      <c r="N95" s="2"/>
      <c r="R95"/>
      <c r="S95"/>
      <c r="T95"/>
      <c r="U95"/>
      <c r="V95"/>
    </row>
    <row r="96" spans="10:22" s="1" customFormat="1" x14ac:dyDescent="0.2">
      <c r="J96"/>
      <c r="K96"/>
      <c r="L96"/>
      <c r="M96"/>
      <c r="N96" s="2"/>
      <c r="R96"/>
      <c r="S96"/>
      <c r="T96"/>
      <c r="U96"/>
      <c r="V96"/>
    </row>
    <row r="97" spans="10:22" s="1" customFormat="1" x14ac:dyDescent="0.2">
      <c r="J97"/>
      <c r="K97"/>
      <c r="L97"/>
      <c r="M97"/>
      <c r="N97" s="2"/>
      <c r="R97"/>
      <c r="S97"/>
      <c r="T97"/>
      <c r="U97"/>
      <c r="V97"/>
    </row>
    <row r="98" spans="10:22" s="1" customFormat="1" x14ac:dyDescent="0.2">
      <c r="J98"/>
      <c r="K98"/>
      <c r="L98"/>
      <c r="M98"/>
      <c r="N98" s="2"/>
      <c r="R98"/>
      <c r="S98"/>
      <c r="T98"/>
      <c r="U98"/>
      <c r="V98"/>
    </row>
    <row r="99" spans="10:22" s="1" customFormat="1" x14ac:dyDescent="0.2">
      <c r="J99"/>
      <c r="K99"/>
      <c r="L99"/>
      <c r="M99"/>
      <c r="N99" s="2"/>
      <c r="R99"/>
      <c r="S99"/>
      <c r="T99"/>
      <c r="U99"/>
      <c r="V99"/>
    </row>
    <row r="100" spans="10:22" s="1" customFormat="1" x14ac:dyDescent="0.2">
      <c r="J100"/>
      <c r="K100"/>
      <c r="L100"/>
      <c r="M100"/>
      <c r="N100" s="2"/>
      <c r="R100"/>
      <c r="S100"/>
      <c r="T100"/>
      <c r="U100"/>
      <c r="V100"/>
    </row>
    <row r="101" spans="10:22" s="1" customFormat="1" x14ac:dyDescent="0.2">
      <c r="J101"/>
      <c r="K101"/>
      <c r="L101"/>
      <c r="M101"/>
      <c r="N101" s="2"/>
      <c r="R101"/>
      <c r="S101"/>
      <c r="T101"/>
      <c r="U101"/>
      <c r="V101"/>
    </row>
    <row r="102" spans="10:22" s="1" customFormat="1" x14ac:dyDescent="0.2">
      <c r="J102"/>
      <c r="K102"/>
      <c r="L102"/>
      <c r="M102"/>
      <c r="N102" s="2"/>
      <c r="R102"/>
      <c r="S102"/>
      <c r="T102"/>
      <c r="U102"/>
      <c r="V102"/>
    </row>
    <row r="103" spans="10:22" s="1" customFormat="1" x14ac:dyDescent="0.2">
      <c r="J103"/>
      <c r="K103"/>
      <c r="L103"/>
      <c r="M103"/>
      <c r="N103" s="2"/>
      <c r="R103"/>
      <c r="S103"/>
      <c r="T103"/>
      <c r="U103"/>
      <c r="V103"/>
    </row>
    <row r="104" spans="10:22" s="1" customFormat="1" x14ac:dyDescent="0.2">
      <c r="J104"/>
      <c r="K104"/>
      <c r="L104"/>
      <c r="M104"/>
      <c r="N104" s="2"/>
      <c r="R104"/>
      <c r="S104"/>
      <c r="T104"/>
      <c r="U104"/>
      <c r="V104"/>
    </row>
    <row r="105" spans="10:22" s="1" customFormat="1" x14ac:dyDescent="0.2">
      <c r="J105"/>
      <c r="K105"/>
      <c r="L105"/>
      <c r="M105"/>
      <c r="N105" s="2"/>
      <c r="R105"/>
      <c r="S105"/>
      <c r="T105"/>
      <c r="U105"/>
      <c r="V105"/>
    </row>
    <row r="106" spans="10:22" s="1" customFormat="1" x14ac:dyDescent="0.2">
      <c r="J106"/>
      <c r="K106"/>
      <c r="L106"/>
      <c r="M106"/>
      <c r="N106" s="2"/>
      <c r="R106"/>
      <c r="S106"/>
      <c r="T106"/>
      <c r="U106"/>
      <c r="V106"/>
    </row>
    <row r="107" spans="10:22" s="1" customFormat="1" x14ac:dyDescent="0.2">
      <c r="J107"/>
      <c r="K107"/>
      <c r="L107"/>
      <c r="M107"/>
      <c r="N107" s="2"/>
      <c r="R107"/>
      <c r="S107"/>
      <c r="T107"/>
      <c r="U107"/>
      <c r="V107"/>
    </row>
    <row r="108" spans="10:22" s="1" customFormat="1" x14ac:dyDescent="0.2">
      <c r="J108"/>
      <c r="K108"/>
      <c r="L108"/>
      <c r="M108"/>
      <c r="N108" s="2"/>
      <c r="R108"/>
      <c r="S108"/>
      <c r="T108"/>
      <c r="U108"/>
      <c r="V108"/>
    </row>
    <row r="109" spans="10:22" s="1" customFormat="1" x14ac:dyDescent="0.2">
      <c r="J109"/>
      <c r="K109"/>
      <c r="L109"/>
      <c r="M109"/>
      <c r="N109" s="2"/>
      <c r="R109"/>
      <c r="S109"/>
      <c r="T109"/>
      <c r="U109"/>
      <c r="V109"/>
    </row>
    <row r="110" spans="10:22" s="1" customFormat="1" x14ac:dyDescent="0.2">
      <c r="J110"/>
      <c r="K110"/>
      <c r="L110"/>
      <c r="M110"/>
      <c r="N110" s="2"/>
      <c r="R110"/>
      <c r="S110"/>
      <c r="T110"/>
      <c r="U110"/>
      <c r="V110"/>
    </row>
    <row r="111" spans="10:22" s="1" customFormat="1" x14ac:dyDescent="0.2">
      <c r="J111"/>
      <c r="K111"/>
      <c r="L111"/>
      <c r="M111"/>
      <c r="N111" s="2"/>
      <c r="R111"/>
      <c r="S111"/>
      <c r="T111"/>
      <c r="U111"/>
      <c r="V111"/>
    </row>
    <row r="112" spans="10:22" s="1" customFormat="1" x14ac:dyDescent="0.2">
      <c r="J112"/>
      <c r="K112"/>
      <c r="L112"/>
      <c r="M112"/>
      <c r="N112" s="2"/>
      <c r="R112"/>
      <c r="S112"/>
      <c r="T112"/>
      <c r="U112"/>
      <c r="V112"/>
    </row>
    <row r="113" spans="10:22" s="1" customFormat="1" x14ac:dyDescent="0.2">
      <c r="J113"/>
      <c r="K113"/>
      <c r="L113"/>
      <c r="M113"/>
      <c r="N113" s="2"/>
      <c r="R113"/>
      <c r="S113"/>
      <c r="T113"/>
      <c r="U113"/>
      <c r="V113"/>
    </row>
    <row r="114" spans="10:22" s="1" customFormat="1" x14ac:dyDescent="0.2">
      <c r="J114"/>
      <c r="K114"/>
      <c r="L114"/>
      <c r="M114"/>
      <c r="N114" s="2"/>
      <c r="R114"/>
      <c r="S114"/>
      <c r="T114"/>
      <c r="U114"/>
      <c r="V114"/>
    </row>
    <row r="115" spans="10:22" s="1" customFormat="1" x14ac:dyDescent="0.2">
      <c r="J115"/>
      <c r="K115"/>
      <c r="L115"/>
      <c r="M115"/>
      <c r="N115" s="2"/>
      <c r="R115"/>
      <c r="S115"/>
      <c r="T115"/>
      <c r="U115"/>
      <c r="V115"/>
    </row>
    <row r="116" spans="10:22" s="1" customFormat="1" x14ac:dyDescent="0.2">
      <c r="J116"/>
      <c r="K116"/>
      <c r="L116"/>
      <c r="M116"/>
      <c r="N116" s="2"/>
      <c r="R116"/>
      <c r="S116"/>
      <c r="T116"/>
      <c r="U116"/>
      <c r="V116"/>
    </row>
    <row r="117" spans="10:22" s="1" customFormat="1" x14ac:dyDescent="0.2">
      <c r="J117"/>
      <c r="K117"/>
      <c r="L117"/>
      <c r="M117"/>
      <c r="N117" s="2"/>
      <c r="R117"/>
      <c r="S117"/>
      <c r="T117"/>
      <c r="U117"/>
      <c r="V117"/>
    </row>
    <row r="118" spans="10:22" s="1" customFormat="1" x14ac:dyDescent="0.2">
      <c r="J118"/>
      <c r="K118"/>
      <c r="L118"/>
      <c r="M118"/>
      <c r="N118" s="2"/>
      <c r="R118"/>
      <c r="S118"/>
      <c r="T118"/>
      <c r="U118"/>
      <c r="V118"/>
    </row>
    <row r="119" spans="10:22" s="1" customFormat="1" x14ac:dyDescent="0.2">
      <c r="J119"/>
      <c r="K119"/>
      <c r="L119"/>
      <c r="M119"/>
      <c r="N119" s="2"/>
      <c r="R119"/>
      <c r="S119"/>
      <c r="T119"/>
      <c r="U119"/>
      <c r="V119"/>
    </row>
    <row r="120" spans="10:22" s="1" customFormat="1" x14ac:dyDescent="0.2">
      <c r="J120"/>
      <c r="K120"/>
      <c r="L120"/>
      <c r="M120"/>
      <c r="N120" s="2"/>
      <c r="R120"/>
      <c r="S120"/>
      <c r="T120"/>
      <c r="U120"/>
      <c r="V120"/>
    </row>
    <row r="121" spans="10:22" s="1" customFormat="1" x14ac:dyDescent="0.2">
      <c r="J121"/>
      <c r="K121"/>
      <c r="L121"/>
      <c r="M121"/>
      <c r="N121" s="2"/>
      <c r="R121"/>
      <c r="S121"/>
      <c r="T121"/>
      <c r="U121"/>
      <c r="V121"/>
    </row>
    <row r="122" spans="10:22" s="1" customFormat="1" x14ac:dyDescent="0.2">
      <c r="J122"/>
      <c r="K122"/>
      <c r="L122"/>
      <c r="M122"/>
      <c r="N122" s="2"/>
      <c r="R122"/>
      <c r="S122"/>
      <c r="T122"/>
      <c r="U122"/>
      <c r="V122"/>
    </row>
    <row r="123" spans="10:22" s="1" customFormat="1" x14ac:dyDescent="0.2">
      <c r="J123"/>
      <c r="K123"/>
      <c r="L123"/>
      <c r="M123"/>
      <c r="N123" s="2"/>
      <c r="R123"/>
      <c r="S123"/>
      <c r="T123"/>
      <c r="U123"/>
      <c r="V123"/>
    </row>
    <row r="124" spans="10:22" s="1" customFormat="1" x14ac:dyDescent="0.2">
      <c r="J124"/>
      <c r="K124"/>
      <c r="L124"/>
      <c r="M124"/>
      <c r="N124" s="2"/>
      <c r="R124"/>
      <c r="S124"/>
      <c r="T124"/>
      <c r="U124"/>
      <c r="V124"/>
    </row>
    <row r="125" spans="10:22" s="1" customFormat="1" x14ac:dyDescent="0.2">
      <c r="J125"/>
      <c r="K125"/>
      <c r="L125"/>
      <c r="M125"/>
      <c r="N125" s="2"/>
      <c r="R125"/>
      <c r="S125"/>
      <c r="T125"/>
      <c r="U125"/>
      <c r="V125"/>
    </row>
    <row r="126" spans="10:22" s="1" customFormat="1" x14ac:dyDescent="0.2">
      <c r="J126"/>
      <c r="K126"/>
      <c r="L126"/>
      <c r="M126"/>
      <c r="N126" s="2"/>
      <c r="R126"/>
      <c r="S126"/>
      <c r="T126"/>
      <c r="U126"/>
      <c r="V126"/>
    </row>
    <row r="127" spans="10:22" s="1" customFormat="1" x14ac:dyDescent="0.2">
      <c r="J127"/>
      <c r="K127"/>
      <c r="L127"/>
      <c r="M127"/>
      <c r="N127" s="2"/>
      <c r="R127"/>
      <c r="S127"/>
      <c r="T127"/>
      <c r="U127"/>
      <c r="V127"/>
    </row>
    <row r="128" spans="10:22" s="1" customFormat="1" x14ac:dyDescent="0.2">
      <c r="J128"/>
      <c r="K128"/>
      <c r="L128"/>
      <c r="M128"/>
      <c r="N128" s="2"/>
      <c r="R128"/>
      <c r="S128"/>
      <c r="T128"/>
      <c r="U128"/>
      <c r="V128"/>
    </row>
    <row r="129" spans="10:22" s="1" customFormat="1" x14ac:dyDescent="0.2">
      <c r="J129"/>
      <c r="K129"/>
      <c r="L129"/>
      <c r="M129"/>
      <c r="N129" s="2"/>
      <c r="R129"/>
      <c r="S129"/>
      <c r="T129"/>
      <c r="U129"/>
      <c r="V129"/>
    </row>
    <row r="130" spans="10:22" s="1" customFormat="1" x14ac:dyDescent="0.2">
      <c r="J130"/>
      <c r="K130"/>
      <c r="L130"/>
      <c r="M130"/>
      <c r="N130" s="2"/>
      <c r="R130"/>
      <c r="S130"/>
      <c r="T130"/>
      <c r="U130"/>
      <c r="V130"/>
    </row>
    <row r="131" spans="10:22" s="1" customFormat="1" x14ac:dyDescent="0.2">
      <c r="J131"/>
      <c r="K131"/>
      <c r="L131"/>
      <c r="M131"/>
      <c r="N131" s="2"/>
      <c r="R131"/>
      <c r="S131"/>
      <c r="T131"/>
      <c r="U131"/>
      <c r="V131"/>
    </row>
    <row r="132" spans="10:22" s="1" customFormat="1" x14ac:dyDescent="0.2">
      <c r="J132"/>
      <c r="K132"/>
      <c r="L132"/>
      <c r="M132"/>
      <c r="N132" s="2"/>
      <c r="R132"/>
      <c r="S132"/>
      <c r="T132"/>
      <c r="U132"/>
      <c r="V132"/>
    </row>
    <row r="133" spans="10:22" s="1" customFormat="1" x14ac:dyDescent="0.2">
      <c r="J133"/>
      <c r="K133"/>
      <c r="L133"/>
      <c r="M133"/>
      <c r="N133" s="2"/>
      <c r="R133"/>
      <c r="S133"/>
      <c r="T133"/>
      <c r="U133"/>
      <c r="V133"/>
    </row>
    <row r="134" spans="10:22" s="1" customFormat="1" x14ac:dyDescent="0.2">
      <c r="J134"/>
      <c r="K134"/>
      <c r="L134"/>
      <c r="M134"/>
      <c r="N134" s="2"/>
      <c r="R134"/>
      <c r="S134"/>
      <c r="T134"/>
      <c r="U134"/>
      <c r="V134"/>
    </row>
    <row r="135" spans="10:22" s="1" customFormat="1" x14ac:dyDescent="0.2">
      <c r="J135"/>
      <c r="K135"/>
      <c r="L135"/>
      <c r="M135"/>
      <c r="N135" s="2"/>
      <c r="R135"/>
      <c r="S135"/>
      <c r="T135"/>
      <c r="U135"/>
      <c r="V135"/>
    </row>
    <row r="136" spans="10:22" s="1" customFormat="1" x14ac:dyDescent="0.2">
      <c r="J136"/>
      <c r="K136"/>
      <c r="L136"/>
      <c r="M136"/>
      <c r="N136" s="2"/>
      <c r="R136"/>
      <c r="S136"/>
      <c r="T136"/>
      <c r="U136"/>
      <c r="V136"/>
    </row>
    <row r="137" spans="10:22" s="1" customFormat="1" x14ac:dyDescent="0.2">
      <c r="J137"/>
      <c r="K137"/>
      <c r="L137"/>
      <c r="M137"/>
      <c r="N137" s="2"/>
      <c r="R137"/>
      <c r="S137"/>
      <c r="T137"/>
      <c r="U137"/>
      <c r="V137"/>
    </row>
    <row r="138" spans="10:22" s="1" customFormat="1" x14ac:dyDescent="0.2">
      <c r="J138"/>
      <c r="K138"/>
      <c r="L138"/>
      <c r="M138"/>
      <c r="N138" s="2"/>
      <c r="R138"/>
      <c r="S138"/>
      <c r="T138"/>
      <c r="U138"/>
      <c r="V138"/>
    </row>
    <row r="139" spans="10:22" s="1" customFormat="1" x14ac:dyDescent="0.2">
      <c r="J139"/>
      <c r="K139"/>
      <c r="L139"/>
      <c r="M139"/>
      <c r="N139" s="2"/>
      <c r="R139"/>
      <c r="S139"/>
      <c r="T139"/>
      <c r="U139"/>
      <c r="V139"/>
    </row>
    <row r="140" spans="10:22" s="1" customFormat="1" x14ac:dyDescent="0.2">
      <c r="J140"/>
      <c r="K140"/>
      <c r="L140"/>
      <c r="M140"/>
      <c r="N140" s="2"/>
      <c r="R140"/>
      <c r="S140"/>
      <c r="T140"/>
      <c r="U140"/>
      <c r="V140"/>
    </row>
    <row r="141" spans="10:22" s="1" customFormat="1" x14ac:dyDescent="0.2">
      <c r="J141"/>
      <c r="K141"/>
      <c r="L141"/>
      <c r="M141"/>
      <c r="N141" s="2"/>
      <c r="R141"/>
      <c r="S141"/>
      <c r="T141"/>
      <c r="U141"/>
      <c r="V141"/>
    </row>
    <row r="142" spans="10:22" s="1" customFormat="1" x14ac:dyDescent="0.2">
      <c r="J142"/>
      <c r="K142"/>
      <c r="L142"/>
      <c r="M142"/>
      <c r="N142" s="2"/>
      <c r="R142"/>
      <c r="S142"/>
      <c r="T142"/>
      <c r="U142"/>
      <c r="V142"/>
    </row>
    <row r="143" spans="10:22" s="1" customFormat="1" x14ac:dyDescent="0.2">
      <c r="J143"/>
      <c r="K143"/>
      <c r="L143"/>
      <c r="M143"/>
      <c r="N143" s="2"/>
      <c r="R143"/>
      <c r="S143"/>
      <c r="T143"/>
      <c r="U143"/>
      <c r="V143"/>
    </row>
    <row r="144" spans="10:22" s="1" customFormat="1" x14ac:dyDescent="0.2">
      <c r="J144"/>
      <c r="K144"/>
      <c r="L144"/>
      <c r="M144"/>
      <c r="N144" s="2"/>
      <c r="R144"/>
      <c r="S144"/>
      <c r="T144"/>
      <c r="U144"/>
      <c r="V144"/>
    </row>
    <row r="145" spans="10:22" s="1" customFormat="1" x14ac:dyDescent="0.2">
      <c r="J145"/>
      <c r="K145"/>
      <c r="L145"/>
      <c r="M145"/>
      <c r="N145" s="2"/>
      <c r="R145"/>
      <c r="S145"/>
      <c r="T145"/>
      <c r="U145"/>
      <c r="V145"/>
    </row>
    <row r="146" spans="10:22" s="1" customFormat="1" x14ac:dyDescent="0.2">
      <c r="J146"/>
      <c r="K146"/>
      <c r="L146"/>
      <c r="M146"/>
      <c r="N146" s="2"/>
      <c r="R146"/>
      <c r="S146"/>
      <c r="T146"/>
      <c r="U146"/>
      <c r="V146"/>
    </row>
    <row r="147" spans="10:22" s="1" customFormat="1" x14ac:dyDescent="0.2">
      <c r="J147"/>
      <c r="K147"/>
      <c r="L147"/>
      <c r="M147"/>
      <c r="N147" s="2"/>
      <c r="R147"/>
      <c r="S147"/>
      <c r="T147"/>
      <c r="U147"/>
      <c r="V147"/>
    </row>
    <row r="148" spans="10:22" s="1" customFormat="1" x14ac:dyDescent="0.2">
      <c r="J148"/>
      <c r="K148"/>
      <c r="L148"/>
      <c r="M148"/>
      <c r="N148" s="2"/>
      <c r="R148"/>
      <c r="S148"/>
      <c r="T148"/>
      <c r="U148"/>
      <c r="V148"/>
    </row>
    <row r="149" spans="10:22" s="1" customFormat="1" x14ac:dyDescent="0.2">
      <c r="J149"/>
      <c r="K149"/>
      <c r="L149"/>
      <c r="M149"/>
      <c r="N149" s="2"/>
      <c r="R149"/>
      <c r="S149"/>
      <c r="T149"/>
      <c r="U149"/>
      <c r="V149"/>
    </row>
    <row r="150" spans="10:22" s="1" customFormat="1" x14ac:dyDescent="0.2">
      <c r="J150"/>
      <c r="K150"/>
      <c r="L150"/>
      <c r="M150"/>
      <c r="N150" s="2"/>
      <c r="R150"/>
      <c r="S150"/>
      <c r="T150"/>
      <c r="U150"/>
      <c r="V150"/>
    </row>
    <row r="151" spans="10:22" s="1" customFormat="1" x14ac:dyDescent="0.2">
      <c r="J151"/>
      <c r="K151"/>
      <c r="L151"/>
      <c r="M151"/>
      <c r="N151" s="2"/>
      <c r="R151"/>
      <c r="S151"/>
      <c r="T151"/>
      <c r="U151"/>
      <c r="V151"/>
    </row>
    <row r="152" spans="10:22" s="1" customFormat="1" x14ac:dyDescent="0.2">
      <c r="J152"/>
      <c r="K152"/>
      <c r="L152"/>
      <c r="M152"/>
      <c r="N152" s="2"/>
      <c r="R152"/>
      <c r="S152"/>
      <c r="T152"/>
      <c r="U152"/>
      <c r="V152"/>
    </row>
    <row r="153" spans="10:22" s="1" customFormat="1" x14ac:dyDescent="0.2">
      <c r="J153"/>
      <c r="K153"/>
      <c r="L153"/>
      <c r="M153"/>
      <c r="N153" s="2"/>
      <c r="R153"/>
      <c r="S153"/>
      <c r="T153"/>
      <c r="U153"/>
      <c r="V153"/>
    </row>
    <row r="154" spans="10:22" s="1" customFormat="1" x14ac:dyDescent="0.2">
      <c r="J154"/>
      <c r="K154"/>
      <c r="L154"/>
      <c r="M154"/>
      <c r="N154" s="2"/>
      <c r="R154"/>
      <c r="S154"/>
      <c r="T154"/>
      <c r="U154"/>
      <c r="V154"/>
    </row>
    <row r="155" spans="10:22" s="1" customFormat="1" x14ac:dyDescent="0.2">
      <c r="J155"/>
      <c r="K155"/>
      <c r="L155"/>
      <c r="M155"/>
      <c r="N155" s="2"/>
      <c r="R155"/>
      <c r="S155"/>
      <c r="T155"/>
      <c r="U155"/>
      <c r="V155"/>
    </row>
    <row r="156" spans="10:22" s="1" customFormat="1" x14ac:dyDescent="0.2">
      <c r="J156"/>
      <c r="K156"/>
      <c r="L156"/>
      <c r="M156"/>
      <c r="N156" s="2"/>
      <c r="R156"/>
      <c r="S156"/>
      <c r="T156"/>
      <c r="U156"/>
      <c r="V156"/>
    </row>
    <row r="157" spans="10:22" s="1" customFormat="1" x14ac:dyDescent="0.2">
      <c r="J157"/>
      <c r="K157"/>
      <c r="L157"/>
      <c r="M157"/>
      <c r="N157" s="2"/>
      <c r="R157"/>
      <c r="S157"/>
      <c r="T157"/>
      <c r="U157"/>
      <c r="V157"/>
    </row>
    <row r="158" spans="10:22" s="1" customFormat="1" x14ac:dyDescent="0.2">
      <c r="J158"/>
      <c r="K158"/>
      <c r="L158"/>
      <c r="M158"/>
      <c r="N158" s="2"/>
      <c r="R158"/>
      <c r="S158"/>
      <c r="T158"/>
      <c r="U158"/>
      <c r="V158"/>
    </row>
    <row r="159" spans="10:22" s="1" customFormat="1" x14ac:dyDescent="0.2">
      <c r="J159"/>
      <c r="K159"/>
      <c r="L159"/>
      <c r="M159"/>
      <c r="N159" s="2"/>
      <c r="R159"/>
      <c r="S159"/>
      <c r="T159"/>
      <c r="U159"/>
      <c r="V159"/>
    </row>
    <row r="160" spans="10:22" s="1" customFormat="1" x14ac:dyDescent="0.2">
      <c r="J160"/>
      <c r="K160"/>
      <c r="L160"/>
      <c r="M160"/>
      <c r="N160" s="2"/>
      <c r="R160"/>
      <c r="S160"/>
      <c r="T160"/>
      <c r="U160"/>
      <c r="V160"/>
    </row>
    <row r="161" spans="10:22" s="1" customFormat="1" x14ac:dyDescent="0.2">
      <c r="J161"/>
      <c r="K161"/>
      <c r="L161"/>
      <c r="M161"/>
      <c r="N161" s="2"/>
      <c r="R161"/>
      <c r="S161"/>
      <c r="T161"/>
      <c r="U161"/>
      <c r="V161"/>
    </row>
    <row r="162" spans="10:22" s="1" customFormat="1" x14ac:dyDescent="0.2">
      <c r="J162"/>
      <c r="K162"/>
      <c r="L162"/>
      <c r="M162"/>
      <c r="N162" s="2"/>
      <c r="R162"/>
      <c r="S162"/>
      <c r="T162"/>
      <c r="U162"/>
      <c r="V162"/>
    </row>
    <row r="163" spans="10:22" s="1" customFormat="1" x14ac:dyDescent="0.2">
      <c r="J163"/>
      <c r="K163"/>
      <c r="L163"/>
      <c r="M163"/>
      <c r="N163" s="2"/>
      <c r="R163"/>
      <c r="S163"/>
      <c r="T163"/>
      <c r="U163"/>
      <c r="V163"/>
    </row>
    <row r="164" spans="10:22" s="1" customFormat="1" x14ac:dyDescent="0.2">
      <c r="J164"/>
      <c r="K164"/>
      <c r="L164"/>
      <c r="M164"/>
      <c r="N164" s="2"/>
      <c r="R164"/>
      <c r="S164"/>
      <c r="T164"/>
      <c r="U164"/>
      <c r="V164"/>
    </row>
    <row r="165" spans="10:22" s="1" customFormat="1" x14ac:dyDescent="0.2">
      <c r="J165"/>
      <c r="K165"/>
      <c r="L165"/>
      <c r="M165"/>
      <c r="N165" s="2"/>
      <c r="R165"/>
      <c r="S165"/>
      <c r="T165"/>
      <c r="U165"/>
      <c r="V165"/>
    </row>
    <row r="166" spans="10:22" s="1" customFormat="1" x14ac:dyDescent="0.2">
      <c r="J166"/>
      <c r="K166"/>
      <c r="L166"/>
      <c r="M166"/>
      <c r="N166" s="2"/>
      <c r="R166"/>
      <c r="S166"/>
      <c r="T166"/>
      <c r="U166"/>
      <c r="V166"/>
    </row>
    <row r="167" spans="10:22" s="1" customFormat="1" x14ac:dyDescent="0.2">
      <c r="J167"/>
      <c r="K167"/>
      <c r="L167"/>
      <c r="M167"/>
      <c r="N167" s="2"/>
      <c r="R167"/>
      <c r="S167"/>
      <c r="T167"/>
      <c r="U167"/>
      <c r="V167"/>
    </row>
    <row r="168" spans="10:22" s="1" customFormat="1" x14ac:dyDescent="0.2">
      <c r="J168"/>
      <c r="K168"/>
      <c r="L168"/>
      <c r="M168"/>
      <c r="N168" s="2"/>
      <c r="R168"/>
      <c r="S168"/>
      <c r="T168"/>
      <c r="U168"/>
      <c r="V168"/>
    </row>
    <row r="169" spans="10:22" s="1" customFormat="1" x14ac:dyDescent="0.2">
      <c r="J169"/>
      <c r="K169"/>
      <c r="L169"/>
      <c r="M169"/>
      <c r="N169" s="2"/>
      <c r="R169"/>
      <c r="S169"/>
      <c r="T169"/>
      <c r="U169"/>
      <c r="V169"/>
    </row>
    <row r="170" spans="10:22" s="1" customFormat="1" x14ac:dyDescent="0.2">
      <c r="J170"/>
      <c r="K170"/>
      <c r="L170"/>
      <c r="M170"/>
      <c r="N170" s="2"/>
      <c r="R170"/>
      <c r="S170"/>
      <c r="T170"/>
      <c r="U170"/>
      <c r="V170"/>
    </row>
    <row r="171" spans="10:22" s="1" customFormat="1" x14ac:dyDescent="0.2">
      <c r="J171"/>
      <c r="K171"/>
      <c r="L171"/>
      <c r="M171"/>
      <c r="N171" s="2"/>
      <c r="R171"/>
      <c r="S171"/>
      <c r="T171"/>
      <c r="U171"/>
      <c r="V171"/>
    </row>
    <row r="172" spans="10:22" s="1" customFormat="1" x14ac:dyDescent="0.2">
      <c r="J172"/>
      <c r="K172"/>
      <c r="L172"/>
      <c r="M172"/>
      <c r="N172" s="2"/>
      <c r="R172"/>
      <c r="S172"/>
      <c r="T172"/>
      <c r="U172"/>
      <c r="V172"/>
    </row>
    <row r="173" spans="10:22" s="1" customFormat="1" x14ac:dyDescent="0.2">
      <c r="J173"/>
      <c r="K173"/>
      <c r="L173"/>
      <c r="M173"/>
      <c r="N173" s="2"/>
      <c r="R173"/>
      <c r="S173"/>
      <c r="T173"/>
      <c r="U173"/>
      <c r="V173"/>
    </row>
    <row r="174" spans="10:22" s="1" customFormat="1" x14ac:dyDescent="0.2">
      <c r="J174"/>
      <c r="K174"/>
      <c r="L174"/>
      <c r="M174"/>
      <c r="N174" s="2"/>
      <c r="R174"/>
      <c r="S174"/>
      <c r="T174"/>
      <c r="U174"/>
      <c r="V174"/>
    </row>
    <row r="175" spans="10:22" s="1" customFormat="1" x14ac:dyDescent="0.2">
      <c r="J175"/>
      <c r="K175"/>
      <c r="L175"/>
      <c r="M175"/>
      <c r="N175" s="2"/>
      <c r="R175"/>
      <c r="S175"/>
      <c r="T175"/>
      <c r="U175"/>
      <c r="V175"/>
    </row>
    <row r="176" spans="10:22" s="1" customFormat="1" x14ac:dyDescent="0.2">
      <c r="J176"/>
      <c r="K176"/>
      <c r="L176"/>
      <c r="M176"/>
      <c r="N176" s="2"/>
      <c r="R176"/>
      <c r="S176"/>
      <c r="T176"/>
      <c r="U176"/>
      <c r="V176"/>
    </row>
    <row r="177" spans="10:22" s="1" customFormat="1" x14ac:dyDescent="0.2">
      <c r="J177"/>
      <c r="K177"/>
      <c r="L177"/>
      <c r="M177"/>
      <c r="N177" s="2"/>
      <c r="R177"/>
      <c r="S177"/>
      <c r="T177"/>
      <c r="U177"/>
      <c r="V177"/>
    </row>
    <row r="178" spans="10:22" s="1" customFormat="1" x14ac:dyDescent="0.2">
      <c r="J178"/>
      <c r="K178"/>
      <c r="L178"/>
      <c r="M178"/>
      <c r="N178" s="2"/>
      <c r="R178"/>
      <c r="S178"/>
      <c r="T178"/>
      <c r="U178"/>
      <c r="V178"/>
    </row>
    <row r="179" spans="10:22" s="1" customFormat="1" x14ac:dyDescent="0.2">
      <c r="J179"/>
      <c r="K179"/>
      <c r="L179"/>
      <c r="M179"/>
      <c r="N179" s="2"/>
      <c r="R179"/>
      <c r="S179"/>
      <c r="T179"/>
      <c r="U179"/>
      <c r="V179"/>
    </row>
    <row r="180" spans="10:22" s="1" customFormat="1" x14ac:dyDescent="0.2">
      <c r="J180"/>
      <c r="K180"/>
      <c r="L180"/>
      <c r="M180"/>
      <c r="N180" s="2"/>
      <c r="R180"/>
      <c r="S180"/>
      <c r="T180"/>
      <c r="U180"/>
      <c r="V180"/>
    </row>
    <row r="181" spans="10:22" s="1" customFormat="1" x14ac:dyDescent="0.2">
      <c r="J181"/>
      <c r="K181"/>
      <c r="L181"/>
      <c r="M181"/>
      <c r="N181" s="2"/>
      <c r="R181"/>
      <c r="S181"/>
      <c r="T181"/>
      <c r="U181"/>
      <c r="V181"/>
    </row>
    <row r="182" spans="10:22" s="1" customFormat="1" x14ac:dyDescent="0.2">
      <c r="J182"/>
      <c r="K182"/>
      <c r="L182"/>
      <c r="M182"/>
      <c r="N182" s="2"/>
      <c r="R182"/>
      <c r="S182"/>
      <c r="T182"/>
      <c r="U182"/>
      <c r="V182"/>
    </row>
    <row r="183" spans="10:22" s="1" customFormat="1" x14ac:dyDescent="0.2">
      <c r="J183"/>
      <c r="K183"/>
      <c r="L183"/>
      <c r="M183"/>
      <c r="N183" s="2"/>
      <c r="R183"/>
      <c r="S183"/>
      <c r="T183"/>
      <c r="U183"/>
      <c r="V183"/>
    </row>
    <row r="184" spans="10:22" s="1" customFormat="1" x14ac:dyDescent="0.2">
      <c r="J184"/>
      <c r="K184"/>
      <c r="L184"/>
      <c r="M184"/>
      <c r="N184" s="2"/>
      <c r="R184"/>
      <c r="S184"/>
      <c r="T184"/>
      <c r="U184"/>
      <c r="V184"/>
    </row>
    <row r="185" spans="10:22" s="1" customFormat="1" x14ac:dyDescent="0.2">
      <c r="J185"/>
      <c r="K185"/>
      <c r="L185"/>
      <c r="M185"/>
      <c r="N185" s="2"/>
      <c r="R185"/>
      <c r="S185"/>
      <c r="T185"/>
      <c r="U185"/>
      <c r="V185"/>
    </row>
    <row r="186" spans="10:22" s="1" customFormat="1" x14ac:dyDescent="0.2">
      <c r="J186"/>
      <c r="K186"/>
      <c r="L186"/>
      <c r="M186"/>
      <c r="N186" s="2"/>
      <c r="R186"/>
      <c r="S186"/>
      <c r="T186"/>
      <c r="U186"/>
      <c r="V186"/>
    </row>
    <row r="187" spans="10:22" s="1" customFormat="1" x14ac:dyDescent="0.2">
      <c r="J187"/>
      <c r="K187"/>
      <c r="L187"/>
      <c r="M187"/>
      <c r="N187" s="2"/>
      <c r="R187"/>
      <c r="S187"/>
      <c r="T187"/>
      <c r="U187"/>
      <c r="V187"/>
    </row>
    <row r="188" spans="10:22" s="1" customFormat="1" x14ac:dyDescent="0.2">
      <c r="J188"/>
      <c r="K188"/>
      <c r="L188"/>
      <c r="M188"/>
      <c r="N188" s="2"/>
      <c r="R188"/>
      <c r="S188"/>
      <c r="T188"/>
      <c r="U188"/>
      <c r="V188"/>
    </row>
    <row r="189" spans="10:22" s="1" customFormat="1" x14ac:dyDescent="0.2">
      <c r="J189"/>
      <c r="K189"/>
      <c r="L189"/>
      <c r="M189"/>
      <c r="N189" s="2"/>
      <c r="R189"/>
      <c r="S189"/>
      <c r="T189"/>
      <c r="U189"/>
      <c r="V189"/>
    </row>
    <row r="190" spans="10:22" s="1" customFormat="1" x14ac:dyDescent="0.2">
      <c r="J190"/>
      <c r="K190"/>
      <c r="L190"/>
      <c r="M190"/>
      <c r="N190" s="2"/>
      <c r="R190"/>
      <c r="S190"/>
      <c r="T190"/>
      <c r="U190"/>
      <c r="V190"/>
    </row>
    <row r="191" spans="10:22" s="1" customFormat="1" x14ac:dyDescent="0.2">
      <c r="J191"/>
      <c r="K191"/>
      <c r="L191"/>
      <c r="M191"/>
      <c r="N191" s="2"/>
      <c r="R191"/>
      <c r="S191"/>
      <c r="T191"/>
      <c r="U191"/>
      <c r="V191"/>
    </row>
    <row r="192" spans="10:22" s="1" customFormat="1" x14ac:dyDescent="0.2">
      <c r="J192"/>
      <c r="K192"/>
      <c r="L192"/>
      <c r="M192"/>
      <c r="N192" s="2"/>
      <c r="R192"/>
      <c r="S192"/>
      <c r="T192"/>
      <c r="U192"/>
      <c r="V192"/>
    </row>
    <row r="193" spans="10:22" s="1" customFormat="1" x14ac:dyDescent="0.2">
      <c r="J193"/>
      <c r="K193"/>
      <c r="L193"/>
      <c r="M193"/>
      <c r="N193" s="2"/>
      <c r="R193"/>
      <c r="S193"/>
      <c r="T193"/>
      <c r="U193"/>
      <c r="V193"/>
    </row>
    <row r="194" spans="10:22" s="1" customFormat="1" x14ac:dyDescent="0.2">
      <c r="J194"/>
      <c r="K194"/>
      <c r="L194"/>
      <c r="M194"/>
      <c r="N194" s="2"/>
      <c r="R194"/>
      <c r="S194"/>
      <c r="T194"/>
      <c r="U194"/>
      <c r="V194"/>
    </row>
    <row r="195" spans="10:22" s="1" customFormat="1" x14ac:dyDescent="0.2">
      <c r="J195"/>
      <c r="K195"/>
      <c r="L195"/>
      <c r="M195"/>
      <c r="N195" s="2"/>
      <c r="R195"/>
      <c r="S195"/>
      <c r="T195"/>
      <c r="U195"/>
      <c r="V195"/>
    </row>
    <row r="196" spans="10:22" s="1" customFormat="1" x14ac:dyDescent="0.2">
      <c r="J196"/>
      <c r="K196"/>
      <c r="L196"/>
      <c r="M196"/>
      <c r="N196" s="2"/>
      <c r="R196"/>
      <c r="S196"/>
      <c r="T196"/>
      <c r="U196"/>
      <c r="V196"/>
    </row>
    <row r="197" spans="10:22" s="1" customFormat="1" x14ac:dyDescent="0.2">
      <c r="J197"/>
      <c r="K197"/>
      <c r="L197"/>
      <c r="M197"/>
      <c r="N197" s="2"/>
      <c r="R197"/>
      <c r="S197"/>
      <c r="T197"/>
      <c r="U197"/>
      <c r="V197"/>
    </row>
    <row r="198" spans="10:22" s="1" customFormat="1" x14ac:dyDescent="0.2">
      <c r="J198"/>
      <c r="K198"/>
      <c r="L198"/>
      <c r="M198"/>
      <c r="N198" s="2"/>
      <c r="R198"/>
      <c r="S198"/>
      <c r="T198"/>
      <c r="U198"/>
      <c r="V198"/>
    </row>
    <row r="199" spans="10:22" s="1" customFormat="1" x14ac:dyDescent="0.2">
      <c r="J199"/>
      <c r="K199"/>
      <c r="L199"/>
      <c r="M199"/>
      <c r="N199" s="2"/>
      <c r="R199"/>
      <c r="S199"/>
      <c r="T199"/>
      <c r="U199"/>
      <c r="V199"/>
    </row>
    <row r="200" spans="10:22" s="1" customFormat="1" x14ac:dyDescent="0.2">
      <c r="J200"/>
      <c r="K200"/>
      <c r="L200"/>
      <c r="M200"/>
      <c r="N200" s="2"/>
      <c r="R200"/>
      <c r="S200"/>
      <c r="T200"/>
      <c r="U200"/>
      <c r="V200"/>
    </row>
    <row r="201" spans="10:22" s="1" customFormat="1" x14ac:dyDescent="0.2">
      <c r="J201"/>
      <c r="K201"/>
      <c r="L201"/>
      <c r="M201"/>
      <c r="N201" s="2"/>
      <c r="R201"/>
      <c r="S201"/>
      <c r="T201"/>
      <c r="U201"/>
      <c r="V201"/>
    </row>
    <row r="202" spans="10:22" s="1" customFormat="1" x14ac:dyDescent="0.2">
      <c r="J202"/>
      <c r="K202"/>
      <c r="L202"/>
      <c r="M202"/>
      <c r="N202" s="2"/>
      <c r="R202"/>
      <c r="S202"/>
      <c r="T202"/>
      <c r="U202"/>
      <c r="V202"/>
    </row>
    <row r="203" spans="10:22" s="1" customFormat="1" x14ac:dyDescent="0.2">
      <c r="J203"/>
      <c r="K203"/>
      <c r="L203"/>
      <c r="M203"/>
      <c r="N203" s="2"/>
      <c r="R203"/>
      <c r="S203"/>
      <c r="T203"/>
      <c r="U203"/>
      <c r="V203"/>
    </row>
    <row r="204" spans="10:22" s="1" customFormat="1" x14ac:dyDescent="0.2">
      <c r="J204"/>
      <c r="K204"/>
      <c r="L204"/>
      <c r="M204"/>
      <c r="N204" s="2"/>
      <c r="R204"/>
      <c r="S204"/>
      <c r="T204"/>
      <c r="U204"/>
      <c r="V204"/>
    </row>
    <row r="205" spans="10:22" s="1" customFormat="1" x14ac:dyDescent="0.2">
      <c r="J205"/>
      <c r="K205"/>
      <c r="L205"/>
      <c r="M205"/>
      <c r="N205" s="2"/>
      <c r="R205"/>
      <c r="S205"/>
      <c r="T205"/>
      <c r="U205"/>
      <c r="V205"/>
    </row>
    <row r="206" spans="10:22" s="1" customFormat="1" x14ac:dyDescent="0.2">
      <c r="J206"/>
      <c r="K206"/>
      <c r="L206"/>
      <c r="M206"/>
      <c r="N206" s="2"/>
      <c r="R206"/>
      <c r="S206"/>
      <c r="T206"/>
      <c r="U206"/>
      <c r="V206"/>
    </row>
    <row r="207" spans="10:22" s="1" customFormat="1" x14ac:dyDescent="0.2">
      <c r="J207"/>
      <c r="K207"/>
      <c r="L207"/>
      <c r="M207"/>
      <c r="N207" s="2"/>
      <c r="R207"/>
      <c r="S207"/>
      <c r="T207"/>
      <c r="U207"/>
      <c r="V207"/>
    </row>
    <row r="208" spans="10:22" s="1" customFormat="1" x14ac:dyDescent="0.2">
      <c r="J208"/>
      <c r="K208"/>
      <c r="L208"/>
      <c r="M208"/>
      <c r="N208" s="2"/>
      <c r="R208"/>
      <c r="S208"/>
      <c r="T208"/>
      <c r="U208"/>
      <c r="V208"/>
    </row>
    <row r="209" spans="10:22" s="1" customFormat="1" x14ac:dyDescent="0.2">
      <c r="J209"/>
      <c r="K209"/>
      <c r="L209"/>
      <c r="M209"/>
      <c r="N209" s="2"/>
      <c r="R209"/>
      <c r="S209"/>
      <c r="T209"/>
      <c r="U209"/>
      <c r="V209"/>
    </row>
    <row r="210" spans="10:22" s="1" customFormat="1" x14ac:dyDescent="0.2">
      <c r="J210"/>
      <c r="K210"/>
      <c r="L210"/>
      <c r="M210"/>
      <c r="N210" s="2"/>
      <c r="R210"/>
      <c r="S210"/>
      <c r="T210"/>
      <c r="U210"/>
      <c r="V210"/>
    </row>
    <row r="211" spans="10:22" s="1" customFormat="1" x14ac:dyDescent="0.2">
      <c r="J211"/>
      <c r="K211"/>
      <c r="L211"/>
      <c r="M211"/>
      <c r="N211" s="2"/>
      <c r="R211"/>
      <c r="S211"/>
      <c r="T211"/>
      <c r="U211"/>
      <c r="V211"/>
    </row>
    <row r="212" spans="10:22" s="1" customFormat="1" x14ac:dyDescent="0.2">
      <c r="J212"/>
      <c r="K212"/>
      <c r="L212"/>
      <c r="M212"/>
      <c r="N212" s="2"/>
      <c r="R212"/>
      <c r="S212"/>
      <c r="T212"/>
      <c r="U212"/>
      <c r="V212"/>
    </row>
    <row r="213" spans="10:22" s="1" customFormat="1" x14ac:dyDescent="0.2">
      <c r="J213"/>
      <c r="K213"/>
      <c r="L213"/>
      <c r="M213"/>
      <c r="N213" s="2"/>
      <c r="R213"/>
      <c r="S213"/>
      <c r="T213"/>
      <c r="U213"/>
      <c r="V213"/>
    </row>
    <row r="214" spans="10:22" s="1" customFormat="1" x14ac:dyDescent="0.2">
      <c r="J214"/>
      <c r="K214"/>
      <c r="L214"/>
      <c r="M214"/>
      <c r="N214" s="2"/>
      <c r="R214"/>
      <c r="S214"/>
      <c r="T214"/>
      <c r="U214"/>
      <c r="V214"/>
    </row>
    <row r="215" spans="10:22" s="1" customFormat="1" x14ac:dyDescent="0.2">
      <c r="J215"/>
      <c r="K215"/>
      <c r="L215"/>
      <c r="M215"/>
      <c r="N215" s="2"/>
      <c r="R215"/>
      <c r="S215"/>
      <c r="T215"/>
      <c r="U215"/>
      <c r="V215"/>
    </row>
    <row r="216" spans="10:22" s="1" customFormat="1" x14ac:dyDescent="0.2">
      <c r="J216"/>
      <c r="K216"/>
      <c r="L216"/>
      <c r="M216"/>
      <c r="N216" s="2"/>
      <c r="R216"/>
      <c r="S216"/>
      <c r="T216"/>
      <c r="U216"/>
      <c r="V216"/>
    </row>
    <row r="217" spans="10:22" s="1" customFormat="1" x14ac:dyDescent="0.2">
      <c r="J217"/>
      <c r="K217"/>
      <c r="L217"/>
      <c r="M217"/>
      <c r="N217" s="2"/>
      <c r="R217"/>
      <c r="S217"/>
      <c r="T217"/>
      <c r="U217"/>
      <c r="V217"/>
    </row>
    <row r="218" spans="10:22" s="1" customFormat="1" x14ac:dyDescent="0.2">
      <c r="J218"/>
      <c r="K218"/>
      <c r="L218"/>
      <c r="M218"/>
      <c r="N218" s="2"/>
      <c r="R218"/>
      <c r="S218"/>
      <c r="T218"/>
      <c r="U218"/>
      <c r="V218"/>
    </row>
    <row r="219" spans="10:22" s="1" customFormat="1" x14ac:dyDescent="0.2">
      <c r="J219"/>
      <c r="K219"/>
      <c r="L219"/>
      <c r="M219"/>
      <c r="N219" s="2"/>
      <c r="R219"/>
      <c r="S219"/>
      <c r="T219"/>
      <c r="U219"/>
      <c r="V219"/>
    </row>
    <row r="220" spans="10:22" s="1" customFormat="1" x14ac:dyDescent="0.2">
      <c r="J220"/>
      <c r="K220"/>
      <c r="L220"/>
      <c r="M220"/>
      <c r="N220" s="2"/>
      <c r="R220"/>
      <c r="S220"/>
      <c r="T220"/>
      <c r="U220"/>
      <c r="V220"/>
    </row>
    <row r="221" spans="10:22" s="1" customFormat="1" x14ac:dyDescent="0.2">
      <c r="J221"/>
      <c r="K221"/>
      <c r="L221"/>
      <c r="M221"/>
      <c r="N221" s="2"/>
      <c r="R221"/>
      <c r="S221"/>
      <c r="T221"/>
      <c r="U221"/>
      <c r="V221"/>
    </row>
    <row r="222" spans="10:22" s="1" customFormat="1" x14ac:dyDescent="0.2">
      <c r="J222"/>
      <c r="K222"/>
      <c r="L222"/>
      <c r="M222"/>
      <c r="N222" s="2"/>
      <c r="R222"/>
      <c r="S222"/>
      <c r="T222"/>
      <c r="U222"/>
      <c r="V222"/>
    </row>
    <row r="223" spans="10:22" s="1" customFormat="1" x14ac:dyDescent="0.2">
      <c r="J223"/>
      <c r="K223"/>
      <c r="L223"/>
      <c r="M223"/>
      <c r="N223" s="2"/>
      <c r="R223"/>
      <c r="S223"/>
      <c r="T223"/>
      <c r="U223"/>
      <c r="V223"/>
    </row>
    <row r="224" spans="10:22" s="1" customFormat="1" x14ac:dyDescent="0.2">
      <c r="J224"/>
      <c r="K224"/>
      <c r="L224"/>
      <c r="M224"/>
      <c r="N224" s="2"/>
      <c r="R224"/>
      <c r="S224"/>
      <c r="T224"/>
      <c r="U224"/>
      <c r="V224"/>
    </row>
    <row r="225" spans="10:22" s="1" customFormat="1" x14ac:dyDescent="0.2">
      <c r="J225"/>
      <c r="K225"/>
      <c r="L225"/>
      <c r="M225"/>
      <c r="N225" s="2"/>
      <c r="R225"/>
      <c r="S225"/>
      <c r="T225"/>
      <c r="U225"/>
      <c r="V225"/>
    </row>
    <row r="226" spans="10:22" s="1" customFormat="1" x14ac:dyDescent="0.2">
      <c r="J226"/>
      <c r="K226"/>
      <c r="L226"/>
      <c r="M226"/>
      <c r="N226" s="2"/>
      <c r="R226"/>
      <c r="S226"/>
      <c r="T226"/>
      <c r="U226"/>
      <c r="V226"/>
    </row>
    <row r="227" spans="10:22" s="1" customFormat="1" x14ac:dyDescent="0.2">
      <c r="J227"/>
      <c r="K227"/>
      <c r="L227"/>
      <c r="M227"/>
      <c r="N227" s="2"/>
      <c r="R227"/>
      <c r="S227"/>
      <c r="T227"/>
      <c r="U227"/>
      <c r="V227"/>
    </row>
    <row r="228" spans="10:22" s="1" customFormat="1" x14ac:dyDescent="0.2">
      <c r="J228"/>
      <c r="K228"/>
      <c r="L228"/>
      <c r="M228"/>
      <c r="N228" s="2"/>
      <c r="R228"/>
      <c r="S228"/>
      <c r="T228"/>
      <c r="U228"/>
      <c r="V228"/>
    </row>
    <row r="229" spans="10:22" s="1" customFormat="1" x14ac:dyDescent="0.2">
      <c r="J229"/>
      <c r="K229"/>
      <c r="L229"/>
      <c r="M229"/>
      <c r="N229" s="2"/>
      <c r="R229"/>
      <c r="S229"/>
      <c r="T229"/>
      <c r="U229"/>
      <c r="V229"/>
    </row>
    <row r="230" spans="10:22" s="1" customFormat="1" x14ac:dyDescent="0.2">
      <c r="J230"/>
      <c r="K230"/>
      <c r="L230"/>
      <c r="M230"/>
      <c r="N230" s="2"/>
      <c r="R230"/>
      <c r="S230"/>
      <c r="T230"/>
      <c r="U230"/>
      <c r="V230"/>
    </row>
    <row r="231" spans="10:22" s="1" customFormat="1" x14ac:dyDescent="0.2">
      <c r="J231"/>
      <c r="K231"/>
      <c r="L231"/>
      <c r="M231"/>
      <c r="N231" s="2"/>
      <c r="R231"/>
      <c r="S231"/>
      <c r="T231"/>
      <c r="U231"/>
      <c r="V231"/>
    </row>
    <row r="232" spans="10:22" s="1" customFormat="1" x14ac:dyDescent="0.2">
      <c r="J232"/>
      <c r="K232"/>
      <c r="L232"/>
      <c r="M232"/>
      <c r="N232" s="2"/>
      <c r="R232"/>
      <c r="S232"/>
      <c r="T232"/>
      <c r="U232"/>
      <c r="V232"/>
    </row>
    <row r="233" spans="10:22" s="1" customFormat="1" x14ac:dyDescent="0.2">
      <c r="J233"/>
      <c r="K233"/>
      <c r="L233"/>
      <c r="M233"/>
      <c r="N233" s="2"/>
      <c r="R233"/>
      <c r="S233"/>
      <c r="T233"/>
      <c r="U233"/>
      <c r="V233"/>
    </row>
    <row r="234" spans="10:22" s="1" customFormat="1" x14ac:dyDescent="0.2">
      <c r="J234"/>
      <c r="K234"/>
      <c r="L234"/>
      <c r="M234"/>
      <c r="N234" s="2"/>
      <c r="R234"/>
      <c r="S234"/>
      <c r="T234"/>
      <c r="U234"/>
      <c r="V234"/>
    </row>
    <row r="235" spans="10:22" s="1" customFormat="1" x14ac:dyDescent="0.2">
      <c r="J235"/>
      <c r="K235"/>
      <c r="L235"/>
      <c r="M235"/>
      <c r="N235" s="2"/>
      <c r="R235"/>
      <c r="S235"/>
      <c r="T235"/>
      <c r="U235"/>
      <c r="V235"/>
    </row>
    <row r="236" spans="10:22" s="1" customFormat="1" x14ac:dyDescent="0.2">
      <c r="J236"/>
      <c r="K236"/>
      <c r="L236"/>
      <c r="M236"/>
      <c r="N236" s="2"/>
      <c r="R236"/>
      <c r="S236"/>
      <c r="T236"/>
      <c r="U236"/>
      <c r="V236"/>
    </row>
    <row r="237" spans="10:22" s="1" customFormat="1" x14ac:dyDescent="0.2">
      <c r="J237"/>
      <c r="K237"/>
      <c r="L237"/>
      <c r="M237"/>
      <c r="N237" s="2"/>
      <c r="R237"/>
      <c r="S237"/>
      <c r="T237"/>
      <c r="U237"/>
      <c r="V237"/>
    </row>
    <row r="238" spans="10:22" s="1" customFormat="1" x14ac:dyDescent="0.2">
      <c r="J238"/>
      <c r="K238"/>
      <c r="L238"/>
      <c r="M238"/>
      <c r="N238" s="2"/>
      <c r="R238"/>
      <c r="S238"/>
      <c r="T238"/>
      <c r="U238"/>
      <c r="V238"/>
    </row>
    <row r="239" spans="10:22" s="1" customFormat="1" x14ac:dyDescent="0.2">
      <c r="J239"/>
      <c r="K239"/>
      <c r="L239"/>
      <c r="M239"/>
      <c r="N239" s="2"/>
      <c r="R239"/>
      <c r="S239"/>
      <c r="T239"/>
      <c r="U239"/>
      <c r="V239"/>
    </row>
    <row r="240" spans="10:22" s="1" customFormat="1" x14ac:dyDescent="0.2">
      <c r="J240"/>
      <c r="K240"/>
      <c r="L240"/>
      <c r="M240"/>
      <c r="N240" s="2"/>
      <c r="R240"/>
      <c r="S240"/>
      <c r="T240"/>
      <c r="U240"/>
      <c r="V240"/>
    </row>
    <row r="241" spans="10:22" s="1" customFormat="1" x14ac:dyDescent="0.2">
      <c r="J241"/>
      <c r="K241"/>
      <c r="L241"/>
      <c r="M241"/>
      <c r="N241" s="2"/>
      <c r="R241"/>
      <c r="S241"/>
      <c r="T241"/>
      <c r="U241"/>
      <c r="V241"/>
    </row>
    <row r="242" spans="10:22" s="1" customFormat="1" x14ac:dyDescent="0.2">
      <c r="J242"/>
      <c r="K242"/>
      <c r="L242"/>
      <c r="M242"/>
      <c r="N242" s="2"/>
      <c r="R242"/>
      <c r="S242"/>
      <c r="T242"/>
      <c r="U242"/>
      <c r="V242"/>
    </row>
    <row r="243" spans="10:22" s="1" customFormat="1" x14ac:dyDescent="0.2">
      <c r="J243"/>
      <c r="K243"/>
      <c r="L243"/>
      <c r="M243"/>
      <c r="N243" s="2"/>
      <c r="R243"/>
      <c r="S243"/>
      <c r="T243"/>
      <c r="U243"/>
      <c r="V243"/>
    </row>
    <row r="244" spans="10:22" s="1" customFormat="1" x14ac:dyDescent="0.2">
      <c r="J244"/>
      <c r="K244"/>
      <c r="L244"/>
      <c r="M244"/>
      <c r="N244" s="2"/>
      <c r="R244"/>
      <c r="S244"/>
      <c r="T244"/>
      <c r="U244"/>
      <c r="V244"/>
    </row>
    <row r="245" spans="10:22" s="1" customFormat="1" x14ac:dyDescent="0.2">
      <c r="J245"/>
      <c r="K245"/>
      <c r="L245"/>
      <c r="M245"/>
      <c r="N245" s="2"/>
      <c r="R245"/>
      <c r="S245"/>
      <c r="T245"/>
      <c r="U245"/>
      <c r="V245"/>
    </row>
    <row r="246" spans="10:22" s="1" customFormat="1" x14ac:dyDescent="0.2">
      <c r="J246"/>
      <c r="K246"/>
      <c r="L246"/>
      <c r="M246"/>
      <c r="N246" s="2"/>
      <c r="R246"/>
      <c r="S246"/>
      <c r="T246"/>
      <c r="U246"/>
      <c r="V246"/>
    </row>
    <row r="247" spans="10:22" s="1" customFormat="1" x14ac:dyDescent="0.2">
      <c r="J247"/>
      <c r="K247"/>
      <c r="L247"/>
      <c r="M247"/>
      <c r="N247" s="2"/>
      <c r="R247"/>
      <c r="S247"/>
      <c r="T247"/>
      <c r="U247"/>
      <c r="V247"/>
    </row>
    <row r="248" spans="10:22" s="1" customFormat="1" x14ac:dyDescent="0.2">
      <c r="J248"/>
      <c r="K248"/>
      <c r="L248"/>
      <c r="M248"/>
      <c r="N248" s="2"/>
      <c r="R248"/>
      <c r="S248"/>
      <c r="T248"/>
      <c r="U248"/>
      <c r="V248"/>
    </row>
    <row r="249" spans="10:22" s="1" customFormat="1" x14ac:dyDescent="0.2">
      <c r="J249"/>
      <c r="K249"/>
      <c r="L249"/>
      <c r="M249"/>
      <c r="N249" s="2"/>
      <c r="R249"/>
      <c r="S249"/>
      <c r="T249"/>
      <c r="U249"/>
      <c r="V249"/>
    </row>
    <row r="250" spans="10:22" s="1" customFormat="1" x14ac:dyDescent="0.2">
      <c r="J250"/>
      <c r="K250"/>
      <c r="L250"/>
      <c r="M250"/>
      <c r="N250" s="2"/>
      <c r="R250"/>
      <c r="S250"/>
      <c r="T250"/>
      <c r="U250"/>
      <c r="V250"/>
    </row>
    <row r="251" spans="10:22" s="1" customFormat="1" x14ac:dyDescent="0.2">
      <c r="J251"/>
      <c r="K251"/>
      <c r="L251"/>
      <c r="M251"/>
      <c r="N251" s="2"/>
      <c r="R251"/>
      <c r="S251"/>
      <c r="T251"/>
      <c r="U251"/>
      <c r="V251"/>
    </row>
    <row r="252" spans="10:22" s="1" customFormat="1" x14ac:dyDescent="0.2">
      <c r="J252"/>
      <c r="K252"/>
      <c r="L252"/>
      <c r="M252"/>
      <c r="N252" s="2"/>
      <c r="R252"/>
      <c r="S252"/>
      <c r="T252"/>
      <c r="U252"/>
      <c r="V252"/>
    </row>
    <row r="253" spans="10:22" s="1" customFormat="1" x14ac:dyDescent="0.2">
      <c r="J253"/>
      <c r="K253"/>
      <c r="L253"/>
      <c r="M253"/>
      <c r="N253" s="2"/>
      <c r="R253"/>
      <c r="S253"/>
      <c r="T253"/>
      <c r="U253"/>
      <c r="V253"/>
    </row>
    <row r="254" spans="10:22" s="1" customFormat="1" x14ac:dyDescent="0.2">
      <c r="J254"/>
      <c r="K254"/>
      <c r="L254"/>
      <c r="M254"/>
      <c r="N254" s="2"/>
      <c r="R254"/>
      <c r="S254"/>
      <c r="T254"/>
      <c r="U254"/>
      <c r="V254"/>
    </row>
    <row r="255" spans="10:22" s="1" customFormat="1" x14ac:dyDescent="0.2">
      <c r="J255"/>
      <c r="K255"/>
      <c r="L255"/>
      <c r="M255"/>
      <c r="N255" s="2"/>
      <c r="R255"/>
      <c r="S255"/>
      <c r="T255"/>
      <c r="U255"/>
      <c r="V255"/>
    </row>
    <row r="256" spans="10:22" s="1" customFormat="1" x14ac:dyDescent="0.2">
      <c r="J256"/>
      <c r="K256"/>
      <c r="L256"/>
      <c r="M256"/>
      <c r="N256" s="2"/>
      <c r="R256"/>
      <c r="S256"/>
      <c r="T256"/>
      <c r="U256"/>
      <c r="V256"/>
    </row>
    <row r="257" spans="10:22" s="1" customFormat="1" x14ac:dyDescent="0.2">
      <c r="J257"/>
      <c r="K257"/>
      <c r="L257"/>
      <c r="M257"/>
      <c r="N257" s="2"/>
      <c r="R257"/>
      <c r="S257"/>
      <c r="T257"/>
      <c r="U257"/>
      <c r="V257"/>
    </row>
    <row r="258" spans="10:22" s="1" customFormat="1" x14ac:dyDescent="0.2">
      <c r="J258"/>
      <c r="K258"/>
      <c r="L258"/>
      <c r="M258"/>
      <c r="N258" s="2"/>
      <c r="R258"/>
      <c r="S258"/>
      <c r="T258"/>
      <c r="U258"/>
      <c r="V258"/>
    </row>
    <row r="259" spans="10:22" s="1" customFormat="1" x14ac:dyDescent="0.2">
      <c r="J259"/>
      <c r="K259"/>
      <c r="L259"/>
      <c r="M259"/>
      <c r="N259" s="2"/>
      <c r="R259"/>
      <c r="S259"/>
      <c r="T259"/>
      <c r="U259"/>
      <c r="V259"/>
    </row>
    <row r="260" spans="10:22" s="1" customFormat="1" x14ac:dyDescent="0.2">
      <c r="J260"/>
      <c r="K260"/>
      <c r="L260"/>
      <c r="M260"/>
      <c r="N260" s="2"/>
      <c r="R260"/>
      <c r="S260"/>
      <c r="T260"/>
      <c r="U260"/>
      <c r="V260"/>
    </row>
    <row r="261" spans="10:22" s="1" customFormat="1" x14ac:dyDescent="0.2">
      <c r="J261"/>
      <c r="K261"/>
      <c r="L261"/>
      <c r="M261"/>
      <c r="N261" s="2"/>
      <c r="R261"/>
      <c r="S261"/>
      <c r="T261"/>
      <c r="U261"/>
      <c r="V261"/>
    </row>
    <row r="262" spans="10:22" s="1" customFormat="1" x14ac:dyDescent="0.2">
      <c r="J262"/>
      <c r="K262"/>
      <c r="L262"/>
      <c r="M262"/>
      <c r="N262" s="2"/>
      <c r="R262"/>
      <c r="S262"/>
      <c r="T262"/>
      <c r="U262"/>
      <c r="V262"/>
    </row>
    <row r="263" spans="10:22" s="1" customFormat="1" x14ac:dyDescent="0.2">
      <c r="J263"/>
      <c r="K263"/>
      <c r="L263"/>
      <c r="M263"/>
      <c r="N263" s="2"/>
      <c r="R263"/>
      <c r="S263"/>
      <c r="T263"/>
      <c r="U263"/>
      <c r="V263"/>
    </row>
    <row r="264" spans="10:22" s="1" customFormat="1" x14ac:dyDescent="0.2">
      <c r="J264"/>
      <c r="K264"/>
      <c r="L264"/>
      <c r="M264"/>
      <c r="N264" s="2"/>
      <c r="R264"/>
      <c r="S264"/>
      <c r="T264"/>
      <c r="U264"/>
      <c r="V264"/>
    </row>
    <row r="265" spans="10:22" s="1" customFormat="1" x14ac:dyDescent="0.2">
      <c r="J265"/>
      <c r="K265"/>
      <c r="L265"/>
      <c r="M265"/>
      <c r="N265" s="2"/>
      <c r="R265"/>
      <c r="S265"/>
      <c r="T265"/>
      <c r="U265"/>
      <c r="V265"/>
    </row>
    <row r="266" spans="10:22" s="1" customFormat="1" x14ac:dyDescent="0.2">
      <c r="J266"/>
      <c r="K266"/>
      <c r="L266"/>
      <c r="M266"/>
      <c r="N266" s="2"/>
      <c r="R266"/>
      <c r="S266"/>
      <c r="T266"/>
      <c r="U266"/>
      <c r="V266"/>
    </row>
    <row r="267" spans="10:22" s="1" customFormat="1" x14ac:dyDescent="0.2">
      <c r="J267"/>
      <c r="K267"/>
      <c r="L267"/>
      <c r="M267"/>
      <c r="N267" s="2"/>
      <c r="R267"/>
      <c r="S267"/>
      <c r="T267"/>
      <c r="U267"/>
      <c r="V267"/>
    </row>
    <row r="268" spans="10:22" s="1" customFormat="1" x14ac:dyDescent="0.2">
      <c r="J268"/>
      <c r="K268"/>
      <c r="L268"/>
      <c r="M268"/>
      <c r="N268" s="2"/>
      <c r="R268"/>
      <c r="S268"/>
      <c r="T268"/>
      <c r="U268"/>
      <c r="V268"/>
    </row>
    <row r="269" spans="10:22" s="1" customFormat="1" x14ac:dyDescent="0.2">
      <c r="J269"/>
      <c r="K269"/>
      <c r="L269"/>
      <c r="M269"/>
      <c r="N269" s="2"/>
      <c r="R269"/>
      <c r="S269"/>
      <c r="T269"/>
      <c r="U269"/>
      <c r="V269"/>
    </row>
    <row r="270" spans="10:22" s="1" customFormat="1" x14ac:dyDescent="0.2">
      <c r="J270"/>
      <c r="K270"/>
      <c r="L270"/>
      <c r="M270"/>
      <c r="N270" s="2"/>
      <c r="R270"/>
      <c r="S270"/>
      <c r="T270"/>
      <c r="U270"/>
      <c r="V270"/>
    </row>
    <row r="271" spans="10:22" s="1" customFormat="1" x14ac:dyDescent="0.2">
      <c r="J271"/>
      <c r="K271"/>
      <c r="L271"/>
      <c r="M271"/>
      <c r="N271" s="2"/>
      <c r="R271"/>
      <c r="S271"/>
      <c r="T271"/>
      <c r="U271"/>
      <c r="V271"/>
    </row>
    <row r="272" spans="10:22" s="1" customFormat="1" x14ac:dyDescent="0.2">
      <c r="J272"/>
      <c r="K272"/>
      <c r="L272"/>
      <c r="M272"/>
      <c r="N272" s="2"/>
      <c r="R272"/>
      <c r="S272"/>
      <c r="T272"/>
      <c r="U272"/>
      <c r="V272"/>
    </row>
    <row r="273" spans="10:22" s="1" customFormat="1" x14ac:dyDescent="0.2">
      <c r="J273"/>
      <c r="K273"/>
      <c r="L273"/>
      <c r="M273"/>
      <c r="N273" s="2"/>
      <c r="R273"/>
      <c r="S273"/>
      <c r="T273"/>
      <c r="U273"/>
      <c r="V273"/>
    </row>
    <row r="274" spans="10:22" s="1" customFormat="1" x14ac:dyDescent="0.2">
      <c r="J274"/>
      <c r="K274"/>
      <c r="L274"/>
      <c r="M274"/>
      <c r="N274" s="2"/>
      <c r="R274"/>
      <c r="S274"/>
      <c r="T274"/>
      <c r="U274"/>
      <c r="V274"/>
    </row>
    <row r="275" spans="10:22" s="1" customFormat="1" x14ac:dyDescent="0.2">
      <c r="J275"/>
      <c r="K275"/>
      <c r="L275"/>
      <c r="M275"/>
      <c r="N275" s="2"/>
      <c r="R275"/>
      <c r="S275"/>
      <c r="T275"/>
      <c r="U275"/>
      <c r="V275"/>
    </row>
    <row r="276" spans="10:22" s="1" customFormat="1" x14ac:dyDescent="0.2">
      <c r="J276"/>
      <c r="K276"/>
      <c r="L276"/>
      <c r="M276"/>
      <c r="N276" s="2"/>
      <c r="R276"/>
      <c r="S276"/>
      <c r="T276"/>
      <c r="U276"/>
      <c r="V276"/>
    </row>
    <row r="277" spans="10:22" s="1" customFormat="1" x14ac:dyDescent="0.2">
      <c r="J277"/>
      <c r="K277"/>
      <c r="L277"/>
      <c r="M277"/>
      <c r="N277" s="2"/>
      <c r="R277"/>
      <c r="S277"/>
      <c r="T277"/>
      <c r="U277"/>
      <c r="V277"/>
    </row>
    <row r="278" spans="10:22" s="1" customFormat="1" x14ac:dyDescent="0.2">
      <c r="J278"/>
      <c r="K278"/>
      <c r="L278"/>
      <c r="M278"/>
      <c r="N278" s="2"/>
      <c r="R278"/>
      <c r="S278"/>
      <c r="T278"/>
      <c r="U278"/>
      <c r="V278"/>
    </row>
    <row r="279" spans="10:22" s="1" customFormat="1" x14ac:dyDescent="0.2">
      <c r="J279"/>
      <c r="K279"/>
      <c r="L279"/>
      <c r="M279"/>
      <c r="N279" s="2"/>
      <c r="R279"/>
      <c r="S279"/>
      <c r="T279"/>
      <c r="U279"/>
      <c r="V279"/>
    </row>
    <row r="280" spans="10:22" s="1" customFormat="1" x14ac:dyDescent="0.2">
      <c r="J280"/>
      <c r="K280"/>
      <c r="L280"/>
      <c r="M280"/>
      <c r="N280" s="2"/>
      <c r="R280"/>
      <c r="S280"/>
      <c r="T280"/>
      <c r="U280"/>
      <c r="V280"/>
    </row>
    <row r="281" spans="10:22" s="1" customFormat="1" x14ac:dyDescent="0.2">
      <c r="J281"/>
      <c r="K281"/>
      <c r="L281"/>
      <c r="M281"/>
      <c r="N281" s="2"/>
      <c r="R281"/>
      <c r="S281"/>
      <c r="T281"/>
      <c r="U281"/>
      <c r="V281"/>
    </row>
    <row r="282" spans="10:22" s="1" customFormat="1" x14ac:dyDescent="0.2">
      <c r="J282"/>
      <c r="K282"/>
      <c r="L282"/>
      <c r="M282"/>
      <c r="N282" s="2"/>
      <c r="R282"/>
      <c r="S282"/>
      <c r="T282"/>
      <c r="U282"/>
      <c r="V282"/>
    </row>
    <row r="283" spans="10:22" s="1" customFormat="1" x14ac:dyDescent="0.2">
      <c r="J283"/>
      <c r="K283"/>
      <c r="L283"/>
      <c r="M283"/>
      <c r="N283" s="2"/>
      <c r="R283"/>
      <c r="S283"/>
      <c r="T283"/>
      <c r="U283"/>
      <c r="V283"/>
    </row>
    <row r="284" spans="10:22" s="1" customFormat="1" x14ac:dyDescent="0.2">
      <c r="J284"/>
      <c r="K284"/>
      <c r="L284"/>
      <c r="M284"/>
      <c r="N284" s="2"/>
      <c r="R284"/>
      <c r="S284"/>
      <c r="T284"/>
      <c r="U284"/>
      <c r="V284"/>
    </row>
    <row r="285" spans="10:22" s="1" customFormat="1" x14ac:dyDescent="0.2">
      <c r="J285"/>
      <c r="K285"/>
      <c r="L285"/>
      <c r="M285"/>
      <c r="N285" s="2"/>
      <c r="R285"/>
      <c r="S285"/>
      <c r="T285"/>
      <c r="U285"/>
      <c r="V285"/>
    </row>
    <row r="286" spans="10:22" s="1" customFormat="1" x14ac:dyDescent="0.2">
      <c r="J286"/>
      <c r="K286"/>
      <c r="L286"/>
      <c r="M286"/>
      <c r="N286" s="2"/>
      <c r="R286"/>
      <c r="S286"/>
      <c r="T286"/>
      <c r="U286"/>
      <c r="V286"/>
    </row>
    <row r="287" spans="10:22" s="1" customFormat="1" x14ac:dyDescent="0.2">
      <c r="J287"/>
      <c r="K287"/>
      <c r="L287"/>
      <c r="M287"/>
      <c r="N287" s="2"/>
      <c r="R287"/>
      <c r="S287"/>
      <c r="T287"/>
      <c r="U287"/>
      <c r="V287"/>
    </row>
    <row r="288" spans="10:22" s="1" customFormat="1" x14ac:dyDescent="0.2">
      <c r="J288"/>
      <c r="K288"/>
      <c r="L288"/>
      <c r="M288"/>
      <c r="N288" s="2"/>
      <c r="R288"/>
      <c r="S288"/>
      <c r="T288"/>
      <c r="U288"/>
      <c r="V288"/>
    </row>
    <row r="289" spans="10:22" s="1" customFormat="1" x14ac:dyDescent="0.2">
      <c r="J289"/>
      <c r="K289"/>
      <c r="L289"/>
      <c r="M289"/>
      <c r="N289" s="2"/>
      <c r="R289"/>
      <c r="S289"/>
      <c r="T289"/>
      <c r="U289"/>
      <c r="V289"/>
    </row>
    <row r="290" spans="10:22" s="1" customFormat="1" x14ac:dyDescent="0.2">
      <c r="J290"/>
      <c r="K290"/>
      <c r="L290"/>
      <c r="M290"/>
      <c r="N290" s="2"/>
      <c r="R290"/>
      <c r="S290"/>
      <c r="T290"/>
      <c r="U290"/>
      <c r="V290"/>
    </row>
    <row r="291" spans="10:22" s="1" customFormat="1" x14ac:dyDescent="0.2">
      <c r="J291"/>
      <c r="K291"/>
      <c r="L291"/>
      <c r="M291"/>
      <c r="N291" s="2"/>
      <c r="R291"/>
      <c r="S291"/>
      <c r="T291"/>
      <c r="U291"/>
      <c r="V291"/>
    </row>
    <row r="292" spans="10:22" s="1" customFormat="1" x14ac:dyDescent="0.2">
      <c r="J292"/>
      <c r="K292"/>
      <c r="L292"/>
      <c r="M292"/>
      <c r="N292" s="2"/>
      <c r="R292"/>
      <c r="S292"/>
      <c r="T292"/>
      <c r="U292"/>
      <c r="V292"/>
    </row>
    <row r="293" spans="10:22" s="1" customFormat="1" x14ac:dyDescent="0.2">
      <c r="J293"/>
      <c r="K293"/>
      <c r="L293"/>
      <c r="M293"/>
      <c r="N293" s="2"/>
      <c r="R293"/>
      <c r="S293"/>
      <c r="T293"/>
      <c r="U293"/>
      <c r="V293"/>
    </row>
    <row r="294" spans="10:22" s="1" customFormat="1" x14ac:dyDescent="0.2">
      <c r="J294"/>
      <c r="K294"/>
      <c r="L294"/>
      <c r="M294"/>
      <c r="N294" s="2"/>
      <c r="R294"/>
      <c r="S294"/>
      <c r="T294"/>
      <c r="U294"/>
      <c r="V294"/>
    </row>
    <row r="295" spans="10:22" s="1" customFormat="1" x14ac:dyDescent="0.2">
      <c r="J295"/>
      <c r="K295"/>
      <c r="L295"/>
      <c r="M295"/>
      <c r="N295" s="2"/>
      <c r="R295"/>
      <c r="S295"/>
      <c r="T295"/>
      <c r="U295"/>
      <c r="V295"/>
    </row>
    <row r="296" spans="10:22" s="1" customFormat="1" x14ac:dyDescent="0.2">
      <c r="J296"/>
      <c r="K296"/>
      <c r="L296"/>
      <c r="M296"/>
      <c r="N296" s="2"/>
      <c r="R296"/>
      <c r="S296"/>
      <c r="T296"/>
      <c r="U296"/>
      <c r="V296"/>
    </row>
    <row r="297" spans="10:22" s="1" customFormat="1" x14ac:dyDescent="0.2">
      <c r="J297"/>
      <c r="K297"/>
      <c r="L297"/>
      <c r="M297"/>
      <c r="N297" s="2"/>
      <c r="R297"/>
      <c r="S297"/>
      <c r="T297"/>
      <c r="U297"/>
      <c r="V297"/>
    </row>
    <row r="298" spans="10:22" s="1" customFormat="1" x14ac:dyDescent="0.2">
      <c r="J298"/>
      <c r="K298"/>
      <c r="L298"/>
      <c r="M298"/>
      <c r="N298" s="2"/>
      <c r="R298"/>
      <c r="S298"/>
      <c r="T298"/>
      <c r="U298"/>
      <c r="V298"/>
    </row>
    <row r="299" spans="10:22" s="1" customFormat="1" x14ac:dyDescent="0.2">
      <c r="J299"/>
      <c r="K299"/>
      <c r="L299"/>
      <c r="M299"/>
      <c r="N299" s="2"/>
      <c r="R299"/>
      <c r="S299"/>
      <c r="T299"/>
      <c r="U299"/>
      <c r="V299"/>
    </row>
    <row r="300" spans="10:22" s="1" customFormat="1" x14ac:dyDescent="0.2">
      <c r="J300"/>
      <c r="K300"/>
      <c r="L300"/>
      <c r="M300"/>
      <c r="N300" s="2"/>
      <c r="R300"/>
      <c r="S300"/>
      <c r="T300"/>
      <c r="U300"/>
      <c r="V300"/>
    </row>
    <row r="301" spans="10:22" s="1" customFormat="1" x14ac:dyDescent="0.2">
      <c r="J301"/>
      <c r="K301"/>
      <c r="L301"/>
      <c r="M301"/>
      <c r="N301" s="2"/>
      <c r="R301"/>
      <c r="S301"/>
      <c r="T301"/>
      <c r="U301"/>
      <c r="V301"/>
    </row>
    <row r="302" spans="10:22" s="1" customFormat="1" x14ac:dyDescent="0.2">
      <c r="J302"/>
      <c r="K302"/>
      <c r="L302"/>
      <c r="M302"/>
      <c r="N302" s="2"/>
      <c r="R302"/>
      <c r="S302"/>
      <c r="T302"/>
      <c r="U302"/>
      <c r="V302"/>
    </row>
    <row r="303" spans="10:22" s="1" customFormat="1" x14ac:dyDescent="0.2">
      <c r="J303"/>
      <c r="K303"/>
      <c r="L303"/>
      <c r="M303"/>
      <c r="N303" s="2"/>
      <c r="R303"/>
      <c r="S303"/>
      <c r="T303"/>
      <c r="U303"/>
      <c r="V303"/>
    </row>
    <row r="304" spans="10:22" s="1" customFormat="1" x14ac:dyDescent="0.2">
      <c r="J304"/>
      <c r="K304"/>
      <c r="L304"/>
      <c r="M304"/>
      <c r="N304" s="2"/>
      <c r="R304"/>
      <c r="S304"/>
      <c r="T304"/>
      <c r="U304"/>
      <c r="V304"/>
    </row>
    <row r="305" spans="10:22" s="1" customFormat="1" x14ac:dyDescent="0.2">
      <c r="J305"/>
      <c r="K305"/>
      <c r="L305"/>
      <c r="M305"/>
      <c r="N305" s="2"/>
      <c r="R305"/>
      <c r="S305"/>
      <c r="T305"/>
      <c r="U305"/>
      <c r="V305"/>
    </row>
    <row r="306" spans="10:22" s="1" customFormat="1" x14ac:dyDescent="0.2">
      <c r="J306"/>
      <c r="K306"/>
      <c r="L306"/>
      <c r="M306"/>
      <c r="N306" s="2"/>
      <c r="R306"/>
      <c r="S306"/>
      <c r="T306"/>
      <c r="U306"/>
      <c r="V306"/>
    </row>
    <row r="307" spans="10:22" s="1" customFormat="1" x14ac:dyDescent="0.2">
      <c r="J307"/>
      <c r="K307"/>
      <c r="L307"/>
      <c r="M307"/>
      <c r="N307" s="2"/>
      <c r="R307"/>
      <c r="S307"/>
      <c r="T307"/>
      <c r="U307"/>
      <c r="V307"/>
    </row>
    <row r="308" spans="10:22" s="1" customFormat="1" x14ac:dyDescent="0.2">
      <c r="J308"/>
      <c r="K308"/>
      <c r="L308"/>
      <c r="M308"/>
      <c r="N308" s="2"/>
      <c r="R308"/>
      <c r="S308"/>
      <c r="T308"/>
      <c r="U308"/>
      <c r="V308"/>
    </row>
    <row r="309" spans="10:22" s="1" customFormat="1" x14ac:dyDescent="0.2">
      <c r="J309"/>
      <c r="K309"/>
      <c r="L309"/>
      <c r="M309"/>
      <c r="N309" s="2"/>
      <c r="R309"/>
      <c r="S309"/>
      <c r="T309"/>
      <c r="U309"/>
      <c r="V309"/>
    </row>
    <row r="310" spans="10:22" s="1" customFormat="1" x14ac:dyDescent="0.2">
      <c r="J310"/>
      <c r="K310"/>
      <c r="L310"/>
      <c r="M310"/>
      <c r="N310" s="2"/>
      <c r="R310"/>
      <c r="S310"/>
      <c r="T310"/>
      <c r="U310"/>
      <c r="V310"/>
    </row>
    <row r="311" spans="10:22" s="1" customFormat="1" x14ac:dyDescent="0.2">
      <c r="J311"/>
      <c r="K311"/>
      <c r="L311"/>
      <c r="M311"/>
      <c r="N311" s="2"/>
      <c r="R311"/>
      <c r="S311"/>
      <c r="T311"/>
      <c r="U311"/>
      <c r="V311"/>
    </row>
    <row r="312" spans="10:22" s="1" customFormat="1" x14ac:dyDescent="0.2">
      <c r="J312"/>
      <c r="K312"/>
      <c r="L312"/>
      <c r="M312"/>
      <c r="N312" s="2"/>
      <c r="R312"/>
      <c r="S312"/>
      <c r="T312"/>
      <c r="U312"/>
      <c r="V312"/>
    </row>
    <row r="313" spans="10:22" s="1" customFormat="1" x14ac:dyDescent="0.2">
      <c r="J313"/>
      <c r="K313"/>
      <c r="L313"/>
      <c r="M313"/>
      <c r="N313" s="2"/>
      <c r="R313"/>
      <c r="S313"/>
      <c r="T313"/>
      <c r="U313"/>
      <c r="V313"/>
    </row>
    <row r="314" spans="10:22" s="1" customFormat="1" x14ac:dyDescent="0.2">
      <c r="J314"/>
      <c r="K314"/>
      <c r="L314"/>
      <c r="M314"/>
      <c r="N314" s="2"/>
      <c r="R314"/>
      <c r="S314"/>
      <c r="T314"/>
      <c r="U314"/>
      <c r="V314"/>
    </row>
    <row r="315" spans="10:22" s="1" customFormat="1" x14ac:dyDescent="0.2">
      <c r="J315"/>
      <c r="K315"/>
      <c r="L315"/>
      <c r="M315"/>
      <c r="N315" s="2"/>
      <c r="R315"/>
      <c r="S315"/>
      <c r="T315"/>
      <c r="U315"/>
      <c r="V315"/>
    </row>
    <row r="316" spans="10:22" s="1" customFormat="1" x14ac:dyDescent="0.2">
      <c r="J316"/>
      <c r="K316"/>
      <c r="L316"/>
      <c r="M316"/>
      <c r="N316" s="2"/>
      <c r="R316"/>
      <c r="S316"/>
      <c r="T316"/>
      <c r="U316"/>
      <c r="V316"/>
    </row>
    <row r="317" spans="10:22" s="1" customFormat="1" x14ac:dyDescent="0.2">
      <c r="J317"/>
      <c r="K317"/>
      <c r="L317"/>
      <c r="M317"/>
      <c r="N317" s="2"/>
      <c r="R317"/>
      <c r="S317"/>
      <c r="T317"/>
      <c r="U317"/>
      <c r="V317"/>
    </row>
    <row r="318" spans="10:22" s="1" customFormat="1" x14ac:dyDescent="0.2">
      <c r="J318"/>
      <c r="K318"/>
      <c r="L318"/>
      <c r="M318"/>
      <c r="N318" s="2"/>
      <c r="R318"/>
      <c r="S318"/>
      <c r="T318"/>
      <c r="U318"/>
      <c r="V318"/>
    </row>
    <row r="319" spans="10:22" s="1" customFormat="1" x14ac:dyDescent="0.2">
      <c r="J319"/>
      <c r="K319"/>
      <c r="L319"/>
      <c r="M319"/>
      <c r="N319" s="2"/>
      <c r="R319"/>
      <c r="S319"/>
      <c r="T319"/>
      <c r="U319"/>
      <c r="V319"/>
    </row>
    <row r="320" spans="10:22" s="1" customFormat="1" x14ac:dyDescent="0.2">
      <c r="J320"/>
      <c r="K320"/>
      <c r="L320"/>
      <c r="M320"/>
      <c r="N320" s="2"/>
      <c r="R320"/>
      <c r="S320"/>
      <c r="T320"/>
      <c r="U320"/>
      <c r="V320"/>
    </row>
    <row r="321" spans="10:22" s="1" customFormat="1" x14ac:dyDescent="0.2">
      <c r="J321"/>
      <c r="K321"/>
      <c r="L321"/>
      <c r="M321"/>
      <c r="N321" s="2"/>
      <c r="R321"/>
      <c r="S321"/>
      <c r="T321"/>
      <c r="U321"/>
      <c r="V321"/>
    </row>
    <row r="322" spans="10:22" s="1" customFormat="1" x14ac:dyDescent="0.2">
      <c r="J322"/>
      <c r="K322"/>
      <c r="L322"/>
      <c r="M322"/>
      <c r="N322" s="2"/>
      <c r="R322"/>
      <c r="S322"/>
      <c r="T322"/>
      <c r="U322"/>
      <c r="V322"/>
    </row>
    <row r="323" spans="10:22" s="1" customFormat="1" x14ac:dyDescent="0.2">
      <c r="J323"/>
      <c r="K323"/>
      <c r="L323"/>
      <c r="M323"/>
      <c r="N323" s="2"/>
      <c r="R323"/>
      <c r="S323"/>
      <c r="T323"/>
      <c r="U323"/>
      <c r="V323"/>
    </row>
    <row r="324" spans="10:22" s="1" customFormat="1" x14ac:dyDescent="0.2">
      <c r="J324"/>
      <c r="K324"/>
      <c r="L324"/>
      <c r="M324"/>
      <c r="N324" s="2"/>
      <c r="R324"/>
      <c r="S324"/>
      <c r="T324"/>
      <c r="U324"/>
      <c r="V324"/>
    </row>
    <row r="325" spans="10:22" s="1" customFormat="1" x14ac:dyDescent="0.2">
      <c r="J325"/>
      <c r="K325"/>
      <c r="L325"/>
      <c r="M325"/>
      <c r="N325" s="2"/>
      <c r="R325"/>
      <c r="S325"/>
      <c r="T325"/>
      <c r="U325"/>
      <c r="V325"/>
    </row>
    <row r="326" spans="10:22" s="1" customFormat="1" x14ac:dyDescent="0.2">
      <c r="J326"/>
      <c r="K326"/>
      <c r="L326"/>
      <c r="M326"/>
      <c r="N326" s="2"/>
      <c r="R326"/>
      <c r="S326"/>
      <c r="T326"/>
      <c r="U326"/>
      <c r="V326"/>
    </row>
    <row r="327" spans="10:22" s="1" customFormat="1" x14ac:dyDescent="0.2">
      <c r="J327"/>
      <c r="K327"/>
      <c r="L327"/>
      <c r="M327"/>
      <c r="N327" s="2"/>
      <c r="R327"/>
      <c r="S327"/>
      <c r="T327"/>
      <c r="U327"/>
      <c r="V327"/>
    </row>
    <row r="328" spans="10:22" s="1" customFormat="1" x14ac:dyDescent="0.2">
      <c r="J328"/>
      <c r="K328"/>
      <c r="L328"/>
      <c r="M328"/>
      <c r="N328" s="2"/>
      <c r="R328"/>
      <c r="S328"/>
      <c r="T328"/>
      <c r="U328"/>
      <c r="V328"/>
    </row>
    <row r="329" spans="10:22" s="1" customFormat="1" x14ac:dyDescent="0.2">
      <c r="J329"/>
      <c r="K329"/>
      <c r="L329"/>
      <c r="M329"/>
      <c r="N329" s="2"/>
      <c r="R329"/>
      <c r="S329"/>
      <c r="T329"/>
      <c r="U329"/>
      <c r="V329"/>
    </row>
    <row r="330" spans="10:22" s="1" customFormat="1" x14ac:dyDescent="0.2">
      <c r="J330"/>
      <c r="K330"/>
      <c r="L330"/>
      <c r="M330"/>
      <c r="N330" s="2"/>
      <c r="R330"/>
      <c r="S330"/>
      <c r="T330"/>
      <c r="U330"/>
      <c r="V330"/>
    </row>
    <row r="331" spans="10:22" s="1" customFormat="1" x14ac:dyDescent="0.2">
      <c r="J331"/>
      <c r="K331"/>
      <c r="L331"/>
      <c r="M331"/>
      <c r="N331" s="2"/>
      <c r="R331"/>
      <c r="S331"/>
      <c r="T331"/>
      <c r="U331"/>
      <c r="V331"/>
    </row>
    <row r="332" spans="10:22" s="1" customFormat="1" x14ac:dyDescent="0.2">
      <c r="J332"/>
      <c r="K332"/>
      <c r="L332"/>
      <c r="M332"/>
      <c r="N332" s="2"/>
      <c r="R332"/>
      <c r="S332"/>
      <c r="T332"/>
      <c r="U332"/>
      <c r="V332"/>
    </row>
    <row r="333" spans="10:22" s="1" customFormat="1" x14ac:dyDescent="0.2">
      <c r="J333"/>
      <c r="K333"/>
      <c r="L333"/>
      <c r="M333"/>
      <c r="N333" s="2"/>
      <c r="R333"/>
      <c r="S333"/>
      <c r="T333"/>
      <c r="U333"/>
      <c r="V333"/>
    </row>
    <row r="334" spans="10:22" s="1" customFormat="1" x14ac:dyDescent="0.2">
      <c r="J334"/>
      <c r="K334"/>
      <c r="L334"/>
      <c r="M334"/>
      <c r="N334" s="2"/>
      <c r="R334"/>
      <c r="S334"/>
      <c r="T334"/>
      <c r="U334"/>
      <c r="V334"/>
    </row>
    <row r="335" spans="10:22" s="1" customFormat="1" x14ac:dyDescent="0.2">
      <c r="J335"/>
      <c r="K335"/>
      <c r="L335"/>
      <c r="M335"/>
      <c r="N335" s="2"/>
      <c r="R335"/>
      <c r="S335"/>
      <c r="T335"/>
      <c r="U335"/>
      <c r="V335"/>
    </row>
    <row r="336" spans="10:22" s="1" customFormat="1" x14ac:dyDescent="0.2">
      <c r="J336"/>
      <c r="K336"/>
      <c r="L336"/>
      <c r="M336"/>
      <c r="N336" s="2"/>
      <c r="R336"/>
      <c r="S336"/>
      <c r="T336"/>
      <c r="U336"/>
      <c r="V336"/>
    </row>
    <row r="337" spans="10:22" s="1" customFormat="1" x14ac:dyDescent="0.2">
      <c r="J337"/>
      <c r="K337"/>
      <c r="L337"/>
      <c r="M337"/>
      <c r="N337" s="2"/>
      <c r="R337"/>
      <c r="S337"/>
      <c r="T337"/>
      <c r="U337"/>
      <c r="V337"/>
    </row>
    <row r="338" spans="10:22" s="1" customFormat="1" x14ac:dyDescent="0.2">
      <c r="J338"/>
      <c r="K338"/>
      <c r="L338"/>
      <c r="M338"/>
      <c r="N338" s="2"/>
      <c r="R338"/>
      <c r="S338"/>
      <c r="T338"/>
      <c r="U338"/>
      <c r="V338"/>
    </row>
    <row r="339" spans="10:22" s="1" customFormat="1" x14ac:dyDescent="0.2">
      <c r="J339"/>
      <c r="K339"/>
      <c r="L339"/>
      <c r="M339"/>
      <c r="N339" s="2"/>
      <c r="R339"/>
      <c r="S339"/>
      <c r="T339"/>
      <c r="U339"/>
      <c r="V339"/>
    </row>
    <row r="340" spans="10:22" s="1" customFormat="1" x14ac:dyDescent="0.2">
      <c r="J340"/>
      <c r="K340"/>
      <c r="L340"/>
      <c r="M340"/>
      <c r="N340" s="2"/>
      <c r="R340"/>
      <c r="S340"/>
      <c r="T340"/>
      <c r="U340"/>
      <c r="V340"/>
    </row>
    <row r="341" spans="10:22" s="1" customFormat="1" x14ac:dyDescent="0.2">
      <c r="J341"/>
      <c r="K341"/>
      <c r="L341"/>
      <c r="M341"/>
      <c r="N341" s="2"/>
      <c r="R341"/>
      <c r="S341"/>
      <c r="T341"/>
      <c r="U341"/>
      <c r="V341"/>
    </row>
    <row r="342" spans="10:22" s="1" customFormat="1" x14ac:dyDescent="0.2">
      <c r="J342"/>
      <c r="K342"/>
      <c r="L342"/>
      <c r="M342"/>
      <c r="N342" s="2"/>
      <c r="R342"/>
      <c r="S342"/>
      <c r="T342"/>
      <c r="U342"/>
      <c r="V342"/>
    </row>
    <row r="343" spans="10:22" s="1" customFormat="1" x14ac:dyDescent="0.2">
      <c r="J343"/>
      <c r="K343"/>
      <c r="L343"/>
      <c r="M343"/>
      <c r="N343" s="2"/>
      <c r="R343"/>
      <c r="S343"/>
      <c r="T343"/>
      <c r="U343"/>
      <c r="V343"/>
    </row>
    <row r="344" spans="10:22" s="1" customFormat="1" x14ac:dyDescent="0.2">
      <c r="J344"/>
      <c r="K344"/>
      <c r="L344"/>
      <c r="M344"/>
      <c r="N344" s="2"/>
      <c r="R344"/>
      <c r="S344"/>
      <c r="T344"/>
      <c r="U344"/>
      <c r="V344"/>
    </row>
    <row r="345" spans="10:22" s="1" customFormat="1" x14ac:dyDescent="0.2">
      <c r="J345"/>
      <c r="K345"/>
      <c r="L345"/>
      <c r="M345"/>
      <c r="N345" s="2"/>
      <c r="R345"/>
      <c r="S345"/>
      <c r="T345"/>
      <c r="U345"/>
      <c r="V345"/>
    </row>
    <row r="346" spans="10:22" s="1" customFormat="1" x14ac:dyDescent="0.2">
      <c r="J346"/>
      <c r="K346"/>
      <c r="L346"/>
      <c r="M346"/>
      <c r="N346" s="2"/>
      <c r="R346"/>
      <c r="S346"/>
      <c r="T346"/>
      <c r="U346"/>
      <c r="V346"/>
    </row>
    <row r="347" spans="10:22" s="1" customFormat="1" x14ac:dyDescent="0.2">
      <c r="J347"/>
      <c r="K347"/>
      <c r="L347"/>
      <c r="M347"/>
      <c r="N347" s="2"/>
      <c r="R347"/>
      <c r="S347"/>
      <c r="T347"/>
      <c r="U347"/>
      <c r="V347"/>
    </row>
    <row r="348" spans="10:22" s="1" customFormat="1" x14ac:dyDescent="0.2">
      <c r="J348"/>
      <c r="K348"/>
      <c r="L348"/>
      <c r="M348"/>
      <c r="N348" s="2"/>
      <c r="R348"/>
      <c r="S348"/>
      <c r="T348"/>
      <c r="U348"/>
      <c r="V348"/>
    </row>
    <row r="349" spans="10:22" s="1" customFormat="1" x14ac:dyDescent="0.2">
      <c r="J349"/>
      <c r="K349"/>
      <c r="L349"/>
      <c r="M349"/>
      <c r="N349" s="2"/>
      <c r="R349"/>
      <c r="S349"/>
      <c r="T349"/>
      <c r="U349"/>
      <c r="V349"/>
    </row>
    <row r="350" spans="10:22" s="1" customFormat="1" x14ac:dyDescent="0.2">
      <c r="J350"/>
      <c r="K350"/>
      <c r="L350"/>
      <c r="M350"/>
      <c r="N350" s="2"/>
      <c r="R350"/>
      <c r="S350"/>
      <c r="T350"/>
      <c r="U350"/>
      <c r="V350"/>
    </row>
    <row r="351" spans="10:22" s="1" customFormat="1" x14ac:dyDescent="0.2">
      <c r="J351"/>
      <c r="K351"/>
      <c r="L351"/>
      <c r="M351"/>
      <c r="N351" s="2"/>
      <c r="R351"/>
      <c r="S351"/>
      <c r="T351"/>
      <c r="U351"/>
      <c r="V351"/>
    </row>
    <row r="352" spans="10:22" s="1" customFormat="1" x14ac:dyDescent="0.2">
      <c r="J352"/>
      <c r="K352"/>
      <c r="L352"/>
      <c r="M352"/>
      <c r="N352" s="2"/>
      <c r="R352"/>
      <c r="S352"/>
      <c r="T352"/>
      <c r="U352"/>
      <c r="V352"/>
    </row>
    <row r="353" spans="10:22" s="1" customFormat="1" x14ac:dyDescent="0.2">
      <c r="J353"/>
      <c r="K353"/>
      <c r="L353"/>
      <c r="M353"/>
      <c r="N353" s="2"/>
      <c r="R353"/>
      <c r="S353"/>
      <c r="T353"/>
      <c r="U353"/>
      <c r="V353"/>
    </row>
    <row r="354" spans="10:22" s="1" customFormat="1" x14ac:dyDescent="0.2">
      <c r="J354"/>
      <c r="K354"/>
      <c r="L354"/>
      <c r="M354"/>
      <c r="N354" s="2"/>
      <c r="R354"/>
      <c r="S354"/>
      <c r="T354"/>
      <c r="U354"/>
      <c r="V354"/>
    </row>
    <row r="355" spans="10:22" s="1" customFormat="1" x14ac:dyDescent="0.2">
      <c r="J355"/>
      <c r="K355"/>
      <c r="L355"/>
      <c r="M355"/>
      <c r="N355" s="2"/>
      <c r="R355"/>
      <c r="S355"/>
      <c r="T355"/>
      <c r="U355"/>
      <c r="V355"/>
    </row>
    <row r="356" spans="10:22" s="1" customFormat="1" x14ac:dyDescent="0.2">
      <c r="J356"/>
      <c r="K356"/>
      <c r="L356"/>
      <c r="M356"/>
      <c r="N356" s="2"/>
      <c r="R356"/>
      <c r="S356"/>
      <c r="T356"/>
      <c r="U356"/>
      <c r="V356"/>
    </row>
    <row r="357" spans="10:22" s="1" customFormat="1" x14ac:dyDescent="0.2">
      <c r="J357"/>
      <c r="K357"/>
      <c r="L357"/>
      <c r="M357"/>
      <c r="N357" s="2"/>
      <c r="R357"/>
      <c r="S357"/>
      <c r="T357"/>
      <c r="U357"/>
      <c r="V357"/>
    </row>
    <row r="358" spans="10:22" s="1" customFormat="1" x14ac:dyDescent="0.2">
      <c r="J358"/>
      <c r="K358"/>
      <c r="L358"/>
      <c r="M358"/>
      <c r="N358" s="2"/>
      <c r="R358"/>
      <c r="S358"/>
      <c r="T358"/>
      <c r="U358"/>
      <c r="V358"/>
    </row>
    <row r="359" spans="10:22" s="1" customFormat="1" x14ac:dyDescent="0.2">
      <c r="J359"/>
      <c r="K359"/>
      <c r="L359"/>
      <c r="M359"/>
      <c r="N359" s="2"/>
      <c r="R359"/>
      <c r="S359"/>
      <c r="T359"/>
      <c r="U359"/>
      <c r="V359"/>
    </row>
    <row r="360" spans="10:22" s="1" customFormat="1" x14ac:dyDescent="0.2">
      <c r="J360"/>
      <c r="K360"/>
      <c r="L360"/>
      <c r="M360"/>
      <c r="N360" s="2"/>
      <c r="R360"/>
      <c r="S360"/>
      <c r="T360"/>
      <c r="U360"/>
      <c r="V360"/>
    </row>
    <row r="361" spans="10:22" s="1" customFormat="1" x14ac:dyDescent="0.2">
      <c r="J361"/>
      <c r="K361"/>
      <c r="L361"/>
      <c r="M361"/>
      <c r="N361" s="2"/>
      <c r="R361"/>
      <c r="S361"/>
      <c r="T361"/>
      <c r="U361"/>
      <c r="V361"/>
    </row>
    <row r="362" spans="10:22" s="1" customFormat="1" x14ac:dyDescent="0.2">
      <c r="J362"/>
      <c r="K362"/>
      <c r="L362"/>
      <c r="M362"/>
      <c r="N362" s="2"/>
      <c r="R362"/>
      <c r="S362"/>
      <c r="T362"/>
      <c r="U362"/>
      <c r="V362"/>
    </row>
    <row r="363" spans="10:22" s="1" customFormat="1" x14ac:dyDescent="0.2">
      <c r="J363"/>
      <c r="K363"/>
      <c r="L363"/>
      <c r="M363"/>
      <c r="N363" s="2"/>
      <c r="R363"/>
      <c r="S363"/>
      <c r="T363"/>
      <c r="U363"/>
      <c r="V363"/>
    </row>
    <row r="364" spans="10:22" s="1" customFormat="1" x14ac:dyDescent="0.2">
      <c r="J364"/>
      <c r="K364"/>
      <c r="L364"/>
      <c r="M364"/>
      <c r="N364" s="2"/>
      <c r="R364"/>
      <c r="S364"/>
      <c r="T364"/>
      <c r="U364"/>
      <c r="V364"/>
    </row>
    <row r="365" spans="10:22" s="1" customFormat="1" x14ac:dyDescent="0.2">
      <c r="J365"/>
      <c r="K365"/>
      <c r="L365"/>
      <c r="M365"/>
      <c r="N365" s="2"/>
      <c r="R365"/>
      <c r="S365"/>
      <c r="T365"/>
      <c r="U365"/>
      <c r="V365"/>
    </row>
    <row r="366" spans="10:22" s="1" customFormat="1" x14ac:dyDescent="0.2">
      <c r="J366"/>
      <c r="K366"/>
      <c r="L366"/>
      <c r="M366"/>
      <c r="N366" s="2"/>
      <c r="R366"/>
      <c r="S366"/>
      <c r="T366"/>
      <c r="U366"/>
      <c r="V366"/>
    </row>
    <row r="367" spans="10:22" s="1" customFormat="1" x14ac:dyDescent="0.2">
      <c r="J367"/>
      <c r="K367"/>
      <c r="L367"/>
      <c r="M367"/>
      <c r="N367" s="2"/>
      <c r="R367"/>
      <c r="S367"/>
      <c r="T367"/>
      <c r="U367"/>
      <c r="V367"/>
    </row>
    <row r="368" spans="10:22" s="1" customFormat="1" x14ac:dyDescent="0.2">
      <c r="J368"/>
      <c r="K368"/>
      <c r="L368"/>
      <c r="M368"/>
      <c r="N368" s="2"/>
      <c r="R368"/>
      <c r="S368"/>
      <c r="T368"/>
      <c r="U368"/>
      <c r="V368"/>
    </row>
    <row r="369" spans="10:22" s="1" customFormat="1" x14ac:dyDescent="0.2">
      <c r="J369"/>
      <c r="K369"/>
      <c r="L369"/>
      <c r="M369"/>
      <c r="N369" s="2"/>
      <c r="R369"/>
      <c r="S369"/>
      <c r="T369"/>
      <c r="U369"/>
      <c r="V369"/>
    </row>
    <row r="370" spans="10:22" s="1" customFormat="1" x14ac:dyDescent="0.2">
      <c r="J370"/>
      <c r="K370"/>
      <c r="L370"/>
      <c r="M370"/>
      <c r="N370" s="2"/>
      <c r="R370"/>
      <c r="S370"/>
      <c r="T370"/>
      <c r="U370"/>
      <c r="V370"/>
    </row>
    <row r="371" spans="10:22" s="1" customFormat="1" x14ac:dyDescent="0.2">
      <c r="J371"/>
      <c r="K371"/>
      <c r="L371"/>
      <c r="M371"/>
      <c r="N371" s="2"/>
      <c r="R371"/>
      <c r="S371"/>
      <c r="T371"/>
      <c r="U371"/>
      <c r="V371"/>
    </row>
    <row r="372" spans="10:22" s="1" customFormat="1" x14ac:dyDescent="0.2">
      <c r="J372"/>
      <c r="K372"/>
      <c r="L372"/>
      <c r="M372"/>
      <c r="N372" s="2"/>
      <c r="R372"/>
      <c r="S372"/>
      <c r="T372"/>
      <c r="U372"/>
      <c r="V372"/>
    </row>
    <row r="373" spans="10:22" s="1" customFormat="1" x14ac:dyDescent="0.2">
      <c r="J373"/>
      <c r="K373"/>
      <c r="L373"/>
      <c r="M373"/>
      <c r="N373" s="2"/>
      <c r="R373"/>
      <c r="S373"/>
      <c r="T373"/>
      <c r="U373"/>
      <c r="V373"/>
    </row>
    <row r="374" spans="10:22" s="1" customFormat="1" x14ac:dyDescent="0.2">
      <c r="J374"/>
      <c r="K374"/>
      <c r="L374"/>
      <c r="M374"/>
      <c r="N374" s="2"/>
      <c r="R374"/>
      <c r="S374"/>
      <c r="T374"/>
      <c r="U374"/>
      <c r="V374"/>
    </row>
    <row r="375" spans="10:22" s="1" customFormat="1" x14ac:dyDescent="0.2">
      <c r="J375"/>
      <c r="K375"/>
      <c r="L375"/>
      <c r="M375"/>
      <c r="N375" s="2"/>
      <c r="R375"/>
      <c r="S375"/>
      <c r="T375"/>
      <c r="U375"/>
      <c r="V375"/>
    </row>
    <row r="376" spans="10:22" s="1" customFormat="1" x14ac:dyDescent="0.2">
      <c r="J376"/>
      <c r="K376"/>
      <c r="L376"/>
      <c r="M376"/>
      <c r="N376" s="2"/>
      <c r="R376"/>
      <c r="S376"/>
      <c r="T376"/>
      <c r="U376"/>
      <c r="V376"/>
    </row>
    <row r="377" spans="10:22" s="1" customFormat="1" x14ac:dyDescent="0.2">
      <c r="J377"/>
      <c r="K377"/>
      <c r="L377"/>
      <c r="M377"/>
      <c r="N377" s="2"/>
      <c r="R377"/>
      <c r="S377"/>
      <c r="T377"/>
      <c r="U377"/>
      <c r="V377"/>
    </row>
    <row r="378" spans="10:22" s="1" customFormat="1" x14ac:dyDescent="0.2">
      <c r="J378"/>
      <c r="K378"/>
      <c r="L378"/>
      <c r="M378"/>
      <c r="N378" s="2"/>
      <c r="R378"/>
      <c r="S378"/>
      <c r="T378"/>
      <c r="U378"/>
      <c r="V378"/>
    </row>
    <row r="379" spans="10:22" s="1" customFormat="1" x14ac:dyDescent="0.2">
      <c r="J379"/>
      <c r="K379"/>
      <c r="L379"/>
      <c r="M379"/>
      <c r="N379" s="2"/>
      <c r="R379"/>
      <c r="S379"/>
      <c r="T379"/>
      <c r="U379"/>
      <c r="V379"/>
    </row>
    <row r="380" spans="10:22" s="1" customFormat="1" x14ac:dyDescent="0.2">
      <c r="J380"/>
      <c r="K380"/>
      <c r="L380"/>
      <c r="M380"/>
      <c r="N380" s="2"/>
      <c r="R380"/>
      <c r="S380"/>
      <c r="T380"/>
      <c r="U380"/>
      <c r="V380"/>
    </row>
    <row r="381" spans="10:22" s="1" customFormat="1" x14ac:dyDescent="0.2">
      <c r="J381"/>
      <c r="K381"/>
      <c r="L381"/>
      <c r="M381"/>
      <c r="N381" s="2"/>
      <c r="R381"/>
      <c r="S381"/>
      <c r="T381"/>
      <c r="U381"/>
      <c r="V381"/>
    </row>
    <row r="382" spans="10:22" s="1" customFormat="1" x14ac:dyDescent="0.2">
      <c r="J382"/>
      <c r="K382"/>
      <c r="L382"/>
      <c r="M382"/>
      <c r="N382" s="2"/>
      <c r="R382"/>
      <c r="S382"/>
      <c r="T382"/>
      <c r="U382"/>
      <c r="V382"/>
    </row>
    <row r="383" spans="10:22" s="1" customFormat="1" x14ac:dyDescent="0.2">
      <c r="J383"/>
      <c r="K383"/>
      <c r="L383"/>
      <c r="M383"/>
      <c r="N383" s="2"/>
      <c r="R383"/>
      <c r="S383"/>
      <c r="T383"/>
      <c r="U383"/>
      <c r="V383"/>
    </row>
    <row r="384" spans="10:22" s="1" customFormat="1" x14ac:dyDescent="0.2">
      <c r="J384"/>
      <c r="K384"/>
      <c r="L384"/>
      <c r="M384"/>
      <c r="N384" s="2"/>
      <c r="R384"/>
      <c r="S384"/>
      <c r="T384"/>
      <c r="U384"/>
      <c r="V384"/>
    </row>
    <row r="385" spans="10:22" s="1" customFormat="1" x14ac:dyDescent="0.2">
      <c r="J385"/>
      <c r="K385"/>
      <c r="L385"/>
      <c r="M385"/>
      <c r="N385" s="2"/>
      <c r="R385"/>
      <c r="S385"/>
      <c r="T385"/>
      <c r="U385"/>
      <c r="V385"/>
    </row>
    <row r="386" spans="10:22" s="1" customFormat="1" x14ac:dyDescent="0.2">
      <c r="J386"/>
      <c r="K386"/>
      <c r="L386"/>
      <c r="M386"/>
      <c r="N386" s="2"/>
      <c r="R386"/>
      <c r="S386"/>
      <c r="T386"/>
      <c r="U386"/>
      <c r="V386"/>
    </row>
    <row r="387" spans="10:22" s="1" customFormat="1" x14ac:dyDescent="0.2">
      <c r="J387"/>
      <c r="K387"/>
      <c r="L387"/>
      <c r="M387"/>
      <c r="N387" s="2"/>
      <c r="R387"/>
      <c r="S387"/>
      <c r="T387"/>
      <c r="U387"/>
      <c r="V387"/>
    </row>
    <row r="388" spans="10:22" s="1" customFormat="1" x14ac:dyDescent="0.2">
      <c r="J388"/>
      <c r="K388"/>
      <c r="L388"/>
      <c r="M388"/>
      <c r="N388" s="2"/>
      <c r="R388"/>
      <c r="S388"/>
      <c r="T388"/>
      <c r="U388"/>
      <c r="V388"/>
    </row>
    <row r="389" spans="10:22" s="1" customFormat="1" x14ac:dyDescent="0.2">
      <c r="J389"/>
      <c r="K389"/>
      <c r="L389"/>
      <c r="M389"/>
      <c r="N389" s="2"/>
      <c r="R389"/>
      <c r="S389"/>
      <c r="T389"/>
      <c r="U389"/>
      <c r="V389"/>
    </row>
    <row r="390" spans="10:22" s="1" customFormat="1" x14ac:dyDescent="0.2">
      <c r="J390"/>
      <c r="K390"/>
      <c r="L390"/>
      <c r="M390"/>
      <c r="N390" s="2"/>
      <c r="R390"/>
      <c r="S390"/>
      <c r="T390"/>
      <c r="U390"/>
      <c r="V390"/>
    </row>
    <row r="391" spans="10:22" s="1" customFormat="1" x14ac:dyDescent="0.2">
      <c r="J391"/>
      <c r="K391"/>
      <c r="L391"/>
      <c r="M391"/>
      <c r="N391" s="2"/>
      <c r="R391"/>
      <c r="S391"/>
      <c r="T391"/>
      <c r="U391"/>
      <c r="V391"/>
    </row>
    <row r="392" spans="10:22" s="1" customFormat="1" x14ac:dyDescent="0.2">
      <c r="J392"/>
      <c r="K392"/>
      <c r="L392"/>
      <c r="M392"/>
      <c r="N392" s="2"/>
      <c r="R392"/>
      <c r="S392"/>
      <c r="T392"/>
      <c r="U392"/>
      <c r="V392"/>
    </row>
    <row r="393" spans="10:22" s="1" customFormat="1" x14ac:dyDescent="0.2">
      <c r="J393"/>
      <c r="K393"/>
      <c r="L393"/>
      <c r="M393"/>
      <c r="N393" s="2"/>
      <c r="R393"/>
      <c r="S393"/>
      <c r="T393"/>
      <c r="U393"/>
      <c r="V393"/>
    </row>
    <row r="394" spans="10:22" s="1" customFormat="1" x14ac:dyDescent="0.2">
      <c r="J394"/>
      <c r="K394"/>
      <c r="L394"/>
      <c r="M394"/>
      <c r="N394" s="2"/>
      <c r="R394"/>
      <c r="S394"/>
      <c r="T394"/>
      <c r="U394"/>
      <c r="V394"/>
    </row>
    <row r="395" spans="10:22" s="1" customFormat="1" x14ac:dyDescent="0.2">
      <c r="J395"/>
      <c r="K395"/>
      <c r="L395"/>
      <c r="M395"/>
      <c r="N395" s="2"/>
      <c r="R395"/>
      <c r="S395"/>
      <c r="T395"/>
      <c r="U395"/>
      <c r="V395"/>
    </row>
    <row r="396" spans="10:22" s="1" customFormat="1" x14ac:dyDescent="0.2">
      <c r="J396"/>
      <c r="K396"/>
      <c r="L396"/>
      <c r="M396"/>
      <c r="N396" s="2"/>
      <c r="R396"/>
      <c r="S396"/>
      <c r="T396"/>
      <c r="U396"/>
      <c r="V396"/>
    </row>
    <row r="397" spans="10:22" s="1" customFormat="1" x14ac:dyDescent="0.2">
      <c r="J397"/>
      <c r="K397"/>
      <c r="L397"/>
      <c r="M397"/>
      <c r="N397" s="2"/>
      <c r="R397"/>
      <c r="S397"/>
      <c r="T397"/>
      <c r="U397"/>
      <c r="V397"/>
    </row>
    <row r="398" spans="10:22" s="1" customFormat="1" x14ac:dyDescent="0.2">
      <c r="J398"/>
      <c r="K398"/>
      <c r="L398"/>
      <c r="M398"/>
      <c r="N398" s="2"/>
      <c r="R398"/>
      <c r="S398"/>
      <c r="T398"/>
      <c r="U398"/>
      <c r="V398"/>
    </row>
    <row r="399" spans="10:22" s="1" customFormat="1" x14ac:dyDescent="0.2">
      <c r="J399"/>
      <c r="K399"/>
      <c r="L399"/>
      <c r="M399"/>
      <c r="N399" s="2"/>
      <c r="R399"/>
      <c r="S399"/>
      <c r="T399"/>
      <c r="U399"/>
      <c r="V399"/>
    </row>
    <row r="400" spans="10:22" s="1" customFormat="1" x14ac:dyDescent="0.2">
      <c r="J400"/>
      <c r="K400"/>
      <c r="L400"/>
      <c r="M400"/>
      <c r="N400" s="2"/>
      <c r="R400"/>
      <c r="S400"/>
      <c r="T400"/>
      <c r="U400"/>
      <c r="V400"/>
    </row>
    <row r="401" spans="10:22" s="1" customFormat="1" x14ac:dyDescent="0.2">
      <c r="J401"/>
      <c r="K401"/>
      <c r="L401"/>
      <c r="M401"/>
      <c r="N401" s="2"/>
      <c r="R401"/>
      <c r="S401"/>
      <c r="T401"/>
      <c r="U401"/>
      <c r="V401"/>
    </row>
    <row r="402" spans="10:22" s="1" customFormat="1" x14ac:dyDescent="0.2">
      <c r="J402"/>
      <c r="K402"/>
      <c r="L402"/>
      <c r="M402"/>
      <c r="N402" s="2"/>
      <c r="R402"/>
      <c r="S402"/>
      <c r="T402"/>
      <c r="U402"/>
      <c r="V402"/>
    </row>
    <row r="403" spans="10:22" s="1" customFormat="1" x14ac:dyDescent="0.2">
      <c r="J403"/>
      <c r="K403"/>
      <c r="L403"/>
      <c r="M403"/>
      <c r="N403" s="2"/>
      <c r="R403"/>
      <c r="S403"/>
      <c r="T403"/>
      <c r="U403"/>
      <c r="V403"/>
    </row>
    <row r="404" spans="10:22" s="1" customFormat="1" x14ac:dyDescent="0.2">
      <c r="J404"/>
      <c r="K404"/>
      <c r="L404"/>
      <c r="M404"/>
      <c r="N404" s="2"/>
      <c r="R404"/>
      <c r="S404"/>
      <c r="T404"/>
      <c r="U404"/>
      <c r="V404"/>
    </row>
    <row r="405" spans="10:22" s="1" customFormat="1" x14ac:dyDescent="0.2">
      <c r="J405"/>
      <c r="K405"/>
      <c r="L405"/>
      <c r="M405"/>
      <c r="N405" s="2"/>
      <c r="R405"/>
      <c r="S405"/>
      <c r="T405"/>
      <c r="U405"/>
      <c r="V405"/>
    </row>
    <row r="406" spans="10:22" s="1" customFormat="1" x14ac:dyDescent="0.2">
      <c r="J406"/>
      <c r="K406"/>
      <c r="L406"/>
      <c r="M406"/>
      <c r="N406" s="2"/>
      <c r="R406"/>
      <c r="S406"/>
      <c r="T406"/>
      <c r="U406"/>
      <c r="V406"/>
    </row>
    <row r="407" spans="10:22" s="1" customFormat="1" x14ac:dyDescent="0.2">
      <c r="J407"/>
      <c r="K407"/>
      <c r="L407"/>
      <c r="M407"/>
      <c r="N407" s="2"/>
      <c r="R407"/>
      <c r="S407"/>
      <c r="T407"/>
      <c r="U407"/>
      <c r="V407"/>
    </row>
    <row r="408" spans="10:22" s="1" customFormat="1" x14ac:dyDescent="0.2">
      <c r="J408"/>
      <c r="K408"/>
      <c r="L408"/>
      <c r="M408"/>
      <c r="N408" s="2"/>
      <c r="R408"/>
      <c r="S408"/>
      <c r="T408"/>
      <c r="U408"/>
      <c r="V408"/>
    </row>
    <row r="409" spans="10:22" s="1" customFormat="1" x14ac:dyDescent="0.2">
      <c r="J409"/>
      <c r="K409"/>
      <c r="L409"/>
      <c r="M409"/>
      <c r="N409" s="2"/>
      <c r="R409"/>
      <c r="S409"/>
      <c r="T409"/>
      <c r="U409"/>
      <c r="V409"/>
    </row>
    <row r="410" spans="10:22" s="1" customFormat="1" x14ac:dyDescent="0.2">
      <c r="J410"/>
      <c r="K410"/>
      <c r="L410"/>
      <c r="M410"/>
      <c r="N410" s="2"/>
      <c r="R410"/>
      <c r="S410"/>
      <c r="T410"/>
      <c r="U410"/>
      <c r="V410"/>
    </row>
    <row r="411" spans="10:22" s="1" customFormat="1" x14ac:dyDescent="0.2">
      <c r="J411"/>
      <c r="K411"/>
      <c r="L411"/>
      <c r="M411"/>
      <c r="N411" s="2"/>
      <c r="R411"/>
      <c r="S411"/>
      <c r="T411"/>
      <c r="U411"/>
      <c r="V411"/>
    </row>
    <row r="412" spans="10:22" s="1" customFormat="1" x14ac:dyDescent="0.2">
      <c r="J412"/>
      <c r="K412"/>
      <c r="L412"/>
      <c r="M412"/>
      <c r="N412" s="2"/>
      <c r="R412"/>
      <c r="S412"/>
      <c r="T412"/>
      <c r="U412"/>
      <c r="V412"/>
    </row>
    <row r="413" spans="10:22" s="1" customFormat="1" x14ac:dyDescent="0.2">
      <c r="J413"/>
      <c r="K413"/>
      <c r="L413"/>
      <c r="M413"/>
      <c r="N413" s="2"/>
      <c r="R413"/>
      <c r="S413"/>
      <c r="T413"/>
      <c r="U413"/>
      <c r="V413"/>
    </row>
    <row r="414" spans="10:22" s="1" customFormat="1" x14ac:dyDescent="0.2">
      <c r="J414"/>
      <c r="K414"/>
      <c r="L414"/>
      <c r="M414"/>
      <c r="N414" s="2"/>
      <c r="R414"/>
      <c r="S414"/>
      <c r="T414"/>
      <c r="U414"/>
      <c r="V414"/>
    </row>
    <row r="415" spans="10:22" s="1" customFormat="1" x14ac:dyDescent="0.2">
      <c r="J415"/>
      <c r="K415"/>
      <c r="L415"/>
      <c r="M415"/>
      <c r="N415" s="2"/>
      <c r="R415"/>
      <c r="S415"/>
      <c r="T415"/>
      <c r="U415"/>
      <c r="V415"/>
    </row>
    <row r="416" spans="10:22" s="1" customFormat="1" x14ac:dyDescent="0.2">
      <c r="J416"/>
      <c r="K416"/>
      <c r="L416"/>
      <c r="M416"/>
      <c r="N416" s="2"/>
      <c r="R416"/>
      <c r="S416"/>
      <c r="T416"/>
      <c r="U416"/>
      <c r="V416"/>
    </row>
    <row r="417" spans="10:22" s="1" customFormat="1" x14ac:dyDescent="0.2">
      <c r="J417"/>
      <c r="K417"/>
      <c r="L417"/>
      <c r="M417"/>
      <c r="N417" s="2"/>
      <c r="R417"/>
      <c r="S417"/>
      <c r="T417"/>
      <c r="U417"/>
      <c r="V417"/>
    </row>
    <row r="418" spans="10:22" s="1" customFormat="1" x14ac:dyDescent="0.2">
      <c r="J418"/>
      <c r="K418"/>
      <c r="L418"/>
      <c r="M418"/>
      <c r="N418" s="2"/>
      <c r="R418"/>
      <c r="S418"/>
      <c r="T418"/>
      <c r="U418"/>
      <c r="V418"/>
    </row>
    <row r="419" spans="10:22" s="1" customFormat="1" x14ac:dyDescent="0.2">
      <c r="J419"/>
      <c r="K419"/>
      <c r="L419"/>
      <c r="M419"/>
      <c r="N419" s="2"/>
      <c r="R419"/>
      <c r="S419"/>
      <c r="T419"/>
      <c r="U419"/>
      <c r="V419"/>
    </row>
    <row r="420" spans="10:22" s="1" customFormat="1" x14ac:dyDescent="0.2">
      <c r="J420"/>
      <c r="K420"/>
      <c r="L420"/>
      <c r="M420"/>
      <c r="N420" s="2"/>
      <c r="R420"/>
      <c r="S420"/>
      <c r="T420"/>
      <c r="U420"/>
      <c r="V420"/>
    </row>
    <row r="421" spans="10:22" s="1" customFormat="1" x14ac:dyDescent="0.2">
      <c r="J421"/>
      <c r="K421"/>
      <c r="L421"/>
      <c r="M421"/>
      <c r="N421" s="2"/>
      <c r="R421"/>
      <c r="S421"/>
      <c r="T421"/>
      <c r="U421"/>
      <c r="V421"/>
    </row>
    <row r="422" spans="10:22" s="1" customFormat="1" x14ac:dyDescent="0.2">
      <c r="J422"/>
      <c r="K422"/>
      <c r="L422"/>
      <c r="M422"/>
      <c r="N422" s="2"/>
      <c r="R422"/>
      <c r="S422"/>
      <c r="T422"/>
      <c r="U422"/>
      <c r="V422"/>
    </row>
    <row r="423" spans="10:22" s="1" customFormat="1" x14ac:dyDescent="0.2">
      <c r="J423"/>
      <c r="K423"/>
      <c r="L423"/>
      <c r="M423"/>
      <c r="N423" s="2"/>
      <c r="R423"/>
      <c r="S423"/>
      <c r="T423"/>
      <c r="U423"/>
      <c r="V423"/>
    </row>
    <row r="424" spans="10:22" s="1" customFormat="1" x14ac:dyDescent="0.2">
      <c r="J424"/>
      <c r="K424"/>
      <c r="L424"/>
      <c r="M424"/>
      <c r="N424" s="2"/>
      <c r="R424"/>
      <c r="S424"/>
      <c r="T424"/>
      <c r="U424"/>
      <c r="V424"/>
    </row>
    <row r="425" spans="10:22" s="1" customFormat="1" x14ac:dyDescent="0.2">
      <c r="J425"/>
      <c r="K425"/>
      <c r="L425"/>
      <c r="M425"/>
      <c r="N425" s="2"/>
      <c r="R425"/>
      <c r="S425"/>
      <c r="T425"/>
      <c r="U425"/>
      <c r="V425"/>
    </row>
    <row r="426" spans="10:22" s="1" customFormat="1" x14ac:dyDescent="0.2">
      <c r="J426"/>
      <c r="K426"/>
      <c r="L426"/>
      <c r="M426"/>
      <c r="N426" s="2"/>
      <c r="R426"/>
      <c r="S426"/>
      <c r="T426"/>
      <c r="U426"/>
      <c r="V426"/>
    </row>
    <row r="427" spans="10:22" s="1" customFormat="1" x14ac:dyDescent="0.2">
      <c r="J427"/>
      <c r="K427"/>
      <c r="L427"/>
      <c r="M427"/>
      <c r="N427" s="2"/>
      <c r="R427"/>
      <c r="S427"/>
      <c r="T427"/>
      <c r="U427"/>
      <c r="V427"/>
    </row>
    <row r="428" spans="10:22" s="1" customFormat="1" x14ac:dyDescent="0.2">
      <c r="J428"/>
      <c r="K428"/>
      <c r="L428"/>
      <c r="M428"/>
      <c r="N428" s="2"/>
      <c r="R428"/>
      <c r="S428"/>
      <c r="T428"/>
      <c r="U428"/>
      <c r="V428"/>
    </row>
    <row r="429" spans="10:22" s="1" customFormat="1" x14ac:dyDescent="0.2">
      <c r="J429"/>
      <c r="K429"/>
      <c r="L429"/>
      <c r="M429"/>
      <c r="N429" s="2"/>
      <c r="R429"/>
      <c r="S429"/>
      <c r="T429"/>
      <c r="U429"/>
      <c r="V429"/>
    </row>
    <row r="430" spans="10:22" s="1" customFormat="1" x14ac:dyDescent="0.2">
      <c r="J430"/>
      <c r="K430"/>
      <c r="L430"/>
      <c r="M430"/>
      <c r="N430" s="2"/>
      <c r="R430"/>
      <c r="S430"/>
      <c r="T430"/>
      <c r="U430"/>
      <c r="V430"/>
    </row>
    <row r="431" spans="10:22" s="1" customFormat="1" x14ac:dyDescent="0.2">
      <c r="J431"/>
      <c r="K431"/>
      <c r="L431"/>
      <c r="M431"/>
      <c r="N431" s="2"/>
      <c r="R431"/>
      <c r="S431"/>
      <c r="T431"/>
      <c r="U431"/>
      <c r="V431"/>
    </row>
    <row r="432" spans="10:22" s="1" customFormat="1" x14ac:dyDescent="0.2">
      <c r="J432"/>
      <c r="K432"/>
      <c r="L432"/>
      <c r="M432"/>
      <c r="N432" s="2"/>
      <c r="R432"/>
      <c r="S432"/>
      <c r="T432"/>
      <c r="U432"/>
      <c r="V432"/>
    </row>
    <row r="433" spans="10:22" s="1" customFormat="1" x14ac:dyDescent="0.2">
      <c r="J433"/>
      <c r="K433"/>
      <c r="L433"/>
      <c r="M433"/>
      <c r="N433" s="2"/>
      <c r="R433"/>
      <c r="S433"/>
      <c r="T433"/>
      <c r="U433"/>
      <c r="V433"/>
    </row>
    <row r="434" spans="10:22" s="1" customFormat="1" x14ac:dyDescent="0.2">
      <c r="J434"/>
      <c r="K434"/>
      <c r="L434"/>
      <c r="M434"/>
      <c r="N434" s="2"/>
      <c r="R434"/>
      <c r="S434"/>
      <c r="T434"/>
      <c r="U434"/>
      <c r="V434"/>
    </row>
    <row r="435" spans="10:22" s="1" customFormat="1" x14ac:dyDescent="0.2">
      <c r="J435"/>
      <c r="K435"/>
      <c r="L435"/>
      <c r="M435"/>
      <c r="N435" s="2"/>
      <c r="R435"/>
      <c r="S435"/>
      <c r="T435"/>
      <c r="U435"/>
      <c r="V435"/>
    </row>
    <row r="436" spans="10:22" s="1" customFormat="1" x14ac:dyDescent="0.2">
      <c r="J436"/>
      <c r="K436"/>
      <c r="L436"/>
      <c r="M436"/>
      <c r="N436" s="2"/>
      <c r="R436"/>
      <c r="S436"/>
      <c r="T436"/>
      <c r="U436"/>
      <c r="V436"/>
    </row>
    <row r="437" spans="10:22" s="1" customFormat="1" x14ac:dyDescent="0.2">
      <c r="J437"/>
      <c r="K437"/>
      <c r="L437"/>
      <c r="M437"/>
      <c r="N437" s="2"/>
      <c r="R437"/>
      <c r="S437"/>
      <c r="T437"/>
      <c r="U437"/>
      <c r="V437"/>
    </row>
    <row r="438" spans="10:22" s="1" customFormat="1" x14ac:dyDescent="0.2">
      <c r="J438"/>
      <c r="K438"/>
      <c r="L438"/>
      <c r="M438"/>
      <c r="N438" s="2"/>
      <c r="R438"/>
      <c r="S438"/>
      <c r="T438"/>
      <c r="U438"/>
      <c r="V438"/>
    </row>
    <row r="439" spans="10:22" s="1" customFormat="1" x14ac:dyDescent="0.2">
      <c r="J439"/>
      <c r="K439"/>
      <c r="L439"/>
      <c r="M439"/>
      <c r="N439" s="2"/>
      <c r="R439"/>
      <c r="S439"/>
      <c r="T439"/>
      <c r="U439"/>
      <c r="V439"/>
    </row>
    <row r="440" spans="10:22" s="1" customFormat="1" x14ac:dyDescent="0.2">
      <c r="J440"/>
      <c r="K440"/>
      <c r="L440"/>
      <c r="M440"/>
      <c r="N440" s="2"/>
      <c r="R440"/>
      <c r="S440"/>
      <c r="T440"/>
      <c r="U440"/>
      <c r="V440"/>
    </row>
    <row r="441" spans="10:22" s="1" customFormat="1" x14ac:dyDescent="0.2">
      <c r="J441"/>
      <c r="K441"/>
      <c r="L441"/>
      <c r="M441"/>
      <c r="N441" s="2"/>
      <c r="R441"/>
      <c r="S441"/>
      <c r="T441"/>
      <c r="U441"/>
      <c r="V441"/>
    </row>
    <row r="442" spans="10:22" s="1" customFormat="1" x14ac:dyDescent="0.2">
      <c r="J442"/>
      <c r="K442"/>
      <c r="L442"/>
      <c r="M442"/>
      <c r="N442" s="2"/>
      <c r="R442"/>
      <c r="S442"/>
      <c r="T442"/>
      <c r="U442"/>
      <c r="V442"/>
    </row>
    <row r="443" spans="10:22" s="1" customFormat="1" x14ac:dyDescent="0.2">
      <c r="J443"/>
      <c r="K443"/>
      <c r="L443"/>
      <c r="M443"/>
      <c r="N443" s="2"/>
      <c r="R443"/>
      <c r="S443"/>
      <c r="T443"/>
      <c r="U443"/>
      <c r="V443"/>
    </row>
    <row r="444" spans="10:22" s="1" customFormat="1" x14ac:dyDescent="0.2">
      <c r="J444"/>
      <c r="K444"/>
      <c r="L444"/>
      <c r="M444"/>
      <c r="N444" s="2"/>
      <c r="R444"/>
      <c r="S444"/>
      <c r="T444"/>
      <c r="U444"/>
      <c r="V444"/>
    </row>
    <row r="445" spans="10:22" s="1" customFormat="1" x14ac:dyDescent="0.2">
      <c r="J445"/>
      <c r="K445"/>
      <c r="L445"/>
      <c r="M445"/>
      <c r="N445" s="2"/>
      <c r="R445"/>
      <c r="S445"/>
      <c r="T445"/>
      <c r="U445"/>
      <c r="V445"/>
    </row>
    <row r="446" spans="10:22" s="1" customFormat="1" x14ac:dyDescent="0.2">
      <c r="J446"/>
      <c r="K446"/>
      <c r="L446"/>
      <c r="M446"/>
      <c r="N446" s="2"/>
      <c r="R446"/>
      <c r="S446"/>
      <c r="T446"/>
      <c r="U446"/>
      <c r="V446"/>
    </row>
    <row r="447" spans="10:22" s="1" customFormat="1" x14ac:dyDescent="0.2">
      <c r="J447"/>
      <c r="K447"/>
      <c r="L447"/>
      <c r="M447"/>
      <c r="N447" s="2"/>
      <c r="R447"/>
      <c r="S447"/>
      <c r="T447"/>
      <c r="U447"/>
      <c r="V447"/>
    </row>
    <row r="448" spans="10:22" s="1" customFormat="1" x14ac:dyDescent="0.2">
      <c r="J448"/>
      <c r="K448"/>
      <c r="L448"/>
      <c r="M448"/>
      <c r="N448" s="2"/>
      <c r="R448"/>
      <c r="S448"/>
      <c r="T448"/>
      <c r="U448"/>
      <c r="V448"/>
    </row>
    <row r="449" spans="10:22" s="1" customFormat="1" x14ac:dyDescent="0.2">
      <c r="J449"/>
      <c r="K449"/>
      <c r="L449"/>
      <c r="M449"/>
      <c r="N449" s="2"/>
      <c r="R449"/>
      <c r="S449"/>
      <c r="T449"/>
      <c r="U449"/>
      <c r="V449"/>
    </row>
    <row r="450" spans="10:22" s="1" customFormat="1" x14ac:dyDescent="0.2">
      <c r="J450"/>
      <c r="K450"/>
      <c r="L450"/>
      <c r="M450"/>
      <c r="N450" s="2"/>
      <c r="R450"/>
      <c r="S450"/>
      <c r="T450"/>
      <c r="U450"/>
      <c r="V450"/>
    </row>
    <row r="451" spans="10:22" s="1" customFormat="1" x14ac:dyDescent="0.2">
      <c r="J451"/>
      <c r="K451"/>
      <c r="L451"/>
      <c r="M451"/>
      <c r="N451" s="2"/>
      <c r="R451"/>
      <c r="S451"/>
      <c r="T451"/>
      <c r="U451"/>
      <c r="V451"/>
    </row>
    <row r="452" spans="10:22" s="1" customFormat="1" x14ac:dyDescent="0.2">
      <c r="J452"/>
      <c r="K452"/>
      <c r="L452"/>
      <c r="M452"/>
      <c r="N452" s="2"/>
      <c r="R452"/>
      <c r="S452"/>
      <c r="T452"/>
      <c r="U452"/>
      <c r="V452"/>
    </row>
    <row r="453" spans="10:22" s="1" customFormat="1" x14ac:dyDescent="0.2">
      <c r="J453"/>
      <c r="K453"/>
      <c r="L453"/>
      <c r="M453"/>
      <c r="N453" s="2"/>
      <c r="R453"/>
      <c r="S453"/>
      <c r="T453"/>
      <c r="U453"/>
      <c r="V453"/>
    </row>
    <row r="454" spans="10:22" s="1" customFormat="1" x14ac:dyDescent="0.2">
      <c r="J454"/>
      <c r="K454"/>
      <c r="L454"/>
      <c r="M454"/>
      <c r="N454" s="2"/>
      <c r="R454"/>
      <c r="S454"/>
      <c r="T454"/>
      <c r="U454"/>
      <c r="V454"/>
    </row>
    <row r="455" spans="10:22" s="1" customFormat="1" x14ac:dyDescent="0.2">
      <c r="J455"/>
      <c r="K455"/>
      <c r="L455"/>
      <c r="M455"/>
      <c r="N455" s="2"/>
      <c r="R455"/>
      <c r="S455"/>
      <c r="T455"/>
      <c r="U455"/>
      <c r="V455"/>
    </row>
    <row r="456" spans="10:22" s="1" customFormat="1" x14ac:dyDescent="0.2">
      <c r="J456"/>
      <c r="K456"/>
      <c r="L456"/>
      <c r="M456"/>
      <c r="N456" s="2"/>
      <c r="R456"/>
      <c r="S456"/>
      <c r="T456"/>
      <c r="U456"/>
      <c r="V456"/>
    </row>
    <row r="457" spans="10:22" s="1" customFormat="1" x14ac:dyDescent="0.2">
      <c r="J457"/>
      <c r="K457"/>
      <c r="L457"/>
      <c r="M457"/>
      <c r="N457" s="2"/>
      <c r="R457"/>
      <c r="S457"/>
      <c r="T457"/>
      <c r="U457"/>
      <c r="V457"/>
    </row>
    <row r="458" spans="10:22" s="1" customFormat="1" x14ac:dyDescent="0.2">
      <c r="J458"/>
      <c r="K458"/>
      <c r="L458"/>
      <c r="M458"/>
      <c r="N458" s="2"/>
      <c r="R458"/>
      <c r="S458"/>
      <c r="T458"/>
      <c r="U458"/>
      <c r="V458"/>
    </row>
    <row r="459" spans="10:22" s="1" customFormat="1" x14ac:dyDescent="0.2">
      <c r="J459"/>
      <c r="K459"/>
      <c r="L459"/>
      <c r="M459"/>
      <c r="N459" s="2"/>
      <c r="R459"/>
      <c r="S459"/>
      <c r="T459"/>
      <c r="U459"/>
      <c r="V459"/>
    </row>
    <row r="460" spans="10:22" s="1" customFormat="1" x14ac:dyDescent="0.2">
      <c r="J460"/>
      <c r="K460"/>
      <c r="L460"/>
      <c r="M460"/>
      <c r="N460" s="2"/>
      <c r="R460"/>
      <c r="S460"/>
      <c r="T460"/>
      <c r="U460"/>
      <c r="V460"/>
    </row>
    <row r="461" spans="10:22" s="1" customFormat="1" x14ac:dyDescent="0.2">
      <c r="J461"/>
      <c r="K461"/>
      <c r="L461"/>
      <c r="M461"/>
      <c r="N461" s="2"/>
      <c r="R461"/>
      <c r="S461"/>
      <c r="T461"/>
      <c r="U461"/>
      <c r="V461"/>
    </row>
    <row r="462" spans="10:22" s="1" customFormat="1" x14ac:dyDescent="0.2">
      <c r="J462"/>
      <c r="K462"/>
      <c r="L462"/>
      <c r="M462"/>
      <c r="N462" s="2"/>
      <c r="R462"/>
      <c r="S462"/>
      <c r="T462"/>
      <c r="U462"/>
      <c r="V462"/>
    </row>
    <row r="463" spans="10:22" s="1" customFormat="1" x14ac:dyDescent="0.2">
      <c r="J463"/>
      <c r="K463"/>
      <c r="L463"/>
      <c r="M463"/>
      <c r="N463" s="2"/>
      <c r="R463"/>
      <c r="S463"/>
      <c r="T463"/>
      <c r="U463"/>
      <c r="V463"/>
    </row>
    <row r="464" spans="10:22" s="1" customFormat="1" x14ac:dyDescent="0.2">
      <c r="J464"/>
      <c r="K464"/>
      <c r="L464"/>
      <c r="M464"/>
      <c r="N464" s="2"/>
      <c r="R464"/>
      <c r="S464"/>
      <c r="T464"/>
      <c r="U464"/>
      <c r="V464"/>
    </row>
    <row r="465" spans="10:22" s="1" customFormat="1" x14ac:dyDescent="0.2">
      <c r="J465"/>
      <c r="K465"/>
      <c r="L465"/>
      <c r="M465"/>
      <c r="N465" s="2"/>
      <c r="R465"/>
      <c r="S465"/>
      <c r="T465"/>
      <c r="U465"/>
      <c r="V465"/>
    </row>
    <row r="466" spans="10:22" s="1" customFormat="1" x14ac:dyDescent="0.2">
      <c r="J466"/>
      <c r="K466"/>
      <c r="L466"/>
      <c r="M466"/>
      <c r="N466" s="2"/>
      <c r="R466"/>
      <c r="S466"/>
      <c r="T466"/>
      <c r="U466"/>
      <c r="V466"/>
    </row>
    <row r="467" spans="10:22" s="1" customFormat="1" x14ac:dyDescent="0.2">
      <c r="J467"/>
      <c r="K467"/>
      <c r="L467"/>
      <c r="M467"/>
      <c r="N467" s="2"/>
      <c r="R467"/>
      <c r="S467"/>
      <c r="T467"/>
      <c r="U467"/>
      <c r="V467"/>
    </row>
    <row r="468" spans="10:22" s="1" customFormat="1" x14ac:dyDescent="0.2">
      <c r="J468"/>
      <c r="K468"/>
      <c r="L468"/>
      <c r="M468"/>
      <c r="N468" s="2"/>
      <c r="R468"/>
      <c r="S468"/>
      <c r="T468"/>
      <c r="U468"/>
      <c r="V468"/>
    </row>
    <row r="469" spans="10:22" s="1" customFormat="1" x14ac:dyDescent="0.2">
      <c r="J469"/>
      <c r="K469"/>
      <c r="L469"/>
      <c r="M469"/>
      <c r="N469" s="2"/>
      <c r="R469"/>
      <c r="S469"/>
      <c r="T469"/>
      <c r="U469"/>
      <c r="V469"/>
    </row>
    <row r="470" spans="10:22" s="1" customFormat="1" x14ac:dyDescent="0.2">
      <c r="J470"/>
      <c r="K470"/>
      <c r="L470"/>
      <c r="M470"/>
      <c r="N470" s="2"/>
      <c r="R470"/>
      <c r="S470"/>
      <c r="T470"/>
      <c r="U470"/>
      <c r="V470"/>
    </row>
    <row r="471" spans="10:22" s="1" customFormat="1" x14ac:dyDescent="0.2">
      <c r="J471"/>
      <c r="K471"/>
      <c r="L471"/>
      <c r="M471"/>
      <c r="N471" s="2"/>
      <c r="R471"/>
      <c r="S471"/>
      <c r="T471"/>
      <c r="U471"/>
      <c r="V471"/>
    </row>
    <row r="472" spans="10:22" s="1" customFormat="1" x14ac:dyDescent="0.2">
      <c r="J472"/>
      <c r="K472"/>
      <c r="L472"/>
      <c r="M472"/>
      <c r="N472" s="2"/>
      <c r="R472"/>
      <c r="S472"/>
      <c r="T472"/>
      <c r="U472"/>
      <c r="V472"/>
    </row>
    <row r="473" spans="10:22" s="1" customFormat="1" x14ac:dyDescent="0.2">
      <c r="J473"/>
      <c r="K473"/>
      <c r="L473"/>
      <c r="M473"/>
      <c r="N473" s="2"/>
      <c r="R473"/>
      <c r="S473"/>
      <c r="T473"/>
      <c r="U473"/>
      <c r="V473"/>
    </row>
    <row r="474" spans="10:22" s="1" customFormat="1" x14ac:dyDescent="0.2">
      <c r="J474"/>
      <c r="K474"/>
      <c r="L474"/>
      <c r="M474"/>
      <c r="N474" s="2"/>
      <c r="R474"/>
      <c r="S474"/>
      <c r="T474"/>
      <c r="U474"/>
      <c r="V474"/>
    </row>
    <row r="475" spans="10:22" s="1" customFormat="1" x14ac:dyDescent="0.2">
      <c r="J475"/>
      <c r="K475"/>
      <c r="L475"/>
      <c r="M475"/>
      <c r="N475" s="2"/>
      <c r="R475"/>
      <c r="S475"/>
      <c r="T475"/>
      <c r="U475"/>
      <c r="V475"/>
    </row>
    <row r="476" spans="10:22" s="1" customFormat="1" x14ac:dyDescent="0.2">
      <c r="J476"/>
      <c r="K476"/>
      <c r="L476"/>
      <c r="M476"/>
      <c r="N476" s="2"/>
      <c r="R476"/>
      <c r="S476"/>
      <c r="T476"/>
      <c r="U476"/>
      <c r="V476"/>
    </row>
    <row r="477" spans="10:22" s="1" customFormat="1" x14ac:dyDescent="0.2">
      <c r="J477"/>
      <c r="K477"/>
      <c r="L477"/>
      <c r="M477"/>
      <c r="N477" s="2"/>
      <c r="R477"/>
      <c r="S477"/>
      <c r="T477"/>
      <c r="U477"/>
      <c r="V477"/>
    </row>
    <row r="478" spans="10:22" s="1" customFormat="1" x14ac:dyDescent="0.2">
      <c r="J478"/>
      <c r="K478"/>
      <c r="L478"/>
      <c r="M478"/>
      <c r="N478" s="2"/>
      <c r="R478"/>
      <c r="S478"/>
      <c r="T478"/>
      <c r="U478"/>
      <c r="V478"/>
    </row>
    <row r="479" spans="10:22" s="1" customFormat="1" x14ac:dyDescent="0.2">
      <c r="J479"/>
      <c r="K479"/>
      <c r="L479"/>
      <c r="M479"/>
      <c r="N479" s="2"/>
      <c r="R479"/>
      <c r="S479"/>
      <c r="T479"/>
      <c r="U479"/>
      <c r="V479"/>
    </row>
    <row r="480" spans="10:22" s="1" customFormat="1" x14ac:dyDescent="0.2">
      <c r="J480"/>
      <c r="K480"/>
      <c r="L480"/>
      <c r="M480"/>
      <c r="N480" s="2"/>
      <c r="R480"/>
      <c r="S480"/>
      <c r="T480"/>
      <c r="U480"/>
      <c r="V480"/>
    </row>
    <row r="481" spans="10:22" s="1" customFormat="1" x14ac:dyDescent="0.2">
      <c r="J481"/>
      <c r="K481"/>
      <c r="L481"/>
      <c r="M481"/>
      <c r="N481" s="2"/>
      <c r="R481"/>
      <c r="S481"/>
      <c r="T481"/>
      <c r="U481"/>
      <c r="V481"/>
    </row>
    <row r="482" spans="10:22" s="1" customFormat="1" x14ac:dyDescent="0.2">
      <c r="J482"/>
      <c r="K482"/>
      <c r="L482"/>
      <c r="M482"/>
      <c r="N482" s="2"/>
      <c r="R482"/>
      <c r="S482"/>
      <c r="T482"/>
      <c r="U482"/>
      <c r="V482"/>
    </row>
    <row r="483" spans="10:22" s="1" customFormat="1" x14ac:dyDescent="0.2">
      <c r="J483"/>
      <c r="K483"/>
      <c r="L483"/>
      <c r="M483"/>
      <c r="N483" s="2"/>
      <c r="R483"/>
      <c r="S483"/>
      <c r="T483"/>
      <c r="U483"/>
      <c r="V483"/>
    </row>
    <row r="484" spans="10:22" s="1" customFormat="1" x14ac:dyDescent="0.2">
      <c r="J484"/>
      <c r="K484"/>
      <c r="L484"/>
      <c r="M484"/>
      <c r="N484" s="2"/>
      <c r="R484"/>
      <c r="S484"/>
      <c r="T484"/>
      <c r="U484"/>
      <c r="V484"/>
    </row>
    <row r="485" spans="10:22" s="1" customFormat="1" x14ac:dyDescent="0.2">
      <c r="J485"/>
      <c r="K485"/>
      <c r="L485"/>
      <c r="M485"/>
      <c r="N485" s="2"/>
      <c r="R485"/>
      <c r="S485"/>
      <c r="T485"/>
      <c r="U485"/>
      <c r="V485"/>
    </row>
    <row r="486" spans="10:22" s="1" customFormat="1" x14ac:dyDescent="0.2">
      <c r="J486"/>
      <c r="K486"/>
      <c r="L486"/>
      <c r="M486"/>
      <c r="N486" s="2"/>
      <c r="R486"/>
      <c r="S486"/>
      <c r="T486"/>
      <c r="U486"/>
      <c r="V486"/>
    </row>
    <row r="487" spans="10:22" s="1" customFormat="1" x14ac:dyDescent="0.2">
      <c r="J487"/>
      <c r="K487"/>
      <c r="L487"/>
      <c r="M487"/>
      <c r="N487" s="2"/>
      <c r="R487"/>
      <c r="S487"/>
      <c r="T487"/>
      <c r="U487"/>
      <c r="V487"/>
    </row>
    <row r="488" spans="10:22" s="1" customFormat="1" x14ac:dyDescent="0.2">
      <c r="J488"/>
      <c r="K488"/>
      <c r="L488"/>
      <c r="M488"/>
      <c r="N488" s="2"/>
      <c r="R488"/>
      <c r="S488"/>
      <c r="T488"/>
      <c r="U488"/>
      <c r="V488"/>
    </row>
    <row r="489" spans="10:22" s="1" customFormat="1" x14ac:dyDescent="0.2">
      <c r="J489"/>
      <c r="K489"/>
      <c r="L489"/>
      <c r="M489"/>
      <c r="N489" s="2"/>
      <c r="R489"/>
      <c r="S489"/>
      <c r="T489"/>
      <c r="U489"/>
      <c r="V489"/>
    </row>
    <row r="490" spans="10:22" s="1" customFormat="1" x14ac:dyDescent="0.2">
      <c r="J490"/>
      <c r="K490"/>
      <c r="L490"/>
      <c r="M490"/>
      <c r="N490" s="2"/>
      <c r="R490"/>
      <c r="S490"/>
      <c r="T490"/>
      <c r="U490"/>
      <c r="V490"/>
    </row>
    <row r="491" spans="10:22" s="1" customFormat="1" x14ac:dyDescent="0.2">
      <c r="J491"/>
      <c r="K491"/>
      <c r="L491"/>
      <c r="M491"/>
      <c r="N491" s="2"/>
      <c r="R491"/>
      <c r="S491"/>
      <c r="T491"/>
      <c r="U491"/>
      <c r="V491"/>
    </row>
    <row r="492" spans="10:22" s="1" customFormat="1" x14ac:dyDescent="0.2">
      <c r="J492"/>
      <c r="K492"/>
      <c r="L492"/>
      <c r="M492"/>
      <c r="N492" s="2"/>
      <c r="R492"/>
      <c r="S492"/>
      <c r="T492"/>
      <c r="U492"/>
      <c r="V492"/>
    </row>
    <row r="493" spans="10:22" s="1" customFormat="1" x14ac:dyDescent="0.2">
      <c r="J493"/>
      <c r="K493"/>
      <c r="L493"/>
      <c r="M493"/>
      <c r="N493" s="2"/>
      <c r="R493"/>
      <c r="S493"/>
      <c r="T493"/>
      <c r="U493"/>
      <c r="V493"/>
    </row>
    <row r="494" spans="10:22" s="1" customFormat="1" x14ac:dyDescent="0.2">
      <c r="J494"/>
      <c r="K494"/>
      <c r="L494"/>
      <c r="M494"/>
      <c r="N494" s="2"/>
      <c r="R494"/>
      <c r="S494"/>
      <c r="T494"/>
      <c r="U494"/>
      <c r="V494"/>
    </row>
    <row r="495" spans="10:22" s="1" customFormat="1" x14ac:dyDescent="0.2">
      <c r="J495"/>
      <c r="K495"/>
      <c r="L495"/>
      <c r="M495"/>
      <c r="N495" s="2"/>
      <c r="R495"/>
      <c r="S495"/>
      <c r="T495"/>
      <c r="U495"/>
      <c r="V495"/>
    </row>
    <row r="496" spans="10:22" s="1" customFormat="1" x14ac:dyDescent="0.2">
      <c r="J496"/>
      <c r="K496"/>
      <c r="L496"/>
      <c r="M496"/>
      <c r="N496" s="2"/>
      <c r="R496"/>
      <c r="S496"/>
      <c r="T496"/>
      <c r="U496"/>
      <c r="V496"/>
    </row>
    <row r="497" spans="10:22" s="1" customFormat="1" x14ac:dyDescent="0.2">
      <c r="J497"/>
      <c r="K497"/>
      <c r="L497"/>
      <c r="M497"/>
      <c r="N497" s="2"/>
      <c r="R497"/>
      <c r="S497"/>
      <c r="T497"/>
      <c r="U497"/>
      <c r="V497"/>
    </row>
    <row r="498" spans="10:22" s="1" customFormat="1" x14ac:dyDescent="0.2">
      <c r="J498"/>
      <c r="K498"/>
      <c r="L498"/>
      <c r="M498"/>
      <c r="N498" s="2"/>
      <c r="R498"/>
      <c r="S498"/>
      <c r="T498"/>
      <c r="U498"/>
      <c r="V498"/>
    </row>
    <row r="499" spans="10:22" s="1" customFormat="1" x14ac:dyDescent="0.2">
      <c r="J499"/>
      <c r="K499"/>
      <c r="L499"/>
      <c r="M499"/>
      <c r="N499" s="2"/>
      <c r="R499"/>
      <c r="S499"/>
      <c r="T499"/>
      <c r="U499"/>
      <c r="V499"/>
    </row>
    <row r="500" spans="10:22" s="1" customFormat="1" x14ac:dyDescent="0.2">
      <c r="J500"/>
      <c r="K500"/>
      <c r="L500"/>
      <c r="M500"/>
      <c r="N500" s="2"/>
      <c r="R500"/>
      <c r="S500"/>
      <c r="T500"/>
      <c r="U500"/>
      <c r="V500"/>
    </row>
    <row r="501" spans="10:22" s="1" customFormat="1" x14ac:dyDescent="0.2">
      <c r="J501"/>
      <c r="K501"/>
      <c r="L501"/>
      <c r="M501"/>
      <c r="N501" s="2"/>
      <c r="R501"/>
      <c r="S501"/>
      <c r="T501"/>
      <c r="U501"/>
      <c r="V501"/>
    </row>
    <row r="502" spans="10:22" s="1" customFormat="1" x14ac:dyDescent="0.2">
      <c r="J502"/>
      <c r="K502"/>
      <c r="L502"/>
      <c r="M502"/>
      <c r="N502" s="2"/>
      <c r="R502"/>
      <c r="S502"/>
      <c r="T502"/>
      <c r="U502"/>
      <c r="V502"/>
    </row>
    <row r="503" spans="10:22" s="1" customFormat="1" x14ac:dyDescent="0.2">
      <c r="J503"/>
      <c r="K503"/>
      <c r="L503"/>
      <c r="M503"/>
      <c r="N503" s="2"/>
      <c r="R503"/>
      <c r="S503"/>
      <c r="T503"/>
      <c r="U503"/>
      <c r="V503"/>
    </row>
    <row r="504" spans="10:22" s="1" customFormat="1" x14ac:dyDescent="0.2">
      <c r="J504"/>
      <c r="K504"/>
      <c r="L504"/>
      <c r="M504"/>
      <c r="N504" s="2"/>
      <c r="R504"/>
      <c r="S504"/>
      <c r="T504"/>
      <c r="U504"/>
      <c r="V504"/>
    </row>
    <row r="505" spans="10:22" s="1" customFormat="1" x14ac:dyDescent="0.2">
      <c r="J505"/>
      <c r="K505"/>
      <c r="L505"/>
      <c r="M505"/>
      <c r="N505" s="2"/>
      <c r="R505"/>
      <c r="S505"/>
      <c r="T505"/>
      <c r="U505"/>
      <c r="V505"/>
    </row>
    <row r="506" spans="10:22" s="1" customFormat="1" x14ac:dyDescent="0.2">
      <c r="J506"/>
      <c r="K506"/>
      <c r="L506"/>
      <c r="M506"/>
      <c r="N506" s="2"/>
      <c r="R506"/>
      <c r="S506"/>
      <c r="T506"/>
      <c r="U506"/>
      <c r="V506"/>
    </row>
    <row r="507" spans="10:22" s="1" customFormat="1" x14ac:dyDescent="0.2">
      <c r="J507"/>
      <c r="K507"/>
      <c r="L507"/>
      <c r="M507"/>
      <c r="N507" s="2"/>
      <c r="R507"/>
      <c r="S507"/>
      <c r="T507"/>
      <c r="U507"/>
      <c r="V507"/>
    </row>
    <row r="508" spans="10:22" s="1" customFormat="1" x14ac:dyDescent="0.2">
      <c r="J508"/>
      <c r="K508"/>
      <c r="L508"/>
      <c r="M508"/>
      <c r="N508" s="2"/>
      <c r="R508"/>
      <c r="S508"/>
      <c r="T508"/>
      <c r="U508"/>
      <c r="V508"/>
    </row>
    <row r="509" spans="10:22" s="1" customFormat="1" x14ac:dyDescent="0.2">
      <c r="J509"/>
      <c r="K509"/>
      <c r="L509"/>
      <c r="M509"/>
      <c r="N509" s="2"/>
      <c r="R509"/>
      <c r="S509"/>
      <c r="T509"/>
      <c r="U509"/>
      <c r="V509"/>
    </row>
    <row r="510" spans="10:22" s="1" customFormat="1" x14ac:dyDescent="0.2">
      <c r="J510"/>
      <c r="K510"/>
      <c r="L510"/>
      <c r="M510"/>
      <c r="N510" s="2"/>
      <c r="R510"/>
      <c r="S510"/>
      <c r="T510"/>
      <c r="U510"/>
      <c r="V510"/>
    </row>
    <row r="511" spans="10:22" s="1" customFormat="1" x14ac:dyDescent="0.2">
      <c r="J511"/>
      <c r="K511"/>
      <c r="L511"/>
      <c r="M511"/>
      <c r="N511" s="2"/>
      <c r="R511"/>
      <c r="S511"/>
      <c r="T511"/>
      <c r="U511"/>
      <c r="V511"/>
    </row>
    <row r="512" spans="10:22" s="1" customFormat="1" x14ac:dyDescent="0.2">
      <c r="J512"/>
      <c r="K512"/>
      <c r="L512"/>
      <c r="M512"/>
      <c r="N512" s="2"/>
      <c r="R512"/>
      <c r="S512"/>
      <c r="T512"/>
      <c r="U512"/>
      <c r="V512"/>
    </row>
    <row r="513" spans="10:22" s="1" customFormat="1" x14ac:dyDescent="0.2">
      <c r="J513"/>
      <c r="K513"/>
      <c r="L513"/>
      <c r="M513"/>
      <c r="N513" s="2"/>
      <c r="R513"/>
      <c r="S513"/>
      <c r="T513"/>
      <c r="U513"/>
      <c r="V513"/>
    </row>
    <row r="514" spans="10:22" s="1" customFormat="1" x14ac:dyDescent="0.2">
      <c r="J514"/>
      <c r="K514"/>
      <c r="L514"/>
      <c r="M514"/>
      <c r="N514" s="2"/>
      <c r="R514"/>
      <c r="S514"/>
      <c r="T514"/>
      <c r="U514"/>
      <c r="V514"/>
    </row>
    <row r="515" spans="10:22" s="1" customFormat="1" x14ac:dyDescent="0.2">
      <c r="J515"/>
      <c r="K515"/>
      <c r="L515"/>
      <c r="M515"/>
      <c r="N515" s="2"/>
      <c r="R515"/>
      <c r="S515"/>
      <c r="T515"/>
      <c r="U515"/>
      <c r="V515"/>
    </row>
    <row r="516" spans="10:22" s="1" customFormat="1" x14ac:dyDescent="0.2">
      <c r="J516"/>
      <c r="K516"/>
      <c r="L516"/>
      <c r="M516"/>
      <c r="N516" s="2"/>
      <c r="R516"/>
      <c r="S516"/>
      <c r="T516"/>
      <c r="U516"/>
      <c r="V516"/>
    </row>
    <row r="517" spans="10:22" s="1" customFormat="1" x14ac:dyDescent="0.2">
      <c r="J517"/>
      <c r="K517"/>
      <c r="L517"/>
      <c r="M517"/>
      <c r="N517" s="2"/>
      <c r="R517"/>
      <c r="S517"/>
      <c r="T517"/>
      <c r="U517"/>
      <c r="V517"/>
    </row>
    <row r="518" spans="10:22" s="1" customFormat="1" x14ac:dyDescent="0.2">
      <c r="J518"/>
      <c r="K518"/>
      <c r="L518"/>
      <c r="M518"/>
      <c r="N518" s="2"/>
      <c r="R518"/>
      <c r="S518"/>
      <c r="T518"/>
      <c r="U518"/>
      <c r="V518"/>
    </row>
    <row r="519" spans="10:22" s="1" customFormat="1" x14ac:dyDescent="0.2">
      <c r="J519"/>
      <c r="K519"/>
      <c r="L519"/>
      <c r="M519"/>
      <c r="N519" s="2"/>
      <c r="R519"/>
      <c r="S519"/>
      <c r="T519"/>
      <c r="U519"/>
      <c r="V519"/>
    </row>
    <row r="520" spans="10:22" s="1" customFormat="1" x14ac:dyDescent="0.2">
      <c r="J520"/>
      <c r="K520"/>
      <c r="L520"/>
      <c r="M520"/>
      <c r="N520" s="2"/>
      <c r="R520"/>
      <c r="S520"/>
      <c r="T520"/>
      <c r="U520"/>
      <c r="V520"/>
    </row>
    <row r="521" spans="10:22" s="1" customFormat="1" x14ac:dyDescent="0.2">
      <c r="J521"/>
      <c r="K521"/>
      <c r="L521"/>
      <c r="M521"/>
      <c r="N521" s="2"/>
      <c r="R521"/>
      <c r="S521"/>
      <c r="T521"/>
      <c r="U521"/>
      <c r="V521"/>
    </row>
    <row r="522" spans="10:22" s="1" customFormat="1" x14ac:dyDescent="0.2">
      <c r="J522"/>
      <c r="K522"/>
      <c r="L522"/>
      <c r="M522"/>
      <c r="N522" s="2"/>
      <c r="R522"/>
      <c r="S522"/>
      <c r="T522"/>
      <c r="U522"/>
      <c r="V522"/>
    </row>
    <row r="523" spans="10:22" s="1" customFormat="1" x14ac:dyDescent="0.2">
      <c r="J523"/>
      <c r="K523"/>
      <c r="L523"/>
      <c r="M523"/>
      <c r="N523" s="2"/>
      <c r="R523"/>
      <c r="S523"/>
      <c r="T523"/>
      <c r="U523"/>
      <c r="V523"/>
    </row>
    <row r="524" spans="10:22" s="1" customFormat="1" x14ac:dyDescent="0.2">
      <c r="J524"/>
      <c r="K524"/>
      <c r="L524"/>
      <c r="M524"/>
      <c r="N524" s="2"/>
      <c r="R524"/>
      <c r="S524"/>
      <c r="T524"/>
      <c r="U524"/>
      <c r="V524"/>
    </row>
    <row r="525" spans="10:22" s="1" customFormat="1" x14ac:dyDescent="0.2">
      <c r="J525"/>
      <c r="K525"/>
      <c r="L525"/>
      <c r="M525"/>
      <c r="N525" s="2"/>
      <c r="R525"/>
      <c r="S525"/>
      <c r="T525"/>
      <c r="U525"/>
      <c r="V525"/>
    </row>
    <row r="526" spans="10:22" s="1" customFormat="1" x14ac:dyDescent="0.2">
      <c r="J526"/>
      <c r="K526"/>
      <c r="L526"/>
      <c r="M526"/>
      <c r="N526" s="2"/>
      <c r="R526"/>
      <c r="S526"/>
      <c r="T526"/>
      <c r="U526"/>
      <c r="V526"/>
    </row>
    <row r="527" spans="10:22" s="1" customFormat="1" x14ac:dyDescent="0.2">
      <c r="J527"/>
      <c r="K527"/>
      <c r="L527"/>
      <c r="M527"/>
      <c r="N527" s="2"/>
      <c r="R527"/>
      <c r="S527"/>
      <c r="T527"/>
      <c r="U527"/>
      <c r="V527"/>
    </row>
    <row r="528" spans="10:22" s="1" customFormat="1" x14ac:dyDescent="0.2">
      <c r="J528"/>
      <c r="K528"/>
      <c r="L528"/>
      <c r="M528"/>
      <c r="N528" s="2"/>
      <c r="R528"/>
      <c r="S528"/>
      <c r="T528"/>
      <c r="U528"/>
      <c r="V528"/>
    </row>
    <row r="529" spans="10:22" s="1" customFormat="1" x14ac:dyDescent="0.2">
      <c r="J529"/>
      <c r="K529"/>
      <c r="L529"/>
      <c r="M529"/>
      <c r="N529" s="2"/>
      <c r="R529"/>
      <c r="S529"/>
      <c r="T529"/>
      <c r="U529"/>
      <c r="V529"/>
    </row>
    <row r="530" spans="10:22" s="1" customFormat="1" x14ac:dyDescent="0.2">
      <c r="J530"/>
      <c r="K530"/>
      <c r="L530"/>
      <c r="M530"/>
      <c r="N530" s="2"/>
      <c r="R530"/>
      <c r="S530"/>
      <c r="T530"/>
      <c r="U530"/>
      <c r="V530"/>
    </row>
    <row r="531" spans="10:22" s="1" customFormat="1" x14ac:dyDescent="0.2">
      <c r="J531"/>
      <c r="K531"/>
      <c r="L531"/>
      <c r="M531"/>
      <c r="N531" s="2"/>
      <c r="R531"/>
      <c r="S531"/>
      <c r="T531"/>
      <c r="U531"/>
      <c r="V531"/>
    </row>
    <row r="532" spans="10:22" s="1" customFormat="1" x14ac:dyDescent="0.2">
      <c r="J532"/>
      <c r="K532"/>
      <c r="L532"/>
      <c r="M532"/>
      <c r="N532" s="2"/>
      <c r="R532"/>
      <c r="S532"/>
      <c r="T532"/>
      <c r="U532"/>
      <c r="V532"/>
    </row>
    <row r="533" spans="10:22" s="1" customFormat="1" x14ac:dyDescent="0.2">
      <c r="J533"/>
      <c r="K533"/>
      <c r="L533"/>
      <c r="M533"/>
      <c r="N533" s="2"/>
      <c r="R533"/>
      <c r="S533"/>
      <c r="T533"/>
      <c r="U533"/>
      <c r="V533"/>
    </row>
    <row r="534" spans="10:22" s="1" customFormat="1" x14ac:dyDescent="0.2">
      <c r="J534"/>
      <c r="K534"/>
      <c r="L534"/>
      <c r="M534"/>
      <c r="N534" s="2"/>
      <c r="R534"/>
      <c r="S534"/>
      <c r="T534"/>
      <c r="U534"/>
      <c r="V534"/>
    </row>
    <row r="535" spans="10:22" s="1" customFormat="1" x14ac:dyDescent="0.2">
      <c r="J535"/>
      <c r="K535"/>
      <c r="L535"/>
      <c r="M535"/>
      <c r="N535" s="2"/>
      <c r="R535"/>
      <c r="S535"/>
      <c r="T535"/>
      <c r="U535"/>
      <c r="V535"/>
    </row>
    <row r="536" spans="10:22" s="1" customFormat="1" x14ac:dyDescent="0.2">
      <c r="J536"/>
      <c r="K536"/>
      <c r="L536"/>
      <c r="M536"/>
      <c r="N536" s="2"/>
      <c r="R536"/>
      <c r="S536"/>
      <c r="T536"/>
      <c r="U536"/>
      <c r="V536"/>
    </row>
    <row r="537" spans="10:22" s="1" customFormat="1" x14ac:dyDescent="0.2">
      <c r="J537"/>
      <c r="K537"/>
      <c r="L537"/>
      <c r="M537"/>
      <c r="N537" s="2"/>
      <c r="R537"/>
      <c r="S537"/>
      <c r="T537"/>
      <c r="U537"/>
      <c r="V537"/>
    </row>
    <row r="538" spans="10:22" s="1" customFormat="1" x14ac:dyDescent="0.2">
      <c r="J538"/>
      <c r="K538"/>
      <c r="L538"/>
      <c r="M538"/>
      <c r="N538" s="2"/>
      <c r="R538"/>
      <c r="S538"/>
      <c r="T538"/>
      <c r="U538"/>
      <c r="V538"/>
    </row>
    <row r="539" spans="10:22" s="1" customFormat="1" x14ac:dyDescent="0.2">
      <c r="J539"/>
      <c r="K539"/>
      <c r="L539"/>
      <c r="M539"/>
      <c r="N539" s="2"/>
      <c r="R539"/>
      <c r="S539"/>
      <c r="T539"/>
      <c r="U539"/>
      <c r="V539"/>
    </row>
    <row r="540" spans="10:22" s="1" customFormat="1" x14ac:dyDescent="0.2">
      <c r="J540"/>
      <c r="K540"/>
      <c r="L540"/>
      <c r="M540"/>
      <c r="N540" s="2"/>
      <c r="R540"/>
      <c r="S540"/>
      <c r="T540"/>
      <c r="U540"/>
      <c r="V540"/>
    </row>
    <row r="541" spans="10:22" s="1" customFormat="1" x14ac:dyDescent="0.2">
      <c r="J541"/>
      <c r="K541"/>
      <c r="L541"/>
      <c r="M541"/>
      <c r="N541" s="2"/>
      <c r="R541"/>
      <c r="S541"/>
      <c r="T541"/>
      <c r="U541"/>
      <c r="V541"/>
    </row>
    <row r="542" spans="10:22" s="1" customFormat="1" x14ac:dyDescent="0.2">
      <c r="J542"/>
      <c r="K542"/>
      <c r="L542"/>
      <c r="M542"/>
      <c r="N542" s="2"/>
      <c r="R542"/>
      <c r="S542"/>
      <c r="T542"/>
      <c r="U542"/>
      <c r="V542"/>
    </row>
    <row r="543" spans="10:22" s="1" customFormat="1" x14ac:dyDescent="0.2">
      <c r="J543"/>
      <c r="K543"/>
      <c r="L543"/>
      <c r="M543"/>
      <c r="N543" s="2"/>
      <c r="R543"/>
      <c r="S543"/>
      <c r="T543"/>
      <c r="U543"/>
      <c r="V543"/>
    </row>
    <row r="544" spans="10:22" s="1" customFormat="1" x14ac:dyDescent="0.2">
      <c r="J544"/>
      <c r="K544"/>
      <c r="L544"/>
      <c r="M544"/>
      <c r="N544" s="2"/>
      <c r="R544"/>
      <c r="S544"/>
      <c r="T544"/>
      <c r="U544"/>
      <c r="V544"/>
    </row>
    <row r="545" spans="10:22" s="1" customFormat="1" x14ac:dyDescent="0.2">
      <c r="J545"/>
      <c r="K545"/>
      <c r="L545"/>
      <c r="M545"/>
      <c r="N545" s="2"/>
      <c r="R545"/>
      <c r="S545"/>
      <c r="T545"/>
      <c r="U545"/>
      <c r="V545"/>
    </row>
    <row r="546" spans="10:22" s="1" customFormat="1" x14ac:dyDescent="0.2">
      <c r="J546"/>
      <c r="K546"/>
      <c r="L546"/>
      <c r="M546"/>
      <c r="N546" s="2"/>
      <c r="R546"/>
      <c r="S546"/>
      <c r="T546"/>
      <c r="U546"/>
      <c r="V546"/>
    </row>
    <row r="547" spans="10:22" s="1" customFormat="1" x14ac:dyDescent="0.2">
      <c r="J547"/>
      <c r="K547"/>
      <c r="L547"/>
      <c r="M547"/>
      <c r="N547" s="2"/>
      <c r="R547"/>
      <c r="S547"/>
      <c r="T547"/>
      <c r="U547"/>
      <c r="V547"/>
    </row>
    <row r="548" spans="10:22" s="1" customFormat="1" x14ac:dyDescent="0.2">
      <c r="J548"/>
      <c r="K548"/>
      <c r="L548"/>
      <c r="M548"/>
      <c r="N548" s="2"/>
      <c r="R548"/>
      <c r="S548"/>
      <c r="T548"/>
      <c r="U548"/>
      <c r="V548"/>
    </row>
    <row r="549" spans="10:22" s="1" customFormat="1" x14ac:dyDescent="0.2">
      <c r="J549"/>
      <c r="K549"/>
      <c r="L549"/>
      <c r="M549"/>
      <c r="N549" s="2"/>
      <c r="R549"/>
      <c r="S549"/>
      <c r="T549"/>
      <c r="U549"/>
      <c r="V549"/>
    </row>
    <row r="550" spans="10:22" s="1" customFormat="1" x14ac:dyDescent="0.2">
      <c r="J550"/>
      <c r="K550"/>
      <c r="L550"/>
      <c r="M550"/>
      <c r="N550" s="2"/>
      <c r="R550"/>
      <c r="S550"/>
      <c r="T550"/>
      <c r="U550"/>
      <c r="V550"/>
    </row>
    <row r="551" spans="10:22" s="1" customFormat="1" x14ac:dyDescent="0.2">
      <c r="J551"/>
      <c r="K551"/>
      <c r="L551"/>
      <c r="M551"/>
      <c r="N551" s="2"/>
      <c r="R551"/>
      <c r="S551"/>
      <c r="T551"/>
      <c r="U551"/>
      <c r="V551"/>
    </row>
    <row r="552" spans="10:22" s="1" customFormat="1" x14ac:dyDescent="0.2">
      <c r="J552"/>
      <c r="K552"/>
      <c r="L552"/>
      <c r="M552"/>
      <c r="N552" s="2"/>
      <c r="R552"/>
      <c r="S552"/>
      <c r="T552"/>
      <c r="U552"/>
      <c r="V552"/>
    </row>
    <row r="553" spans="10:22" s="1" customFormat="1" x14ac:dyDescent="0.2">
      <c r="J553"/>
      <c r="K553"/>
      <c r="L553"/>
      <c r="M553"/>
      <c r="N553" s="2"/>
      <c r="R553"/>
      <c r="S553"/>
      <c r="T553"/>
      <c r="U553"/>
      <c r="V553"/>
    </row>
    <row r="554" spans="10:22" s="1" customFormat="1" x14ac:dyDescent="0.2">
      <c r="J554"/>
      <c r="K554"/>
      <c r="L554"/>
      <c r="M554"/>
      <c r="N554" s="2"/>
      <c r="R554"/>
      <c r="S554"/>
      <c r="T554"/>
      <c r="U554"/>
      <c r="V554"/>
    </row>
    <row r="555" spans="10:22" s="1" customFormat="1" x14ac:dyDescent="0.2">
      <c r="J555"/>
      <c r="K555"/>
      <c r="L555"/>
      <c r="M555"/>
      <c r="N555" s="2"/>
      <c r="R555"/>
      <c r="S555"/>
      <c r="T555"/>
      <c r="U555"/>
      <c r="V555"/>
    </row>
    <row r="556" spans="10:22" s="1" customFormat="1" x14ac:dyDescent="0.2">
      <c r="J556"/>
      <c r="K556"/>
      <c r="L556"/>
      <c r="M556"/>
      <c r="N556" s="2"/>
      <c r="R556"/>
      <c r="S556"/>
      <c r="T556"/>
      <c r="U556"/>
      <c r="V556"/>
    </row>
    <row r="557" spans="10:22" s="1" customFormat="1" x14ac:dyDescent="0.2">
      <c r="J557"/>
      <c r="K557"/>
      <c r="L557"/>
      <c r="M557"/>
      <c r="N557" s="2"/>
      <c r="R557"/>
      <c r="S557"/>
      <c r="T557"/>
      <c r="U557"/>
      <c r="V557"/>
    </row>
    <row r="558" spans="10:22" s="1" customFormat="1" x14ac:dyDescent="0.2">
      <c r="J558"/>
      <c r="K558"/>
      <c r="L558"/>
      <c r="M558"/>
      <c r="N558" s="2"/>
      <c r="R558"/>
      <c r="S558"/>
      <c r="T558"/>
      <c r="U558"/>
      <c r="V558"/>
    </row>
    <row r="559" spans="10:22" s="1" customFormat="1" x14ac:dyDescent="0.2">
      <c r="J559"/>
      <c r="K559"/>
      <c r="L559"/>
      <c r="M559"/>
      <c r="N559" s="2"/>
      <c r="R559"/>
      <c r="S559"/>
      <c r="T559"/>
      <c r="U559"/>
      <c r="V559"/>
    </row>
    <row r="560" spans="10:22" s="1" customFormat="1" x14ac:dyDescent="0.2">
      <c r="J560"/>
      <c r="K560"/>
      <c r="L560"/>
      <c r="M560"/>
      <c r="N560" s="2"/>
      <c r="R560"/>
      <c r="S560"/>
      <c r="T560"/>
      <c r="U560"/>
      <c r="V560"/>
    </row>
    <row r="561" spans="10:22" s="1" customFormat="1" x14ac:dyDescent="0.2">
      <c r="J561"/>
      <c r="K561"/>
      <c r="L561"/>
      <c r="M561"/>
      <c r="N561" s="2"/>
      <c r="R561"/>
      <c r="S561"/>
      <c r="T561"/>
      <c r="U561"/>
      <c r="V561"/>
    </row>
    <row r="562" spans="10:22" s="1" customFormat="1" x14ac:dyDescent="0.2">
      <c r="J562"/>
      <c r="K562"/>
      <c r="L562"/>
      <c r="M562"/>
      <c r="N562" s="2"/>
      <c r="R562"/>
      <c r="S562"/>
      <c r="T562"/>
      <c r="U562"/>
      <c r="V562"/>
    </row>
    <row r="563" spans="10:22" s="1" customFormat="1" x14ac:dyDescent="0.2">
      <c r="J563"/>
      <c r="K563"/>
      <c r="L563"/>
      <c r="M563"/>
      <c r="N563" s="2"/>
      <c r="R563"/>
      <c r="S563"/>
      <c r="T563"/>
      <c r="U563"/>
      <c r="V563"/>
    </row>
    <row r="564" spans="10:22" s="1" customFormat="1" x14ac:dyDescent="0.2">
      <c r="J564"/>
      <c r="K564"/>
      <c r="L564"/>
      <c r="M564"/>
      <c r="N564" s="2"/>
      <c r="R564"/>
      <c r="S564"/>
      <c r="T564"/>
      <c r="U564"/>
      <c r="V564"/>
    </row>
    <row r="565" spans="10:22" s="1" customFormat="1" x14ac:dyDescent="0.2">
      <c r="J565"/>
      <c r="K565"/>
      <c r="L565"/>
      <c r="M565"/>
      <c r="N565" s="2"/>
      <c r="R565"/>
      <c r="S565"/>
      <c r="T565"/>
      <c r="U565"/>
      <c r="V565"/>
    </row>
    <row r="566" spans="10:22" s="1" customFormat="1" x14ac:dyDescent="0.2">
      <c r="J566"/>
      <c r="K566"/>
      <c r="L566"/>
      <c r="M566"/>
      <c r="N566" s="2"/>
      <c r="R566"/>
      <c r="S566"/>
      <c r="T566"/>
      <c r="U566"/>
      <c r="V566"/>
    </row>
    <row r="567" spans="10:22" s="1" customFormat="1" x14ac:dyDescent="0.2">
      <c r="J567"/>
      <c r="K567"/>
      <c r="L567"/>
      <c r="M567"/>
      <c r="N567" s="2"/>
      <c r="R567"/>
      <c r="S567"/>
      <c r="T567"/>
      <c r="U567"/>
      <c r="V567"/>
    </row>
    <row r="568" spans="10:22" s="1" customFormat="1" x14ac:dyDescent="0.2">
      <c r="J568"/>
      <c r="K568"/>
      <c r="L568"/>
      <c r="M568"/>
      <c r="N568" s="2"/>
      <c r="R568"/>
      <c r="S568"/>
      <c r="T568"/>
      <c r="U568"/>
      <c r="V568"/>
    </row>
    <row r="569" spans="10:22" s="1" customFormat="1" x14ac:dyDescent="0.2">
      <c r="J569"/>
      <c r="K569"/>
      <c r="L569"/>
      <c r="M569"/>
      <c r="N569" s="2"/>
      <c r="R569"/>
      <c r="S569"/>
      <c r="T569"/>
      <c r="U569"/>
      <c r="V569"/>
    </row>
    <row r="570" spans="10:22" s="1" customFormat="1" x14ac:dyDescent="0.2">
      <c r="J570"/>
      <c r="K570"/>
      <c r="L570"/>
      <c r="M570"/>
      <c r="N570" s="2"/>
      <c r="R570"/>
      <c r="S570"/>
      <c r="T570"/>
      <c r="U570"/>
      <c r="V570"/>
    </row>
    <row r="571" spans="10:22" s="1" customFormat="1" x14ac:dyDescent="0.2">
      <c r="J571"/>
      <c r="K571"/>
      <c r="L571"/>
      <c r="M571"/>
      <c r="N571" s="2"/>
      <c r="R571"/>
      <c r="S571"/>
      <c r="T571"/>
      <c r="U571"/>
      <c r="V571"/>
    </row>
    <row r="572" spans="10:22" s="1" customFormat="1" x14ac:dyDescent="0.2">
      <c r="J572"/>
      <c r="K572"/>
      <c r="L572"/>
      <c r="M572"/>
      <c r="N572" s="2"/>
      <c r="R572"/>
      <c r="S572"/>
      <c r="T572"/>
      <c r="U572"/>
      <c r="V572"/>
    </row>
    <row r="573" spans="10:22" s="1" customFormat="1" x14ac:dyDescent="0.2">
      <c r="J573"/>
      <c r="K573"/>
      <c r="L573"/>
      <c r="M573"/>
      <c r="N573" s="2"/>
      <c r="R573"/>
      <c r="S573"/>
      <c r="T573"/>
      <c r="U573"/>
      <c r="V573"/>
    </row>
    <row r="574" spans="10:22" s="1" customFormat="1" x14ac:dyDescent="0.2">
      <c r="J574"/>
      <c r="K574"/>
      <c r="L574"/>
      <c r="M574"/>
      <c r="N574" s="2"/>
      <c r="R574"/>
      <c r="S574"/>
      <c r="T574"/>
      <c r="U574"/>
      <c r="V574"/>
    </row>
    <row r="575" spans="10:22" s="1" customFormat="1" x14ac:dyDescent="0.2">
      <c r="J575"/>
      <c r="K575"/>
      <c r="L575"/>
      <c r="M575"/>
      <c r="N575" s="2"/>
      <c r="R575"/>
      <c r="S575"/>
      <c r="T575"/>
      <c r="U575"/>
      <c r="V575"/>
    </row>
    <row r="576" spans="10:22" s="1" customFormat="1" x14ac:dyDescent="0.2">
      <c r="J576"/>
      <c r="K576"/>
      <c r="L576"/>
      <c r="M576"/>
      <c r="N576" s="2"/>
      <c r="R576"/>
      <c r="S576"/>
      <c r="T576"/>
      <c r="U576"/>
      <c r="V576"/>
    </row>
    <row r="577" spans="10:22" s="1" customFormat="1" x14ac:dyDescent="0.2">
      <c r="J577"/>
      <c r="K577"/>
      <c r="L577"/>
      <c r="M577"/>
      <c r="N577" s="2"/>
      <c r="R577"/>
      <c r="S577"/>
      <c r="T577"/>
      <c r="U577"/>
      <c r="V577"/>
    </row>
    <row r="578" spans="10:22" s="1" customFormat="1" x14ac:dyDescent="0.2">
      <c r="J578"/>
      <c r="K578"/>
      <c r="L578"/>
      <c r="M578"/>
      <c r="N578" s="2"/>
      <c r="R578"/>
      <c r="S578"/>
      <c r="T578"/>
      <c r="U578"/>
      <c r="V578"/>
    </row>
    <row r="579" spans="10:22" s="1" customFormat="1" x14ac:dyDescent="0.2">
      <c r="J579"/>
      <c r="K579"/>
      <c r="L579"/>
      <c r="M579"/>
      <c r="N579" s="2"/>
      <c r="R579"/>
      <c r="S579"/>
      <c r="T579"/>
      <c r="U579"/>
      <c r="V579"/>
    </row>
    <row r="580" spans="10:22" s="1" customFormat="1" x14ac:dyDescent="0.2">
      <c r="J580"/>
      <c r="K580"/>
      <c r="L580"/>
      <c r="M580"/>
      <c r="N580" s="2"/>
      <c r="R580"/>
      <c r="S580"/>
      <c r="T580"/>
      <c r="U580"/>
      <c r="V580"/>
    </row>
    <row r="581" spans="10:22" s="1" customFormat="1" x14ac:dyDescent="0.2">
      <c r="J581"/>
      <c r="K581"/>
      <c r="L581"/>
      <c r="M581"/>
      <c r="N581" s="2"/>
      <c r="R581"/>
      <c r="S581"/>
      <c r="T581"/>
      <c r="U581"/>
      <c r="V581"/>
    </row>
    <row r="582" spans="10:22" s="1" customFormat="1" x14ac:dyDescent="0.2">
      <c r="J582"/>
      <c r="K582"/>
      <c r="L582"/>
      <c r="M582"/>
      <c r="N582" s="2"/>
      <c r="R582"/>
      <c r="S582"/>
      <c r="T582"/>
      <c r="U582"/>
      <c r="V582"/>
    </row>
    <row r="583" spans="10:22" s="1" customFormat="1" x14ac:dyDescent="0.2">
      <c r="J583"/>
      <c r="K583"/>
      <c r="L583"/>
      <c r="M583"/>
      <c r="N583" s="2"/>
      <c r="R583"/>
      <c r="S583"/>
      <c r="T583"/>
      <c r="U583"/>
      <c r="V583"/>
    </row>
    <row r="584" spans="10:22" s="1" customFormat="1" x14ac:dyDescent="0.2">
      <c r="J584"/>
      <c r="K584"/>
      <c r="L584"/>
      <c r="M584"/>
      <c r="N584" s="2"/>
      <c r="R584"/>
      <c r="S584"/>
      <c r="T584"/>
      <c r="U584"/>
      <c r="V584"/>
    </row>
    <row r="585" spans="10:22" s="1" customFormat="1" x14ac:dyDescent="0.2">
      <c r="J585"/>
      <c r="K585"/>
      <c r="L585"/>
      <c r="M585"/>
      <c r="N585" s="2"/>
      <c r="R585"/>
      <c r="S585"/>
      <c r="T585"/>
      <c r="U585"/>
      <c r="V585"/>
    </row>
    <row r="586" spans="10:22" s="1" customFormat="1" x14ac:dyDescent="0.2">
      <c r="J586"/>
      <c r="K586"/>
      <c r="L586"/>
      <c r="M586"/>
      <c r="N586" s="2"/>
      <c r="R586"/>
      <c r="S586"/>
      <c r="T586"/>
      <c r="U586"/>
      <c r="V586"/>
    </row>
    <row r="587" spans="10:22" s="1" customFormat="1" x14ac:dyDescent="0.2">
      <c r="J587"/>
      <c r="K587"/>
      <c r="L587"/>
      <c r="M587"/>
      <c r="N587" s="2"/>
      <c r="R587"/>
      <c r="S587"/>
      <c r="T587"/>
      <c r="U587"/>
      <c r="V587"/>
    </row>
    <row r="588" spans="10:22" s="1" customFormat="1" x14ac:dyDescent="0.2">
      <c r="J588"/>
      <c r="K588"/>
      <c r="L588"/>
      <c r="M588"/>
      <c r="N588" s="2"/>
      <c r="R588"/>
      <c r="S588"/>
      <c r="T588"/>
      <c r="U588"/>
      <c r="V588"/>
    </row>
    <row r="589" spans="10:22" s="1" customFormat="1" x14ac:dyDescent="0.2">
      <c r="J589"/>
      <c r="K589"/>
      <c r="L589"/>
      <c r="M589"/>
      <c r="N589" s="2"/>
      <c r="R589"/>
      <c r="S589"/>
      <c r="T589"/>
      <c r="U589"/>
      <c r="V589"/>
    </row>
    <row r="590" spans="10:22" s="1" customFormat="1" x14ac:dyDescent="0.2">
      <c r="J590"/>
      <c r="K590"/>
      <c r="L590"/>
      <c r="M590"/>
      <c r="N590" s="2"/>
      <c r="R590"/>
      <c r="S590"/>
      <c r="T590"/>
      <c r="U590"/>
      <c r="V590"/>
    </row>
    <row r="591" spans="10:22" s="1" customFormat="1" x14ac:dyDescent="0.2">
      <c r="J591"/>
      <c r="K591"/>
      <c r="L591"/>
      <c r="M591"/>
      <c r="N591" s="2"/>
      <c r="R591"/>
      <c r="S591"/>
      <c r="T591"/>
      <c r="U591"/>
      <c r="V591"/>
    </row>
    <row r="592" spans="10:22" s="1" customFormat="1" x14ac:dyDescent="0.2">
      <c r="J592"/>
      <c r="K592"/>
      <c r="L592"/>
      <c r="M592"/>
      <c r="N592" s="2"/>
      <c r="R592"/>
      <c r="S592"/>
      <c r="T592"/>
      <c r="U592"/>
      <c r="V592"/>
    </row>
    <row r="593" spans="10:22" s="1" customFormat="1" x14ac:dyDescent="0.2">
      <c r="J593"/>
      <c r="K593"/>
      <c r="L593"/>
      <c r="M593"/>
      <c r="N593" s="2"/>
      <c r="R593"/>
      <c r="S593"/>
      <c r="T593"/>
      <c r="U593"/>
      <c r="V593"/>
    </row>
    <row r="594" spans="10:22" s="1" customFormat="1" x14ac:dyDescent="0.2">
      <c r="J594"/>
      <c r="K594"/>
      <c r="L594"/>
      <c r="M594"/>
      <c r="N594" s="2"/>
      <c r="R594"/>
      <c r="S594"/>
      <c r="T594"/>
      <c r="U594"/>
      <c r="V594"/>
    </row>
    <row r="595" spans="10:22" s="1" customFormat="1" x14ac:dyDescent="0.2">
      <c r="J595"/>
      <c r="K595"/>
      <c r="L595"/>
      <c r="M595"/>
      <c r="N595" s="2"/>
      <c r="R595"/>
      <c r="S595"/>
      <c r="T595"/>
      <c r="U595"/>
      <c r="V595"/>
    </row>
    <row r="596" spans="10:22" s="1" customFormat="1" x14ac:dyDescent="0.2">
      <c r="J596"/>
      <c r="K596"/>
      <c r="L596"/>
      <c r="M596"/>
      <c r="N596" s="2"/>
      <c r="R596"/>
      <c r="S596"/>
      <c r="T596"/>
      <c r="U596"/>
      <c r="V596"/>
    </row>
    <row r="597" spans="10:22" s="1" customFormat="1" x14ac:dyDescent="0.2">
      <c r="J597"/>
      <c r="K597"/>
      <c r="L597"/>
      <c r="M597"/>
      <c r="N597" s="2"/>
      <c r="R597"/>
      <c r="S597"/>
      <c r="T597"/>
      <c r="U597"/>
      <c r="V597"/>
    </row>
    <row r="598" spans="10:22" s="1" customFormat="1" x14ac:dyDescent="0.2">
      <c r="J598"/>
      <c r="K598"/>
      <c r="L598"/>
      <c r="M598"/>
      <c r="N598" s="2"/>
      <c r="R598"/>
      <c r="S598"/>
      <c r="T598"/>
      <c r="U598"/>
      <c r="V598"/>
    </row>
    <row r="599" spans="10:22" s="1" customFormat="1" x14ac:dyDescent="0.2">
      <c r="J599"/>
      <c r="K599"/>
      <c r="L599"/>
      <c r="M599"/>
      <c r="N599" s="2"/>
      <c r="R599"/>
      <c r="S599"/>
      <c r="T599"/>
      <c r="U599"/>
      <c r="V599"/>
    </row>
    <row r="600" spans="10:22" s="1" customFormat="1" x14ac:dyDescent="0.2">
      <c r="J600"/>
      <c r="K600"/>
      <c r="L600"/>
      <c r="M600"/>
      <c r="N600" s="2"/>
      <c r="R600"/>
      <c r="S600"/>
      <c r="T600"/>
      <c r="U600"/>
      <c r="V600"/>
    </row>
    <row r="601" spans="10:22" s="1" customFormat="1" x14ac:dyDescent="0.2">
      <c r="J601"/>
      <c r="K601"/>
      <c r="L601"/>
      <c r="M601"/>
      <c r="N601" s="2"/>
      <c r="R601"/>
      <c r="S601"/>
      <c r="T601"/>
      <c r="U601"/>
      <c r="V601"/>
    </row>
    <row r="602" spans="10:22" s="1" customFormat="1" x14ac:dyDescent="0.2">
      <c r="J602"/>
      <c r="K602"/>
      <c r="L602"/>
      <c r="M602"/>
      <c r="N602" s="2"/>
      <c r="R602"/>
      <c r="S602"/>
      <c r="T602"/>
      <c r="U602"/>
      <c r="V602"/>
    </row>
    <row r="603" spans="10:22" s="1" customFormat="1" x14ac:dyDescent="0.2">
      <c r="J603"/>
      <c r="K603"/>
      <c r="L603"/>
      <c r="M603"/>
      <c r="N603" s="2"/>
      <c r="R603"/>
      <c r="S603"/>
      <c r="T603"/>
      <c r="U603"/>
      <c r="V603"/>
    </row>
    <row r="604" spans="10:22" s="1" customFormat="1" x14ac:dyDescent="0.2">
      <c r="J604"/>
      <c r="K604"/>
      <c r="L604"/>
      <c r="M604"/>
      <c r="N604" s="2"/>
      <c r="R604"/>
      <c r="S604"/>
      <c r="T604"/>
      <c r="U604"/>
      <c r="V604"/>
    </row>
    <row r="605" spans="10:22" s="1" customFormat="1" x14ac:dyDescent="0.2">
      <c r="J605"/>
      <c r="K605"/>
      <c r="L605"/>
      <c r="M605"/>
      <c r="N605" s="2"/>
      <c r="R605"/>
      <c r="S605"/>
      <c r="T605"/>
      <c r="U605"/>
      <c r="V605"/>
    </row>
    <row r="606" spans="10:22" s="1" customFormat="1" x14ac:dyDescent="0.2">
      <c r="J606"/>
      <c r="K606"/>
      <c r="L606"/>
      <c r="M606"/>
      <c r="N606" s="2"/>
      <c r="R606"/>
      <c r="S606"/>
      <c r="T606"/>
      <c r="U606"/>
      <c r="V606"/>
    </row>
    <row r="607" spans="10:22" s="1" customFormat="1" x14ac:dyDescent="0.2">
      <c r="J607"/>
      <c r="K607"/>
      <c r="L607"/>
      <c r="M607"/>
      <c r="N607" s="2"/>
      <c r="R607"/>
      <c r="S607"/>
      <c r="T607"/>
      <c r="U607"/>
      <c r="V607"/>
    </row>
    <row r="608" spans="10:22" s="1" customFormat="1" x14ac:dyDescent="0.2">
      <c r="J608"/>
      <c r="K608"/>
      <c r="L608"/>
      <c r="M608"/>
      <c r="N608" s="2"/>
      <c r="R608"/>
      <c r="S608"/>
      <c r="T608"/>
      <c r="U608"/>
      <c r="V608"/>
    </row>
    <row r="609" spans="10:22" s="1" customFormat="1" x14ac:dyDescent="0.2">
      <c r="J609"/>
      <c r="K609"/>
      <c r="L609"/>
      <c r="M609"/>
      <c r="N609" s="2"/>
      <c r="R609"/>
      <c r="S609"/>
      <c r="T609"/>
      <c r="U609"/>
      <c r="V609"/>
    </row>
    <row r="610" spans="10:22" s="1" customFormat="1" x14ac:dyDescent="0.2">
      <c r="J610"/>
      <c r="K610"/>
      <c r="L610"/>
      <c r="M610"/>
      <c r="N610" s="2"/>
      <c r="R610"/>
      <c r="S610"/>
      <c r="T610"/>
      <c r="U610"/>
      <c r="V610"/>
    </row>
    <row r="611" spans="10:22" s="1" customFormat="1" x14ac:dyDescent="0.2">
      <c r="J611"/>
      <c r="K611"/>
      <c r="L611"/>
      <c r="M611"/>
      <c r="N611" s="2"/>
      <c r="R611"/>
      <c r="S611"/>
      <c r="T611"/>
      <c r="U611"/>
      <c r="V611"/>
    </row>
    <row r="612" spans="10:22" s="1" customFormat="1" x14ac:dyDescent="0.2">
      <c r="J612"/>
      <c r="K612"/>
      <c r="L612"/>
      <c r="M612"/>
      <c r="N612" s="2"/>
      <c r="R612"/>
      <c r="S612"/>
      <c r="T612"/>
      <c r="U612"/>
      <c r="V612"/>
    </row>
    <row r="613" spans="10:22" s="1" customFormat="1" x14ac:dyDescent="0.2">
      <c r="J613"/>
      <c r="K613"/>
      <c r="L613"/>
      <c r="M613"/>
      <c r="N613" s="2"/>
      <c r="R613"/>
      <c r="S613"/>
      <c r="T613"/>
      <c r="U613"/>
      <c r="V613"/>
    </row>
    <row r="614" spans="10:22" s="1" customFormat="1" x14ac:dyDescent="0.2">
      <c r="J614"/>
      <c r="K614"/>
      <c r="L614"/>
      <c r="M614"/>
      <c r="N614" s="2"/>
      <c r="R614"/>
      <c r="S614"/>
      <c r="T614"/>
      <c r="U614"/>
      <c r="V614"/>
    </row>
    <row r="615" spans="10:22" s="1" customFormat="1" x14ac:dyDescent="0.2">
      <c r="J615"/>
      <c r="K615"/>
      <c r="L615"/>
      <c r="M615"/>
      <c r="N615" s="2"/>
      <c r="R615"/>
      <c r="S615"/>
      <c r="T615"/>
      <c r="U615"/>
      <c r="V615"/>
    </row>
    <row r="616" spans="10:22" s="1" customFormat="1" x14ac:dyDescent="0.2">
      <c r="J616"/>
      <c r="K616"/>
      <c r="L616"/>
      <c r="M616"/>
      <c r="N616" s="2"/>
      <c r="R616"/>
      <c r="S616"/>
      <c r="T616"/>
      <c r="U616"/>
      <c r="V616"/>
    </row>
    <row r="617" spans="10:22" s="1" customFormat="1" x14ac:dyDescent="0.2">
      <c r="J617"/>
      <c r="K617"/>
      <c r="L617"/>
      <c r="M617"/>
      <c r="N617" s="2"/>
      <c r="R617"/>
      <c r="S617"/>
      <c r="T617"/>
      <c r="U617"/>
      <c r="V617"/>
    </row>
    <row r="618" spans="10:22" s="1" customFormat="1" x14ac:dyDescent="0.2">
      <c r="J618"/>
      <c r="K618"/>
      <c r="L618"/>
      <c r="M618"/>
      <c r="N618" s="2"/>
      <c r="R618"/>
      <c r="S618"/>
      <c r="T618"/>
      <c r="U618"/>
      <c r="V618"/>
    </row>
    <row r="619" spans="10:22" s="1" customFormat="1" x14ac:dyDescent="0.2">
      <c r="J619"/>
      <c r="K619"/>
      <c r="L619"/>
      <c r="M619"/>
      <c r="N619" s="2"/>
      <c r="R619"/>
      <c r="S619"/>
      <c r="T619"/>
      <c r="U619"/>
      <c r="V619"/>
    </row>
    <row r="620" spans="10:22" s="1" customFormat="1" x14ac:dyDescent="0.2">
      <c r="J620"/>
      <c r="K620"/>
      <c r="L620"/>
      <c r="M620"/>
      <c r="N620" s="2"/>
      <c r="R620"/>
      <c r="S620"/>
      <c r="T620"/>
      <c r="U620"/>
      <c r="V620"/>
    </row>
    <row r="621" spans="10:22" s="1" customFormat="1" x14ac:dyDescent="0.2">
      <c r="J621"/>
      <c r="K621"/>
      <c r="L621"/>
      <c r="M621"/>
      <c r="N621" s="2"/>
      <c r="R621"/>
      <c r="S621"/>
      <c r="T621"/>
      <c r="U621"/>
      <c r="V621"/>
    </row>
    <row r="622" spans="10:22" s="1" customFormat="1" x14ac:dyDescent="0.2">
      <c r="J622"/>
      <c r="K622"/>
      <c r="L622"/>
      <c r="M622"/>
      <c r="N622" s="2"/>
      <c r="R622"/>
      <c r="S622"/>
      <c r="T622"/>
      <c r="U622"/>
      <c r="V622"/>
    </row>
    <row r="623" spans="10:22" s="1" customFormat="1" x14ac:dyDescent="0.2">
      <c r="J623"/>
      <c r="K623"/>
      <c r="L623"/>
      <c r="M623"/>
      <c r="N623" s="2"/>
      <c r="R623"/>
      <c r="S623"/>
      <c r="T623"/>
      <c r="U623"/>
      <c r="V623"/>
    </row>
    <row r="624" spans="10:22" s="1" customFormat="1" x14ac:dyDescent="0.2">
      <c r="J624"/>
      <c r="K624"/>
      <c r="L624"/>
      <c r="M624"/>
      <c r="N624" s="2"/>
      <c r="R624"/>
      <c r="S624"/>
      <c r="T624"/>
      <c r="U624"/>
      <c r="V624"/>
    </row>
    <row r="625" spans="10:22" s="1" customFormat="1" x14ac:dyDescent="0.2">
      <c r="J625"/>
      <c r="K625"/>
      <c r="L625"/>
      <c r="M625"/>
      <c r="N625" s="2"/>
      <c r="R625"/>
      <c r="S625"/>
      <c r="T625"/>
      <c r="U625"/>
      <c r="V625"/>
    </row>
    <row r="626" spans="10:22" s="1" customFormat="1" x14ac:dyDescent="0.2">
      <c r="J626"/>
      <c r="K626"/>
      <c r="L626"/>
      <c r="M626"/>
      <c r="N626" s="2"/>
      <c r="R626"/>
      <c r="S626"/>
      <c r="T626"/>
      <c r="U626"/>
      <c r="V626"/>
    </row>
    <row r="627" spans="10:22" s="1" customFormat="1" x14ac:dyDescent="0.2">
      <c r="J627"/>
      <c r="K627"/>
      <c r="L627"/>
      <c r="M627"/>
      <c r="N627" s="2"/>
      <c r="R627"/>
      <c r="S627"/>
      <c r="T627"/>
      <c r="U627"/>
      <c r="V627"/>
    </row>
    <row r="628" spans="10:22" s="1" customFormat="1" x14ac:dyDescent="0.2">
      <c r="J628"/>
      <c r="K628"/>
      <c r="L628"/>
      <c r="M628"/>
      <c r="N628" s="2"/>
      <c r="R628"/>
      <c r="S628"/>
      <c r="T628"/>
      <c r="U628"/>
      <c r="V628"/>
    </row>
    <row r="629" spans="10:22" s="1" customFormat="1" x14ac:dyDescent="0.2">
      <c r="J629"/>
      <c r="K629"/>
      <c r="L629"/>
      <c r="M629"/>
      <c r="N629" s="2"/>
      <c r="R629"/>
      <c r="S629"/>
      <c r="T629"/>
      <c r="U629"/>
      <c r="V629"/>
    </row>
    <row r="630" spans="10:22" s="1" customFormat="1" x14ac:dyDescent="0.2">
      <c r="J630"/>
      <c r="K630"/>
      <c r="L630"/>
      <c r="M630"/>
      <c r="N630" s="2"/>
      <c r="R630"/>
      <c r="S630"/>
      <c r="T630"/>
      <c r="U630"/>
      <c r="V630"/>
    </row>
    <row r="631" spans="10:22" s="1" customFormat="1" x14ac:dyDescent="0.2">
      <c r="J631"/>
      <c r="K631"/>
      <c r="L631"/>
      <c r="M631"/>
      <c r="N631" s="2"/>
      <c r="R631"/>
      <c r="S631"/>
      <c r="T631"/>
      <c r="U631"/>
      <c r="V631"/>
    </row>
    <row r="632" spans="10:22" s="1" customFormat="1" x14ac:dyDescent="0.2">
      <c r="J632"/>
      <c r="K632"/>
      <c r="L632"/>
      <c r="M632"/>
      <c r="N632" s="2"/>
      <c r="R632"/>
      <c r="S632"/>
      <c r="T632"/>
      <c r="U632"/>
      <c r="V632"/>
    </row>
    <row r="633" spans="10:22" s="1" customFormat="1" x14ac:dyDescent="0.2">
      <c r="J633"/>
      <c r="K633"/>
      <c r="L633"/>
      <c r="M633"/>
      <c r="N633" s="2"/>
      <c r="R633"/>
      <c r="S633"/>
      <c r="T633"/>
      <c r="U633"/>
      <c r="V633"/>
    </row>
    <row r="634" spans="10:22" s="1" customFormat="1" x14ac:dyDescent="0.2">
      <c r="J634"/>
      <c r="K634"/>
      <c r="L634"/>
      <c r="M634"/>
      <c r="N634" s="2"/>
      <c r="R634"/>
      <c r="S634"/>
      <c r="T634"/>
      <c r="U634"/>
      <c r="V634"/>
    </row>
    <row r="635" spans="10:22" s="1" customFormat="1" x14ac:dyDescent="0.2">
      <c r="J635"/>
      <c r="K635"/>
      <c r="L635"/>
      <c r="M635"/>
      <c r="N635" s="2"/>
      <c r="R635"/>
      <c r="S635"/>
      <c r="T635"/>
      <c r="U635"/>
      <c r="V635"/>
    </row>
    <row r="636" spans="10:22" s="1" customFormat="1" x14ac:dyDescent="0.2">
      <c r="J636"/>
      <c r="K636"/>
      <c r="L636"/>
      <c r="M636"/>
      <c r="N636" s="2"/>
      <c r="R636"/>
      <c r="S636"/>
      <c r="T636"/>
      <c r="U636"/>
      <c r="V636"/>
    </row>
    <row r="637" spans="10:22" s="1" customFormat="1" x14ac:dyDescent="0.2">
      <c r="J637"/>
      <c r="K637"/>
      <c r="L637"/>
      <c r="M637"/>
      <c r="N637" s="2"/>
      <c r="R637"/>
      <c r="S637"/>
      <c r="T637"/>
      <c r="U637"/>
      <c r="V637"/>
    </row>
    <row r="638" spans="10:22" s="1" customFormat="1" x14ac:dyDescent="0.2">
      <c r="J638"/>
      <c r="K638"/>
      <c r="L638"/>
      <c r="M638"/>
      <c r="N638" s="2"/>
      <c r="R638"/>
      <c r="S638"/>
      <c r="T638"/>
      <c r="U638"/>
      <c r="V638"/>
    </row>
    <row r="639" spans="10:22" s="1" customFormat="1" x14ac:dyDescent="0.2">
      <c r="J639"/>
      <c r="K639"/>
      <c r="L639"/>
      <c r="M639"/>
      <c r="N639" s="2"/>
      <c r="R639"/>
      <c r="S639"/>
      <c r="T639"/>
      <c r="U639"/>
      <c r="V639"/>
    </row>
    <row r="640" spans="10:22" s="1" customFormat="1" x14ac:dyDescent="0.2">
      <c r="J640"/>
      <c r="K640"/>
      <c r="L640"/>
      <c r="M640"/>
      <c r="N640" s="2"/>
      <c r="R640"/>
      <c r="S640"/>
      <c r="T640"/>
      <c r="U640"/>
      <c r="V640"/>
    </row>
    <row r="641" spans="10:22" s="1" customFormat="1" x14ac:dyDescent="0.2">
      <c r="J641"/>
      <c r="K641"/>
      <c r="L641"/>
      <c r="M641"/>
      <c r="N641" s="2"/>
      <c r="R641"/>
      <c r="S641"/>
      <c r="T641"/>
      <c r="U641"/>
      <c r="V641"/>
    </row>
    <row r="642" spans="10:22" s="1" customFormat="1" x14ac:dyDescent="0.2">
      <c r="J642"/>
      <c r="K642"/>
      <c r="L642"/>
      <c r="M642"/>
      <c r="N642" s="2"/>
      <c r="R642"/>
      <c r="S642"/>
      <c r="T642"/>
      <c r="U642"/>
      <c r="V642"/>
    </row>
    <row r="643" spans="10:22" s="1" customFormat="1" x14ac:dyDescent="0.2">
      <c r="J643"/>
      <c r="K643"/>
      <c r="L643"/>
      <c r="M643"/>
      <c r="N643" s="2"/>
      <c r="R643"/>
      <c r="S643"/>
      <c r="T643"/>
      <c r="U643"/>
      <c r="V643"/>
    </row>
    <row r="644" spans="10:22" s="1" customFormat="1" x14ac:dyDescent="0.2">
      <c r="J644"/>
      <c r="K644"/>
      <c r="L644"/>
      <c r="M644"/>
      <c r="N644" s="2"/>
      <c r="R644"/>
      <c r="S644"/>
      <c r="T644"/>
      <c r="U644"/>
      <c r="V644"/>
    </row>
    <row r="645" spans="10:22" s="1" customFormat="1" x14ac:dyDescent="0.2">
      <c r="J645"/>
      <c r="K645"/>
      <c r="L645"/>
      <c r="M645"/>
      <c r="N645" s="2"/>
      <c r="R645"/>
      <c r="S645"/>
      <c r="T645"/>
      <c r="U645"/>
      <c r="V645"/>
    </row>
    <row r="646" spans="10:22" s="1" customFormat="1" x14ac:dyDescent="0.2">
      <c r="J646"/>
      <c r="K646"/>
      <c r="L646"/>
      <c r="M646"/>
      <c r="N646" s="2"/>
      <c r="R646"/>
      <c r="S646"/>
      <c r="T646"/>
      <c r="U646"/>
      <c r="V646"/>
    </row>
    <row r="647" spans="10:22" s="1" customFormat="1" x14ac:dyDescent="0.2">
      <c r="J647"/>
      <c r="K647"/>
      <c r="L647"/>
      <c r="M647"/>
      <c r="N647" s="2"/>
      <c r="R647"/>
      <c r="S647"/>
      <c r="T647"/>
      <c r="U647"/>
      <c r="V647"/>
    </row>
    <row r="648" spans="10:22" s="1" customFormat="1" x14ac:dyDescent="0.2">
      <c r="J648"/>
      <c r="K648"/>
      <c r="L648"/>
      <c r="M648"/>
      <c r="N648" s="2"/>
      <c r="R648"/>
      <c r="S648"/>
      <c r="T648"/>
      <c r="U648"/>
      <c r="V648"/>
    </row>
    <row r="649" spans="10:22" s="1" customFormat="1" x14ac:dyDescent="0.2">
      <c r="J649"/>
      <c r="K649"/>
      <c r="L649"/>
      <c r="M649"/>
      <c r="N649" s="2"/>
      <c r="R649"/>
      <c r="S649"/>
      <c r="T649"/>
      <c r="U649"/>
      <c r="V649"/>
    </row>
    <row r="650" spans="10:22" s="1" customFormat="1" x14ac:dyDescent="0.2">
      <c r="J650"/>
      <c r="K650"/>
      <c r="L650"/>
      <c r="M650"/>
      <c r="N650" s="2"/>
      <c r="R650"/>
      <c r="S650"/>
      <c r="T650"/>
      <c r="U650"/>
      <c r="V650"/>
    </row>
    <row r="651" spans="10:22" s="1" customFormat="1" x14ac:dyDescent="0.2">
      <c r="J651"/>
      <c r="K651"/>
      <c r="L651"/>
      <c r="M651"/>
      <c r="N651" s="2"/>
      <c r="R651"/>
      <c r="S651"/>
      <c r="T651"/>
      <c r="U651"/>
      <c r="V651"/>
    </row>
    <row r="652" spans="10:22" s="1" customFormat="1" x14ac:dyDescent="0.2">
      <c r="J652"/>
      <c r="K652"/>
      <c r="L652"/>
      <c r="M652"/>
      <c r="N652" s="2"/>
      <c r="R652"/>
      <c r="S652"/>
      <c r="T652"/>
      <c r="U652"/>
      <c r="V652"/>
    </row>
    <row r="653" spans="10:22" s="1" customFormat="1" x14ac:dyDescent="0.2">
      <c r="J653"/>
      <c r="K653"/>
      <c r="L653"/>
      <c r="M653"/>
      <c r="N653" s="2"/>
      <c r="R653"/>
      <c r="S653"/>
      <c r="T653"/>
      <c r="U653"/>
      <c r="V653"/>
    </row>
    <row r="654" spans="10:22" s="1" customFormat="1" x14ac:dyDescent="0.2">
      <c r="J654"/>
      <c r="K654"/>
      <c r="L654"/>
      <c r="M654"/>
      <c r="N654" s="2"/>
      <c r="R654"/>
      <c r="S654"/>
      <c r="T654"/>
      <c r="U654"/>
      <c r="V654"/>
    </row>
    <row r="655" spans="10:22" s="1" customFormat="1" x14ac:dyDescent="0.2">
      <c r="J655"/>
      <c r="K655"/>
      <c r="L655"/>
      <c r="M655"/>
      <c r="N655" s="2"/>
      <c r="R655"/>
      <c r="S655"/>
      <c r="T655"/>
      <c r="U655"/>
      <c r="V655"/>
    </row>
    <row r="656" spans="10:22" s="1" customFormat="1" x14ac:dyDescent="0.2">
      <c r="J656"/>
      <c r="K656"/>
      <c r="L656"/>
      <c r="M656"/>
      <c r="N656" s="2"/>
      <c r="R656"/>
      <c r="S656"/>
      <c r="T656"/>
      <c r="U656"/>
      <c r="V656"/>
    </row>
    <row r="657" spans="10:22" s="1" customFormat="1" x14ac:dyDescent="0.2">
      <c r="J657"/>
      <c r="K657"/>
      <c r="L657"/>
      <c r="M657"/>
      <c r="N657" s="2"/>
      <c r="R657"/>
      <c r="S657"/>
      <c r="T657"/>
      <c r="U657"/>
      <c r="V657"/>
    </row>
    <row r="658" spans="10:22" s="1" customFormat="1" x14ac:dyDescent="0.2">
      <c r="J658"/>
      <c r="K658"/>
      <c r="L658"/>
      <c r="M658"/>
      <c r="N658" s="2"/>
      <c r="R658"/>
      <c r="S658"/>
      <c r="T658"/>
      <c r="U658"/>
      <c r="V658"/>
    </row>
    <row r="659" spans="10:22" s="1" customFormat="1" x14ac:dyDescent="0.2">
      <c r="J659"/>
      <c r="K659"/>
      <c r="L659"/>
      <c r="M659"/>
      <c r="N659" s="2"/>
      <c r="R659"/>
      <c r="S659"/>
      <c r="T659"/>
      <c r="U659"/>
      <c r="V659"/>
    </row>
    <row r="660" spans="10:22" s="1" customFormat="1" x14ac:dyDescent="0.2">
      <c r="J660"/>
      <c r="K660"/>
      <c r="L660"/>
      <c r="M660"/>
      <c r="N660" s="2"/>
      <c r="R660"/>
      <c r="S660"/>
      <c r="T660"/>
      <c r="U660"/>
      <c r="V660"/>
    </row>
    <row r="661" spans="10:22" s="1" customFormat="1" x14ac:dyDescent="0.2">
      <c r="J661"/>
      <c r="K661"/>
      <c r="L661"/>
      <c r="M661"/>
      <c r="N661" s="2"/>
      <c r="R661"/>
      <c r="S661"/>
      <c r="T661"/>
      <c r="U661"/>
      <c r="V661"/>
    </row>
    <row r="662" spans="10:22" s="1" customFormat="1" x14ac:dyDescent="0.2">
      <c r="J662"/>
      <c r="K662"/>
      <c r="L662"/>
      <c r="M662"/>
      <c r="N662" s="2"/>
      <c r="R662"/>
      <c r="S662"/>
      <c r="T662"/>
      <c r="U662"/>
      <c r="V662"/>
    </row>
    <row r="663" spans="10:22" s="1" customFormat="1" x14ac:dyDescent="0.2">
      <c r="J663"/>
      <c r="K663"/>
      <c r="L663"/>
      <c r="M663"/>
      <c r="N663" s="2"/>
      <c r="R663"/>
      <c r="S663"/>
      <c r="T663"/>
      <c r="U663"/>
      <c r="V663"/>
    </row>
    <row r="664" spans="10:22" s="1" customFormat="1" x14ac:dyDescent="0.2">
      <c r="J664"/>
      <c r="K664"/>
      <c r="L664"/>
      <c r="M664"/>
      <c r="N664" s="2"/>
      <c r="R664"/>
      <c r="S664"/>
      <c r="T664"/>
      <c r="U664"/>
      <c r="V664"/>
    </row>
    <row r="665" spans="10:22" s="1" customFormat="1" x14ac:dyDescent="0.2">
      <c r="J665"/>
      <c r="K665"/>
      <c r="L665"/>
      <c r="M665"/>
      <c r="N665" s="2"/>
      <c r="R665"/>
      <c r="S665"/>
      <c r="T665"/>
      <c r="U665"/>
      <c r="V665"/>
    </row>
    <row r="666" spans="10:22" s="1" customFormat="1" x14ac:dyDescent="0.2">
      <c r="J666"/>
      <c r="K666"/>
      <c r="L666"/>
      <c r="M666"/>
      <c r="N666" s="2"/>
      <c r="R666"/>
      <c r="S666"/>
      <c r="T666"/>
      <c r="U666"/>
      <c r="V666"/>
    </row>
    <row r="667" spans="10:22" s="1" customFormat="1" x14ac:dyDescent="0.2">
      <c r="J667"/>
      <c r="K667"/>
      <c r="L667"/>
      <c r="M667"/>
      <c r="N667" s="2"/>
      <c r="R667"/>
      <c r="S667"/>
      <c r="T667"/>
      <c r="U667"/>
      <c r="V667"/>
    </row>
    <row r="668" spans="10:22" s="1" customFormat="1" x14ac:dyDescent="0.2">
      <c r="J668"/>
      <c r="K668"/>
      <c r="L668"/>
      <c r="M668"/>
      <c r="N668" s="2"/>
      <c r="R668"/>
      <c r="S668"/>
      <c r="T668"/>
      <c r="U668"/>
      <c r="V668"/>
    </row>
    <row r="669" spans="10:22" s="1" customFormat="1" x14ac:dyDescent="0.2">
      <c r="J669"/>
      <c r="K669"/>
      <c r="L669"/>
      <c r="M669"/>
      <c r="N669" s="2"/>
      <c r="R669"/>
      <c r="S669"/>
      <c r="T669"/>
      <c r="U669"/>
      <c r="V669"/>
    </row>
    <row r="670" spans="10:22" s="1" customFormat="1" x14ac:dyDescent="0.2">
      <c r="J670"/>
      <c r="K670"/>
      <c r="L670"/>
      <c r="M670"/>
      <c r="N670" s="2"/>
      <c r="R670"/>
      <c r="S670"/>
      <c r="T670"/>
      <c r="U670"/>
      <c r="V670"/>
    </row>
    <row r="671" spans="10:22" s="1" customFormat="1" x14ac:dyDescent="0.2">
      <c r="J671"/>
      <c r="K671"/>
      <c r="L671"/>
      <c r="M671"/>
      <c r="N671" s="2"/>
      <c r="R671"/>
      <c r="S671"/>
      <c r="T671"/>
      <c r="U671"/>
      <c r="V671"/>
    </row>
    <row r="672" spans="10:22" s="1" customFormat="1" x14ac:dyDescent="0.2">
      <c r="J672"/>
      <c r="K672"/>
      <c r="L672"/>
      <c r="M672"/>
      <c r="N672" s="2"/>
      <c r="R672"/>
      <c r="S672"/>
      <c r="T672"/>
      <c r="U672"/>
      <c r="V672"/>
    </row>
    <row r="673" spans="10:22" s="1" customFormat="1" x14ac:dyDescent="0.2">
      <c r="J673"/>
      <c r="K673"/>
      <c r="L673"/>
      <c r="M673"/>
      <c r="N673" s="2"/>
      <c r="R673"/>
      <c r="S673"/>
      <c r="T673"/>
      <c r="U673"/>
      <c r="V673"/>
    </row>
    <row r="674" spans="10:22" s="1" customFormat="1" x14ac:dyDescent="0.2">
      <c r="J674"/>
      <c r="K674"/>
      <c r="L674"/>
      <c r="M674"/>
      <c r="N674" s="2"/>
      <c r="R674"/>
      <c r="S674"/>
      <c r="T674"/>
      <c r="U674"/>
      <c r="V674"/>
    </row>
    <row r="675" spans="10:22" s="1" customFormat="1" x14ac:dyDescent="0.2">
      <c r="J675"/>
      <c r="K675"/>
      <c r="L675"/>
      <c r="M675"/>
      <c r="N675" s="2"/>
      <c r="R675"/>
      <c r="S675"/>
      <c r="T675"/>
      <c r="U675"/>
      <c r="V675"/>
    </row>
    <row r="676" spans="10:22" s="1" customFormat="1" x14ac:dyDescent="0.2">
      <c r="J676"/>
      <c r="K676"/>
      <c r="L676"/>
      <c r="M676"/>
      <c r="N676" s="2"/>
      <c r="R676"/>
      <c r="S676"/>
      <c r="T676"/>
      <c r="U676"/>
      <c r="V676"/>
    </row>
    <row r="677" spans="10:22" s="1" customFormat="1" x14ac:dyDescent="0.2">
      <c r="J677"/>
      <c r="K677"/>
      <c r="L677"/>
      <c r="M677"/>
      <c r="N677" s="2"/>
      <c r="R677"/>
      <c r="S677"/>
      <c r="T677"/>
      <c r="U677"/>
      <c r="V677"/>
    </row>
    <row r="678" spans="10:22" s="1" customFormat="1" x14ac:dyDescent="0.2">
      <c r="J678"/>
      <c r="K678"/>
      <c r="L678"/>
      <c r="M678"/>
      <c r="N678" s="2"/>
      <c r="R678"/>
      <c r="S678"/>
      <c r="T678"/>
      <c r="U678"/>
      <c r="V678"/>
    </row>
    <row r="679" spans="10:22" s="1" customFormat="1" x14ac:dyDescent="0.2">
      <c r="J679"/>
      <c r="K679"/>
      <c r="L679"/>
      <c r="M679"/>
      <c r="N679" s="2"/>
      <c r="R679"/>
      <c r="S679"/>
      <c r="T679"/>
      <c r="U679"/>
      <c r="V679"/>
    </row>
    <row r="680" spans="10:22" s="1" customFormat="1" x14ac:dyDescent="0.2">
      <c r="J680"/>
      <c r="K680"/>
      <c r="L680"/>
      <c r="M680"/>
      <c r="N680" s="2"/>
      <c r="R680"/>
      <c r="S680"/>
      <c r="T680"/>
      <c r="U680"/>
      <c r="V680"/>
    </row>
    <row r="681" spans="10:22" s="1" customFormat="1" x14ac:dyDescent="0.2">
      <c r="J681"/>
      <c r="K681"/>
      <c r="L681"/>
      <c r="M681"/>
      <c r="N681" s="2"/>
      <c r="R681"/>
      <c r="S681"/>
      <c r="T681"/>
      <c r="U681"/>
      <c r="V681"/>
    </row>
    <row r="682" spans="10:22" s="1" customFormat="1" x14ac:dyDescent="0.2">
      <c r="J682"/>
      <c r="K682"/>
      <c r="L682"/>
      <c r="M682"/>
      <c r="N682" s="2"/>
      <c r="R682"/>
      <c r="S682"/>
      <c r="T682"/>
      <c r="U682"/>
      <c r="V682"/>
    </row>
    <row r="683" spans="10:22" s="1" customFormat="1" x14ac:dyDescent="0.2">
      <c r="J683"/>
      <c r="K683"/>
      <c r="L683"/>
      <c r="M683"/>
      <c r="N683" s="2"/>
      <c r="R683"/>
      <c r="S683"/>
      <c r="T683"/>
      <c r="U683"/>
      <c r="V683"/>
    </row>
    <row r="684" spans="10:22" s="1" customFormat="1" x14ac:dyDescent="0.2">
      <c r="J684"/>
      <c r="K684"/>
      <c r="L684"/>
      <c r="M684"/>
      <c r="N684" s="2"/>
      <c r="R684"/>
      <c r="S684"/>
      <c r="T684"/>
      <c r="U684"/>
      <c r="V684"/>
    </row>
    <row r="685" spans="10:22" s="1" customFormat="1" x14ac:dyDescent="0.2">
      <c r="J685"/>
      <c r="K685"/>
      <c r="L685"/>
      <c r="M685"/>
      <c r="N685" s="2"/>
      <c r="R685"/>
      <c r="S685"/>
      <c r="T685"/>
      <c r="U685"/>
      <c r="V685"/>
    </row>
    <row r="686" spans="10:22" s="1" customFormat="1" x14ac:dyDescent="0.2">
      <c r="J686"/>
      <c r="K686"/>
      <c r="L686"/>
      <c r="M686"/>
      <c r="N686" s="2"/>
      <c r="R686"/>
      <c r="S686"/>
      <c r="T686"/>
      <c r="U686"/>
      <c r="V686"/>
    </row>
    <row r="687" spans="10:22" s="1" customFormat="1" x14ac:dyDescent="0.2">
      <c r="J687"/>
      <c r="K687"/>
      <c r="L687"/>
      <c r="M687"/>
      <c r="N687" s="2"/>
      <c r="R687"/>
      <c r="S687"/>
      <c r="T687"/>
      <c r="U687"/>
      <c r="V687"/>
    </row>
    <row r="688" spans="10:22" s="1" customFormat="1" x14ac:dyDescent="0.2">
      <c r="J688"/>
      <c r="K688"/>
      <c r="L688"/>
      <c r="M688"/>
      <c r="N688" s="2"/>
      <c r="R688"/>
      <c r="S688"/>
      <c r="T688"/>
      <c r="U688"/>
      <c r="V688"/>
    </row>
    <row r="689" spans="10:22" s="1" customFormat="1" x14ac:dyDescent="0.2">
      <c r="J689"/>
      <c r="K689"/>
      <c r="L689"/>
      <c r="M689"/>
      <c r="N689" s="2"/>
      <c r="R689"/>
      <c r="S689"/>
      <c r="T689"/>
      <c r="U689"/>
      <c r="V689"/>
    </row>
    <row r="690" spans="10:22" s="1" customFormat="1" x14ac:dyDescent="0.2">
      <c r="J690"/>
      <c r="K690"/>
      <c r="L690"/>
      <c r="M690"/>
      <c r="N690" s="2"/>
      <c r="R690"/>
      <c r="S690"/>
      <c r="T690"/>
      <c r="U690"/>
      <c r="V690"/>
    </row>
    <row r="691" spans="10:22" s="1" customFormat="1" x14ac:dyDescent="0.2">
      <c r="J691"/>
      <c r="K691"/>
      <c r="L691"/>
      <c r="M691"/>
      <c r="N691" s="2"/>
      <c r="R691"/>
      <c r="S691"/>
      <c r="T691"/>
      <c r="U691"/>
      <c r="V691"/>
    </row>
    <row r="692" spans="10:22" s="1" customFormat="1" x14ac:dyDescent="0.2">
      <c r="J692"/>
      <c r="K692"/>
      <c r="L692"/>
      <c r="M692"/>
      <c r="N692" s="2"/>
      <c r="R692"/>
      <c r="S692"/>
      <c r="T692"/>
      <c r="U692"/>
      <c r="V692"/>
    </row>
    <row r="693" spans="10:22" s="1" customFormat="1" x14ac:dyDescent="0.2">
      <c r="J693"/>
      <c r="K693"/>
      <c r="L693"/>
      <c r="M693"/>
      <c r="N693" s="2"/>
      <c r="R693"/>
      <c r="S693"/>
      <c r="T693"/>
      <c r="U693"/>
      <c r="V693"/>
    </row>
    <row r="694" spans="10:22" s="1" customFormat="1" x14ac:dyDescent="0.2">
      <c r="J694"/>
      <c r="K694"/>
      <c r="L694"/>
      <c r="M694"/>
      <c r="N694" s="2"/>
      <c r="R694"/>
      <c r="S694"/>
      <c r="T694"/>
      <c r="U694"/>
      <c r="V694"/>
    </row>
    <row r="695" spans="10:22" s="1" customFormat="1" x14ac:dyDescent="0.2">
      <c r="J695"/>
      <c r="K695"/>
      <c r="L695"/>
      <c r="M695"/>
      <c r="N695" s="2"/>
      <c r="R695"/>
      <c r="S695"/>
      <c r="T695"/>
      <c r="U695"/>
      <c r="V695"/>
    </row>
    <row r="696" spans="10:22" s="1" customFormat="1" x14ac:dyDescent="0.2">
      <c r="J696"/>
      <c r="K696"/>
      <c r="L696"/>
      <c r="M696"/>
      <c r="N696" s="2"/>
      <c r="R696"/>
      <c r="S696"/>
      <c r="T696"/>
      <c r="U696"/>
      <c r="V696"/>
    </row>
    <row r="697" spans="10:22" s="1" customFormat="1" x14ac:dyDescent="0.2">
      <c r="J697"/>
      <c r="K697"/>
      <c r="L697"/>
      <c r="M697"/>
      <c r="N697" s="2"/>
      <c r="R697"/>
      <c r="S697"/>
      <c r="T697"/>
      <c r="U697"/>
      <c r="V697"/>
    </row>
    <row r="698" spans="10:22" s="1" customFormat="1" x14ac:dyDescent="0.2">
      <c r="J698"/>
      <c r="K698"/>
      <c r="L698"/>
      <c r="M698"/>
      <c r="N698" s="2"/>
      <c r="R698"/>
      <c r="S698"/>
      <c r="T698"/>
      <c r="U698"/>
      <c r="V698"/>
    </row>
    <row r="699" spans="10:22" s="1" customFormat="1" x14ac:dyDescent="0.2">
      <c r="J699"/>
      <c r="K699"/>
      <c r="L699"/>
      <c r="M699"/>
      <c r="N699" s="2"/>
      <c r="R699"/>
      <c r="S699"/>
      <c r="T699"/>
      <c r="U699"/>
      <c r="V699"/>
    </row>
    <row r="700" spans="10:22" s="1" customFormat="1" x14ac:dyDescent="0.2">
      <c r="J700"/>
      <c r="K700"/>
      <c r="L700"/>
      <c r="M700"/>
      <c r="N700" s="2"/>
      <c r="R700"/>
      <c r="S700"/>
      <c r="T700"/>
      <c r="U700"/>
      <c r="V700"/>
    </row>
    <row r="701" spans="10:22" s="1" customFormat="1" x14ac:dyDescent="0.2">
      <c r="J701"/>
      <c r="K701"/>
      <c r="L701"/>
      <c r="M701"/>
      <c r="N701" s="2"/>
      <c r="R701"/>
      <c r="S701"/>
      <c r="T701"/>
      <c r="U701"/>
      <c r="V701"/>
    </row>
    <row r="702" spans="10:22" s="1" customFormat="1" x14ac:dyDescent="0.2">
      <c r="J702"/>
      <c r="K702"/>
      <c r="L702"/>
      <c r="M702"/>
      <c r="N702" s="2"/>
      <c r="R702"/>
      <c r="S702"/>
      <c r="T702"/>
      <c r="U702"/>
      <c r="V702"/>
    </row>
    <row r="703" spans="10:22" s="1" customFormat="1" x14ac:dyDescent="0.2">
      <c r="J703"/>
      <c r="K703"/>
      <c r="L703"/>
      <c r="M703"/>
      <c r="N703" s="2"/>
      <c r="R703"/>
      <c r="S703"/>
      <c r="T703"/>
      <c r="U703"/>
      <c r="V703"/>
    </row>
    <row r="704" spans="10:22" s="1" customFormat="1" x14ac:dyDescent="0.2">
      <c r="J704"/>
      <c r="K704"/>
      <c r="L704"/>
      <c r="M704"/>
      <c r="N704" s="2"/>
      <c r="R704"/>
      <c r="S704"/>
      <c r="T704"/>
      <c r="U704"/>
      <c r="V704"/>
    </row>
    <row r="705" spans="10:22" s="1" customFormat="1" x14ac:dyDescent="0.2">
      <c r="J705"/>
      <c r="K705"/>
      <c r="L705"/>
      <c r="M705"/>
      <c r="N705" s="2"/>
      <c r="R705"/>
      <c r="S705"/>
      <c r="T705"/>
      <c r="U705"/>
      <c r="V705"/>
    </row>
    <row r="706" spans="10:22" s="1" customFormat="1" x14ac:dyDescent="0.2">
      <c r="J706"/>
      <c r="K706"/>
      <c r="L706"/>
      <c r="M706"/>
      <c r="N706" s="2"/>
      <c r="R706"/>
      <c r="S706"/>
      <c r="T706"/>
      <c r="U706"/>
      <c r="V706"/>
    </row>
    <row r="707" spans="10:22" s="1" customFormat="1" x14ac:dyDescent="0.2">
      <c r="J707"/>
      <c r="K707"/>
      <c r="L707"/>
      <c r="M707"/>
      <c r="N707" s="2"/>
      <c r="R707"/>
      <c r="S707"/>
      <c r="T707"/>
      <c r="U707"/>
      <c r="V707"/>
    </row>
    <row r="708" spans="10:22" s="1" customFormat="1" x14ac:dyDescent="0.2">
      <c r="J708"/>
      <c r="K708"/>
      <c r="L708"/>
      <c r="M708"/>
      <c r="N708" s="2"/>
      <c r="R708"/>
      <c r="S708"/>
      <c r="T708"/>
      <c r="U708"/>
      <c r="V708"/>
    </row>
    <row r="709" spans="10:22" s="1" customFormat="1" x14ac:dyDescent="0.2">
      <c r="J709"/>
      <c r="K709"/>
      <c r="L709"/>
      <c r="M709"/>
      <c r="N709" s="2"/>
      <c r="R709"/>
      <c r="S709"/>
      <c r="T709"/>
      <c r="U709"/>
      <c r="V709"/>
    </row>
    <row r="710" spans="10:22" s="1" customFormat="1" x14ac:dyDescent="0.2">
      <c r="J710"/>
      <c r="K710"/>
      <c r="L710"/>
      <c r="M710"/>
      <c r="N710" s="2"/>
      <c r="R710"/>
      <c r="S710"/>
      <c r="T710"/>
      <c r="U710"/>
      <c r="V710"/>
    </row>
    <row r="711" spans="10:22" s="1" customFormat="1" x14ac:dyDescent="0.2">
      <c r="J711"/>
      <c r="K711"/>
      <c r="L711"/>
      <c r="M711"/>
      <c r="N711" s="2"/>
      <c r="R711"/>
      <c r="S711"/>
      <c r="T711"/>
      <c r="U711"/>
      <c r="V711"/>
    </row>
    <row r="712" spans="10:22" s="1" customFormat="1" x14ac:dyDescent="0.2">
      <c r="J712"/>
      <c r="K712"/>
      <c r="L712"/>
      <c r="M712"/>
      <c r="N712" s="2"/>
      <c r="R712"/>
      <c r="S712"/>
      <c r="T712"/>
      <c r="U712"/>
      <c r="V712"/>
    </row>
    <row r="713" spans="10:22" s="1" customFormat="1" x14ac:dyDescent="0.2">
      <c r="J713"/>
      <c r="K713"/>
      <c r="L713"/>
      <c r="M713"/>
      <c r="N713" s="2"/>
      <c r="R713"/>
      <c r="S713"/>
      <c r="T713"/>
      <c r="U713"/>
      <c r="V713"/>
    </row>
    <row r="714" spans="10:22" s="1" customFormat="1" x14ac:dyDescent="0.2">
      <c r="J714"/>
      <c r="K714"/>
      <c r="L714"/>
      <c r="M714"/>
      <c r="N714" s="2"/>
      <c r="R714"/>
      <c r="S714"/>
      <c r="T714"/>
      <c r="U714"/>
      <c r="V714"/>
    </row>
    <row r="715" spans="10:22" s="1" customFormat="1" x14ac:dyDescent="0.2">
      <c r="J715"/>
      <c r="K715"/>
      <c r="L715"/>
      <c r="M715"/>
      <c r="N715" s="2"/>
      <c r="R715"/>
      <c r="S715"/>
      <c r="T715"/>
      <c r="U715"/>
      <c r="V715"/>
    </row>
    <row r="716" spans="10:22" s="1" customFormat="1" x14ac:dyDescent="0.2">
      <c r="J716"/>
      <c r="K716"/>
      <c r="L716"/>
      <c r="M716"/>
      <c r="N716" s="2"/>
      <c r="R716"/>
      <c r="S716"/>
      <c r="T716"/>
      <c r="U716"/>
      <c r="V716"/>
    </row>
    <row r="717" spans="10:22" s="1" customFormat="1" x14ac:dyDescent="0.2">
      <c r="J717"/>
      <c r="K717"/>
      <c r="L717"/>
      <c r="M717"/>
      <c r="N717" s="2"/>
      <c r="R717"/>
      <c r="S717"/>
      <c r="T717"/>
      <c r="U717"/>
      <c r="V717"/>
    </row>
    <row r="718" spans="10:22" s="1" customFormat="1" x14ac:dyDescent="0.2">
      <c r="J718"/>
      <c r="K718"/>
      <c r="L718"/>
      <c r="M718"/>
      <c r="N718" s="2"/>
      <c r="R718"/>
      <c r="S718"/>
      <c r="T718"/>
      <c r="U718"/>
      <c r="V718"/>
    </row>
    <row r="719" spans="10:22" s="1" customFormat="1" x14ac:dyDescent="0.2">
      <c r="J719"/>
      <c r="K719"/>
      <c r="L719"/>
      <c r="M719"/>
      <c r="N719" s="2"/>
      <c r="R719"/>
      <c r="S719"/>
      <c r="T719"/>
      <c r="U719"/>
      <c r="V719"/>
    </row>
    <row r="720" spans="10:22" s="1" customFormat="1" x14ac:dyDescent="0.2">
      <c r="J720"/>
      <c r="K720"/>
      <c r="L720"/>
      <c r="M720"/>
      <c r="N720" s="2"/>
      <c r="R720"/>
      <c r="S720"/>
      <c r="T720"/>
      <c r="U720"/>
      <c r="V720"/>
    </row>
    <row r="721" spans="10:22" s="1" customFormat="1" x14ac:dyDescent="0.2">
      <c r="J721"/>
      <c r="K721"/>
      <c r="L721"/>
      <c r="M721"/>
      <c r="N721" s="2"/>
      <c r="R721"/>
      <c r="S721"/>
      <c r="T721"/>
      <c r="U721"/>
      <c r="V721"/>
    </row>
    <row r="722" spans="10:22" s="1" customFormat="1" x14ac:dyDescent="0.2">
      <c r="J722"/>
      <c r="K722"/>
      <c r="L722"/>
      <c r="M722"/>
      <c r="N722" s="2"/>
      <c r="R722"/>
      <c r="S722"/>
      <c r="T722"/>
      <c r="U722"/>
      <c r="V722"/>
    </row>
    <row r="723" spans="10:22" s="1" customFormat="1" x14ac:dyDescent="0.2">
      <c r="J723"/>
      <c r="K723"/>
      <c r="L723"/>
      <c r="M723"/>
      <c r="N723" s="2"/>
      <c r="R723"/>
      <c r="S723"/>
      <c r="T723"/>
      <c r="U723"/>
      <c r="V723"/>
    </row>
    <row r="724" spans="10:22" s="1" customFormat="1" x14ac:dyDescent="0.2">
      <c r="J724"/>
      <c r="K724"/>
      <c r="L724"/>
      <c r="M724"/>
      <c r="N724" s="2"/>
      <c r="R724"/>
      <c r="S724"/>
      <c r="T724"/>
      <c r="U724"/>
      <c r="V724"/>
    </row>
    <row r="725" spans="10:22" s="1" customFormat="1" x14ac:dyDescent="0.2">
      <c r="J725"/>
      <c r="K725"/>
      <c r="L725"/>
      <c r="M725"/>
      <c r="N725" s="2"/>
      <c r="R725"/>
      <c r="S725"/>
      <c r="T725"/>
      <c r="U725"/>
      <c r="V725"/>
    </row>
    <row r="726" spans="10:22" s="1" customFormat="1" x14ac:dyDescent="0.2">
      <c r="J726"/>
      <c r="K726"/>
      <c r="L726"/>
      <c r="M726"/>
      <c r="N726" s="2"/>
      <c r="R726"/>
      <c r="S726"/>
      <c r="T726"/>
      <c r="U726"/>
      <c r="V726"/>
    </row>
    <row r="727" spans="10:22" s="1" customFormat="1" x14ac:dyDescent="0.2">
      <c r="J727"/>
      <c r="K727"/>
      <c r="L727"/>
      <c r="M727"/>
      <c r="N727" s="2"/>
      <c r="R727"/>
      <c r="S727"/>
      <c r="T727"/>
      <c r="U727"/>
      <c r="V727"/>
    </row>
    <row r="728" spans="10:22" s="1" customFormat="1" x14ac:dyDescent="0.2">
      <c r="J728"/>
      <c r="K728"/>
      <c r="L728"/>
      <c r="M728"/>
      <c r="N728" s="2"/>
      <c r="R728"/>
      <c r="S728"/>
      <c r="T728"/>
      <c r="U728"/>
      <c r="V728"/>
    </row>
    <row r="729" spans="10:22" s="1" customFormat="1" x14ac:dyDescent="0.2">
      <c r="J729"/>
      <c r="K729"/>
      <c r="L729"/>
      <c r="M729"/>
      <c r="N729" s="2"/>
      <c r="R729"/>
      <c r="S729"/>
      <c r="T729"/>
      <c r="U729"/>
      <c r="V729"/>
    </row>
    <row r="730" spans="10:22" s="1" customFormat="1" x14ac:dyDescent="0.2">
      <c r="J730"/>
      <c r="K730"/>
      <c r="L730"/>
      <c r="M730"/>
      <c r="N730" s="2"/>
      <c r="R730"/>
      <c r="S730"/>
      <c r="T730"/>
      <c r="U730"/>
      <c r="V730"/>
    </row>
    <row r="731" spans="10:22" s="1" customFormat="1" x14ac:dyDescent="0.2">
      <c r="J731"/>
      <c r="K731"/>
      <c r="L731"/>
      <c r="M731"/>
      <c r="N731" s="2"/>
      <c r="R731"/>
      <c r="S731"/>
      <c r="T731"/>
      <c r="U731"/>
      <c r="V731"/>
    </row>
    <row r="732" spans="10:22" s="1" customFormat="1" x14ac:dyDescent="0.2">
      <c r="J732"/>
      <c r="K732"/>
      <c r="L732"/>
      <c r="M732"/>
      <c r="N732" s="2"/>
      <c r="R732"/>
      <c r="S732"/>
      <c r="T732"/>
      <c r="U732"/>
      <c r="V732"/>
    </row>
    <row r="733" spans="10:22" s="1" customFormat="1" x14ac:dyDescent="0.2">
      <c r="J733"/>
      <c r="K733"/>
      <c r="L733"/>
      <c r="M733"/>
      <c r="N733" s="2"/>
      <c r="R733"/>
      <c r="S733"/>
      <c r="T733"/>
      <c r="U733"/>
      <c r="V733"/>
    </row>
    <row r="734" spans="10:22" s="1" customFormat="1" x14ac:dyDescent="0.2">
      <c r="J734"/>
      <c r="K734"/>
      <c r="L734"/>
      <c r="M734"/>
      <c r="N734" s="2"/>
      <c r="R734"/>
      <c r="S734"/>
      <c r="T734"/>
      <c r="U734"/>
      <c r="V734"/>
    </row>
  </sheetData>
  <mergeCells count="86">
    <mergeCell ref="B32:B34"/>
    <mergeCell ref="E32:E34"/>
    <mergeCell ref="U32:U34"/>
    <mergeCell ref="K32:K34"/>
    <mergeCell ref="J32:J34"/>
    <mergeCell ref="D32:D33"/>
    <mergeCell ref="I32:I33"/>
    <mergeCell ref="H32:H33"/>
    <mergeCell ref="F32:F33"/>
    <mergeCell ref="O32:O33"/>
    <mergeCell ref="U21:U22"/>
    <mergeCell ref="E21:E22"/>
    <mergeCell ref="B27:B29"/>
    <mergeCell ref="E27:E29"/>
    <mergeCell ref="J27:J29"/>
    <mergeCell ref="K27:K29"/>
    <mergeCell ref="Q27:Q29"/>
    <mergeCell ref="S27:S29"/>
    <mergeCell ref="B21:B22"/>
    <mergeCell ref="J21:J22"/>
    <mergeCell ref="K21:K22"/>
    <mergeCell ref="Q21:Q22"/>
    <mergeCell ref="S21:S22"/>
    <mergeCell ref="B23:B25"/>
    <mergeCell ref="E23:E25"/>
    <mergeCell ref="O23:O24"/>
    <mergeCell ref="V17:V18"/>
    <mergeCell ref="K13:K15"/>
    <mergeCell ref="B17:B18"/>
    <mergeCell ref="J17:J18"/>
    <mergeCell ref="K17:K18"/>
    <mergeCell ref="Q17:Q18"/>
    <mergeCell ref="S17:S18"/>
    <mergeCell ref="L13:L14"/>
    <mergeCell ref="S13:S15"/>
    <mergeCell ref="U13:U15"/>
    <mergeCell ref="J13:J15"/>
    <mergeCell ref="U17:U18"/>
    <mergeCell ref="E17:E18"/>
    <mergeCell ref="E61:F61"/>
    <mergeCell ref="J61:J63"/>
    <mergeCell ref="E62:F62"/>
    <mergeCell ref="E63:F63"/>
    <mergeCell ref="B2:V2"/>
    <mergeCell ref="B13:B15"/>
    <mergeCell ref="E13:E15"/>
    <mergeCell ref="F13:F14"/>
    <mergeCell ref="H13:H14"/>
    <mergeCell ref="I13:I14"/>
    <mergeCell ref="M13:M14"/>
    <mergeCell ref="V13:V14"/>
    <mergeCell ref="D13:D14"/>
    <mergeCell ref="N13:N14"/>
    <mergeCell ref="O13:O14"/>
    <mergeCell ref="Q13:Q15"/>
    <mergeCell ref="F23:F24"/>
    <mergeCell ref="H23:H24"/>
    <mergeCell ref="I23:I24"/>
    <mergeCell ref="J23:J25"/>
    <mergeCell ref="M32:M33"/>
    <mergeCell ref="L32:L33"/>
    <mergeCell ref="J30:J31"/>
    <mergeCell ref="K30:K31"/>
    <mergeCell ref="V23:V24"/>
    <mergeCell ref="K23:K25"/>
    <mergeCell ref="M23:M24"/>
    <mergeCell ref="Q23:Q25"/>
    <mergeCell ref="S23:S25"/>
    <mergeCell ref="U23:U25"/>
    <mergeCell ref="L23:L24"/>
    <mergeCell ref="U27:U29"/>
    <mergeCell ref="V32:V33"/>
    <mergeCell ref="U36:U38"/>
    <mergeCell ref="B36:B38"/>
    <mergeCell ref="E36:E38"/>
    <mergeCell ref="J36:J38"/>
    <mergeCell ref="K36:K38"/>
    <mergeCell ref="Q36:Q38"/>
    <mergeCell ref="S36:S38"/>
    <mergeCell ref="Q32:Q34"/>
    <mergeCell ref="U30:U31"/>
    <mergeCell ref="B30:B31"/>
    <mergeCell ref="E30:E31"/>
    <mergeCell ref="Q30:Q31"/>
    <mergeCell ref="S30:S31"/>
    <mergeCell ref="S32:S34"/>
  </mergeCells>
  <conditionalFormatting sqref="I65:I71">
    <cfRule type="cellIs" dxfId="314" priority="257" stopIfTrue="1" operator="lessThan">
      <formula>0%</formula>
    </cfRule>
    <cfRule type="cellIs" dxfId="313" priority="256" stopIfTrue="1" operator="greaterThan">
      <formula>1.5%</formula>
    </cfRule>
  </conditionalFormatting>
  <conditionalFormatting sqref="I73">
    <cfRule type="cellIs" dxfId="312" priority="251" stopIfTrue="1" operator="lessThan">
      <formula>438</formula>
    </cfRule>
  </conditionalFormatting>
  <conditionalFormatting sqref="J3 B2 J72:J65536">
    <cfRule type="cellIs" dxfId="311" priority="274" stopIfTrue="1" operator="lessThan">
      <formula>438</formula>
    </cfRule>
  </conditionalFormatting>
  <conditionalFormatting sqref="J3">
    <cfRule type="cellIs" dxfId="310" priority="271" stopIfTrue="1" operator="lessThan">
      <formula>456.25</formula>
    </cfRule>
  </conditionalFormatting>
  <conditionalFormatting sqref="J4:J13">
    <cfRule type="cellIs" dxfId="309" priority="229" stopIfTrue="1" operator="lessThan">
      <formula>462</formula>
    </cfRule>
  </conditionalFormatting>
  <conditionalFormatting sqref="J16:J17">
    <cfRule type="cellIs" dxfId="308" priority="146" stopIfTrue="1" operator="lessThan">
      <formula>462</formula>
    </cfRule>
  </conditionalFormatting>
  <conditionalFormatting sqref="J19:J21 J23">
    <cfRule type="cellIs" dxfId="307" priority="128" stopIfTrue="1" operator="lessThan">
      <formula>462</formula>
    </cfRule>
  </conditionalFormatting>
  <conditionalFormatting sqref="J26:J27">
    <cfRule type="cellIs" dxfId="306" priority="90" stopIfTrue="1" operator="lessThan">
      <formula>462</formula>
    </cfRule>
  </conditionalFormatting>
  <conditionalFormatting sqref="J30 J32">
    <cfRule type="cellIs" dxfId="305" priority="58" stopIfTrue="1" operator="lessThan">
      <formula>462</formula>
    </cfRule>
  </conditionalFormatting>
  <conditionalFormatting sqref="J35:J36">
    <cfRule type="cellIs" dxfId="304" priority="22" stopIfTrue="1" operator="lessThan">
      <formula>462</formula>
    </cfRule>
  </conditionalFormatting>
  <conditionalFormatting sqref="J39:J60">
    <cfRule type="cellIs" dxfId="303" priority="236" stopIfTrue="1" operator="lessThan">
      <formula>462</formula>
    </cfRule>
  </conditionalFormatting>
  <conditionalFormatting sqref="J65:J71">
    <cfRule type="cellIs" dxfId="302" priority="269" stopIfTrue="1" operator="lessThan">
      <formula>73%</formula>
    </cfRule>
  </conditionalFormatting>
  <conditionalFormatting sqref="K4:K13">
    <cfRule type="cellIs" dxfId="301" priority="228" stopIfTrue="1" operator="lessThan">
      <formula>540</formula>
    </cfRule>
  </conditionalFormatting>
  <conditionalFormatting sqref="K16:K17">
    <cfRule type="cellIs" dxfId="300" priority="145" stopIfTrue="1" operator="lessThan">
      <formula>540</formula>
    </cfRule>
  </conditionalFormatting>
  <conditionalFormatting sqref="K19:K21 K23">
    <cfRule type="cellIs" dxfId="299" priority="127" stopIfTrue="1" operator="lessThan">
      <formula>540</formula>
    </cfRule>
  </conditionalFormatting>
  <conditionalFormatting sqref="K26:K27">
    <cfRule type="cellIs" dxfId="298" priority="89" stopIfTrue="1" operator="lessThan">
      <formula>540</formula>
    </cfRule>
  </conditionalFormatting>
  <conditionalFormatting sqref="K30 K32">
    <cfRule type="cellIs" dxfId="297" priority="57" stopIfTrue="1" operator="lessThan">
      <formula>540</formula>
    </cfRule>
  </conditionalFormatting>
  <conditionalFormatting sqref="K35:K36">
    <cfRule type="cellIs" dxfId="296" priority="21" stopIfTrue="1" operator="lessThan">
      <formula>540</formula>
    </cfRule>
  </conditionalFormatting>
  <conditionalFormatting sqref="K39:L56">
    <cfRule type="cellIs" dxfId="295" priority="234" stopIfTrue="1" operator="lessThan">
      <formula>540</formula>
    </cfRule>
  </conditionalFormatting>
  <conditionalFormatting sqref="K57:L59">
    <cfRule type="cellIs" dxfId="294" priority="265" stopIfTrue="1" operator="lessThan">
      <formula>438</formula>
    </cfRule>
    <cfRule type="cellIs" dxfId="293" priority="264" stopIfTrue="1" operator="lessThan">
      <formula>456.25</formula>
    </cfRule>
  </conditionalFormatting>
  <conditionalFormatting sqref="O4:O13 O15:O23 O25:O32">
    <cfRule type="cellIs" dxfId="292" priority="249" stopIfTrue="1" operator="greaterThan">
      <formula>1.1</formula>
    </cfRule>
  </conditionalFormatting>
  <conditionalFormatting sqref="O34:O61">
    <cfRule type="cellIs" dxfId="291" priority="235" stopIfTrue="1" operator="greaterThan">
      <formula>1.1</formula>
    </cfRule>
  </conditionalFormatting>
  <conditionalFormatting sqref="O61:O62">
    <cfRule type="cellIs" dxfId="290" priority="268" stopIfTrue="1" operator="lessThan">
      <formula>0%</formula>
    </cfRule>
    <cfRule type="cellIs" dxfId="289" priority="267" stopIfTrue="1" operator="greaterThan">
      <formula>1.5%</formula>
    </cfRule>
  </conditionalFormatting>
  <conditionalFormatting sqref="Q4:Q13">
    <cfRule type="cellIs" dxfId="288" priority="210" stopIfTrue="1" operator="lessThan">
      <formula>0.74</formula>
    </cfRule>
  </conditionalFormatting>
  <conditionalFormatting sqref="Q16:Q17">
    <cfRule type="cellIs" dxfId="287" priority="140" stopIfTrue="1" operator="lessThan">
      <formula>0.74</formula>
    </cfRule>
  </conditionalFormatting>
  <conditionalFormatting sqref="Q19:Q21 Q23">
    <cfRule type="cellIs" dxfId="286" priority="102" stopIfTrue="1" operator="lessThan">
      <formula>0.74</formula>
    </cfRule>
  </conditionalFormatting>
  <conditionalFormatting sqref="Q26:Q27">
    <cfRule type="cellIs" dxfId="285" priority="70" stopIfTrue="1" operator="lessThan">
      <formula>0.74</formula>
    </cfRule>
  </conditionalFormatting>
  <conditionalFormatting sqref="Q30">
    <cfRule type="cellIs" dxfId="284" priority="48" stopIfTrue="1" operator="lessThan">
      <formula>0.74</formula>
    </cfRule>
  </conditionalFormatting>
  <conditionalFormatting sqref="Q32">
    <cfRule type="cellIs" dxfId="283" priority="34" stopIfTrue="1" operator="lessThan">
      <formula>0.74</formula>
    </cfRule>
  </conditionalFormatting>
  <conditionalFormatting sqref="Q35:Q36">
    <cfRule type="cellIs" dxfId="282" priority="2" stopIfTrue="1" operator="lessThan">
      <formula>0.74</formula>
    </cfRule>
  </conditionalFormatting>
  <conditionalFormatting sqref="Q39:Q60">
    <cfRule type="cellIs" dxfId="281" priority="233" stopIfTrue="1" operator="lessThan">
      <formula>0.74</formula>
    </cfRule>
  </conditionalFormatting>
  <conditionalFormatting sqref="S42:S59">
    <cfRule type="cellIs" dxfId="280" priority="260" stopIfTrue="1" operator="lessThan">
      <formula>0.74</formula>
    </cfRule>
  </conditionalFormatting>
  <conditionalFormatting sqref="S61:S62">
    <cfRule type="cellIs" dxfId="279" priority="270" stopIfTrue="1" operator="lessThan">
      <formula>73%</formula>
    </cfRule>
  </conditionalFormatting>
  <conditionalFormatting sqref="S3:U3">
    <cfRule type="cellIs" dxfId="278" priority="243" stopIfTrue="1" operator="lessThan">
      <formula>0.65</formula>
    </cfRule>
  </conditionalFormatting>
  <conditionalFormatting sqref="S4:U13">
    <cfRule type="cellIs" dxfId="277" priority="209" stopIfTrue="1" operator="lessThan">
      <formula>0.74</formula>
    </cfRule>
  </conditionalFormatting>
  <conditionalFormatting sqref="S16:U17">
    <cfRule type="cellIs" dxfId="276" priority="139" stopIfTrue="1" operator="lessThan">
      <formula>0.74</formula>
    </cfRule>
  </conditionalFormatting>
  <conditionalFormatting sqref="S19:U21 S23:U23">
    <cfRule type="cellIs" dxfId="275" priority="101" stopIfTrue="1" operator="lessThan">
      <formula>0.74</formula>
    </cfRule>
  </conditionalFormatting>
  <conditionalFormatting sqref="S26:U27">
    <cfRule type="cellIs" dxfId="274" priority="69" stopIfTrue="1" operator="lessThan">
      <formula>0.74</formula>
    </cfRule>
  </conditionalFormatting>
  <conditionalFormatting sqref="S30:U30">
    <cfRule type="cellIs" dxfId="273" priority="47" stopIfTrue="1" operator="lessThan">
      <formula>0.74</formula>
    </cfRule>
  </conditionalFormatting>
  <conditionalFormatting sqref="S32:U32">
    <cfRule type="cellIs" dxfId="272" priority="33" stopIfTrue="1" operator="lessThan">
      <formula>0.74</formula>
    </cfRule>
  </conditionalFormatting>
  <conditionalFormatting sqref="S35:U36">
    <cfRule type="cellIs" dxfId="271" priority="1" stopIfTrue="1" operator="lessThan">
      <formula>0.74</formula>
    </cfRule>
  </conditionalFormatting>
  <conditionalFormatting sqref="S39:U41">
    <cfRule type="cellIs" dxfId="270" priority="232" stopIfTrue="1" operator="lessThan">
      <formula>0.74</formula>
    </cfRule>
  </conditionalFormatting>
  <conditionalFormatting sqref="S60:U60">
    <cfRule type="cellIs" dxfId="269" priority="262" stopIfTrue="1" operator="lessThan">
      <formula>0.74</formula>
    </cfRule>
  </conditionalFormatting>
  <conditionalFormatting sqref="T14:T15">
    <cfRule type="cellIs" dxfId="268" priority="194" stopIfTrue="1" operator="lessThan">
      <formula>0.74</formula>
    </cfRule>
  </conditionalFormatting>
  <conditionalFormatting sqref="T18">
    <cfRule type="cellIs" dxfId="267" priority="187" stopIfTrue="1" operator="lessThan">
      <formula>0.74</formula>
    </cfRule>
  </conditionalFormatting>
  <conditionalFormatting sqref="T22 T24:T25">
    <cfRule type="cellIs" dxfId="266" priority="107" stopIfTrue="1" operator="lessThan">
      <formula>0.74</formula>
    </cfRule>
  </conditionalFormatting>
  <conditionalFormatting sqref="T28:T29">
    <cfRule type="cellIs" dxfId="265" priority="75" stopIfTrue="1" operator="lessThan">
      <formula>0.74</formula>
    </cfRule>
  </conditionalFormatting>
  <conditionalFormatting sqref="T31">
    <cfRule type="cellIs" dxfId="264" priority="53" stopIfTrue="1" operator="lessThan">
      <formula>0.74</formula>
    </cfRule>
  </conditionalFormatting>
  <conditionalFormatting sqref="T33:T34">
    <cfRule type="cellIs" dxfId="263" priority="39" stopIfTrue="1" operator="lessThan">
      <formula>0.74</formula>
    </cfRule>
  </conditionalFormatting>
  <conditionalFormatting sqref="T37:T38">
    <cfRule type="cellIs" dxfId="262" priority="7" stopIfTrue="1" operator="lessThan">
      <formula>0.74</formula>
    </cfRule>
  </conditionalFormatting>
  <conditionalFormatting sqref="T42:U59">
    <cfRule type="cellIs" dxfId="261" priority="254" stopIfTrue="1" operator="lessThan">
      <formula>75%</formula>
    </cfRule>
  </conditionalFormatting>
  <conditionalFormatting sqref="T61:U62">
    <cfRule type="cellIs" dxfId="260" priority="273" stopIfTrue="1" operator="lessThan">
      <formula>75%</formula>
    </cfRule>
  </conditionalFormatting>
  <printOptions horizontalCentered="1"/>
  <pageMargins left="0.10312499999999999" right="0.5" top="0.25" bottom="0.27" header="0.25" footer="0.27"/>
  <pageSetup paperSize="5" scale="37" orientation="landscape" r:id="rId1"/>
  <headerFooter alignWithMargins="0"/>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43169-76E0-47DB-8411-BB9C16C6134E}">
  <sheetPr codeName="Sheet27">
    <pageSetUpPr fitToPage="1"/>
  </sheetPr>
  <dimension ref="B2:V734"/>
  <sheetViews>
    <sheetView showZeros="0" showWhiteSpace="0" zoomScale="70" zoomScaleNormal="70" workbookViewId="0">
      <pane ySplit="3" topLeftCell="A34" activePane="bottomLeft" state="frozen"/>
      <selection activeCell="B2" sqref="B2:W2"/>
      <selection pane="bottomLeft" activeCell="B2" sqref="B2:W2"/>
    </sheetView>
  </sheetViews>
  <sheetFormatPr defaultColWidth="9.42578125" defaultRowHeight="12.75" x14ac:dyDescent="0.2"/>
  <cols>
    <col min="2" max="2" width="10.42578125" style="1" customWidth="1"/>
    <col min="3" max="3" width="31.42578125" style="1" customWidth="1"/>
    <col min="4" max="4" width="13.5703125" style="1" customWidth="1"/>
    <col min="5" max="5" width="13.42578125" style="1" customWidth="1"/>
    <col min="6" max="6" width="14.5703125" style="1" bestFit="1" customWidth="1"/>
    <col min="7" max="7" width="15.5703125" customWidth="1"/>
    <col min="8" max="8" width="15" customWidth="1"/>
    <col min="9" max="9" width="15.5703125" style="1" customWidth="1"/>
    <col min="10" max="10" width="12.5703125" customWidth="1"/>
    <col min="11" max="11" width="11" customWidth="1"/>
    <col min="12" max="13" width="11.42578125" customWidth="1"/>
    <col min="14" max="14" width="15" style="2" bestFit="1" customWidth="1"/>
    <col min="15" max="15" width="15.5703125" style="1" bestFit="1" customWidth="1"/>
    <col min="16" max="16" width="7.5703125" style="1" hidden="1" customWidth="1"/>
    <col min="17" max="17" width="13.42578125" style="1" customWidth="1"/>
    <col min="18" max="18" width="12" hidden="1" customWidth="1"/>
    <col min="19" max="19" width="14.42578125" customWidth="1"/>
    <col min="20" max="20" width="10.42578125" hidden="1" customWidth="1"/>
    <col min="21" max="21" width="14.42578125" customWidth="1"/>
    <col min="22" max="22" width="91" customWidth="1"/>
    <col min="23" max="23" width="12.5703125" customWidth="1"/>
    <col min="24" max="24" width="13.5703125" customWidth="1"/>
  </cols>
  <sheetData>
    <row r="2" spans="2:22" ht="24" thickBot="1" x14ac:dyDescent="0.4">
      <c r="B2" s="1022" t="s">
        <v>52</v>
      </c>
      <c r="C2" s="1022"/>
      <c r="D2" s="1022"/>
      <c r="E2" s="1022"/>
      <c r="F2" s="1022"/>
      <c r="G2" s="1022"/>
      <c r="H2" s="1022"/>
      <c r="I2" s="1022"/>
      <c r="J2" s="1022"/>
      <c r="K2" s="1022"/>
      <c r="L2" s="1022"/>
      <c r="M2" s="1022"/>
      <c r="N2" s="1022"/>
      <c r="O2" s="1022"/>
      <c r="P2" s="1022"/>
      <c r="Q2" s="1022"/>
      <c r="R2" s="1022"/>
      <c r="S2" s="1022"/>
      <c r="T2" s="1022"/>
      <c r="U2" s="1022"/>
      <c r="V2" s="1022"/>
    </row>
    <row r="3" spans="2:22" ht="80.25" thickTop="1" thickBot="1" x14ac:dyDescent="0.25">
      <c r="B3" s="37" t="s">
        <v>0</v>
      </c>
      <c r="C3" s="38" t="s">
        <v>2</v>
      </c>
      <c r="D3" s="38" t="s">
        <v>12</v>
      </c>
      <c r="E3" s="38" t="s">
        <v>11</v>
      </c>
      <c r="F3" s="38" t="s">
        <v>15</v>
      </c>
      <c r="G3" s="38" t="s">
        <v>9</v>
      </c>
      <c r="H3" s="38" t="s">
        <v>17</v>
      </c>
      <c r="I3" s="38" t="s">
        <v>5</v>
      </c>
      <c r="J3" s="38" t="s">
        <v>43</v>
      </c>
      <c r="K3" s="38" t="s">
        <v>4</v>
      </c>
      <c r="L3" s="38" t="s">
        <v>161</v>
      </c>
      <c r="M3" s="38" t="s">
        <v>10</v>
      </c>
      <c r="N3" s="39" t="s">
        <v>34</v>
      </c>
      <c r="O3" s="40" t="s">
        <v>55</v>
      </c>
      <c r="P3" s="40" t="s">
        <v>8</v>
      </c>
      <c r="Q3" s="41" t="s">
        <v>7</v>
      </c>
      <c r="R3" s="41" t="s">
        <v>6</v>
      </c>
      <c r="S3" s="41" t="s">
        <v>170</v>
      </c>
      <c r="T3" s="41" t="s">
        <v>47</v>
      </c>
      <c r="U3" s="124" t="s">
        <v>170</v>
      </c>
      <c r="V3" s="5" t="s">
        <v>1</v>
      </c>
    </row>
    <row r="4" spans="2:22" s="19" customFormat="1" ht="50.25" thickTop="1" x14ac:dyDescent="0.2">
      <c r="B4" s="137">
        <v>42584</v>
      </c>
      <c r="C4" s="48" t="s">
        <v>27</v>
      </c>
      <c r="D4" s="49">
        <v>7000</v>
      </c>
      <c r="E4" s="50">
        <v>0.32500000000000001</v>
      </c>
      <c r="F4" s="51">
        <f>[16]August_2016!$J8</f>
        <v>435.20000000000005</v>
      </c>
      <c r="G4" s="52">
        <f>[16]August_2016!$F8</f>
        <v>6517</v>
      </c>
      <c r="H4" s="51">
        <f>[16]August_2016!$K8</f>
        <v>432.02199999999999</v>
      </c>
      <c r="I4" s="53">
        <f>[16]August_2016!$N8</f>
        <v>26.75</v>
      </c>
      <c r="J4" s="54">
        <f>[16]August_2016!$Q8</f>
        <v>431.58940397350995</v>
      </c>
      <c r="K4" s="54">
        <f>[16]August_2016!$E8</f>
        <v>906</v>
      </c>
      <c r="L4" s="134">
        <v>1.0041666666666667</v>
      </c>
      <c r="M4" s="54">
        <f>[16]August_2016!$M8</f>
        <v>149</v>
      </c>
      <c r="N4" s="122"/>
      <c r="O4" s="55">
        <f>[16]August_2016!$P8</f>
        <v>0.73023897058824772</v>
      </c>
      <c r="P4" s="54"/>
      <c r="Q4" s="66">
        <f>(G4)/(15*15000*(1/24))</f>
        <v>0.69514666666666669</v>
      </c>
      <c r="R4" s="56"/>
      <c r="S4" s="46">
        <f>(G4)*24/(K4/60)/15000</f>
        <v>0.69054304635761599</v>
      </c>
      <c r="T4" s="46">
        <f>(H4+H7)*24/(M4/60)/15000</f>
        <v>0.46484875167785228</v>
      </c>
      <c r="U4" s="125">
        <f>(G4)*24/(K4/60)/15300</f>
        <v>0.67700298662511371</v>
      </c>
      <c r="V4" s="24" t="s">
        <v>238</v>
      </c>
    </row>
    <row r="5" spans="2:22" s="19" customFormat="1" ht="33" x14ac:dyDescent="0.2">
      <c r="B5" s="1213">
        <v>42585</v>
      </c>
      <c r="C5" s="48" t="s">
        <v>27</v>
      </c>
      <c r="D5" s="49">
        <v>3500</v>
      </c>
      <c r="E5" s="1217">
        <v>0.32569444444444445</v>
      </c>
      <c r="F5" s="51">
        <f>[16]August_2016!$J9</f>
        <v>239.8</v>
      </c>
      <c r="G5" s="52">
        <f>[16]August_2016!$F9</f>
        <v>3618</v>
      </c>
      <c r="H5" s="51">
        <f>[16]August_2016!$K9</f>
        <v>238.78800000000001</v>
      </c>
      <c r="I5" s="53">
        <f>[16]August_2016!$N9</f>
        <v>9.5</v>
      </c>
      <c r="J5" s="1223">
        <f>[16]August_2016!$Q9</f>
        <v>446.28318584070797</v>
      </c>
      <c r="K5" s="1223">
        <f>[16]August_2016!$E9</f>
        <v>904</v>
      </c>
      <c r="L5" s="134">
        <v>0.69305555555555554</v>
      </c>
      <c r="M5" s="54">
        <f>[16]August_2016!$M9</f>
        <v>55</v>
      </c>
      <c r="N5" s="54"/>
      <c r="O5" s="55">
        <f>[16]August_2016!$P9</f>
        <v>0.42201834862385335</v>
      </c>
      <c r="P5" s="54"/>
      <c r="Q5" s="1227">
        <f>(G5+G6)/(15*15000*(1/24))</f>
        <v>0.71722666666666668</v>
      </c>
      <c r="R5" s="56"/>
      <c r="S5" s="1039">
        <f>(G5+G6)*24/(K5/60)/15000</f>
        <v>0.71405309734513267</v>
      </c>
      <c r="T5" s="46">
        <f>(H5+H8)*24/(M5/60)/15000</f>
        <v>0.49401250909090916</v>
      </c>
      <c r="U5" s="1237">
        <f>(G5+G6)*24/(K5/60)/15300</f>
        <v>0.70005205622071831</v>
      </c>
      <c r="V5" s="24" t="s">
        <v>239</v>
      </c>
    </row>
    <row r="6" spans="2:22" s="19" customFormat="1" ht="33" x14ac:dyDescent="0.2">
      <c r="B6" s="1214"/>
      <c r="C6" s="48" t="s">
        <v>29</v>
      </c>
      <c r="D6" s="49">
        <v>3500</v>
      </c>
      <c r="E6" s="1218"/>
      <c r="F6" s="51">
        <f>[16]August_2016!$J10</f>
        <v>207.79000000000002</v>
      </c>
      <c r="G6" s="52">
        <f>[16]August_2016!$F10</f>
        <v>3106</v>
      </c>
      <c r="H6" s="51">
        <f>[16]August_2016!$K10</f>
        <v>204.99600000000001</v>
      </c>
      <c r="I6" s="53">
        <f>[16]August_2016!$N10</f>
        <v>16.75</v>
      </c>
      <c r="J6" s="1224"/>
      <c r="K6" s="1224"/>
      <c r="L6" s="134">
        <v>1</v>
      </c>
      <c r="M6" s="54">
        <f>[16]August_2016!$M10</f>
        <v>105</v>
      </c>
      <c r="N6" s="54"/>
      <c r="O6" s="55">
        <f>[16]August_2016!$P10</f>
        <v>1.3446267866596135</v>
      </c>
      <c r="P6" s="54"/>
      <c r="Q6" s="1228"/>
      <c r="R6" s="56"/>
      <c r="S6" s="1040"/>
      <c r="T6" s="46"/>
      <c r="U6" s="1239"/>
      <c r="V6" s="24" t="s">
        <v>240</v>
      </c>
    </row>
    <row r="7" spans="2:22" s="19" customFormat="1" ht="34.5" customHeight="1" x14ac:dyDescent="0.2">
      <c r="B7" s="137">
        <v>42586</v>
      </c>
      <c r="C7" s="48" t="s">
        <v>30</v>
      </c>
      <c r="D7" s="49">
        <v>4200</v>
      </c>
      <c r="E7" s="50">
        <v>0.3263888888888889</v>
      </c>
      <c r="F7" s="51">
        <f>[16]August_2016!$J11</f>
        <v>291.5</v>
      </c>
      <c r="G7" s="52">
        <f>[16]August_2016!$F11</f>
        <v>4167</v>
      </c>
      <c r="H7" s="51">
        <f>[16]August_2016!$K11</f>
        <v>289.46199999999999</v>
      </c>
      <c r="I7" s="53">
        <f>[16]August_2016!$N11</f>
        <v>16</v>
      </c>
      <c r="J7" s="54">
        <f>[16]August_2016!$Q11</f>
        <v>381.70992366412219</v>
      </c>
      <c r="K7" s="54">
        <f>[16]August_2016!$E11</f>
        <v>655</v>
      </c>
      <c r="L7" s="134">
        <v>0.82430555555555562</v>
      </c>
      <c r="M7" s="54">
        <f>[16]August_2016!$M11</f>
        <v>158</v>
      </c>
      <c r="N7" s="54"/>
      <c r="O7" s="55">
        <f>[16]August_2016!$P11</f>
        <v>0.69914236706689914</v>
      </c>
      <c r="P7" s="54"/>
      <c r="Q7" s="66">
        <f>(G7)/(15*15000*(1/24))</f>
        <v>0.44447999999999999</v>
      </c>
      <c r="R7" s="56"/>
      <c r="S7" s="46">
        <f>(G7)*24/(K7/60)/15000</f>
        <v>0.61073587786259542</v>
      </c>
      <c r="T7" s="46">
        <f>(H7+H10)*24/(M7/60)/15000</f>
        <v>0.20179564556962026</v>
      </c>
      <c r="U7" s="125">
        <f>(G7)*24/(K7/60)/15300</f>
        <v>0.59876066457117205</v>
      </c>
      <c r="V7" s="24" t="s">
        <v>241</v>
      </c>
    </row>
    <row r="8" spans="2:22" s="19" customFormat="1" ht="20.25" x14ac:dyDescent="0.2">
      <c r="B8" s="1213">
        <v>42587</v>
      </c>
      <c r="C8" s="48" t="s">
        <v>88</v>
      </c>
      <c r="D8" s="1215">
        <v>2000</v>
      </c>
      <c r="E8" s="1217">
        <v>0.33333333333333331</v>
      </c>
      <c r="F8" s="51">
        <f>[16]August_2016!$J12</f>
        <v>45.2</v>
      </c>
      <c r="G8" s="52">
        <f>[16]August_2016!$F12</f>
        <v>560</v>
      </c>
      <c r="H8" s="51">
        <f>[16]August_2016!$K12</f>
        <v>44.24</v>
      </c>
      <c r="I8" s="53">
        <f>[16]August_2016!$N12</f>
        <v>2</v>
      </c>
      <c r="J8" s="1223">
        <f>[16]August_2016!$Q12</f>
        <v>254.68208092485548</v>
      </c>
      <c r="K8" s="1223">
        <f>[16]August_2016!$E12</f>
        <v>519</v>
      </c>
      <c r="L8" s="134"/>
      <c r="M8" s="54">
        <f>[16]August_2016!$M12</f>
        <v>120</v>
      </c>
      <c r="N8" s="54"/>
      <c r="O8" s="55">
        <f>[16]August_2016!$P12</f>
        <v>2.123893805309736</v>
      </c>
      <c r="P8" s="54"/>
      <c r="Q8" s="1227">
        <f>(G8+G9+G10+G11)/(8.5*15000*(1/24))</f>
        <v>0.41468235294117645</v>
      </c>
      <c r="R8" s="56"/>
      <c r="S8" s="1039">
        <f>(G8+G9+G10+G11)*24/(K8/60)/15000</f>
        <v>0.40749132947976874</v>
      </c>
      <c r="T8" s="46">
        <f>(H8+H11)*24/(M8/60)/15000</f>
        <v>6.9456799999999985E-2</v>
      </c>
      <c r="U8" s="1237">
        <f>(G8+G9+G10+G11)*24/(K8/60)/15300</f>
        <v>0.399501303411538</v>
      </c>
      <c r="V8" s="24" t="s">
        <v>242</v>
      </c>
    </row>
    <row r="9" spans="2:22" s="19" customFormat="1" ht="20.25" x14ac:dyDescent="0.2">
      <c r="B9" s="1233"/>
      <c r="C9" s="48" t="s">
        <v>89</v>
      </c>
      <c r="D9" s="1242"/>
      <c r="E9" s="1234"/>
      <c r="F9" s="51">
        <f>[16]August_2016!$J13</f>
        <v>45.2</v>
      </c>
      <c r="G9" s="52">
        <f>[16]August_2016!$F13</f>
        <v>564</v>
      </c>
      <c r="H9" s="51">
        <f>[16]August_2016!$K13</f>
        <v>44.555999999999997</v>
      </c>
      <c r="I9" s="53">
        <f>[16]August_2016!$N13</f>
        <v>2</v>
      </c>
      <c r="J9" s="1235"/>
      <c r="K9" s="1235"/>
      <c r="L9" s="134"/>
      <c r="M9" s="54">
        <f>[16]August_2016!$M13</f>
        <v>35</v>
      </c>
      <c r="N9" s="54"/>
      <c r="O9" s="55">
        <f>[16]August_2016!$P13</f>
        <v>1.4247787610619589</v>
      </c>
      <c r="P9" s="54"/>
      <c r="Q9" s="1236"/>
      <c r="R9" s="56"/>
      <c r="S9" s="1041"/>
      <c r="T9" s="46"/>
      <c r="U9" s="1238"/>
      <c r="V9" s="24" t="s">
        <v>243</v>
      </c>
    </row>
    <row r="10" spans="2:22" s="19" customFormat="1" ht="20.25" x14ac:dyDescent="0.2">
      <c r="B10" s="1233"/>
      <c r="C10" s="48" t="s">
        <v>152</v>
      </c>
      <c r="D10" s="1242"/>
      <c r="E10" s="1234"/>
      <c r="F10" s="51">
        <f>[16]August_2016!$J14</f>
        <v>43.671497584541072</v>
      </c>
      <c r="G10" s="52">
        <f>[16]August_2016!$F14</f>
        <v>540</v>
      </c>
      <c r="H10" s="51">
        <f>[16]August_2016!$K14</f>
        <v>42.660000000000004</v>
      </c>
      <c r="I10" s="53">
        <f>[16]August_2016!$N14</f>
        <v>0.5</v>
      </c>
      <c r="J10" s="1235"/>
      <c r="K10" s="1235"/>
      <c r="L10" s="134"/>
      <c r="M10" s="54">
        <f>[16]August_2016!$M14</f>
        <v>30</v>
      </c>
      <c r="N10" s="54"/>
      <c r="O10" s="55">
        <f>[16]August_2016!$P14</f>
        <v>2.316150442477888</v>
      </c>
      <c r="P10" s="54"/>
      <c r="Q10" s="1236"/>
      <c r="R10" s="56"/>
      <c r="S10" s="1041"/>
      <c r="T10" s="46"/>
      <c r="U10" s="1238"/>
      <c r="V10" s="24" t="s">
        <v>244</v>
      </c>
    </row>
    <row r="11" spans="2:22" s="19" customFormat="1" ht="20.25" x14ac:dyDescent="0.2">
      <c r="B11" s="1214"/>
      <c r="C11" s="48" t="s">
        <v>150</v>
      </c>
      <c r="D11" s="1216"/>
      <c r="E11" s="1218"/>
      <c r="F11" s="51">
        <f>[16]August_2016!$J15</f>
        <v>43.671497584541072</v>
      </c>
      <c r="G11" s="52">
        <f>[16]August_2016!$F15</f>
        <v>539</v>
      </c>
      <c r="H11" s="51">
        <f>[16]August_2016!$K15</f>
        <v>42.581000000000003</v>
      </c>
      <c r="I11" s="53"/>
      <c r="J11" s="1224"/>
      <c r="K11" s="1224"/>
      <c r="L11" s="134"/>
      <c r="M11" s="54">
        <f>[16]August_2016!$M15</f>
        <v>60</v>
      </c>
      <c r="N11" s="54"/>
      <c r="O11" s="55">
        <f>[16]August_2016!$P15</f>
        <v>2.497046460177005</v>
      </c>
      <c r="P11" s="54"/>
      <c r="Q11" s="1228"/>
      <c r="R11" s="56"/>
      <c r="S11" s="1040"/>
      <c r="T11" s="46"/>
      <c r="U11" s="1239"/>
      <c r="V11" s="24" t="s">
        <v>245</v>
      </c>
    </row>
    <row r="12" spans="2:22" s="19" customFormat="1" ht="23.25" customHeight="1" x14ac:dyDescent="0.2">
      <c r="B12" s="1213">
        <v>42592</v>
      </c>
      <c r="C12" s="48" t="s">
        <v>32</v>
      </c>
      <c r="D12" s="1215">
        <v>4200</v>
      </c>
      <c r="E12" s="1217">
        <v>0.3347222222222222</v>
      </c>
      <c r="F12" s="1219">
        <f>[16]August_2016!$J16</f>
        <v>285.7</v>
      </c>
      <c r="G12" s="52">
        <f>[16]August_2016!$F16</f>
        <v>420</v>
      </c>
      <c r="H12" s="1219">
        <f>[16]August_2016!$K16</f>
        <v>282.60399999999998</v>
      </c>
      <c r="I12" s="1221">
        <f>[16]August_2016!$N16</f>
        <v>17.25</v>
      </c>
      <c r="J12" s="1223">
        <f>[16]August_2016!$Q16</f>
        <v>408.24531516183987</v>
      </c>
      <c r="K12" s="1223">
        <f>[16]August_2016!$E16</f>
        <v>587</v>
      </c>
      <c r="L12" s="1247">
        <v>0.77500000000000002</v>
      </c>
      <c r="M12" s="1223">
        <f>[16]August_2016!$M16</f>
        <v>82</v>
      </c>
      <c r="N12" s="54"/>
      <c r="O12" s="1225">
        <f>[16]August_2016!$P16</f>
        <v>1.0836541827091368</v>
      </c>
      <c r="P12" s="54"/>
      <c r="Q12" s="1227">
        <f>(G12+G13)/(9.617*15000*(1/24))</f>
        <v>0.66448996568576479</v>
      </c>
      <c r="R12" s="56"/>
      <c r="S12" s="1039">
        <f>(G12+G13)*24/(K12/60)/15000</f>
        <v>0.65319250425894371</v>
      </c>
      <c r="T12" s="46">
        <f>(H12+H15)*24/(M12/60)/15000</f>
        <v>0.41468956097560977</v>
      </c>
      <c r="U12" s="1237">
        <f>(G12+G13)*24/(K12/60)/15300</f>
        <v>0.64038480809700371</v>
      </c>
      <c r="V12" s="1208" t="s">
        <v>246</v>
      </c>
    </row>
    <row r="13" spans="2:22" s="19" customFormat="1" ht="25.5" customHeight="1" x14ac:dyDescent="0.2">
      <c r="B13" s="1214"/>
      <c r="C13" s="48" t="s">
        <v>29</v>
      </c>
      <c r="D13" s="1216"/>
      <c r="E13" s="1218"/>
      <c r="F13" s="1220"/>
      <c r="G13" s="52">
        <f>[16]August_2016!$F17</f>
        <v>3574</v>
      </c>
      <c r="H13" s="1220"/>
      <c r="I13" s="1222"/>
      <c r="J13" s="1224"/>
      <c r="K13" s="1224"/>
      <c r="L13" s="1248"/>
      <c r="M13" s="1224"/>
      <c r="N13" s="54"/>
      <c r="O13" s="1226"/>
      <c r="P13" s="54"/>
      <c r="Q13" s="1228"/>
      <c r="R13" s="56"/>
      <c r="S13" s="1040"/>
      <c r="T13" s="46"/>
      <c r="U13" s="1239"/>
      <c r="V13" s="1209"/>
    </row>
    <row r="14" spans="2:22" s="19" customFormat="1" ht="33" x14ac:dyDescent="0.2">
      <c r="B14" s="1213">
        <v>42593</v>
      </c>
      <c r="C14" s="48" t="s">
        <v>29</v>
      </c>
      <c r="D14" s="49">
        <v>2600</v>
      </c>
      <c r="E14" s="1217">
        <v>0.3263888888888889</v>
      </c>
      <c r="F14" s="51">
        <f>[16]August_2016!$J18</f>
        <v>163.69999999999999</v>
      </c>
      <c r="G14" s="52">
        <f>[16]August_2016!$F18</f>
        <v>2468</v>
      </c>
      <c r="H14" s="51">
        <f>[16]August_2016!$K18</f>
        <v>162.88800000000001</v>
      </c>
      <c r="I14" s="53">
        <f>[16]August_2016!$N18</f>
        <v>11</v>
      </c>
      <c r="J14" s="1223">
        <f>[16]August_2016!$Q18</f>
        <v>416.3671875</v>
      </c>
      <c r="K14" s="1223">
        <f>[16]August_2016!$E18</f>
        <v>512</v>
      </c>
      <c r="L14" s="134"/>
      <c r="M14" s="54">
        <f>[16]August_2016!$M18</f>
        <v>17</v>
      </c>
      <c r="N14" s="54"/>
      <c r="O14" s="55">
        <f>[16]August_2016!$P18</f>
        <v>0.49602932193035032</v>
      </c>
      <c r="P14" s="54"/>
      <c r="Q14" s="1227">
        <f>(G14+G15)/(9*15000*(1/24))</f>
        <v>0.63164444444444445</v>
      </c>
      <c r="R14" s="56"/>
      <c r="S14" s="1039">
        <f>(G14+G15)*24/(K14/60)/15000</f>
        <v>0.66618750000000004</v>
      </c>
      <c r="T14" s="46">
        <f>(H14+H17)*24/(M14/60)/15000</f>
        <v>2.3871811764705884</v>
      </c>
      <c r="U14" s="1237">
        <f>(G14+G15)*24/(K14/60)/15300</f>
        <v>0.65312499999999996</v>
      </c>
      <c r="V14" s="24" t="s">
        <v>247</v>
      </c>
    </row>
    <row r="15" spans="2:22" s="19" customFormat="1" ht="20.25" x14ac:dyDescent="0.2">
      <c r="B15" s="1233"/>
      <c r="C15" s="48" t="s">
        <v>131</v>
      </c>
      <c r="D15" s="49">
        <v>1100</v>
      </c>
      <c r="E15" s="1218"/>
      <c r="F15" s="51">
        <f>[16]August_2016!$J19</f>
        <v>73.099999999999994</v>
      </c>
      <c r="G15" s="52">
        <f>[16]August_2016!$F19</f>
        <v>1085</v>
      </c>
      <c r="H15" s="51">
        <f>[16]August_2016!$K19</f>
        <v>71.61</v>
      </c>
      <c r="I15" s="53">
        <f>[16]August_2016!$N19</f>
        <v>9.75</v>
      </c>
      <c r="J15" s="1224"/>
      <c r="K15" s="1224"/>
      <c r="L15" s="134"/>
      <c r="M15" s="54">
        <f>[16]August_2016!$M19</f>
        <v>30</v>
      </c>
      <c r="N15" s="54"/>
      <c r="O15" s="55">
        <f>[16]August_2016!$P19</f>
        <v>2.0383036935704446</v>
      </c>
      <c r="P15" s="54"/>
      <c r="Q15" s="1228"/>
      <c r="R15" s="56"/>
      <c r="S15" s="1040"/>
      <c r="T15" s="46"/>
      <c r="U15" s="1239"/>
      <c r="V15" s="24" t="s">
        <v>248</v>
      </c>
    </row>
    <row r="16" spans="2:22" s="19" customFormat="1" ht="49.5" x14ac:dyDescent="0.2">
      <c r="B16" s="137">
        <v>42594</v>
      </c>
      <c r="C16" s="48" t="s">
        <v>31</v>
      </c>
      <c r="D16" s="49">
        <v>3500</v>
      </c>
      <c r="E16" s="138">
        <v>0.34930555555555554</v>
      </c>
      <c r="F16" s="51">
        <f>[16]August_2016!$J20</f>
        <v>253.4</v>
      </c>
      <c r="G16" s="52">
        <f>[16]August_2016!$F20</f>
        <v>3384</v>
      </c>
      <c r="H16" s="51">
        <f>[16]August_2016!$K20</f>
        <v>251.76959999999997</v>
      </c>
      <c r="I16" s="53">
        <f>[16]August_2016!$N20</f>
        <v>17</v>
      </c>
      <c r="J16" s="54">
        <f>[16]August_2016!$Q20</f>
        <v>312.36923076923074</v>
      </c>
      <c r="K16" s="54">
        <f>[16]August_2016!$E20</f>
        <v>650</v>
      </c>
      <c r="L16" s="134">
        <v>0.82291666666666663</v>
      </c>
      <c r="M16" s="54">
        <f>[16]August_2016!$M20</f>
        <v>104</v>
      </c>
      <c r="N16" s="54"/>
      <c r="O16" s="55">
        <f>[16]August_2016!$P20</f>
        <v>0.64340962904500276</v>
      </c>
      <c r="P16" s="54"/>
      <c r="Q16" s="66">
        <f>(G16)/(10.67*15000*(1/24))</f>
        <v>0.50744142455482666</v>
      </c>
      <c r="R16" s="56"/>
      <c r="S16" s="46">
        <f>(G16)*24/(K16/60)/15000</f>
        <v>0.49979076923076921</v>
      </c>
      <c r="T16" s="46">
        <f>(H16+H19)*24/(M16/60)/15000</f>
        <v>0.5082624</v>
      </c>
      <c r="U16" s="125">
        <f>(G16)*24/(K16/60)/15300</f>
        <v>0.48999095022624428</v>
      </c>
      <c r="V16" s="24" t="s">
        <v>249</v>
      </c>
    </row>
    <row r="17" spans="2:22" s="19" customFormat="1" ht="66" x14ac:dyDescent="0.2">
      <c r="B17" s="137">
        <v>42597</v>
      </c>
      <c r="C17" s="48" t="s">
        <v>33</v>
      </c>
      <c r="D17" s="49">
        <v>4900</v>
      </c>
      <c r="E17" s="50">
        <v>0.32291666666666669</v>
      </c>
      <c r="F17" s="51">
        <f>[16]August_2016!$J21</f>
        <v>261.59999999999997</v>
      </c>
      <c r="G17" s="52">
        <f>[16]August_2016!$F21</f>
        <v>3937</v>
      </c>
      <c r="H17" s="51">
        <f>[16]August_2016!$K21</f>
        <v>259.84199999999998</v>
      </c>
      <c r="I17" s="53">
        <f>[16]August_2016!$N21</f>
        <v>23</v>
      </c>
      <c r="J17" s="54">
        <f>[16]August_2016!$Q21</f>
        <v>377.34824281150156</v>
      </c>
      <c r="K17" s="54">
        <f>[16]August_2016!$E21</f>
        <v>626</v>
      </c>
      <c r="L17" s="134">
        <v>0.83333333333333337</v>
      </c>
      <c r="M17" s="54">
        <f>[16]August_2016!$M21</f>
        <v>209</v>
      </c>
      <c r="N17" s="54">
        <f>[16]August_2016!$H21</f>
        <v>5</v>
      </c>
      <c r="O17" s="55">
        <f>[16]August_2016!$P21</f>
        <v>0.67201834862384624</v>
      </c>
      <c r="P17" s="54"/>
      <c r="Q17" s="66">
        <f>(G17)/(10.267*15000*(1/24))</f>
        <v>0.61353852147657539</v>
      </c>
      <c r="R17" s="56"/>
      <c r="S17" s="46">
        <f>(G17)*24/(K17/60)/15000</f>
        <v>0.60375718849840254</v>
      </c>
      <c r="T17" s="46">
        <f>(H17+H20)*24/(M17/60)/15000</f>
        <v>0.161856</v>
      </c>
      <c r="U17" s="125">
        <f>(G17)*24/(K17/60)/15300</f>
        <v>0.59191881225333587</v>
      </c>
      <c r="V17" s="24" t="s">
        <v>250</v>
      </c>
    </row>
    <row r="18" spans="2:22" s="19" customFormat="1" ht="33" x14ac:dyDescent="0.2">
      <c r="B18" s="1213">
        <v>42598</v>
      </c>
      <c r="C18" s="48" t="s">
        <v>33</v>
      </c>
      <c r="D18" s="49"/>
      <c r="E18" s="1217">
        <v>0.31944444444444448</v>
      </c>
      <c r="F18" s="51">
        <f>[16]August_2016!$J22</f>
        <v>128.80000000000001</v>
      </c>
      <c r="G18" s="52">
        <f>[16]August_2016!$F22</f>
        <v>1937</v>
      </c>
      <c r="H18" s="51">
        <f>[16]August_2016!$K22</f>
        <v>127.84200000000001</v>
      </c>
      <c r="I18" s="53">
        <f>[16]August_2016!$N22</f>
        <v>7</v>
      </c>
      <c r="J18" s="1223">
        <f>[16]August_2016!$Q22</f>
        <v>470.75242718446606</v>
      </c>
      <c r="K18" s="1223">
        <f>[16]August_2016!$E22</f>
        <v>824</v>
      </c>
      <c r="L18" s="134">
        <v>0.53402777777777777</v>
      </c>
      <c r="M18" s="54">
        <f>[16]August_2016!$M22</f>
        <v>23</v>
      </c>
      <c r="N18" s="54"/>
      <c r="O18" s="55">
        <f>[16]August_2016!$P22</f>
        <v>0.74378881987577505</v>
      </c>
      <c r="P18" s="54"/>
      <c r="Q18" s="1227">
        <f>(G18+G19)/(13.57*15000*(1/24))</f>
        <v>0.76226971260132648</v>
      </c>
      <c r="R18" s="56"/>
      <c r="S18" s="1039">
        <f>(G18+G19)*24/(K18/60)/15000</f>
        <v>0.75320388349514567</v>
      </c>
      <c r="T18" s="46">
        <f>(H18+H21)*24/(M18/60)/15000</f>
        <v>1.0346963478260871</v>
      </c>
      <c r="U18" s="1237">
        <f>(G18+G19)*24/(K18/60)/15300</f>
        <v>0.73843517989720164</v>
      </c>
      <c r="V18" s="24" t="s">
        <v>251</v>
      </c>
    </row>
    <row r="19" spans="2:22" s="19" customFormat="1" ht="49.5" x14ac:dyDescent="0.2">
      <c r="B19" s="1214"/>
      <c r="C19" s="48" t="s">
        <v>42</v>
      </c>
      <c r="D19" s="49">
        <v>4200</v>
      </c>
      <c r="E19" s="1218"/>
      <c r="F19" s="51">
        <f>[16]August_2016!$J23</f>
        <v>302.10000000000002</v>
      </c>
      <c r="G19" s="52">
        <f>[16]August_2016!$F23</f>
        <v>4528</v>
      </c>
      <c r="H19" s="51">
        <f>[16]August_2016!$K23</f>
        <v>298.84800000000001</v>
      </c>
      <c r="I19" s="53">
        <f>[16]August_2016!$N23</f>
        <v>18</v>
      </c>
      <c r="J19" s="1224"/>
      <c r="K19" s="1224"/>
      <c r="L19" s="134">
        <v>0.94097222222222221</v>
      </c>
      <c r="M19" s="54">
        <f>[16]August_2016!$M23</f>
        <v>101</v>
      </c>
      <c r="N19" s="54"/>
      <c r="O19" s="55">
        <f>[16]August_2016!$P23</f>
        <v>1.076464746772595</v>
      </c>
      <c r="P19" s="54"/>
      <c r="Q19" s="1228"/>
      <c r="R19" s="56"/>
      <c r="S19" s="1040"/>
      <c r="T19" s="46"/>
      <c r="U19" s="1239"/>
      <c r="V19" s="24" t="s">
        <v>252</v>
      </c>
    </row>
    <row r="20" spans="2:22" s="19" customFormat="1" ht="49.5" x14ac:dyDescent="0.2">
      <c r="B20" s="1213">
        <v>42599</v>
      </c>
      <c r="C20" s="48" t="s">
        <v>30</v>
      </c>
      <c r="D20" s="49">
        <v>1400</v>
      </c>
      <c r="E20" s="1217">
        <v>0.31944444444444448</v>
      </c>
      <c r="F20" s="51">
        <f>[16]August_2016!$J24</f>
        <v>94</v>
      </c>
      <c r="G20" s="52">
        <f>[16]August_2016!$F24</f>
        <v>1402</v>
      </c>
      <c r="H20" s="51">
        <f>[16]August_2016!$K24</f>
        <v>92.532000000000011</v>
      </c>
      <c r="I20" s="53">
        <f>[16]August_2016!$N24</f>
        <v>9</v>
      </c>
      <c r="J20" s="1223">
        <f>[16]August_2016!$Q24</f>
        <v>374.53488372093022</v>
      </c>
      <c r="K20" s="1223">
        <f>[16]August_2016!$E24</f>
        <v>516</v>
      </c>
      <c r="L20" s="134">
        <v>0.52361111111111114</v>
      </c>
      <c r="M20" s="54">
        <f>[16]August_2016!$M24</f>
        <v>61</v>
      </c>
      <c r="N20" s="54"/>
      <c r="O20" s="55">
        <f>[16]August_2016!$P24</f>
        <v>1.5617021276595633</v>
      </c>
      <c r="P20" s="54"/>
      <c r="Q20" s="1227">
        <f>(G20+G21)/(9*15000*(1/24))</f>
        <v>0.57262222222222225</v>
      </c>
      <c r="R20" s="56"/>
      <c r="S20" s="1039">
        <f>(G20+G21)*24/(K20/60)/15000</f>
        <v>0.59925581395348837</v>
      </c>
      <c r="T20" s="46">
        <f>(H20+H23)*24/(M20/60)/15000</f>
        <v>0.21116537704918034</v>
      </c>
      <c r="U20" s="1237">
        <f>(G20+G21)*24/(K20/60)/15300</f>
        <v>0.58750569995440038</v>
      </c>
      <c r="V20" s="24" t="s">
        <v>253</v>
      </c>
    </row>
    <row r="21" spans="2:22" s="19" customFormat="1" ht="33" x14ac:dyDescent="0.2">
      <c r="B21" s="1214"/>
      <c r="C21" s="48" t="s">
        <v>45</v>
      </c>
      <c r="D21" s="49">
        <v>1800</v>
      </c>
      <c r="E21" s="1218"/>
      <c r="F21" s="51">
        <f>[16]August_2016!$J25</f>
        <v>122.95799999999998</v>
      </c>
      <c r="G21" s="52">
        <f>[16]August_2016!$F25</f>
        <v>1819</v>
      </c>
      <c r="H21" s="51">
        <f>[16]August_2016!$K25</f>
        <v>120.054</v>
      </c>
      <c r="I21" s="53">
        <f>[16]August_2016!$N25</f>
        <v>7</v>
      </c>
      <c r="J21" s="1224"/>
      <c r="K21" s="1224"/>
      <c r="L21" s="134">
        <v>0.72777777777777775</v>
      </c>
      <c r="M21" s="54">
        <f>[16]August_2016!$M25</f>
        <v>92</v>
      </c>
      <c r="N21" s="54"/>
      <c r="O21" s="55">
        <f>[16]August_2016!$P25</f>
        <v>2.3617820719269855</v>
      </c>
      <c r="P21" s="54"/>
      <c r="Q21" s="1228"/>
      <c r="R21" s="56"/>
      <c r="S21" s="1040"/>
      <c r="T21" s="46"/>
      <c r="U21" s="1239"/>
      <c r="V21" s="24" t="s">
        <v>254</v>
      </c>
    </row>
    <row r="22" spans="2:22" s="19" customFormat="1" ht="20.25" x14ac:dyDescent="0.2">
      <c r="B22" s="1213">
        <v>42600</v>
      </c>
      <c r="C22" s="48" t="s">
        <v>29</v>
      </c>
      <c r="D22" s="49">
        <v>4200</v>
      </c>
      <c r="E22" s="1217">
        <v>0.32777777777777778</v>
      </c>
      <c r="F22" s="51">
        <f>[16]August_2016!$J26</f>
        <v>271.5</v>
      </c>
      <c r="G22" s="52">
        <f>[16]August_2016!$F26</f>
        <v>4093</v>
      </c>
      <c r="H22" s="51">
        <f>[16]August_2016!$K26</f>
        <v>270.13800000000003</v>
      </c>
      <c r="I22" s="53">
        <f>[16]August_2016!$N26</f>
        <v>10.75</v>
      </c>
      <c r="J22" s="1223">
        <f>[16]August_2016!$Q26</f>
        <v>501.66371681415933</v>
      </c>
      <c r="K22" s="1223">
        <f>[16]August_2016!$E26</f>
        <v>565</v>
      </c>
      <c r="L22" s="134">
        <v>0.69791666666666663</v>
      </c>
      <c r="M22" s="54">
        <f>[16]August_2016!$M26</f>
        <v>19</v>
      </c>
      <c r="N22" s="54"/>
      <c r="O22" s="55">
        <f>[16]August_2016!$P26</f>
        <v>0.50165745856352351</v>
      </c>
      <c r="P22" s="54"/>
      <c r="Q22" s="1227">
        <f>(G22+G23)/(9.25*15000*(1/24))</f>
        <v>0.81712432432432436</v>
      </c>
      <c r="R22" s="56"/>
      <c r="S22" s="1039">
        <f>(G22+G23)*24/(K22/60)/15000</f>
        <v>0.80266194690265491</v>
      </c>
      <c r="T22" s="46">
        <f>(H22+H25)*24/(M22/60)/15000</f>
        <v>2.2009263157894741</v>
      </c>
      <c r="U22" s="1237">
        <f>(G22+G23)*24/(K22/60)/15300</f>
        <v>0.78692347735554402</v>
      </c>
      <c r="V22" s="24" t="s">
        <v>255</v>
      </c>
    </row>
    <row r="23" spans="2:22" s="19" customFormat="1" ht="20.25" x14ac:dyDescent="0.2">
      <c r="B23" s="1214"/>
      <c r="C23" s="48" t="s">
        <v>107</v>
      </c>
      <c r="D23" s="49">
        <v>700</v>
      </c>
      <c r="E23" s="1218"/>
      <c r="F23" s="51">
        <f>[16]August_2016!$J27</f>
        <v>42.8</v>
      </c>
      <c r="G23" s="52">
        <f>[16]August_2016!$F27</f>
        <v>631</v>
      </c>
      <c r="H23" s="51">
        <f>[16]August_2016!$K27</f>
        <v>41.646000000000001</v>
      </c>
      <c r="I23" s="53">
        <f>[16]August_2016!$N27</f>
        <v>0.75</v>
      </c>
      <c r="J23" s="1224"/>
      <c r="K23" s="1224"/>
      <c r="L23" s="134">
        <v>0.76527777777777783</v>
      </c>
      <c r="M23" s="54">
        <f>[16]August_2016!$M27</f>
        <v>18</v>
      </c>
      <c r="N23" s="54"/>
      <c r="O23" s="55">
        <f>[16]August_2016!$P27</f>
        <v>2.6962616822429823</v>
      </c>
      <c r="P23" s="54"/>
      <c r="Q23" s="1228"/>
      <c r="R23" s="56"/>
      <c r="S23" s="1040"/>
      <c r="T23" s="46"/>
      <c r="U23" s="1239"/>
      <c r="V23" s="24" t="s">
        <v>256</v>
      </c>
    </row>
    <row r="24" spans="2:22" s="19" customFormat="1" ht="36" customHeight="1" x14ac:dyDescent="0.2">
      <c r="B24" s="137">
        <v>42601</v>
      </c>
      <c r="C24" s="48" t="s">
        <v>27</v>
      </c>
      <c r="D24" s="49">
        <v>2800</v>
      </c>
      <c r="E24" s="50">
        <v>0.35416666666666669</v>
      </c>
      <c r="F24" s="51">
        <f>[16]August_2016!$J28</f>
        <v>194.4</v>
      </c>
      <c r="G24" s="52">
        <f>[16]August_2016!$F28</f>
        <v>2937</v>
      </c>
      <c r="H24" s="51">
        <f>[16]August_2016!$K28</f>
        <v>193.84200000000001</v>
      </c>
      <c r="I24" s="53">
        <f>[16]August_2016!$N28</f>
        <v>6</v>
      </c>
      <c r="J24" s="54">
        <f>[16]August_2016!$Q28</f>
        <v>438.35820895522386</v>
      </c>
      <c r="K24" s="54">
        <f>[16]August_2016!$E28</f>
        <v>402</v>
      </c>
      <c r="L24" s="134">
        <v>0.64583333333333337</v>
      </c>
      <c r="M24" s="54">
        <f>[16]August_2016!$M28</f>
        <v>77</v>
      </c>
      <c r="N24" s="54"/>
      <c r="O24" s="55">
        <f>[16]August_2016!$P28</f>
        <v>0.28703703703703332</v>
      </c>
      <c r="P24" s="54"/>
      <c r="Q24" s="66">
        <f>(G24)/(8*15000*(1/24))</f>
        <v>0.58740000000000003</v>
      </c>
      <c r="R24" s="56"/>
      <c r="S24" s="46">
        <f>(G24)*24/(K24/60)/15000</f>
        <v>0.70137313432835824</v>
      </c>
      <c r="T24" s="46">
        <f>(H24+H27)*24/(M24/60)/15000</f>
        <v>0.33136457142857145</v>
      </c>
      <c r="U24" s="125">
        <f>(G24)*24/(K24/60)/15300</f>
        <v>0.68762071992976292</v>
      </c>
      <c r="V24" s="24" t="s">
        <v>257</v>
      </c>
    </row>
    <row r="25" spans="2:22" s="19" customFormat="1" ht="49.5" x14ac:dyDescent="0.2">
      <c r="B25" s="137">
        <v>42604</v>
      </c>
      <c r="C25" s="48" t="s">
        <v>28</v>
      </c>
      <c r="D25" s="49">
        <v>3500</v>
      </c>
      <c r="E25" s="50">
        <v>0.38541666666666669</v>
      </c>
      <c r="F25" s="51">
        <f>[16]August_2016!$J29</f>
        <v>167.49999999999997</v>
      </c>
      <c r="G25" s="52">
        <f>[16]August_2016!$F29</f>
        <v>2507</v>
      </c>
      <c r="H25" s="51">
        <f>[16]August_2016!$K29</f>
        <v>165.46200000000002</v>
      </c>
      <c r="I25" s="53">
        <f>[16]August_2016!$N29</f>
        <v>9</v>
      </c>
      <c r="J25" s="54">
        <f>[16]August_2016!$Q29</f>
        <v>254.08783783783784</v>
      </c>
      <c r="K25" s="54">
        <f>[16]August_2016!$E29</f>
        <v>592</v>
      </c>
      <c r="L25" s="134">
        <v>0.78194444444444444</v>
      </c>
      <c r="M25" s="54">
        <f>[16]August_2016!$M29</f>
        <v>130</v>
      </c>
      <c r="N25" s="54"/>
      <c r="O25" s="55">
        <f>[16]August_2016!$P29</f>
        <v>1.2167164179104204</v>
      </c>
      <c r="P25" s="54"/>
      <c r="Q25" s="66">
        <f>(G25)/(9.7*15000*(1/24))</f>
        <v>0.4135257731958763</v>
      </c>
      <c r="R25" s="56"/>
      <c r="S25" s="46">
        <f>(G25)*24/(K25/60)/15000</f>
        <v>0.40654054054054051</v>
      </c>
      <c r="T25" s="46">
        <f>(H25+H28)*24/(M25/60)/15000</f>
        <v>0.26655064615384622</v>
      </c>
      <c r="U25" s="125">
        <f>(G25)*24/(K25/60)/15300</f>
        <v>0.39856915739268678</v>
      </c>
      <c r="V25" s="24" t="s">
        <v>258</v>
      </c>
    </row>
    <row r="26" spans="2:22" s="19" customFormat="1" ht="33" x14ac:dyDescent="0.2">
      <c r="B26" s="137">
        <v>42605</v>
      </c>
      <c r="C26" s="48" t="s">
        <v>28</v>
      </c>
      <c r="D26" s="49"/>
      <c r="E26" s="50">
        <v>0.31944444444444448</v>
      </c>
      <c r="F26" s="51">
        <f>[16]August_2016!$J30</f>
        <v>83.9</v>
      </c>
      <c r="G26" s="52">
        <f>[16]August_2016!$F30</f>
        <v>1254</v>
      </c>
      <c r="H26" s="51">
        <f>[16]August_2016!$K30</f>
        <v>82.76400000000001</v>
      </c>
      <c r="I26" s="53">
        <f>[16]August_2016!$N30</f>
        <v>7</v>
      </c>
      <c r="J26" s="54">
        <f>[16]August_2016!$Q30</f>
        <v>526.15384615384619</v>
      </c>
      <c r="K26" s="54">
        <f>[16]August_2016!$E30</f>
        <v>143</v>
      </c>
      <c r="L26" s="134">
        <v>0.46736111111111112</v>
      </c>
      <c r="M26" s="54">
        <f>[16]August_2016!$M30</f>
        <v>13</v>
      </c>
      <c r="N26" s="54"/>
      <c r="O26" s="55">
        <f>[16]August_2016!$P30</f>
        <v>1.3539928486293153</v>
      </c>
      <c r="P26" s="54"/>
      <c r="Q26" s="66">
        <f>(G26)/(9*15000*(1/24))</f>
        <v>0.22293333333333334</v>
      </c>
      <c r="R26" s="56"/>
      <c r="S26" s="46">
        <f>(G26)*24/(K26/60)/15000</f>
        <v>0.84184615384615391</v>
      </c>
      <c r="T26" s="46">
        <f>(H26+H29)*24/(M26/60)/15000</f>
        <v>0.6111803076923078</v>
      </c>
      <c r="U26" s="125">
        <f>(G26)*24/(K26/60)/15300</f>
        <v>0.82533936651583717</v>
      </c>
      <c r="V26" s="24" t="s">
        <v>259</v>
      </c>
    </row>
    <row r="27" spans="2:22" s="19" customFormat="1" ht="30.75" customHeight="1" x14ac:dyDescent="0.2">
      <c r="B27" s="137">
        <v>42606</v>
      </c>
      <c r="C27" s="48" t="s">
        <v>32</v>
      </c>
      <c r="D27" s="49">
        <v>4200</v>
      </c>
      <c r="E27" s="50">
        <v>0.32291666666666669</v>
      </c>
      <c r="F27" s="51">
        <f>[16]August_2016!$J31</f>
        <v>74.000000000000014</v>
      </c>
      <c r="G27" s="52">
        <f>[16]August_2016!$F31</f>
        <v>1090</v>
      </c>
      <c r="H27" s="51">
        <f>[16]August_2016!$K31</f>
        <v>71.94</v>
      </c>
      <c r="I27" s="53">
        <f>[16]August_2016!$N31</f>
        <v>10</v>
      </c>
      <c r="J27" s="54">
        <f>[16]August_2016!$Q31</f>
        <v>107.38916256157636</v>
      </c>
      <c r="K27" s="54">
        <f>[16]August_2016!$E31</f>
        <v>609</v>
      </c>
      <c r="L27" s="134">
        <v>0.79305555555555562</v>
      </c>
      <c r="M27" s="54">
        <f>[16]August_2016!$M31</f>
        <v>366</v>
      </c>
      <c r="N27" s="54"/>
      <c r="O27" s="55">
        <f>[16]August_2016!$P31</f>
        <v>2.7837837837838055</v>
      </c>
      <c r="P27" s="54"/>
      <c r="Q27" s="66">
        <f>(G27)/(9.983*15000*(1/24))</f>
        <v>0.17469698487428628</v>
      </c>
      <c r="R27" s="56"/>
      <c r="S27" s="46">
        <f>(G27)*24/(K27/60)/15000</f>
        <v>0.17182266009852215</v>
      </c>
      <c r="T27" s="46">
        <f>(H27+H30)*24/(M27/60)/15000</f>
        <v>7.0717377049180338E-2</v>
      </c>
      <c r="U27" s="125">
        <f>(G27)*24/(K27/60)/15300</f>
        <v>0.16845358833188448</v>
      </c>
      <c r="V27" s="24" t="s">
        <v>260</v>
      </c>
    </row>
    <row r="28" spans="2:22" s="19" customFormat="1" ht="20.25" customHeight="1" x14ac:dyDescent="0.2">
      <c r="B28" s="1213">
        <v>42607</v>
      </c>
      <c r="C28" s="48" t="s">
        <v>32</v>
      </c>
      <c r="D28" s="1215"/>
      <c r="E28" s="1217">
        <v>0.32430555555555557</v>
      </c>
      <c r="F28" s="1219">
        <f>[16]August_2016!$J32</f>
        <v>197</v>
      </c>
      <c r="G28" s="52">
        <f>[16]August_2016!$F32</f>
        <v>97</v>
      </c>
      <c r="H28" s="1219">
        <f>[16]August_2016!$K32</f>
        <v>195.49200000000002</v>
      </c>
      <c r="I28" s="1221">
        <f>[16]August_2016!$N32</f>
        <v>13</v>
      </c>
      <c r="J28" s="1223">
        <f>[16]August_2016!$Q32</f>
        <v>388.5</v>
      </c>
      <c r="K28" s="1223">
        <f>[16]August_2016!$E32</f>
        <v>920</v>
      </c>
      <c r="L28" s="1247">
        <v>0.68541666666666667</v>
      </c>
      <c r="M28" s="1223">
        <f>[16]August_2016!$M32</f>
        <v>135</v>
      </c>
      <c r="N28" s="54"/>
      <c r="O28" s="1225">
        <f>[16]August_2016!$P32</f>
        <v>0.76548223350252853</v>
      </c>
      <c r="P28" s="54"/>
      <c r="Q28" s="1227">
        <f>(G28+G29+G30)/(15.167*15000*(1/24))</f>
        <v>0.62841695786905782</v>
      </c>
      <c r="R28" s="56"/>
      <c r="S28" s="1039">
        <f>(G28+G29+G30)*24/(K28/60)/15000</f>
        <v>0.62160000000000004</v>
      </c>
      <c r="T28" s="46">
        <f>(H28+H31)*24/(M28/60)/15000</f>
        <v>0.31842303999999999</v>
      </c>
      <c r="U28" s="1237">
        <f>(G28+G29+G30)*24/(K28/60)/15300</f>
        <v>0.60941176470588232</v>
      </c>
      <c r="V28" s="1208" t="s">
        <v>261</v>
      </c>
    </row>
    <row r="29" spans="2:22" s="19" customFormat="1" ht="18" customHeight="1" x14ac:dyDescent="0.2">
      <c r="B29" s="1233"/>
      <c r="C29" s="48" t="s">
        <v>29</v>
      </c>
      <c r="D29" s="1216"/>
      <c r="E29" s="1234"/>
      <c r="F29" s="1220"/>
      <c r="G29" s="52">
        <f>[16]August_2016!$F33</f>
        <v>2865</v>
      </c>
      <c r="H29" s="1220"/>
      <c r="I29" s="1222"/>
      <c r="J29" s="1235"/>
      <c r="K29" s="1235"/>
      <c r="L29" s="1248"/>
      <c r="M29" s="1224"/>
      <c r="N29" s="54"/>
      <c r="O29" s="1226"/>
      <c r="P29" s="54"/>
      <c r="Q29" s="1236"/>
      <c r="R29" s="56"/>
      <c r="S29" s="1041"/>
      <c r="T29" s="46"/>
      <c r="U29" s="1238"/>
      <c r="V29" s="1209"/>
    </row>
    <row r="30" spans="2:22" s="19" customFormat="1" ht="33" x14ac:dyDescent="0.2">
      <c r="B30" s="1214"/>
      <c r="C30" s="48" t="s">
        <v>30</v>
      </c>
      <c r="D30" s="49">
        <v>2800</v>
      </c>
      <c r="E30" s="1218"/>
      <c r="F30" s="51">
        <f>[16]August_2016!$J34</f>
        <v>199.1</v>
      </c>
      <c r="G30" s="52">
        <f>[16]August_2016!$F34</f>
        <v>2995</v>
      </c>
      <c r="H30" s="51">
        <f>[16]August_2016!$K34</f>
        <v>197.67000000000002</v>
      </c>
      <c r="I30" s="53">
        <f>[16]August_2016!$N34</f>
        <v>11</v>
      </c>
      <c r="J30" s="1224"/>
      <c r="K30" s="1224"/>
      <c r="L30" s="134">
        <v>1.0104166666666667</v>
      </c>
      <c r="M30" s="54">
        <f>[16]August_2016!$M34</f>
        <v>107</v>
      </c>
      <c r="N30" s="54"/>
      <c r="O30" s="55">
        <f>[16]August_2016!$P34</f>
        <v>0.7182320441988842</v>
      </c>
      <c r="P30" s="54"/>
      <c r="Q30" s="1228"/>
      <c r="R30" s="56"/>
      <c r="S30" s="1040"/>
      <c r="T30" s="46"/>
      <c r="U30" s="1239"/>
      <c r="V30" s="24" t="s">
        <v>262</v>
      </c>
    </row>
    <row r="31" spans="2:22" s="19" customFormat="1" ht="66" x14ac:dyDescent="0.2">
      <c r="B31" s="137">
        <v>42608</v>
      </c>
      <c r="C31" s="48" t="s">
        <v>31</v>
      </c>
      <c r="D31" s="49">
        <v>3500</v>
      </c>
      <c r="E31" s="50">
        <v>0.34375</v>
      </c>
      <c r="F31" s="51">
        <f>[16]August_2016!$J35</f>
        <v>253.70000000000002</v>
      </c>
      <c r="G31" s="52">
        <f>[16]August_2016!$F35</f>
        <v>3391</v>
      </c>
      <c r="H31" s="51">
        <f>[16]August_2016!$K35</f>
        <v>252.29039999999998</v>
      </c>
      <c r="I31" s="53">
        <f>[16]August_2016!$N35</f>
        <v>21</v>
      </c>
      <c r="J31" s="54">
        <f>[16]August_2016!$Q35</f>
        <v>352.00692041522495</v>
      </c>
      <c r="K31" s="54">
        <f>[16]August_2016!$E35</f>
        <v>578</v>
      </c>
      <c r="L31" s="134">
        <v>0.77083333333333337</v>
      </c>
      <c r="M31" s="54">
        <f>[16]August_2016!$M35</f>
        <v>99</v>
      </c>
      <c r="N31" s="54"/>
      <c r="O31" s="55">
        <f>[16]August_2016!$P35</f>
        <v>0.55561687031929052</v>
      </c>
      <c r="P31" s="54"/>
      <c r="Q31" s="66">
        <f>(G31)/(9.467*15000*(1/24))</f>
        <v>0.57310658075419885</v>
      </c>
      <c r="R31" s="56"/>
      <c r="S31" s="46">
        <f>(G31)*24/(K31/60)/15000</f>
        <v>0.56321107266435988</v>
      </c>
      <c r="T31" s="46">
        <f>(H31+H34)*24/(M31/60)/15000</f>
        <v>0.29161735757575757</v>
      </c>
      <c r="U31" s="125">
        <f>(G31)*24/(K31/60)/15300</f>
        <v>0.55216771829839206</v>
      </c>
      <c r="V31" s="24" t="s">
        <v>263</v>
      </c>
    </row>
    <row r="32" spans="2:22" s="19" customFormat="1" ht="66" x14ac:dyDescent="0.2">
      <c r="B32" s="137">
        <v>42611</v>
      </c>
      <c r="C32" s="48" t="s">
        <v>27</v>
      </c>
      <c r="D32" s="49">
        <v>4200</v>
      </c>
      <c r="E32" s="50">
        <v>0.35416666666666669</v>
      </c>
      <c r="F32" s="51">
        <f>[16]August_2016!$J36</f>
        <v>283.2</v>
      </c>
      <c r="G32" s="52">
        <f>[16]August_2016!$F36</f>
        <v>4224</v>
      </c>
      <c r="H32" s="51">
        <f>[16]August_2016!$K36</f>
        <v>281.63400000000001</v>
      </c>
      <c r="I32" s="53">
        <f>[16]August_2016!$N36</f>
        <v>26</v>
      </c>
      <c r="J32" s="54">
        <f>[16]August_2016!$Q36</f>
        <v>415.47540983606558</v>
      </c>
      <c r="K32" s="54">
        <f>[16]August_2016!$E36</f>
        <v>610</v>
      </c>
      <c r="L32" s="134">
        <v>0.7909722222222223</v>
      </c>
      <c r="M32" s="54">
        <f>[16]August_2016!$M36</f>
        <v>179</v>
      </c>
      <c r="N32" s="54"/>
      <c r="O32" s="55">
        <f>[16]August_2016!$P36</f>
        <v>0.55296610169490612</v>
      </c>
      <c r="P32" s="54"/>
      <c r="Q32" s="66">
        <f>(G32)/(10*15000*(1/24))</f>
        <v>0.67584</v>
      </c>
      <c r="R32" s="56"/>
      <c r="S32" s="46">
        <f>(G32)*24/(K32/60)/15000</f>
        <v>0.66476065573770493</v>
      </c>
      <c r="T32" s="46">
        <f>(H32+H35)*24/(M32/60)/15000</f>
        <v>0.27843646927374305</v>
      </c>
      <c r="U32" s="125">
        <f>(G32)*24/(K32/60)/15300</f>
        <v>0.65172613307618132</v>
      </c>
      <c r="V32" s="24" t="s">
        <v>264</v>
      </c>
    </row>
    <row r="33" spans="2:22" s="19" customFormat="1" ht="82.5" x14ac:dyDescent="0.2">
      <c r="B33" s="1213">
        <v>42612</v>
      </c>
      <c r="C33" s="48" t="s">
        <v>27</v>
      </c>
      <c r="D33" s="49">
        <v>4200</v>
      </c>
      <c r="E33" s="1217">
        <v>0.3263888888888889</v>
      </c>
      <c r="F33" s="51">
        <f>[16]August_2016!$J37</f>
        <v>275.89999999999998</v>
      </c>
      <c r="G33" s="52">
        <f>[16]August_2016!$F37</f>
        <v>4142</v>
      </c>
      <c r="H33" s="51">
        <f>[16]August_2016!$K37</f>
        <v>273.37200000000001</v>
      </c>
      <c r="I33" s="53">
        <f>[16]August_2016!$N37</f>
        <v>22</v>
      </c>
      <c r="J33" s="1223">
        <f>[16]August_2016!$Q37</f>
        <v>470.84577114427856</v>
      </c>
      <c r="K33" s="1223">
        <f>[16]August_2016!$E37</f>
        <v>603</v>
      </c>
      <c r="L33" s="134">
        <v>0.72013888888888899</v>
      </c>
      <c r="M33" s="54">
        <f>[16]August_2016!$M37</f>
        <v>63</v>
      </c>
      <c r="N33" s="54"/>
      <c r="O33" s="55">
        <f>[16]August_2016!$P37</f>
        <v>0.91627401232329231</v>
      </c>
      <c r="P33" s="54"/>
      <c r="Q33" s="1227">
        <f>(G33+G34)/(9.883*15000*(1/24))</f>
        <v>0.76608317312556917</v>
      </c>
      <c r="R33" s="56"/>
      <c r="S33" s="1039">
        <f>(G33+G34)*24/(K33/60)/15000</f>
        <v>0.75335323383084563</v>
      </c>
      <c r="T33" s="46">
        <f>(H33+H36)*24/(M33/60)/15000</f>
        <v>0.57134628571428581</v>
      </c>
      <c r="U33" s="1237">
        <f>(G33+G34)*24/(K33/60)/15300</f>
        <v>0.7385816017949467</v>
      </c>
      <c r="V33" s="24" t="s">
        <v>266</v>
      </c>
    </row>
    <row r="34" spans="2:22" s="19" customFormat="1" ht="33" x14ac:dyDescent="0.2">
      <c r="B34" s="1214"/>
      <c r="C34" s="48" t="s">
        <v>29</v>
      </c>
      <c r="D34" s="49"/>
      <c r="E34" s="1218"/>
      <c r="F34" s="51">
        <f>[16]August_2016!$J38</f>
        <v>49.7</v>
      </c>
      <c r="G34" s="52">
        <f>[16]August_2016!$F38</f>
        <v>590</v>
      </c>
      <c r="H34" s="51">
        <f>[16]August_2016!$K38</f>
        <v>48.440000000000005</v>
      </c>
      <c r="I34" s="53">
        <f>[16]August_2016!$N38</f>
        <v>1</v>
      </c>
      <c r="J34" s="1224"/>
      <c r="K34" s="1224"/>
      <c r="L34" s="134">
        <v>0.79513888888888884</v>
      </c>
      <c r="M34" s="54">
        <f>[16]August_2016!$M38</f>
        <v>31</v>
      </c>
      <c r="N34" s="54">
        <f>[16]August_2016!$H38</f>
        <v>1</v>
      </c>
      <c r="O34" s="55">
        <f>[16]August_2016!$P38</f>
        <v>2.5352112676056295</v>
      </c>
      <c r="P34" s="54"/>
      <c r="Q34" s="1228"/>
      <c r="R34" s="56"/>
      <c r="S34" s="1040"/>
      <c r="T34" s="46"/>
      <c r="U34" s="1239"/>
      <c r="V34" s="24" t="s">
        <v>265</v>
      </c>
    </row>
    <row r="35" spans="2:22" s="19" customFormat="1" ht="33" x14ac:dyDescent="0.2">
      <c r="B35" s="1213">
        <v>42613</v>
      </c>
      <c r="C35" s="48" t="s">
        <v>29</v>
      </c>
      <c r="D35" s="49">
        <v>4200</v>
      </c>
      <c r="E35" s="1217">
        <v>0.32777777777777778</v>
      </c>
      <c r="F35" s="51">
        <f>[16]August_2016!$J39</f>
        <v>239.8</v>
      </c>
      <c r="G35" s="52">
        <f>[16]August_2016!$F39</f>
        <v>3599</v>
      </c>
      <c r="H35" s="51">
        <f>[16]August_2016!$K39</f>
        <v>237.53400000000002</v>
      </c>
      <c r="I35" s="53">
        <f>[16]August_2016!$N39</f>
        <v>19</v>
      </c>
      <c r="J35" s="1223">
        <f>[16]August_2016!$Q39</f>
        <v>409.94680851063828</v>
      </c>
      <c r="K35" s="1223">
        <f>[16]August_2016!$E39</f>
        <v>752</v>
      </c>
      <c r="L35" s="134">
        <v>0.72499999999999998</v>
      </c>
      <c r="M35" s="54">
        <f>[16]August_2016!$M39</f>
        <v>118</v>
      </c>
      <c r="N35" s="54"/>
      <c r="O35" s="55">
        <f>[16]August_2016!$P39</f>
        <v>0.94495412844036331</v>
      </c>
      <c r="P35" s="54"/>
      <c r="Q35" s="1227">
        <f>(G35+G36)/(12.37*15000*(1/24))</f>
        <v>0.66457558609539202</v>
      </c>
      <c r="R35" s="56"/>
      <c r="S35" s="1039">
        <f>(G35+G36)*24/(K35/60)/15000</f>
        <v>0.65591489361702127</v>
      </c>
      <c r="T35" s="46">
        <f>(H35+H38)*24/(M35/60)/15000</f>
        <v>0.19324800000000006</v>
      </c>
      <c r="U35" s="1237">
        <f>(G35+G36)*24/(K35/60)/15300</f>
        <v>0.6430538172715895</v>
      </c>
      <c r="V35" s="24" t="s">
        <v>267</v>
      </c>
    </row>
    <row r="36" spans="2:22" s="19" customFormat="1" ht="33" x14ac:dyDescent="0.2">
      <c r="B36" s="1214"/>
      <c r="C36" s="48" t="s">
        <v>51</v>
      </c>
      <c r="D36" s="49">
        <v>1500</v>
      </c>
      <c r="E36" s="1218"/>
      <c r="F36" s="51">
        <f>[16]August_2016!$J40</f>
        <v>102.8</v>
      </c>
      <c r="G36" s="52">
        <f>[16]August_2016!$F40</f>
        <v>1539</v>
      </c>
      <c r="H36" s="51">
        <f>[16]August_2016!$K40</f>
        <v>101.574</v>
      </c>
      <c r="I36" s="53">
        <f>[16]August_2016!$N40</f>
        <v>15</v>
      </c>
      <c r="J36" s="1224"/>
      <c r="K36" s="1224"/>
      <c r="L36" s="134">
        <v>0.90069444444444446</v>
      </c>
      <c r="M36" s="54">
        <f>[16]August_2016!$M40</f>
        <v>27</v>
      </c>
      <c r="N36" s="54"/>
      <c r="O36" s="55">
        <f>[16]August_2016!$P40</f>
        <v>1.1926070038910497</v>
      </c>
      <c r="P36" s="54"/>
      <c r="Q36" s="1228"/>
      <c r="R36" s="56"/>
      <c r="S36" s="1040"/>
      <c r="T36" s="46"/>
      <c r="U36" s="1239"/>
      <c r="V36" s="24" t="s">
        <v>268</v>
      </c>
    </row>
    <row r="37" spans="2:22" s="19" customFormat="1" ht="20.25" x14ac:dyDescent="0.2">
      <c r="B37" s="137"/>
      <c r="C37" s="48"/>
      <c r="D37" s="49"/>
      <c r="E37" s="50"/>
      <c r="F37" s="51"/>
      <c r="G37" s="52"/>
      <c r="H37" s="51"/>
      <c r="I37" s="53"/>
      <c r="J37" s="54"/>
      <c r="K37" s="54"/>
      <c r="L37" s="134"/>
      <c r="M37" s="54"/>
      <c r="N37" s="54"/>
      <c r="O37" s="55"/>
      <c r="P37" s="54"/>
      <c r="Q37" s="66"/>
      <c r="R37" s="56"/>
      <c r="S37" s="46"/>
      <c r="T37" s="46"/>
      <c r="U37" s="125"/>
      <c r="V37" s="24"/>
    </row>
    <row r="38" spans="2:22" s="19" customFormat="1" ht="21" thickBot="1" x14ac:dyDescent="0.25">
      <c r="B38" s="137"/>
      <c r="C38" s="48"/>
      <c r="D38" s="49"/>
      <c r="E38" s="50"/>
      <c r="F38" s="51"/>
      <c r="G38" s="52"/>
      <c r="H38" s="51"/>
      <c r="I38" s="53"/>
      <c r="J38" s="54"/>
      <c r="K38" s="54"/>
      <c r="L38" s="134"/>
      <c r="M38" s="54"/>
      <c r="N38" s="54"/>
      <c r="O38" s="55"/>
      <c r="P38" s="54"/>
      <c r="Q38" s="66"/>
      <c r="R38" s="56"/>
      <c r="S38" s="46"/>
      <c r="T38" s="46"/>
      <c r="U38" s="125"/>
      <c r="V38" s="24"/>
    </row>
    <row r="39" spans="2:22" s="19" customFormat="1" ht="20.25" hidden="1" x14ac:dyDescent="0.2">
      <c r="B39" s="137"/>
      <c r="C39" s="48"/>
      <c r="D39" s="49"/>
      <c r="E39" s="50"/>
      <c r="F39" s="51"/>
      <c r="G39" s="52"/>
      <c r="H39" s="51"/>
      <c r="I39" s="53"/>
      <c r="J39" s="54"/>
      <c r="K39" s="54"/>
      <c r="L39" s="134"/>
      <c r="M39" s="54"/>
      <c r="N39" s="54"/>
      <c r="O39" s="55"/>
      <c r="P39" s="54"/>
      <c r="Q39" s="66"/>
      <c r="R39" s="56"/>
      <c r="S39" s="46"/>
      <c r="T39" s="46"/>
      <c r="U39" s="125"/>
      <c r="V39" s="24"/>
    </row>
    <row r="40" spans="2:22" s="19" customFormat="1" ht="20.25" hidden="1" x14ac:dyDescent="0.2">
      <c r="B40" s="137"/>
      <c r="C40" s="48"/>
      <c r="D40" s="49"/>
      <c r="E40" s="50"/>
      <c r="F40" s="51"/>
      <c r="G40" s="52"/>
      <c r="H40" s="51"/>
      <c r="I40" s="53"/>
      <c r="J40" s="54"/>
      <c r="K40" s="54"/>
      <c r="L40" s="54"/>
      <c r="M40" s="54"/>
      <c r="N40" s="54"/>
      <c r="O40" s="55"/>
      <c r="P40" s="54"/>
      <c r="Q40" s="66"/>
      <c r="R40" s="56"/>
      <c r="S40" s="46"/>
      <c r="T40" s="46"/>
      <c r="U40" s="125"/>
      <c r="V40" s="24"/>
    </row>
    <row r="41" spans="2:22" s="19" customFormat="1" ht="20.25" hidden="1" x14ac:dyDescent="0.2">
      <c r="B41" s="137"/>
      <c r="C41" s="48"/>
      <c r="D41" s="49"/>
      <c r="E41" s="50"/>
      <c r="F41" s="51"/>
      <c r="G41" s="52"/>
      <c r="H41" s="51"/>
      <c r="I41" s="53"/>
      <c r="J41" s="54"/>
      <c r="K41" s="54"/>
      <c r="L41" s="54"/>
      <c r="M41" s="54"/>
      <c r="N41" s="54"/>
      <c r="O41" s="55"/>
      <c r="P41" s="54"/>
      <c r="Q41" s="66"/>
      <c r="R41" s="56"/>
      <c r="S41" s="46"/>
      <c r="T41" s="46"/>
      <c r="U41" s="125"/>
      <c r="V41" s="24"/>
    </row>
    <row r="42" spans="2:22" s="19" customFormat="1" ht="31.5" hidden="1" customHeight="1" thickBot="1" x14ac:dyDescent="0.25">
      <c r="B42" s="137"/>
      <c r="C42" s="48"/>
      <c r="D42" s="49"/>
      <c r="E42" s="50"/>
      <c r="F42" s="51"/>
      <c r="G42" s="52"/>
      <c r="H42" s="51"/>
      <c r="I42" s="53"/>
      <c r="J42" s="54"/>
      <c r="K42" s="54"/>
      <c r="L42" s="54"/>
      <c r="M42" s="54"/>
      <c r="N42" s="54"/>
      <c r="O42" s="55"/>
      <c r="P42" s="54"/>
      <c r="Q42" s="66"/>
      <c r="R42" s="56"/>
      <c r="S42" s="46"/>
      <c r="T42" s="18"/>
      <c r="U42" s="126"/>
      <c r="V42" s="24"/>
    </row>
    <row r="43" spans="2:22" s="19" customFormat="1" ht="31.5" hidden="1" customHeight="1" x14ac:dyDescent="0.2">
      <c r="B43" s="137"/>
      <c r="C43" s="48"/>
      <c r="D43" s="49"/>
      <c r="E43" s="50"/>
      <c r="F43" s="51"/>
      <c r="G43" s="52"/>
      <c r="H43" s="51"/>
      <c r="I43" s="53"/>
      <c r="J43" s="54"/>
      <c r="K43" s="54"/>
      <c r="L43" s="54"/>
      <c r="M43" s="54"/>
      <c r="N43" s="54"/>
      <c r="O43" s="55"/>
      <c r="P43" s="54"/>
      <c r="Q43" s="66"/>
      <c r="R43" s="56"/>
      <c r="S43" s="46"/>
      <c r="T43" s="18"/>
      <c r="U43" s="126"/>
      <c r="V43" s="24"/>
    </row>
    <row r="44" spans="2:22" s="19" customFormat="1" ht="31.5" hidden="1" customHeight="1" x14ac:dyDescent="0.2">
      <c r="B44" s="137"/>
      <c r="C44" s="48"/>
      <c r="D44" s="49"/>
      <c r="E44" s="50"/>
      <c r="F44" s="51"/>
      <c r="G44" s="52"/>
      <c r="H44" s="51"/>
      <c r="I44" s="53"/>
      <c r="J44" s="54"/>
      <c r="K44" s="54"/>
      <c r="L44" s="54"/>
      <c r="M44" s="54"/>
      <c r="N44" s="54"/>
      <c r="O44" s="55"/>
      <c r="P44" s="54"/>
      <c r="Q44" s="66"/>
      <c r="R44" s="56"/>
      <c r="S44" s="46"/>
      <c r="T44" s="18"/>
      <c r="U44" s="126"/>
      <c r="V44" s="24"/>
    </row>
    <row r="45" spans="2:22" s="19" customFormat="1" ht="31.5" hidden="1" customHeight="1" x14ac:dyDescent="0.2">
      <c r="B45" s="137"/>
      <c r="C45" s="48"/>
      <c r="D45" s="49"/>
      <c r="E45" s="50"/>
      <c r="F45" s="51"/>
      <c r="G45" s="52"/>
      <c r="H45" s="51"/>
      <c r="I45" s="53"/>
      <c r="J45" s="54"/>
      <c r="K45" s="54"/>
      <c r="L45" s="54"/>
      <c r="M45" s="54"/>
      <c r="N45" s="54"/>
      <c r="O45" s="55"/>
      <c r="P45" s="54"/>
      <c r="Q45" s="66"/>
      <c r="R45" s="56"/>
      <c r="S45" s="46"/>
      <c r="T45" s="18"/>
      <c r="U45" s="126"/>
      <c r="V45" s="24"/>
    </row>
    <row r="46" spans="2:22" s="19" customFormat="1" ht="31.5" hidden="1" customHeight="1" x14ac:dyDescent="0.2">
      <c r="B46" s="137"/>
      <c r="C46" s="48"/>
      <c r="D46" s="49"/>
      <c r="E46" s="50"/>
      <c r="F46" s="51"/>
      <c r="G46" s="52"/>
      <c r="H46" s="51"/>
      <c r="I46" s="53"/>
      <c r="J46" s="54"/>
      <c r="K46" s="54"/>
      <c r="L46" s="54"/>
      <c r="M46" s="54"/>
      <c r="N46" s="54"/>
      <c r="O46" s="55"/>
      <c r="P46" s="54"/>
      <c r="Q46" s="66"/>
      <c r="R46" s="56"/>
      <c r="S46" s="46"/>
      <c r="T46" s="18"/>
      <c r="U46" s="126"/>
      <c r="V46" s="24"/>
    </row>
    <row r="47" spans="2:22" s="19" customFormat="1" ht="31.5" hidden="1" customHeight="1" x14ac:dyDescent="0.2">
      <c r="B47" s="137"/>
      <c r="C47" s="48"/>
      <c r="D47" s="49"/>
      <c r="E47" s="50"/>
      <c r="F47" s="51"/>
      <c r="G47" s="52"/>
      <c r="H47" s="51"/>
      <c r="I47" s="53"/>
      <c r="J47" s="54"/>
      <c r="K47" s="54"/>
      <c r="L47" s="54"/>
      <c r="M47" s="54"/>
      <c r="N47" s="54"/>
      <c r="O47" s="55"/>
      <c r="P47" s="54"/>
      <c r="Q47" s="66"/>
      <c r="R47" s="56"/>
      <c r="S47" s="46"/>
      <c r="T47" s="18"/>
      <c r="U47" s="126"/>
      <c r="V47" s="24"/>
    </row>
    <row r="48" spans="2:22" s="19" customFormat="1" ht="31.5" hidden="1" customHeight="1" x14ac:dyDescent="0.2">
      <c r="B48" s="137"/>
      <c r="C48" s="48"/>
      <c r="D48" s="49"/>
      <c r="E48" s="50"/>
      <c r="F48" s="51"/>
      <c r="G48" s="52"/>
      <c r="H48" s="51"/>
      <c r="I48" s="53"/>
      <c r="J48" s="54"/>
      <c r="K48" s="54"/>
      <c r="L48" s="54"/>
      <c r="M48" s="54"/>
      <c r="N48" s="54"/>
      <c r="O48" s="55"/>
      <c r="P48" s="54"/>
      <c r="Q48" s="66"/>
      <c r="R48" s="56"/>
      <c r="S48" s="46"/>
      <c r="T48" s="18"/>
      <c r="U48" s="126"/>
      <c r="V48" s="24"/>
    </row>
    <row r="49" spans="2:22" s="19" customFormat="1" ht="31.5" hidden="1" customHeight="1" x14ac:dyDescent="0.2">
      <c r="B49" s="137"/>
      <c r="C49" s="48"/>
      <c r="D49" s="49"/>
      <c r="E49" s="50"/>
      <c r="F49" s="51"/>
      <c r="G49" s="52"/>
      <c r="H49" s="51"/>
      <c r="I49" s="53"/>
      <c r="J49" s="54"/>
      <c r="K49" s="54"/>
      <c r="L49" s="54"/>
      <c r="M49" s="54"/>
      <c r="N49" s="54"/>
      <c r="O49" s="55"/>
      <c r="P49" s="54"/>
      <c r="Q49" s="66"/>
      <c r="R49" s="56"/>
      <c r="S49" s="46"/>
      <c r="T49" s="18"/>
      <c r="U49" s="126"/>
      <c r="V49" s="24"/>
    </row>
    <row r="50" spans="2:22" s="19" customFormat="1" ht="31.5" hidden="1" customHeight="1" x14ac:dyDescent="0.2">
      <c r="B50" s="137"/>
      <c r="C50" s="48"/>
      <c r="D50" s="49"/>
      <c r="E50" s="50"/>
      <c r="F50" s="51"/>
      <c r="G50" s="52"/>
      <c r="H50" s="51"/>
      <c r="I50" s="53"/>
      <c r="J50" s="54"/>
      <c r="K50" s="54"/>
      <c r="L50" s="54"/>
      <c r="M50" s="54"/>
      <c r="N50" s="54"/>
      <c r="O50" s="55"/>
      <c r="P50" s="54"/>
      <c r="Q50" s="66"/>
      <c r="R50" s="56"/>
      <c r="S50" s="46"/>
      <c r="T50" s="18"/>
      <c r="U50" s="126"/>
      <c r="V50" s="24"/>
    </row>
    <row r="51" spans="2:22" s="19" customFormat="1" ht="31.5" hidden="1" customHeight="1" x14ac:dyDescent="0.2">
      <c r="B51" s="137"/>
      <c r="C51" s="48"/>
      <c r="D51" s="49"/>
      <c r="E51" s="50"/>
      <c r="F51" s="51"/>
      <c r="G51" s="52"/>
      <c r="H51" s="51"/>
      <c r="I51" s="53"/>
      <c r="J51" s="54"/>
      <c r="K51" s="54"/>
      <c r="L51" s="54"/>
      <c r="M51" s="54"/>
      <c r="N51" s="54"/>
      <c r="O51" s="55"/>
      <c r="P51" s="54"/>
      <c r="Q51" s="66"/>
      <c r="R51" s="56"/>
      <c r="S51" s="46"/>
      <c r="T51" s="18"/>
      <c r="U51" s="126"/>
      <c r="V51" s="24"/>
    </row>
    <row r="52" spans="2:22" s="19" customFormat="1" ht="31.5" hidden="1" customHeight="1" x14ac:dyDescent="0.2">
      <c r="B52" s="137"/>
      <c r="C52" s="48"/>
      <c r="D52" s="49"/>
      <c r="E52" s="50"/>
      <c r="F52" s="51"/>
      <c r="G52" s="52"/>
      <c r="H52" s="51"/>
      <c r="I52" s="53"/>
      <c r="J52" s="54"/>
      <c r="K52" s="54"/>
      <c r="L52" s="54"/>
      <c r="M52" s="54"/>
      <c r="N52" s="54"/>
      <c r="O52" s="55"/>
      <c r="P52" s="54"/>
      <c r="Q52" s="66"/>
      <c r="R52" s="56"/>
      <c r="S52" s="46"/>
      <c r="T52" s="18"/>
      <c r="U52" s="126"/>
      <c r="V52" s="24"/>
    </row>
    <row r="53" spans="2:22" s="19" customFormat="1" ht="31.5" hidden="1" customHeight="1" x14ac:dyDescent="0.2">
      <c r="B53" s="137"/>
      <c r="C53" s="48"/>
      <c r="D53" s="49"/>
      <c r="E53" s="50"/>
      <c r="F53" s="51"/>
      <c r="G53" s="52"/>
      <c r="H53" s="51"/>
      <c r="I53" s="53"/>
      <c r="J53" s="54"/>
      <c r="K53" s="54"/>
      <c r="L53" s="54"/>
      <c r="M53" s="54"/>
      <c r="N53" s="54"/>
      <c r="O53" s="55"/>
      <c r="P53" s="54"/>
      <c r="Q53" s="66"/>
      <c r="R53" s="56"/>
      <c r="S53" s="46"/>
      <c r="T53" s="18"/>
      <c r="U53" s="126"/>
      <c r="V53" s="24"/>
    </row>
    <row r="54" spans="2:22" s="19" customFormat="1" ht="31.5" hidden="1" customHeight="1" x14ac:dyDescent="0.2">
      <c r="B54" s="137"/>
      <c r="C54" s="48"/>
      <c r="D54" s="49"/>
      <c r="E54" s="50"/>
      <c r="F54" s="51"/>
      <c r="G54" s="52"/>
      <c r="H54" s="51"/>
      <c r="I54" s="53"/>
      <c r="J54" s="54"/>
      <c r="K54" s="54"/>
      <c r="L54" s="54"/>
      <c r="M54" s="54"/>
      <c r="N54" s="54"/>
      <c r="O54" s="55"/>
      <c r="P54" s="54"/>
      <c r="Q54" s="66"/>
      <c r="R54" s="56"/>
      <c r="S54" s="46"/>
      <c r="T54" s="18"/>
      <c r="U54" s="126"/>
      <c r="V54" s="24"/>
    </row>
    <row r="55" spans="2:22" s="19" customFormat="1" ht="31.5" hidden="1" customHeight="1" x14ac:dyDescent="0.2">
      <c r="B55" s="137"/>
      <c r="C55" s="48"/>
      <c r="D55" s="49"/>
      <c r="E55" s="50"/>
      <c r="F55" s="51"/>
      <c r="G55" s="52"/>
      <c r="H55" s="51"/>
      <c r="I55" s="53"/>
      <c r="J55" s="54"/>
      <c r="K55" s="54"/>
      <c r="L55" s="54"/>
      <c r="M55" s="54"/>
      <c r="N55" s="54"/>
      <c r="O55" s="55"/>
      <c r="P55" s="54"/>
      <c r="Q55" s="66"/>
      <c r="R55" s="56"/>
      <c r="S55" s="46"/>
      <c r="T55" s="18" t="e">
        <f>G55*24/(K55/60)/15400</f>
        <v>#DIV/0!</v>
      </c>
      <c r="U55" s="126"/>
      <c r="V55" s="24"/>
    </row>
    <row r="56" spans="2:22" s="19" customFormat="1" ht="31.5" hidden="1" customHeight="1" x14ac:dyDescent="0.2">
      <c r="B56" s="137"/>
      <c r="C56" s="48"/>
      <c r="D56" s="49"/>
      <c r="E56" s="50"/>
      <c r="F56" s="51"/>
      <c r="G56" s="52"/>
      <c r="H56" s="51"/>
      <c r="I56" s="53"/>
      <c r="J56" s="54"/>
      <c r="K56" s="54"/>
      <c r="L56" s="54"/>
      <c r="M56" s="54"/>
      <c r="N56" s="67"/>
      <c r="O56" s="55"/>
      <c r="P56" s="54"/>
      <c r="Q56" s="66"/>
      <c r="R56" s="56"/>
      <c r="S56" s="46"/>
      <c r="T56" s="18" t="e">
        <f>G56*24/(K56/60)/15400</f>
        <v>#DIV/0!</v>
      </c>
      <c r="U56" s="126"/>
      <c r="V56" s="24"/>
    </row>
    <row r="57" spans="2:22" s="19" customFormat="1" ht="30" hidden="1" customHeight="1" x14ac:dyDescent="0.2">
      <c r="B57" s="137"/>
      <c r="C57" s="26"/>
      <c r="D57" s="27"/>
      <c r="E57" s="28"/>
      <c r="F57" s="29"/>
      <c r="G57" s="30"/>
      <c r="H57" s="29"/>
      <c r="I57" s="31"/>
      <c r="J57" s="32"/>
      <c r="K57" s="32"/>
      <c r="L57" s="32"/>
      <c r="M57" s="32"/>
      <c r="N57" s="32"/>
      <c r="O57" s="33"/>
      <c r="P57" s="32"/>
      <c r="Q57" s="46"/>
      <c r="R57" s="34"/>
      <c r="S57" s="46"/>
      <c r="T57" s="18"/>
      <c r="U57" s="126"/>
      <c r="V57" s="24"/>
    </row>
    <row r="58" spans="2:22" s="19" customFormat="1" ht="20.25" hidden="1" x14ac:dyDescent="0.2">
      <c r="B58" s="137"/>
      <c r="C58" s="26"/>
      <c r="D58" s="27"/>
      <c r="E58" s="28"/>
      <c r="F58" s="29"/>
      <c r="G58" s="30"/>
      <c r="H58" s="29"/>
      <c r="I58" s="31"/>
      <c r="J58" s="32"/>
      <c r="K58" s="32"/>
      <c r="L58" s="32"/>
      <c r="M58" s="32"/>
      <c r="N58" s="32"/>
      <c r="O58" s="33"/>
      <c r="P58" s="32"/>
      <c r="Q58" s="46"/>
      <c r="R58" s="34"/>
      <c r="S58" s="46"/>
      <c r="T58" s="18"/>
      <c r="U58" s="126"/>
      <c r="V58" s="24"/>
    </row>
    <row r="59" spans="2:22" s="19" customFormat="1" ht="21" hidden="1" thickBot="1" x14ac:dyDescent="0.25">
      <c r="B59" s="137"/>
      <c r="C59" s="75"/>
      <c r="D59" s="71"/>
      <c r="E59" s="73"/>
      <c r="F59" s="76"/>
      <c r="G59" s="77"/>
      <c r="H59" s="76"/>
      <c r="I59" s="78"/>
      <c r="J59" s="72"/>
      <c r="K59" s="72"/>
      <c r="L59" s="72"/>
      <c r="M59" s="72"/>
      <c r="N59" s="72"/>
      <c r="O59" s="79"/>
      <c r="P59" s="80"/>
      <c r="Q59" s="70"/>
      <c r="R59" s="81"/>
      <c r="S59" s="70"/>
      <c r="T59" s="82"/>
      <c r="U59" s="127"/>
      <c r="V59" s="83"/>
    </row>
    <row r="60" spans="2:22" s="19" customFormat="1" ht="21" customHeight="1" thickBot="1" x14ac:dyDescent="0.35">
      <c r="B60" s="35" t="s">
        <v>3</v>
      </c>
      <c r="C60" s="36"/>
      <c r="D60" s="57">
        <f>SUM(D4:D58)</f>
        <v>79700</v>
      </c>
      <c r="E60" s="58">
        <f>AVERAGE(E4:E58)</f>
        <v>0.3334375</v>
      </c>
      <c r="F60" s="59">
        <f>SUM(F4:F58)</f>
        <v>5472.6909951690823</v>
      </c>
      <c r="G60" s="57">
        <f>SUM(G4:G58)</f>
        <v>80119</v>
      </c>
      <c r="H60" s="59">
        <f>SUM(H4:H58)</f>
        <v>5421.0929999999998</v>
      </c>
      <c r="I60" s="60">
        <f>SUM(I4:I58)</f>
        <v>364</v>
      </c>
      <c r="J60" s="61">
        <f>G60/(K60/60)</f>
        <v>385.40367193137178</v>
      </c>
      <c r="K60" s="57">
        <f>SUM(K4:K58)</f>
        <v>12473</v>
      </c>
      <c r="L60" s="135">
        <f>AVERAGE(L4:L59)</f>
        <v>0.76916666666666689</v>
      </c>
      <c r="M60" s="57">
        <f>SUM(M4:M58)</f>
        <v>2813</v>
      </c>
      <c r="N60" s="60">
        <f>SUM(N4:N58)</f>
        <v>6</v>
      </c>
      <c r="O60" s="87">
        <f>(F60-H60)/F60</f>
        <v>9.4282675953437905E-3</v>
      </c>
      <c r="P60" s="62">
        <f>SUM(P4:P58)</f>
        <v>0</v>
      </c>
      <c r="Q60" s="63">
        <f>AVERAGE(Q4:Q56)</f>
        <v>0.57736223454158542</v>
      </c>
      <c r="R60" s="64"/>
      <c r="S60" s="63">
        <f>(G60)*24/(K60/60)/15000</f>
        <v>0.61664587509019486</v>
      </c>
      <c r="T60" s="63">
        <f>H60*24/(M60/60)/15000</f>
        <v>0.18500708425168857</v>
      </c>
      <c r="U60" s="128">
        <f>(G60)*24/(K60/60)/15300</f>
        <v>0.6045547795001911</v>
      </c>
      <c r="V60" s="21"/>
    </row>
    <row r="61" spans="2:22" ht="16.5" customHeight="1" thickTop="1" x14ac:dyDescent="0.25">
      <c r="B61" s="11"/>
      <c r="C61" s="22" t="s">
        <v>35</v>
      </c>
      <c r="D61" s="42">
        <v>69800</v>
      </c>
      <c r="E61" s="1082" t="s">
        <v>39</v>
      </c>
      <c r="F61" s="1082"/>
      <c r="G61" s="43">
        <f>(D62/D61)</f>
        <v>1.147836676217765</v>
      </c>
      <c r="H61" s="44"/>
      <c r="I61" s="44"/>
      <c r="J61" s="1210">
        <v>0</v>
      </c>
      <c r="K61" s="12"/>
      <c r="L61" s="12"/>
      <c r="M61" s="12"/>
      <c r="N61" s="13"/>
      <c r="O61" s="14"/>
      <c r="P61" s="12"/>
      <c r="Q61" s="15"/>
      <c r="R61" s="16"/>
      <c r="S61" s="15"/>
      <c r="T61" s="15"/>
      <c r="U61" s="15"/>
      <c r="V61" s="17" t="s">
        <v>48</v>
      </c>
    </row>
    <row r="62" spans="2:22" ht="14.25" customHeight="1" x14ac:dyDescent="0.25">
      <c r="B62" s="11"/>
      <c r="C62" s="22" t="s">
        <v>38</v>
      </c>
      <c r="D62" s="42">
        <f>G60</f>
        <v>80119</v>
      </c>
      <c r="E62" s="1082" t="s">
        <v>36</v>
      </c>
      <c r="F62" s="1082"/>
      <c r="G62" s="42">
        <f>July_16!G62+August_16!D62</f>
        <v>636643.66666666674</v>
      </c>
      <c r="H62" s="44"/>
      <c r="I62" s="45" t="s">
        <v>40</v>
      </c>
      <c r="J62" s="1211"/>
      <c r="K62" s="12">
        <v>0</v>
      </c>
      <c r="L62" s="12"/>
      <c r="M62" s="12"/>
      <c r="N62" s="13"/>
      <c r="O62" s="14"/>
      <c r="P62" s="12"/>
      <c r="Q62" s="15"/>
      <c r="R62" s="16"/>
      <c r="S62" s="15"/>
      <c r="T62" s="15"/>
      <c r="U62" s="15"/>
      <c r="V62" s="17"/>
    </row>
    <row r="63" spans="2:22" ht="17.25" thickBot="1" x14ac:dyDescent="0.3">
      <c r="C63" s="23" t="s">
        <v>41</v>
      </c>
      <c r="D63" s="42">
        <f>D61-D62</f>
        <v>-10319</v>
      </c>
      <c r="E63" s="1082" t="s">
        <v>37</v>
      </c>
      <c r="F63" s="1082"/>
      <c r="G63" s="42">
        <f>July_16!G63+August_16!D61</f>
        <v>578050</v>
      </c>
      <c r="H63" s="44"/>
      <c r="I63" s="44"/>
      <c r="J63" s="1212"/>
      <c r="Q63" s="10"/>
      <c r="V63" s="17"/>
    </row>
    <row r="64" spans="2:22" ht="17.25" thickTop="1" x14ac:dyDescent="0.2">
      <c r="B64" s="7"/>
      <c r="C64" s="88" t="s">
        <v>19</v>
      </c>
      <c r="D64" s="89" t="s">
        <v>14</v>
      </c>
      <c r="E64" s="89" t="s">
        <v>23</v>
      </c>
      <c r="F64" s="89" t="s">
        <v>24</v>
      </c>
      <c r="G64" s="90" t="s">
        <v>15</v>
      </c>
      <c r="H64" s="89" t="s">
        <v>17</v>
      </c>
      <c r="I64" s="89" t="s">
        <v>16</v>
      </c>
      <c r="J64" s="91">
        <v>0</v>
      </c>
    </row>
    <row r="65" spans="2:22" ht="16.5" x14ac:dyDescent="0.25">
      <c r="B65" s="8"/>
      <c r="C65" s="92">
        <v>1</v>
      </c>
      <c r="D65" s="93" t="s">
        <v>20</v>
      </c>
      <c r="E65" s="94">
        <f>SUM(G4,G5:G6,G12:G13,G14,G22,G24,G27,G28:G29,G32,G33,G34,G35)</f>
        <v>43340</v>
      </c>
      <c r="F65" s="95">
        <f>SUM(K4,K5,K12,K14,K22,K24,K27,K28,K32,K33,K35)</f>
        <v>7370</v>
      </c>
      <c r="G65" s="96">
        <f>SUM(F4,F5:F6,F12,F14,F22,F24,F27,F28,F32,F33,F34,F35)</f>
        <v>2917.69</v>
      </c>
      <c r="H65" s="96">
        <f>SUM(H4,H5:H6,H12,H14,H22,H24,H27,H28,H32,H33,H34,H35)</f>
        <v>2893.69</v>
      </c>
      <c r="I65" s="97">
        <f t="shared" ref="I65:I70" si="0">(G65-H65)/G65</f>
        <v>8.2256853880981178E-3</v>
      </c>
      <c r="J65" s="98">
        <f>(E65+G15+G23+G30+G36)*24/(F65/60)/15000</f>
        <v>0.64594843962008142</v>
      </c>
      <c r="Q65" s="65"/>
    </row>
    <row r="66" spans="2:22" s="1" customFormat="1" ht="16.5" x14ac:dyDescent="0.25">
      <c r="B66" s="8"/>
      <c r="C66" s="99">
        <v>2</v>
      </c>
      <c r="D66" s="100" t="s">
        <v>21</v>
      </c>
      <c r="E66" s="101">
        <f>SUM(G7,G17,G18,G20,G30)</f>
        <v>14438</v>
      </c>
      <c r="F66" s="102">
        <f>SUM(K7,K17,K18,K20,K28)</f>
        <v>3541</v>
      </c>
      <c r="G66" s="103">
        <f>SUM(F7,F17,F18,F20,F30)</f>
        <v>974.99999999999989</v>
      </c>
      <c r="H66" s="103">
        <f>SUM(H7,H17,H18,H20,H30)</f>
        <v>967.34799999999996</v>
      </c>
      <c r="I66" s="97">
        <f>(G66-H66)/G66</f>
        <v>7.8482051282050581E-3</v>
      </c>
      <c r="J66" s="98">
        <f>(E66+G19+G21+G28+G29)*24/(F66/60)/15000</f>
        <v>0.6438045749788196</v>
      </c>
      <c r="K66"/>
      <c r="L66"/>
      <c r="M66"/>
      <c r="N66" s="2"/>
      <c r="R66"/>
      <c r="S66"/>
      <c r="T66"/>
      <c r="U66"/>
      <c r="V66"/>
    </row>
    <row r="67" spans="2:22" s="1" customFormat="1" ht="16.5" x14ac:dyDescent="0.25">
      <c r="B67" s="8"/>
      <c r="C67" s="92">
        <v>3</v>
      </c>
      <c r="D67" s="100" t="s">
        <v>124</v>
      </c>
      <c r="E67" s="101">
        <f>SUM(G23)</f>
        <v>631</v>
      </c>
      <c r="F67" s="102">
        <f>SUM(K22)</f>
        <v>565</v>
      </c>
      <c r="G67" s="103">
        <f>SUM(F23)</f>
        <v>42.8</v>
      </c>
      <c r="H67" s="103">
        <f>SUM(H23)</f>
        <v>41.646000000000001</v>
      </c>
      <c r="I67" s="97">
        <f t="shared" si="0"/>
        <v>2.6962616822429824E-2</v>
      </c>
      <c r="J67" s="98">
        <f>(E67+G22)*24/(F67/60)/15000</f>
        <v>0.80266194690265491</v>
      </c>
      <c r="K67"/>
      <c r="L67"/>
      <c r="M67"/>
      <c r="N67" s="2"/>
      <c r="R67"/>
      <c r="S67"/>
      <c r="T67"/>
      <c r="U67"/>
      <c r="V67"/>
    </row>
    <row r="68" spans="2:22" s="1" customFormat="1" ht="16.5" x14ac:dyDescent="0.25">
      <c r="B68" s="8"/>
      <c r="C68" s="99">
        <v>4</v>
      </c>
      <c r="D68" s="100" t="s">
        <v>18</v>
      </c>
      <c r="E68" s="101">
        <f>SUM(G16,G19,G25,G26,G31)</f>
        <v>15064</v>
      </c>
      <c r="F68" s="102">
        <f>SUM(K16,K18,K25,K26,K31)</f>
        <v>2787</v>
      </c>
      <c r="G68" s="101">
        <f>SUM(F16,F19,F25,F26,F31)</f>
        <v>1060.5999999999999</v>
      </c>
      <c r="H68" s="101">
        <f>SUM(H16,H19,H25,H26,H31)</f>
        <v>1051.134</v>
      </c>
      <c r="I68" s="97">
        <f t="shared" si="0"/>
        <v>8.9251367150668445E-3</v>
      </c>
      <c r="J68" s="98">
        <f>(E68+G18)*24/(F68/60)/15000</f>
        <v>0.58561033369214199</v>
      </c>
      <c r="K68"/>
      <c r="L68"/>
      <c r="M68"/>
      <c r="N68" s="2"/>
      <c r="Q68" s="8"/>
      <c r="R68"/>
      <c r="S68"/>
      <c r="T68" s="6"/>
      <c r="U68" s="6"/>
      <c r="V68"/>
    </row>
    <row r="69" spans="2:22" s="1" customFormat="1" ht="16.5" x14ac:dyDescent="0.25">
      <c r="B69" s="8"/>
      <c r="C69" s="92">
        <v>5</v>
      </c>
      <c r="D69" s="105" t="s">
        <v>26</v>
      </c>
      <c r="E69" s="106">
        <f>SUM(G15,G21,G36)</f>
        <v>4443</v>
      </c>
      <c r="F69" s="107">
        <f>SUM(K14,K20,K35)</f>
        <v>1780</v>
      </c>
      <c r="G69" s="108">
        <f>SUM(F15,F21,F36)</f>
        <v>298.858</v>
      </c>
      <c r="H69" s="108">
        <f>SUM(H15,H21,H36)</f>
        <v>293.238</v>
      </c>
      <c r="I69" s="97">
        <f t="shared" si="0"/>
        <v>1.8804917385514205E-2</v>
      </c>
      <c r="J69" s="98">
        <f>(E69+G14+G20+G35)*24/(F69/60)/15000</f>
        <v>0.64244494382022466</v>
      </c>
      <c r="K69"/>
      <c r="L69"/>
      <c r="M69"/>
      <c r="N69" s="2"/>
      <c r="R69"/>
      <c r="S69"/>
      <c r="T69" s="6"/>
      <c r="U69" s="6"/>
      <c r="V69"/>
    </row>
    <row r="70" spans="2:22" s="1" customFormat="1" ht="16.5" x14ac:dyDescent="0.25">
      <c r="B70" s="8"/>
      <c r="C70" s="99">
        <v>6</v>
      </c>
      <c r="D70" s="105" t="s">
        <v>25</v>
      </c>
      <c r="E70" s="106">
        <f>SUM(G8:G11)</f>
        <v>2203</v>
      </c>
      <c r="F70" s="107">
        <f>SUM(K8)</f>
        <v>519</v>
      </c>
      <c r="G70" s="108">
        <f>SUM(F8:F11)</f>
        <v>177.74299516908215</v>
      </c>
      <c r="H70" s="108">
        <f>SUM(H8:H11)</f>
        <v>174.03699999999998</v>
      </c>
      <c r="I70" s="97">
        <f t="shared" si="0"/>
        <v>2.0850302233045855E-2</v>
      </c>
      <c r="J70" s="98">
        <f>(E70)*24/(F70/60)/15000</f>
        <v>0.40749132947976874</v>
      </c>
      <c r="K70"/>
      <c r="L70"/>
      <c r="M70"/>
      <c r="N70" s="2"/>
      <c r="R70"/>
      <c r="S70"/>
      <c r="T70"/>
      <c r="U70"/>
      <c r="V70"/>
    </row>
    <row r="71" spans="2:22" s="1" customFormat="1" ht="17.25" thickBot="1" x14ac:dyDescent="0.3">
      <c r="C71" s="112"/>
      <c r="D71" s="113" t="s">
        <v>22</v>
      </c>
      <c r="E71" s="114">
        <f>SUM(E65:E70)</f>
        <v>80119</v>
      </c>
      <c r="F71" s="115">
        <f>K60</f>
        <v>12473</v>
      </c>
      <c r="G71" s="116">
        <f>SUM(G65:G70)</f>
        <v>5472.6909951690823</v>
      </c>
      <c r="H71" s="116">
        <f>SUM(H65:H70)</f>
        <v>5421.0930000000008</v>
      </c>
      <c r="I71" s="117">
        <f>((G71)-(H71))/(G71)</f>
        <v>9.4282675953436257E-3</v>
      </c>
      <c r="J71" s="118">
        <f>E71*24/(F71/60)/15000</f>
        <v>0.61664587509019486</v>
      </c>
      <c r="K71"/>
      <c r="L71"/>
      <c r="M71"/>
      <c r="N71" s="2"/>
      <c r="R71"/>
      <c r="S71"/>
      <c r="T71"/>
      <c r="U71"/>
      <c r="V71"/>
    </row>
    <row r="72" spans="2:22" s="1" customFormat="1" ht="13.5" thickTop="1" x14ac:dyDescent="0.2">
      <c r="J72"/>
      <c r="K72"/>
      <c r="L72"/>
      <c r="M72"/>
      <c r="N72" s="2"/>
      <c r="R72"/>
      <c r="S72"/>
      <c r="T72"/>
      <c r="U72"/>
      <c r="V72"/>
    </row>
    <row r="73" spans="2:22" s="1" customFormat="1" x14ac:dyDescent="0.2">
      <c r="E73" s="3"/>
      <c r="F73" s="119"/>
      <c r="G73" s="120"/>
      <c r="H73" s="120"/>
      <c r="I73"/>
      <c r="J73"/>
      <c r="K73"/>
      <c r="L73"/>
      <c r="M73"/>
      <c r="N73" s="2"/>
      <c r="R73"/>
      <c r="S73"/>
      <c r="T73"/>
      <c r="U73"/>
      <c r="V73"/>
    </row>
    <row r="74" spans="2:22" s="1" customFormat="1" ht="13.5" customHeight="1" x14ac:dyDescent="0.2">
      <c r="J74"/>
      <c r="K74"/>
      <c r="L74"/>
      <c r="M74"/>
      <c r="N74" s="2"/>
      <c r="R74"/>
      <c r="S74"/>
      <c r="T74"/>
      <c r="U74"/>
      <c r="V74" s="9"/>
    </row>
    <row r="75" spans="2:22" s="1" customFormat="1" ht="12.75" customHeight="1" x14ac:dyDescent="0.2">
      <c r="J75"/>
      <c r="K75"/>
      <c r="L75"/>
      <c r="M75"/>
      <c r="N75" s="2"/>
      <c r="R75"/>
      <c r="S75"/>
      <c r="T75"/>
      <c r="U75"/>
      <c r="V75" s="9"/>
    </row>
    <row r="76" spans="2:22" s="1" customFormat="1" ht="12.75" customHeight="1" x14ac:dyDescent="0.2">
      <c r="J76"/>
      <c r="K76"/>
      <c r="L76"/>
      <c r="M76"/>
      <c r="N76" s="2"/>
      <c r="R76"/>
      <c r="S76"/>
      <c r="T76"/>
      <c r="U76"/>
      <c r="V76" s="9"/>
    </row>
    <row r="77" spans="2:22" s="1" customFormat="1" ht="12.75" customHeight="1" x14ac:dyDescent="0.2">
      <c r="J77"/>
      <c r="K77"/>
      <c r="L77"/>
      <c r="M77"/>
      <c r="N77" s="2"/>
      <c r="R77"/>
      <c r="S77"/>
      <c r="T77"/>
      <c r="U77"/>
      <c r="V77" s="9"/>
    </row>
    <row r="78" spans="2:22" s="1" customFormat="1" ht="12.75" customHeight="1" x14ac:dyDescent="0.2">
      <c r="J78"/>
      <c r="K78"/>
      <c r="L78"/>
      <c r="M78"/>
      <c r="N78" s="2"/>
      <c r="R78"/>
      <c r="S78"/>
      <c r="T78"/>
      <c r="U78"/>
      <c r="V78" s="9"/>
    </row>
    <row r="79" spans="2:22" s="1" customFormat="1" ht="12.75" customHeight="1" x14ac:dyDescent="0.2">
      <c r="J79"/>
      <c r="K79"/>
      <c r="L79"/>
      <c r="M79"/>
      <c r="N79" s="2"/>
      <c r="R79"/>
      <c r="S79"/>
      <c r="T79"/>
      <c r="U79"/>
      <c r="V79" s="9"/>
    </row>
    <row r="80" spans="2:22" s="1" customFormat="1" ht="12.75" customHeight="1" x14ac:dyDescent="0.2">
      <c r="J80"/>
      <c r="K80"/>
      <c r="L80"/>
      <c r="M80"/>
      <c r="N80" s="2"/>
      <c r="R80"/>
      <c r="S80"/>
      <c r="T80"/>
      <c r="U80"/>
      <c r="V80" s="9"/>
    </row>
    <row r="81" spans="10:22" s="1" customFormat="1" x14ac:dyDescent="0.2">
      <c r="J81"/>
      <c r="K81"/>
      <c r="L81"/>
      <c r="M81"/>
      <c r="N81" s="2"/>
      <c r="R81"/>
      <c r="S81"/>
      <c r="T81"/>
      <c r="U81"/>
      <c r="V81" s="9"/>
    </row>
    <row r="82" spans="10:22" s="1" customFormat="1" ht="12.75" customHeight="1" x14ac:dyDescent="0.2">
      <c r="J82"/>
      <c r="K82"/>
      <c r="L82"/>
      <c r="M82"/>
      <c r="N82" s="2"/>
      <c r="R82"/>
      <c r="S82"/>
      <c r="T82"/>
      <c r="U82"/>
      <c r="V82" s="9"/>
    </row>
    <row r="83" spans="10:22" s="1" customFormat="1" ht="12.75" customHeight="1" x14ac:dyDescent="0.2">
      <c r="J83"/>
      <c r="K83"/>
      <c r="L83"/>
      <c r="M83"/>
      <c r="N83" s="2"/>
      <c r="R83"/>
      <c r="S83"/>
      <c r="T83"/>
      <c r="U83"/>
      <c r="V83" s="9"/>
    </row>
    <row r="84" spans="10:22" s="1" customFormat="1" ht="12.75" customHeight="1" x14ac:dyDescent="0.2">
      <c r="J84"/>
      <c r="K84"/>
      <c r="L84"/>
      <c r="M84"/>
      <c r="N84" s="2"/>
      <c r="R84"/>
      <c r="S84"/>
      <c r="T84"/>
      <c r="U84"/>
      <c r="V84" s="9"/>
    </row>
    <row r="85" spans="10:22" s="1" customFormat="1" ht="12.75" customHeight="1" x14ac:dyDescent="0.2">
      <c r="J85"/>
      <c r="K85"/>
      <c r="L85"/>
      <c r="M85"/>
      <c r="N85" s="2"/>
      <c r="R85"/>
      <c r="S85"/>
      <c r="T85"/>
      <c r="U85"/>
      <c r="V85" s="9"/>
    </row>
    <row r="86" spans="10:22" s="1" customFormat="1" ht="12.75" customHeight="1" x14ac:dyDescent="0.2">
      <c r="J86"/>
      <c r="K86"/>
      <c r="L86"/>
      <c r="M86"/>
      <c r="N86" s="2"/>
      <c r="R86"/>
      <c r="S86"/>
      <c r="T86"/>
      <c r="U86"/>
      <c r="V86" s="9"/>
    </row>
    <row r="87" spans="10:22" s="1" customFormat="1" x14ac:dyDescent="0.2">
      <c r="J87"/>
      <c r="K87"/>
      <c r="L87"/>
      <c r="M87"/>
      <c r="N87" s="2"/>
      <c r="R87"/>
      <c r="S87"/>
      <c r="T87"/>
      <c r="U87"/>
      <c r="V87"/>
    </row>
    <row r="88" spans="10:22" s="1" customFormat="1" x14ac:dyDescent="0.2">
      <c r="J88"/>
      <c r="K88"/>
      <c r="L88"/>
      <c r="M88"/>
      <c r="N88" s="2"/>
      <c r="R88"/>
      <c r="S88"/>
      <c r="T88"/>
      <c r="U88"/>
      <c r="V88"/>
    </row>
    <row r="89" spans="10:22" s="1" customFormat="1" x14ac:dyDescent="0.2">
      <c r="J89"/>
      <c r="K89"/>
      <c r="L89"/>
      <c r="M89"/>
      <c r="N89" s="2"/>
      <c r="R89"/>
      <c r="S89"/>
      <c r="T89"/>
      <c r="U89"/>
      <c r="V89"/>
    </row>
    <row r="90" spans="10:22" s="1" customFormat="1" x14ac:dyDescent="0.2">
      <c r="J90"/>
      <c r="K90"/>
      <c r="L90"/>
      <c r="M90"/>
      <c r="N90" s="2"/>
      <c r="R90"/>
      <c r="S90"/>
      <c r="T90"/>
      <c r="U90"/>
      <c r="V90"/>
    </row>
    <row r="91" spans="10:22" s="1" customFormat="1" x14ac:dyDescent="0.2">
      <c r="J91"/>
      <c r="K91"/>
      <c r="L91"/>
      <c r="M91"/>
      <c r="N91" s="2"/>
      <c r="R91"/>
      <c r="S91"/>
      <c r="T91"/>
      <c r="U91"/>
      <c r="V91"/>
    </row>
    <row r="92" spans="10:22" s="1" customFormat="1" x14ac:dyDescent="0.2">
      <c r="J92"/>
      <c r="K92"/>
      <c r="L92"/>
      <c r="M92"/>
      <c r="N92" s="2"/>
      <c r="R92"/>
      <c r="S92"/>
      <c r="T92"/>
      <c r="U92"/>
      <c r="V92"/>
    </row>
    <row r="93" spans="10:22" s="1" customFormat="1" x14ac:dyDescent="0.2">
      <c r="J93"/>
      <c r="K93"/>
      <c r="L93"/>
      <c r="M93"/>
      <c r="N93" s="2"/>
      <c r="R93"/>
      <c r="S93"/>
      <c r="T93"/>
      <c r="U93"/>
      <c r="V93"/>
    </row>
    <row r="94" spans="10:22" s="1" customFormat="1" x14ac:dyDescent="0.2">
      <c r="J94"/>
      <c r="K94"/>
      <c r="L94"/>
      <c r="M94"/>
      <c r="N94" s="2"/>
      <c r="R94"/>
      <c r="S94"/>
      <c r="T94"/>
      <c r="U94"/>
      <c r="V94"/>
    </row>
    <row r="95" spans="10:22" s="1" customFormat="1" x14ac:dyDescent="0.2">
      <c r="J95"/>
      <c r="K95"/>
      <c r="L95"/>
      <c r="M95"/>
      <c r="N95" s="2"/>
      <c r="R95"/>
      <c r="S95"/>
      <c r="T95"/>
      <c r="U95"/>
      <c r="V95"/>
    </row>
    <row r="96" spans="10:22" s="1" customFormat="1" x14ac:dyDescent="0.2">
      <c r="J96"/>
      <c r="K96"/>
      <c r="L96"/>
      <c r="M96"/>
      <c r="N96" s="2"/>
      <c r="R96"/>
      <c r="S96"/>
      <c r="T96"/>
      <c r="U96"/>
      <c r="V96"/>
    </row>
    <row r="97" spans="10:22" s="1" customFormat="1" x14ac:dyDescent="0.2">
      <c r="J97"/>
      <c r="K97"/>
      <c r="L97"/>
      <c r="M97"/>
      <c r="N97" s="2"/>
      <c r="R97"/>
      <c r="S97"/>
      <c r="T97"/>
      <c r="U97"/>
      <c r="V97"/>
    </row>
    <row r="98" spans="10:22" s="1" customFormat="1" x14ac:dyDescent="0.2">
      <c r="J98"/>
      <c r="K98"/>
      <c r="L98"/>
      <c r="M98"/>
      <c r="N98" s="2"/>
      <c r="R98"/>
      <c r="S98"/>
      <c r="T98"/>
      <c r="U98"/>
      <c r="V98"/>
    </row>
    <row r="99" spans="10:22" s="1" customFormat="1" x14ac:dyDescent="0.2">
      <c r="J99"/>
      <c r="K99"/>
      <c r="L99"/>
      <c r="M99"/>
      <c r="N99" s="2"/>
      <c r="R99"/>
      <c r="S99"/>
      <c r="T99"/>
      <c r="U99"/>
      <c r="V99"/>
    </row>
    <row r="100" spans="10:22" s="1" customFormat="1" x14ac:dyDescent="0.2">
      <c r="J100"/>
      <c r="K100"/>
      <c r="L100"/>
      <c r="M100"/>
      <c r="N100" s="2"/>
      <c r="R100"/>
      <c r="S100"/>
      <c r="T100"/>
      <c r="U100"/>
      <c r="V100"/>
    </row>
    <row r="101" spans="10:22" s="1" customFormat="1" x14ac:dyDescent="0.2">
      <c r="J101"/>
      <c r="K101"/>
      <c r="L101"/>
      <c r="M101"/>
      <c r="N101" s="2"/>
      <c r="R101"/>
      <c r="S101"/>
      <c r="T101"/>
      <c r="U101"/>
      <c r="V101"/>
    </row>
    <row r="102" spans="10:22" s="1" customFormat="1" x14ac:dyDescent="0.2">
      <c r="J102"/>
      <c r="K102"/>
      <c r="L102"/>
      <c r="M102"/>
      <c r="N102" s="2"/>
      <c r="R102"/>
      <c r="S102"/>
      <c r="T102"/>
      <c r="U102"/>
      <c r="V102"/>
    </row>
    <row r="103" spans="10:22" s="1" customFormat="1" x14ac:dyDescent="0.2">
      <c r="J103"/>
      <c r="K103"/>
      <c r="L103"/>
      <c r="M103"/>
      <c r="N103" s="2"/>
      <c r="R103"/>
      <c r="S103"/>
      <c r="T103"/>
      <c r="U103"/>
      <c r="V103"/>
    </row>
    <row r="104" spans="10:22" s="1" customFormat="1" x14ac:dyDescent="0.2">
      <c r="J104"/>
      <c r="K104"/>
      <c r="L104"/>
      <c r="M104"/>
      <c r="N104" s="2"/>
      <c r="R104"/>
      <c r="S104"/>
      <c r="T104"/>
      <c r="U104"/>
      <c r="V104"/>
    </row>
    <row r="105" spans="10:22" s="1" customFormat="1" x14ac:dyDescent="0.2">
      <c r="J105"/>
      <c r="K105"/>
      <c r="L105"/>
      <c r="M105"/>
      <c r="N105" s="2"/>
      <c r="R105"/>
      <c r="S105"/>
      <c r="T105"/>
      <c r="U105"/>
      <c r="V105"/>
    </row>
    <row r="106" spans="10:22" s="1" customFormat="1" x14ac:dyDescent="0.2">
      <c r="J106"/>
      <c r="K106"/>
      <c r="L106"/>
      <c r="M106"/>
      <c r="N106" s="2"/>
      <c r="R106"/>
      <c r="S106"/>
      <c r="T106"/>
      <c r="U106"/>
      <c r="V106"/>
    </row>
    <row r="107" spans="10:22" s="1" customFormat="1" x14ac:dyDescent="0.2">
      <c r="J107"/>
      <c r="K107"/>
      <c r="L107"/>
      <c r="M107"/>
      <c r="N107" s="2"/>
      <c r="R107"/>
      <c r="S107"/>
      <c r="T107"/>
      <c r="U107"/>
      <c r="V107"/>
    </row>
    <row r="108" spans="10:22" s="1" customFormat="1" x14ac:dyDescent="0.2">
      <c r="J108"/>
      <c r="K108"/>
      <c r="L108"/>
      <c r="M108"/>
      <c r="N108" s="2"/>
      <c r="R108"/>
      <c r="S108"/>
      <c r="T108"/>
      <c r="U108"/>
      <c r="V108"/>
    </row>
    <row r="109" spans="10:22" s="1" customFormat="1" x14ac:dyDescent="0.2">
      <c r="J109"/>
      <c r="K109"/>
      <c r="L109"/>
      <c r="M109"/>
      <c r="N109" s="2"/>
      <c r="R109"/>
      <c r="S109"/>
      <c r="T109"/>
      <c r="U109"/>
      <c r="V109"/>
    </row>
    <row r="110" spans="10:22" s="1" customFormat="1" x14ac:dyDescent="0.2">
      <c r="J110"/>
      <c r="K110"/>
      <c r="L110"/>
      <c r="M110"/>
      <c r="N110" s="2"/>
      <c r="R110"/>
      <c r="S110"/>
      <c r="T110"/>
      <c r="U110"/>
      <c r="V110"/>
    </row>
    <row r="111" spans="10:22" s="1" customFormat="1" x14ac:dyDescent="0.2">
      <c r="J111"/>
      <c r="K111"/>
      <c r="L111"/>
      <c r="M111"/>
      <c r="N111" s="2"/>
      <c r="R111"/>
      <c r="S111"/>
      <c r="T111"/>
      <c r="U111"/>
      <c r="V111"/>
    </row>
    <row r="112" spans="10:22" s="1" customFormat="1" x14ac:dyDescent="0.2">
      <c r="J112"/>
      <c r="K112"/>
      <c r="L112"/>
      <c r="M112"/>
      <c r="N112" s="2"/>
      <c r="R112"/>
      <c r="S112"/>
      <c r="T112"/>
      <c r="U112"/>
      <c r="V112"/>
    </row>
    <row r="113" spans="10:22" s="1" customFormat="1" x14ac:dyDescent="0.2">
      <c r="J113"/>
      <c r="K113"/>
      <c r="L113"/>
      <c r="M113"/>
      <c r="N113" s="2"/>
      <c r="R113"/>
      <c r="S113"/>
      <c r="T113"/>
      <c r="U113"/>
      <c r="V113"/>
    </row>
    <row r="114" spans="10:22" s="1" customFormat="1" x14ac:dyDescent="0.2">
      <c r="J114"/>
      <c r="K114"/>
      <c r="L114"/>
      <c r="M114"/>
      <c r="N114" s="2"/>
      <c r="R114"/>
      <c r="S114"/>
      <c r="T114"/>
      <c r="U114"/>
      <c r="V114"/>
    </row>
    <row r="115" spans="10:22" s="1" customFormat="1" x14ac:dyDescent="0.2">
      <c r="J115"/>
      <c r="K115"/>
      <c r="L115"/>
      <c r="M115"/>
      <c r="N115" s="2"/>
      <c r="R115"/>
      <c r="S115"/>
      <c r="T115"/>
      <c r="U115"/>
      <c r="V115"/>
    </row>
    <row r="116" spans="10:22" s="1" customFormat="1" x14ac:dyDescent="0.2">
      <c r="J116"/>
      <c r="K116"/>
      <c r="L116"/>
      <c r="M116"/>
      <c r="N116" s="2"/>
      <c r="R116"/>
      <c r="S116"/>
      <c r="T116"/>
      <c r="U116"/>
      <c r="V116"/>
    </row>
    <row r="117" spans="10:22" s="1" customFormat="1" x14ac:dyDescent="0.2">
      <c r="J117"/>
      <c r="K117"/>
      <c r="L117"/>
      <c r="M117"/>
      <c r="N117" s="2"/>
      <c r="R117"/>
      <c r="S117"/>
      <c r="T117"/>
      <c r="U117"/>
      <c r="V117"/>
    </row>
    <row r="118" spans="10:22" s="1" customFormat="1" x14ac:dyDescent="0.2">
      <c r="J118"/>
      <c r="K118"/>
      <c r="L118"/>
      <c r="M118"/>
      <c r="N118" s="2"/>
      <c r="R118"/>
      <c r="S118"/>
      <c r="T118"/>
      <c r="U118"/>
      <c r="V118"/>
    </row>
    <row r="119" spans="10:22" s="1" customFormat="1" x14ac:dyDescent="0.2">
      <c r="J119"/>
      <c r="K119"/>
      <c r="L119"/>
      <c r="M119"/>
      <c r="N119" s="2"/>
      <c r="R119"/>
      <c r="S119"/>
      <c r="T119"/>
      <c r="U119"/>
      <c r="V119"/>
    </row>
    <row r="120" spans="10:22" s="1" customFormat="1" x14ac:dyDescent="0.2">
      <c r="J120"/>
      <c r="K120"/>
      <c r="L120"/>
      <c r="M120"/>
      <c r="N120" s="2"/>
      <c r="R120"/>
      <c r="S120"/>
      <c r="T120"/>
      <c r="U120"/>
      <c r="V120"/>
    </row>
    <row r="121" spans="10:22" s="1" customFormat="1" x14ac:dyDescent="0.2">
      <c r="J121"/>
      <c r="K121"/>
      <c r="L121"/>
      <c r="M121"/>
      <c r="N121" s="2"/>
      <c r="R121"/>
      <c r="S121"/>
      <c r="T121"/>
      <c r="U121"/>
      <c r="V121"/>
    </row>
    <row r="122" spans="10:22" s="1" customFormat="1" x14ac:dyDescent="0.2">
      <c r="J122"/>
      <c r="K122"/>
      <c r="L122"/>
      <c r="M122"/>
      <c r="N122" s="2"/>
      <c r="R122"/>
      <c r="S122"/>
      <c r="T122"/>
      <c r="U122"/>
      <c r="V122"/>
    </row>
    <row r="123" spans="10:22" s="1" customFormat="1" x14ac:dyDescent="0.2">
      <c r="J123"/>
      <c r="K123"/>
      <c r="L123"/>
      <c r="M123"/>
      <c r="N123" s="2"/>
      <c r="R123"/>
      <c r="S123"/>
      <c r="T123"/>
      <c r="U123"/>
      <c r="V123"/>
    </row>
    <row r="124" spans="10:22" s="1" customFormat="1" x14ac:dyDescent="0.2">
      <c r="J124"/>
      <c r="K124"/>
      <c r="L124"/>
      <c r="M124"/>
      <c r="N124" s="2"/>
      <c r="R124"/>
      <c r="S124"/>
      <c r="T124"/>
      <c r="U124"/>
      <c r="V124"/>
    </row>
    <row r="125" spans="10:22" s="1" customFormat="1" x14ac:dyDescent="0.2">
      <c r="J125"/>
      <c r="K125"/>
      <c r="L125"/>
      <c r="M125"/>
      <c r="N125" s="2"/>
      <c r="R125"/>
      <c r="S125"/>
      <c r="T125"/>
      <c r="U125"/>
      <c r="V125"/>
    </row>
    <row r="126" spans="10:22" s="1" customFormat="1" x14ac:dyDescent="0.2">
      <c r="J126"/>
      <c r="K126"/>
      <c r="L126"/>
      <c r="M126"/>
      <c r="N126" s="2"/>
      <c r="R126"/>
      <c r="S126"/>
      <c r="T126"/>
      <c r="U126"/>
      <c r="V126"/>
    </row>
    <row r="127" spans="10:22" s="1" customFormat="1" x14ac:dyDescent="0.2">
      <c r="J127"/>
      <c r="K127"/>
      <c r="L127"/>
      <c r="M127"/>
      <c r="N127" s="2"/>
      <c r="R127"/>
      <c r="S127"/>
      <c r="T127"/>
      <c r="U127"/>
      <c r="V127"/>
    </row>
    <row r="128" spans="10:22" s="1" customFormat="1" x14ac:dyDescent="0.2">
      <c r="J128"/>
      <c r="K128"/>
      <c r="L128"/>
      <c r="M128"/>
      <c r="N128" s="2"/>
      <c r="R128"/>
      <c r="S128"/>
      <c r="T128"/>
      <c r="U128"/>
      <c r="V128"/>
    </row>
    <row r="129" spans="10:22" s="1" customFormat="1" x14ac:dyDescent="0.2">
      <c r="J129"/>
      <c r="K129"/>
      <c r="L129"/>
      <c r="M129"/>
      <c r="N129" s="2"/>
      <c r="R129"/>
      <c r="S129"/>
      <c r="T129"/>
      <c r="U129"/>
      <c r="V129"/>
    </row>
    <row r="130" spans="10:22" s="1" customFormat="1" x14ac:dyDescent="0.2">
      <c r="J130"/>
      <c r="K130"/>
      <c r="L130"/>
      <c r="M130"/>
      <c r="N130" s="2"/>
      <c r="R130"/>
      <c r="S130"/>
      <c r="T130"/>
      <c r="U130"/>
      <c r="V130"/>
    </row>
    <row r="131" spans="10:22" s="1" customFormat="1" x14ac:dyDescent="0.2">
      <c r="J131"/>
      <c r="K131"/>
      <c r="L131"/>
      <c r="M131"/>
      <c r="N131" s="2"/>
      <c r="R131"/>
      <c r="S131"/>
      <c r="T131"/>
      <c r="U131"/>
      <c r="V131"/>
    </row>
    <row r="132" spans="10:22" s="1" customFormat="1" x14ac:dyDescent="0.2">
      <c r="J132"/>
      <c r="K132"/>
      <c r="L132"/>
      <c r="M132"/>
      <c r="N132" s="2"/>
      <c r="R132"/>
      <c r="S132"/>
      <c r="T132"/>
      <c r="U132"/>
      <c r="V132"/>
    </row>
    <row r="133" spans="10:22" s="1" customFormat="1" x14ac:dyDescent="0.2">
      <c r="J133"/>
      <c r="K133"/>
      <c r="L133"/>
      <c r="M133"/>
      <c r="N133" s="2"/>
      <c r="R133"/>
      <c r="S133"/>
      <c r="T133"/>
      <c r="U133"/>
      <c r="V133"/>
    </row>
    <row r="134" spans="10:22" s="1" customFormat="1" x14ac:dyDescent="0.2">
      <c r="J134"/>
      <c r="K134"/>
      <c r="L134"/>
      <c r="M134"/>
      <c r="N134" s="2"/>
      <c r="R134"/>
      <c r="S134"/>
      <c r="T134"/>
      <c r="U134"/>
      <c r="V134"/>
    </row>
    <row r="135" spans="10:22" s="1" customFormat="1" x14ac:dyDescent="0.2">
      <c r="J135"/>
      <c r="K135"/>
      <c r="L135"/>
      <c r="M135"/>
      <c r="N135" s="2"/>
      <c r="R135"/>
      <c r="S135"/>
      <c r="T135"/>
      <c r="U135"/>
      <c r="V135"/>
    </row>
    <row r="136" spans="10:22" s="1" customFormat="1" x14ac:dyDescent="0.2">
      <c r="J136"/>
      <c r="K136"/>
      <c r="L136"/>
      <c r="M136"/>
      <c r="N136" s="2"/>
      <c r="R136"/>
      <c r="S136"/>
      <c r="T136"/>
      <c r="U136"/>
      <c r="V136"/>
    </row>
    <row r="137" spans="10:22" s="1" customFormat="1" x14ac:dyDescent="0.2">
      <c r="J137"/>
      <c r="K137"/>
      <c r="L137"/>
      <c r="M137"/>
      <c r="N137" s="2"/>
      <c r="R137"/>
      <c r="S137"/>
      <c r="T137"/>
      <c r="U137"/>
      <c r="V137"/>
    </row>
    <row r="138" spans="10:22" s="1" customFormat="1" x14ac:dyDescent="0.2">
      <c r="J138"/>
      <c r="K138"/>
      <c r="L138"/>
      <c r="M138"/>
      <c r="N138" s="2"/>
      <c r="R138"/>
      <c r="S138"/>
      <c r="T138"/>
      <c r="U138"/>
      <c r="V138"/>
    </row>
    <row r="139" spans="10:22" s="1" customFormat="1" x14ac:dyDescent="0.2">
      <c r="J139"/>
      <c r="K139"/>
      <c r="L139"/>
      <c r="M139"/>
      <c r="N139" s="2"/>
      <c r="R139"/>
      <c r="S139"/>
      <c r="T139"/>
      <c r="U139"/>
      <c r="V139"/>
    </row>
    <row r="140" spans="10:22" s="1" customFormat="1" x14ac:dyDescent="0.2">
      <c r="J140"/>
      <c r="K140"/>
      <c r="L140"/>
      <c r="M140"/>
      <c r="N140" s="2"/>
      <c r="R140"/>
      <c r="S140"/>
      <c r="T140"/>
      <c r="U140"/>
      <c r="V140"/>
    </row>
    <row r="141" spans="10:22" s="1" customFormat="1" x14ac:dyDescent="0.2">
      <c r="J141"/>
      <c r="K141"/>
      <c r="L141"/>
      <c r="M141"/>
      <c r="N141" s="2"/>
      <c r="R141"/>
      <c r="S141"/>
      <c r="T141"/>
      <c r="U141"/>
      <c r="V141"/>
    </row>
    <row r="142" spans="10:22" s="1" customFormat="1" x14ac:dyDescent="0.2">
      <c r="J142"/>
      <c r="K142"/>
      <c r="L142"/>
      <c r="M142"/>
      <c r="N142" s="2"/>
      <c r="R142"/>
      <c r="S142"/>
      <c r="T142"/>
      <c r="U142"/>
      <c r="V142"/>
    </row>
    <row r="143" spans="10:22" s="1" customFormat="1" x14ac:dyDescent="0.2">
      <c r="J143"/>
      <c r="K143"/>
      <c r="L143"/>
      <c r="M143"/>
      <c r="N143" s="2"/>
      <c r="R143"/>
      <c r="S143"/>
      <c r="T143"/>
      <c r="U143"/>
      <c r="V143"/>
    </row>
    <row r="144" spans="10:22" s="1" customFormat="1" x14ac:dyDescent="0.2">
      <c r="J144"/>
      <c r="K144"/>
      <c r="L144"/>
      <c r="M144"/>
      <c r="N144" s="2"/>
      <c r="R144"/>
      <c r="S144"/>
      <c r="T144"/>
      <c r="U144"/>
      <c r="V144"/>
    </row>
    <row r="145" spans="10:22" s="1" customFormat="1" x14ac:dyDescent="0.2">
      <c r="J145"/>
      <c r="K145"/>
      <c r="L145"/>
      <c r="M145"/>
      <c r="N145" s="2"/>
      <c r="R145"/>
      <c r="S145"/>
      <c r="T145"/>
      <c r="U145"/>
      <c r="V145"/>
    </row>
    <row r="146" spans="10:22" s="1" customFormat="1" x14ac:dyDescent="0.2">
      <c r="J146"/>
      <c r="K146"/>
      <c r="L146"/>
      <c r="M146"/>
      <c r="N146" s="2"/>
      <c r="R146"/>
      <c r="S146"/>
      <c r="T146"/>
      <c r="U146"/>
      <c r="V146"/>
    </row>
    <row r="147" spans="10:22" s="1" customFormat="1" x14ac:dyDescent="0.2">
      <c r="J147"/>
      <c r="K147"/>
      <c r="L147"/>
      <c r="M147"/>
      <c r="N147" s="2"/>
      <c r="R147"/>
      <c r="S147"/>
      <c r="T147"/>
      <c r="U147"/>
      <c r="V147"/>
    </row>
    <row r="148" spans="10:22" s="1" customFormat="1" x14ac:dyDescent="0.2">
      <c r="J148"/>
      <c r="K148"/>
      <c r="L148"/>
      <c r="M148"/>
      <c r="N148" s="2"/>
      <c r="R148"/>
      <c r="S148"/>
      <c r="T148"/>
      <c r="U148"/>
      <c r="V148"/>
    </row>
    <row r="149" spans="10:22" s="1" customFormat="1" x14ac:dyDescent="0.2">
      <c r="J149"/>
      <c r="K149"/>
      <c r="L149"/>
      <c r="M149"/>
      <c r="N149" s="2"/>
      <c r="R149"/>
      <c r="S149"/>
      <c r="T149"/>
      <c r="U149"/>
      <c r="V149"/>
    </row>
    <row r="150" spans="10:22" s="1" customFormat="1" x14ac:dyDescent="0.2">
      <c r="J150"/>
      <c r="K150"/>
      <c r="L150"/>
      <c r="M150"/>
      <c r="N150" s="2"/>
      <c r="R150"/>
      <c r="S150"/>
      <c r="T150"/>
      <c r="U150"/>
      <c r="V150"/>
    </row>
    <row r="151" spans="10:22" s="1" customFormat="1" x14ac:dyDescent="0.2">
      <c r="J151"/>
      <c r="K151"/>
      <c r="L151"/>
      <c r="M151"/>
      <c r="N151" s="2"/>
      <c r="R151"/>
      <c r="S151"/>
      <c r="T151"/>
      <c r="U151"/>
      <c r="V151"/>
    </row>
    <row r="152" spans="10:22" s="1" customFormat="1" x14ac:dyDescent="0.2">
      <c r="J152"/>
      <c r="K152"/>
      <c r="L152"/>
      <c r="M152"/>
      <c r="N152" s="2"/>
      <c r="R152"/>
      <c r="S152"/>
      <c r="T152"/>
      <c r="U152"/>
      <c r="V152"/>
    </row>
    <row r="153" spans="10:22" s="1" customFormat="1" x14ac:dyDescent="0.2">
      <c r="J153"/>
      <c r="K153"/>
      <c r="L153"/>
      <c r="M153"/>
      <c r="N153" s="2"/>
      <c r="R153"/>
      <c r="S153"/>
      <c r="T153"/>
      <c r="U153"/>
      <c r="V153"/>
    </row>
    <row r="154" spans="10:22" s="1" customFormat="1" x14ac:dyDescent="0.2">
      <c r="J154"/>
      <c r="K154"/>
      <c r="L154"/>
      <c r="M154"/>
      <c r="N154" s="2"/>
      <c r="R154"/>
      <c r="S154"/>
      <c r="T154"/>
      <c r="U154"/>
      <c r="V154"/>
    </row>
    <row r="155" spans="10:22" s="1" customFormat="1" x14ac:dyDescent="0.2">
      <c r="J155"/>
      <c r="K155"/>
      <c r="L155"/>
      <c r="M155"/>
      <c r="N155" s="2"/>
      <c r="R155"/>
      <c r="S155"/>
      <c r="T155"/>
      <c r="U155"/>
      <c r="V155"/>
    </row>
    <row r="156" spans="10:22" s="1" customFormat="1" x14ac:dyDescent="0.2">
      <c r="J156"/>
      <c r="K156"/>
      <c r="L156"/>
      <c r="M156"/>
      <c r="N156" s="2"/>
      <c r="R156"/>
      <c r="S156"/>
      <c r="T156"/>
      <c r="U156"/>
      <c r="V156"/>
    </row>
    <row r="157" spans="10:22" s="1" customFormat="1" x14ac:dyDescent="0.2">
      <c r="J157"/>
      <c r="K157"/>
      <c r="L157"/>
      <c r="M157"/>
      <c r="N157" s="2"/>
      <c r="R157"/>
      <c r="S157"/>
      <c r="T157"/>
      <c r="U157"/>
      <c r="V157"/>
    </row>
    <row r="158" spans="10:22" s="1" customFormat="1" x14ac:dyDescent="0.2">
      <c r="J158"/>
      <c r="K158"/>
      <c r="L158"/>
      <c r="M158"/>
      <c r="N158" s="2"/>
      <c r="R158"/>
      <c r="S158"/>
      <c r="T158"/>
      <c r="U158"/>
      <c r="V158"/>
    </row>
    <row r="159" spans="10:22" s="1" customFormat="1" x14ac:dyDescent="0.2">
      <c r="J159"/>
      <c r="K159"/>
      <c r="L159"/>
      <c r="M159"/>
      <c r="N159" s="2"/>
      <c r="R159"/>
      <c r="S159"/>
      <c r="T159"/>
      <c r="U159"/>
      <c r="V159"/>
    </row>
    <row r="160" spans="10:22" s="1" customFormat="1" x14ac:dyDescent="0.2">
      <c r="J160"/>
      <c r="K160"/>
      <c r="L160"/>
      <c r="M160"/>
      <c r="N160" s="2"/>
      <c r="R160"/>
      <c r="S160"/>
      <c r="T160"/>
      <c r="U160"/>
      <c r="V160"/>
    </row>
    <row r="161" spans="10:22" s="1" customFormat="1" x14ac:dyDescent="0.2">
      <c r="J161"/>
      <c r="K161"/>
      <c r="L161"/>
      <c r="M161"/>
      <c r="N161" s="2"/>
      <c r="R161"/>
      <c r="S161"/>
      <c r="T161"/>
      <c r="U161"/>
      <c r="V161"/>
    </row>
    <row r="162" spans="10:22" s="1" customFormat="1" x14ac:dyDescent="0.2">
      <c r="J162"/>
      <c r="K162"/>
      <c r="L162"/>
      <c r="M162"/>
      <c r="N162" s="2"/>
      <c r="R162"/>
      <c r="S162"/>
      <c r="T162"/>
      <c r="U162"/>
      <c r="V162"/>
    </row>
    <row r="163" spans="10:22" s="1" customFormat="1" x14ac:dyDescent="0.2">
      <c r="J163"/>
      <c r="K163"/>
      <c r="L163"/>
      <c r="M163"/>
      <c r="N163" s="2"/>
      <c r="R163"/>
      <c r="S163"/>
      <c r="T163"/>
      <c r="U163"/>
      <c r="V163"/>
    </row>
    <row r="164" spans="10:22" s="1" customFormat="1" x14ac:dyDescent="0.2">
      <c r="J164"/>
      <c r="K164"/>
      <c r="L164"/>
      <c r="M164"/>
      <c r="N164" s="2"/>
      <c r="R164"/>
      <c r="S164"/>
      <c r="T164"/>
      <c r="U164"/>
      <c r="V164"/>
    </row>
    <row r="165" spans="10:22" s="1" customFormat="1" x14ac:dyDescent="0.2">
      <c r="J165"/>
      <c r="K165"/>
      <c r="L165"/>
      <c r="M165"/>
      <c r="N165" s="2"/>
      <c r="R165"/>
      <c r="S165"/>
      <c r="T165"/>
      <c r="U165"/>
      <c r="V165"/>
    </row>
    <row r="166" spans="10:22" s="1" customFormat="1" x14ac:dyDescent="0.2">
      <c r="J166"/>
      <c r="K166"/>
      <c r="L166"/>
      <c r="M166"/>
      <c r="N166" s="2"/>
      <c r="R166"/>
      <c r="S166"/>
      <c r="T166"/>
      <c r="U166"/>
      <c r="V166"/>
    </row>
    <row r="167" spans="10:22" s="1" customFormat="1" x14ac:dyDescent="0.2">
      <c r="J167"/>
      <c r="K167"/>
      <c r="L167"/>
      <c r="M167"/>
      <c r="N167" s="2"/>
      <c r="R167"/>
      <c r="S167"/>
      <c r="T167"/>
      <c r="U167"/>
      <c r="V167"/>
    </row>
    <row r="168" spans="10:22" s="1" customFormat="1" x14ac:dyDescent="0.2">
      <c r="J168"/>
      <c r="K168"/>
      <c r="L168"/>
      <c r="M168"/>
      <c r="N168" s="2"/>
      <c r="R168"/>
      <c r="S168"/>
      <c r="T168"/>
      <c r="U168"/>
      <c r="V168"/>
    </row>
    <row r="169" spans="10:22" s="1" customFormat="1" x14ac:dyDescent="0.2">
      <c r="J169"/>
      <c r="K169"/>
      <c r="L169"/>
      <c r="M169"/>
      <c r="N169" s="2"/>
      <c r="R169"/>
      <c r="S169"/>
      <c r="T169"/>
      <c r="U169"/>
      <c r="V169"/>
    </row>
    <row r="170" spans="10:22" s="1" customFormat="1" x14ac:dyDescent="0.2">
      <c r="J170"/>
      <c r="K170"/>
      <c r="L170"/>
      <c r="M170"/>
      <c r="N170" s="2"/>
      <c r="R170"/>
      <c r="S170"/>
      <c r="T170"/>
      <c r="U170"/>
      <c r="V170"/>
    </row>
    <row r="171" spans="10:22" s="1" customFormat="1" x14ac:dyDescent="0.2">
      <c r="J171"/>
      <c r="K171"/>
      <c r="L171"/>
      <c r="M171"/>
      <c r="N171" s="2"/>
      <c r="R171"/>
      <c r="S171"/>
      <c r="T171"/>
      <c r="U171"/>
      <c r="V171"/>
    </row>
    <row r="172" spans="10:22" s="1" customFormat="1" x14ac:dyDescent="0.2">
      <c r="J172"/>
      <c r="K172"/>
      <c r="L172"/>
      <c r="M172"/>
      <c r="N172" s="2"/>
      <c r="R172"/>
      <c r="S172"/>
      <c r="T172"/>
      <c r="U172"/>
      <c r="V172"/>
    </row>
    <row r="173" spans="10:22" s="1" customFormat="1" x14ac:dyDescent="0.2">
      <c r="J173"/>
      <c r="K173"/>
      <c r="L173"/>
      <c r="M173"/>
      <c r="N173" s="2"/>
      <c r="R173"/>
      <c r="S173"/>
      <c r="T173"/>
      <c r="U173"/>
      <c r="V173"/>
    </row>
    <row r="174" spans="10:22" s="1" customFormat="1" x14ac:dyDescent="0.2">
      <c r="J174"/>
      <c r="K174"/>
      <c r="L174"/>
      <c r="M174"/>
      <c r="N174" s="2"/>
      <c r="R174"/>
      <c r="S174"/>
      <c r="T174"/>
      <c r="U174"/>
      <c r="V174"/>
    </row>
    <row r="175" spans="10:22" s="1" customFormat="1" x14ac:dyDescent="0.2">
      <c r="J175"/>
      <c r="K175"/>
      <c r="L175"/>
      <c r="M175"/>
      <c r="N175" s="2"/>
      <c r="R175"/>
      <c r="S175"/>
      <c r="T175"/>
      <c r="U175"/>
      <c r="V175"/>
    </row>
    <row r="176" spans="10:22" s="1" customFormat="1" x14ac:dyDescent="0.2">
      <c r="J176"/>
      <c r="K176"/>
      <c r="L176"/>
      <c r="M176"/>
      <c r="N176" s="2"/>
      <c r="R176"/>
      <c r="S176"/>
      <c r="T176"/>
      <c r="U176"/>
      <c r="V176"/>
    </row>
    <row r="177" spans="10:22" s="1" customFormat="1" x14ac:dyDescent="0.2">
      <c r="J177"/>
      <c r="K177"/>
      <c r="L177"/>
      <c r="M177"/>
      <c r="N177" s="2"/>
      <c r="R177"/>
      <c r="S177"/>
      <c r="T177"/>
      <c r="U177"/>
      <c r="V177"/>
    </row>
    <row r="178" spans="10:22" s="1" customFormat="1" x14ac:dyDescent="0.2">
      <c r="J178"/>
      <c r="K178"/>
      <c r="L178"/>
      <c r="M178"/>
      <c r="N178" s="2"/>
      <c r="R178"/>
      <c r="S178"/>
      <c r="T178"/>
      <c r="U178"/>
      <c r="V178"/>
    </row>
    <row r="179" spans="10:22" s="1" customFormat="1" x14ac:dyDescent="0.2">
      <c r="J179"/>
      <c r="K179"/>
      <c r="L179"/>
      <c r="M179"/>
      <c r="N179" s="2"/>
      <c r="R179"/>
      <c r="S179"/>
      <c r="T179"/>
      <c r="U179"/>
      <c r="V179"/>
    </row>
    <row r="180" spans="10:22" s="1" customFormat="1" x14ac:dyDescent="0.2">
      <c r="J180"/>
      <c r="K180"/>
      <c r="L180"/>
      <c r="M180"/>
      <c r="N180" s="2"/>
      <c r="R180"/>
      <c r="S180"/>
      <c r="T180"/>
      <c r="U180"/>
      <c r="V180"/>
    </row>
    <row r="181" spans="10:22" s="1" customFormat="1" x14ac:dyDescent="0.2">
      <c r="J181"/>
      <c r="K181"/>
      <c r="L181"/>
      <c r="M181"/>
      <c r="N181" s="2"/>
      <c r="R181"/>
      <c r="S181"/>
      <c r="T181"/>
      <c r="U181"/>
      <c r="V181"/>
    </row>
    <row r="182" spans="10:22" s="1" customFormat="1" x14ac:dyDescent="0.2">
      <c r="J182"/>
      <c r="K182"/>
      <c r="L182"/>
      <c r="M182"/>
      <c r="N182" s="2"/>
      <c r="R182"/>
      <c r="S182"/>
      <c r="T182"/>
      <c r="U182"/>
      <c r="V182"/>
    </row>
    <row r="183" spans="10:22" s="1" customFormat="1" x14ac:dyDescent="0.2">
      <c r="J183"/>
      <c r="K183"/>
      <c r="L183"/>
      <c r="M183"/>
      <c r="N183" s="2"/>
      <c r="R183"/>
      <c r="S183"/>
      <c r="T183"/>
      <c r="U183"/>
      <c r="V183"/>
    </row>
    <row r="184" spans="10:22" s="1" customFormat="1" x14ac:dyDescent="0.2">
      <c r="J184"/>
      <c r="K184"/>
      <c r="L184"/>
      <c r="M184"/>
      <c r="N184" s="2"/>
      <c r="R184"/>
      <c r="S184"/>
      <c r="T184"/>
      <c r="U184"/>
      <c r="V184"/>
    </row>
    <row r="185" spans="10:22" s="1" customFormat="1" x14ac:dyDescent="0.2">
      <c r="J185"/>
      <c r="K185"/>
      <c r="L185"/>
      <c r="M185"/>
      <c r="N185" s="2"/>
      <c r="R185"/>
      <c r="S185"/>
      <c r="T185"/>
      <c r="U185"/>
      <c r="V185"/>
    </row>
    <row r="186" spans="10:22" s="1" customFormat="1" x14ac:dyDescent="0.2">
      <c r="J186"/>
      <c r="K186"/>
      <c r="L186"/>
      <c r="M186"/>
      <c r="N186" s="2"/>
      <c r="R186"/>
      <c r="S186"/>
      <c r="T186"/>
      <c r="U186"/>
      <c r="V186"/>
    </row>
    <row r="187" spans="10:22" s="1" customFormat="1" x14ac:dyDescent="0.2">
      <c r="J187"/>
      <c r="K187"/>
      <c r="L187"/>
      <c r="M187"/>
      <c r="N187" s="2"/>
      <c r="R187"/>
      <c r="S187"/>
      <c r="T187"/>
      <c r="U187"/>
      <c r="V187"/>
    </row>
    <row r="188" spans="10:22" s="1" customFormat="1" x14ac:dyDescent="0.2">
      <c r="J188"/>
      <c r="K188"/>
      <c r="L188"/>
      <c r="M188"/>
      <c r="N188" s="2"/>
      <c r="R188"/>
      <c r="S188"/>
      <c r="T188"/>
      <c r="U188"/>
      <c r="V188"/>
    </row>
    <row r="189" spans="10:22" s="1" customFormat="1" x14ac:dyDescent="0.2">
      <c r="J189"/>
      <c r="K189"/>
      <c r="L189"/>
      <c r="M189"/>
      <c r="N189" s="2"/>
      <c r="R189"/>
      <c r="S189"/>
      <c r="T189"/>
      <c r="U189"/>
      <c r="V189"/>
    </row>
    <row r="190" spans="10:22" s="1" customFormat="1" x14ac:dyDescent="0.2">
      <c r="J190"/>
      <c r="K190"/>
      <c r="L190"/>
      <c r="M190"/>
      <c r="N190" s="2"/>
      <c r="R190"/>
      <c r="S190"/>
      <c r="T190"/>
      <c r="U190"/>
      <c r="V190"/>
    </row>
    <row r="191" spans="10:22" s="1" customFormat="1" x14ac:dyDescent="0.2">
      <c r="J191"/>
      <c r="K191"/>
      <c r="L191"/>
      <c r="M191"/>
      <c r="N191" s="2"/>
      <c r="R191"/>
      <c r="S191"/>
      <c r="T191"/>
      <c r="U191"/>
      <c r="V191"/>
    </row>
    <row r="192" spans="10:22" s="1" customFormat="1" x14ac:dyDescent="0.2">
      <c r="J192"/>
      <c r="K192"/>
      <c r="L192"/>
      <c r="M192"/>
      <c r="N192" s="2"/>
      <c r="R192"/>
      <c r="S192"/>
      <c r="T192"/>
      <c r="U192"/>
      <c r="V192"/>
    </row>
    <row r="193" spans="10:22" s="1" customFormat="1" x14ac:dyDescent="0.2">
      <c r="J193"/>
      <c r="K193"/>
      <c r="L193"/>
      <c r="M193"/>
      <c r="N193" s="2"/>
      <c r="R193"/>
      <c r="S193"/>
      <c r="T193"/>
      <c r="U193"/>
      <c r="V193"/>
    </row>
    <row r="194" spans="10:22" s="1" customFormat="1" x14ac:dyDescent="0.2">
      <c r="J194"/>
      <c r="K194"/>
      <c r="L194"/>
      <c r="M194"/>
      <c r="N194" s="2"/>
      <c r="R194"/>
      <c r="S194"/>
      <c r="T194"/>
      <c r="U194"/>
      <c r="V194"/>
    </row>
    <row r="195" spans="10:22" s="1" customFormat="1" x14ac:dyDescent="0.2">
      <c r="J195"/>
      <c r="K195"/>
      <c r="L195"/>
      <c r="M195"/>
      <c r="N195" s="2"/>
      <c r="R195"/>
      <c r="S195"/>
      <c r="T195"/>
      <c r="U195"/>
      <c r="V195"/>
    </row>
    <row r="196" spans="10:22" s="1" customFormat="1" x14ac:dyDescent="0.2">
      <c r="J196"/>
      <c r="K196"/>
      <c r="L196"/>
      <c r="M196"/>
      <c r="N196" s="2"/>
      <c r="R196"/>
      <c r="S196"/>
      <c r="T196"/>
      <c r="U196"/>
      <c r="V196"/>
    </row>
    <row r="197" spans="10:22" s="1" customFormat="1" x14ac:dyDescent="0.2">
      <c r="J197"/>
      <c r="K197"/>
      <c r="L197"/>
      <c r="M197"/>
      <c r="N197" s="2"/>
      <c r="R197"/>
      <c r="S197"/>
      <c r="T197"/>
      <c r="U197"/>
      <c r="V197"/>
    </row>
    <row r="198" spans="10:22" s="1" customFormat="1" x14ac:dyDescent="0.2">
      <c r="J198"/>
      <c r="K198"/>
      <c r="L198"/>
      <c r="M198"/>
      <c r="N198" s="2"/>
      <c r="R198"/>
      <c r="S198"/>
      <c r="T198"/>
      <c r="U198"/>
      <c r="V198"/>
    </row>
    <row r="199" spans="10:22" s="1" customFormat="1" x14ac:dyDescent="0.2">
      <c r="J199"/>
      <c r="K199"/>
      <c r="L199"/>
      <c r="M199"/>
      <c r="N199" s="2"/>
      <c r="R199"/>
      <c r="S199"/>
      <c r="T199"/>
      <c r="U199"/>
      <c r="V199"/>
    </row>
    <row r="200" spans="10:22" s="1" customFormat="1" x14ac:dyDescent="0.2">
      <c r="J200"/>
      <c r="K200"/>
      <c r="L200"/>
      <c r="M200"/>
      <c r="N200" s="2"/>
      <c r="R200"/>
      <c r="S200"/>
      <c r="T200"/>
      <c r="U200"/>
      <c r="V200"/>
    </row>
    <row r="201" spans="10:22" s="1" customFormat="1" x14ac:dyDescent="0.2">
      <c r="J201"/>
      <c r="K201"/>
      <c r="L201"/>
      <c r="M201"/>
      <c r="N201" s="2"/>
      <c r="R201"/>
      <c r="S201"/>
      <c r="T201"/>
      <c r="U201"/>
      <c r="V201"/>
    </row>
    <row r="202" spans="10:22" s="1" customFormat="1" x14ac:dyDescent="0.2">
      <c r="J202"/>
      <c r="K202"/>
      <c r="L202"/>
      <c r="M202"/>
      <c r="N202" s="2"/>
      <c r="R202"/>
      <c r="S202"/>
      <c r="T202"/>
      <c r="U202"/>
      <c r="V202"/>
    </row>
    <row r="203" spans="10:22" s="1" customFormat="1" x14ac:dyDescent="0.2">
      <c r="J203"/>
      <c r="K203"/>
      <c r="L203"/>
      <c r="M203"/>
      <c r="N203" s="2"/>
      <c r="R203"/>
      <c r="S203"/>
      <c r="T203"/>
      <c r="U203"/>
      <c r="V203"/>
    </row>
    <row r="204" spans="10:22" s="1" customFormat="1" x14ac:dyDescent="0.2">
      <c r="J204"/>
      <c r="K204"/>
      <c r="L204"/>
      <c r="M204"/>
      <c r="N204" s="2"/>
      <c r="R204"/>
      <c r="S204"/>
      <c r="T204"/>
      <c r="U204"/>
      <c r="V204"/>
    </row>
    <row r="205" spans="10:22" s="1" customFormat="1" x14ac:dyDescent="0.2">
      <c r="J205"/>
      <c r="K205"/>
      <c r="L205"/>
      <c r="M205"/>
      <c r="N205" s="2"/>
      <c r="R205"/>
      <c r="S205"/>
      <c r="T205"/>
      <c r="U205"/>
      <c r="V205"/>
    </row>
    <row r="206" spans="10:22" s="1" customFormat="1" x14ac:dyDescent="0.2">
      <c r="J206"/>
      <c r="K206"/>
      <c r="L206"/>
      <c r="M206"/>
      <c r="N206" s="2"/>
      <c r="R206"/>
      <c r="S206"/>
      <c r="T206"/>
      <c r="U206"/>
      <c r="V206"/>
    </row>
    <row r="207" spans="10:22" s="1" customFormat="1" x14ac:dyDescent="0.2">
      <c r="J207"/>
      <c r="K207"/>
      <c r="L207"/>
      <c r="M207"/>
      <c r="N207" s="2"/>
      <c r="R207"/>
      <c r="S207"/>
      <c r="T207"/>
      <c r="U207"/>
      <c r="V207"/>
    </row>
    <row r="208" spans="10:22" s="1" customFormat="1" x14ac:dyDescent="0.2">
      <c r="J208"/>
      <c r="K208"/>
      <c r="L208"/>
      <c r="M208"/>
      <c r="N208" s="2"/>
      <c r="R208"/>
      <c r="S208"/>
      <c r="T208"/>
      <c r="U208"/>
      <c r="V208"/>
    </row>
    <row r="209" spans="10:22" s="1" customFormat="1" x14ac:dyDescent="0.2">
      <c r="J209"/>
      <c r="K209"/>
      <c r="L209"/>
      <c r="M209"/>
      <c r="N209" s="2"/>
      <c r="R209"/>
      <c r="S209"/>
      <c r="T209"/>
      <c r="U209"/>
      <c r="V209"/>
    </row>
    <row r="210" spans="10:22" s="1" customFormat="1" x14ac:dyDescent="0.2">
      <c r="J210"/>
      <c r="K210"/>
      <c r="L210"/>
      <c r="M210"/>
      <c r="N210" s="2"/>
      <c r="R210"/>
      <c r="S210"/>
      <c r="T210"/>
      <c r="U210"/>
      <c r="V210"/>
    </row>
    <row r="211" spans="10:22" s="1" customFormat="1" x14ac:dyDescent="0.2">
      <c r="J211"/>
      <c r="K211"/>
      <c r="L211"/>
      <c r="M211"/>
      <c r="N211" s="2"/>
      <c r="R211"/>
      <c r="S211"/>
      <c r="T211"/>
      <c r="U211"/>
      <c r="V211"/>
    </row>
    <row r="212" spans="10:22" s="1" customFormat="1" x14ac:dyDescent="0.2">
      <c r="J212"/>
      <c r="K212"/>
      <c r="L212"/>
      <c r="M212"/>
      <c r="N212" s="2"/>
      <c r="R212"/>
      <c r="S212"/>
      <c r="T212"/>
      <c r="U212"/>
      <c r="V212"/>
    </row>
    <row r="213" spans="10:22" s="1" customFormat="1" x14ac:dyDescent="0.2">
      <c r="J213"/>
      <c r="K213"/>
      <c r="L213"/>
      <c r="M213"/>
      <c r="N213" s="2"/>
      <c r="R213"/>
      <c r="S213"/>
      <c r="T213"/>
      <c r="U213"/>
      <c r="V213"/>
    </row>
    <row r="214" spans="10:22" s="1" customFormat="1" x14ac:dyDescent="0.2">
      <c r="J214"/>
      <c r="K214"/>
      <c r="L214"/>
      <c r="M214"/>
      <c r="N214" s="2"/>
      <c r="R214"/>
      <c r="S214"/>
      <c r="T214"/>
      <c r="U214"/>
      <c r="V214"/>
    </row>
    <row r="215" spans="10:22" s="1" customFormat="1" x14ac:dyDescent="0.2">
      <c r="J215"/>
      <c r="K215"/>
      <c r="L215"/>
      <c r="M215"/>
      <c r="N215" s="2"/>
      <c r="R215"/>
      <c r="S215"/>
      <c r="T215"/>
      <c r="U215"/>
      <c r="V215"/>
    </row>
    <row r="216" spans="10:22" s="1" customFormat="1" x14ac:dyDescent="0.2">
      <c r="J216"/>
      <c r="K216"/>
      <c r="L216"/>
      <c r="M216"/>
      <c r="N216" s="2"/>
      <c r="R216"/>
      <c r="S216"/>
      <c r="T216"/>
      <c r="U216"/>
      <c r="V216"/>
    </row>
    <row r="217" spans="10:22" s="1" customFormat="1" x14ac:dyDescent="0.2">
      <c r="J217"/>
      <c r="K217"/>
      <c r="L217"/>
      <c r="M217"/>
      <c r="N217" s="2"/>
      <c r="R217"/>
      <c r="S217"/>
      <c r="T217"/>
      <c r="U217"/>
      <c r="V217"/>
    </row>
    <row r="218" spans="10:22" s="1" customFormat="1" x14ac:dyDescent="0.2">
      <c r="J218"/>
      <c r="K218"/>
      <c r="L218"/>
      <c r="M218"/>
      <c r="N218" s="2"/>
      <c r="R218"/>
      <c r="S218"/>
      <c r="T218"/>
      <c r="U218"/>
      <c r="V218"/>
    </row>
    <row r="219" spans="10:22" s="1" customFormat="1" x14ac:dyDescent="0.2">
      <c r="J219"/>
      <c r="K219"/>
      <c r="L219"/>
      <c r="M219"/>
      <c r="N219" s="2"/>
      <c r="R219"/>
      <c r="S219"/>
      <c r="T219"/>
      <c r="U219"/>
      <c r="V219"/>
    </row>
    <row r="220" spans="10:22" s="1" customFormat="1" x14ac:dyDescent="0.2">
      <c r="J220"/>
      <c r="K220"/>
      <c r="L220"/>
      <c r="M220"/>
      <c r="N220" s="2"/>
      <c r="R220"/>
      <c r="S220"/>
      <c r="T220"/>
      <c r="U220"/>
      <c r="V220"/>
    </row>
    <row r="221" spans="10:22" s="1" customFormat="1" x14ac:dyDescent="0.2">
      <c r="J221"/>
      <c r="K221"/>
      <c r="L221"/>
      <c r="M221"/>
      <c r="N221" s="2"/>
      <c r="R221"/>
      <c r="S221"/>
      <c r="T221"/>
      <c r="U221"/>
      <c r="V221"/>
    </row>
    <row r="222" spans="10:22" s="1" customFormat="1" x14ac:dyDescent="0.2">
      <c r="J222"/>
      <c r="K222"/>
      <c r="L222"/>
      <c r="M222"/>
      <c r="N222" s="2"/>
      <c r="R222"/>
      <c r="S222"/>
      <c r="T222"/>
      <c r="U222"/>
      <c r="V222"/>
    </row>
    <row r="223" spans="10:22" s="1" customFormat="1" x14ac:dyDescent="0.2">
      <c r="J223"/>
      <c r="K223"/>
      <c r="L223"/>
      <c r="M223"/>
      <c r="N223" s="2"/>
      <c r="R223"/>
      <c r="S223"/>
      <c r="T223"/>
      <c r="U223"/>
      <c r="V223"/>
    </row>
    <row r="224" spans="10:22" s="1" customFormat="1" x14ac:dyDescent="0.2">
      <c r="J224"/>
      <c r="K224"/>
      <c r="L224"/>
      <c r="M224"/>
      <c r="N224" s="2"/>
      <c r="R224"/>
      <c r="S224"/>
      <c r="T224"/>
      <c r="U224"/>
      <c r="V224"/>
    </row>
    <row r="225" spans="10:22" s="1" customFormat="1" x14ac:dyDescent="0.2">
      <c r="J225"/>
      <c r="K225"/>
      <c r="L225"/>
      <c r="M225"/>
      <c r="N225" s="2"/>
      <c r="R225"/>
      <c r="S225"/>
      <c r="T225"/>
      <c r="U225"/>
      <c r="V225"/>
    </row>
    <row r="226" spans="10:22" s="1" customFormat="1" x14ac:dyDescent="0.2">
      <c r="J226"/>
      <c r="K226"/>
      <c r="L226"/>
      <c r="M226"/>
      <c r="N226" s="2"/>
      <c r="R226"/>
      <c r="S226"/>
      <c r="T226"/>
      <c r="U226"/>
      <c r="V226"/>
    </row>
    <row r="227" spans="10:22" s="1" customFormat="1" x14ac:dyDescent="0.2">
      <c r="J227"/>
      <c r="K227"/>
      <c r="L227"/>
      <c r="M227"/>
      <c r="N227" s="2"/>
      <c r="R227"/>
      <c r="S227"/>
      <c r="T227"/>
      <c r="U227"/>
      <c r="V227"/>
    </row>
    <row r="228" spans="10:22" s="1" customFormat="1" x14ac:dyDescent="0.2">
      <c r="J228"/>
      <c r="K228"/>
      <c r="L228"/>
      <c r="M228"/>
      <c r="N228" s="2"/>
      <c r="R228"/>
      <c r="S228"/>
      <c r="T228"/>
      <c r="U228"/>
      <c r="V228"/>
    </row>
    <row r="229" spans="10:22" s="1" customFormat="1" x14ac:dyDescent="0.2">
      <c r="J229"/>
      <c r="K229"/>
      <c r="L229"/>
      <c r="M229"/>
      <c r="N229" s="2"/>
      <c r="R229"/>
      <c r="S229"/>
      <c r="T229"/>
      <c r="U229"/>
      <c r="V229"/>
    </row>
    <row r="230" spans="10:22" s="1" customFormat="1" x14ac:dyDescent="0.2">
      <c r="J230"/>
      <c r="K230"/>
      <c r="L230"/>
      <c r="M230"/>
      <c r="N230" s="2"/>
      <c r="R230"/>
      <c r="S230"/>
      <c r="T230"/>
      <c r="U230"/>
      <c r="V230"/>
    </row>
    <row r="231" spans="10:22" s="1" customFormat="1" x14ac:dyDescent="0.2">
      <c r="J231"/>
      <c r="K231"/>
      <c r="L231"/>
      <c r="M231"/>
      <c r="N231" s="2"/>
      <c r="R231"/>
      <c r="S231"/>
      <c r="T231"/>
      <c r="U231"/>
      <c r="V231"/>
    </row>
    <row r="232" spans="10:22" s="1" customFormat="1" x14ac:dyDescent="0.2">
      <c r="J232"/>
      <c r="K232"/>
      <c r="L232"/>
      <c r="M232"/>
      <c r="N232" s="2"/>
      <c r="R232"/>
      <c r="S232"/>
      <c r="T232"/>
      <c r="U232"/>
      <c r="V232"/>
    </row>
    <row r="233" spans="10:22" s="1" customFormat="1" x14ac:dyDescent="0.2">
      <c r="J233"/>
      <c r="K233"/>
      <c r="L233"/>
      <c r="M233"/>
      <c r="N233" s="2"/>
      <c r="R233"/>
      <c r="S233"/>
      <c r="T233"/>
      <c r="U233"/>
      <c r="V233"/>
    </row>
    <row r="234" spans="10:22" s="1" customFormat="1" x14ac:dyDescent="0.2">
      <c r="J234"/>
      <c r="K234"/>
      <c r="L234"/>
      <c r="M234"/>
      <c r="N234" s="2"/>
      <c r="R234"/>
      <c r="S234"/>
      <c r="T234"/>
      <c r="U234"/>
      <c r="V234"/>
    </row>
    <row r="235" spans="10:22" s="1" customFormat="1" x14ac:dyDescent="0.2">
      <c r="J235"/>
      <c r="K235"/>
      <c r="L235"/>
      <c r="M235"/>
      <c r="N235" s="2"/>
      <c r="R235"/>
      <c r="S235"/>
      <c r="T235"/>
      <c r="U235"/>
      <c r="V235"/>
    </row>
    <row r="236" spans="10:22" s="1" customFormat="1" x14ac:dyDescent="0.2">
      <c r="J236"/>
      <c r="K236"/>
      <c r="L236"/>
      <c r="M236"/>
      <c r="N236" s="2"/>
      <c r="R236"/>
      <c r="S236"/>
      <c r="T236"/>
      <c r="U236"/>
      <c r="V236"/>
    </row>
    <row r="237" spans="10:22" s="1" customFormat="1" x14ac:dyDescent="0.2">
      <c r="J237"/>
      <c r="K237"/>
      <c r="L237"/>
      <c r="M237"/>
      <c r="N237" s="2"/>
      <c r="R237"/>
      <c r="S237"/>
      <c r="T237"/>
      <c r="U237"/>
      <c r="V237"/>
    </row>
    <row r="238" spans="10:22" s="1" customFormat="1" x14ac:dyDescent="0.2">
      <c r="J238"/>
      <c r="K238"/>
      <c r="L238"/>
      <c r="M238"/>
      <c r="N238" s="2"/>
      <c r="R238"/>
      <c r="S238"/>
      <c r="T238"/>
      <c r="U238"/>
      <c r="V238"/>
    </row>
    <row r="239" spans="10:22" s="1" customFormat="1" x14ac:dyDescent="0.2">
      <c r="J239"/>
      <c r="K239"/>
      <c r="L239"/>
      <c r="M239"/>
      <c r="N239" s="2"/>
      <c r="R239"/>
      <c r="S239"/>
      <c r="T239"/>
      <c r="U239"/>
      <c r="V239"/>
    </row>
    <row r="240" spans="10:22" s="1" customFormat="1" x14ac:dyDescent="0.2">
      <c r="J240"/>
      <c r="K240"/>
      <c r="L240"/>
      <c r="M240"/>
      <c r="N240" s="2"/>
      <c r="R240"/>
      <c r="S240"/>
      <c r="T240"/>
      <c r="U240"/>
      <c r="V240"/>
    </row>
    <row r="241" spans="10:22" s="1" customFormat="1" x14ac:dyDescent="0.2">
      <c r="J241"/>
      <c r="K241"/>
      <c r="L241"/>
      <c r="M241"/>
      <c r="N241" s="2"/>
      <c r="R241"/>
      <c r="S241"/>
      <c r="T241"/>
      <c r="U241"/>
      <c r="V241"/>
    </row>
    <row r="242" spans="10:22" s="1" customFormat="1" x14ac:dyDescent="0.2">
      <c r="J242"/>
      <c r="K242"/>
      <c r="L242"/>
      <c r="M242"/>
      <c r="N242" s="2"/>
      <c r="R242"/>
      <c r="S242"/>
      <c r="T242"/>
      <c r="U242"/>
      <c r="V242"/>
    </row>
    <row r="243" spans="10:22" s="1" customFormat="1" x14ac:dyDescent="0.2">
      <c r="J243"/>
      <c r="K243"/>
      <c r="L243"/>
      <c r="M243"/>
      <c r="N243" s="2"/>
      <c r="R243"/>
      <c r="S243"/>
      <c r="T243"/>
      <c r="U243"/>
      <c r="V243"/>
    </row>
    <row r="244" spans="10:22" s="1" customFormat="1" x14ac:dyDescent="0.2">
      <c r="J244"/>
      <c r="K244"/>
      <c r="L244"/>
      <c r="M244"/>
      <c r="N244" s="2"/>
      <c r="R244"/>
      <c r="S244"/>
      <c r="T244"/>
      <c r="U244"/>
      <c r="V244"/>
    </row>
    <row r="245" spans="10:22" s="1" customFormat="1" x14ac:dyDescent="0.2">
      <c r="J245"/>
      <c r="K245"/>
      <c r="L245"/>
      <c r="M245"/>
      <c r="N245" s="2"/>
      <c r="R245"/>
      <c r="S245"/>
      <c r="T245"/>
      <c r="U245"/>
      <c r="V245"/>
    </row>
    <row r="246" spans="10:22" s="1" customFormat="1" x14ac:dyDescent="0.2">
      <c r="J246"/>
      <c r="K246"/>
      <c r="L246"/>
      <c r="M246"/>
      <c r="N246" s="2"/>
      <c r="R246"/>
      <c r="S246"/>
      <c r="T246"/>
      <c r="U246"/>
      <c r="V246"/>
    </row>
    <row r="247" spans="10:22" s="1" customFormat="1" x14ac:dyDescent="0.2">
      <c r="J247"/>
      <c r="K247"/>
      <c r="L247"/>
      <c r="M247"/>
      <c r="N247" s="2"/>
      <c r="R247"/>
      <c r="S247"/>
      <c r="T247"/>
      <c r="U247"/>
      <c r="V247"/>
    </row>
    <row r="248" spans="10:22" s="1" customFormat="1" x14ac:dyDescent="0.2">
      <c r="J248"/>
      <c r="K248"/>
      <c r="L248"/>
      <c r="M248"/>
      <c r="N248" s="2"/>
      <c r="R248"/>
      <c r="S248"/>
      <c r="T248"/>
      <c r="U248"/>
      <c r="V248"/>
    </row>
    <row r="249" spans="10:22" s="1" customFormat="1" x14ac:dyDescent="0.2">
      <c r="J249"/>
      <c r="K249"/>
      <c r="L249"/>
      <c r="M249"/>
      <c r="N249" s="2"/>
      <c r="R249"/>
      <c r="S249"/>
      <c r="T249"/>
      <c r="U249"/>
      <c r="V249"/>
    </row>
    <row r="250" spans="10:22" s="1" customFormat="1" x14ac:dyDescent="0.2">
      <c r="J250"/>
      <c r="K250"/>
      <c r="L250"/>
      <c r="M250"/>
      <c r="N250" s="2"/>
      <c r="R250"/>
      <c r="S250"/>
      <c r="T250"/>
      <c r="U250"/>
      <c r="V250"/>
    </row>
    <row r="251" spans="10:22" s="1" customFormat="1" x14ac:dyDescent="0.2">
      <c r="J251"/>
      <c r="K251"/>
      <c r="L251"/>
      <c r="M251"/>
      <c r="N251" s="2"/>
      <c r="R251"/>
      <c r="S251"/>
      <c r="T251"/>
      <c r="U251"/>
      <c r="V251"/>
    </row>
    <row r="252" spans="10:22" s="1" customFormat="1" x14ac:dyDescent="0.2">
      <c r="J252"/>
      <c r="K252"/>
      <c r="L252"/>
      <c r="M252"/>
      <c r="N252" s="2"/>
      <c r="R252"/>
      <c r="S252"/>
      <c r="T252"/>
      <c r="U252"/>
      <c r="V252"/>
    </row>
    <row r="253" spans="10:22" s="1" customFormat="1" x14ac:dyDescent="0.2">
      <c r="J253"/>
      <c r="K253"/>
      <c r="L253"/>
      <c r="M253"/>
      <c r="N253" s="2"/>
      <c r="R253"/>
      <c r="S253"/>
      <c r="T253"/>
      <c r="U253"/>
      <c r="V253"/>
    </row>
    <row r="254" spans="10:22" s="1" customFormat="1" x14ac:dyDescent="0.2">
      <c r="J254"/>
      <c r="K254"/>
      <c r="L254"/>
      <c r="M254"/>
      <c r="N254" s="2"/>
      <c r="R254"/>
      <c r="S254"/>
      <c r="T254"/>
      <c r="U254"/>
      <c r="V254"/>
    </row>
    <row r="255" spans="10:22" s="1" customFormat="1" x14ac:dyDescent="0.2">
      <c r="J255"/>
      <c r="K255"/>
      <c r="L255"/>
      <c r="M255"/>
      <c r="N255" s="2"/>
      <c r="R255"/>
      <c r="S255"/>
      <c r="T255"/>
      <c r="U255"/>
      <c r="V255"/>
    </row>
    <row r="256" spans="10:22" s="1" customFormat="1" x14ac:dyDescent="0.2">
      <c r="J256"/>
      <c r="K256"/>
      <c r="L256"/>
      <c r="M256"/>
      <c r="N256" s="2"/>
      <c r="R256"/>
      <c r="S256"/>
      <c r="T256"/>
      <c r="U256"/>
      <c r="V256"/>
    </row>
    <row r="257" spans="10:22" s="1" customFormat="1" x14ac:dyDescent="0.2">
      <c r="J257"/>
      <c r="K257"/>
      <c r="L257"/>
      <c r="M257"/>
      <c r="N257" s="2"/>
      <c r="R257"/>
      <c r="S257"/>
      <c r="T257"/>
      <c r="U257"/>
      <c r="V257"/>
    </row>
    <row r="258" spans="10:22" s="1" customFormat="1" x14ac:dyDescent="0.2">
      <c r="J258"/>
      <c r="K258"/>
      <c r="L258"/>
      <c r="M258"/>
      <c r="N258" s="2"/>
      <c r="R258"/>
      <c r="S258"/>
      <c r="T258"/>
      <c r="U258"/>
      <c r="V258"/>
    </row>
    <row r="259" spans="10:22" s="1" customFormat="1" x14ac:dyDescent="0.2">
      <c r="J259"/>
      <c r="K259"/>
      <c r="L259"/>
      <c r="M259"/>
      <c r="N259" s="2"/>
      <c r="R259"/>
      <c r="S259"/>
      <c r="T259"/>
      <c r="U259"/>
      <c r="V259"/>
    </row>
    <row r="260" spans="10:22" s="1" customFormat="1" x14ac:dyDescent="0.2">
      <c r="J260"/>
      <c r="K260"/>
      <c r="L260"/>
      <c r="M260"/>
      <c r="N260" s="2"/>
      <c r="R260"/>
      <c r="S260"/>
      <c r="T260"/>
      <c r="U260"/>
      <c r="V260"/>
    </row>
    <row r="261" spans="10:22" s="1" customFormat="1" x14ac:dyDescent="0.2">
      <c r="J261"/>
      <c r="K261"/>
      <c r="L261"/>
      <c r="M261"/>
      <c r="N261" s="2"/>
      <c r="R261"/>
      <c r="S261"/>
      <c r="T261"/>
      <c r="U261"/>
      <c r="V261"/>
    </row>
    <row r="262" spans="10:22" s="1" customFormat="1" x14ac:dyDescent="0.2">
      <c r="J262"/>
      <c r="K262"/>
      <c r="L262"/>
      <c r="M262"/>
      <c r="N262" s="2"/>
      <c r="R262"/>
      <c r="S262"/>
      <c r="T262"/>
      <c r="U262"/>
      <c r="V262"/>
    </row>
    <row r="263" spans="10:22" s="1" customFormat="1" x14ac:dyDescent="0.2">
      <c r="J263"/>
      <c r="K263"/>
      <c r="L263"/>
      <c r="M263"/>
      <c r="N263" s="2"/>
      <c r="R263"/>
      <c r="S263"/>
      <c r="T263"/>
      <c r="U263"/>
      <c r="V263"/>
    </row>
    <row r="264" spans="10:22" s="1" customFormat="1" x14ac:dyDescent="0.2">
      <c r="J264"/>
      <c r="K264"/>
      <c r="L264"/>
      <c r="M264"/>
      <c r="N264" s="2"/>
      <c r="R264"/>
      <c r="S264"/>
      <c r="T264"/>
      <c r="U264"/>
      <c r="V264"/>
    </row>
    <row r="265" spans="10:22" s="1" customFormat="1" x14ac:dyDescent="0.2">
      <c r="J265"/>
      <c r="K265"/>
      <c r="L265"/>
      <c r="M265"/>
      <c r="N265" s="2"/>
      <c r="R265"/>
      <c r="S265"/>
      <c r="T265"/>
      <c r="U265"/>
      <c r="V265"/>
    </row>
    <row r="266" spans="10:22" s="1" customFormat="1" x14ac:dyDescent="0.2">
      <c r="J266"/>
      <c r="K266"/>
      <c r="L266"/>
      <c r="M266"/>
      <c r="N266" s="2"/>
      <c r="R266"/>
      <c r="S266"/>
      <c r="T266"/>
      <c r="U266"/>
      <c r="V266"/>
    </row>
    <row r="267" spans="10:22" s="1" customFormat="1" x14ac:dyDescent="0.2">
      <c r="J267"/>
      <c r="K267"/>
      <c r="L267"/>
      <c r="M267"/>
      <c r="N267" s="2"/>
      <c r="R267"/>
      <c r="S267"/>
      <c r="T267"/>
      <c r="U267"/>
      <c r="V267"/>
    </row>
    <row r="268" spans="10:22" s="1" customFormat="1" x14ac:dyDescent="0.2">
      <c r="J268"/>
      <c r="K268"/>
      <c r="L268"/>
      <c r="M268"/>
      <c r="N268" s="2"/>
      <c r="R268"/>
      <c r="S268"/>
      <c r="T268"/>
      <c r="U268"/>
      <c r="V268"/>
    </row>
    <row r="269" spans="10:22" s="1" customFormat="1" x14ac:dyDescent="0.2">
      <c r="J269"/>
      <c r="K269"/>
      <c r="L269"/>
      <c r="M269"/>
      <c r="N269" s="2"/>
      <c r="R269"/>
      <c r="S269"/>
      <c r="T269"/>
      <c r="U269"/>
      <c r="V269"/>
    </row>
    <row r="270" spans="10:22" s="1" customFormat="1" x14ac:dyDescent="0.2">
      <c r="J270"/>
      <c r="K270"/>
      <c r="L270"/>
      <c r="M270"/>
      <c r="N270" s="2"/>
      <c r="R270"/>
      <c r="S270"/>
      <c r="T270"/>
      <c r="U270"/>
      <c r="V270"/>
    </row>
    <row r="271" spans="10:22" s="1" customFormat="1" x14ac:dyDescent="0.2">
      <c r="J271"/>
      <c r="K271"/>
      <c r="L271"/>
      <c r="M271"/>
      <c r="N271" s="2"/>
      <c r="R271"/>
      <c r="S271"/>
      <c r="T271"/>
      <c r="U271"/>
      <c r="V271"/>
    </row>
    <row r="272" spans="10:22" s="1" customFormat="1" x14ac:dyDescent="0.2">
      <c r="J272"/>
      <c r="K272"/>
      <c r="L272"/>
      <c r="M272"/>
      <c r="N272" s="2"/>
      <c r="R272"/>
      <c r="S272"/>
      <c r="T272"/>
      <c r="U272"/>
      <c r="V272"/>
    </row>
    <row r="273" spans="10:22" s="1" customFormat="1" x14ac:dyDescent="0.2">
      <c r="J273"/>
      <c r="K273"/>
      <c r="L273"/>
      <c r="M273"/>
      <c r="N273" s="2"/>
      <c r="R273"/>
      <c r="S273"/>
      <c r="T273"/>
      <c r="U273"/>
      <c r="V273"/>
    </row>
    <row r="274" spans="10:22" s="1" customFormat="1" x14ac:dyDescent="0.2">
      <c r="J274"/>
      <c r="K274"/>
      <c r="L274"/>
      <c r="M274"/>
      <c r="N274" s="2"/>
      <c r="R274"/>
      <c r="S274"/>
      <c r="T274"/>
      <c r="U274"/>
      <c r="V274"/>
    </row>
    <row r="275" spans="10:22" s="1" customFormat="1" x14ac:dyDescent="0.2">
      <c r="J275"/>
      <c r="K275"/>
      <c r="L275"/>
      <c r="M275"/>
      <c r="N275" s="2"/>
      <c r="R275"/>
      <c r="S275"/>
      <c r="T275"/>
      <c r="U275"/>
      <c r="V275"/>
    </row>
    <row r="276" spans="10:22" s="1" customFormat="1" x14ac:dyDescent="0.2">
      <c r="J276"/>
      <c r="K276"/>
      <c r="L276"/>
      <c r="M276"/>
      <c r="N276" s="2"/>
      <c r="R276"/>
      <c r="S276"/>
      <c r="T276"/>
      <c r="U276"/>
      <c r="V276"/>
    </row>
    <row r="277" spans="10:22" s="1" customFormat="1" x14ac:dyDescent="0.2">
      <c r="J277"/>
      <c r="K277"/>
      <c r="L277"/>
      <c r="M277"/>
      <c r="N277" s="2"/>
      <c r="R277"/>
      <c r="S277"/>
      <c r="T277"/>
      <c r="U277"/>
      <c r="V277"/>
    </row>
    <row r="278" spans="10:22" s="1" customFormat="1" x14ac:dyDescent="0.2">
      <c r="J278"/>
      <c r="K278"/>
      <c r="L278"/>
      <c r="M278"/>
      <c r="N278" s="2"/>
      <c r="R278"/>
      <c r="S278"/>
      <c r="T278"/>
      <c r="U278"/>
      <c r="V278"/>
    </row>
    <row r="279" spans="10:22" s="1" customFormat="1" x14ac:dyDescent="0.2">
      <c r="J279"/>
      <c r="K279"/>
      <c r="L279"/>
      <c r="M279"/>
      <c r="N279" s="2"/>
      <c r="R279"/>
      <c r="S279"/>
      <c r="T279"/>
      <c r="U279"/>
      <c r="V279"/>
    </row>
    <row r="280" spans="10:22" s="1" customFormat="1" x14ac:dyDescent="0.2">
      <c r="J280"/>
      <c r="K280"/>
      <c r="L280"/>
      <c r="M280"/>
      <c r="N280" s="2"/>
      <c r="R280"/>
      <c r="S280"/>
      <c r="T280"/>
      <c r="U280"/>
      <c r="V280"/>
    </row>
    <row r="281" spans="10:22" s="1" customFormat="1" x14ac:dyDescent="0.2">
      <c r="J281"/>
      <c r="K281"/>
      <c r="L281"/>
      <c r="M281"/>
      <c r="N281" s="2"/>
      <c r="R281"/>
      <c r="S281"/>
      <c r="T281"/>
      <c r="U281"/>
      <c r="V281"/>
    </row>
    <row r="282" spans="10:22" s="1" customFormat="1" x14ac:dyDescent="0.2">
      <c r="J282"/>
      <c r="K282"/>
      <c r="L282"/>
      <c r="M282"/>
      <c r="N282" s="2"/>
      <c r="R282"/>
      <c r="S282"/>
      <c r="T282"/>
      <c r="U282"/>
      <c r="V282"/>
    </row>
    <row r="283" spans="10:22" s="1" customFormat="1" x14ac:dyDescent="0.2">
      <c r="J283"/>
      <c r="K283"/>
      <c r="L283"/>
      <c r="M283"/>
      <c r="N283" s="2"/>
      <c r="R283"/>
      <c r="S283"/>
      <c r="T283"/>
      <c r="U283"/>
      <c r="V283"/>
    </row>
    <row r="284" spans="10:22" s="1" customFormat="1" x14ac:dyDescent="0.2">
      <c r="J284"/>
      <c r="K284"/>
      <c r="L284"/>
      <c r="M284"/>
      <c r="N284" s="2"/>
      <c r="R284"/>
      <c r="S284"/>
      <c r="T284"/>
      <c r="U284"/>
      <c r="V284"/>
    </row>
    <row r="285" spans="10:22" s="1" customFormat="1" x14ac:dyDescent="0.2">
      <c r="J285"/>
      <c r="K285"/>
      <c r="L285"/>
      <c r="M285"/>
      <c r="N285" s="2"/>
      <c r="R285"/>
      <c r="S285"/>
      <c r="T285"/>
      <c r="U285"/>
      <c r="V285"/>
    </row>
    <row r="286" spans="10:22" s="1" customFormat="1" x14ac:dyDescent="0.2">
      <c r="J286"/>
      <c r="K286"/>
      <c r="L286"/>
      <c r="M286"/>
      <c r="N286" s="2"/>
      <c r="R286"/>
      <c r="S286"/>
      <c r="T286"/>
      <c r="U286"/>
      <c r="V286"/>
    </row>
    <row r="287" spans="10:22" s="1" customFormat="1" x14ac:dyDescent="0.2">
      <c r="J287"/>
      <c r="K287"/>
      <c r="L287"/>
      <c r="M287"/>
      <c r="N287" s="2"/>
      <c r="R287"/>
      <c r="S287"/>
      <c r="T287"/>
      <c r="U287"/>
      <c r="V287"/>
    </row>
    <row r="288" spans="10:22" s="1" customFormat="1" x14ac:dyDescent="0.2">
      <c r="J288"/>
      <c r="K288"/>
      <c r="L288"/>
      <c r="M288"/>
      <c r="N288" s="2"/>
      <c r="R288"/>
      <c r="S288"/>
      <c r="T288"/>
      <c r="U288"/>
      <c r="V288"/>
    </row>
    <row r="289" spans="10:22" s="1" customFormat="1" x14ac:dyDescent="0.2">
      <c r="J289"/>
      <c r="K289"/>
      <c r="L289"/>
      <c r="M289"/>
      <c r="N289" s="2"/>
      <c r="R289"/>
      <c r="S289"/>
      <c r="T289"/>
      <c r="U289"/>
      <c r="V289"/>
    </row>
    <row r="290" spans="10:22" s="1" customFormat="1" x14ac:dyDescent="0.2">
      <c r="J290"/>
      <c r="K290"/>
      <c r="L290"/>
      <c r="M290"/>
      <c r="N290" s="2"/>
      <c r="R290"/>
      <c r="S290"/>
      <c r="T290"/>
      <c r="U290"/>
      <c r="V290"/>
    </row>
    <row r="291" spans="10:22" s="1" customFormat="1" x14ac:dyDescent="0.2">
      <c r="J291"/>
      <c r="K291"/>
      <c r="L291"/>
      <c r="M291"/>
      <c r="N291" s="2"/>
      <c r="R291"/>
      <c r="S291"/>
      <c r="T291"/>
      <c r="U291"/>
      <c r="V291"/>
    </row>
    <row r="292" spans="10:22" s="1" customFormat="1" x14ac:dyDescent="0.2">
      <c r="J292"/>
      <c r="K292"/>
      <c r="L292"/>
      <c r="M292"/>
      <c r="N292" s="2"/>
      <c r="R292"/>
      <c r="S292"/>
      <c r="T292"/>
      <c r="U292"/>
      <c r="V292"/>
    </row>
    <row r="293" spans="10:22" s="1" customFormat="1" x14ac:dyDescent="0.2">
      <c r="J293"/>
      <c r="K293"/>
      <c r="L293"/>
      <c r="M293"/>
      <c r="N293" s="2"/>
      <c r="R293"/>
      <c r="S293"/>
      <c r="T293"/>
      <c r="U293"/>
      <c r="V293"/>
    </row>
    <row r="294" spans="10:22" s="1" customFormat="1" x14ac:dyDescent="0.2">
      <c r="J294"/>
      <c r="K294"/>
      <c r="L294"/>
      <c r="M294"/>
      <c r="N294" s="2"/>
      <c r="R294"/>
      <c r="S294"/>
      <c r="T294"/>
      <c r="U294"/>
      <c r="V294"/>
    </row>
    <row r="295" spans="10:22" s="1" customFormat="1" x14ac:dyDescent="0.2">
      <c r="J295"/>
      <c r="K295"/>
      <c r="L295"/>
      <c r="M295"/>
      <c r="N295" s="2"/>
      <c r="R295"/>
      <c r="S295"/>
      <c r="T295"/>
      <c r="U295"/>
      <c r="V295"/>
    </row>
    <row r="296" spans="10:22" s="1" customFormat="1" x14ac:dyDescent="0.2">
      <c r="J296"/>
      <c r="K296"/>
      <c r="L296"/>
      <c r="M296"/>
      <c r="N296" s="2"/>
      <c r="R296"/>
      <c r="S296"/>
      <c r="T296"/>
      <c r="U296"/>
      <c r="V296"/>
    </row>
    <row r="297" spans="10:22" s="1" customFormat="1" x14ac:dyDescent="0.2">
      <c r="J297"/>
      <c r="K297"/>
      <c r="L297"/>
      <c r="M297"/>
      <c r="N297" s="2"/>
      <c r="R297"/>
      <c r="S297"/>
      <c r="T297"/>
      <c r="U297"/>
      <c r="V297"/>
    </row>
    <row r="298" spans="10:22" s="1" customFormat="1" x14ac:dyDescent="0.2">
      <c r="J298"/>
      <c r="K298"/>
      <c r="L298"/>
      <c r="M298"/>
      <c r="N298" s="2"/>
      <c r="R298"/>
      <c r="S298"/>
      <c r="T298"/>
      <c r="U298"/>
      <c r="V298"/>
    </row>
    <row r="299" spans="10:22" s="1" customFormat="1" x14ac:dyDescent="0.2">
      <c r="J299"/>
      <c r="K299"/>
      <c r="L299"/>
      <c r="M299"/>
      <c r="N299" s="2"/>
      <c r="R299"/>
      <c r="S299"/>
      <c r="T299"/>
      <c r="U299"/>
      <c r="V299"/>
    </row>
    <row r="300" spans="10:22" s="1" customFormat="1" x14ac:dyDescent="0.2">
      <c r="J300"/>
      <c r="K300"/>
      <c r="L300"/>
      <c r="M300"/>
      <c r="N300" s="2"/>
      <c r="R300"/>
      <c r="S300"/>
      <c r="T300"/>
      <c r="U300"/>
      <c r="V300"/>
    </row>
    <row r="301" spans="10:22" s="1" customFormat="1" x14ac:dyDescent="0.2">
      <c r="J301"/>
      <c r="K301"/>
      <c r="L301"/>
      <c r="M301"/>
      <c r="N301" s="2"/>
      <c r="R301"/>
      <c r="S301"/>
      <c r="T301"/>
      <c r="U301"/>
      <c r="V301"/>
    </row>
    <row r="302" spans="10:22" s="1" customFormat="1" x14ac:dyDescent="0.2">
      <c r="J302"/>
      <c r="K302"/>
      <c r="L302"/>
      <c r="M302"/>
      <c r="N302" s="2"/>
      <c r="R302"/>
      <c r="S302"/>
      <c r="T302"/>
      <c r="U302"/>
      <c r="V302"/>
    </row>
    <row r="303" spans="10:22" s="1" customFormat="1" x14ac:dyDescent="0.2">
      <c r="J303"/>
      <c r="K303"/>
      <c r="L303"/>
      <c r="M303"/>
      <c r="N303" s="2"/>
      <c r="R303"/>
      <c r="S303"/>
      <c r="T303"/>
      <c r="U303"/>
      <c r="V303"/>
    </row>
    <row r="304" spans="10:22" s="1" customFormat="1" x14ac:dyDescent="0.2">
      <c r="J304"/>
      <c r="K304"/>
      <c r="L304"/>
      <c r="M304"/>
      <c r="N304" s="2"/>
      <c r="R304"/>
      <c r="S304"/>
      <c r="T304"/>
      <c r="U304"/>
      <c r="V304"/>
    </row>
    <row r="305" spans="10:22" s="1" customFormat="1" x14ac:dyDescent="0.2">
      <c r="J305"/>
      <c r="K305"/>
      <c r="L305"/>
      <c r="M305"/>
      <c r="N305" s="2"/>
      <c r="R305"/>
      <c r="S305"/>
      <c r="T305"/>
      <c r="U305"/>
      <c r="V305"/>
    </row>
    <row r="306" spans="10:22" s="1" customFormat="1" x14ac:dyDescent="0.2">
      <c r="J306"/>
      <c r="K306"/>
      <c r="L306"/>
      <c r="M306"/>
      <c r="N306" s="2"/>
      <c r="R306"/>
      <c r="S306"/>
      <c r="T306"/>
      <c r="U306"/>
      <c r="V306"/>
    </row>
    <row r="307" spans="10:22" s="1" customFormat="1" x14ac:dyDescent="0.2">
      <c r="J307"/>
      <c r="K307"/>
      <c r="L307"/>
      <c r="M307"/>
      <c r="N307" s="2"/>
      <c r="R307"/>
      <c r="S307"/>
      <c r="T307"/>
      <c r="U307"/>
      <c r="V307"/>
    </row>
    <row r="308" spans="10:22" s="1" customFormat="1" x14ac:dyDescent="0.2">
      <c r="J308"/>
      <c r="K308"/>
      <c r="L308"/>
      <c r="M308"/>
      <c r="N308" s="2"/>
      <c r="R308"/>
      <c r="S308"/>
      <c r="T308"/>
      <c r="U308"/>
      <c r="V308"/>
    </row>
    <row r="309" spans="10:22" s="1" customFormat="1" x14ac:dyDescent="0.2">
      <c r="J309"/>
      <c r="K309"/>
      <c r="L309"/>
      <c r="M309"/>
      <c r="N309" s="2"/>
      <c r="R309"/>
      <c r="S309"/>
      <c r="T309"/>
      <c r="U309"/>
      <c r="V309"/>
    </row>
    <row r="310" spans="10:22" s="1" customFormat="1" x14ac:dyDescent="0.2">
      <c r="J310"/>
      <c r="K310"/>
      <c r="L310"/>
      <c r="M310"/>
      <c r="N310" s="2"/>
      <c r="R310"/>
      <c r="S310"/>
      <c r="T310"/>
      <c r="U310"/>
      <c r="V310"/>
    </row>
    <row r="311" spans="10:22" s="1" customFormat="1" x14ac:dyDescent="0.2">
      <c r="J311"/>
      <c r="K311"/>
      <c r="L311"/>
      <c r="M311"/>
      <c r="N311" s="2"/>
      <c r="R311"/>
      <c r="S311"/>
      <c r="T311"/>
      <c r="U311"/>
      <c r="V311"/>
    </row>
    <row r="312" spans="10:22" s="1" customFormat="1" x14ac:dyDescent="0.2">
      <c r="J312"/>
      <c r="K312"/>
      <c r="L312"/>
      <c r="M312"/>
      <c r="N312" s="2"/>
      <c r="R312"/>
      <c r="S312"/>
      <c r="T312"/>
      <c r="U312"/>
      <c r="V312"/>
    </row>
    <row r="313" spans="10:22" s="1" customFormat="1" x14ac:dyDescent="0.2">
      <c r="J313"/>
      <c r="K313"/>
      <c r="L313"/>
      <c r="M313"/>
      <c r="N313" s="2"/>
      <c r="R313"/>
      <c r="S313"/>
      <c r="T313"/>
      <c r="U313"/>
      <c r="V313"/>
    </row>
    <row r="314" spans="10:22" s="1" customFormat="1" x14ac:dyDescent="0.2">
      <c r="J314"/>
      <c r="K314"/>
      <c r="L314"/>
      <c r="M314"/>
      <c r="N314" s="2"/>
      <c r="R314"/>
      <c r="S314"/>
      <c r="T314"/>
      <c r="U314"/>
      <c r="V314"/>
    </row>
    <row r="315" spans="10:22" s="1" customFormat="1" x14ac:dyDescent="0.2">
      <c r="J315"/>
      <c r="K315"/>
      <c r="L315"/>
      <c r="M315"/>
      <c r="N315" s="2"/>
      <c r="R315"/>
      <c r="S315"/>
      <c r="T315"/>
      <c r="U315"/>
      <c r="V315"/>
    </row>
    <row r="316" spans="10:22" s="1" customFormat="1" x14ac:dyDescent="0.2">
      <c r="J316"/>
      <c r="K316"/>
      <c r="L316"/>
      <c r="M316"/>
      <c r="N316" s="2"/>
      <c r="R316"/>
      <c r="S316"/>
      <c r="T316"/>
      <c r="U316"/>
      <c r="V316"/>
    </row>
    <row r="317" spans="10:22" s="1" customFormat="1" x14ac:dyDescent="0.2">
      <c r="J317"/>
      <c r="K317"/>
      <c r="L317"/>
      <c r="M317"/>
      <c r="N317" s="2"/>
      <c r="R317"/>
      <c r="S317"/>
      <c r="T317"/>
      <c r="U317"/>
      <c r="V317"/>
    </row>
    <row r="318" spans="10:22" s="1" customFormat="1" x14ac:dyDescent="0.2">
      <c r="J318"/>
      <c r="K318"/>
      <c r="L318"/>
      <c r="M318"/>
      <c r="N318" s="2"/>
      <c r="R318"/>
      <c r="S318"/>
      <c r="T318"/>
      <c r="U318"/>
      <c r="V318"/>
    </row>
    <row r="319" spans="10:22" s="1" customFormat="1" x14ac:dyDescent="0.2">
      <c r="J319"/>
      <c r="K319"/>
      <c r="L319"/>
      <c r="M319"/>
      <c r="N319" s="2"/>
      <c r="R319"/>
      <c r="S319"/>
      <c r="T319"/>
      <c r="U319"/>
      <c r="V319"/>
    </row>
    <row r="320" spans="10:22" s="1" customFormat="1" x14ac:dyDescent="0.2">
      <c r="J320"/>
      <c r="K320"/>
      <c r="L320"/>
      <c r="M320"/>
      <c r="N320" s="2"/>
      <c r="R320"/>
      <c r="S320"/>
      <c r="T320"/>
      <c r="U320"/>
      <c r="V320"/>
    </row>
    <row r="321" spans="10:22" s="1" customFormat="1" x14ac:dyDescent="0.2">
      <c r="J321"/>
      <c r="K321"/>
      <c r="L321"/>
      <c r="M321"/>
      <c r="N321" s="2"/>
      <c r="R321"/>
      <c r="S321"/>
      <c r="T321"/>
      <c r="U321"/>
      <c r="V321"/>
    </row>
    <row r="322" spans="10:22" s="1" customFormat="1" x14ac:dyDescent="0.2">
      <c r="J322"/>
      <c r="K322"/>
      <c r="L322"/>
      <c r="M322"/>
      <c r="N322" s="2"/>
      <c r="R322"/>
      <c r="S322"/>
      <c r="T322"/>
      <c r="U322"/>
      <c r="V322"/>
    </row>
    <row r="323" spans="10:22" s="1" customFormat="1" x14ac:dyDescent="0.2">
      <c r="J323"/>
      <c r="K323"/>
      <c r="L323"/>
      <c r="M323"/>
      <c r="N323" s="2"/>
      <c r="R323"/>
      <c r="S323"/>
      <c r="T323"/>
      <c r="U323"/>
      <c r="V323"/>
    </row>
    <row r="324" spans="10:22" s="1" customFormat="1" x14ac:dyDescent="0.2">
      <c r="J324"/>
      <c r="K324"/>
      <c r="L324"/>
      <c r="M324"/>
      <c r="N324" s="2"/>
      <c r="R324"/>
      <c r="S324"/>
      <c r="T324"/>
      <c r="U324"/>
      <c r="V324"/>
    </row>
    <row r="325" spans="10:22" s="1" customFormat="1" x14ac:dyDescent="0.2">
      <c r="J325"/>
      <c r="K325"/>
      <c r="L325"/>
      <c r="M325"/>
      <c r="N325" s="2"/>
      <c r="R325"/>
      <c r="S325"/>
      <c r="T325"/>
      <c r="U325"/>
      <c r="V325"/>
    </row>
    <row r="326" spans="10:22" s="1" customFormat="1" x14ac:dyDescent="0.2">
      <c r="J326"/>
      <c r="K326"/>
      <c r="L326"/>
      <c r="M326"/>
      <c r="N326" s="2"/>
      <c r="R326"/>
      <c r="S326"/>
      <c r="T326"/>
      <c r="U326"/>
      <c r="V326"/>
    </row>
    <row r="327" spans="10:22" s="1" customFormat="1" x14ac:dyDescent="0.2">
      <c r="J327"/>
      <c r="K327"/>
      <c r="L327"/>
      <c r="M327"/>
      <c r="N327" s="2"/>
      <c r="R327"/>
      <c r="S327"/>
      <c r="T327"/>
      <c r="U327"/>
      <c r="V327"/>
    </row>
    <row r="328" spans="10:22" s="1" customFormat="1" x14ac:dyDescent="0.2">
      <c r="J328"/>
      <c r="K328"/>
      <c r="L328"/>
      <c r="M328"/>
      <c r="N328" s="2"/>
      <c r="R328"/>
      <c r="S328"/>
      <c r="T328"/>
      <c r="U328"/>
      <c r="V328"/>
    </row>
    <row r="329" spans="10:22" s="1" customFormat="1" x14ac:dyDescent="0.2">
      <c r="J329"/>
      <c r="K329"/>
      <c r="L329"/>
      <c r="M329"/>
      <c r="N329" s="2"/>
      <c r="R329"/>
      <c r="S329"/>
      <c r="T329"/>
      <c r="U329"/>
      <c r="V329"/>
    </row>
    <row r="330" spans="10:22" s="1" customFormat="1" x14ac:dyDescent="0.2">
      <c r="J330"/>
      <c r="K330"/>
      <c r="L330"/>
      <c r="M330"/>
      <c r="N330" s="2"/>
      <c r="R330"/>
      <c r="S330"/>
      <c r="T330"/>
      <c r="U330"/>
      <c r="V330"/>
    </row>
    <row r="331" spans="10:22" s="1" customFormat="1" x14ac:dyDescent="0.2">
      <c r="J331"/>
      <c r="K331"/>
      <c r="L331"/>
      <c r="M331"/>
      <c r="N331" s="2"/>
      <c r="R331"/>
      <c r="S331"/>
      <c r="T331"/>
      <c r="U331"/>
      <c r="V331"/>
    </row>
    <row r="332" spans="10:22" s="1" customFormat="1" x14ac:dyDescent="0.2">
      <c r="J332"/>
      <c r="K332"/>
      <c r="L332"/>
      <c r="M332"/>
      <c r="N332" s="2"/>
      <c r="R332"/>
      <c r="S332"/>
      <c r="T332"/>
      <c r="U332"/>
      <c r="V332"/>
    </row>
    <row r="333" spans="10:22" s="1" customFormat="1" x14ac:dyDescent="0.2">
      <c r="J333"/>
      <c r="K333"/>
      <c r="L333"/>
      <c r="M333"/>
      <c r="N333" s="2"/>
      <c r="R333"/>
      <c r="S333"/>
      <c r="T333"/>
      <c r="U333"/>
      <c r="V333"/>
    </row>
    <row r="334" spans="10:22" s="1" customFormat="1" x14ac:dyDescent="0.2">
      <c r="J334"/>
      <c r="K334"/>
      <c r="L334"/>
      <c r="M334"/>
      <c r="N334" s="2"/>
      <c r="R334"/>
      <c r="S334"/>
      <c r="T334"/>
      <c r="U334"/>
      <c r="V334"/>
    </row>
    <row r="335" spans="10:22" s="1" customFormat="1" x14ac:dyDescent="0.2">
      <c r="J335"/>
      <c r="K335"/>
      <c r="L335"/>
      <c r="M335"/>
      <c r="N335" s="2"/>
      <c r="R335"/>
      <c r="S335"/>
      <c r="T335"/>
      <c r="U335"/>
      <c r="V335"/>
    </row>
    <row r="336" spans="10:22" s="1" customFormat="1" x14ac:dyDescent="0.2">
      <c r="J336"/>
      <c r="K336"/>
      <c r="L336"/>
      <c r="M336"/>
      <c r="N336" s="2"/>
      <c r="R336"/>
      <c r="S336"/>
      <c r="T336"/>
      <c r="U336"/>
      <c r="V336"/>
    </row>
    <row r="337" spans="10:22" s="1" customFormat="1" x14ac:dyDescent="0.2">
      <c r="J337"/>
      <c r="K337"/>
      <c r="L337"/>
      <c r="M337"/>
      <c r="N337" s="2"/>
      <c r="R337"/>
      <c r="S337"/>
      <c r="T337"/>
      <c r="U337"/>
      <c r="V337"/>
    </row>
    <row r="338" spans="10:22" s="1" customFormat="1" x14ac:dyDescent="0.2">
      <c r="J338"/>
      <c r="K338"/>
      <c r="L338"/>
      <c r="M338"/>
      <c r="N338" s="2"/>
      <c r="R338"/>
      <c r="S338"/>
      <c r="T338"/>
      <c r="U338"/>
      <c r="V338"/>
    </row>
    <row r="339" spans="10:22" s="1" customFormat="1" x14ac:dyDescent="0.2">
      <c r="J339"/>
      <c r="K339"/>
      <c r="L339"/>
      <c r="M339"/>
      <c r="N339" s="2"/>
      <c r="R339"/>
      <c r="S339"/>
      <c r="T339"/>
      <c r="U339"/>
      <c r="V339"/>
    </row>
    <row r="340" spans="10:22" s="1" customFormat="1" x14ac:dyDescent="0.2">
      <c r="J340"/>
      <c r="K340"/>
      <c r="L340"/>
      <c r="M340"/>
      <c r="N340" s="2"/>
      <c r="R340"/>
      <c r="S340"/>
      <c r="T340"/>
      <c r="U340"/>
      <c r="V340"/>
    </row>
    <row r="341" spans="10:22" s="1" customFormat="1" x14ac:dyDescent="0.2">
      <c r="J341"/>
      <c r="K341"/>
      <c r="L341"/>
      <c r="M341"/>
      <c r="N341" s="2"/>
      <c r="R341"/>
      <c r="S341"/>
      <c r="T341"/>
      <c r="U341"/>
      <c r="V341"/>
    </row>
    <row r="342" spans="10:22" s="1" customFormat="1" x14ac:dyDescent="0.2">
      <c r="J342"/>
      <c r="K342"/>
      <c r="L342"/>
      <c r="M342"/>
      <c r="N342" s="2"/>
      <c r="R342"/>
      <c r="S342"/>
      <c r="T342"/>
      <c r="U342"/>
      <c r="V342"/>
    </row>
    <row r="343" spans="10:22" s="1" customFormat="1" x14ac:dyDescent="0.2">
      <c r="J343"/>
      <c r="K343"/>
      <c r="L343"/>
      <c r="M343"/>
      <c r="N343" s="2"/>
      <c r="R343"/>
      <c r="S343"/>
      <c r="T343"/>
      <c r="U343"/>
      <c r="V343"/>
    </row>
    <row r="344" spans="10:22" s="1" customFormat="1" x14ac:dyDescent="0.2">
      <c r="J344"/>
      <c r="K344"/>
      <c r="L344"/>
      <c r="M344"/>
      <c r="N344" s="2"/>
      <c r="R344"/>
      <c r="S344"/>
      <c r="T344"/>
      <c r="U344"/>
      <c r="V344"/>
    </row>
    <row r="345" spans="10:22" s="1" customFormat="1" x14ac:dyDescent="0.2">
      <c r="J345"/>
      <c r="K345"/>
      <c r="L345"/>
      <c r="M345"/>
      <c r="N345" s="2"/>
      <c r="R345"/>
      <c r="S345"/>
      <c r="T345"/>
      <c r="U345"/>
      <c r="V345"/>
    </row>
    <row r="346" spans="10:22" s="1" customFormat="1" x14ac:dyDescent="0.2">
      <c r="J346"/>
      <c r="K346"/>
      <c r="L346"/>
      <c r="M346"/>
      <c r="N346" s="2"/>
      <c r="R346"/>
      <c r="S346"/>
      <c r="T346"/>
      <c r="U346"/>
      <c r="V346"/>
    </row>
    <row r="347" spans="10:22" s="1" customFormat="1" x14ac:dyDescent="0.2">
      <c r="J347"/>
      <c r="K347"/>
      <c r="L347"/>
      <c r="M347"/>
      <c r="N347" s="2"/>
      <c r="R347"/>
      <c r="S347"/>
      <c r="T347"/>
      <c r="U347"/>
      <c r="V347"/>
    </row>
    <row r="348" spans="10:22" s="1" customFormat="1" x14ac:dyDescent="0.2">
      <c r="J348"/>
      <c r="K348"/>
      <c r="L348"/>
      <c r="M348"/>
      <c r="N348" s="2"/>
      <c r="R348"/>
      <c r="S348"/>
      <c r="T348"/>
      <c r="U348"/>
      <c r="V348"/>
    </row>
    <row r="349" spans="10:22" s="1" customFormat="1" x14ac:dyDescent="0.2">
      <c r="J349"/>
      <c r="K349"/>
      <c r="L349"/>
      <c r="M349"/>
      <c r="N349" s="2"/>
      <c r="R349"/>
      <c r="S349"/>
      <c r="T349"/>
      <c r="U349"/>
      <c r="V349"/>
    </row>
    <row r="350" spans="10:22" s="1" customFormat="1" x14ac:dyDescent="0.2">
      <c r="J350"/>
      <c r="K350"/>
      <c r="L350"/>
      <c r="M350"/>
      <c r="N350" s="2"/>
      <c r="R350"/>
      <c r="S350"/>
      <c r="T350"/>
      <c r="U350"/>
      <c r="V350"/>
    </row>
    <row r="351" spans="10:22" s="1" customFormat="1" x14ac:dyDescent="0.2">
      <c r="J351"/>
      <c r="K351"/>
      <c r="L351"/>
      <c r="M351"/>
      <c r="N351" s="2"/>
      <c r="R351"/>
      <c r="S351"/>
      <c r="T351"/>
      <c r="U351"/>
      <c r="V351"/>
    </row>
    <row r="352" spans="10:22" s="1" customFormat="1" x14ac:dyDescent="0.2">
      <c r="J352"/>
      <c r="K352"/>
      <c r="L352"/>
      <c r="M352"/>
      <c r="N352" s="2"/>
      <c r="R352"/>
      <c r="S352"/>
      <c r="T352"/>
      <c r="U352"/>
      <c r="V352"/>
    </row>
    <row r="353" spans="10:22" s="1" customFormat="1" x14ac:dyDescent="0.2">
      <c r="J353"/>
      <c r="K353"/>
      <c r="L353"/>
      <c r="M353"/>
      <c r="N353" s="2"/>
      <c r="R353"/>
      <c r="S353"/>
      <c r="T353"/>
      <c r="U353"/>
      <c r="V353"/>
    </row>
    <row r="354" spans="10:22" s="1" customFormat="1" x14ac:dyDescent="0.2">
      <c r="J354"/>
      <c r="K354"/>
      <c r="L354"/>
      <c r="M354"/>
      <c r="N354" s="2"/>
      <c r="R354"/>
      <c r="S354"/>
      <c r="T354"/>
      <c r="U354"/>
      <c r="V354"/>
    </row>
    <row r="355" spans="10:22" s="1" customFormat="1" x14ac:dyDescent="0.2">
      <c r="J355"/>
      <c r="K355"/>
      <c r="L355"/>
      <c r="M355"/>
      <c r="N355" s="2"/>
      <c r="R355"/>
      <c r="S355"/>
      <c r="T355"/>
      <c r="U355"/>
      <c r="V355"/>
    </row>
    <row r="356" spans="10:22" s="1" customFormat="1" x14ac:dyDescent="0.2">
      <c r="J356"/>
      <c r="K356"/>
      <c r="L356"/>
      <c r="M356"/>
      <c r="N356" s="2"/>
      <c r="R356"/>
      <c r="S356"/>
      <c r="T356"/>
      <c r="U356"/>
      <c r="V356"/>
    </row>
    <row r="357" spans="10:22" s="1" customFormat="1" x14ac:dyDescent="0.2">
      <c r="J357"/>
      <c r="K357"/>
      <c r="L357"/>
      <c r="M357"/>
      <c r="N357" s="2"/>
      <c r="R357"/>
      <c r="S357"/>
      <c r="T357"/>
      <c r="U357"/>
      <c r="V357"/>
    </row>
    <row r="358" spans="10:22" s="1" customFormat="1" x14ac:dyDescent="0.2">
      <c r="J358"/>
      <c r="K358"/>
      <c r="L358"/>
      <c r="M358"/>
      <c r="N358" s="2"/>
      <c r="R358"/>
      <c r="S358"/>
      <c r="T358"/>
      <c r="U358"/>
      <c r="V358"/>
    </row>
    <row r="359" spans="10:22" s="1" customFormat="1" x14ac:dyDescent="0.2">
      <c r="J359"/>
      <c r="K359"/>
      <c r="L359"/>
      <c r="M359"/>
      <c r="N359" s="2"/>
      <c r="R359"/>
      <c r="S359"/>
      <c r="T359"/>
      <c r="U359"/>
      <c r="V359"/>
    </row>
    <row r="360" spans="10:22" s="1" customFormat="1" x14ac:dyDescent="0.2">
      <c r="J360"/>
      <c r="K360"/>
      <c r="L360"/>
      <c r="M360"/>
      <c r="N360" s="2"/>
      <c r="R360"/>
      <c r="S360"/>
      <c r="T360"/>
      <c r="U360"/>
      <c r="V360"/>
    </row>
    <row r="361" spans="10:22" s="1" customFormat="1" x14ac:dyDescent="0.2">
      <c r="J361"/>
      <c r="K361"/>
      <c r="L361"/>
      <c r="M361"/>
      <c r="N361" s="2"/>
      <c r="R361"/>
      <c r="S361"/>
      <c r="T361"/>
      <c r="U361"/>
      <c r="V361"/>
    </row>
    <row r="362" spans="10:22" s="1" customFormat="1" x14ac:dyDescent="0.2">
      <c r="J362"/>
      <c r="K362"/>
      <c r="L362"/>
      <c r="M362"/>
      <c r="N362" s="2"/>
      <c r="R362"/>
      <c r="S362"/>
      <c r="T362"/>
      <c r="U362"/>
      <c r="V362"/>
    </row>
    <row r="363" spans="10:22" s="1" customFormat="1" x14ac:dyDescent="0.2">
      <c r="J363"/>
      <c r="K363"/>
      <c r="L363"/>
      <c r="M363"/>
      <c r="N363" s="2"/>
      <c r="R363"/>
      <c r="S363"/>
      <c r="T363"/>
      <c r="U363"/>
      <c r="V363"/>
    </row>
    <row r="364" spans="10:22" s="1" customFormat="1" x14ac:dyDescent="0.2">
      <c r="J364"/>
      <c r="K364"/>
      <c r="L364"/>
      <c r="M364"/>
      <c r="N364" s="2"/>
      <c r="R364"/>
      <c r="S364"/>
      <c r="T364"/>
      <c r="U364"/>
      <c r="V364"/>
    </row>
    <row r="365" spans="10:22" s="1" customFormat="1" x14ac:dyDescent="0.2">
      <c r="J365"/>
      <c r="K365"/>
      <c r="L365"/>
      <c r="M365"/>
      <c r="N365" s="2"/>
      <c r="R365"/>
      <c r="S365"/>
      <c r="T365"/>
      <c r="U365"/>
      <c r="V365"/>
    </row>
    <row r="366" spans="10:22" s="1" customFormat="1" x14ac:dyDescent="0.2">
      <c r="J366"/>
      <c r="K366"/>
      <c r="L366"/>
      <c r="M366"/>
      <c r="N366" s="2"/>
      <c r="R366"/>
      <c r="S366"/>
      <c r="T366"/>
      <c r="U366"/>
      <c r="V366"/>
    </row>
    <row r="367" spans="10:22" s="1" customFormat="1" x14ac:dyDescent="0.2">
      <c r="J367"/>
      <c r="K367"/>
      <c r="L367"/>
      <c r="M367"/>
      <c r="N367" s="2"/>
      <c r="R367"/>
      <c r="S367"/>
      <c r="T367"/>
      <c r="U367"/>
      <c r="V367"/>
    </row>
    <row r="368" spans="10:22" s="1" customFormat="1" x14ac:dyDescent="0.2">
      <c r="J368"/>
      <c r="K368"/>
      <c r="L368"/>
      <c r="M368"/>
      <c r="N368" s="2"/>
      <c r="R368"/>
      <c r="S368"/>
      <c r="T368"/>
      <c r="U368"/>
      <c r="V368"/>
    </row>
    <row r="369" spans="10:22" s="1" customFormat="1" x14ac:dyDescent="0.2">
      <c r="J369"/>
      <c r="K369"/>
      <c r="L369"/>
      <c r="M369"/>
      <c r="N369" s="2"/>
      <c r="R369"/>
      <c r="S369"/>
      <c r="T369"/>
      <c r="U369"/>
      <c r="V369"/>
    </row>
    <row r="370" spans="10:22" s="1" customFormat="1" x14ac:dyDescent="0.2">
      <c r="J370"/>
      <c r="K370"/>
      <c r="L370"/>
      <c r="M370"/>
      <c r="N370" s="2"/>
      <c r="R370"/>
      <c r="S370"/>
      <c r="T370"/>
      <c r="U370"/>
      <c r="V370"/>
    </row>
    <row r="371" spans="10:22" s="1" customFormat="1" x14ac:dyDescent="0.2">
      <c r="J371"/>
      <c r="K371"/>
      <c r="L371"/>
      <c r="M371"/>
      <c r="N371" s="2"/>
      <c r="R371"/>
      <c r="S371"/>
      <c r="T371"/>
      <c r="U371"/>
      <c r="V371"/>
    </row>
    <row r="372" spans="10:22" s="1" customFormat="1" x14ac:dyDescent="0.2">
      <c r="J372"/>
      <c r="K372"/>
      <c r="L372"/>
      <c r="M372"/>
      <c r="N372" s="2"/>
      <c r="R372"/>
      <c r="S372"/>
      <c r="T372"/>
      <c r="U372"/>
      <c r="V372"/>
    </row>
    <row r="373" spans="10:22" s="1" customFormat="1" x14ac:dyDescent="0.2">
      <c r="J373"/>
      <c r="K373"/>
      <c r="L373"/>
      <c r="M373"/>
      <c r="N373" s="2"/>
      <c r="R373"/>
      <c r="S373"/>
      <c r="T373"/>
      <c r="U373"/>
      <c r="V373"/>
    </row>
    <row r="374" spans="10:22" s="1" customFormat="1" x14ac:dyDescent="0.2">
      <c r="J374"/>
      <c r="K374"/>
      <c r="L374"/>
      <c r="M374"/>
      <c r="N374" s="2"/>
      <c r="R374"/>
      <c r="S374"/>
      <c r="T374"/>
      <c r="U374"/>
      <c r="V374"/>
    </row>
    <row r="375" spans="10:22" s="1" customFormat="1" x14ac:dyDescent="0.2">
      <c r="J375"/>
      <c r="K375"/>
      <c r="L375"/>
      <c r="M375"/>
      <c r="N375" s="2"/>
      <c r="R375"/>
      <c r="S375"/>
      <c r="T375"/>
      <c r="U375"/>
      <c r="V375"/>
    </row>
    <row r="376" spans="10:22" s="1" customFormat="1" x14ac:dyDescent="0.2">
      <c r="J376"/>
      <c r="K376"/>
      <c r="L376"/>
      <c r="M376"/>
      <c r="N376" s="2"/>
      <c r="R376"/>
      <c r="S376"/>
      <c r="T376"/>
      <c r="U376"/>
      <c r="V376"/>
    </row>
    <row r="377" spans="10:22" s="1" customFormat="1" x14ac:dyDescent="0.2">
      <c r="J377"/>
      <c r="K377"/>
      <c r="L377"/>
      <c r="M377"/>
      <c r="N377" s="2"/>
      <c r="R377"/>
      <c r="S377"/>
      <c r="T377"/>
      <c r="U377"/>
      <c r="V377"/>
    </row>
    <row r="378" spans="10:22" s="1" customFormat="1" x14ac:dyDescent="0.2">
      <c r="J378"/>
      <c r="K378"/>
      <c r="L378"/>
      <c r="M378"/>
      <c r="N378" s="2"/>
      <c r="R378"/>
      <c r="S378"/>
      <c r="T378"/>
      <c r="U378"/>
      <c r="V378"/>
    </row>
    <row r="379" spans="10:22" s="1" customFormat="1" x14ac:dyDescent="0.2">
      <c r="J379"/>
      <c r="K379"/>
      <c r="L379"/>
      <c r="M379"/>
      <c r="N379" s="2"/>
      <c r="R379"/>
      <c r="S379"/>
      <c r="T379"/>
      <c r="U379"/>
      <c r="V379"/>
    </row>
    <row r="380" spans="10:22" s="1" customFormat="1" x14ac:dyDescent="0.2">
      <c r="J380"/>
      <c r="K380"/>
      <c r="L380"/>
      <c r="M380"/>
      <c r="N380" s="2"/>
      <c r="R380"/>
      <c r="S380"/>
      <c r="T380"/>
      <c r="U380"/>
      <c r="V380"/>
    </row>
    <row r="381" spans="10:22" s="1" customFormat="1" x14ac:dyDescent="0.2">
      <c r="J381"/>
      <c r="K381"/>
      <c r="L381"/>
      <c r="M381"/>
      <c r="N381" s="2"/>
      <c r="R381"/>
      <c r="S381"/>
      <c r="T381"/>
      <c r="U381"/>
      <c r="V381"/>
    </row>
    <row r="382" spans="10:22" s="1" customFormat="1" x14ac:dyDescent="0.2">
      <c r="J382"/>
      <c r="K382"/>
      <c r="L382"/>
      <c r="M382"/>
      <c r="N382" s="2"/>
      <c r="R382"/>
      <c r="S382"/>
      <c r="T382"/>
      <c r="U382"/>
      <c r="V382"/>
    </row>
    <row r="383" spans="10:22" s="1" customFormat="1" x14ac:dyDescent="0.2">
      <c r="J383"/>
      <c r="K383"/>
      <c r="L383"/>
      <c r="M383"/>
      <c r="N383" s="2"/>
      <c r="R383"/>
      <c r="S383"/>
      <c r="T383"/>
      <c r="U383"/>
      <c r="V383"/>
    </row>
    <row r="384" spans="10:22" s="1" customFormat="1" x14ac:dyDescent="0.2">
      <c r="J384"/>
      <c r="K384"/>
      <c r="L384"/>
      <c r="M384"/>
      <c r="N384" s="2"/>
      <c r="R384"/>
      <c r="S384"/>
      <c r="T384"/>
      <c r="U384"/>
      <c r="V384"/>
    </row>
    <row r="385" spans="10:22" s="1" customFormat="1" x14ac:dyDescent="0.2">
      <c r="J385"/>
      <c r="K385"/>
      <c r="L385"/>
      <c r="M385"/>
      <c r="N385" s="2"/>
      <c r="R385"/>
      <c r="S385"/>
      <c r="T385"/>
      <c r="U385"/>
      <c r="V385"/>
    </row>
    <row r="386" spans="10:22" s="1" customFormat="1" x14ac:dyDescent="0.2">
      <c r="J386"/>
      <c r="K386"/>
      <c r="L386"/>
      <c r="M386"/>
      <c r="N386" s="2"/>
      <c r="R386"/>
      <c r="S386"/>
      <c r="T386"/>
      <c r="U386"/>
      <c r="V386"/>
    </row>
    <row r="387" spans="10:22" s="1" customFormat="1" x14ac:dyDescent="0.2">
      <c r="J387"/>
      <c r="K387"/>
      <c r="L387"/>
      <c r="M387"/>
      <c r="N387" s="2"/>
      <c r="R387"/>
      <c r="S387"/>
      <c r="T387"/>
      <c r="U387"/>
      <c r="V387"/>
    </row>
    <row r="388" spans="10:22" s="1" customFormat="1" x14ac:dyDescent="0.2">
      <c r="J388"/>
      <c r="K388"/>
      <c r="L388"/>
      <c r="M388"/>
      <c r="N388" s="2"/>
      <c r="R388"/>
      <c r="S388"/>
      <c r="T388"/>
      <c r="U388"/>
      <c r="V388"/>
    </row>
    <row r="389" spans="10:22" s="1" customFormat="1" x14ac:dyDescent="0.2">
      <c r="J389"/>
      <c r="K389"/>
      <c r="L389"/>
      <c r="M389"/>
      <c r="N389" s="2"/>
      <c r="R389"/>
      <c r="S389"/>
      <c r="T389"/>
      <c r="U389"/>
      <c r="V389"/>
    </row>
    <row r="390" spans="10:22" s="1" customFormat="1" x14ac:dyDescent="0.2">
      <c r="J390"/>
      <c r="K390"/>
      <c r="L390"/>
      <c r="M390"/>
      <c r="N390" s="2"/>
      <c r="R390"/>
      <c r="S390"/>
      <c r="T390"/>
      <c r="U390"/>
      <c r="V390"/>
    </row>
    <row r="391" spans="10:22" s="1" customFormat="1" x14ac:dyDescent="0.2">
      <c r="J391"/>
      <c r="K391"/>
      <c r="L391"/>
      <c r="M391"/>
      <c r="N391" s="2"/>
      <c r="R391"/>
      <c r="S391"/>
      <c r="T391"/>
      <c r="U391"/>
      <c r="V391"/>
    </row>
    <row r="392" spans="10:22" s="1" customFormat="1" x14ac:dyDescent="0.2">
      <c r="J392"/>
      <c r="K392"/>
      <c r="L392"/>
      <c r="M392"/>
      <c r="N392" s="2"/>
      <c r="R392"/>
      <c r="S392"/>
      <c r="T392"/>
      <c r="U392"/>
      <c r="V392"/>
    </row>
    <row r="393" spans="10:22" s="1" customFormat="1" x14ac:dyDescent="0.2">
      <c r="J393"/>
      <c r="K393"/>
      <c r="L393"/>
      <c r="M393"/>
      <c r="N393" s="2"/>
      <c r="R393"/>
      <c r="S393"/>
      <c r="T393"/>
      <c r="U393"/>
      <c r="V393"/>
    </row>
    <row r="394" spans="10:22" s="1" customFormat="1" x14ac:dyDescent="0.2">
      <c r="J394"/>
      <c r="K394"/>
      <c r="L394"/>
      <c r="M394"/>
      <c r="N394" s="2"/>
      <c r="R394"/>
      <c r="S394"/>
      <c r="T394"/>
      <c r="U394"/>
      <c r="V394"/>
    </row>
    <row r="395" spans="10:22" s="1" customFormat="1" x14ac:dyDescent="0.2">
      <c r="J395"/>
      <c r="K395"/>
      <c r="L395"/>
      <c r="M395"/>
      <c r="N395" s="2"/>
      <c r="R395"/>
      <c r="S395"/>
      <c r="T395"/>
      <c r="U395"/>
      <c r="V395"/>
    </row>
    <row r="396" spans="10:22" s="1" customFormat="1" x14ac:dyDescent="0.2">
      <c r="J396"/>
      <c r="K396"/>
      <c r="L396"/>
      <c r="M396"/>
      <c r="N396" s="2"/>
      <c r="R396"/>
      <c r="S396"/>
      <c r="T396"/>
      <c r="U396"/>
      <c r="V396"/>
    </row>
    <row r="397" spans="10:22" s="1" customFormat="1" x14ac:dyDescent="0.2">
      <c r="J397"/>
      <c r="K397"/>
      <c r="L397"/>
      <c r="M397"/>
      <c r="N397" s="2"/>
      <c r="R397"/>
      <c r="S397"/>
      <c r="T397"/>
      <c r="U397"/>
      <c r="V397"/>
    </row>
    <row r="398" spans="10:22" s="1" customFormat="1" x14ac:dyDescent="0.2">
      <c r="J398"/>
      <c r="K398"/>
      <c r="L398"/>
      <c r="M398"/>
      <c r="N398" s="2"/>
      <c r="R398"/>
      <c r="S398"/>
      <c r="T398"/>
      <c r="U398"/>
      <c r="V398"/>
    </row>
    <row r="399" spans="10:22" s="1" customFormat="1" x14ac:dyDescent="0.2">
      <c r="J399"/>
      <c r="K399"/>
      <c r="L399"/>
      <c r="M399"/>
      <c r="N399" s="2"/>
      <c r="R399"/>
      <c r="S399"/>
      <c r="T399"/>
      <c r="U399"/>
      <c r="V399"/>
    </row>
    <row r="400" spans="10:22" s="1" customFormat="1" x14ac:dyDescent="0.2">
      <c r="J400"/>
      <c r="K400"/>
      <c r="L400"/>
      <c r="M400"/>
      <c r="N400" s="2"/>
      <c r="R400"/>
      <c r="S400"/>
      <c r="T400"/>
      <c r="U400"/>
      <c r="V400"/>
    </row>
    <row r="401" spans="10:22" s="1" customFormat="1" x14ac:dyDescent="0.2">
      <c r="J401"/>
      <c r="K401"/>
      <c r="L401"/>
      <c r="M401"/>
      <c r="N401" s="2"/>
      <c r="R401"/>
      <c r="S401"/>
      <c r="T401"/>
      <c r="U401"/>
      <c r="V401"/>
    </row>
    <row r="402" spans="10:22" s="1" customFormat="1" x14ac:dyDescent="0.2">
      <c r="J402"/>
      <c r="K402"/>
      <c r="L402"/>
      <c r="M402"/>
      <c r="N402" s="2"/>
      <c r="R402"/>
      <c r="S402"/>
      <c r="T402"/>
      <c r="U402"/>
      <c r="V402"/>
    </row>
    <row r="403" spans="10:22" s="1" customFormat="1" x14ac:dyDescent="0.2">
      <c r="J403"/>
      <c r="K403"/>
      <c r="L403"/>
      <c r="M403"/>
      <c r="N403" s="2"/>
      <c r="R403"/>
      <c r="S403"/>
      <c r="T403"/>
      <c r="U403"/>
      <c r="V403"/>
    </row>
    <row r="404" spans="10:22" s="1" customFormat="1" x14ac:dyDescent="0.2">
      <c r="J404"/>
      <c r="K404"/>
      <c r="L404"/>
      <c r="M404"/>
      <c r="N404" s="2"/>
      <c r="R404"/>
      <c r="S404"/>
      <c r="T404"/>
      <c r="U404"/>
      <c r="V404"/>
    </row>
    <row r="405" spans="10:22" s="1" customFormat="1" x14ac:dyDescent="0.2">
      <c r="J405"/>
      <c r="K405"/>
      <c r="L405"/>
      <c r="M405"/>
      <c r="N405" s="2"/>
      <c r="R405"/>
      <c r="S405"/>
      <c r="T405"/>
      <c r="U405"/>
      <c r="V405"/>
    </row>
    <row r="406" spans="10:22" s="1" customFormat="1" x14ac:dyDescent="0.2">
      <c r="J406"/>
      <c r="K406"/>
      <c r="L406"/>
      <c r="M406"/>
      <c r="N406" s="2"/>
      <c r="R406"/>
      <c r="S406"/>
      <c r="T406"/>
      <c r="U406"/>
      <c r="V406"/>
    </row>
    <row r="407" spans="10:22" s="1" customFormat="1" x14ac:dyDescent="0.2">
      <c r="J407"/>
      <c r="K407"/>
      <c r="L407"/>
      <c r="M407"/>
      <c r="N407" s="2"/>
      <c r="R407"/>
      <c r="S407"/>
      <c r="T407"/>
      <c r="U407"/>
      <c r="V407"/>
    </row>
    <row r="408" spans="10:22" s="1" customFormat="1" x14ac:dyDescent="0.2">
      <c r="J408"/>
      <c r="K408"/>
      <c r="L408"/>
      <c r="M408"/>
      <c r="N408" s="2"/>
      <c r="R408"/>
      <c r="S408"/>
      <c r="T408"/>
      <c r="U408"/>
      <c r="V408"/>
    </row>
    <row r="409" spans="10:22" s="1" customFormat="1" x14ac:dyDescent="0.2">
      <c r="J409"/>
      <c r="K409"/>
      <c r="L409"/>
      <c r="M409"/>
      <c r="N409" s="2"/>
      <c r="R409"/>
      <c r="S409"/>
      <c r="T409"/>
      <c r="U409"/>
      <c r="V409"/>
    </row>
    <row r="410" spans="10:22" s="1" customFormat="1" x14ac:dyDescent="0.2">
      <c r="J410"/>
      <c r="K410"/>
      <c r="L410"/>
      <c r="M410"/>
      <c r="N410" s="2"/>
      <c r="R410"/>
      <c r="S410"/>
      <c r="T410"/>
      <c r="U410"/>
      <c r="V410"/>
    </row>
    <row r="411" spans="10:22" s="1" customFormat="1" x14ac:dyDescent="0.2">
      <c r="J411"/>
      <c r="K411"/>
      <c r="L411"/>
      <c r="M411"/>
      <c r="N411" s="2"/>
      <c r="R411"/>
      <c r="S411"/>
      <c r="T411"/>
      <c r="U411"/>
      <c r="V411"/>
    </row>
    <row r="412" spans="10:22" s="1" customFormat="1" x14ac:dyDescent="0.2">
      <c r="J412"/>
      <c r="K412"/>
      <c r="L412"/>
      <c r="M412"/>
      <c r="N412" s="2"/>
      <c r="R412"/>
      <c r="S412"/>
      <c r="T412"/>
      <c r="U412"/>
      <c r="V412"/>
    </row>
    <row r="413" spans="10:22" s="1" customFormat="1" x14ac:dyDescent="0.2">
      <c r="J413"/>
      <c r="K413"/>
      <c r="L413"/>
      <c r="M413"/>
      <c r="N413" s="2"/>
      <c r="R413"/>
      <c r="S413"/>
      <c r="T413"/>
      <c r="U413"/>
      <c r="V413"/>
    </row>
    <row r="414" spans="10:22" s="1" customFormat="1" x14ac:dyDescent="0.2">
      <c r="J414"/>
      <c r="K414"/>
      <c r="L414"/>
      <c r="M414"/>
      <c r="N414" s="2"/>
      <c r="R414"/>
      <c r="S414"/>
      <c r="T414"/>
      <c r="U414"/>
      <c r="V414"/>
    </row>
    <row r="415" spans="10:22" s="1" customFormat="1" x14ac:dyDescent="0.2">
      <c r="J415"/>
      <c r="K415"/>
      <c r="L415"/>
      <c r="M415"/>
      <c r="N415" s="2"/>
      <c r="R415"/>
      <c r="S415"/>
      <c r="T415"/>
      <c r="U415"/>
      <c r="V415"/>
    </row>
    <row r="416" spans="10:22" s="1" customFormat="1" x14ac:dyDescent="0.2">
      <c r="J416"/>
      <c r="K416"/>
      <c r="L416"/>
      <c r="M416"/>
      <c r="N416" s="2"/>
      <c r="R416"/>
      <c r="S416"/>
      <c r="T416"/>
      <c r="U416"/>
      <c r="V416"/>
    </row>
    <row r="417" spans="10:22" s="1" customFormat="1" x14ac:dyDescent="0.2">
      <c r="J417"/>
      <c r="K417"/>
      <c r="L417"/>
      <c r="M417"/>
      <c r="N417" s="2"/>
      <c r="R417"/>
      <c r="S417"/>
      <c r="T417"/>
      <c r="U417"/>
      <c r="V417"/>
    </row>
    <row r="418" spans="10:22" s="1" customFormat="1" x14ac:dyDescent="0.2">
      <c r="J418"/>
      <c r="K418"/>
      <c r="L418"/>
      <c r="M418"/>
      <c r="N418" s="2"/>
      <c r="R418"/>
      <c r="S418"/>
      <c r="T418"/>
      <c r="U418"/>
      <c r="V418"/>
    </row>
    <row r="419" spans="10:22" s="1" customFormat="1" x14ac:dyDescent="0.2">
      <c r="J419"/>
      <c r="K419"/>
      <c r="L419"/>
      <c r="M419"/>
      <c r="N419" s="2"/>
      <c r="R419"/>
      <c r="S419"/>
      <c r="T419"/>
      <c r="U419"/>
      <c r="V419"/>
    </row>
    <row r="420" spans="10:22" s="1" customFormat="1" x14ac:dyDescent="0.2">
      <c r="J420"/>
      <c r="K420"/>
      <c r="L420"/>
      <c r="M420"/>
      <c r="N420" s="2"/>
      <c r="R420"/>
      <c r="S420"/>
      <c r="T420"/>
      <c r="U420"/>
      <c r="V420"/>
    </row>
    <row r="421" spans="10:22" s="1" customFormat="1" x14ac:dyDescent="0.2">
      <c r="J421"/>
      <c r="K421"/>
      <c r="L421"/>
      <c r="M421"/>
      <c r="N421" s="2"/>
      <c r="R421"/>
      <c r="S421"/>
      <c r="T421"/>
      <c r="U421"/>
      <c r="V421"/>
    </row>
    <row r="422" spans="10:22" s="1" customFormat="1" x14ac:dyDescent="0.2">
      <c r="J422"/>
      <c r="K422"/>
      <c r="L422"/>
      <c r="M422"/>
      <c r="N422" s="2"/>
      <c r="R422"/>
      <c r="S422"/>
      <c r="T422"/>
      <c r="U422"/>
      <c r="V422"/>
    </row>
    <row r="423" spans="10:22" s="1" customFormat="1" x14ac:dyDescent="0.2">
      <c r="J423"/>
      <c r="K423"/>
      <c r="L423"/>
      <c r="M423"/>
      <c r="N423" s="2"/>
      <c r="R423"/>
      <c r="S423"/>
      <c r="T423"/>
      <c r="U423"/>
      <c r="V423"/>
    </row>
    <row r="424" spans="10:22" s="1" customFormat="1" x14ac:dyDescent="0.2">
      <c r="J424"/>
      <c r="K424"/>
      <c r="L424"/>
      <c r="M424"/>
      <c r="N424" s="2"/>
      <c r="R424"/>
      <c r="S424"/>
      <c r="T424"/>
      <c r="U424"/>
      <c r="V424"/>
    </row>
    <row r="425" spans="10:22" s="1" customFormat="1" x14ac:dyDescent="0.2">
      <c r="J425"/>
      <c r="K425"/>
      <c r="L425"/>
      <c r="M425"/>
      <c r="N425" s="2"/>
      <c r="R425"/>
      <c r="S425"/>
      <c r="T425"/>
      <c r="U425"/>
      <c r="V425"/>
    </row>
    <row r="426" spans="10:22" s="1" customFormat="1" x14ac:dyDescent="0.2">
      <c r="J426"/>
      <c r="K426"/>
      <c r="L426"/>
      <c r="M426"/>
      <c r="N426" s="2"/>
      <c r="R426"/>
      <c r="S426"/>
      <c r="T426"/>
      <c r="U426"/>
      <c r="V426"/>
    </row>
    <row r="427" spans="10:22" s="1" customFormat="1" x14ac:dyDescent="0.2">
      <c r="J427"/>
      <c r="K427"/>
      <c r="L427"/>
      <c r="M427"/>
      <c r="N427" s="2"/>
      <c r="R427"/>
      <c r="S427"/>
      <c r="T427"/>
      <c r="U427"/>
      <c r="V427"/>
    </row>
    <row r="428" spans="10:22" s="1" customFormat="1" x14ac:dyDescent="0.2">
      <c r="J428"/>
      <c r="K428"/>
      <c r="L428"/>
      <c r="M428"/>
      <c r="N428" s="2"/>
      <c r="R428"/>
      <c r="S428"/>
      <c r="T428"/>
      <c r="U428"/>
      <c r="V428"/>
    </row>
    <row r="429" spans="10:22" s="1" customFormat="1" x14ac:dyDescent="0.2">
      <c r="J429"/>
      <c r="K429"/>
      <c r="L429"/>
      <c r="M429"/>
      <c r="N429" s="2"/>
      <c r="R429"/>
      <c r="S429"/>
      <c r="T429"/>
      <c r="U429"/>
      <c r="V429"/>
    </row>
    <row r="430" spans="10:22" s="1" customFormat="1" x14ac:dyDescent="0.2">
      <c r="J430"/>
      <c r="K430"/>
      <c r="L430"/>
      <c r="M430"/>
      <c r="N430" s="2"/>
      <c r="R430"/>
      <c r="S430"/>
      <c r="T430"/>
      <c r="U430"/>
      <c r="V430"/>
    </row>
    <row r="431" spans="10:22" s="1" customFormat="1" x14ac:dyDescent="0.2">
      <c r="J431"/>
      <c r="K431"/>
      <c r="L431"/>
      <c r="M431"/>
      <c r="N431" s="2"/>
      <c r="R431"/>
      <c r="S431"/>
      <c r="T431"/>
      <c r="U431"/>
      <c r="V431"/>
    </row>
    <row r="432" spans="10:22" s="1" customFormat="1" x14ac:dyDescent="0.2">
      <c r="J432"/>
      <c r="K432"/>
      <c r="L432"/>
      <c r="M432"/>
      <c r="N432" s="2"/>
      <c r="R432"/>
      <c r="S432"/>
      <c r="T432"/>
      <c r="U432"/>
      <c r="V432"/>
    </row>
    <row r="433" spans="10:22" s="1" customFormat="1" x14ac:dyDescent="0.2">
      <c r="J433"/>
      <c r="K433"/>
      <c r="L433"/>
      <c r="M433"/>
      <c r="N433" s="2"/>
      <c r="R433"/>
      <c r="S433"/>
      <c r="T433"/>
      <c r="U433"/>
      <c r="V433"/>
    </row>
    <row r="434" spans="10:22" s="1" customFormat="1" x14ac:dyDescent="0.2">
      <c r="J434"/>
      <c r="K434"/>
      <c r="L434"/>
      <c r="M434"/>
      <c r="N434" s="2"/>
      <c r="R434"/>
      <c r="S434"/>
      <c r="T434"/>
      <c r="U434"/>
      <c r="V434"/>
    </row>
    <row r="435" spans="10:22" s="1" customFormat="1" x14ac:dyDescent="0.2">
      <c r="J435"/>
      <c r="K435"/>
      <c r="L435"/>
      <c r="M435"/>
      <c r="N435" s="2"/>
      <c r="R435"/>
      <c r="S435"/>
      <c r="T435"/>
      <c r="U435"/>
      <c r="V435"/>
    </row>
    <row r="436" spans="10:22" s="1" customFormat="1" x14ac:dyDescent="0.2">
      <c r="J436"/>
      <c r="K436"/>
      <c r="L436"/>
      <c r="M436"/>
      <c r="N436" s="2"/>
      <c r="R436"/>
      <c r="S436"/>
      <c r="T436"/>
      <c r="U436"/>
      <c r="V436"/>
    </row>
    <row r="437" spans="10:22" s="1" customFormat="1" x14ac:dyDescent="0.2">
      <c r="J437"/>
      <c r="K437"/>
      <c r="L437"/>
      <c r="M437"/>
      <c r="N437" s="2"/>
      <c r="R437"/>
      <c r="S437"/>
      <c r="T437"/>
      <c r="U437"/>
      <c r="V437"/>
    </row>
    <row r="438" spans="10:22" s="1" customFormat="1" x14ac:dyDescent="0.2">
      <c r="J438"/>
      <c r="K438"/>
      <c r="L438"/>
      <c r="M438"/>
      <c r="N438" s="2"/>
      <c r="R438"/>
      <c r="S438"/>
      <c r="T438"/>
      <c r="U438"/>
      <c r="V438"/>
    </row>
    <row r="439" spans="10:22" s="1" customFormat="1" x14ac:dyDescent="0.2">
      <c r="J439"/>
      <c r="K439"/>
      <c r="L439"/>
      <c r="M439"/>
      <c r="N439" s="2"/>
      <c r="R439"/>
      <c r="S439"/>
      <c r="T439"/>
      <c r="U439"/>
      <c r="V439"/>
    </row>
    <row r="440" spans="10:22" s="1" customFormat="1" x14ac:dyDescent="0.2">
      <c r="J440"/>
      <c r="K440"/>
      <c r="L440"/>
      <c r="M440"/>
      <c r="N440" s="2"/>
      <c r="R440"/>
      <c r="S440"/>
      <c r="T440"/>
      <c r="U440"/>
      <c r="V440"/>
    </row>
    <row r="441" spans="10:22" s="1" customFormat="1" x14ac:dyDescent="0.2">
      <c r="J441"/>
      <c r="K441"/>
      <c r="L441"/>
      <c r="M441"/>
      <c r="N441" s="2"/>
      <c r="R441"/>
      <c r="S441"/>
      <c r="T441"/>
      <c r="U441"/>
      <c r="V441"/>
    </row>
    <row r="442" spans="10:22" s="1" customFormat="1" x14ac:dyDescent="0.2">
      <c r="J442"/>
      <c r="K442"/>
      <c r="L442"/>
      <c r="M442"/>
      <c r="N442" s="2"/>
      <c r="R442"/>
      <c r="S442"/>
      <c r="T442"/>
      <c r="U442"/>
      <c r="V442"/>
    </row>
    <row r="443" spans="10:22" s="1" customFormat="1" x14ac:dyDescent="0.2">
      <c r="J443"/>
      <c r="K443"/>
      <c r="L443"/>
      <c r="M443"/>
      <c r="N443" s="2"/>
      <c r="R443"/>
      <c r="S443"/>
      <c r="T443"/>
      <c r="U443"/>
      <c r="V443"/>
    </row>
    <row r="444" spans="10:22" s="1" customFormat="1" x14ac:dyDescent="0.2">
      <c r="J444"/>
      <c r="K444"/>
      <c r="L444"/>
      <c r="M444"/>
      <c r="N444" s="2"/>
      <c r="R444"/>
      <c r="S444"/>
      <c r="T444"/>
      <c r="U444"/>
      <c r="V444"/>
    </row>
    <row r="445" spans="10:22" s="1" customFormat="1" x14ac:dyDescent="0.2">
      <c r="J445"/>
      <c r="K445"/>
      <c r="L445"/>
      <c r="M445"/>
      <c r="N445" s="2"/>
      <c r="R445"/>
      <c r="S445"/>
      <c r="T445"/>
      <c r="U445"/>
      <c r="V445"/>
    </row>
    <row r="446" spans="10:22" s="1" customFormat="1" x14ac:dyDescent="0.2">
      <c r="J446"/>
      <c r="K446"/>
      <c r="L446"/>
      <c r="M446"/>
      <c r="N446" s="2"/>
      <c r="R446"/>
      <c r="S446"/>
      <c r="T446"/>
      <c r="U446"/>
      <c r="V446"/>
    </row>
    <row r="447" spans="10:22" s="1" customFormat="1" x14ac:dyDescent="0.2">
      <c r="J447"/>
      <c r="K447"/>
      <c r="L447"/>
      <c r="M447"/>
      <c r="N447" s="2"/>
      <c r="R447"/>
      <c r="S447"/>
      <c r="T447"/>
      <c r="U447"/>
      <c r="V447"/>
    </row>
    <row r="448" spans="10:22" s="1" customFormat="1" x14ac:dyDescent="0.2">
      <c r="J448"/>
      <c r="K448"/>
      <c r="L448"/>
      <c r="M448"/>
      <c r="N448" s="2"/>
      <c r="R448"/>
      <c r="S448"/>
      <c r="T448"/>
      <c r="U448"/>
      <c r="V448"/>
    </row>
    <row r="449" spans="10:22" s="1" customFormat="1" x14ac:dyDescent="0.2">
      <c r="J449"/>
      <c r="K449"/>
      <c r="L449"/>
      <c r="M449"/>
      <c r="N449" s="2"/>
      <c r="R449"/>
      <c r="S449"/>
      <c r="T449"/>
      <c r="U449"/>
      <c r="V449"/>
    </row>
    <row r="450" spans="10:22" s="1" customFormat="1" x14ac:dyDescent="0.2">
      <c r="J450"/>
      <c r="K450"/>
      <c r="L450"/>
      <c r="M450"/>
      <c r="N450" s="2"/>
      <c r="R450"/>
      <c r="S450"/>
      <c r="T450"/>
      <c r="U450"/>
      <c r="V450"/>
    </row>
    <row r="451" spans="10:22" s="1" customFormat="1" x14ac:dyDescent="0.2">
      <c r="J451"/>
      <c r="K451"/>
      <c r="L451"/>
      <c r="M451"/>
      <c r="N451" s="2"/>
      <c r="R451"/>
      <c r="S451"/>
      <c r="T451"/>
      <c r="U451"/>
      <c r="V451"/>
    </row>
    <row r="452" spans="10:22" s="1" customFormat="1" x14ac:dyDescent="0.2">
      <c r="J452"/>
      <c r="K452"/>
      <c r="L452"/>
      <c r="M452"/>
      <c r="N452" s="2"/>
      <c r="R452"/>
      <c r="S452"/>
      <c r="T452"/>
      <c r="U452"/>
      <c r="V452"/>
    </row>
    <row r="453" spans="10:22" s="1" customFormat="1" x14ac:dyDescent="0.2">
      <c r="J453"/>
      <c r="K453"/>
      <c r="L453"/>
      <c r="M453"/>
      <c r="N453" s="2"/>
      <c r="R453"/>
      <c r="S453"/>
      <c r="T453"/>
      <c r="U453"/>
      <c r="V453"/>
    </row>
    <row r="454" spans="10:22" s="1" customFormat="1" x14ac:dyDescent="0.2">
      <c r="J454"/>
      <c r="K454"/>
      <c r="L454"/>
      <c r="M454"/>
      <c r="N454" s="2"/>
      <c r="R454"/>
      <c r="S454"/>
      <c r="T454"/>
      <c r="U454"/>
      <c r="V454"/>
    </row>
    <row r="455" spans="10:22" s="1" customFormat="1" x14ac:dyDescent="0.2">
      <c r="J455"/>
      <c r="K455"/>
      <c r="L455"/>
      <c r="M455"/>
      <c r="N455" s="2"/>
      <c r="R455"/>
      <c r="S455"/>
      <c r="T455"/>
      <c r="U455"/>
      <c r="V455"/>
    </row>
    <row r="456" spans="10:22" s="1" customFormat="1" x14ac:dyDescent="0.2">
      <c r="J456"/>
      <c r="K456"/>
      <c r="L456"/>
      <c r="M456"/>
      <c r="N456" s="2"/>
      <c r="R456"/>
      <c r="S456"/>
      <c r="T456"/>
      <c r="U456"/>
      <c r="V456"/>
    </row>
    <row r="457" spans="10:22" s="1" customFormat="1" x14ac:dyDescent="0.2">
      <c r="J457"/>
      <c r="K457"/>
      <c r="L457"/>
      <c r="M457"/>
      <c r="N457" s="2"/>
      <c r="R457"/>
      <c r="S457"/>
      <c r="T457"/>
      <c r="U457"/>
      <c r="V457"/>
    </row>
    <row r="458" spans="10:22" s="1" customFormat="1" x14ac:dyDescent="0.2">
      <c r="J458"/>
      <c r="K458"/>
      <c r="L458"/>
      <c r="M458"/>
      <c r="N458" s="2"/>
      <c r="R458"/>
      <c r="S458"/>
      <c r="T458"/>
      <c r="U458"/>
      <c r="V458"/>
    </row>
    <row r="459" spans="10:22" s="1" customFormat="1" x14ac:dyDescent="0.2">
      <c r="J459"/>
      <c r="K459"/>
      <c r="L459"/>
      <c r="M459"/>
      <c r="N459" s="2"/>
      <c r="R459"/>
      <c r="S459"/>
      <c r="T459"/>
      <c r="U459"/>
      <c r="V459"/>
    </row>
    <row r="460" spans="10:22" s="1" customFormat="1" x14ac:dyDescent="0.2">
      <c r="J460"/>
      <c r="K460"/>
      <c r="L460"/>
      <c r="M460"/>
      <c r="N460" s="2"/>
      <c r="R460"/>
      <c r="S460"/>
      <c r="T460"/>
      <c r="U460"/>
      <c r="V460"/>
    </row>
    <row r="461" spans="10:22" s="1" customFormat="1" x14ac:dyDescent="0.2">
      <c r="J461"/>
      <c r="K461"/>
      <c r="L461"/>
      <c r="M461"/>
      <c r="N461" s="2"/>
      <c r="R461"/>
      <c r="S461"/>
      <c r="T461"/>
      <c r="U461"/>
      <c r="V461"/>
    </row>
    <row r="462" spans="10:22" s="1" customFormat="1" x14ac:dyDescent="0.2">
      <c r="J462"/>
      <c r="K462"/>
      <c r="L462"/>
      <c r="M462"/>
      <c r="N462" s="2"/>
      <c r="R462"/>
      <c r="S462"/>
      <c r="T462"/>
      <c r="U462"/>
      <c r="V462"/>
    </row>
    <row r="463" spans="10:22" s="1" customFormat="1" x14ac:dyDescent="0.2">
      <c r="J463"/>
      <c r="K463"/>
      <c r="L463"/>
      <c r="M463"/>
      <c r="N463" s="2"/>
      <c r="R463"/>
      <c r="S463"/>
      <c r="T463"/>
      <c r="U463"/>
      <c r="V463"/>
    </row>
    <row r="464" spans="10:22" s="1" customFormat="1" x14ac:dyDescent="0.2">
      <c r="J464"/>
      <c r="K464"/>
      <c r="L464"/>
      <c r="M464"/>
      <c r="N464" s="2"/>
      <c r="R464"/>
      <c r="S464"/>
      <c r="T464"/>
      <c r="U464"/>
      <c r="V464"/>
    </row>
    <row r="465" spans="10:22" s="1" customFormat="1" x14ac:dyDescent="0.2">
      <c r="J465"/>
      <c r="K465"/>
      <c r="L465"/>
      <c r="M465"/>
      <c r="N465" s="2"/>
      <c r="R465"/>
      <c r="S465"/>
      <c r="T465"/>
      <c r="U465"/>
      <c r="V465"/>
    </row>
    <row r="466" spans="10:22" s="1" customFormat="1" x14ac:dyDescent="0.2">
      <c r="J466"/>
      <c r="K466"/>
      <c r="L466"/>
      <c r="M466"/>
      <c r="N466" s="2"/>
      <c r="R466"/>
      <c r="S466"/>
      <c r="T466"/>
      <c r="U466"/>
      <c r="V466"/>
    </row>
    <row r="467" spans="10:22" s="1" customFormat="1" x14ac:dyDescent="0.2">
      <c r="J467"/>
      <c r="K467"/>
      <c r="L467"/>
      <c r="M467"/>
      <c r="N467" s="2"/>
      <c r="R467"/>
      <c r="S467"/>
      <c r="T467"/>
      <c r="U467"/>
      <c r="V467"/>
    </row>
    <row r="468" spans="10:22" s="1" customFormat="1" x14ac:dyDescent="0.2">
      <c r="J468"/>
      <c r="K468"/>
      <c r="L468"/>
      <c r="M468"/>
      <c r="N468" s="2"/>
      <c r="R468"/>
      <c r="S468"/>
      <c r="T468"/>
      <c r="U468"/>
      <c r="V468"/>
    </row>
    <row r="469" spans="10:22" s="1" customFormat="1" x14ac:dyDescent="0.2">
      <c r="J469"/>
      <c r="K469"/>
      <c r="L469"/>
      <c r="M469"/>
      <c r="N469" s="2"/>
      <c r="R469"/>
      <c r="S469"/>
      <c r="T469"/>
      <c r="U469"/>
      <c r="V469"/>
    </row>
    <row r="470" spans="10:22" s="1" customFormat="1" x14ac:dyDescent="0.2">
      <c r="J470"/>
      <c r="K470"/>
      <c r="L470"/>
      <c r="M470"/>
      <c r="N470" s="2"/>
      <c r="R470"/>
      <c r="S470"/>
      <c r="T470"/>
      <c r="U470"/>
      <c r="V470"/>
    </row>
    <row r="471" spans="10:22" s="1" customFormat="1" x14ac:dyDescent="0.2">
      <c r="J471"/>
      <c r="K471"/>
      <c r="L471"/>
      <c r="M471"/>
      <c r="N471" s="2"/>
      <c r="R471"/>
      <c r="S471"/>
      <c r="T471"/>
      <c r="U471"/>
      <c r="V471"/>
    </row>
    <row r="472" spans="10:22" s="1" customFormat="1" x14ac:dyDescent="0.2">
      <c r="J472"/>
      <c r="K472"/>
      <c r="L472"/>
      <c r="M472"/>
      <c r="N472" s="2"/>
      <c r="R472"/>
      <c r="S472"/>
      <c r="T472"/>
      <c r="U472"/>
      <c r="V472"/>
    </row>
    <row r="473" spans="10:22" s="1" customFormat="1" x14ac:dyDescent="0.2">
      <c r="J473"/>
      <c r="K473"/>
      <c r="L473"/>
      <c r="M473"/>
      <c r="N473" s="2"/>
      <c r="R473"/>
      <c r="S473"/>
      <c r="T473"/>
      <c r="U473"/>
      <c r="V473"/>
    </row>
    <row r="474" spans="10:22" s="1" customFormat="1" x14ac:dyDescent="0.2">
      <c r="J474"/>
      <c r="K474"/>
      <c r="L474"/>
      <c r="M474"/>
      <c r="N474" s="2"/>
      <c r="R474"/>
      <c r="S474"/>
      <c r="T474"/>
      <c r="U474"/>
      <c r="V474"/>
    </row>
    <row r="475" spans="10:22" s="1" customFormat="1" x14ac:dyDescent="0.2">
      <c r="J475"/>
      <c r="K475"/>
      <c r="L475"/>
      <c r="M475"/>
      <c r="N475" s="2"/>
      <c r="R475"/>
      <c r="S475"/>
      <c r="T475"/>
      <c r="U475"/>
      <c r="V475"/>
    </row>
    <row r="476" spans="10:22" s="1" customFormat="1" x14ac:dyDescent="0.2">
      <c r="J476"/>
      <c r="K476"/>
      <c r="L476"/>
      <c r="M476"/>
      <c r="N476" s="2"/>
      <c r="R476"/>
      <c r="S476"/>
      <c r="T476"/>
      <c r="U476"/>
      <c r="V476"/>
    </row>
    <row r="477" spans="10:22" s="1" customFormat="1" x14ac:dyDescent="0.2">
      <c r="J477"/>
      <c r="K477"/>
      <c r="L477"/>
      <c r="M477"/>
      <c r="N477" s="2"/>
      <c r="R477"/>
      <c r="S477"/>
      <c r="T477"/>
      <c r="U477"/>
      <c r="V477"/>
    </row>
    <row r="478" spans="10:22" s="1" customFormat="1" x14ac:dyDescent="0.2">
      <c r="J478"/>
      <c r="K478"/>
      <c r="L478"/>
      <c r="M478"/>
      <c r="N478" s="2"/>
      <c r="R478"/>
      <c r="S478"/>
      <c r="T478"/>
      <c r="U478"/>
      <c r="V478"/>
    </row>
    <row r="479" spans="10:22" s="1" customFormat="1" x14ac:dyDescent="0.2">
      <c r="J479"/>
      <c r="K479"/>
      <c r="L479"/>
      <c r="M479"/>
      <c r="N479" s="2"/>
      <c r="R479"/>
      <c r="S479"/>
      <c r="T479"/>
      <c r="U479"/>
      <c r="V479"/>
    </row>
    <row r="480" spans="10:22" s="1" customFormat="1" x14ac:dyDescent="0.2">
      <c r="J480"/>
      <c r="K480"/>
      <c r="L480"/>
      <c r="M480"/>
      <c r="N480" s="2"/>
      <c r="R480"/>
      <c r="S480"/>
      <c r="T480"/>
      <c r="U480"/>
      <c r="V480"/>
    </row>
    <row r="481" spans="10:22" s="1" customFormat="1" x14ac:dyDescent="0.2">
      <c r="J481"/>
      <c r="K481"/>
      <c r="L481"/>
      <c r="M481"/>
      <c r="N481" s="2"/>
      <c r="R481"/>
      <c r="S481"/>
      <c r="T481"/>
      <c r="U481"/>
      <c r="V481"/>
    </row>
    <row r="482" spans="10:22" s="1" customFormat="1" x14ac:dyDescent="0.2">
      <c r="J482"/>
      <c r="K482"/>
      <c r="L482"/>
      <c r="M482"/>
      <c r="N482" s="2"/>
      <c r="R482"/>
      <c r="S482"/>
      <c r="T482"/>
      <c r="U482"/>
      <c r="V482"/>
    </row>
    <row r="483" spans="10:22" s="1" customFormat="1" x14ac:dyDescent="0.2">
      <c r="J483"/>
      <c r="K483"/>
      <c r="L483"/>
      <c r="M483"/>
      <c r="N483" s="2"/>
      <c r="R483"/>
      <c r="S483"/>
      <c r="T483"/>
      <c r="U483"/>
      <c r="V483"/>
    </row>
    <row r="484" spans="10:22" s="1" customFormat="1" x14ac:dyDescent="0.2">
      <c r="J484"/>
      <c r="K484"/>
      <c r="L484"/>
      <c r="M484"/>
      <c r="N484" s="2"/>
      <c r="R484"/>
      <c r="S484"/>
      <c r="T484"/>
      <c r="U484"/>
      <c r="V484"/>
    </row>
    <row r="485" spans="10:22" s="1" customFormat="1" x14ac:dyDescent="0.2">
      <c r="J485"/>
      <c r="K485"/>
      <c r="L485"/>
      <c r="M485"/>
      <c r="N485" s="2"/>
      <c r="R485"/>
      <c r="S485"/>
      <c r="T485"/>
      <c r="U485"/>
      <c r="V485"/>
    </row>
    <row r="486" spans="10:22" s="1" customFormat="1" x14ac:dyDescent="0.2">
      <c r="J486"/>
      <c r="K486"/>
      <c r="L486"/>
      <c r="M486"/>
      <c r="N486" s="2"/>
      <c r="R486"/>
      <c r="S486"/>
      <c r="T486"/>
      <c r="U486"/>
      <c r="V486"/>
    </row>
    <row r="487" spans="10:22" s="1" customFormat="1" x14ac:dyDescent="0.2">
      <c r="J487"/>
      <c r="K487"/>
      <c r="L487"/>
      <c r="M487"/>
      <c r="N487" s="2"/>
      <c r="R487"/>
      <c r="S487"/>
      <c r="T487"/>
      <c r="U487"/>
      <c r="V487"/>
    </row>
    <row r="488" spans="10:22" s="1" customFormat="1" x14ac:dyDescent="0.2">
      <c r="J488"/>
      <c r="K488"/>
      <c r="L488"/>
      <c r="M488"/>
      <c r="N488" s="2"/>
      <c r="R488"/>
      <c r="S488"/>
      <c r="T488"/>
      <c r="U488"/>
      <c r="V488"/>
    </row>
    <row r="489" spans="10:22" s="1" customFormat="1" x14ac:dyDescent="0.2">
      <c r="J489"/>
      <c r="K489"/>
      <c r="L489"/>
      <c r="M489"/>
      <c r="N489" s="2"/>
      <c r="R489"/>
      <c r="S489"/>
      <c r="T489"/>
      <c r="U489"/>
      <c r="V489"/>
    </row>
    <row r="490" spans="10:22" s="1" customFormat="1" x14ac:dyDescent="0.2">
      <c r="J490"/>
      <c r="K490"/>
      <c r="L490"/>
      <c r="M490"/>
      <c r="N490" s="2"/>
      <c r="R490"/>
      <c r="S490"/>
      <c r="T490"/>
      <c r="U490"/>
      <c r="V490"/>
    </row>
    <row r="491" spans="10:22" s="1" customFormat="1" x14ac:dyDescent="0.2">
      <c r="J491"/>
      <c r="K491"/>
      <c r="L491"/>
      <c r="M491"/>
      <c r="N491" s="2"/>
      <c r="R491"/>
      <c r="S491"/>
      <c r="T491"/>
      <c r="U491"/>
      <c r="V491"/>
    </row>
    <row r="492" spans="10:22" s="1" customFormat="1" x14ac:dyDescent="0.2">
      <c r="J492"/>
      <c r="K492"/>
      <c r="L492"/>
      <c r="M492"/>
      <c r="N492" s="2"/>
      <c r="R492"/>
      <c r="S492"/>
      <c r="T492"/>
      <c r="U492"/>
      <c r="V492"/>
    </row>
    <row r="493" spans="10:22" s="1" customFormat="1" x14ac:dyDescent="0.2">
      <c r="J493"/>
      <c r="K493"/>
      <c r="L493"/>
      <c r="M493"/>
      <c r="N493" s="2"/>
      <c r="R493"/>
      <c r="S493"/>
      <c r="T493"/>
      <c r="U493"/>
      <c r="V493"/>
    </row>
    <row r="494" spans="10:22" s="1" customFormat="1" x14ac:dyDescent="0.2">
      <c r="J494"/>
      <c r="K494"/>
      <c r="L494"/>
      <c r="M494"/>
      <c r="N494" s="2"/>
      <c r="R494"/>
      <c r="S494"/>
      <c r="T494"/>
      <c r="U494"/>
      <c r="V494"/>
    </row>
    <row r="495" spans="10:22" s="1" customFormat="1" x14ac:dyDescent="0.2">
      <c r="J495"/>
      <c r="K495"/>
      <c r="L495"/>
      <c r="M495"/>
      <c r="N495" s="2"/>
      <c r="R495"/>
      <c r="S495"/>
      <c r="T495"/>
      <c r="U495"/>
      <c r="V495"/>
    </row>
    <row r="496" spans="10:22" s="1" customFormat="1" x14ac:dyDescent="0.2">
      <c r="J496"/>
      <c r="K496"/>
      <c r="L496"/>
      <c r="M496"/>
      <c r="N496" s="2"/>
      <c r="R496"/>
      <c r="S496"/>
      <c r="T496"/>
      <c r="U496"/>
      <c r="V496"/>
    </row>
    <row r="497" spans="10:22" s="1" customFormat="1" x14ac:dyDescent="0.2">
      <c r="J497"/>
      <c r="K497"/>
      <c r="L497"/>
      <c r="M497"/>
      <c r="N497" s="2"/>
      <c r="R497"/>
      <c r="S497"/>
      <c r="T497"/>
      <c r="U497"/>
      <c r="V497"/>
    </row>
    <row r="498" spans="10:22" s="1" customFormat="1" x14ac:dyDescent="0.2">
      <c r="J498"/>
      <c r="K498"/>
      <c r="L498"/>
      <c r="M498"/>
      <c r="N498" s="2"/>
      <c r="R498"/>
      <c r="S498"/>
      <c r="T498"/>
      <c r="U498"/>
      <c r="V498"/>
    </row>
    <row r="499" spans="10:22" s="1" customFormat="1" x14ac:dyDescent="0.2">
      <c r="J499"/>
      <c r="K499"/>
      <c r="L499"/>
      <c r="M499"/>
      <c r="N499" s="2"/>
      <c r="R499"/>
      <c r="S499"/>
      <c r="T499"/>
      <c r="U499"/>
      <c r="V499"/>
    </row>
    <row r="500" spans="10:22" s="1" customFormat="1" x14ac:dyDescent="0.2">
      <c r="J500"/>
      <c r="K500"/>
      <c r="L500"/>
      <c r="M500"/>
      <c r="N500" s="2"/>
      <c r="R500"/>
      <c r="S500"/>
      <c r="T500"/>
      <c r="U500"/>
      <c r="V500"/>
    </row>
    <row r="501" spans="10:22" s="1" customFormat="1" x14ac:dyDescent="0.2">
      <c r="J501"/>
      <c r="K501"/>
      <c r="L501"/>
      <c r="M501"/>
      <c r="N501" s="2"/>
      <c r="R501"/>
      <c r="S501"/>
      <c r="T501"/>
      <c r="U501"/>
      <c r="V501"/>
    </row>
    <row r="502" spans="10:22" s="1" customFormat="1" x14ac:dyDescent="0.2">
      <c r="J502"/>
      <c r="K502"/>
      <c r="L502"/>
      <c r="M502"/>
      <c r="N502" s="2"/>
      <c r="R502"/>
      <c r="S502"/>
      <c r="T502"/>
      <c r="U502"/>
      <c r="V502"/>
    </row>
    <row r="503" spans="10:22" s="1" customFormat="1" x14ac:dyDescent="0.2">
      <c r="J503"/>
      <c r="K503"/>
      <c r="L503"/>
      <c r="M503"/>
      <c r="N503" s="2"/>
      <c r="R503"/>
      <c r="S503"/>
      <c r="T503"/>
      <c r="U503"/>
      <c r="V503"/>
    </row>
    <row r="504" spans="10:22" s="1" customFormat="1" x14ac:dyDescent="0.2">
      <c r="J504"/>
      <c r="K504"/>
      <c r="L504"/>
      <c r="M504"/>
      <c r="N504" s="2"/>
      <c r="R504"/>
      <c r="S504"/>
      <c r="T504"/>
      <c r="U504"/>
      <c r="V504"/>
    </row>
    <row r="505" spans="10:22" s="1" customFormat="1" x14ac:dyDescent="0.2">
      <c r="J505"/>
      <c r="K505"/>
      <c r="L505"/>
      <c r="M505"/>
      <c r="N505" s="2"/>
      <c r="R505"/>
      <c r="S505"/>
      <c r="T505"/>
      <c r="U505"/>
      <c r="V505"/>
    </row>
    <row r="506" spans="10:22" s="1" customFormat="1" x14ac:dyDescent="0.2">
      <c r="J506"/>
      <c r="K506"/>
      <c r="L506"/>
      <c r="M506"/>
      <c r="N506" s="2"/>
      <c r="R506"/>
      <c r="S506"/>
      <c r="T506"/>
      <c r="U506"/>
      <c r="V506"/>
    </row>
    <row r="507" spans="10:22" s="1" customFormat="1" x14ac:dyDescent="0.2">
      <c r="J507"/>
      <c r="K507"/>
      <c r="L507"/>
      <c r="M507"/>
      <c r="N507" s="2"/>
      <c r="R507"/>
      <c r="S507"/>
      <c r="T507"/>
      <c r="U507"/>
      <c r="V507"/>
    </row>
    <row r="508" spans="10:22" s="1" customFormat="1" x14ac:dyDescent="0.2">
      <c r="J508"/>
      <c r="K508"/>
      <c r="L508"/>
      <c r="M508"/>
      <c r="N508" s="2"/>
      <c r="R508"/>
      <c r="S508"/>
      <c r="T508"/>
      <c r="U508"/>
      <c r="V508"/>
    </row>
    <row r="509" spans="10:22" s="1" customFormat="1" x14ac:dyDescent="0.2">
      <c r="J509"/>
      <c r="K509"/>
      <c r="L509"/>
      <c r="M509"/>
      <c r="N509" s="2"/>
      <c r="R509"/>
      <c r="S509"/>
      <c r="T509"/>
      <c r="U509"/>
      <c r="V509"/>
    </row>
    <row r="510" spans="10:22" s="1" customFormat="1" x14ac:dyDescent="0.2">
      <c r="J510"/>
      <c r="K510"/>
      <c r="L510"/>
      <c r="M510"/>
      <c r="N510" s="2"/>
      <c r="R510"/>
      <c r="S510"/>
      <c r="T510"/>
      <c r="U510"/>
      <c r="V510"/>
    </row>
    <row r="511" spans="10:22" s="1" customFormat="1" x14ac:dyDescent="0.2">
      <c r="J511"/>
      <c r="K511"/>
      <c r="L511"/>
      <c r="M511"/>
      <c r="N511" s="2"/>
      <c r="R511"/>
      <c r="S511"/>
      <c r="T511"/>
      <c r="U511"/>
      <c r="V511"/>
    </row>
    <row r="512" spans="10:22" s="1" customFormat="1" x14ac:dyDescent="0.2">
      <c r="J512"/>
      <c r="K512"/>
      <c r="L512"/>
      <c r="M512"/>
      <c r="N512" s="2"/>
      <c r="R512"/>
      <c r="S512"/>
      <c r="T512"/>
      <c r="U512"/>
      <c r="V512"/>
    </row>
    <row r="513" spans="10:22" s="1" customFormat="1" x14ac:dyDescent="0.2">
      <c r="J513"/>
      <c r="K513"/>
      <c r="L513"/>
      <c r="M513"/>
      <c r="N513" s="2"/>
      <c r="R513"/>
      <c r="S513"/>
      <c r="T513"/>
      <c r="U513"/>
      <c r="V513"/>
    </row>
    <row r="514" spans="10:22" s="1" customFormat="1" x14ac:dyDescent="0.2">
      <c r="J514"/>
      <c r="K514"/>
      <c r="L514"/>
      <c r="M514"/>
      <c r="N514" s="2"/>
      <c r="R514"/>
      <c r="S514"/>
      <c r="T514"/>
      <c r="U514"/>
      <c r="V514"/>
    </row>
    <row r="515" spans="10:22" s="1" customFormat="1" x14ac:dyDescent="0.2">
      <c r="J515"/>
      <c r="K515"/>
      <c r="L515"/>
      <c r="M515"/>
      <c r="N515" s="2"/>
      <c r="R515"/>
      <c r="S515"/>
      <c r="T515"/>
      <c r="U515"/>
      <c r="V515"/>
    </row>
    <row r="516" spans="10:22" s="1" customFormat="1" x14ac:dyDescent="0.2">
      <c r="J516"/>
      <c r="K516"/>
      <c r="L516"/>
      <c r="M516"/>
      <c r="N516" s="2"/>
      <c r="R516"/>
      <c r="S516"/>
      <c r="T516"/>
      <c r="U516"/>
      <c r="V516"/>
    </row>
    <row r="517" spans="10:22" s="1" customFormat="1" x14ac:dyDescent="0.2">
      <c r="J517"/>
      <c r="K517"/>
      <c r="L517"/>
      <c r="M517"/>
      <c r="N517" s="2"/>
      <c r="R517"/>
      <c r="S517"/>
      <c r="T517"/>
      <c r="U517"/>
      <c r="V517"/>
    </row>
    <row r="518" spans="10:22" s="1" customFormat="1" x14ac:dyDescent="0.2">
      <c r="J518"/>
      <c r="K518"/>
      <c r="L518"/>
      <c r="M518"/>
      <c r="N518" s="2"/>
      <c r="R518"/>
      <c r="S518"/>
      <c r="T518"/>
      <c r="U518"/>
      <c r="V518"/>
    </row>
    <row r="519" spans="10:22" s="1" customFormat="1" x14ac:dyDescent="0.2">
      <c r="J519"/>
      <c r="K519"/>
      <c r="L519"/>
      <c r="M519"/>
      <c r="N519" s="2"/>
      <c r="R519"/>
      <c r="S519"/>
      <c r="T519"/>
      <c r="U519"/>
      <c r="V519"/>
    </row>
    <row r="520" spans="10:22" s="1" customFormat="1" x14ac:dyDescent="0.2">
      <c r="J520"/>
      <c r="K520"/>
      <c r="L520"/>
      <c r="M520"/>
      <c r="N520" s="2"/>
      <c r="R520"/>
      <c r="S520"/>
      <c r="T520"/>
      <c r="U520"/>
      <c r="V520"/>
    </row>
    <row r="521" spans="10:22" s="1" customFormat="1" x14ac:dyDescent="0.2">
      <c r="J521"/>
      <c r="K521"/>
      <c r="L521"/>
      <c r="M521"/>
      <c r="N521" s="2"/>
      <c r="R521"/>
      <c r="S521"/>
      <c r="T521"/>
      <c r="U521"/>
      <c r="V521"/>
    </row>
    <row r="522" spans="10:22" s="1" customFormat="1" x14ac:dyDescent="0.2">
      <c r="J522"/>
      <c r="K522"/>
      <c r="L522"/>
      <c r="M522"/>
      <c r="N522" s="2"/>
      <c r="R522"/>
      <c r="S522"/>
      <c r="T522"/>
      <c r="U522"/>
      <c r="V522"/>
    </row>
    <row r="523" spans="10:22" s="1" customFormat="1" x14ac:dyDescent="0.2">
      <c r="J523"/>
      <c r="K523"/>
      <c r="L523"/>
      <c r="M523"/>
      <c r="N523" s="2"/>
      <c r="R523"/>
      <c r="S523"/>
      <c r="T523"/>
      <c r="U523"/>
      <c r="V523"/>
    </row>
    <row r="524" spans="10:22" s="1" customFormat="1" x14ac:dyDescent="0.2">
      <c r="J524"/>
      <c r="K524"/>
      <c r="L524"/>
      <c r="M524"/>
      <c r="N524" s="2"/>
      <c r="R524"/>
      <c r="S524"/>
      <c r="T524"/>
      <c r="U524"/>
      <c r="V524"/>
    </row>
    <row r="525" spans="10:22" s="1" customFormat="1" x14ac:dyDescent="0.2">
      <c r="J525"/>
      <c r="K525"/>
      <c r="L525"/>
      <c r="M525"/>
      <c r="N525" s="2"/>
      <c r="R525"/>
      <c r="S525"/>
      <c r="T525"/>
      <c r="U525"/>
      <c r="V525"/>
    </row>
    <row r="526" spans="10:22" s="1" customFormat="1" x14ac:dyDescent="0.2">
      <c r="J526"/>
      <c r="K526"/>
      <c r="L526"/>
      <c r="M526"/>
      <c r="N526" s="2"/>
      <c r="R526"/>
      <c r="S526"/>
      <c r="T526"/>
      <c r="U526"/>
      <c r="V526"/>
    </row>
    <row r="527" spans="10:22" s="1" customFormat="1" x14ac:dyDescent="0.2">
      <c r="J527"/>
      <c r="K527"/>
      <c r="L527"/>
      <c r="M527"/>
      <c r="N527" s="2"/>
      <c r="R527"/>
      <c r="S527"/>
      <c r="T527"/>
      <c r="U527"/>
      <c r="V527"/>
    </row>
    <row r="528" spans="10:22" s="1" customFormat="1" x14ac:dyDescent="0.2">
      <c r="J528"/>
      <c r="K528"/>
      <c r="L528"/>
      <c r="M528"/>
      <c r="N528" s="2"/>
      <c r="R528"/>
      <c r="S528"/>
      <c r="T528"/>
      <c r="U528"/>
      <c r="V528"/>
    </row>
    <row r="529" spans="10:22" s="1" customFormat="1" x14ac:dyDescent="0.2">
      <c r="J529"/>
      <c r="K529"/>
      <c r="L529"/>
      <c r="M529"/>
      <c r="N529" s="2"/>
      <c r="R529"/>
      <c r="S529"/>
      <c r="T529"/>
      <c r="U529"/>
      <c r="V529"/>
    </row>
    <row r="530" spans="10:22" s="1" customFormat="1" x14ac:dyDescent="0.2">
      <c r="J530"/>
      <c r="K530"/>
      <c r="L530"/>
      <c r="M530"/>
      <c r="N530" s="2"/>
      <c r="R530"/>
      <c r="S530"/>
      <c r="T530"/>
      <c r="U530"/>
      <c r="V530"/>
    </row>
    <row r="531" spans="10:22" s="1" customFormat="1" x14ac:dyDescent="0.2">
      <c r="J531"/>
      <c r="K531"/>
      <c r="L531"/>
      <c r="M531"/>
      <c r="N531" s="2"/>
      <c r="R531"/>
      <c r="S531"/>
      <c r="T531"/>
      <c r="U531"/>
      <c r="V531"/>
    </row>
    <row r="532" spans="10:22" s="1" customFormat="1" x14ac:dyDescent="0.2">
      <c r="J532"/>
      <c r="K532"/>
      <c r="L532"/>
      <c r="M532"/>
      <c r="N532" s="2"/>
      <c r="R532"/>
      <c r="S532"/>
      <c r="T532"/>
      <c r="U532"/>
      <c r="V532"/>
    </row>
    <row r="533" spans="10:22" s="1" customFormat="1" x14ac:dyDescent="0.2">
      <c r="J533"/>
      <c r="K533"/>
      <c r="L533"/>
      <c r="M533"/>
      <c r="N533" s="2"/>
      <c r="R533"/>
      <c r="S533"/>
      <c r="T533"/>
      <c r="U533"/>
      <c r="V533"/>
    </row>
    <row r="534" spans="10:22" s="1" customFormat="1" x14ac:dyDescent="0.2">
      <c r="J534"/>
      <c r="K534"/>
      <c r="L534"/>
      <c r="M534"/>
      <c r="N534" s="2"/>
      <c r="R534"/>
      <c r="S534"/>
      <c r="T534"/>
      <c r="U534"/>
      <c r="V534"/>
    </row>
    <row r="535" spans="10:22" s="1" customFormat="1" x14ac:dyDescent="0.2">
      <c r="J535"/>
      <c r="K535"/>
      <c r="L535"/>
      <c r="M535"/>
      <c r="N535" s="2"/>
      <c r="R535"/>
      <c r="S535"/>
      <c r="T535"/>
      <c r="U535"/>
      <c r="V535"/>
    </row>
    <row r="536" spans="10:22" s="1" customFormat="1" x14ac:dyDescent="0.2">
      <c r="J536"/>
      <c r="K536"/>
      <c r="L536"/>
      <c r="M536"/>
      <c r="N536" s="2"/>
      <c r="R536"/>
      <c r="S536"/>
      <c r="T536"/>
      <c r="U536"/>
      <c r="V536"/>
    </row>
    <row r="537" spans="10:22" s="1" customFormat="1" x14ac:dyDescent="0.2">
      <c r="J537"/>
      <c r="K537"/>
      <c r="L537"/>
      <c r="M537"/>
      <c r="N537" s="2"/>
      <c r="R537"/>
      <c r="S537"/>
      <c r="T537"/>
      <c r="U537"/>
      <c r="V537"/>
    </row>
    <row r="538" spans="10:22" s="1" customFormat="1" x14ac:dyDescent="0.2">
      <c r="J538"/>
      <c r="K538"/>
      <c r="L538"/>
      <c r="M538"/>
      <c r="N538" s="2"/>
      <c r="R538"/>
      <c r="S538"/>
      <c r="T538"/>
      <c r="U538"/>
      <c r="V538"/>
    </row>
    <row r="539" spans="10:22" s="1" customFormat="1" x14ac:dyDescent="0.2">
      <c r="J539"/>
      <c r="K539"/>
      <c r="L539"/>
      <c r="M539"/>
      <c r="N539" s="2"/>
      <c r="R539"/>
      <c r="S539"/>
      <c r="T539"/>
      <c r="U539"/>
      <c r="V539"/>
    </row>
    <row r="540" spans="10:22" s="1" customFormat="1" x14ac:dyDescent="0.2">
      <c r="J540"/>
      <c r="K540"/>
      <c r="L540"/>
      <c r="M540"/>
      <c r="N540" s="2"/>
      <c r="R540"/>
      <c r="S540"/>
      <c r="T540"/>
      <c r="U540"/>
      <c r="V540"/>
    </row>
    <row r="541" spans="10:22" s="1" customFormat="1" x14ac:dyDescent="0.2">
      <c r="J541"/>
      <c r="K541"/>
      <c r="L541"/>
      <c r="M541"/>
      <c r="N541" s="2"/>
      <c r="R541"/>
      <c r="S541"/>
      <c r="T541"/>
      <c r="U541"/>
      <c r="V541"/>
    </row>
    <row r="542" spans="10:22" s="1" customFormat="1" x14ac:dyDescent="0.2">
      <c r="J542"/>
      <c r="K542"/>
      <c r="L542"/>
      <c r="M542"/>
      <c r="N542" s="2"/>
      <c r="R542"/>
      <c r="S542"/>
      <c r="T542"/>
      <c r="U542"/>
      <c r="V542"/>
    </row>
    <row r="543" spans="10:22" s="1" customFormat="1" x14ac:dyDescent="0.2">
      <c r="J543"/>
      <c r="K543"/>
      <c r="L543"/>
      <c r="M543"/>
      <c r="N543" s="2"/>
      <c r="R543"/>
      <c r="S543"/>
      <c r="T543"/>
      <c r="U543"/>
      <c r="V543"/>
    </row>
    <row r="544" spans="10:22" s="1" customFormat="1" x14ac:dyDescent="0.2">
      <c r="J544"/>
      <c r="K544"/>
      <c r="L544"/>
      <c r="M544"/>
      <c r="N544" s="2"/>
      <c r="R544"/>
      <c r="S544"/>
      <c r="T544"/>
      <c r="U544"/>
      <c r="V544"/>
    </row>
    <row r="545" spans="10:22" s="1" customFormat="1" x14ac:dyDescent="0.2">
      <c r="J545"/>
      <c r="K545"/>
      <c r="L545"/>
      <c r="M545"/>
      <c r="N545" s="2"/>
      <c r="R545"/>
      <c r="S545"/>
      <c r="T545"/>
      <c r="U545"/>
      <c r="V545"/>
    </row>
    <row r="546" spans="10:22" s="1" customFormat="1" x14ac:dyDescent="0.2">
      <c r="J546"/>
      <c r="K546"/>
      <c r="L546"/>
      <c r="M546"/>
      <c r="N546" s="2"/>
      <c r="R546"/>
      <c r="S546"/>
      <c r="T546"/>
      <c r="U546"/>
      <c r="V546"/>
    </row>
    <row r="547" spans="10:22" s="1" customFormat="1" x14ac:dyDescent="0.2">
      <c r="J547"/>
      <c r="K547"/>
      <c r="L547"/>
      <c r="M547"/>
      <c r="N547" s="2"/>
      <c r="R547"/>
      <c r="S547"/>
      <c r="T547"/>
      <c r="U547"/>
      <c r="V547"/>
    </row>
    <row r="548" spans="10:22" s="1" customFormat="1" x14ac:dyDescent="0.2">
      <c r="J548"/>
      <c r="K548"/>
      <c r="L548"/>
      <c r="M548"/>
      <c r="N548" s="2"/>
      <c r="R548"/>
      <c r="S548"/>
      <c r="T548"/>
      <c r="U548"/>
      <c r="V548"/>
    </row>
    <row r="549" spans="10:22" s="1" customFormat="1" x14ac:dyDescent="0.2">
      <c r="J549"/>
      <c r="K549"/>
      <c r="L549"/>
      <c r="M549"/>
      <c r="N549" s="2"/>
      <c r="R549"/>
      <c r="S549"/>
      <c r="T549"/>
      <c r="U549"/>
      <c r="V549"/>
    </row>
    <row r="550" spans="10:22" s="1" customFormat="1" x14ac:dyDescent="0.2">
      <c r="J550"/>
      <c r="K550"/>
      <c r="L550"/>
      <c r="M550"/>
      <c r="N550" s="2"/>
      <c r="R550"/>
      <c r="S550"/>
      <c r="T550"/>
      <c r="U550"/>
      <c r="V550"/>
    </row>
    <row r="551" spans="10:22" s="1" customFormat="1" x14ac:dyDescent="0.2">
      <c r="J551"/>
      <c r="K551"/>
      <c r="L551"/>
      <c r="M551"/>
      <c r="N551" s="2"/>
      <c r="R551"/>
      <c r="S551"/>
      <c r="T551"/>
      <c r="U551"/>
      <c r="V551"/>
    </row>
    <row r="552" spans="10:22" s="1" customFormat="1" x14ac:dyDescent="0.2">
      <c r="J552"/>
      <c r="K552"/>
      <c r="L552"/>
      <c r="M552"/>
      <c r="N552" s="2"/>
      <c r="R552"/>
      <c r="S552"/>
      <c r="T552"/>
      <c r="U552"/>
      <c r="V552"/>
    </row>
    <row r="553" spans="10:22" s="1" customFormat="1" x14ac:dyDescent="0.2">
      <c r="J553"/>
      <c r="K553"/>
      <c r="L553"/>
      <c r="M553"/>
      <c r="N553" s="2"/>
      <c r="R553"/>
      <c r="S553"/>
      <c r="T553"/>
      <c r="U553"/>
      <c r="V553"/>
    </row>
    <row r="554" spans="10:22" s="1" customFormat="1" x14ac:dyDescent="0.2">
      <c r="J554"/>
      <c r="K554"/>
      <c r="L554"/>
      <c r="M554"/>
      <c r="N554" s="2"/>
      <c r="R554"/>
      <c r="S554"/>
      <c r="T554"/>
      <c r="U554"/>
      <c r="V554"/>
    </row>
    <row r="555" spans="10:22" s="1" customFormat="1" x14ac:dyDescent="0.2">
      <c r="J555"/>
      <c r="K555"/>
      <c r="L555"/>
      <c r="M555"/>
      <c r="N555" s="2"/>
      <c r="R555"/>
      <c r="S555"/>
      <c r="T555"/>
      <c r="U555"/>
      <c r="V555"/>
    </row>
    <row r="556" spans="10:22" s="1" customFormat="1" x14ac:dyDescent="0.2">
      <c r="J556"/>
      <c r="K556"/>
      <c r="L556"/>
      <c r="M556"/>
      <c r="N556" s="2"/>
      <c r="R556"/>
      <c r="S556"/>
      <c r="T556"/>
      <c r="U556"/>
      <c r="V556"/>
    </row>
    <row r="557" spans="10:22" s="1" customFormat="1" x14ac:dyDescent="0.2">
      <c r="J557"/>
      <c r="K557"/>
      <c r="L557"/>
      <c r="M557"/>
      <c r="N557" s="2"/>
      <c r="R557"/>
      <c r="S557"/>
      <c r="T557"/>
      <c r="U557"/>
      <c r="V557"/>
    </row>
    <row r="558" spans="10:22" s="1" customFormat="1" x14ac:dyDescent="0.2">
      <c r="J558"/>
      <c r="K558"/>
      <c r="L558"/>
      <c r="M558"/>
      <c r="N558" s="2"/>
      <c r="R558"/>
      <c r="S558"/>
      <c r="T558"/>
      <c r="U558"/>
      <c r="V558"/>
    </row>
    <row r="559" spans="10:22" s="1" customFormat="1" x14ac:dyDescent="0.2">
      <c r="J559"/>
      <c r="K559"/>
      <c r="L559"/>
      <c r="M559"/>
      <c r="N559" s="2"/>
      <c r="R559"/>
      <c r="S559"/>
      <c r="T559"/>
      <c r="U559"/>
      <c r="V559"/>
    </row>
    <row r="560" spans="10:22" s="1" customFormat="1" x14ac:dyDescent="0.2">
      <c r="J560"/>
      <c r="K560"/>
      <c r="L560"/>
      <c r="M560"/>
      <c r="N560" s="2"/>
      <c r="R560"/>
      <c r="S560"/>
      <c r="T560"/>
      <c r="U560"/>
      <c r="V560"/>
    </row>
    <row r="561" spans="10:22" s="1" customFormat="1" x14ac:dyDescent="0.2">
      <c r="J561"/>
      <c r="K561"/>
      <c r="L561"/>
      <c r="M561"/>
      <c r="N561" s="2"/>
      <c r="R561"/>
      <c r="S561"/>
      <c r="T561"/>
      <c r="U561"/>
      <c r="V561"/>
    </row>
    <row r="562" spans="10:22" s="1" customFormat="1" x14ac:dyDescent="0.2">
      <c r="J562"/>
      <c r="K562"/>
      <c r="L562"/>
      <c r="M562"/>
      <c r="N562" s="2"/>
      <c r="R562"/>
      <c r="S562"/>
      <c r="T562"/>
      <c r="U562"/>
      <c r="V562"/>
    </row>
    <row r="563" spans="10:22" s="1" customFormat="1" x14ac:dyDescent="0.2">
      <c r="J563"/>
      <c r="K563"/>
      <c r="L563"/>
      <c r="M563"/>
      <c r="N563" s="2"/>
      <c r="R563"/>
      <c r="S563"/>
      <c r="T563"/>
      <c r="U563"/>
      <c r="V563"/>
    </row>
    <row r="564" spans="10:22" s="1" customFormat="1" x14ac:dyDescent="0.2">
      <c r="J564"/>
      <c r="K564"/>
      <c r="L564"/>
      <c r="M564"/>
      <c r="N564" s="2"/>
      <c r="R564"/>
      <c r="S564"/>
      <c r="T564"/>
      <c r="U564"/>
      <c r="V564"/>
    </row>
    <row r="565" spans="10:22" s="1" customFormat="1" x14ac:dyDescent="0.2">
      <c r="J565"/>
      <c r="K565"/>
      <c r="L565"/>
      <c r="M565"/>
      <c r="N565" s="2"/>
      <c r="R565"/>
      <c r="S565"/>
      <c r="T565"/>
      <c r="U565"/>
      <c r="V565"/>
    </row>
    <row r="566" spans="10:22" s="1" customFormat="1" x14ac:dyDescent="0.2">
      <c r="J566"/>
      <c r="K566"/>
      <c r="L566"/>
      <c r="M566"/>
      <c r="N566" s="2"/>
      <c r="R566"/>
      <c r="S566"/>
      <c r="T566"/>
      <c r="U566"/>
      <c r="V566"/>
    </row>
    <row r="567" spans="10:22" s="1" customFormat="1" x14ac:dyDescent="0.2">
      <c r="J567"/>
      <c r="K567"/>
      <c r="L567"/>
      <c r="M567"/>
      <c r="N567" s="2"/>
      <c r="R567"/>
      <c r="S567"/>
      <c r="T567"/>
      <c r="U567"/>
      <c r="V567"/>
    </row>
    <row r="568" spans="10:22" s="1" customFormat="1" x14ac:dyDescent="0.2">
      <c r="J568"/>
      <c r="K568"/>
      <c r="L568"/>
      <c r="M568"/>
      <c r="N568" s="2"/>
      <c r="R568"/>
      <c r="S568"/>
      <c r="T568"/>
      <c r="U568"/>
      <c r="V568"/>
    </row>
    <row r="569" spans="10:22" s="1" customFormat="1" x14ac:dyDescent="0.2">
      <c r="J569"/>
      <c r="K569"/>
      <c r="L569"/>
      <c r="M569"/>
      <c r="N569" s="2"/>
      <c r="R569"/>
      <c r="S569"/>
      <c r="T569"/>
      <c r="U569"/>
      <c r="V569"/>
    </row>
    <row r="570" spans="10:22" s="1" customFormat="1" x14ac:dyDescent="0.2">
      <c r="J570"/>
      <c r="K570"/>
      <c r="L570"/>
      <c r="M570"/>
      <c r="N570" s="2"/>
      <c r="R570"/>
      <c r="S570"/>
      <c r="T570"/>
      <c r="U570"/>
      <c r="V570"/>
    </row>
    <row r="571" spans="10:22" s="1" customFormat="1" x14ac:dyDescent="0.2">
      <c r="J571"/>
      <c r="K571"/>
      <c r="L571"/>
      <c r="M571"/>
      <c r="N571" s="2"/>
      <c r="R571"/>
      <c r="S571"/>
      <c r="T571"/>
      <c r="U571"/>
      <c r="V571"/>
    </row>
    <row r="572" spans="10:22" s="1" customFormat="1" x14ac:dyDescent="0.2">
      <c r="J572"/>
      <c r="K572"/>
      <c r="L572"/>
      <c r="M572"/>
      <c r="N572" s="2"/>
      <c r="R572"/>
      <c r="S572"/>
      <c r="T572"/>
      <c r="U572"/>
      <c r="V572"/>
    </row>
    <row r="573" spans="10:22" s="1" customFormat="1" x14ac:dyDescent="0.2">
      <c r="J573"/>
      <c r="K573"/>
      <c r="L573"/>
      <c r="M573"/>
      <c r="N573" s="2"/>
      <c r="R573"/>
      <c r="S573"/>
      <c r="T573"/>
      <c r="U573"/>
      <c r="V573"/>
    </row>
    <row r="574" spans="10:22" s="1" customFormat="1" x14ac:dyDescent="0.2">
      <c r="J574"/>
      <c r="K574"/>
      <c r="L574"/>
      <c r="M574"/>
      <c r="N574" s="2"/>
      <c r="R574"/>
      <c r="S574"/>
      <c r="T574"/>
      <c r="U574"/>
      <c r="V574"/>
    </row>
    <row r="575" spans="10:22" s="1" customFormat="1" x14ac:dyDescent="0.2">
      <c r="J575"/>
      <c r="K575"/>
      <c r="L575"/>
      <c r="M575"/>
      <c r="N575" s="2"/>
      <c r="R575"/>
      <c r="S575"/>
      <c r="T575"/>
      <c r="U575"/>
      <c r="V575"/>
    </row>
    <row r="576" spans="10:22" s="1" customFormat="1" x14ac:dyDescent="0.2">
      <c r="J576"/>
      <c r="K576"/>
      <c r="L576"/>
      <c r="M576"/>
      <c r="N576" s="2"/>
      <c r="R576"/>
      <c r="S576"/>
      <c r="T576"/>
      <c r="U576"/>
      <c r="V576"/>
    </row>
    <row r="577" spans="10:22" s="1" customFormat="1" x14ac:dyDescent="0.2">
      <c r="J577"/>
      <c r="K577"/>
      <c r="L577"/>
      <c r="M577"/>
      <c r="N577" s="2"/>
      <c r="R577"/>
      <c r="S577"/>
      <c r="T577"/>
      <c r="U577"/>
      <c r="V577"/>
    </row>
    <row r="578" spans="10:22" s="1" customFormat="1" x14ac:dyDescent="0.2">
      <c r="J578"/>
      <c r="K578"/>
      <c r="L578"/>
      <c r="M578"/>
      <c r="N578" s="2"/>
      <c r="R578"/>
      <c r="S578"/>
      <c r="T578"/>
      <c r="U578"/>
      <c r="V578"/>
    </row>
    <row r="579" spans="10:22" s="1" customFormat="1" x14ac:dyDescent="0.2">
      <c r="J579"/>
      <c r="K579"/>
      <c r="L579"/>
      <c r="M579"/>
      <c r="N579" s="2"/>
      <c r="R579"/>
      <c r="S579"/>
      <c r="T579"/>
      <c r="U579"/>
      <c r="V579"/>
    </row>
    <row r="580" spans="10:22" s="1" customFormat="1" x14ac:dyDescent="0.2">
      <c r="J580"/>
      <c r="K580"/>
      <c r="L580"/>
      <c r="M580"/>
      <c r="N580" s="2"/>
      <c r="R580"/>
      <c r="S580"/>
      <c r="T580"/>
      <c r="U580"/>
      <c r="V580"/>
    </row>
    <row r="581" spans="10:22" s="1" customFormat="1" x14ac:dyDescent="0.2">
      <c r="J581"/>
      <c r="K581"/>
      <c r="L581"/>
      <c r="M581"/>
      <c r="N581" s="2"/>
      <c r="R581"/>
      <c r="S581"/>
      <c r="T581"/>
      <c r="U581"/>
      <c r="V581"/>
    </row>
    <row r="582" spans="10:22" s="1" customFormat="1" x14ac:dyDescent="0.2">
      <c r="J582"/>
      <c r="K582"/>
      <c r="L582"/>
      <c r="M582"/>
      <c r="N582" s="2"/>
      <c r="R582"/>
      <c r="S582"/>
      <c r="T582"/>
      <c r="U582"/>
      <c r="V582"/>
    </row>
    <row r="583" spans="10:22" s="1" customFormat="1" x14ac:dyDescent="0.2">
      <c r="J583"/>
      <c r="K583"/>
      <c r="L583"/>
      <c r="M583"/>
      <c r="N583" s="2"/>
      <c r="R583"/>
      <c r="S583"/>
      <c r="T583"/>
      <c r="U583"/>
      <c r="V583"/>
    </row>
    <row r="584" spans="10:22" s="1" customFormat="1" x14ac:dyDescent="0.2">
      <c r="J584"/>
      <c r="K584"/>
      <c r="L584"/>
      <c r="M584"/>
      <c r="N584" s="2"/>
      <c r="R584"/>
      <c r="S584"/>
      <c r="T584"/>
      <c r="U584"/>
      <c r="V584"/>
    </row>
    <row r="585" spans="10:22" s="1" customFormat="1" x14ac:dyDescent="0.2">
      <c r="J585"/>
      <c r="K585"/>
      <c r="L585"/>
      <c r="M585"/>
      <c r="N585" s="2"/>
      <c r="R585"/>
      <c r="S585"/>
      <c r="T585"/>
      <c r="U585"/>
      <c r="V585"/>
    </row>
    <row r="586" spans="10:22" s="1" customFormat="1" x14ac:dyDescent="0.2">
      <c r="J586"/>
      <c r="K586"/>
      <c r="L586"/>
      <c r="M586"/>
      <c r="N586" s="2"/>
      <c r="R586"/>
      <c r="S586"/>
      <c r="T586"/>
      <c r="U586"/>
      <c r="V586"/>
    </row>
    <row r="587" spans="10:22" s="1" customFormat="1" x14ac:dyDescent="0.2">
      <c r="J587"/>
      <c r="K587"/>
      <c r="L587"/>
      <c r="M587"/>
      <c r="N587" s="2"/>
      <c r="R587"/>
      <c r="S587"/>
      <c r="T587"/>
      <c r="U587"/>
      <c r="V587"/>
    </row>
    <row r="588" spans="10:22" s="1" customFormat="1" x14ac:dyDescent="0.2">
      <c r="J588"/>
      <c r="K588"/>
      <c r="L588"/>
      <c r="M588"/>
      <c r="N588" s="2"/>
      <c r="R588"/>
      <c r="S588"/>
      <c r="T588"/>
      <c r="U588"/>
      <c r="V588"/>
    </row>
    <row r="589" spans="10:22" s="1" customFormat="1" x14ac:dyDescent="0.2">
      <c r="J589"/>
      <c r="K589"/>
      <c r="L589"/>
      <c r="M589"/>
      <c r="N589" s="2"/>
      <c r="R589"/>
      <c r="S589"/>
      <c r="T589"/>
      <c r="U589"/>
      <c r="V589"/>
    </row>
    <row r="590" spans="10:22" s="1" customFormat="1" x14ac:dyDescent="0.2">
      <c r="J590"/>
      <c r="K590"/>
      <c r="L590"/>
      <c r="M590"/>
      <c r="N590" s="2"/>
      <c r="R590"/>
      <c r="S590"/>
      <c r="T590"/>
      <c r="U590"/>
      <c r="V590"/>
    </row>
    <row r="591" spans="10:22" s="1" customFormat="1" x14ac:dyDescent="0.2">
      <c r="J591"/>
      <c r="K591"/>
      <c r="L591"/>
      <c r="M591"/>
      <c r="N591" s="2"/>
      <c r="R591"/>
      <c r="S591"/>
      <c r="T591"/>
      <c r="U591"/>
      <c r="V591"/>
    </row>
    <row r="592" spans="10:22" s="1" customFormat="1" x14ac:dyDescent="0.2">
      <c r="J592"/>
      <c r="K592"/>
      <c r="L592"/>
      <c r="M592"/>
      <c r="N592" s="2"/>
      <c r="R592"/>
      <c r="S592"/>
      <c r="T592"/>
      <c r="U592"/>
      <c r="V592"/>
    </row>
    <row r="593" spans="10:22" s="1" customFormat="1" x14ac:dyDescent="0.2">
      <c r="J593"/>
      <c r="K593"/>
      <c r="L593"/>
      <c r="M593"/>
      <c r="N593" s="2"/>
      <c r="R593"/>
      <c r="S593"/>
      <c r="T593"/>
      <c r="U593"/>
      <c r="V593"/>
    </row>
    <row r="594" spans="10:22" s="1" customFormat="1" x14ac:dyDescent="0.2">
      <c r="J594"/>
      <c r="K594"/>
      <c r="L594"/>
      <c r="M594"/>
      <c r="N594" s="2"/>
      <c r="R594"/>
      <c r="S594"/>
      <c r="T594"/>
      <c r="U594"/>
      <c r="V594"/>
    </row>
    <row r="595" spans="10:22" s="1" customFormat="1" x14ac:dyDescent="0.2">
      <c r="J595"/>
      <c r="K595"/>
      <c r="L595"/>
      <c r="M595"/>
      <c r="N595" s="2"/>
      <c r="R595"/>
      <c r="S595"/>
      <c r="T595"/>
      <c r="U595"/>
      <c r="V595"/>
    </row>
    <row r="596" spans="10:22" s="1" customFormat="1" x14ac:dyDescent="0.2">
      <c r="J596"/>
      <c r="K596"/>
      <c r="L596"/>
      <c r="M596"/>
      <c r="N596" s="2"/>
      <c r="R596"/>
      <c r="S596"/>
      <c r="T596"/>
      <c r="U596"/>
      <c r="V596"/>
    </row>
    <row r="597" spans="10:22" s="1" customFormat="1" x14ac:dyDescent="0.2">
      <c r="J597"/>
      <c r="K597"/>
      <c r="L597"/>
      <c r="M597"/>
      <c r="N597" s="2"/>
      <c r="R597"/>
      <c r="S597"/>
      <c r="T597"/>
      <c r="U597"/>
      <c r="V597"/>
    </row>
    <row r="598" spans="10:22" s="1" customFormat="1" x14ac:dyDescent="0.2">
      <c r="J598"/>
      <c r="K598"/>
      <c r="L598"/>
      <c r="M598"/>
      <c r="N598" s="2"/>
      <c r="R598"/>
      <c r="S598"/>
      <c r="T598"/>
      <c r="U598"/>
      <c r="V598"/>
    </row>
    <row r="599" spans="10:22" s="1" customFormat="1" x14ac:dyDescent="0.2">
      <c r="J599"/>
      <c r="K599"/>
      <c r="L599"/>
      <c r="M599"/>
      <c r="N599" s="2"/>
      <c r="R599"/>
      <c r="S599"/>
      <c r="T599"/>
      <c r="U599"/>
      <c r="V599"/>
    </row>
    <row r="600" spans="10:22" s="1" customFormat="1" x14ac:dyDescent="0.2">
      <c r="J600"/>
      <c r="K600"/>
      <c r="L600"/>
      <c r="M600"/>
      <c r="N600" s="2"/>
      <c r="R600"/>
      <c r="S600"/>
      <c r="T600"/>
      <c r="U600"/>
      <c r="V600"/>
    </row>
    <row r="601" spans="10:22" s="1" customFormat="1" x14ac:dyDescent="0.2">
      <c r="J601"/>
      <c r="K601"/>
      <c r="L601"/>
      <c r="M601"/>
      <c r="N601" s="2"/>
      <c r="R601"/>
      <c r="S601"/>
      <c r="T601"/>
      <c r="U601"/>
      <c r="V601"/>
    </row>
    <row r="602" spans="10:22" s="1" customFormat="1" x14ac:dyDescent="0.2">
      <c r="J602"/>
      <c r="K602"/>
      <c r="L602"/>
      <c r="M602"/>
      <c r="N602" s="2"/>
      <c r="R602"/>
      <c r="S602"/>
      <c r="T602"/>
      <c r="U602"/>
      <c r="V602"/>
    </row>
    <row r="603" spans="10:22" s="1" customFormat="1" x14ac:dyDescent="0.2">
      <c r="J603"/>
      <c r="K603"/>
      <c r="L603"/>
      <c r="M603"/>
      <c r="N603" s="2"/>
      <c r="R603"/>
      <c r="S603"/>
      <c r="T603"/>
      <c r="U603"/>
      <c r="V603"/>
    </row>
    <row r="604" spans="10:22" s="1" customFormat="1" x14ac:dyDescent="0.2">
      <c r="J604"/>
      <c r="K604"/>
      <c r="L604"/>
      <c r="M604"/>
      <c r="N604" s="2"/>
      <c r="R604"/>
      <c r="S604"/>
      <c r="T604"/>
      <c r="U604"/>
      <c r="V604"/>
    </row>
    <row r="605" spans="10:22" s="1" customFormat="1" x14ac:dyDescent="0.2">
      <c r="J605"/>
      <c r="K605"/>
      <c r="L605"/>
      <c r="M605"/>
      <c r="N605" s="2"/>
      <c r="R605"/>
      <c r="S605"/>
      <c r="T605"/>
      <c r="U605"/>
      <c r="V605"/>
    </row>
    <row r="606" spans="10:22" s="1" customFormat="1" x14ac:dyDescent="0.2">
      <c r="J606"/>
      <c r="K606"/>
      <c r="L606"/>
      <c r="M606"/>
      <c r="N606" s="2"/>
      <c r="R606"/>
      <c r="S606"/>
      <c r="T606"/>
      <c r="U606"/>
      <c r="V606"/>
    </row>
    <row r="607" spans="10:22" s="1" customFormat="1" x14ac:dyDescent="0.2">
      <c r="J607"/>
      <c r="K607"/>
      <c r="L607"/>
      <c r="M607"/>
      <c r="N607" s="2"/>
      <c r="R607"/>
      <c r="S607"/>
      <c r="T607"/>
      <c r="U607"/>
      <c r="V607"/>
    </row>
    <row r="608" spans="10:22" s="1" customFormat="1" x14ac:dyDescent="0.2">
      <c r="J608"/>
      <c r="K608"/>
      <c r="L608"/>
      <c r="M608"/>
      <c r="N608" s="2"/>
      <c r="R608"/>
      <c r="S608"/>
      <c r="T608"/>
      <c r="U608"/>
      <c r="V608"/>
    </row>
    <row r="609" spans="10:22" s="1" customFormat="1" x14ac:dyDescent="0.2">
      <c r="J609"/>
      <c r="K609"/>
      <c r="L609"/>
      <c r="M609"/>
      <c r="N609" s="2"/>
      <c r="R609"/>
      <c r="S609"/>
      <c r="T609"/>
      <c r="U609"/>
      <c r="V609"/>
    </row>
    <row r="610" spans="10:22" s="1" customFormat="1" x14ac:dyDescent="0.2">
      <c r="J610"/>
      <c r="K610"/>
      <c r="L610"/>
      <c r="M610"/>
      <c r="N610" s="2"/>
      <c r="R610"/>
      <c r="S610"/>
      <c r="T610"/>
      <c r="U610"/>
      <c r="V610"/>
    </row>
    <row r="611" spans="10:22" s="1" customFormat="1" x14ac:dyDescent="0.2">
      <c r="J611"/>
      <c r="K611"/>
      <c r="L611"/>
      <c r="M611"/>
      <c r="N611" s="2"/>
      <c r="R611"/>
      <c r="S611"/>
      <c r="T611"/>
      <c r="U611"/>
      <c r="V611"/>
    </row>
    <row r="612" spans="10:22" s="1" customFormat="1" x14ac:dyDescent="0.2">
      <c r="J612"/>
      <c r="K612"/>
      <c r="L612"/>
      <c r="M612"/>
      <c r="N612" s="2"/>
      <c r="R612"/>
      <c r="S612"/>
      <c r="T612"/>
      <c r="U612"/>
      <c r="V612"/>
    </row>
    <row r="613" spans="10:22" s="1" customFormat="1" x14ac:dyDescent="0.2">
      <c r="J613"/>
      <c r="K613"/>
      <c r="L613"/>
      <c r="M613"/>
      <c r="N613" s="2"/>
      <c r="R613"/>
      <c r="S613"/>
      <c r="T613"/>
      <c r="U613"/>
      <c r="V613"/>
    </row>
    <row r="614" spans="10:22" s="1" customFormat="1" x14ac:dyDescent="0.2">
      <c r="J614"/>
      <c r="K614"/>
      <c r="L614"/>
      <c r="M614"/>
      <c r="N614" s="2"/>
      <c r="R614"/>
      <c r="S614"/>
      <c r="T614"/>
      <c r="U614"/>
      <c r="V614"/>
    </row>
    <row r="615" spans="10:22" s="1" customFormat="1" x14ac:dyDescent="0.2">
      <c r="J615"/>
      <c r="K615"/>
      <c r="L615"/>
      <c r="M615"/>
      <c r="N615" s="2"/>
      <c r="R615"/>
      <c r="S615"/>
      <c r="T615"/>
      <c r="U615"/>
      <c r="V615"/>
    </row>
    <row r="616" spans="10:22" s="1" customFormat="1" x14ac:dyDescent="0.2">
      <c r="J616"/>
      <c r="K616"/>
      <c r="L616"/>
      <c r="M616"/>
      <c r="N616" s="2"/>
      <c r="R616"/>
      <c r="S616"/>
      <c r="T616"/>
      <c r="U616"/>
      <c r="V616"/>
    </row>
    <row r="617" spans="10:22" s="1" customFormat="1" x14ac:dyDescent="0.2">
      <c r="J617"/>
      <c r="K617"/>
      <c r="L617"/>
      <c r="M617"/>
      <c r="N617" s="2"/>
      <c r="R617"/>
      <c r="S617"/>
      <c r="T617"/>
      <c r="U617"/>
      <c r="V617"/>
    </row>
    <row r="618" spans="10:22" s="1" customFormat="1" x14ac:dyDescent="0.2">
      <c r="J618"/>
      <c r="K618"/>
      <c r="L618"/>
      <c r="M618"/>
      <c r="N618" s="2"/>
      <c r="R618"/>
      <c r="S618"/>
      <c r="T618"/>
      <c r="U618"/>
      <c r="V618"/>
    </row>
    <row r="619" spans="10:22" s="1" customFormat="1" x14ac:dyDescent="0.2">
      <c r="J619"/>
      <c r="K619"/>
      <c r="L619"/>
      <c r="M619"/>
      <c r="N619" s="2"/>
      <c r="R619"/>
      <c r="S619"/>
      <c r="T619"/>
      <c r="U619"/>
      <c r="V619"/>
    </row>
    <row r="620" spans="10:22" s="1" customFormat="1" x14ac:dyDescent="0.2">
      <c r="J620"/>
      <c r="K620"/>
      <c r="L620"/>
      <c r="M620"/>
      <c r="N620" s="2"/>
      <c r="R620"/>
      <c r="S620"/>
      <c r="T620"/>
      <c r="U620"/>
      <c r="V620"/>
    </row>
    <row r="621" spans="10:22" s="1" customFormat="1" x14ac:dyDescent="0.2">
      <c r="J621"/>
      <c r="K621"/>
      <c r="L621"/>
      <c r="M621"/>
      <c r="N621" s="2"/>
      <c r="R621"/>
      <c r="S621"/>
      <c r="T621"/>
      <c r="U621"/>
      <c r="V621"/>
    </row>
    <row r="622" spans="10:22" s="1" customFormat="1" x14ac:dyDescent="0.2">
      <c r="J622"/>
      <c r="K622"/>
      <c r="L622"/>
      <c r="M622"/>
      <c r="N622" s="2"/>
      <c r="R622"/>
      <c r="S622"/>
      <c r="T622"/>
      <c r="U622"/>
      <c r="V622"/>
    </row>
    <row r="623" spans="10:22" s="1" customFormat="1" x14ac:dyDescent="0.2">
      <c r="J623"/>
      <c r="K623"/>
      <c r="L623"/>
      <c r="M623"/>
      <c r="N623" s="2"/>
      <c r="R623"/>
      <c r="S623"/>
      <c r="T623"/>
      <c r="U623"/>
      <c r="V623"/>
    </row>
    <row r="624" spans="10:22" s="1" customFormat="1" x14ac:dyDescent="0.2">
      <c r="J624"/>
      <c r="K624"/>
      <c r="L624"/>
      <c r="M624"/>
      <c r="N624" s="2"/>
      <c r="R624"/>
      <c r="S624"/>
      <c r="T624"/>
      <c r="U624"/>
      <c r="V624"/>
    </row>
    <row r="625" spans="10:22" s="1" customFormat="1" x14ac:dyDescent="0.2">
      <c r="J625"/>
      <c r="K625"/>
      <c r="L625"/>
      <c r="M625"/>
      <c r="N625" s="2"/>
      <c r="R625"/>
      <c r="S625"/>
      <c r="T625"/>
      <c r="U625"/>
      <c r="V625"/>
    </row>
    <row r="626" spans="10:22" s="1" customFormat="1" x14ac:dyDescent="0.2">
      <c r="J626"/>
      <c r="K626"/>
      <c r="L626"/>
      <c r="M626"/>
      <c r="N626" s="2"/>
      <c r="R626"/>
      <c r="S626"/>
      <c r="T626"/>
      <c r="U626"/>
      <c r="V626"/>
    </row>
    <row r="627" spans="10:22" s="1" customFormat="1" x14ac:dyDescent="0.2">
      <c r="J627"/>
      <c r="K627"/>
      <c r="L627"/>
      <c r="M627"/>
      <c r="N627" s="2"/>
      <c r="R627"/>
      <c r="S627"/>
      <c r="T627"/>
      <c r="U627"/>
      <c r="V627"/>
    </row>
    <row r="628" spans="10:22" s="1" customFormat="1" x14ac:dyDescent="0.2">
      <c r="J628"/>
      <c r="K628"/>
      <c r="L628"/>
      <c r="M628"/>
      <c r="N628" s="2"/>
      <c r="R628"/>
      <c r="S628"/>
      <c r="T628"/>
      <c r="U628"/>
      <c r="V628"/>
    </row>
    <row r="629" spans="10:22" s="1" customFormat="1" x14ac:dyDescent="0.2">
      <c r="J629"/>
      <c r="K629"/>
      <c r="L629"/>
      <c r="M629"/>
      <c r="N629" s="2"/>
      <c r="R629"/>
      <c r="S629"/>
      <c r="T629"/>
      <c r="U629"/>
      <c r="V629"/>
    </row>
    <row r="630" spans="10:22" s="1" customFormat="1" x14ac:dyDescent="0.2">
      <c r="J630"/>
      <c r="K630"/>
      <c r="L630"/>
      <c r="M630"/>
      <c r="N630" s="2"/>
      <c r="R630"/>
      <c r="S630"/>
      <c r="T630"/>
      <c r="U630"/>
      <c r="V630"/>
    </row>
    <row r="631" spans="10:22" s="1" customFormat="1" x14ac:dyDescent="0.2">
      <c r="J631"/>
      <c r="K631"/>
      <c r="L631"/>
      <c r="M631"/>
      <c r="N631" s="2"/>
      <c r="R631"/>
      <c r="S631"/>
      <c r="T631"/>
      <c r="U631"/>
      <c r="V631"/>
    </row>
    <row r="632" spans="10:22" s="1" customFormat="1" x14ac:dyDescent="0.2">
      <c r="J632"/>
      <c r="K632"/>
      <c r="L632"/>
      <c r="M632"/>
      <c r="N632" s="2"/>
      <c r="R632"/>
      <c r="S632"/>
      <c r="T632"/>
      <c r="U632"/>
      <c r="V632"/>
    </row>
    <row r="633" spans="10:22" s="1" customFormat="1" x14ac:dyDescent="0.2">
      <c r="J633"/>
      <c r="K633"/>
      <c r="L633"/>
      <c r="M633"/>
      <c r="N633" s="2"/>
      <c r="R633"/>
      <c r="S633"/>
      <c r="T633"/>
      <c r="U633"/>
      <c r="V633"/>
    </row>
    <row r="634" spans="10:22" s="1" customFormat="1" x14ac:dyDescent="0.2">
      <c r="J634"/>
      <c r="K634"/>
      <c r="L634"/>
      <c r="M634"/>
      <c r="N634" s="2"/>
      <c r="R634"/>
      <c r="S634"/>
      <c r="T634"/>
      <c r="U634"/>
      <c r="V634"/>
    </row>
    <row r="635" spans="10:22" s="1" customFormat="1" x14ac:dyDescent="0.2">
      <c r="J635"/>
      <c r="K635"/>
      <c r="L635"/>
      <c r="M635"/>
      <c r="N635" s="2"/>
      <c r="R635"/>
      <c r="S635"/>
      <c r="T635"/>
      <c r="U635"/>
      <c r="V635"/>
    </row>
    <row r="636" spans="10:22" s="1" customFormat="1" x14ac:dyDescent="0.2">
      <c r="J636"/>
      <c r="K636"/>
      <c r="L636"/>
      <c r="M636"/>
      <c r="N636" s="2"/>
      <c r="R636"/>
      <c r="S636"/>
      <c r="T636"/>
      <c r="U636"/>
      <c r="V636"/>
    </row>
    <row r="637" spans="10:22" s="1" customFormat="1" x14ac:dyDescent="0.2">
      <c r="J637"/>
      <c r="K637"/>
      <c r="L637"/>
      <c r="M637"/>
      <c r="N637" s="2"/>
      <c r="R637"/>
      <c r="S637"/>
      <c r="T637"/>
      <c r="U637"/>
      <c r="V637"/>
    </row>
    <row r="638" spans="10:22" s="1" customFormat="1" x14ac:dyDescent="0.2">
      <c r="J638"/>
      <c r="K638"/>
      <c r="L638"/>
      <c r="M638"/>
      <c r="N638" s="2"/>
      <c r="R638"/>
      <c r="S638"/>
      <c r="T638"/>
      <c r="U638"/>
      <c r="V638"/>
    </row>
    <row r="639" spans="10:22" s="1" customFormat="1" x14ac:dyDescent="0.2">
      <c r="J639"/>
      <c r="K639"/>
      <c r="L639"/>
      <c r="M639"/>
      <c r="N639" s="2"/>
      <c r="R639"/>
      <c r="S639"/>
      <c r="T639"/>
      <c r="U639"/>
      <c r="V639"/>
    </row>
    <row r="640" spans="10:22" s="1" customFormat="1" x14ac:dyDescent="0.2">
      <c r="J640"/>
      <c r="K640"/>
      <c r="L640"/>
      <c r="M640"/>
      <c r="N640" s="2"/>
      <c r="R640"/>
      <c r="S640"/>
      <c r="T640"/>
      <c r="U640"/>
      <c r="V640"/>
    </row>
    <row r="641" spans="10:22" s="1" customFormat="1" x14ac:dyDescent="0.2">
      <c r="J641"/>
      <c r="K641"/>
      <c r="L641"/>
      <c r="M641"/>
      <c r="N641" s="2"/>
      <c r="R641"/>
      <c r="S641"/>
      <c r="T641"/>
      <c r="U641"/>
      <c r="V641"/>
    </row>
    <row r="642" spans="10:22" s="1" customFormat="1" x14ac:dyDescent="0.2">
      <c r="J642"/>
      <c r="K642"/>
      <c r="L642"/>
      <c r="M642"/>
      <c r="N642" s="2"/>
      <c r="R642"/>
      <c r="S642"/>
      <c r="T642"/>
      <c r="U642"/>
      <c r="V642"/>
    </row>
    <row r="643" spans="10:22" s="1" customFormat="1" x14ac:dyDescent="0.2">
      <c r="J643"/>
      <c r="K643"/>
      <c r="L643"/>
      <c r="M643"/>
      <c r="N643" s="2"/>
      <c r="R643"/>
      <c r="S643"/>
      <c r="T643"/>
      <c r="U643"/>
      <c r="V643"/>
    </row>
    <row r="644" spans="10:22" s="1" customFormat="1" x14ac:dyDescent="0.2">
      <c r="J644"/>
      <c r="K644"/>
      <c r="L644"/>
      <c r="M644"/>
      <c r="N644" s="2"/>
      <c r="R644"/>
      <c r="S644"/>
      <c r="T644"/>
      <c r="U644"/>
      <c r="V644"/>
    </row>
    <row r="645" spans="10:22" s="1" customFormat="1" x14ac:dyDescent="0.2">
      <c r="J645"/>
      <c r="K645"/>
      <c r="L645"/>
      <c r="M645"/>
      <c r="N645" s="2"/>
      <c r="R645"/>
      <c r="S645"/>
      <c r="T645"/>
      <c r="U645"/>
      <c r="V645"/>
    </row>
    <row r="646" spans="10:22" s="1" customFormat="1" x14ac:dyDescent="0.2">
      <c r="J646"/>
      <c r="K646"/>
      <c r="L646"/>
      <c r="M646"/>
      <c r="N646" s="2"/>
      <c r="R646"/>
      <c r="S646"/>
      <c r="T646"/>
      <c r="U646"/>
      <c r="V646"/>
    </row>
    <row r="647" spans="10:22" s="1" customFormat="1" x14ac:dyDescent="0.2">
      <c r="J647"/>
      <c r="K647"/>
      <c r="L647"/>
      <c r="M647"/>
      <c r="N647" s="2"/>
      <c r="R647"/>
      <c r="S647"/>
      <c r="T647"/>
      <c r="U647"/>
      <c r="V647"/>
    </row>
    <row r="648" spans="10:22" s="1" customFormat="1" x14ac:dyDescent="0.2">
      <c r="J648"/>
      <c r="K648"/>
      <c r="L648"/>
      <c r="M648"/>
      <c r="N648" s="2"/>
      <c r="R648"/>
      <c r="S648"/>
      <c r="T648"/>
      <c r="U648"/>
      <c r="V648"/>
    </row>
    <row r="649" spans="10:22" s="1" customFormat="1" x14ac:dyDescent="0.2">
      <c r="J649"/>
      <c r="K649"/>
      <c r="L649"/>
      <c r="M649"/>
      <c r="N649" s="2"/>
      <c r="R649"/>
      <c r="S649"/>
      <c r="T649"/>
      <c r="U649"/>
      <c r="V649"/>
    </row>
    <row r="650" spans="10:22" s="1" customFormat="1" x14ac:dyDescent="0.2">
      <c r="J650"/>
      <c r="K650"/>
      <c r="L650"/>
      <c r="M650"/>
      <c r="N650" s="2"/>
      <c r="R650"/>
      <c r="S650"/>
      <c r="T650"/>
      <c r="U650"/>
      <c r="V650"/>
    </row>
    <row r="651" spans="10:22" s="1" customFormat="1" x14ac:dyDescent="0.2">
      <c r="J651"/>
      <c r="K651"/>
      <c r="L651"/>
      <c r="M651"/>
      <c r="N651" s="2"/>
      <c r="R651"/>
      <c r="S651"/>
      <c r="T651"/>
      <c r="U651"/>
      <c r="V651"/>
    </row>
    <row r="652" spans="10:22" s="1" customFormat="1" x14ac:dyDescent="0.2">
      <c r="J652"/>
      <c r="K652"/>
      <c r="L652"/>
      <c r="M652"/>
      <c r="N652" s="2"/>
      <c r="R652"/>
      <c r="S652"/>
      <c r="T652"/>
      <c r="U652"/>
      <c r="V652"/>
    </row>
    <row r="653" spans="10:22" s="1" customFormat="1" x14ac:dyDescent="0.2">
      <c r="J653"/>
      <c r="K653"/>
      <c r="L653"/>
      <c r="M653"/>
      <c r="N653" s="2"/>
      <c r="R653"/>
      <c r="S653"/>
      <c r="T653"/>
      <c r="U653"/>
      <c r="V653"/>
    </row>
    <row r="654" spans="10:22" s="1" customFormat="1" x14ac:dyDescent="0.2">
      <c r="J654"/>
      <c r="K654"/>
      <c r="L654"/>
      <c r="M654"/>
      <c r="N654" s="2"/>
      <c r="R654"/>
      <c r="S654"/>
      <c r="T654"/>
      <c r="U654"/>
      <c r="V654"/>
    </row>
    <row r="655" spans="10:22" s="1" customFormat="1" x14ac:dyDescent="0.2">
      <c r="J655"/>
      <c r="K655"/>
      <c r="L655"/>
      <c r="M655"/>
      <c r="N655" s="2"/>
      <c r="R655"/>
      <c r="S655"/>
      <c r="T655"/>
      <c r="U655"/>
      <c r="V655"/>
    </row>
    <row r="656" spans="10:22" s="1" customFormat="1" x14ac:dyDescent="0.2">
      <c r="J656"/>
      <c r="K656"/>
      <c r="L656"/>
      <c r="M656"/>
      <c r="N656" s="2"/>
      <c r="R656"/>
      <c r="S656"/>
      <c r="T656"/>
      <c r="U656"/>
      <c r="V656"/>
    </row>
    <row r="657" spans="10:22" s="1" customFormat="1" x14ac:dyDescent="0.2">
      <c r="J657"/>
      <c r="K657"/>
      <c r="L657"/>
      <c r="M657"/>
      <c r="N657" s="2"/>
      <c r="R657"/>
      <c r="S657"/>
      <c r="T657"/>
      <c r="U657"/>
      <c r="V657"/>
    </row>
    <row r="658" spans="10:22" s="1" customFormat="1" x14ac:dyDescent="0.2">
      <c r="J658"/>
      <c r="K658"/>
      <c r="L658"/>
      <c r="M658"/>
      <c r="N658" s="2"/>
      <c r="R658"/>
      <c r="S658"/>
      <c r="T658"/>
      <c r="U658"/>
      <c r="V658"/>
    </row>
    <row r="659" spans="10:22" s="1" customFormat="1" x14ac:dyDescent="0.2">
      <c r="J659"/>
      <c r="K659"/>
      <c r="L659"/>
      <c r="M659"/>
      <c r="N659" s="2"/>
      <c r="R659"/>
      <c r="S659"/>
      <c r="T659"/>
      <c r="U659"/>
      <c r="V659"/>
    </row>
    <row r="660" spans="10:22" s="1" customFormat="1" x14ac:dyDescent="0.2">
      <c r="J660"/>
      <c r="K660"/>
      <c r="L660"/>
      <c r="M660"/>
      <c r="N660" s="2"/>
      <c r="R660"/>
      <c r="S660"/>
      <c r="T660"/>
      <c r="U660"/>
      <c r="V660"/>
    </row>
    <row r="661" spans="10:22" s="1" customFormat="1" x14ac:dyDescent="0.2">
      <c r="J661"/>
      <c r="K661"/>
      <c r="L661"/>
      <c r="M661"/>
      <c r="N661" s="2"/>
      <c r="R661"/>
      <c r="S661"/>
      <c r="T661"/>
      <c r="U661"/>
      <c r="V661"/>
    </row>
    <row r="662" spans="10:22" s="1" customFormat="1" x14ac:dyDescent="0.2">
      <c r="J662"/>
      <c r="K662"/>
      <c r="L662"/>
      <c r="M662"/>
      <c r="N662" s="2"/>
      <c r="R662"/>
      <c r="S662"/>
      <c r="T662"/>
      <c r="U662"/>
      <c r="V662"/>
    </row>
    <row r="663" spans="10:22" s="1" customFormat="1" x14ac:dyDescent="0.2">
      <c r="J663"/>
      <c r="K663"/>
      <c r="L663"/>
      <c r="M663"/>
      <c r="N663" s="2"/>
      <c r="R663"/>
      <c r="S663"/>
      <c r="T663"/>
      <c r="U663"/>
      <c r="V663"/>
    </row>
    <row r="664" spans="10:22" s="1" customFormat="1" x14ac:dyDescent="0.2">
      <c r="J664"/>
      <c r="K664"/>
      <c r="L664"/>
      <c r="M664"/>
      <c r="N664" s="2"/>
      <c r="R664"/>
      <c r="S664"/>
      <c r="T664"/>
      <c r="U664"/>
      <c r="V664"/>
    </row>
    <row r="665" spans="10:22" s="1" customFormat="1" x14ac:dyDescent="0.2">
      <c r="J665"/>
      <c r="K665"/>
      <c r="L665"/>
      <c r="M665"/>
      <c r="N665" s="2"/>
      <c r="R665"/>
      <c r="S665"/>
      <c r="T665"/>
      <c r="U665"/>
      <c r="V665"/>
    </row>
    <row r="666" spans="10:22" s="1" customFormat="1" x14ac:dyDescent="0.2">
      <c r="J666"/>
      <c r="K666"/>
      <c r="L666"/>
      <c r="M666"/>
      <c r="N666" s="2"/>
      <c r="R666"/>
      <c r="S666"/>
      <c r="T666"/>
      <c r="U666"/>
      <c r="V666"/>
    </row>
    <row r="667" spans="10:22" s="1" customFormat="1" x14ac:dyDescent="0.2">
      <c r="J667"/>
      <c r="K667"/>
      <c r="L667"/>
      <c r="M667"/>
      <c r="N667" s="2"/>
      <c r="R667"/>
      <c r="S667"/>
      <c r="T667"/>
      <c r="U667"/>
      <c r="V667"/>
    </row>
    <row r="668" spans="10:22" s="1" customFormat="1" x14ac:dyDescent="0.2">
      <c r="J668"/>
      <c r="K668"/>
      <c r="L668"/>
      <c r="M668"/>
      <c r="N668" s="2"/>
      <c r="R668"/>
      <c r="S668"/>
      <c r="T668"/>
      <c r="U668"/>
      <c r="V668"/>
    </row>
    <row r="669" spans="10:22" s="1" customFormat="1" x14ac:dyDescent="0.2">
      <c r="J669"/>
      <c r="K669"/>
      <c r="L669"/>
      <c r="M669"/>
      <c r="N669" s="2"/>
      <c r="R669"/>
      <c r="S669"/>
      <c r="T669"/>
      <c r="U669"/>
      <c r="V669"/>
    </row>
    <row r="670" spans="10:22" s="1" customFormat="1" x14ac:dyDescent="0.2">
      <c r="J670"/>
      <c r="K670"/>
      <c r="L670"/>
      <c r="M670"/>
      <c r="N670" s="2"/>
      <c r="R670"/>
      <c r="S670"/>
      <c r="T670"/>
      <c r="U670"/>
      <c r="V670"/>
    </row>
    <row r="671" spans="10:22" s="1" customFormat="1" x14ac:dyDescent="0.2">
      <c r="J671"/>
      <c r="K671"/>
      <c r="L671"/>
      <c r="M671"/>
      <c r="N671" s="2"/>
      <c r="R671"/>
      <c r="S671"/>
      <c r="T671"/>
      <c r="U671"/>
      <c r="V671"/>
    </row>
    <row r="672" spans="10:22" s="1" customFormat="1" x14ac:dyDescent="0.2">
      <c r="J672"/>
      <c r="K672"/>
      <c r="L672"/>
      <c r="M672"/>
      <c r="N672" s="2"/>
      <c r="R672"/>
      <c r="S672"/>
      <c r="T672"/>
      <c r="U672"/>
      <c r="V672"/>
    </row>
    <row r="673" spans="10:22" s="1" customFormat="1" x14ac:dyDescent="0.2">
      <c r="J673"/>
      <c r="K673"/>
      <c r="L673"/>
      <c r="M673"/>
      <c r="N673" s="2"/>
      <c r="R673"/>
      <c r="S673"/>
      <c r="T673"/>
      <c r="U673"/>
      <c r="V673"/>
    </row>
    <row r="674" spans="10:22" s="1" customFormat="1" x14ac:dyDescent="0.2">
      <c r="J674"/>
      <c r="K674"/>
      <c r="L674"/>
      <c r="M674"/>
      <c r="N674" s="2"/>
      <c r="R674"/>
      <c r="S674"/>
      <c r="T674"/>
      <c r="U674"/>
      <c r="V674"/>
    </row>
    <row r="675" spans="10:22" s="1" customFormat="1" x14ac:dyDescent="0.2">
      <c r="J675"/>
      <c r="K675"/>
      <c r="L675"/>
      <c r="M675"/>
      <c r="N675" s="2"/>
      <c r="R675"/>
      <c r="S675"/>
      <c r="T675"/>
      <c r="U675"/>
      <c r="V675"/>
    </row>
    <row r="676" spans="10:22" s="1" customFormat="1" x14ac:dyDescent="0.2">
      <c r="J676"/>
      <c r="K676"/>
      <c r="L676"/>
      <c r="M676"/>
      <c r="N676" s="2"/>
      <c r="R676"/>
      <c r="S676"/>
      <c r="T676"/>
      <c r="U676"/>
      <c r="V676"/>
    </row>
    <row r="677" spans="10:22" s="1" customFormat="1" x14ac:dyDescent="0.2">
      <c r="J677"/>
      <c r="K677"/>
      <c r="L677"/>
      <c r="M677"/>
      <c r="N677" s="2"/>
      <c r="R677"/>
      <c r="S677"/>
      <c r="T677"/>
      <c r="U677"/>
      <c r="V677"/>
    </row>
    <row r="678" spans="10:22" s="1" customFormat="1" x14ac:dyDescent="0.2">
      <c r="J678"/>
      <c r="K678"/>
      <c r="L678"/>
      <c r="M678"/>
      <c r="N678" s="2"/>
      <c r="R678"/>
      <c r="S678"/>
      <c r="T678"/>
      <c r="U678"/>
      <c r="V678"/>
    </row>
    <row r="679" spans="10:22" s="1" customFormat="1" x14ac:dyDescent="0.2">
      <c r="J679"/>
      <c r="K679"/>
      <c r="L679"/>
      <c r="M679"/>
      <c r="N679" s="2"/>
      <c r="R679"/>
      <c r="S679"/>
      <c r="T679"/>
      <c r="U679"/>
      <c r="V679"/>
    </row>
    <row r="680" spans="10:22" s="1" customFormat="1" x14ac:dyDescent="0.2">
      <c r="J680"/>
      <c r="K680"/>
      <c r="L680"/>
      <c r="M680"/>
      <c r="N680" s="2"/>
      <c r="R680"/>
      <c r="S680"/>
      <c r="T680"/>
      <c r="U680"/>
      <c r="V680"/>
    </row>
    <row r="681" spans="10:22" s="1" customFormat="1" x14ac:dyDescent="0.2">
      <c r="J681"/>
      <c r="K681"/>
      <c r="L681"/>
      <c r="M681"/>
      <c r="N681" s="2"/>
      <c r="R681"/>
      <c r="S681"/>
      <c r="T681"/>
      <c r="U681"/>
      <c r="V681"/>
    </row>
    <row r="682" spans="10:22" s="1" customFormat="1" x14ac:dyDescent="0.2">
      <c r="J682"/>
      <c r="K682"/>
      <c r="L682"/>
      <c r="M682"/>
      <c r="N682" s="2"/>
      <c r="R682"/>
      <c r="S682"/>
      <c r="T682"/>
      <c r="U682"/>
      <c r="V682"/>
    </row>
    <row r="683" spans="10:22" s="1" customFormat="1" x14ac:dyDescent="0.2">
      <c r="J683"/>
      <c r="K683"/>
      <c r="L683"/>
      <c r="M683"/>
      <c r="N683" s="2"/>
      <c r="R683"/>
      <c r="S683"/>
      <c r="T683"/>
      <c r="U683"/>
      <c r="V683"/>
    </row>
    <row r="684" spans="10:22" s="1" customFormat="1" x14ac:dyDescent="0.2">
      <c r="J684"/>
      <c r="K684"/>
      <c r="L684"/>
      <c r="M684"/>
      <c r="N684" s="2"/>
      <c r="R684"/>
      <c r="S684"/>
      <c r="T684"/>
      <c r="U684"/>
      <c r="V684"/>
    </row>
    <row r="685" spans="10:22" s="1" customFormat="1" x14ac:dyDescent="0.2">
      <c r="J685"/>
      <c r="K685"/>
      <c r="L685"/>
      <c r="M685"/>
      <c r="N685" s="2"/>
      <c r="R685"/>
      <c r="S685"/>
      <c r="T685"/>
      <c r="U685"/>
      <c r="V685"/>
    </row>
    <row r="686" spans="10:22" s="1" customFormat="1" x14ac:dyDescent="0.2">
      <c r="J686"/>
      <c r="K686"/>
      <c r="L686"/>
      <c r="M686"/>
      <c r="N686" s="2"/>
      <c r="R686"/>
      <c r="S686"/>
      <c r="T686"/>
      <c r="U686"/>
      <c r="V686"/>
    </row>
    <row r="687" spans="10:22" s="1" customFormat="1" x14ac:dyDescent="0.2">
      <c r="J687"/>
      <c r="K687"/>
      <c r="L687"/>
      <c r="M687"/>
      <c r="N687" s="2"/>
      <c r="R687"/>
      <c r="S687"/>
      <c r="T687"/>
      <c r="U687"/>
      <c r="V687"/>
    </row>
    <row r="688" spans="10:22" s="1" customFormat="1" x14ac:dyDescent="0.2">
      <c r="J688"/>
      <c r="K688"/>
      <c r="L688"/>
      <c r="M688"/>
      <c r="N688" s="2"/>
      <c r="R688"/>
      <c r="S688"/>
      <c r="T688"/>
      <c r="U688"/>
      <c r="V688"/>
    </row>
    <row r="689" spans="10:22" s="1" customFormat="1" x14ac:dyDescent="0.2">
      <c r="J689"/>
      <c r="K689"/>
      <c r="L689"/>
      <c r="M689"/>
      <c r="N689" s="2"/>
      <c r="R689"/>
      <c r="S689"/>
      <c r="T689"/>
      <c r="U689"/>
      <c r="V689"/>
    </row>
    <row r="690" spans="10:22" s="1" customFormat="1" x14ac:dyDescent="0.2">
      <c r="J690"/>
      <c r="K690"/>
      <c r="L690"/>
      <c r="M690"/>
      <c r="N690" s="2"/>
      <c r="R690"/>
      <c r="S690"/>
      <c r="T690"/>
      <c r="U690"/>
      <c r="V690"/>
    </row>
    <row r="691" spans="10:22" s="1" customFormat="1" x14ac:dyDescent="0.2">
      <c r="J691"/>
      <c r="K691"/>
      <c r="L691"/>
      <c r="M691"/>
      <c r="N691" s="2"/>
      <c r="R691"/>
      <c r="S691"/>
      <c r="T691"/>
      <c r="U691"/>
      <c r="V691"/>
    </row>
    <row r="692" spans="10:22" s="1" customFormat="1" x14ac:dyDescent="0.2">
      <c r="J692"/>
      <c r="K692"/>
      <c r="L692"/>
      <c r="M692"/>
      <c r="N692" s="2"/>
      <c r="R692"/>
      <c r="S692"/>
      <c r="T692"/>
      <c r="U692"/>
      <c r="V692"/>
    </row>
    <row r="693" spans="10:22" s="1" customFormat="1" x14ac:dyDescent="0.2">
      <c r="J693"/>
      <c r="K693"/>
      <c r="L693"/>
      <c r="M693"/>
      <c r="N693" s="2"/>
      <c r="R693"/>
      <c r="S693"/>
      <c r="T693"/>
      <c r="U693"/>
      <c r="V693"/>
    </row>
    <row r="694" spans="10:22" s="1" customFormat="1" x14ac:dyDescent="0.2">
      <c r="J694"/>
      <c r="K694"/>
      <c r="L694"/>
      <c r="M694"/>
      <c r="N694" s="2"/>
      <c r="R694"/>
      <c r="S694"/>
      <c r="T694"/>
      <c r="U694"/>
      <c r="V694"/>
    </row>
    <row r="695" spans="10:22" s="1" customFormat="1" x14ac:dyDescent="0.2">
      <c r="J695"/>
      <c r="K695"/>
      <c r="L695"/>
      <c r="M695"/>
      <c r="N695" s="2"/>
      <c r="R695"/>
      <c r="S695"/>
      <c r="T695"/>
      <c r="U695"/>
      <c r="V695"/>
    </row>
    <row r="696" spans="10:22" s="1" customFormat="1" x14ac:dyDescent="0.2">
      <c r="J696"/>
      <c r="K696"/>
      <c r="L696"/>
      <c r="M696"/>
      <c r="N696" s="2"/>
      <c r="R696"/>
      <c r="S696"/>
      <c r="T696"/>
      <c r="U696"/>
      <c r="V696"/>
    </row>
    <row r="697" spans="10:22" s="1" customFormat="1" x14ac:dyDescent="0.2">
      <c r="J697"/>
      <c r="K697"/>
      <c r="L697"/>
      <c r="M697"/>
      <c r="N697" s="2"/>
      <c r="R697"/>
      <c r="S697"/>
      <c r="T697"/>
      <c r="U697"/>
      <c r="V697"/>
    </row>
    <row r="698" spans="10:22" s="1" customFormat="1" x14ac:dyDescent="0.2">
      <c r="J698"/>
      <c r="K698"/>
      <c r="L698"/>
      <c r="M698"/>
      <c r="N698" s="2"/>
      <c r="R698"/>
      <c r="S698"/>
      <c r="T698"/>
      <c r="U698"/>
      <c r="V698"/>
    </row>
    <row r="699" spans="10:22" s="1" customFormat="1" x14ac:dyDescent="0.2">
      <c r="J699"/>
      <c r="K699"/>
      <c r="L699"/>
      <c r="M699"/>
      <c r="N699" s="2"/>
      <c r="R699"/>
      <c r="S699"/>
      <c r="T699"/>
      <c r="U699"/>
      <c r="V699"/>
    </row>
    <row r="700" spans="10:22" s="1" customFormat="1" x14ac:dyDescent="0.2">
      <c r="J700"/>
      <c r="K700"/>
      <c r="L700"/>
      <c r="M700"/>
      <c r="N700" s="2"/>
      <c r="R700"/>
      <c r="S700"/>
      <c r="T700"/>
      <c r="U700"/>
      <c r="V700"/>
    </row>
    <row r="701" spans="10:22" s="1" customFormat="1" x14ac:dyDescent="0.2">
      <c r="J701"/>
      <c r="K701"/>
      <c r="L701"/>
      <c r="M701"/>
      <c r="N701" s="2"/>
      <c r="R701"/>
      <c r="S701"/>
      <c r="T701"/>
      <c r="U701"/>
      <c r="V701"/>
    </row>
    <row r="702" spans="10:22" s="1" customFormat="1" x14ac:dyDescent="0.2">
      <c r="J702"/>
      <c r="K702"/>
      <c r="L702"/>
      <c r="M702"/>
      <c r="N702" s="2"/>
      <c r="R702"/>
      <c r="S702"/>
      <c r="T702"/>
      <c r="U702"/>
      <c r="V702"/>
    </row>
    <row r="703" spans="10:22" s="1" customFormat="1" x14ac:dyDescent="0.2">
      <c r="J703"/>
      <c r="K703"/>
      <c r="L703"/>
      <c r="M703"/>
      <c r="N703" s="2"/>
      <c r="R703"/>
      <c r="S703"/>
      <c r="T703"/>
      <c r="U703"/>
      <c r="V703"/>
    </row>
    <row r="704" spans="10:22" s="1" customFormat="1" x14ac:dyDescent="0.2">
      <c r="J704"/>
      <c r="K704"/>
      <c r="L704"/>
      <c r="M704"/>
      <c r="N704" s="2"/>
      <c r="R704"/>
      <c r="S704"/>
      <c r="T704"/>
      <c r="U704"/>
      <c r="V704"/>
    </row>
    <row r="705" spans="10:22" s="1" customFormat="1" x14ac:dyDescent="0.2">
      <c r="J705"/>
      <c r="K705"/>
      <c r="L705"/>
      <c r="M705"/>
      <c r="N705" s="2"/>
      <c r="R705"/>
      <c r="S705"/>
      <c r="T705"/>
      <c r="U705"/>
      <c r="V705"/>
    </row>
    <row r="706" spans="10:22" s="1" customFormat="1" x14ac:dyDescent="0.2">
      <c r="J706"/>
      <c r="K706"/>
      <c r="L706"/>
      <c r="M706"/>
      <c r="N706" s="2"/>
      <c r="R706"/>
      <c r="S706"/>
      <c r="T706"/>
      <c r="U706"/>
      <c r="V706"/>
    </row>
    <row r="707" spans="10:22" s="1" customFormat="1" x14ac:dyDescent="0.2">
      <c r="J707"/>
      <c r="K707"/>
      <c r="L707"/>
      <c r="M707"/>
      <c r="N707" s="2"/>
      <c r="R707"/>
      <c r="S707"/>
      <c r="T707"/>
      <c r="U707"/>
      <c r="V707"/>
    </row>
    <row r="708" spans="10:22" s="1" customFormat="1" x14ac:dyDescent="0.2">
      <c r="J708"/>
      <c r="K708"/>
      <c r="L708"/>
      <c r="M708"/>
      <c r="N708" s="2"/>
      <c r="R708"/>
      <c r="S708"/>
      <c r="T708"/>
      <c r="U708"/>
      <c r="V708"/>
    </row>
    <row r="709" spans="10:22" s="1" customFormat="1" x14ac:dyDescent="0.2">
      <c r="J709"/>
      <c r="K709"/>
      <c r="L709"/>
      <c r="M709"/>
      <c r="N709" s="2"/>
      <c r="R709"/>
      <c r="S709"/>
      <c r="T709"/>
      <c r="U709"/>
      <c r="V709"/>
    </row>
    <row r="710" spans="10:22" s="1" customFormat="1" x14ac:dyDescent="0.2">
      <c r="J710"/>
      <c r="K710"/>
      <c r="L710"/>
      <c r="M710"/>
      <c r="N710" s="2"/>
      <c r="R710"/>
      <c r="S710"/>
      <c r="T710"/>
      <c r="U710"/>
      <c r="V710"/>
    </row>
    <row r="711" spans="10:22" s="1" customFormat="1" x14ac:dyDescent="0.2">
      <c r="J711"/>
      <c r="K711"/>
      <c r="L711"/>
      <c r="M711"/>
      <c r="N711" s="2"/>
      <c r="R711"/>
      <c r="S711"/>
      <c r="T711"/>
      <c r="U711"/>
      <c r="V711"/>
    </row>
    <row r="712" spans="10:22" s="1" customFormat="1" x14ac:dyDescent="0.2">
      <c r="J712"/>
      <c r="K712"/>
      <c r="L712"/>
      <c r="M712"/>
      <c r="N712" s="2"/>
      <c r="R712"/>
      <c r="S712"/>
      <c r="T712"/>
      <c r="U712"/>
      <c r="V712"/>
    </row>
    <row r="713" spans="10:22" s="1" customFormat="1" x14ac:dyDescent="0.2">
      <c r="J713"/>
      <c r="K713"/>
      <c r="L713"/>
      <c r="M713"/>
      <c r="N713" s="2"/>
      <c r="R713"/>
      <c r="S713"/>
      <c r="T713"/>
      <c r="U713"/>
      <c r="V713"/>
    </row>
    <row r="714" spans="10:22" s="1" customFormat="1" x14ac:dyDescent="0.2">
      <c r="J714"/>
      <c r="K714"/>
      <c r="L714"/>
      <c r="M714"/>
      <c r="N714" s="2"/>
      <c r="R714"/>
      <c r="S714"/>
      <c r="T714"/>
      <c r="U714"/>
      <c r="V714"/>
    </row>
    <row r="715" spans="10:22" s="1" customFormat="1" x14ac:dyDescent="0.2">
      <c r="J715"/>
      <c r="K715"/>
      <c r="L715"/>
      <c r="M715"/>
      <c r="N715" s="2"/>
      <c r="R715"/>
      <c r="S715"/>
      <c r="T715"/>
      <c r="U715"/>
      <c r="V715"/>
    </row>
    <row r="716" spans="10:22" s="1" customFormat="1" x14ac:dyDescent="0.2">
      <c r="J716"/>
      <c r="K716"/>
      <c r="L716"/>
      <c r="M716"/>
      <c r="N716" s="2"/>
      <c r="R716"/>
      <c r="S716"/>
      <c r="T716"/>
      <c r="U716"/>
      <c r="V716"/>
    </row>
    <row r="717" spans="10:22" s="1" customFormat="1" x14ac:dyDescent="0.2">
      <c r="J717"/>
      <c r="K717"/>
      <c r="L717"/>
      <c r="M717"/>
      <c r="N717" s="2"/>
      <c r="R717"/>
      <c r="S717"/>
      <c r="T717"/>
      <c r="U717"/>
      <c r="V717"/>
    </row>
    <row r="718" spans="10:22" s="1" customFormat="1" x14ac:dyDescent="0.2">
      <c r="J718"/>
      <c r="K718"/>
      <c r="L718"/>
      <c r="M718"/>
      <c r="N718" s="2"/>
      <c r="R718"/>
      <c r="S718"/>
      <c r="T718"/>
      <c r="U718"/>
      <c r="V718"/>
    </row>
    <row r="719" spans="10:22" s="1" customFormat="1" x14ac:dyDescent="0.2">
      <c r="J719"/>
      <c r="K719"/>
      <c r="L719"/>
      <c r="M719"/>
      <c r="N719" s="2"/>
      <c r="R719"/>
      <c r="S719"/>
      <c r="T719"/>
      <c r="U719"/>
      <c r="V719"/>
    </row>
    <row r="720" spans="10:22" s="1" customFormat="1" x14ac:dyDescent="0.2">
      <c r="J720"/>
      <c r="K720"/>
      <c r="L720"/>
      <c r="M720"/>
      <c r="N720" s="2"/>
      <c r="R720"/>
      <c r="S720"/>
      <c r="T720"/>
      <c r="U720"/>
      <c r="V720"/>
    </row>
    <row r="721" spans="10:22" s="1" customFormat="1" x14ac:dyDescent="0.2">
      <c r="J721"/>
      <c r="K721"/>
      <c r="L721"/>
      <c r="M721"/>
      <c r="N721" s="2"/>
      <c r="R721"/>
      <c r="S721"/>
      <c r="T721"/>
      <c r="U721"/>
      <c r="V721"/>
    </row>
    <row r="722" spans="10:22" s="1" customFormat="1" x14ac:dyDescent="0.2">
      <c r="J722"/>
      <c r="K722"/>
      <c r="L722"/>
      <c r="M722"/>
      <c r="N722" s="2"/>
      <c r="R722"/>
      <c r="S722"/>
      <c r="T722"/>
      <c r="U722"/>
      <c r="V722"/>
    </row>
    <row r="723" spans="10:22" s="1" customFormat="1" x14ac:dyDescent="0.2">
      <c r="J723"/>
      <c r="K723"/>
      <c r="L723"/>
      <c r="M723"/>
      <c r="N723" s="2"/>
      <c r="R723"/>
      <c r="S723"/>
      <c r="T723"/>
      <c r="U723"/>
      <c r="V723"/>
    </row>
    <row r="724" spans="10:22" s="1" customFormat="1" x14ac:dyDescent="0.2">
      <c r="J724"/>
      <c r="K724"/>
      <c r="L724"/>
      <c r="M724"/>
      <c r="N724" s="2"/>
      <c r="R724"/>
      <c r="S724"/>
      <c r="T724"/>
      <c r="U724"/>
      <c r="V724"/>
    </row>
    <row r="725" spans="10:22" s="1" customFormat="1" x14ac:dyDescent="0.2">
      <c r="J725"/>
      <c r="K725"/>
      <c r="L725"/>
      <c r="M725"/>
      <c r="N725" s="2"/>
      <c r="R725"/>
      <c r="S725"/>
      <c r="T725"/>
      <c r="U725"/>
      <c r="V725"/>
    </row>
    <row r="726" spans="10:22" s="1" customFormat="1" x14ac:dyDescent="0.2">
      <c r="J726"/>
      <c r="K726"/>
      <c r="L726"/>
      <c r="M726"/>
      <c r="N726" s="2"/>
      <c r="R726"/>
      <c r="S726"/>
      <c r="T726"/>
      <c r="U726"/>
      <c r="V726"/>
    </row>
    <row r="727" spans="10:22" s="1" customFormat="1" x14ac:dyDescent="0.2">
      <c r="J727"/>
      <c r="K727"/>
      <c r="L727"/>
      <c r="M727"/>
      <c r="N727" s="2"/>
      <c r="R727"/>
      <c r="S727"/>
      <c r="T727"/>
      <c r="U727"/>
      <c r="V727"/>
    </row>
    <row r="728" spans="10:22" s="1" customFormat="1" x14ac:dyDescent="0.2">
      <c r="J728"/>
      <c r="K728"/>
      <c r="L728"/>
      <c r="M728"/>
      <c r="N728" s="2"/>
      <c r="R728"/>
      <c r="S728"/>
      <c r="T728"/>
      <c r="U728"/>
      <c r="V728"/>
    </row>
    <row r="729" spans="10:22" s="1" customFormat="1" x14ac:dyDescent="0.2">
      <c r="J729"/>
      <c r="K729"/>
      <c r="L729"/>
      <c r="M729"/>
      <c r="N729" s="2"/>
      <c r="R729"/>
      <c r="S729"/>
      <c r="T729"/>
      <c r="U729"/>
      <c r="V729"/>
    </row>
    <row r="730" spans="10:22" s="1" customFormat="1" x14ac:dyDescent="0.2">
      <c r="J730"/>
      <c r="K730"/>
      <c r="L730"/>
      <c r="M730"/>
      <c r="N730" s="2"/>
      <c r="R730"/>
      <c r="S730"/>
      <c r="T730"/>
      <c r="U730"/>
      <c r="V730"/>
    </row>
    <row r="731" spans="10:22" s="1" customFormat="1" x14ac:dyDescent="0.2">
      <c r="J731"/>
      <c r="K731"/>
      <c r="L731"/>
      <c r="M731"/>
      <c r="N731" s="2"/>
      <c r="R731"/>
      <c r="S731"/>
      <c r="T731"/>
      <c r="U731"/>
      <c r="V731"/>
    </row>
    <row r="732" spans="10:22" s="1" customFormat="1" x14ac:dyDescent="0.2">
      <c r="J732"/>
      <c r="K732"/>
      <c r="L732"/>
      <c r="M732"/>
      <c r="N732" s="2"/>
      <c r="R732"/>
      <c r="S732"/>
      <c r="T732"/>
      <c r="U732"/>
      <c r="V732"/>
    </row>
    <row r="733" spans="10:22" s="1" customFormat="1" x14ac:dyDescent="0.2">
      <c r="J733"/>
      <c r="K733"/>
      <c r="L733"/>
      <c r="M733"/>
      <c r="N733" s="2"/>
      <c r="R733"/>
      <c r="S733"/>
      <c r="T733"/>
      <c r="U733"/>
      <c r="V733"/>
    </row>
    <row r="734" spans="10:22" s="1" customFormat="1" x14ac:dyDescent="0.2">
      <c r="J734"/>
      <c r="K734"/>
      <c r="L734"/>
      <c r="M734"/>
      <c r="N734" s="2"/>
      <c r="R734"/>
      <c r="S734"/>
      <c r="T734"/>
      <c r="U734"/>
      <c r="V734"/>
    </row>
  </sheetData>
  <mergeCells count="92">
    <mergeCell ref="V28:V29"/>
    <mergeCell ref="B28:B30"/>
    <mergeCell ref="E28:E30"/>
    <mergeCell ref="Q28:Q30"/>
    <mergeCell ref="S28:S30"/>
    <mergeCell ref="U28:U30"/>
    <mergeCell ref="J28:J30"/>
    <mergeCell ref="K28:K30"/>
    <mergeCell ref="L28:L29"/>
    <mergeCell ref="M28:M29"/>
    <mergeCell ref="D28:D29"/>
    <mergeCell ref="F28:F29"/>
    <mergeCell ref="H28:H29"/>
    <mergeCell ref="I28:I29"/>
    <mergeCell ref="B14:B15"/>
    <mergeCell ref="B18:B19"/>
    <mergeCell ref="V12:V13"/>
    <mergeCell ref="S5:S6"/>
    <mergeCell ref="U5:U6"/>
    <mergeCell ref="Q8:Q11"/>
    <mergeCell ref="S8:S11"/>
    <mergeCell ref="U8:U11"/>
    <mergeCell ref="Q12:Q13"/>
    <mergeCell ref="S12:S13"/>
    <mergeCell ref="B12:B13"/>
    <mergeCell ref="D12:D13"/>
    <mergeCell ref="E12:E13"/>
    <mergeCell ref="F12:F13"/>
    <mergeCell ref="H12:H13"/>
    <mergeCell ref="B8:B11"/>
    <mergeCell ref="D8:D11"/>
    <mergeCell ref="E8:E11"/>
    <mergeCell ref="J8:J11"/>
    <mergeCell ref="K8:K11"/>
    <mergeCell ref="B2:V2"/>
    <mergeCell ref="B5:B6"/>
    <mergeCell ref="E5:E6"/>
    <mergeCell ref="J5:J6"/>
    <mergeCell ref="K5:K6"/>
    <mergeCell ref="Q5:Q6"/>
    <mergeCell ref="E61:F61"/>
    <mergeCell ref="J61:J63"/>
    <mergeCell ref="E62:F62"/>
    <mergeCell ref="E63:F63"/>
    <mergeCell ref="U12:U13"/>
    <mergeCell ref="O12:O13"/>
    <mergeCell ref="L12:L13"/>
    <mergeCell ref="M12:M13"/>
    <mergeCell ref="J12:J13"/>
    <mergeCell ref="K12:K13"/>
    <mergeCell ref="O28:O29"/>
    <mergeCell ref="J14:J15"/>
    <mergeCell ref="K14:K15"/>
    <mergeCell ref="J18:J19"/>
    <mergeCell ref="E18:E19"/>
    <mergeCell ref="U20:U21"/>
    <mergeCell ref="I12:I13"/>
    <mergeCell ref="E14:E15"/>
    <mergeCell ref="Q14:Q15"/>
    <mergeCell ref="S14:S15"/>
    <mergeCell ref="U14:U15"/>
    <mergeCell ref="S20:S21"/>
    <mergeCell ref="K18:K19"/>
    <mergeCell ref="Q18:Q19"/>
    <mergeCell ref="S18:S19"/>
    <mergeCell ref="U18:U19"/>
    <mergeCell ref="B20:B21"/>
    <mergeCell ref="E20:E21"/>
    <mergeCell ref="J20:J21"/>
    <mergeCell ref="K20:K21"/>
    <mergeCell ref="Q20:Q21"/>
    <mergeCell ref="U22:U23"/>
    <mergeCell ref="B22:B23"/>
    <mergeCell ref="E22:E23"/>
    <mergeCell ref="J22:J23"/>
    <mergeCell ref="K22:K23"/>
    <mergeCell ref="Q22:Q23"/>
    <mergeCell ref="S22:S23"/>
    <mergeCell ref="U33:U34"/>
    <mergeCell ref="B33:B34"/>
    <mergeCell ref="E33:E34"/>
    <mergeCell ref="J33:J34"/>
    <mergeCell ref="K33:K34"/>
    <mergeCell ref="Q33:Q34"/>
    <mergeCell ref="S33:S34"/>
    <mergeCell ref="U35:U36"/>
    <mergeCell ref="B35:B36"/>
    <mergeCell ref="E35:E36"/>
    <mergeCell ref="J35:J36"/>
    <mergeCell ref="K35:K36"/>
    <mergeCell ref="Q35:Q36"/>
    <mergeCell ref="S35:S36"/>
  </mergeCells>
  <conditionalFormatting sqref="I65:I71">
    <cfRule type="cellIs" dxfId="259" priority="358" stopIfTrue="1" operator="lessThan">
      <formula>0%</formula>
    </cfRule>
    <cfRule type="cellIs" dxfId="258" priority="357" stopIfTrue="1" operator="greaterThan">
      <formula>1.5%</formula>
    </cfRule>
  </conditionalFormatting>
  <conditionalFormatting sqref="I73">
    <cfRule type="cellIs" dxfId="257" priority="352" stopIfTrue="1" operator="lessThan">
      <formula>438</formula>
    </cfRule>
  </conditionalFormatting>
  <conditionalFormatting sqref="J3 B2 J72:J65536">
    <cfRule type="cellIs" dxfId="256" priority="375" stopIfTrue="1" operator="lessThan">
      <formula>438</formula>
    </cfRule>
  </conditionalFormatting>
  <conditionalFormatting sqref="J3">
    <cfRule type="cellIs" dxfId="255" priority="372" stopIfTrue="1" operator="lessThan">
      <formula>456.25</formula>
    </cfRule>
  </conditionalFormatting>
  <conditionalFormatting sqref="J4:J5 J37:J60">
    <cfRule type="cellIs" dxfId="254" priority="330" stopIfTrue="1" operator="lessThan">
      <formula>462</formula>
    </cfRule>
  </conditionalFormatting>
  <conditionalFormatting sqref="J7:J8">
    <cfRule type="cellIs" dxfId="253" priority="161" stopIfTrue="1" operator="lessThan">
      <formula>462</formula>
    </cfRule>
  </conditionalFormatting>
  <conditionalFormatting sqref="J12">
    <cfRule type="cellIs" dxfId="252" priority="143" stopIfTrue="1" operator="lessThan">
      <formula>462</formula>
    </cfRule>
  </conditionalFormatting>
  <conditionalFormatting sqref="J14">
    <cfRule type="cellIs" dxfId="251" priority="112" stopIfTrue="1" operator="lessThan">
      <formula>462</formula>
    </cfRule>
  </conditionalFormatting>
  <conditionalFormatting sqref="J16:J18 J20 J22">
    <cfRule type="cellIs" dxfId="250" priority="100" stopIfTrue="1" operator="lessThan">
      <formula>462</formula>
    </cfRule>
  </conditionalFormatting>
  <conditionalFormatting sqref="J24:J28">
    <cfRule type="cellIs" dxfId="249" priority="32" stopIfTrue="1" operator="lessThan">
      <formula>462</formula>
    </cfRule>
  </conditionalFormatting>
  <conditionalFormatting sqref="J31:J33 J35">
    <cfRule type="cellIs" dxfId="248" priority="14" stopIfTrue="1" operator="lessThan">
      <formula>462</formula>
    </cfRule>
  </conditionalFormatting>
  <conditionalFormatting sqref="J65:J71">
    <cfRule type="cellIs" dxfId="247" priority="370" stopIfTrue="1" operator="lessThan">
      <formula>73%</formula>
    </cfRule>
  </conditionalFormatting>
  <conditionalFormatting sqref="K4:K5 K37:K39">
    <cfRule type="cellIs" dxfId="246" priority="329" stopIfTrue="1" operator="lessThan">
      <formula>540</formula>
    </cfRule>
  </conditionalFormatting>
  <conditionalFormatting sqref="K7:K8">
    <cfRule type="cellIs" dxfId="245" priority="160" stopIfTrue="1" operator="lessThan">
      <formula>540</formula>
    </cfRule>
  </conditionalFormatting>
  <conditionalFormatting sqref="K12">
    <cfRule type="cellIs" dxfId="244" priority="142" stopIfTrue="1" operator="lessThan">
      <formula>540</formula>
    </cfRule>
  </conditionalFormatting>
  <conditionalFormatting sqref="K14">
    <cfRule type="cellIs" dxfId="243" priority="111" stopIfTrue="1" operator="lessThan">
      <formula>540</formula>
    </cfRule>
  </conditionalFormatting>
  <conditionalFormatting sqref="K16:K18 K20 K22">
    <cfRule type="cellIs" dxfId="242" priority="99" stopIfTrue="1" operator="lessThan">
      <formula>540</formula>
    </cfRule>
  </conditionalFormatting>
  <conditionalFormatting sqref="K24:K28">
    <cfRule type="cellIs" dxfId="241" priority="31" stopIfTrue="1" operator="lessThan">
      <formula>540</formula>
    </cfRule>
  </conditionalFormatting>
  <conditionalFormatting sqref="K31:K33 K35">
    <cfRule type="cellIs" dxfId="240" priority="13" stopIfTrue="1" operator="lessThan">
      <formula>540</formula>
    </cfRule>
  </conditionalFormatting>
  <conditionalFormatting sqref="K39:L56">
    <cfRule type="cellIs" dxfId="239" priority="335" stopIfTrue="1" operator="lessThan">
      <formula>540</formula>
    </cfRule>
  </conditionalFormatting>
  <conditionalFormatting sqref="K57:L59">
    <cfRule type="cellIs" dxfId="238" priority="366" stopIfTrue="1" operator="lessThan">
      <formula>438</formula>
    </cfRule>
    <cfRule type="cellIs" dxfId="237" priority="365" stopIfTrue="1" operator="lessThan">
      <formula>456.25</formula>
    </cfRule>
  </conditionalFormatting>
  <conditionalFormatting sqref="O4:O12">
    <cfRule type="cellIs" dxfId="236" priority="350" stopIfTrue="1" operator="greaterThan">
      <formula>1.1</formula>
    </cfRule>
  </conditionalFormatting>
  <conditionalFormatting sqref="O14:O28">
    <cfRule type="cellIs" dxfId="235" priority="43" stopIfTrue="1" operator="greaterThan">
      <formula>1.1</formula>
    </cfRule>
  </conditionalFormatting>
  <conditionalFormatting sqref="O30:O61">
    <cfRule type="cellIs" dxfId="234" priority="62" stopIfTrue="1" operator="greaterThan">
      <formula>1.1</formula>
    </cfRule>
  </conditionalFormatting>
  <conditionalFormatting sqref="O61:O62">
    <cfRule type="cellIs" dxfId="233" priority="368" stopIfTrue="1" operator="greaterThan">
      <formula>1.5%</formula>
    </cfRule>
    <cfRule type="cellIs" dxfId="232" priority="369" stopIfTrue="1" operator="lessThan">
      <formula>0%</formula>
    </cfRule>
  </conditionalFormatting>
  <conditionalFormatting sqref="Q4:Q5 Q37:Q60">
    <cfRule type="cellIs" dxfId="231" priority="327" stopIfTrue="1" operator="lessThan">
      <formula>0.74</formula>
    </cfRule>
  </conditionalFormatting>
  <conditionalFormatting sqref="Q7:Q8">
    <cfRule type="cellIs" dxfId="230" priority="155" stopIfTrue="1" operator="lessThan">
      <formula>0.74</formula>
    </cfRule>
  </conditionalFormatting>
  <conditionalFormatting sqref="Q12 Q14">
    <cfRule type="cellIs" dxfId="229" priority="137" stopIfTrue="1" operator="lessThan">
      <formula>0.74</formula>
    </cfRule>
  </conditionalFormatting>
  <conditionalFormatting sqref="Q16:Q18 Q20 Q22">
    <cfRule type="cellIs" dxfId="228" priority="88" stopIfTrue="1" operator="lessThan">
      <formula>0.74</formula>
    </cfRule>
  </conditionalFormatting>
  <conditionalFormatting sqref="Q24:Q28">
    <cfRule type="cellIs" dxfId="227" priority="45" stopIfTrue="1" operator="lessThan">
      <formula>0.74</formula>
    </cfRule>
  </conditionalFormatting>
  <conditionalFormatting sqref="Q31:Q33 Q35">
    <cfRule type="cellIs" dxfId="226" priority="2" stopIfTrue="1" operator="lessThan">
      <formula>0.74</formula>
    </cfRule>
  </conditionalFormatting>
  <conditionalFormatting sqref="S42:S59">
    <cfRule type="cellIs" dxfId="225" priority="361" stopIfTrue="1" operator="lessThan">
      <formula>0.74</formula>
    </cfRule>
  </conditionalFormatting>
  <conditionalFormatting sqref="S61:S62">
    <cfRule type="cellIs" dxfId="224" priority="371" stopIfTrue="1" operator="lessThan">
      <formula>73%</formula>
    </cfRule>
  </conditionalFormatting>
  <conditionalFormatting sqref="S3:U3">
    <cfRule type="cellIs" dxfId="223" priority="344" stopIfTrue="1" operator="lessThan">
      <formula>0.65</formula>
    </cfRule>
  </conditionalFormatting>
  <conditionalFormatting sqref="S4:U5 T6 T9:T11 S37:U41">
    <cfRule type="cellIs" dxfId="222" priority="326" stopIfTrue="1" operator="lessThan">
      <formula>0.74</formula>
    </cfRule>
  </conditionalFormatting>
  <conditionalFormatting sqref="S7:U8">
    <cfRule type="cellIs" dxfId="221" priority="154" stopIfTrue="1" operator="lessThan">
      <formula>0.74</formula>
    </cfRule>
  </conditionalFormatting>
  <conditionalFormatting sqref="S12:U12 T13 S14:U14 T15">
    <cfRule type="cellIs" dxfId="220" priority="136" stopIfTrue="1" operator="lessThan">
      <formula>0.74</formula>
    </cfRule>
  </conditionalFormatting>
  <conditionalFormatting sqref="S16:U18 T19 S20:U20 T21 S22:U22 T23">
    <cfRule type="cellIs" dxfId="219" priority="87" stopIfTrue="1" operator="lessThan">
      <formula>0.74</formula>
    </cfRule>
  </conditionalFormatting>
  <conditionalFormatting sqref="S24:U28">
    <cfRule type="cellIs" dxfId="218" priority="44" stopIfTrue="1" operator="lessThan">
      <formula>0.74</formula>
    </cfRule>
  </conditionalFormatting>
  <conditionalFormatting sqref="S31:U33 T34 S35:U35 T36:T38">
    <cfRule type="cellIs" dxfId="217" priority="1" stopIfTrue="1" operator="lessThan">
      <formula>0.74</formula>
    </cfRule>
  </conditionalFormatting>
  <conditionalFormatting sqref="S60:U60">
    <cfRule type="cellIs" dxfId="216" priority="363" stopIfTrue="1" operator="lessThan">
      <formula>0.74</formula>
    </cfRule>
  </conditionalFormatting>
  <conditionalFormatting sqref="T29:T30">
    <cfRule type="cellIs" dxfId="215" priority="25" stopIfTrue="1" operator="lessThan">
      <formula>0.74</formula>
    </cfRule>
  </conditionalFormatting>
  <conditionalFormatting sqref="T42:U59">
    <cfRule type="cellIs" dxfId="214" priority="355" stopIfTrue="1" operator="lessThan">
      <formula>75%</formula>
    </cfRule>
  </conditionalFormatting>
  <conditionalFormatting sqref="T61:U62">
    <cfRule type="cellIs" dxfId="213" priority="374" stopIfTrue="1" operator="lessThan">
      <formula>75%</formula>
    </cfRule>
  </conditionalFormatting>
  <printOptions horizontalCentered="1"/>
  <pageMargins left="0.10312499999999999" right="0.5" top="0.25" bottom="0.27" header="0.25" footer="0.27"/>
  <pageSetup paperSize="5" scale="38" orientation="landscape" r:id="rId1"/>
  <headerFooter alignWithMargins="0"/>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F15AC-F5D5-4223-9AB6-1DA460FD1D8F}">
  <sheetPr codeName="Sheet28">
    <pageSetUpPr fitToPage="1"/>
  </sheetPr>
  <dimension ref="B2:V734"/>
  <sheetViews>
    <sheetView showZeros="0" showWhiteSpace="0" zoomScale="70" zoomScaleNormal="70" workbookViewId="0">
      <pane ySplit="3" topLeftCell="A28" activePane="bottomLeft" state="frozen"/>
      <selection activeCell="B2" sqref="B2:W2"/>
      <selection pane="bottomLeft" activeCell="B2" sqref="B2:W2"/>
    </sheetView>
  </sheetViews>
  <sheetFormatPr defaultColWidth="9.42578125" defaultRowHeight="12.75" x14ac:dyDescent="0.2"/>
  <cols>
    <col min="2" max="2" width="10.42578125" style="1" customWidth="1"/>
    <col min="3" max="3" width="31.42578125" style="1" customWidth="1"/>
    <col min="4" max="4" width="13.5703125" style="1" customWidth="1"/>
    <col min="5" max="5" width="13.42578125" style="1" customWidth="1"/>
    <col min="6" max="6" width="14.5703125" style="1" bestFit="1" customWidth="1"/>
    <col min="7" max="7" width="15.5703125" customWidth="1"/>
    <col min="8" max="8" width="15" customWidth="1"/>
    <col min="9" max="9" width="15.5703125" style="1" customWidth="1"/>
    <col min="10" max="10" width="12.5703125" customWidth="1"/>
    <col min="11" max="11" width="11" customWidth="1"/>
    <col min="12" max="12" width="13.42578125" bestFit="1" customWidth="1"/>
    <col min="13" max="13" width="11.42578125" customWidth="1"/>
    <col min="14" max="14" width="15" style="2" bestFit="1" customWidth="1"/>
    <col min="15" max="15" width="15.5703125" style="1" bestFit="1" customWidth="1"/>
    <col min="16" max="16" width="7.5703125" style="1" hidden="1" customWidth="1"/>
    <col min="17" max="17" width="13.42578125" style="1" customWidth="1"/>
    <col min="18" max="18" width="12" hidden="1" customWidth="1"/>
    <col min="19" max="19" width="14.42578125" customWidth="1"/>
    <col min="20" max="20" width="10.42578125" hidden="1" customWidth="1"/>
    <col min="21" max="21" width="14.42578125" customWidth="1"/>
    <col min="22" max="22" width="91" customWidth="1"/>
    <col min="23" max="23" width="12.5703125" customWidth="1"/>
    <col min="24" max="24" width="13.5703125" customWidth="1"/>
  </cols>
  <sheetData>
    <row r="2" spans="2:22" ht="24" thickBot="1" x14ac:dyDescent="0.4">
      <c r="B2" s="1022" t="s">
        <v>52</v>
      </c>
      <c r="C2" s="1022"/>
      <c r="D2" s="1022"/>
      <c r="E2" s="1022"/>
      <c r="F2" s="1022"/>
      <c r="G2" s="1022"/>
      <c r="H2" s="1022"/>
      <c r="I2" s="1022"/>
      <c r="J2" s="1022"/>
      <c r="K2" s="1022"/>
      <c r="L2" s="1022"/>
      <c r="M2" s="1022"/>
      <c r="N2" s="1022"/>
      <c r="O2" s="1022"/>
      <c r="P2" s="1022"/>
      <c r="Q2" s="1022"/>
      <c r="R2" s="1022"/>
      <c r="S2" s="1022"/>
      <c r="T2" s="1022"/>
      <c r="U2" s="1022"/>
      <c r="V2" s="1022"/>
    </row>
    <row r="3" spans="2:22" ht="80.25" thickTop="1" thickBot="1" x14ac:dyDescent="0.25">
      <c r="B3" s="37" t="s">
        <v>0</v>
      </c>
      <c r="C3" s="38" t="s">
        <v>2</v>
      </c>
      <c r="D3" s="38" t="s">
        <v>12</v>
      </c>
      <c r="E3" s="38" t="s">
        <v>11</v>
      </c>
      <c r="F3" s="38" t="s">
        <v>15</v>
      </c>
      <c r="G3" s="38" t="s">
        <v>9</v>
      </c>
      <c r="H3" s="38" t="s">
        <v>17</v>
      </c>
      <c r="I3" s="38" t="s">
        <v>5</v>
      </c>
      <c r="J3" s="38" t="s">
        <v>43</v>
      </c>
      <c r="K3" s="38" t="s">
        <v>4</v>
      </c>
      <c r="L3" s="38" t="s">
        <v>161</v>
      </c>
      <c r="M3" s="38" t="s">
        <v>10</v>
      </c>
      <c r="N3" s="39" t="s">
        <v>34</v>
      </c>
      <c r="O3" s="40" t="s">
        <v>55</v>
      </c>
      <c r="P3" s="40" t="s">
        <v>8</v>
      </c>
      <c r="Q3" s="41" t="s">
        <v>7</v>
      </c>
      <c r="R3" s="41" t="s">
        <v>6</v>
      </c>
      <c r="S3" s="41" t="s">
        <v>170</v>
      </c>
      <c r="T3" s="41" t="s">
        <v>47</v>
      </c>
      <c r="U3" s="124" t="s">
        <v>170</v>
      </c>
      <c r="V3" s="5" t="s">
        <v>1</v>
      </c>
    </row>
    <row r="4" spans="2:22" s="19" customFormat="1" ht="33" customHeight="1" thickTop="1" x14ac:dyDescent="0.2">
      <c r="B4" s="137">
        <v>42614</v>
      </c>
      <c r="C4" s="48" t="s">
        <v>30</v>
      </c>
      <c r="D4" s="49">
        <v>4200</v>
      </c>
      <c r="E4" s="50">
        <v>0.32083333333333336</v>
      </c>
      <c r="F4" s="51">
        <f>SUM([16]September_2016!$J8)</f>
        <v>299.2</v>
      </c>
      <c r="G4" s="52">
        <f>SUM([16]September_2016!$F8)</f>
        <v>4505</v>
      </c>
      <c r="H4" s="51">
        <f>SUM([16]September_2016!$K8)</f>
        <v>297.33000000000004</v>
      </c>
      <c r="I4" s="53">
        <f>SUM([16]September_2016!$N8)</f>
        <v>21</v>
      </c>
      <c r="J4" s="54">
        <f>SUM([16]September_2016!$Q8)</f>
        <v>463.63636363636363</v>
      </c>
      <c r="K4" s="54">
        <f>SUM([16]September_2016!$E8)</f>
        <v>583</v>
      </c>
      <c r="L4" s="134">
        <v>0.77361111111111114</v>
      </c>
      <c r="M4" s="54">
        <f>SUM([16]September_2016!$M8)</f>
        <v>80</v>
      </c>
      <c r="N4" s="122"/>
      <c r="O4" s="55">
        <f>SUM([16]September_2016!$P8)</f>
        <v>0.62499999999998246</v>
      </c>
      <c r="P4" s="54"/>
      <c r="Q4" s="66">
        <f>(G4)/(9.55*15000*(1/24))</f>
        <v>0.75476439790575911</v>
      </c>
      <c r="R4" s="56"/>
      <c r="S4" s="46">
        <f>(G4)*24/(K4/60)/15000</f>
        <v>0.74181818181818182</v>
      </c>
      <c r="T4" s="46">
        <f>(H4+H7)*24/(M4/60)/15000</f>
        <v>0.46818600000000005</v>
      </c>
      <c r="U4" s="125">
        <f>(G4)*24/(K4/60)/15300</f>
        <v>0.72727272727272729</v>
      </c>
      <c r="V4" s="24" t="s">
        <v>269</v>
      </c>
    </row>
    <row r="5" spans="2:22" s="19" customFormat="1" ht="20.25" x14ac:dyDescent="0.2">
      <c r="B5" s="1213">
        <v>42615</v>
      </c>
      <c r="C5" s="48" t="s">
        <v>90</v>
      </c>
      <c r="D5" s="1215">
        <v>2400</v>
      </c>
      <c r="E5" s="1217">
        <v>0.33333333333333331</v>
      </c>
      <c r="F5" s="51">
        <f>SUM([16]September_2016!$J9)</f>
        <v>9.7170000000000005</v>
      </c>
      <c r="G5" s="52">
        <f>SUM([16]September_2016!$F9)</f>
        <v>123</v>
      </c>
      <c r="H5" s="51">
        <f>SUM([16]September_2016!$K9)</f>
        <v>9.7170000000000005</v>
      </c>
      <c r="I5" s="53"/>
      <c r="J5" s="1223">
        <f>SUM([16]September_2016!$Q9)</f>
        <v>264.04371584699453</v>
      </c>
      <c r="K5" s="1223">
        <f>SUM([16]September_2016!$E9)</f>
        <v>549</v>
      </c>
      <c r="L5" s="134"/>
      <c r="M5" s="54">
        <f>SUM([16]September_2016!$M9)</f>
        <v>10</v>
      </c>
      <c r="N5" s="54"/>
      <c r="O5" s="55">
        <f>SUM([16]September_2016!$P9)</f>
        <v>0</v>
      </c>
      <c r="P5" s="54"/>
      <c r="Q5" s="1227">
        <f>(G5+G6+G7+G8)/(9*15000*(1/24))</f>
        <v>0.42951111111111112</v>
      </c>
      <c r="R5" s="56"/>
      <c r="S5" s="1039">
        <f>(G5+G6+G7+G8)*24/(K5/60)/15000</f>
        <v>0.42246994535519122</v>
      </c>
      <c r="T5" s="46">
        <f>(H5+H8)*24/(M5/60)/15000</f>
        <v>0.51343680000000003</v>
      </c>
      <c r="U5" s="1237">
        <f>(G5+G6+G7+G8)*24/(K5/60)/15300</f>
        <v>0.41418622093646196</v>
      </c>
      <c r="V5" s="1208" t="s">
        <v>271</v>
      </c>
    </row>
    <row r="6" spans="2:22" s="19" customFormat="1" ht="20.25" x14ac:dyDescent="0.2">
      <c r="B6" s="1233"/>
      <c r="C6" s="48" t="s">
        <v>89</v>
      </c>
      <c r="D6" s="1242"/>
      <c r="E6" s="1234"/>
      <c r="F6" s="51">
        <f>SUM([16]September_2016!$J10)</f>
        <v>45.2</v>
      </c>
      <c r="G6" s="52">
        <f>SUM([16]September_2016!$F10)</f>
        <v>564</v>
      </c>
      <c r="H6" s="51">
        <f>SUM([16]September_2016!$K10)</f>
        <v>44.555999999999997</v>
      </c>
      <c r="I6" s="53"/>
      <c r="J6" s="1235"/>
      <c r="K6" s="1235"/>
      <c r="L6" s="134"/>
      <c r="M6" s="54">
        <f>SUM([16]September_2016!$M10)</f>
        <v>100</v>
      </c>
      <c r="N6" s="54"/>
      <c r="O6" s="55">
        <f>SUM([16]September_2016!$P10)</f>
        <v>1.4247787610619589</v>
      </c>
      <c r="P6" s="54"/>
      <c r="Q6" s="1236"/>
      <c r="R6" s="56"/>
      <c r="S6" s="1041"/>
      <c r="T6" s="46"/>
      <c r="U6" s="1238"/>
      <c r="V6" s="1243"/>
    </row>
    <row r="7" spans="2:22" s="19" customFormat="1" ht="20.25" x14ac:dyDescent="0.2">
      <c r="B7" s="1233"/>
      <c r="C7" s="48" t="s">
        <v>88</v>
      </c>
      <c r="D7" s="1242"/>
      <c r="E7" s="1234"/>
      <c r="F7" s="51">
        <f>SUM([16]September_2016!$J11)</f>
        <v>93.563999999999993</v>
      </c>
      <c r="G7" s="52">
        <f>SUM([16]September_2016!$F11)</f>
        <v>1175</v>
      </c>
      <c r="H7" s="51">
        <f>SUM([16]September_2016!$K11)</f>
        <v>92.825000000000003</v>
      </c>
      <c r="I7" s="53"/>
      <c r="J7" s="1235"/>
      <c r="K7" s="1235"/>
      <c r="L7" s="134"/>
      <c r="M7" s="54">
        <f>SUM([16]September_2016!$M11)</f>
        <v>53</v>
      </c>
      <c r="N7" s="54"/>
      <c r="O7" s="55">
        <f>SUM([16]September_2016!$P11)</f>
        <v>0.78983369672095061</v>
      </c>
      <c r="P7" s="54"/>
      <c r="Q7" s="1236"/>
      <c r="R7" s="56"/>
      <c r="S7" s="1041"/>
      <c r="T7" s="46"/>
      <c r="U7" s="1238"/>
      <c r="V7" s="1243"/>
    </row>
    <row r="8" spans="2:22" s="19" customFormat="1" ht="20.25" x14ac:dyDescent="0.2">
      <c r="B8" s="1214"/>
      <c r="C8" s="48" t="s">
        <v>270</v>
      </c>
      <c r="D8" s="1216"/>
      <c r="E8" s="1218"/>
      <c r="F8" s="51">
        <f>SUM([16]September_2016!$J12)</f>
        <v>45.2</v>
      </c>
      <c r="G8" s="52">
        <f>SUM([16]September_2016!$F12)</f>
        <v>554</v>
      </c>
      <c r="H8" s="51">
        <f>SUM([16]September_2016!$K12)</f>
        <v>43.765999999999998</v>
      </c>
      <c r="I8" s="53"/>
      <c r="J8" s="1224"/>
      <c r="K8" s="1224"/>
      <c r="L8" s="134"/>
      <c r="M8" s="54">
        <f>SUM([16]September_2016!$M12)</f>
        <v>36</v>
      </c>
      <c r="N8" s="54"/>
      <c r="O8" s="55">
        <f>SUM([16]September_2016!$P12)</f>
        <v>3.1725663716814263</v>
      </c>
      <c r="P8" s="54"/>
      <c r="Q8" s="1228"/>
      <c r="R8" s="56"/>
      <c r="S8" s="1040"/>
      <c r="T8" s="46"/>
      <c r="U8" s="1239"/>
      <c r="V8" s="1209"/>
    </row>
    <row r="9" spans="2:22" s="19" customFormat="1" ht="66" x14ac:dyDescent="0.2">
      <c r="B9" s="137">
        <v>42619</v>
      </c>
      <c r="C9" s="48" t="s">
        <v>29</v>
      </c>
      <c r="D9" s="49">
        <v>4900</v>
      </c>
      <c r="E9" s="50">
        <v>0.35069444444444442</v>
      </c>
      <c r="F9" s="51">
        <f>SUM([16]September_2016!$J13)</f>
        <v>312.8</v>
      </c>
      <c r="G9" s="52">
        <f>SUM([16]September_2016!$F13)</f>
        <v>4728</v>
      </c>
      <c r="H9" s="51">
        <f>SUM([16]September_2016!$K13)</f>
        <v>312.048</v>
      </c>
      <c r="I9" s="53">
        <f>SUM([16]September_2016!$N13)</f>
        <v>18</v>
      </c>
      <c r="J9" s="54">
        <f>SUM([16]September_2016!$Q13)</f>
        <v>468.89256198347107</v>
      </c>
      <c r="K9" s="54">
        <f>SUM([16]September_2016!$E13)</f>
        <v>605</v>
      </c>
      <c r="L9" s="134">
        <v>0.78819444444444453</v>
      </c>
      <c r="M9" s="54">
        <f>SUM([16]September_2016!$M13)</f>
        <v>115</v>
      </c>
      <c r="N9" s="54"/>
      <c r="O9" s="55">
        <f>SUM([16]September_2016!$P13)</f>
        <v>0.24040920716112837</v>
      </c>
      <c r="P9" s="54"/>
      <c r="Q9" s="66">
        <f>(G9)/(9.917*15000*(1/24))</f>
        <v>0.76281133407280433</v>
      </c>
      <c r="R9" s="56"/>
      <c r="S9" s="46">
        <f t="shared" ref="S9:S14" si="0">(G9)*24/(K9/60)/15000</f>
        <v>0.75022809917355371</v>
      </c>
      <c r="T9" s="46">
        <f t="shared" ref="T9:T14" si="1">(H9+H12)*24/(M9/60)/15000</f>
        <v>0.50902873043478258</v>
      </c>
      <c r="U9" s="125">
        <f t="shared" ref="U9:U14" si="2">(G9)*24/(K9/60)/15300</f>
        <v>0.7355177442877977</v>
      </c>
      <c r="V9" s="24" t="s">
        <v>272</v>
      </c>
    </row>
    <row r="10" spans="2:22" s="19" customFormat="1" ht="33" customHeight="1" x14ac:dyDescent="0.2">
      <c r="B10" s="137">
        <v>42620</v>
      </c>
      <c r="C10" s="48" t="s">
        <v>29</v>
      </c>
      <c r="D10" s="49">
        <v>4900</v>
      </c>
      <c r="E10" s="50">
        <v>0.32222222222222224</v>
      </c>
      <c r="F10" s="51">
        <f>SUM([16]September_2016!$J14)</f>
        <v>343.00000000000006</v>
      </c>
      <c r="G10" s="52">
        <f>SUM([16]September_2016!$F14)</f>
        <v>5009</v>
      </c>
      <c r="H10" s="51">
        <f>SUM([16]September_2016!$K14)</f>
        <v>340.09399999999999</v>
      </c>
      <c r="I10" s="53">
        <f>SUM([16]September_2016!$N14)</f>
        <v>31</v>
      </c>
      <c r="J10" s="54">
        <f>SUM([16]September_2016!$Q14)</f>
        <v>491.07843137254906</v>
      </c>
      <c r="K10" s="54">
        <f>SUM([16]September_2016!$E14)</f>
        <v>612</v>
      </c>
      <c r="L10" s="134">
        <v>0.78819444444444453</v>
      </c>
      <c r="M10" s="54">
        <f>SUM([16]September_2016!$M14)</f>
        <v>73</v>
      </c>
      <c r="N10" s="54"/>
      <c r="O10" s="55">
        <f>SUM([16]September_2016!$P14)</f>
        <v>0.84723032069972648</v>
      </c>
      <c r="P10" s="54"/>
      <c r="Q10" s="66">
        <f>(G10)/(10.033*15000*(1/24))</f>
        <v>0.79880394697498258</v>
      </c>
      <c r="R10" s="56"/>
      <c r="S10" s="46">
        <f t="shared" si="0"/>
        <v>0.7857254901960784</v>
      </c>
      <c r="T10" s="46">
        <f t="shared" si="1"/>
        <v>0.83009753424657551</v>
      </c>
      <c r="U10" s="125">
        <f t="shared" si="2"/>
        <v>0.77031910803537107</v>
      </c>
      <c r="V10" s="24" t="s">
        <v>291</v>
      </c>
    </row>
    <row r="11" spans="2:22" s="19" customFormat="1" ht="33" x14ac:dyDescent="0.2">
      <c r="B11" s="137">
        <v>42621</v>
      </c>
      <c r="C11" s="48" t="s">
        <v>27</v>
      </c>
      <c r="D11" s="49">
        <v>4200</v>
      </c>
      <c r="E11" s="50">
        <v>0.3263888888888889</v>
      </c>
      <c r="F11" s="51">
        <f>SUM([16]September_2016!$J15)</f>
        <v>283.10000000000002</v>
      </c>
      <c r="G11" s="52">
        <f>SUM([16]September_2016!$F15)</f>
        <v>4243</v>
      </c>
      <c r="H11" s="51">
        <f>SUM([16]September_2016!$K15)</f>
        <v>280.988</v>
      </c>
      <c r="I11" s="53">
        <f>SUM([16]September_2016!$N15)</f>
        <v>15</v>
      </c>
      <c r="J11" s="54">
        <f>SUM([16]September_2016!$Q15)</f>
        <v>497.2265625</v>
      </c>
      <c r="K11" s="54">
        <f>SUM([16]September_2016!$E15)</f>
        <v>512</v>
      </c>
      <c r="L11" s="134">
        <v>0.71875</v>
      </c>
      <c r="M11" s="54">
        <f>SUM([16]September_2016!$M15)</f>
        <v>65</v>
      </c>
      <c r="N11" s="54"/>
      <c r="O11" s="55">
        <f>SUM([16]September_2016!$P15)</f>
        <v>0.74602613917344507</v>
      </c>
      <c r="P11" s="54"/>
      <c r="Q11" s="66">
        <f>(G11)/(9*15000*(1/24))</f>
        <v>0.75431111111111115</v>
      </c>
      <c r="R11" s="56"/>
      <c r="S11" s="46">
        <f t="shared" si="0"/>
        <v>0.79556249999999995</v>
      </c>
      <c r="T11" s="46">
        <f t="shared" si="1"/>
        <v>0.83383532307692321</v>
      </c>
      <c r="U11" s="125">
        <f t="shared" si="2"/>
        <v>0.7799632352941176</v>
      </c>
      <c r="V11" s="24" t="s">
        <v>273</v>
      </c>
    </row>
    <row r="12" spans="2:22" s="19" customFormat="1" ht="49.5" x14ac:dyDescent="0.2">
      <c r="B12" s="137">
        <v>42625</v>
      </c>
      <c r="C12" s="48" t="s">
        <v>42</v>
      </c>
      <c r="D12" s="49">
        <v>4200</v>
      </c>
      <c r="E12" s="50">
        <v>0.35416666666666669</v>
      </c>
      <c r="F12" s="51">
        <f>SUM([16]September_2016!$J16)</f>
        <v>300.8</v>
      </c>
      <c r="G12" s="52">
        <f>SUM([16]September_2016!$F16)</f>
        <v>4511</v>
      </c>
      <c r="H12" s="51">
        <f>SUM([16]September_2016!$K16)</f>
        <v>297.726</v>
      </c>
      <c r="I12" s="53">
        <f>SUM([16]September_2016!$N16)</f>
        <v>16</v>
      </c>
      <c r="J12" s="54">
        <f>SUM([16]September_2016!$Q16)</f>
        <v>438.67098865478118</v>
      </c>
      <c r="K12" s="54">
        <f>SUM([16]September_2016!$E16)</f>
        <v>617</v>
      </c>
      <c r="L12" s="134">
        <v>0.79305555555555562</v>
      </c>
      <c r="M12" s="54">
        <f>SUM([16]September_2016!$M16)</f>
        <v>119</v>
      </c>
      <c r="N12" s="54"/>
      <c r="O12" s="55">
        <f>SUM([16]September_2016!$P16)</f>
        <v>1.0219414893617063</v>
      </c>
      <c r="P12" s="54"/>
      <c r="Q12" s="66">
        <f>(G12)/(10.12*15000*(1/24))</f>
        <v>0.71320158102766795</v>
      </c>
      <c r="R12" s="56"/>
      <c r="S12" s="46">
        <f t="shared" si="0"/>
        <v>0.70187358184765003</v>
      </c>
      <c r="T12" s="46">
        <f t="shared" si="1"/>
        <v>0.4413699226890756</v>
      </c>
      <c r="U12" s="125">
        <f t="shared" si="2"/>
        <v>0.68811135475259799</v>
      </c>
      <c r="V12" s="24" t="s">
        <v>274</v>
      </c>
    </row>
    <row r="13" spans="2:22" s="19" customFormat="1" ht="33" x14ac:dyDescent="0.2">
      <c r="B13" s="137">
        <v>42626</v>
      </c>
      <c r="C13" s="48" t="s">
        <v>30</v>
      </c>
      <c r="D13" s="49">
        <v>4200</v>
      </c>
      <c r="E13" s="50">
        <v>0.31944444444444448</v>
      </c>
      <c r="F13" s="51">
        <f>SUM([16]September_2016!$J17)</f>
        <v>293.3</v>
      </c>
      <c r="G13" s="52">
        <f>SUM([16]September_2016!$F17)</f>
        <v>4411</v>
      </c>
      <c r="H13" s="51">
        <f>SUM([16]September_2016!$K17)</f>
        <v>291.12600000000003</v>
      </c>
      <c r="I13" s="53">
        <f>SUM([16]September_2016!$N17)</f>
        <v>10</v>
      </c>
      <c r="J13" s="54">
        <f>SUM([16]September_2016!$Q17)</f>
        <v>503.15589353612165</v>
      </c>
      <c r="K13" s="54">
        <f>SUM([16]September_2016!$E17)</f>
        <v>526</v>
      </c>
      <c r="L13" s="134">
        <v>0.73333333333333339</v>
      </c>
      <c r="M13" s="54">
        <f>SUM([16]September_2016!$M17)</f>
        <v>31</v>
      </c>
      <c r="N13" s="54"/>
      <c r="O13" s="55">
        <f>SUM([16]September_2016!$P17)</f>
        <v>0.7412205932492254</v>
      </c>
      <c r="P13" s="54"/>
      <c r="Q13" s="66">
        <f>(G13)/(9*15000*(1/24))</f>
        <v>0.78417777777777775</v>
      </c>
      <c r="R13" s="56"/>
      <c r="S13" s="46">
        <f t="shared" si="0"/>
        <v>0.80504942965779458</v>
      </c>
      <c r="T13" s="46">
        <f t="shared" si="1"/>
        <v>1.766914064516129</v>
      </c>
      <c r="U13" s="125">
        <f t="shared" si="2"/>
        <v>0.78926414672332801</v>
      </c>
      <c r="V13" s="24" t="s">
        <v>275</v>
      </c>
    </row>
    <row r="14" spans="2:22" s="19" customFormat="1" ht="33" x14ac:dyDescent="0.2">
      <c r="B14" s="137">
        <v>42627</v>
      </c>
      <c r="C14" s="48" t="s">
        <v>27</v>
      </c>
      <c r="D14" s="49">
        <v>4200</v>
      </c>
      <c r="E14" s="50">
        <v>0.31805555555555554</v>
      </c>
      <c r="F14" s="51">
        <f>SUM([16]September_2016!$J18)</f>
        <v>285.7</v>
      </c>
      <c r="G14" s="52">
        <f>SUM([16]September_2016!$F18)</f>
        <v>4268</v>
      </c>
      <c r="H14" s="51">
        <f>SUM([16]September_2016!$K18)</f>
        <v>283.58799999999997</v>
      </c>
      <c r="I14" s="53">
        <f>SUM([16]September_2016!$N18)</f>
        <v>21</v>
      </c>
      <c r="J14" s="54">
        <f>SUM([16]September_2016!$Q18)</f>
        <v>516.29032258064512</v>
      </c>
      <c r="K14" s="54">
        <f>SUM([16]September_2016!$E18)</f>
        <v>496</v>
      </c>
      <c r="L14" s="134">
        <v>0.72430555555555554</v>
      </c>
      <c r="M14" s="54">
        <f>SUM([16]September_2016!$M18)</f>
        <v>52</v>
      </c>
      <c r="N14" s="54"/>
      <c r="O14" s="55">
        <f>SUM([16]September_2016!$P18)</f>
        <v>0.7392369618481005</v>
      </c>
      <c r="P14" s="54"/>
      <c r="Q14" s="66">
        <f>(G14)/(9*15000*(1/24))</f>
        <v>0.75875555555555552</v>
      </c>
      <c r="R14" s="56"/>
      <c r="S14" s="46">
        <f t="shared" si="0"/>
        <v>0.8260645161290322</v>
      </c>
      <c r="T14" s="46">
        <f t="shared" si="1"/>
        <v>1.1282695384615382</v>
      </c>
      <c r="U14" s="125">
        <f t="shared" si="2"/>
        <v>0.80986717267552177</v>
      </c>
      <c r="V14" s="24" t="s">
        <v>276</v>
      </c>
    </row>
    <row r="15" spans="2:22" s="19" customFormat="1" ht="33" x14ac:dyDescent="0.2">
      <c r="B15" s="137">
        <v>42628</v>
      </c>
      <c r="C15" s="48" t="s">
        <v>31</v>
      </c>
      <c r="D15" s="49">
        <v>3300</v>
      </c>
      <c r="E15" s="50">
        <v>0.33680555555555558</v>
      </c>
      <c r="F15" s="51">
        <f>SUM([16]September_2016!$J19)</f>
        <v>254.4</v>
      </c>
      <c r="G15" s="52">
        <f>SUM([16]September_2016!$F19)</f>
        <v>3352</v>
      </c>
      <c r="H15" s="51">
        <f>SUM([16]September_2016!$K19)</f>
        <v>249.38879999999997</v>
      </c>
      <c r="I15" s="53">
        <f>SUM([16]September_2016!$N19)</f>
        <v>41</v>
      </c>
      <c r="J15" s="54">
        <f>SUM([16]September_2016!$Q19)</f>
        <v>371.07011070110701</v>
      </c>
      <c r="K15" s="54">
        <f>SUM([16]September_2016!$E19)</f>
        <v>542</v>
      </c>
      <c r="L15" s="134">
        <v>0.75416666666666676</v>
      </c>
      <c r="M15" s="54">
        <f>SUM([16]September_2016!$M19)</f>
        <v>151</v>
      </c>
      <c r="N15" s="54"/>
      <c r="O15" s="55">
        <f>SUM([16]September_2016!$P19)</f>
        <v>1.9698113207547292</v>
      </c>
      <c r="P15" s="54"/>
      <c r="Q15" s="66">
        <f>(G15)/(9*15000*(1/24))</f>
        <v>0.59591111111111106</v>
      </c>
      <c r="R15" s="56"/>
      <c r="S15" s="46">
        <f>(G15)*24/(K15/60)/15000</f>
        <v>0.59371217712177116</v>
      </c>
      <c r="T15" s="46">
        <f>(H15+H18)*24/(M15/60)/15000</f>
        <v>0.15855181986754965</v>
      </c>
      <c r="U15" s="125">
        <f>(G15)*24/(K15/60)/15300</f>
        <v>0.58207076188408935</v>
      </c>
      <c r="V15" s="24" t="s">
        <v>277</v>
      </c>
    </row>
    <row r="16" spans="2:22" s="19" customFormat="1" ht="49.5" x14ac:dyDescent="0.2">
      <c r="B16" s="137">
        <v>42632</v>
      </c>
      <c r="C16" s="48" t="s">
        <v>29</v>
      </c>
      <c r="D16" s="49">
        <v>4900</v>
      </c>
      <c r="E16" s="50">
        <v>0.3743055555555555</v>
      </c>
      <c r="F16" s="51">
        <f>SUM([16]September_2016!$J20)</f>
        <v>281</v>
      </c>
      <c r="G16" s="52">
        <f>SUM([16]September_2016!$F20)</f>
        <v>4090</v>
      </c>
      <c r="H16" s="51">
        <f>SUM([16]September_2016!$K20)</f>
        <v>279.44</v>
      </c>
      <c r="I16" s="53">
        <f>SUM([16]September_2016!$N20)</f>
        <v>21</v>
      </c>
      <c r="J16" s="54">
        <f>SUM([16]September_2016!$Q20)</f>
        <v>442.9602888086643</v>
      </c>
      <c r="K16" s="54">
        <f>SUM([16]September_2016!$E20)</f>
        <v>554</v>
      </c>
      <c r="L16" s="134">
        <v>0.75555555555555554</v>
      </c>
      <c r="M16" s="54">
        <f>SUM([16]September_2016!$M20)</f>
        <v>124</v>
      </c>
      <c r="N16" s="54"/>
      <c r="O16" s="55">
        <f>SUM([16]September_2016!$P20)</f>
        <v>0.55516014234875533</v>
      </c>
      <c r="P16" s="54"/>
      <c r="Q16" s="66">
        <f>(G16)/(9.067*15000*(1/24))</f>
        <v>0.72173817139075769</v>
      </c>
      <c r="R16" s="56"/>
      <c r="S16" s="46">
        <f>(G16)*24/(K16/60)/15000</f>
        <v>0.70873646209386287</v>
      </c>
      <c r="T16" s="46">
        <f>(H16+H19)*24/(M16/60)/15000</f>
        <v>0.27188283870967739</v>
      </c>
      <c r="U16" s="125">
        <f>(G16)*24/(K16/60)/15300</f>
        <v>0.69483966871947345</v>
      </c>
      <c r="V16" s="24" t="s">
        <v>278</v>
      </c>
    </row>
    <row r="17" spans="2:22" s="19" customFormat="1" ht="23.25" customHeight="1" x14ac:dyDescent="0.2">
      <c r="B17" s="1213">
        <v>42633</v>
      </c>
      <c r="C17" s="48" t="s">
        <v>32</v>
      </c>
      <c r="D17" s="1215">
        <v>4900</v>
      </c>
      <c r="E17" s="1217">
        <v>0.31875000000000003</v>
      </c>
      <c r="F17" s="1219">
        <f>SUM([16]September_2016!$J21)</f>
        <v>328.1</v>
      </c>
      <c r="G17" s="52">
        <f>SUM([16]September_2016!$F21)</f>
        <v>3649</v>
      </c>
      <c r="H17" s="1219">
        <f>SUM([16]September_2016!$K21)</f>
        <v>327.55799999999999</v>
      </c>
      <c r="I17" s="1221">
        <f>SUM([16]September_2016!$N21)</f>
        <v>29</v>
      </c>
      <c r="J17" s="1223">
        <f>SUM([16]September_2016!$Q21)</f>
        <v>401.32075471698113</v>
      </c>
      <c r="K17" s="1223">
        <f>SUM([16]September_2016!$E21)</f>
        <v>742</v>
      </c>
      <c r="L17" s="1247">
        <v>0.8833333333333333</v>
      </c>
      <c r="M17" s="1223">
        <f>SUM([16]September_2016!$M21)</f>
        <v>82</v>
      </c>
      <c r="N17" s="54"/>
      <c r="O17" s="1225">
        <f>SUM([16]September_2016!$P21)</f>
        <v>0.16519353855532765</v>
      </c>
      <c r="P17" s="54"/>
      <c r="Q17" s="1227">
        <f>(G17+G18)/(12.2*15000*(1/24))</f>
        <v>0.65088524590163932</v>
      </c>
      <c r="R17" s="56"/>
      <c r="S17" s="1039">
        <f>(G17+G18)*24/(K17/60)/15000</f>
        <v>0.64211320754716983</v>
      </c>
      <c r="T17" s="46">
        <f>(H17+H20)*24/(M17/60)/15000</f>
        <v>0.49583063414634143</v>
      </c>
      <c r="U17" s="1237">
        <f>(G17+G18)*24/(K17/60)/15300</f>
        <v>0.62952275249722534</v>
      </c>
      <c r="V17" s="1208" t="s">
        <v>279</v>
      </c>
    </row>
    <row r="18" spans="2:22" s="19" customFormat="1" ht="22.5" customHeight="1" x14ac:dyDescent="0.2">
      <c r="B18" s="1214"/>
      <c r="C18" s="48" t="s">
        <v>29</v>
      </c>
      <c r="D18" s="1216"/>
      <c r="E18" s="1218"/>
      <c r="F18" s="1220"/>
      <c r="G18" s="52">
        <f>SUM([16]September_2016!$F22)</f>
        <v>1314</v>
      </c>
      <c r="H18" s="1220"/>
      <c r="I18" s="1222"/>
      <c r="J18" s="1224"/>
      <c r="K18" s="1224"/>
      <c r="L18" s="1248"/>
      <c r="M18" s="1224"/>
      <c r="N18" s="54"/>
      <c r="O18" s="1226"/>
      <c r="P18" s="54"/>
      <c r="Q18" s="1228"/>
      <c r="R18" s="56"/>
      <c r="S18" s="1040"/>
      <c r="T18" s="46"/>
      <c r="U18" s="1239"/>
      <c r="V18" s="1209"/>
    </row>
    <row r="19" spans="2:22" s="19" customFormat="1" ht="20.25" x14ac:dyDescent="0.2">
      <c r="B19" s="1213">
        <v>42634</v>
      </c>
      <c r="C19" s="48" t="s">
        <v>49</v>
      </c>
      <c r="D19" s="49">
        <v>700</v>
      </c>
      <c r="E19" s="1217">
        <v>0.31527777777777777</v>
      </c>
      <c r="F19" s="51">
        <f>SUM([16]September_2016!$J23)</f>
        <v>73.2</v>
      </c>
      <c r="G19" s="52">
        <f>SUM([16]September_2016!$F23)</f>
        <v>1087</v>
      </c>
      <c r="H19" s="51">
        <f>SUM([16]September_2016!$K23)</f>
        <v>71.742000000000004</v>
      </c>
      <c r="I19" s="53">
        <f>SUM([16]September_2016!$N23)</f>
        <v>8</v>
      </c>
      <c r="J19" s="1223">
        <f>SUM([16]September_2016!$Q23)</f>
        <v>379.76588628762539</v>
      </c>
      <c r="K19" s="1223">
        <f>SUM([16]September_2016!$E23)</f>
        <v>598</v>
      </c>
      <c r="L19" s="134">
        <v>0.44791666666666669</v>
      </c>
      <c r="M19" s="54">
        <f>SUM([16]September_2016!$M23)</f>
        <v>16</v>
      </c>
      <c r="N19" s="54"/>
      <c r="O19" s="55">
        <f>SUM([16]September_2016!$P23)</f>
        <v>1.9918032786885222</v>
      </c>
      <c r="P19" s="54"/>
      <c r="Q19" s="1227">
        <f>(G19+G20+G21)/(9.8*15000*(1/24))</f>
        <v>0.61795918367346936</v>
      </c>
      <c r="R19" s="56"/>
      <c r="S19" s="1039">
        <f>(G19+G20+G21)*24/(K19/60)/15000</f>
        <v>0.60762541806020065</v>
      </c>
      <c r="T19" s="46">
        <f>(H19+H22)*24/(M19/60)/15000</f>
        <v>0.53094000000000008</v>
      </c>
      <c r="U19" s="1237">
        <f>(G19+G20+G21)*24/(K19/60)/15300</f>
        <v>0.59571119417666729</v>
      </c>
      <c r="V19" s="24"/>
    </row>
    <row r="20" spans="2:22" s="19" customFormat="1" ht="20.25" x14ac:dyDescent="0.2">
      <c r="B20" s="1233"/>
      <c r="C20" s="48" t="s">
        <v>50</v>
      </c>
      <c r="D20" s="49">
        <v>1400</v>
      </c>
      <c r="E20" s="1234"/>
      <c r="F20" s="51">
        <f>SUM([16]September_2016!$J24)</f>
        <v>98.6</v>
      </c>
      <c r="G20" s="52">
        <f>SUM([16]September_2016!$F24)</f>
        <v>1454</v>
      </c>
      <c r="H20" s="51">
        <f>SUM([16]September_2016!$K24)</f>
        <v>95.963999999999999</v>
      </c>
      <c r="I20" s="53">
        <f>SUM([16]September_2016!$N24)</f>
        <v>11</v>
      </c>
      <c r="J20" s="1235"/>
      <c r="K20" s="1235"/>
      <c r="L20" s="134">
        <v>0.63611111111111118</v>
      </c>
      <c r="M20" s="54">
        <f>SUM([16]September_2016!$M24)</f>
        <v>41</v>
      </c>
      <c r="N20" s="54"/>
      <c r="O20" s="55">
        <f>SUM([16]September_2016!$P24)</f>
        <v>2.6734279918864052</v>
      </c>
      <c r="P20" s="54"/>
      <c r="Q20" s="1236"/>
      <c r="R20" s="56"/>
      <c r="S20" s="1041"/>
      <c r="T20" s="46"/>
      <c r="U20" s="1238"/>
      <c r="V20" s="24"/>
    </row>
    <row r="21" spans="2:22" s="19" customFormat="1" ht="20.25" x14ac:dyDescent="0.2">
      <c r="B21" s="1214"/>
      <c r="C21" s="48" t="s">
        <v>74</v>
      </c>
      <c r="D21" s="49">
        <v>1400</v>
      </c>
      <c r="E21" s="1218"/>
      <c r="F21" s="51">
        <f>SUM([16]September_2016!$J25)</f>
        <v>83.7</v>
      </c>
      <c r="G21" s="52">
        <f>SUM([16]September_2016!$F25)</f>
        <v>1244</v>
      </c>
      <c r="H21" s="51">
        <f>SUM([16]September_2016!$K25)</f>
        <v>82.103999999999999</v>
      </c>
      <c r="I21" s="53">
        <f>SUM([16]September_2016!$N25)</f>
        <v>8</v>
      </c>
      <c r="J21" s="1224"/>
      <c r="K21" s="1224"/>
      <c r="L21" s="134">
        <v>0.77986111111111101</v>
      </c>
      <c r="M21" s="54">
        <f>SUM([16]September_2016!$M25)</f>
        <v>58</v>
      </c>
      <c r="N21" s="54"/>
      <c r="O21" s="55">
        <f>SUM([16]September_2016!$P25)</f>
        <v>1.9068100358422984</v>
      </c>
      <c r="P21" s="54"/>
      <c r="Q21" s="1228"/>
      <c r="R21" s="56"/>
      <c r="S21" s="1040"/>
      <c r="T21" s="46"/>
      <c r="U21" s="1239"/>
      <c r="V21" s="24"/>
    </row>
    <row r="22" spans="2:22" s="19" customFormat="1" ht="20.25" x14ac:dyDescent="0.2">
      <c r="B22" s="1213">
        <v>42635</v>
      </c>
      <c r="C22" s="48" t="s">
        <v>90</v>
      </c>
      <c r="D22" s="1215">
        <v>4389</v>
      </c>
      <c r="E22" s="1217">
        <v>0.32569444444444445</v>
      </c>
      <c r="F22" s="51">
        <f>SUM([16]September_2016!$J26)</f>
        <v>16.748000000000001</v>
      </c>
      <c r="G22" s="52">
        <f>SUM([16]September_2016!$F26)</f>
        <v>212</v>
      </c>
      <c r="H22" s="51">
        <f>SUM([16]September_2016!$K26)</f>
        <v>16.748000000000001</v>
      </c>
      <c r="I22" s="1221">
        <f>SUM([16]September_2016!$N26)</f>
        <v>14</v>
      </c>
      <c r="J22" s="1223">
        <f>SUM([16]September_2016!$Q26)</f>
        <v>402</v>
      </c>
      <c r="K22" s="1223">
        <f>SUM([16]September_2016!$E26)</f>
        <v>630</v>
      </c>
      <c r="L22" s="1247">
        <v>0.81111111111111101</v>
      </c>
      <c r="M22" s="54">
        <f>SUM([16]September_2016!$M26)</f>
        <v>5</v>
      </c>
      <c r="N22" s="54">
        <f>SUM([16]September_2016!$H26)</f>
        <v>6</v>
      </c>
      <c r="O22" s="55">
        <f>SUM([16]September_2016!$P26)</f>
        <v>0</v>
      </c>
      <c r="P22" s="54"/>
      <c r="Q22" s="1227">
        <f>(G22+G23+G24+G25+G26)/(10.33*15000*(1/24))</f>
        <v>0.65378509196515</v>
      </c>
      <c r="R22" s="56"/>
      <c r="S22" s="1039">
        <f>(G22+G23+G24+G25+G26)*24/(K22/60)/15000</f>
        <v>0.64319999999999999</v>
      </c>
      <c r="T22" s="46">
        <f>(H22+H25)*24/(M22/60)/15000</f>
        <v>1.1770368000000002</v>
      </c>
      <c r="U22" s="1237">
        <f>(G22+G23+G24+G25+G26)*24/(K22/60)/15300</f>
        <v>0.63058823529411767</v>
      </c>
      <c r="V22" s="24" t="s">
        <v>280</v>
      </c>
    </row>
    <row r="23" spans="2:22" s="19" customFormat="1" ht="20.25" x14ac:dyDescent="0.2">
      <c r="B23" s="1233"/>
      <c r="C23" s="48" t="s">
        <v>89</v>
      </c>
      <c r="D23" s="1242"/>
      <c r="E23" s="1234"/>
      <c r="F23" s="51">
        <f>SUM([16]September_2016!$J27)</f>
        <v>90.4</v>
      </c>
      <c r="G23" s="52">
        <f>SUM([16]September_2016!$F27)</f>
        <v>1140</v>
      </c>
      <c r="H23" s="51">
        <f>SUM([16]September_2016!$K27)</f>
        <v>90.06</v>
      </c>
      <c r="I23" s="1256"/>
      <c r="J23" s="1235"/>
      <c r="K23" s="1235"/>
      <c r="L23" s="1255"/>
      <c r="M23" s="54">
        <f>SUM([16]September_2016!$M27)</f>
        <v>57</v>
      </c>
      <c r="N23" s="54"/>
      <c r="O23" s="55">
        <f>SUM([16]September_2016!$P27)</f>
        <v>0.37610619469026924</v>
      </c>
      <c r="P23" s="54"/>
      <c r="Q23" s="1236"/>
      <c r="R23" s="56"/>
      <c r="S23" s="1041"/>
      <c r="T23" s="46"/>
      <c r="U23" s="1238"/>
      <c r="V23" s="24" t="s">
        <v>284</v>
      </c>
    </row>
    <row r="24" spans="2:22" s="19" customFormat="1" ht="20.25" x14ac:dyDescent="0.2">
      <c r="B24" s="1233"/>
      <c r="C24" s="48" t="s">
        <v>151</v>
      </c>
      <c r="D24" s="1242"/>
      <c r="E24" s="1234"/>
      <c r="F24" s="51">
        <f>SUM([16]September_2016!$J28)</f>
        <v>93.563999999999993</v>
      </c>
      <c r="G24" s="52">
        <f>SUM([16]September_2016!$F28)</f>
        <v>1170</v>
      </c>
      <c r="H24" s="51">
        <f>SUM([16]September_2016!$K28)</f>
        <v>92.43</v>
      </c>
      <c r="I24" s="1256"/>
      <c r="J24" s="1235"/>
      <c r="K24" s="1235"/>
      <c r="L24" s="1255"/>
      <c r="M24" s="54">
        <f>SUM([16]September_2016!$M28)</f>
        <v>24</v>
      </c>
      <c r="N24" s="54"/>
      <c r="O24" s="55">
        <f>SUM([16]September_2016!$P28)</f>
        <v>1.2120046171604317</v>
      </c>
      <c r="P24" s="54"/>
      <c r="Q24" s="1236"/>
      <c r="R24" s="56"/>
      <c r="S24" s="1041"/>
      <c r="T24" s="46"/>
      <c r="U24" s="1238"/>
      <c r="V24" s="24" t="s">
        <v>281</v>
      </c>
    </row>
    <row r="25" spans="2:22" s="19" customFormat="1" ht="20.25" x14ac:dyDescent="0.2">
      <c r="B25" s="1233"/>
      <c r="C25" s="48" t="s">
        <v>150</v>
      </c>
      <c r="D25" s="1242"/>
      <c r="E25" s="1234"/>
      <c r="F25" s="51">
        <f>SUM([16]September_2016!$J29)</f>
        <v>45.2</v>
      </c>
      <c r="G25" s="52">
        <f>SUM([16]September_2016!$F29)</f>
        <v>564</v>
      </c>
      <c r="H25" s="51">
        <f>SUM([16]September_2016!$K29)</f>
        <v>44.555999999999997</v>
      </c>
      <c r="I25" s="1256"/>
      <c r="J25" s="1235"/>
      <c r="K25" s="1235"/>
      <c r="L25" s="1255"/>
      <c r="M25" s="54">
        <f>SUM([16]September_2016!$M29)</f>
        <v>21</v>
      </c>
      <c r="N25" s="54"/>
      <c r="O25" s="55">
        <f>SUM([16]September_2016!$P29)</f>
        <v>1.4247787610619589</v>
      </c>
      <c r="P25" s="54"/>
      <c r="Q25" s="1236"/>
      <c r="R25" s="56"/>
      <c r="S25" s="1041"/>
      <c r="T25" s="46"/>
      <c r="U25" s="1238"/>
      <c r="V25" s="24" t="s">
        <v>282</v>
      </c>
    </row>
    <row r="26" spans="2:22" s="19" customFormat="1" ht="20.25" x14ac:dyDescent="0.2">
      <c r="B26" s="1214"/>
      <c r="C26" s="48" t="s">
        <v>152</v>
      </c>
      <c r="D26" s="1216"/>
      <c r="E26" s="1218"/>
      <c r="F26" s="51">
        <f>SUM([16]September_2016!$J30)</f>
        <v>90.4</v>
      </c>
      <c r="G26" s="52">
        <f>SUM([16]September_2016!$F30)</f>
        <v>1135</v>
      </c>
      <c r="H26" s="51">
        <f>SUM([16]September_2016!$K30)</f>
        <v>89.665000000000006</v>
      </c>
      <c r="I26" s="1222"/>
      <c r="J26" s="1224"/>
      <c r="K26" s="1224"/>
      <c r="L26" s="1248"/>
      <c r="M26" s="54">
        <f>SUM([16]September_2016!$M30)</f>
        <v>36</v>
      </c>
      <c r="N26" s="54"/>
      <c r="O26" s="55">
        <f>SUM([16]September_2016!$P30)</f>
        <v>0.81305309734513198</v>
      </c>
      <c r="P26" s="54"/>
      <c r="Q26" s="1228"/>
      <c r="R26" s="56"/>
      <c r="S26" s="1040"/>
      <c r="T26" s="46"/>
      <c r="U26" s="1239"/>
      <c r="V26" s="24" t="s">
        <v>283</v>
      </c>
    </row>
    <row r="27" spans="2:22" s="19" customFormat="1" ht="33" x14ac:dyDescent="0.2">
      <c r="B27" s="137">
        <v>42636</v>
      </c>
      <c r="C27" s="48" t="s">
        <v>27</v>
      </c>
      <c r="D27" s="49">
        <v>4200</v>
      </c>
      <c r="E27" s="50">
        <v>0.31805555555555554</v>
      </c>
      <c r="F27" s="51">
        <f>SUM([16]September_2016!$J31)</f>
        <v>302.39999999999998</v>
      </c>
      <c r="G27" s="52">
        <f>SUM([16]September_2016!$F31)</f>
        <v>4560</v>
      </c>
      <c r="H27" s="51">
        <f>SUM([16]September_2016!$K31)</f>
        <v>300.96000000000004</v>
      </c>
      <c r="I27" s="53">
        <f>SUM([16]September_2016!$N31)</f>
        <v>14</v>
      </c>
      <c r="J27" s="54">
        <f>SUM([16]September_2016!$Q31)</f>
        <v>497.4545454545455</v>
      </c>
      <c r="K27" s="54">
        <f>SUM([16]September_2016!$E31)</f>
        <v>550</v>
      </c>
      <c r="L27" s="134">
        <v>0.75</v>
      </c>
      <c r="M27" s="54">
        <f>SUM([16]September_2016!$M31)</f>
        <v>36</v>
      </c>
      <c r="N27" s="54"/>
      <c r="O27" s="55">
        <f>SUM([16]September_2016!$P31)</f>
        <v>0.47619047619045674</v>
      </c>
      <c r="P27" s="54"/>
      <c r="Q27" s="66">
        <f>(G27)/(9*15000*(1/24))</f>
        <v>0.81066666666666665</v>
      </c>
      <c r="R27" s="56"/>
      <c r="S27" s="46">
        <f>(G27)*24/(K27/60)/15000</f>
        <v>0.79592727272727282</v>
      </c>
      <c r="T27" s="46">
        <f>(H27+H30)*24/(M27/60)/15000</f>
        <v>1.4034240000000002</v>
      </c>
      <c r="U27" s="125">
        <f>(G27)*24/(K27/60)/15300</f>
        <v>0.78032085561497333</v>
      </c>
      <c r="V27" s="24" t="s">
        <v>285</v>
      </c>
    </row>
    <row r="28" spans="2:22" s="19" customFormat="1" ht="33" x14ac:dyDescent="0.2">
      <c r="B28" s="1213">
        <v>42639</v>
      </c>
      <c r="C28" s="48" t="s">
        <v>27</v>
      </c>
      <c r="D28" s="49">
        <v>4200</v>
      </c>
      <c r="E28" s="1217">
        <v>0.32361111111111113</v>
      </c>
      <c r="F28" s="51">
        <f>SUM([16]September_2016!$J32)</f>
        <v>255.90000000000003</v>
      </c>
      <c r="G28" s="52">
        <f>SUM([16]September_2016!$F32)</f>
        <v>3804</v>
      </c>
      <c r="H28" s="51">
        <f>SUM([16]September_2016!$K32)</f>
        <v>253.91400000000002</v>
      </c>
      <c r="I28" s="53">
        <f>SUM([16]September_2016!$N32)</f>
        <v>30</v>
      </c>
      <c r="J28" s="1223">
        <f>SUM([16]September_2016!$Q32)</f>
        <v>440.45901639344265</v>
      </c>
      <c r="K28" s="1223">
        <f>SUM([16]September_2016!$E32)</f>
        <v>610</v>
      </c>
      <c r="L28" s="134">
        <v>0.71944444444444444</v>
      </c>
      <c r="M28" s="54">
        <f>SUM([16]September_2016!$M32)</f>
        <v>64</v>
      </c>
      <c r="N28" s="54"/>
      <c r="O28" s="55">
        <f>SUM([16]September_2016!$P32)</f>
        <v>0.77608440797187106</v>
      </c>
      <c r="P28" s="54"/>
      <c r="Q28" s="1227">
        <f>(G28+G29)/(10*15000*(1/24))</f>
        <v>0.71648000000000001</v>
      </c>
      <c r="R28" s="56"/>
      <c r="S28" s="1039">
        <f>(G28+G29)*24/(K28/60)/15000</f>
        <v>0.70473442622950822</v>
      </c>
      <c r="T28" s="46">
        <f>(H28+H31)*24/(M28/60)/15000</f>
        <v>0.46670400000000006</v>
      </c>
      <c r="U28" s="1237">
        <f>(G28+G29)*24/(K28/60)/15300</f>
        <v>0.69091610414657667</v>
      </c>
      <c r="V28" s="24" t="s">
        <v>286</v>
      </c>
    </row>
    <row r="29" spans="2:22" s="19" customFormat="1" ht="20.25" x14ac:dyDescent="0.2">
      <c r="B29" s="1214"/>
      <c r="C29" s="48" t="s">
        <v>29</v>
      </c>
      <c r="D29" s="49">
        <v>700</v>
      </c>
      <c r="E29" s="1218"/>
      <c r="F29" s="51">
        <f>SUM([16]September_2016!$J33)</f>
        <v>56.3</v>
      </c>
      <c r="G29" s="52">
        <f>SUM([16]September_2016!$F33)</f>
        <v>674</v>
      </c>
      <c r="H29" s="51">
        <f>SUM([16]September_2016!$K33)</f>
        <v>53.984000000000002</v>
      </c>
      <c r="I29" s="53">
        <f>SUM([16]September_2016!$N33)</f>
        <v>2</v>
      </c>
      <c r="J29" s="1224"/>
      <c r="K29" s="1224"/>
      <c r="L29" s="134">
        <v>0.78541666666666676</v>
      </c>
      <c r="M29" s="54">
        <f>SUM([16]September_2016!$M33)</f>
        <v>16</v>
      </c>
      <c r="N29" s="54"/>
      <c r="O29" s="55">
        <f>SUM([16]September_2016!$P33)</f>
        <v>4.1136767317939524</v>
      </c>
      <c r="P29" s="54"/>
      <c r="Q29" s="1228"/>
      <c r="R29" s="56"/>
      <c r="S29" s="1040"/>
      <c r="T29" s="46"/>
      <c r="U29" s="1239"/>
      <c r="V29" s="24" t="s">
        <v>287</v>
      </c>
    </row>
    <row r="30" spans="2:22" s="19" customFormat="1" ht="33" x14ac:dyDescent="0.2">
      <c r="B30" s="1213">
        <v>42640</v>
      </c>
      <c r="C30" s="48" t="s">
        <v>29</v>
      </c>
      <c r="D30" s="49">
        <v>3500</v>
      </c>
      <c r="E30" s="1217">
        <v>0.32430555555555557</v>
      </c>
      <c r="F30" s="51">
        <f>SUM([16]September_2016!$J34)</f>
        <v>227.89999999999998</v>
      </c>
      <c r="G30" s="52">
        <f>SUM([16]September_2016!$F34)</f>
        <v>3414</v>
      </c>
      <c r="H30" s="51">
        <f>SUM([16]September_2016!$K34)</f>
        <v>225.32400000000001</v>
      </c>
      <c r="I30" s="53">
        <f>SUM([16]September_2016!$N34)</f>
        <v>9.25</v>
      </c>
      <c r="J30" s="1223">
        <f>SUM([16]September_2016!$Q34)</f>
        <v>419.70588235294122</v>
      </c>
      <c r="K30" s="1223">
        <f>SUM([16]September_2016!$E34)</f>
        <v>612</v>
      </c>
      <c r="L30" s="134">
        <v>0.6875</v>
      </c>
      <c r="M30" s="54">
        <f>SUM([16]September_2016!$M34)</f>
        <v>62</v>
      </c>
      <c r="N30" s="54"/>
      <c r="O30" s="55">
        <f>SUM([16]September_2016!$P34)</f>
        <v>1.1303203159280235</v>
      </c>
      <c r="P30" s="54"/>
      <c r="Q30" s="1227">
        <f>(G30+G31)/(10.033*15000*(1/24))</f>
        <v>0.68270706667995618</v>
      </c>
      <c r="R30" s="56"/>
      <c r="S30" s="1039">
        <f>(G30+G31)*24/(K30/60)/15000</f>
        <v>0.67152941176470593</v>
      </c>
      <c r="T30" s="46">
        <f>(H30+H33)*24/(M30/60)/15000</f>
        <v>0.83369496774193552</v>
      </c>
      <c r="U30" s="1237">
        <f>(G30+G31)*24/(K30/60)/15300</f>
        <v>0.65836216839677053</v>
      </c>
      <c r="V30" s="24" t="s">
        <v>288</v>
      </c>
    </row>
    <row r="31" spans="2:22" s="19" customFormat="1" ht="33" x14ac:dyDescent="0.2">
      <c r="B31" s="1214"/>
      <c r="C31" s="48" t="s">
        <v>33</v>
      </c>
      <c r="D31" s="49">
        <v>700</v>
      </c>
      <c r="E31" s="1218"/>
      <c r="F31" s="51">
        <f>SUM([16]September_2016!$J35)</f>
        <v>59.1</v>
      </c>
      <c r="G31" s="52">
        <f>SUM([16]September_2016!$F35)</f>
        <v>867</v>
      </c>
      <c r="H31" s="51">
        <f>SUM([16]September_2016!$K35)</f>
        <v>57.222000000000001</v>
      </c>
      <c r="I31" s="53">
        <f>SUM([16]September_2016!$N35)</f>
        <v>2.5</v>
      </c>
      <c r="J31" s="1224"/>
      <c r="K31" s="1224"/>
      <c r="L31" s="134">
        <v>0.79305555555555562</v>
      </c>
      <c r="M31" s="54">
        <f>SUM([16]September_2016!$M35)</f>
        <v>57</v>
      </c>
      <c r="N31" s="54"/>
      <c r="O31" s="55">
        <f>SUM([16]September_2016!$P35)</f>
        <v>3.1776649746192898</v>
      </c>
      <c r="P31" s="54"/>
      <c r="Q31" s="1228"/>
      <c r="R31" s="56"/>
      <c r="S31" s="1040"/>
      <c r="T31" s="46"/>
      <c r="U31" s="1239"/>
      <c r="V31" s="24" t="s">
        <v>289</v>
      </c>
    </row>
    <row r="32" spans="2:22" s="19" customFormat="1" ht="49.5" x14ac:dyDescent="0.2">
      <c r="B32" s="137">
        <v>42641</v>
      </c>
      <c r="C32" s="48" t="s">
        <v>33</v>
      </c>
      <c r="D32" s="49">
        <v>4900</v>
      </c>
      <c r="E32" s="50">
        <v>0.33333333333333331</v>
      </c>
      <c r="F32" s="51">
        <f>SUM([16]September_2016!$J36)</f>
        <v>108.89999999999999</v>
      </c>
      <c r="G32" s="52">
        <f>SUM([16]September_2016!$F36)</f>
        <v>1616</v>
      </c>
      <c r="H32" s="51">
        <f>SUM([16]September_2016!$K36)</f>
        <v>106.65600000000001</v>
      </c>
      <c r="I32" s="53">
        <f>SUM([16]September_2016!$N36)</f>
        <v>17.25</v>
      </c>
      <c r="J32" s="54">
        <f>SUM([16]September_2016!$Q36)</f>
        <v>162.41206030150755</v>
      </c>
      <c r="K32" s="54">
        <f>SUM([16]September_2016!$E36)</f>
        <v>597</v>
      </c>
      <c r="L32" s="134">
        <v>0.78541666666666676</v>
      </c>
      <c r="M32" s="54">
        <f>SUM([16]September_2016!$M36)</f>
        <v>380</v>
      </c>
      <c r="N32" s="54"/>
      <c r="O32" s="55">
        <f>SUM([16]September_2016!$P36)</f>
        <v>2.0606060606060477</v>
      </c>
      <c r="P32" s="54"/>
      <c r="Q32" s="66">
        <f>(G32)/(9.783*15000*(1/24))</f>
        <v>0.26429520596953898</v>
      </c>
      <c r="R32" s="56"/>
      <c r="S32" s="46">
        <f>(G32)*24/(K32/60)/15000</f>
        <v>0.25985929648241207</v>
      </c>
      <c r="T32" s="46">
        <f>(H32+H35)*24/(M32/60)/15000</f>
        <v>5.6973978947368428E-2</v>
      </c>
      <c r="U32" s="125">
        <f>(G32)*24/(K32/60)/15300</f>
        <v>0.25476401615922756</v>
      </c>
      <c r="V32" s="24" t="s">
        <v>290</v>
      </c>
    </row>
    <row r="33" spans="2:22" s="19" customFormat="1" ht="66" x14ac:dyDescent="0.2">
      <c r="B33" s="137">
        <v>42642</v>
      </c>
      <c r="C33" s="48" t="s">
        <v>33</v>
      </c>
      <c r="D33" s="49">
        <v>3500</v>
      </c>
      <c r="E33" s="50">
        <v>0.32916666666666666</v>
      </c>
      <c r="F33" s="51">
        <f>SUM([16]September_2016!$J37)</f>
        <v>315</v>
      </c>
      <c r="G33" s="52">
        <f>SUM([16]September_2016!$F37)</f>
        <v>4744</v>
      </c>
      <c r="H33" s="51">
        <f>SUM([16]September_2016!$K37)</f>
        <v>313.10400000000004</v>
      </c>
      <c r="I33" s="53">
        <f>SUM([16]September_2016!$N37)</f>
        <v>16</v>
      </c>
      <c r="J33" s="54">
        <f>SUM([16]September_2016!$Q37)</f>
        <v>466.62295081967216</v>
      </c>
      <c r="K33" s="54">
        <f>SUM([16]September_2016!$E37)</f>
        <v>610</v>
      </c>
      <c r="L33" s="134">
        <v>0.7909722222222223</v>
      </c>
      <c r="M33" s="54">
        <f>SUM([16]September_2016!$M37)</f>
        <v>87</v>
      </c>
      <c r="N33" s="54">
        <f>SUM([16]September_2016!$H37)</f>
        <v>3</v>
      </c>
      <c r="O33" s="55">
        <f>SUM([16]September_2016!$P37)</f>
        <v>0.60190476190474862</v>
      </c>
      <c r="P33" s="54"/>
      <c r="Q33" s="66">
        <f>(G33)/(10*15000*(1/24))</f>
        <v>0.75904000000000005</v>
      </c>
      <c r="R33" s="56"/>
      <c r="S33" s="46">
        <f>(G33)*24/(K33/60)/15000</f>
        <v>0.74659672131147548</v>
      </c>
      <c r="T33" s="46">
        <f>(H33+H36)*24/(M33/60)/15000</f>
        <v>0.34549406896551732</v>
      </c>
      <c r="U33" s="125">
        <f>(G33)*24/(K33/60)/15300</f>
        <v>0.73195756991321126</v>
      </c>
      <c r="V33" s="24" t="s">
        <v>292</v>
      </c>
    </row>
    <row r="34" spans="2:22" s="19" customFormat="1" ht="20.25" x14ac:dyDescent="0.2">
      <c r="B34" s="1213">
        <v>42643</v>
      </c>
      <c r="C34" s="48" t="s">
        <v>33</v>
      </c>
      <c r="D34" s="49"/>
      <c r="E34" s="1217">
        <v>0.32361111111111113</v>
      </c>
      <c r="F34" s="51">
        <f>SUM([16]September_2016!$J38)</f>
        <v>97.7</v>
      </c>
      <c r="G34" s="52">
        <f>SUM([16]September_2016!$F38)</f>
        <v>1465</v>
      </c>
      <c r="H34" s="51">
        <f>SUM([16]September_2016!$K38)</f>
        <v>96.69</v>
      </c>
      <c r="I34" s="53">
        <f>SUM([16]September_2016!$N38)</f>
        <v>5.75</v>
      </c>
      <c r="J34" s="1223">
        <f>SUM([16]September_2016!$Q38)</f>
        <v>329.8989898989899</v>
      </c>
      <c r="K34" s="1223">
        <f>SUM([16]September_2016!$E38)</f>
        <v>594</v>
      </c>
      <c r="L34" s="134">
        <v>0.55069444444444449</v>
      </c>
      <c r="M34" s="54">
        <f>SUM([16]September_2016!$M38)</f>
        <v>37</v>
      </c>
      <c r="N34" s="54"/>
      <c r="O34" s="55">
        <f>SUM([16]September_2016!$P38)</f>
        <v>1.0337768679631578</v>
      </c>
      <c r="P34" s="54"/>
      <c r="Q34" s="1227">
        <f>(G34+G35)/(9.733*15000*(1/24))</f>
        <v>0.5368950991472311</v>
      </c>
      <c r="R34" s="56"/>
      <c r="S34" s="1039">
        <f>(G34+G35)*24/(K34/60)/15000</f>
        <v>0.52783838383838377</v>
      </c>
      <c r="T34" s="46">
        <f>(H34+H37)*24/(M34/60)/15000</f>
        <v>0.25087135135135136</v>
      </c>
      <c r="U34" s="1237">
        <f>(G34+G35)*24/(K34/60)/15300</f>
        <v>0.51748861160625859</v>
      </c>
      <c r="V34" s="24" t="s">
        <v>293</v>
      </c>
    </row>
    <row r="35" spans="2:22" s="19" customFormat="1" ht="49.5" x14ac:dyDescent="0.2">
      <c r="B35" s="1214"/>
      <c r="C35" s="48" t="s">
        <v>45</v>
      </c>
      <c r="D35" s="49">
        <v>1800</v>
      </c>
      <c r="E35" s="1218"/>
      <c r="F35" s="51">
        <f>SUM([16]September_2016!$J39)</f>
        <v>122.95799999999998</v>
      </c>
      <c r="G35" s="52">
        <f>SUM([16]September_2016!$F39)</f>
        <v>1801</v>
      </c>
      <c r="H35" s="51">
        <f>SUM([16]September_2016!$K39)</f>
        <v>118.866</v>
      </c>
      <c r="I35" s="53">
        <f>SUM([16]September_2016!$N39)</f>
        <v>4.75</v>
      </c>
      <c r="J35" s="1224"/>
      <c r="K35" s="1224"/>
      <c r="L35" s="134">
        <v>0.78611111111111109</v>
      </c>
      <c r="M35" s="54">
        <f>SUM([16]September_2016!$M39)</f>
        <v>165</v>
      </c>
      <c r="N35" s="54"/>
      <c r="O35" s="55">
        <f>SUM([16]September_2016!$P39)</f>
        <v>3.3279656468062142</v>
      </c>
      <c r="P35" s="54"/>
      <c r="Q35" s="1228"/>
      <c r="R35" s="56"/>
      <c r="S35" s="1040"/>
      <c r="T35" s="46"/>
      <c r="U35" s="1239"/>
      <c r="V35" s="24" t="s">
        <v>294</v>
      </c>
    </row>
    <row r="36" spans="2:22" s="19" customFormat="1" ht="21" thickBot="1" x14ac:dyDescent="0.25">
      <c r="B36" s="137"/>
      <c r="C36" s="48"/>
      <c r="D36" s="49"/>
      <c r="E36" s="50"/>
      <c r="F36" s="51"/>
      <c r="G36" s="52"/>
      <c r="H36" s="51"/>
      <c r="I36" s="53"/>
      <c r="J36" s="54"/>
      <c r="K36" s="54"/>
      <c r="L36" s="134"/>
      <c r="M36" s="54"/>
      <c r="N36" s="54"/>
      <c r="O36" s="55"/>
      <c r="P36" s="54"/>
      <c r="Q36" s="66"/>
      <c r="R36" s="56"/>
      <c r="S36" s="46"/>
      <c r="T36" s="46"/>
      <c r="U36" s="125"/>
      <c r="V36" s="24"/>
    </row>
    <row r="37" spans="2:22" s="19" customFormat="1" ht="20.25" hidden="1" x14ac:dyDescent="0.2">
      <c r="B37" s="137"/>
      <c r="C37" s="48"/>
      <c r="D37" s="49"/>
      <c r="E37" s="50"/>
      <c r="F37" s="51"/>
      <c r="G37" s="52"/>
      <c r="H37" s="51"/>
      <c r="I37" s="53"/>
      <c r="J37" s="54"/>
      <c r="K37" s="54"/>
      <c r="L37" s="134"/>
      <c r="M37" s="54"/>
      <c r="N37" s="54" t="e">
        <f>[16]August_2016!$H41</f>
        <v>#REF!</v>
      </c>
      <c r="O37" s="55"/>
      <c r="P37" s="54"/>
      <c r="Q37" s="66"/>
      <c r="R37" s="56"/>
      <c r="S37" s="46"/>
      <c r="T37" s="46"/>
      <c r="U37" s="125"/>
      <c r="V37" s="24"/>
    </row>
    <row r="38" spans="2:22" s="19" customFormat="1" ht="20.25" hidden="1" x14ac:dyDescent="0.2">
      <c r="B38" s="137"/>
      <c r="C38" s="48"/>
      <c r="D38" s="49"/>
      <c r="E38" s="50"/>
      <c r="F38" s="51"/>
      <c r="G38" s="52"/>
      <c r="H38" s="51"/>
      <c r="I38" s="53"/>
      <c r="J38" s="54"/>
      <c r="K38" s="54"/>
      <c r="L38" s="134"/>
      <c r="M38" s="54"/>
      <c r="N38" s="54" t="e">
        <f>[16]August_2016!$H42</f>
        <v>#REF!</v>
      </c>
      <c r="O38" s="55"/>
      <c r="P38" s="54"/>
      <c r="Q38" s="66"/>
      <c r="R38" s="56"/>
      <c r="S38" s="46"/>
      <c r="T38" s="46"/>
      <c r="U38" s="125"/>
      <c r="V38" s="24"/>
    </row>
    <row r="39" spans="2:22" s="19" customFormat="1" ht="20.25" hidden="1" x14ac:dyDescent="0.2">
      <c r="B39" s="137"/>
      <c r="C39" s="48"/>
      <c r="D39" s="49"/>
      <c r="E39" s="50"/>
      <c r="F39" s="51"/>
      <c r="G39" s="52"/>
      <c r="H39" s="51"/>
      <c r="I39" s="53"/>
      <c r="J39" s="54"/>
      <c r="K39" s="54"/>
      <c r="L39" s="134"/>
      <c r="M39" s="54"/>
      <c r="N39" s="54"/>
      <c r="O39" s="55"/>
      <c r="P39" s="54"/>
      <c r="Q39" s="66"/>
      <c r="R39" s="56"/>
      <c r="S39" s="46"/>
      <c r="T39" s="46"/>
      <c r="U39" s="125"/>
      <c r="V39" s="24"/>
    </row>
    <row r="40" spans="2:22" s="19" customFormat="1" ht="20.25" hidden="1" x14ac:dyDescent="0.2">
      <c r="B40" s="137"/>
      <c r="C40" s="48"/>
      <c r="D40" s="49"/>
      <c r="E40" s="50"/>
      <c r="F40" s="51"/>
      <c r="G40" s="52"/>
      <c r="H40" s="51"/>
      <c r="I40" s="53"/>
      <c r="J40" s="54"/>
      <c r="K40" s="54"/>
      <c r="L40" s="54"/>
      <c r="M40" s="54"/>
      <c r="N40" s="54"/>
      <c r="O40" s="55"/>
      <c r="P40" s="54"/>
      <c r="Q40" s="66"/>
      <c r="R40" s="56"/>
      <c r="S40" s="46"/>
      <c r="T40" s="46"/>
      <c r="U40" s="125"/>
      <c r="V40" s="24"/>
    </row>
    <row r="41" spans="2:22" s="19" customFormat="1" ht="20.25" hidden="1" x14ac:dyDescent="0.2">
      <c r="B41" s="137"/>
      <c r="C41" s="48"/>
      <c r="D41" s="49"/>
      <c r="E41" s="50"/>
      <c r="F41" s="51"/>
      <c r="G41" s="52"/>
      <c r="H41" s="51"/>
      <c r="I41" s="53"/>
      <c r="J41" s="54"/>
      <c r="K41" s="54"/>
      <c r="L41" s="54"/>
      <c r="M41" s="54"/>
      <c r="N41" s="54"/>
      <c r="O41" s="55"/>
      <c r="P41" s="54"/>
      <c r="Q41" s="66"/>
      <c r="R41" s="56"/>
      <c r="S41" s="46"/>
      <c r="T41" s="46"/>
      <c r="U41" s="125"/>
      <c r="V41" s="24"/>
    </row>
    <row r="42" spans="2:22" s="19" customFormat="1" ht="31.5" hidden="1" customHeight="1" x14ac:dyDescent="0.2">
      <c r="B42" s="137"/>
      <c r="C42" s="48"/>
      <c r="D42" s="49"/>
      <c r="E42" s="50"/>
      <c r="F42" s="51"/>
      <c r="G42" s="52"/>
      <c r="H42" s="51"/>
      <c r="I42" s="53"/>
      <c r="J42" s="54"/>
      <c r="K42" s="54"/>
      <c r="L42" s="54"/>
      <c r="M42" s="54"/>
      <c r="N42" s="54"/>
      <c r="O42" s="55"/>
      <c r="P42" s="54"/>
      <c r="Q42" s="66"/>
      <c r="R42" s="56"/>
      <c r="S42" s="46"/>
      <c r="T42" s="18"/>
      <c r="U42" s="126"/>
      <c r="V42" s="24"/>
    </row>
    <row r="43" spans="2:22" s="19" customFormat="1" ht="31.5" hidden="1" customHeight="1" x14ac:dyDescent="0.2">
      <c r="B43" s="137"/>
      <c r="C43" s="48"/>
      <c r="D43" s="49"/>
      <c r="E43" s="50"/>
      <c r="F43" s="51"/>
      <c r="G43" s="52"/>
      <c r="H43" s="51"/>
      <c r="I43" s="53"/>
      <c r="J43" s="54"/>
      <c r="K43" s="54"/>
      <c r="L43" s="54"/>
      <c r="M43" s="54"/>
      <c r="N43" s="54"/>
      <c r="O43" s="55"/>
      <c r="P43" s="54"/>
      <c r="Q43" s="66"/>
      <c r="R43" s="56"/>
      <c r="S43" s="46"/>
      <c r="T43" s="18"/>
      <c r="U43" s="126"/>
      <c r="V43" s="24"/>
    </row>
    <row r="44" spans="2:22" s="19" customFormat="1" ht="31.5" hidden="1" customHeight="1" x14ac:dyDescent="0.2">
      <c r="B44" s="137"/>
      <c r="C44" s="48"/>
      <c r="D44" s="49"/>
      <c r="E44" s="50"/>
      <c r="F44" s="51"/>
      <c r="G44" s="52"/>
      <c r="H44" s="51"/>
      <c r="I44" s="53"/>
      <c r="J44" s="54"/>
      <c r="K44" s="54"/>
      <c r="L44" s="54"/>
      <c r="M44" s="54"/>
      <c r="N44" s="54"/>
      <c r="O44" s="55"/>
      <c r="P44" s="54"/>
      <c r="Q44" s="66"/>
      <c r="R44" s="56"/>
      <c r="S44" s="46"/>
      <c r="T44" s="18"/>
      <c r="U44" s="126"/>
      <c r="V44" s="24"/>
    </row>
    <row r="45" spans="2:22" s="19" customFormat="1" ht="31.5" hidden="1" customHeight="1" x14ac:dyDescent="0.2">
      <c r="B45" s="137"/>
      <c r="C45" s="48"/>
      <c r="D45" s="49"/>
      <c r="E45" s="50"/>
      <c r="F45" s="51"/>
      <c r="G45" s="52"/>
      <c r="H45" s="51"/>
      <c r="I45" s="53"/>
      <c r="J45" s="54"/>
      <c r="K45" s="54"/>
      <c r="L45" s="54"/>
      <c r="M45" s="54"/>
      <c r="N45" s="54"/>
      <c r="O45" s="55"/>
      <c r="P45" s="54"/>
      <c r="Q45" s="66"/>
      <c r="R45" s="56"/>
      <c r="S45" s="46"/>
      <c r="T45" s="18"/>
      <c r="U45" s="126"/>
      <c r="V45" s="24"/>
    </row>
    <row r="46" spans="2:22" s="19" customFormat="1" ht="31.5" hidden="1" customHeight="1" x14ac:dyDescent="0.2">
      <c r="B46" s="137"/>
      <c r="C46" s="48"/>
      <c r="D46" s="49"/>
      <c r="E46" s="50"/>
      <c r="F46" s="51"/>
      <c r="G46" s="52"/>
      <c r="H46" s="51"/>
      <c r="I46" s="53"/>
      <c r="J46" s="54"/>
      <c r="K46" s="54"/>
      <c r="L46" s="54"/>
      <c r="M46" s="54"/>
      <c r="N46" s="54"/>
      <c r="O46" s="55"/>
      <c r="P46" s="54"/>
      <c r="Q46" s="66"/>
      <c r="R46" s="56"/>
      <c r="S46" s="46"/>
      <c r="T46" s="18"/>
      <c r="U46" s="126"/>
      <c r="V46" s="24"/>
    </row>
    <row r="47" spans="2:22" s="19" customFormat="1" ht="31.5" hidden="1" customHeight="1" x14ac:dyDescent="0.2">
      <c r="B47" s="137"/>
      <c r="C47" s="48"/>
      <c r="D47" s="49"/>
      <c r="E47" s="50"/>
      <c r="F47" s="51"/>
      <c r="G47" s="52"/>
      <c r="H47" s="51"/>
      <c r="I47" s="53"/>
      <c r="J47" s="54"/>
      <c r="K47" s="54"/>
      <c r="L47" s="54"/>
      <c r="M47" s="54"/>
      <c r="N47" s="54"/>
      <c r="O47" s="55"/>
      <c r="P47" s="54"/>
      <c r="Q47" s="66"/>
      <c r="R47" s="56"/>
      <c r="S47" s="46"/>
      <c r="T47" s="18"/>
      <c r="U47" s="126"/>
      <c r="V47" s="24"/>
    </row>
    <row r="48" spans="2:22" s="19" customFormat="1" ht="31.5" hidden="1" customHeight="1" x14ac:dyDescent="0.2">
      <c r="B48" s="137"/>
      <c r="C48" s="48"/>
      <c r="D48" s="49"/>
      <c r="E48" s="50"/>
      <c r="F48" s="51"/>
      <c r="G48" s="52"/>
      <c r="H48" s="51"/>
      <c r="I48" s="53"/>
      <c r="J48" s="54"/>
      <c r="K48" s="54"/>
      <c r="L48" s="54"/>
      <c r="M48" s="54"/>
      <c r="N48" s="54"/>
      <c r="O48" s="55"/>
      <c r="P48" s="54"/>
      <c r="Q48" s="66"/>
      <c r="R48" s="56"/>
      <c r="S48" s="46"/>
      <c r="T48" s="18"/>
      <c r="U48" s="126"/>
      <c r="V48" s="24"/>
    </row>
    <row r="49" spans="2:22" s="19" customFormat="1" ht="31.5" hidden="1" customHeight="1" x14ac:dyDescent="0.2">
      <c r="B49" s="137"/>
      <c r="C49" s="48"/>
      <c r="D49" s="49"/>
      <c r="E49" s="50"/>
      <c r="F49" s="51"/>
      <c r="G49" s="52"/>
      <c r="H49" s="51"/>
      <c r="I49" s="53"/>
      <c r="J49" s="54"/>
      <c r="K49" s="54"/>
      <c r="L49" s="54"/>
      <c r="M49" s="54"/>
      <c r="N49" s="54"/>
      <c r="O49" s="55"/>
      <c r="P49" s="54"/>
      <c r="Q49" s="66"/>
      <c r="R49" s="56"/>
      <c r="S49" s="46"/>
      <c r="T49" s="18"/>
      <c r="U49" s="126"/>
      <c r="V49" s="24"/>
    </row>
    <row r="50" spans="2:22" s="19" customFormat="1" ht="31.5" hidden="1" customHeight="1" x14ac:dyDescent="0.2">
      <c r="B50" s="137"/>
      <c r="C50" s="48"/>
      <c r="D50" s="49"/>
      <c r="E50" s="50"/>
      <c r="F50" s="51"/>
      <c r="G50" s="52"/>
      <c r="H50" s="51"/>
      <c r="I50" s="53"/>
      <c r="J50" s="54"/>
      <c r="K50" s="54"/>
      <c r="L50" s="54"/>
      <c r="M50" s="54"/>
      <c r="N50" s="54"/>
      <c r="O50" s="55"/>
      <c r="P50" s="54"/>
      <c r="Q50" s="66"/>
      <c r="R50" s="56"/>
      <c r="S50" s="46"/>
      <c r="T50" s="18"/>
      <c r="U50" s="126"/>
      <c r="V50" s="24"/>
    </row>
    <row r="51" spans="2:22" s="19" customFormat="1" ht="31.5" hidden="1" customHeight="1" x14ac:dyDescent="0.2">
      <c r="B51" s="137"/>
      <c r="C51" s="48"/>
      <c r="D51" s="49"/>
      <c r="E51" s="50"/>
      <c r="F51" s="51"/>
      <c r="G51" s="52"/>
      <c r="H51" s="51"/>
      <c r="I51" s="53"/>
      <c r="J51" s="54"/>
      <c r="K51" s="54"/>
      <c r="L51" s="54"/>
      <c r="M51" s="54"/>
      <c r="N51" s="54"/>
      <c r="O51" s="55"/>
      <c r="P51" s="54"/>
      <c r="Q51" s="66"/>
      <c r="R51" s="56"/>
      <c r="S51" s="46"/>
      <c r="T51" s="18"/>
      <c r="U51" s="126"/>
      <c r="V51" s="24"/>
    </row>
    <row r="52" spans="2:22" s="19" customFormat="1" ht="31.5" hidden="1" customHeight="1" x14ac:dyDescent="0.2">
      <c r="B52" s="137"/>
      <c r="C52" s="48"/>
      <c r="D52" s="49"/>
      <c r="E52" s="50"/>
      <c r="F52" s="51"/>
      <c r="G52" s="52"/>
      <c r="H52" s="51"/>
      <c r="I52" s="53"/>
      <c r="J52" s="54"/>
      <c r="K52" s="54"/>
      <c r="L52" s="54"/>
      <c r="M52" s="54"/>
      <c r="N52" s="54"/>
      <c r="O52" s="55"/>
      <c r="P52" s="54"/>
      <c r="Q52" s="66"/>
      <c r="R52" s="56"/>
      <c r="S52" s="46"/>
      <c r="T52" s="18"/>
      <c r="U52" s="126"/>
      <c r="V52" s="24"/>
    </row>
    <row r="53" spans="2:22" s="19" customFormat="1" ht="31.5" hidden="1" customHeight="1" x14ac:dyDescent="0.2">
      <c r="B53" s="137"/>
      <c r="C53" s="48"/>
      <c r="D53" s="49"/>
      <c r="E53" s="50"/>
      <c r="F53" s="51"/>
      <c r="G53" s="52"/>
      <c r="H53" s="51"/>
      <c r="I53" s="53"/>
      <c r="J53" s="54"/>
      <c r="K53" s="54"/>
      <c r="L53" s="54"/>
      <c r="M53" s="54"/>
      <c r="N53" s="54"/>
      <c r="O53" s="55"/>
      <c r="P53" s="54"/>
      <c r="Q53" s="66"/>
      <c r="R53" s="56"/>
      <c r="S53" s="46"/>
      <c r="T53" s="18"/>
      <c r="U53" s="126"/>
      <c r="V53" s="24"/>
    </row>
    <row r="54" spans="2:22" s="19" customFormat="1" ht="31.5" hidden="1" customHeight="1" x14ac:dyDescent="0.2">
      <c r="B54" s="137"/>
      <c r="C54" s="48"/>
      <c r="D54" s="49"/>
      <c r="E54" s="50"/>
      <c r="F54" s="51"/>
      <c r="G54" s="52"/>
      <c r="H54" s="51"/>
      <c r="I54" s="53"/>
      <c r="J54" s="54"/>
      <c r="K54" s="54"/>
      <c r="L54" s="54"/>
      <c r="M54" s="54"/>
      <c r="N54" s="54"/>
      <c r="O54" s="55"/>
      <c r="P54" s="54"/>
      <c r="Q54" s="66"/>
      <c r="R54" s="56"/>
      <c r="S54" s="46"/>
      <c r="T54" s="18"/>
      <c r="U54" s="126"/>
      <c r="V54" s="24"/>
    </row>
    <row r="55" spans="2:22" s="19" customFormat="1" ht="31.5" hidden="1" customHeight="1" x14ac:dyDescent="0.2">
      <c r="B55" s="137"/>
      <c r="C55" s="48"/>
      <c r="D55" s="49"/>
      <c r="E55" s="50"/>
      <c r="F55" s="51"/>
      <c r="G55" s="52"/>
      <c r="H55" s="51"/>
      <c r="I55" s="53"/>
      <c r="J55" s="54"/>
      <c r="K55" s="54"/>
      <c r="L55" s="54"/>
      <c r="M55" s="54"/>
      <c r="N55" s="54"/>
      <c r="O55" s="55"/>
      <c r="P55" s="54"/>
      <c r="Q55" s="66"/>
      <c r="R55" s="56"/>
      <c r="S55" s="46"/>
      <c r="T55" s="18" t="e">
        <f>G55*24/(K55/60)/15400</f>
        <v>#DIV/0!</v>
      </c>
      <c r="U55" s="126"/>
      <c r="V55" s="24"/>
    </row>
    <row r="56" spans="2:22" s="19" customFormat="1" ht="31.5" hidden="1" customHeight="1" x14ac:dyDescent="0.2">
      <c r="B56" s="137"/>
      <c r="C56" s="48"/>
      <c r="D56" s="49"/>
      <c r="E56" s="50"/>
      <c r="F56" s="51"/>
      <c r="G56" s="52"/>
      <c r="H56" s="51"/>
      <c r="I56" s="53"/>
      <c r="J56" s="54"/>
      <c r="K56" s="54"/>
      <c r="L56" s="54"/>
      <c r="M56" s="54"/>
      <c r="N56" s="67"/>
      <c r="O56" s="55"/>
      <c r="P56" s="54"/>
      <c r="Q56" s="66"/>
      <c r="R56" s="56"/>
      <c r="S56" s="46"/>
      <c r="T56" s="18" t="e">
        <f>G56*24/(K56/60)/15400</f>
        <v>#DIV/0!</v>
      </c>
      <c r="U56" s="126"/>
      <c r="V56" s="24"/>
    </row>
    <row r="57" spans="2:22" s="19" customFormat="1" ht="30" hidden="1" customHeight="1" x14ac:dyDescent="0.2">
      <c r="B57" s="137"/>
      <c r="C57" s="26"/>
      <c r="D57" s="27"/>
      <c r="E57" s="28"/>
      <c r="F57" s="29"/>
      <c r="G57" s="30"/>
      <c r="H57" s="29"/>
      <c r="I57" s="31"/>
      <c r="J57" s="32"/>
      <c r="K57" s="32"/>
      <c r="L57" s="32"/>
      <c r="M57" s="32"/>
      <c r="N57" s="32"/>
      <c r="O57" s="33"/>
      <c r="P57" s="32"/>
      <c r="Q57" s="46"/>
      <c r="R57" s="34"/>
      <c r="S57" s="46"/>
      <c r="T57" s="18"/>
      <c r="U57" s="126"/>
      <c r="V57" s="24"/>
    </row>
    <row r="58" spans="2:22" s="19" customFormat="1" ht="20.25" hidden="1" x14ac:dyDescent="0.2">
      <c r="B58" s="137"/>
      <c r="C58" s="26"/>
      <c r="D58" s="27"/>
      <c r="E58" s="28"/>
      <c r="F58" s="29"/>
      <c r="G58" s="30"/>
      <c r="H58" s="29"/>
      <c r="I58" s="31"/>
      <c r="J58" s="32"/>
      <c r="K58" s="32"/>
      <c r="L58" s="32"/>
      <c r="M58" s="32"/>
      <c r="N58" s="32"/>
      <c r="O58" s="33"/>
      <c r="P58" s="32"/>
      <c r="Q58" s="46"/>
      <c r="R58" s="34"/>
      <c r="S58" s="46"/>
      <c r="T58" s="18"/>
      <c r="U58" s="126"/>
      <c r="V58" s="24"/>
    </row>
    <row r="59" spans="2:22" s="19" customFormat="1" ht="21" hidden="1" thickBot="1" x14ac:dyDescent="0.25">
      <c r="B59" s="137"/>
      <c r="C59" s="75"/>
      <c r="D59" s="71"/>
      <c r="E59" s="73"/>
      <c r="F59" s="76"/>
      <c r="G59" s="77"/>
      <c r="H59" s="76"/>
      <c r="I59" s="78"/>
      <c r="J59" s="72"/>
      <c r="K59" s="72"/>
      <c r="L59" s="72"/>
      <c r="M59" s="72"/>
      <c r="N59" s="72"/>
      <c r="O59" s="79"/>
      <c r="P59" s="80"/>
      <c r="Q59" s="70"/>
      <c r="R59" s="81"/>
      <c r="S59" s="70"/>
      <c r="T59" s="82"/>
      <c r="U59" s="127"/>
      <c r="V59" s="83"/>
    </row>
    <row r="60" spans="2:22" s="19" customFormat="1" ht="21" customHeight="1" thickBot="1" x14ac:dyDescent="0.35">
      <c r="B60" s="35" t="s">
        <v>3</v>
      </c>
      <c r="C60" s="36"/>
      <c r="D60" s="57">
        <f>SUM(D4:D58)</f>
        <v>77689</v>
      </c>
      <c r="E60" s="58">
        <f>AVERAGE(E4:E58)</f>
        <v>0.32989766081871341</v>
      </c>
      <c r="F60" s="59">
        <f>SUM(F4:F58)</f>
        <v>5313.0509999999986</v>
      </c>
      <c r="G60" s="57">
        <f>SUM(G4:G58)</f>
        <v>77447</v>
      </c>
      <c r="H60" s="59">
        <f>SUM(H4:H58)</f>
        <v>5260.1397999999999</v>
      </c>
      <c r="I60" s="60">
        <f>SUM(I4:I58)</f>
        <v>365.5</v>
      </c>
      <c r="J60" s="61">
        <f>G60/(K60/60)</f>
        <v>417.16671155399945</v>
      </c>
      <c r="K60" s="57">
        <f>SUM(K4:K58)</f>
        <v>11139</v>
      </c>
      <c r="L60" s="135">
        <f>AVERAGE(L4:L59)</f>
        <v>0.7407004830917876</v>
      </c>
      <c r="M60" s="57">
        <f>SUM(M4:M58)</f>
        <v>2253</v>
      </c>
      <c r="N60" s="60" t="e">
        <f>SUM(N4:N58)</f>
        <v>#REF!</v>
      </c>
      <c r="O60" s="87">
        <f>(F60-H60)/F60</f>
        <v>9.9587223988624723E-3</v>
      </c>
      <c r="P60" s="62">
        <f>SUM(P4:P58)</f>
        <v>0</v>
      </c>
      <c r="Q60" s="63">
        <f>AVERAGE(Q4:Q56)</f>
        <v>0.67193156094959416</v>
      </c>
      <c r="R60" s="64"/>
      <c r="S60" s="63">
        <f>(G60)*24/(K60/60)/15000</f>
        <v>0.66746673848639915</v>
      </c>
      <c r="T60" s="63">
        <f>H60*24/(M60/60)/15000</f>
        <v>0.22413378641810919</v>
      </c>
      <c r="U60" s="128">
        <f>(G60)*24/(K60/60)/15300</f>
        <v>0.65437915537882263</v>
      </c>
      <c r="V60" s="21"/>
    </row>
    <row r="61" spans="2:22" ht="16.5" customHeight="1" thickTop="1" x14ac:dyDescent="0.25">
      <c r="B61" s="11"/>
      <c r="C61" s="22" t="s">
        <v>35</v>
      </c>
      <c r="D61" s="42">
        <v>70420</v>
      </c>
      <c r="E61" s="1082" t="s">
        <v>39</v>
      </c>
      <c r="F61" s="1082"/>
      <c r="G61" s="43">
        <f>(D62/D61)</f>
        <v>1.0997869923317238</v>
      </c>
      <c r="H61" s="44"/>
      <c r="I61" s="44"/>
      <c r="J61" s="1210">
        <v>0</v>
      </c>
      <c r="K61" s="12"/>
      <c r="L61" s="12"/>
      <c r="M61" s="12"/>
      <c r="N61" s="13"/>
      <c r="O61" s="14"/>
      <c r="P61" s="12"/>
      <c r="Q61" s="15"/>
      <c r="R61" s="16"/>
      <c r="S61" s="15"/>
      <c r="T61" s="15"/>
      <c r="U61" s="15"/>
      <c r="V61" s="17" t="s">
        <v>48</v>
      </c>
    </row>
    <row r="62" spans="2:22" ht="14.25" customHeight="1" x14ac:dyDescent="0.25">
      <c r="B62" s="11"/>
      <c r="C62" s="22" t="s">
        <v>38</v>
      </c>
      <c r="D62" s="42">
        <f>G60</f>
        <v>77447</v>
      </c>
      <c r="E62" s="1082" t="s">
        <v>36</v>
      </c>
      <c r="F62" s="1082"/>
      <c r="G62" s="42">
        <f>August_16!G62+September_16!D62</f>
        <v>714090.66666666674</v>
      </c>
      <c r="H62" s="44"/>
      <c r="I62" s="45" t="s">
        <v>40</v>
      </c>
      <c r="J62" s="1211"/>
      <c r="K62" s="12">
        <v>0</v>
      </c>
      <c r="L62" s="12"/>
      <c r="M62" s="12"/>
      <c r="N62" s="13"/>
      <c r="O62" s="14"/>
      <c r="P62" s="12"/>
      <c r="Q62" s="15"/>
      <c r="R62" s="16"/>
      <c r="S62" s="15"/>
      <c r="T62" s="15"/>
      <c r="U62" s="15"/>
      <c r="V62" s="17"/>
    </row>
    <row r="63" spans="2:22" ht="17.25" thickBot="1" x14ac:dyDescent="0.3">
      <c r="C63" s="23" t="s">
        <v>41</v>
      </c>
      <c r="D63" s="42">
        <f>D61-D62</f>
        <v>-7027</v>
      </c>
      <c r="E63" s="1082" t="s">
        <v>37</v>
      </c>
      <c r="F63" s="1082"/>
      <c r="G63" s="42">
        <f>August_16!G63+September_16!D61</f>
        <v>648470</v>
      </c>
      <c r="H63" s="44"/>
      <c r="I63" s="44"/>
      <c r="J63" s="1212"/>
      <c r="Q63" s="10"/>
      <c r="V63" s="17"/>
    </row>
    <row r="64" spans="2:22" ht="17.25" thickTop="1" x14ac:dyDescent="0.2">
      <c r="B64" s="7"/>
      <c r="C64" s="88" t="s">
        <v>19</v>
      </c>
      <c r="D64" s="89" t="s">
        <v>14</v>
      </c>
      <c r="E64" s="89" t="s">
        <v>23</v>
      </c>
      <c r="F64" s="89" t="s">
        <v>24</v>
      </c>
      <c r="G64" s="90" t="s">
        <v>15</v>
      </c>
      <c r="H64" s="89" t="s">
        <v>17</v>
      </c>
      <c r="I64" s="89" t="s">
        <v>16</v>
      </c>
      <c r="J64" s="91">
        <v>0</v>
      </c>
    </row>
    <row r="65" spans="2:22" ht="16.5" x14ac:dyDescent="0.25">
      <c r="B65" s="8"/>
      <c r="C65" s="92">
        <v>1</v>
      </c>
      <c r="D65" s="93" t="s">
        <v>20</v>
      </c>
      <c r="E65" s="94">
        <f>SUM(G9,G10,G11,G14,G16,G17:G18,G27,G28,G29,G30)</f>
        <v>39753</v>
      </c>
      <c r="F65" s="95">
        <f>SUM(K9,K10,K11,K14,K16,K17,K27,K28,K30)</f>
        <v>5293</v>
      </c>
      <c r="G65" s="96">
        <f>SUM(F9,F10,F11,F14,F16,F17,F27,F28,F29,F30)</f>
        <v>2676.2000000000007</v>
      </c>
      <c r="H65" s="96">
        <f>SUM(H9,H10,H11,H14,H16,H17,H27,H28,H29,H30)</f>
        <v>2657.8980000000006</v>
      </c>
      <c r="I65" s="97">
        <f t="shared" ref="I65:I70" si="3">(G65-H65)/G65</f>
        <v>6.838801285404727E-3</v>
      </c>
      <c r="J65" s="98">
        <f>(E65+G31)*24/(F65/60)/15000</f>
        <v>0.73673153221235588</v>
      </c>
      <c r="Q65" s="65"/>
    </row>
    <row r="66" spans="2:22" s="1" customFormat="1" ht="16.5" x14ac:dyDescent="0.25">
      <c r="B66" s="8"/>
      <c r="C66" s="99">
        <v>2</v>
      </c>
      <c r="D66" s="100" t="s">
        <v>21</v>
      </c>
      <c r="E66" s="101">
        <f>SUM(G4,G13,G31,G32,G33,G34)</f>
        <v>17608</v>
      </c>
      <c r="F66" s="102">
        <f>SUM(K4,K13,K30,K32,K33,K34)</f>
        <v>3522</v>
      </c>
      <c r="G66" s="103">
        <f>SUM(F4,F13,F31,F32,F33,F34)</f>
        <v>1173.2</v>
      </c>
      <c r="H66" s="103">
        <f>SUM(H4,H13,H31,H32,H33,H34)</f>
        <v>1162.1280000000002</v>
      </c>
      <c r="I66" s="97">
        <f t="shared" si="3"/>
        <v>9.4374360722808467E-3</v>
      </c>
      <c r="J66" s="98">
        <f>(E66+G30+G35)*24/(F66/60)/15000</f>
        <v>0.62209199318568997</v>
      </c>
      <c r="K66"/>
      <c r="L66"/>
      <c r="M66"/>
      <c r="N66" s="2"/>
      <c r="R66"/>
      <c r="S66"/>
      <c r="T66"/>
      <c r="U66"/>
      <c r="V66"/>
    </row>
    <row r="67" spans="2:22" s="1" customFormat="1" ht="16.5" x14ac:dyDescent="0.25">
      <c r="B67" s="8"/>
      <c r="C67" s="92">
        <v>3</v>
      </c>
      <c r="D67" s="100" t="s">
        <v>124</v>
      </c>
      <c r="E67" s="101"/>
      <c r="F67" s="102"/>
      <c r="G67" s="103"/>
      <c r="H67" s="103"/>
      <c r="I67" s="109" t="e">
        <f t="shared" si="3"/>
        <v>#DIV/0!</v>
      </c>
      <c r="J67" s="111" t="e">
        <f>(E67)*24/(F67/60)/15000</f>
        <v>#DIV/0!</v>
      </c>
      <c r="K67"/>
      <c r="L67"/>
      <c r="M67"/>
      <c r="N67" s="2"/>
      <c r="R67"/>
      <c r="S67"/>
      <c r="T67"/>
      <c r="U67"/>
      <c r="V67"/>
    </row>
    <row r="68" spans="2:22" s="1" customFormat="1" ht="16.5" x14ac:dyDescent="0.25">
      <c r="B68" s="8"/>
      <c r="C68" s="99">
        <v>4</v>
      </c>
      <c r="D68" s="100" t="s">
        <v>18</v>
      </c>
      <c r="E68" s="101">
        <f>SUM(G12,G15)</f>
        <v>7863</v>
      </c>
      <c r="F68" s="102">
        <f>SUM(K12,K15)</f>
        <v>1159</v>
      </c>
      <c r="G68" s="101">
        <f>SUM(F12,F15)</f>
        <v>555.20000000000005</v>
      </c>
      <c r="H68" s="101">
        <f>SUM(H12,H15)</f>
        <v>547.11479999999995</v>
      </c>
      <c r="I68" s="97">
        <f t="shared" si="3"/>
        <v>1.4562680115273953E-2</v>
      </c>
      <c r="J68" s="98">
        <f>(E68)*24/(F68/60)/15000</f>
        <v>0.65129249352890428</v>
      </c>
      <c r="K68"/>
      <c r="L68"/>
      <c r="M68"/>
      <c r="N68" s="2"/>
      <c r="Q68" s="8"/>
      <c r="R68"/>
      <c r="S68"/>
      <c r="T68" s="6"/>
      <c r="U68" s="6"/>
      <c r="V68"/>
    </row>
    <row r="69" spans="2:22" s="1" customFormat="1" ht="16.5" x14ac:dyDescent="0.25">
      <c r="B69" s="8"/>
      <c r="C69" s="92">
        <v>5</v>
      </c>
      <c r="D69" s="105" t="s">
        <v>26</v>
      </c>
      <c r="E69" s="106">
        <f>SUM(G19:G21,G35)</f>
        <v>5586</v>
      </c>
      <c r="F69" s="107">
        <f>SUM(K19,K34)</f>
        <v>1192</v>
      </c>
      <c r="G69" s="108">
        <f>SUM(F19:F21,F35)</f>
        <v>378.45799999999997</v>
      </c>
      <c r="H69" s="108">
        <f>SUM(H19:H21,H35)</f>
        <v>368.67599999999999</v>
      </c>
      <c r="I69" s="97">
        <f t="shared" si="3"/>
        <v>2.5846989626325728E-2</v>
      </c>
      <c r="J69" s="98">
        <f>(E69+G34)*24/(F69/60)/15000</f>
        <v>0.56786577181208053</v>
      </c>
      <c r="K69"/>
      <c r="L69"/>
      <c r="M69"/>
      <c r="N69" s="2"/>
      <c r="R69"/>
      <c r="S69"/>
      <c r="T69" s="6"/>
      <c r="U69" s="6"/>
      <c r="V69"/>
    </row>
    <row r="70" spans="2:22" s="1" customFormat="1" ht="16.5" x14ac:dyDescent="0.25">
      <c r="B70" s="8"/>
      <c r="C70" s="99">
        <v>6</v>
      </c>
      <c r="D70" s="105" t="s">
        <v>25</v>
      </c>
      <c r="E70" s="106">
        <f>SUM(G5:G8,G22:G26)</f>
        <v>6637</v>
      </c>
      <c r="F70" s="107">
        <f>SUM(K5,K22)</f>
        <v>1179</v>
      </c>
      <c r="G70" s="108">
        <f>SUM(F5:F8,F22:F26)</f>
        <v>529.99299999999994</v>
      </c>
      <c r="H70" s="108">
        <f>SUM(H5:H8,H22:H26)</f>
        <v>524.32299999999998</v>
      </c>
      <c r="I70" s="97">
        <f t="shared" si="3"/>
        <v>1.0698254505248106E-2</v>
      </c>
      <c r="J70" s="98">
        <f>(E70)*24/(F70/60)/15000</f>
        <v>0.54041730279898215</v>
      </c>
      <c r="K70"/>
      <c r="L70"/>
      <c r="M70"/>
      <c r="N70" s="2"/>
      <c r="R70"/>
      <c r="S70"/>
      <c r="T70"/>
      <c r="U70"/>
      <c r="V70"/>
    </row>
    <row r="71" spans="2:22" s="1" customFormat="1" ht="17.25" thickBot="1" x14ac:dyDescent="0.3">
      <c r="C71" s="112"/>
      <c r="D71" s="113" t="s">
        <v>22</v>
      </c>
      <c r="E71" s="114">
        <f>SUM(E65:E70)</f>
        <v>77447</v>
      </c>
      <c r="F71" s="115">
        <f>K60</f>
        <v>11139</v>
      </c>
      <c r="G71" s="116">
        <f>SUM(G65:G70)</f>
        <v>5313.0509999999995</v>
      </c>
      <c r="H71" s="116">
        <f>SUM(H65:H70)</f>
        <v>5260.1398000000017</v>
      </c>
      <c r="I71" s="117">
        <f>((G71)-(H71))/(G71)</f>
        <v>9.9587223988622988E-3</v>
      </c>
      <c r="J71" s="118">
        <f>E71*24/(F71/60)/15000</f>
        <v>0.66746673848639915</v>
      </c>
      <c r="K71"/>
      <c r="L71"/>
      <c r="M71"/>
      <c r="N71" s="139"/>
      <c r="R71"/>
      <c r="S71"/>
      <c r="T71"/>
      <c r="U71"/>
      <c r="V71"/>
    </row>
    <row r="72" spans="2:22" s="1" customFormat="1" ht="13.5" thickTop="1" x14ac:dyDescent="0.2">
      <c r="J72"/>
      <c r="K72"/>
      <c r="L72"/>
      <c r="M72"/>
      <c r="N72" s="2"/>
      <c r="R72"/>
      <c r="S72"/>
      <c r="T72"/>
      <c r="U72"/>
      <c r="V72"/>
    </row>
    <row r="73" spans="2:22" s="1" customFormat="1" x14ac:dyDescent="0.2">
      <c r="E73" s="3"/>
      <c r="F73" s="119"/>
      <c r="G73" s="120"/>
      <c r="H73" s="120"/>
      <c r="I73"/>
      <c r="J73"/>
      <c r="K73"/>
      <c r="L73"/>
      <c r="M73"/>
      <c r="N73" s="2"/>
      <c r="R73"/>
      <c r="S73"/>
      <c r="T73"/>
      <c r="U73"/>
      <c r="V73"/>
    </row>
    <row r="74" spans="2:22" s="1" customFormat="1" ht="13.5" customHeight="1" x14ac:dyDescent="0.2">
      <c r="J74"/>
      <c r="K74"/>
      <c r="L74"/>
      <c r="M74"/>
      <c r="N74" s="2"/>
      <c r="R74"/>
      <c r="S74"/>
      <c r="T74"/>
      <c r="U74"/>
      <c r="V74" s="9"/>
    </row>
    <row r="75" spans="2:22" s="1" customFormat="1" ht="12.75" customHeight="1" x14ac:dyDescent="0.2">
      <c r="J75"/>
      <c r="K75"/>
      <c r="L75"/>
      <c r="M75"/>
      <c r="N75" s="2"/>
      <c r="R75"/>
      <c r="S75"/>
      <c r="T75"/>
      <c r="U75"/>
      <c r="V75" s="9"/>
    </row>
    <row r="76" spans="2:22" s="1" customFormat="1" ht="12.75" customHeight="1" x14ac:dyDescent="0.2">
      <c r="J76"/>
      <c r="K76"/>
      <c r="L76"/>
      <c r="M76"/>
      <c r="N76" s="2"/>
      <c r="R76"/>
      <c r="S76"/>
      <c r="T76"/>
      <c r="U76"/>
      <c r="V76" s="9"/>
    </row>
    <row r="77" spans="2:22" s="1" customFormat="1" ht="12.75" customHeight="1" x14ac:dyDescent="0.2">
      <c r="J77"/>
      <c r="K77"/>
      <c r="L77"/>
      <c r="M77"/>
      <c r="N77" s="2"/>
      <c r="R77"/>
      <c r="S77"/>
      <c r="T77"/>
      <c r="U77"/>
      <c r="V77" s="9"/>
    </row>
    <row r="78" spans="2:22" s="1" customFormat="1" ht="12.75" customHeight="1" x14ac:dyDescent="0.2">
      <c r="J78"/>
      <c r="K78"/>
      <c r="L78"/>
      <c r="M78"/>
      <c r="N78" s="2"/>
      <c r="R78"/>
      <c r="S78"/>
      <c r="T78"/>
      <c r="U78"/>
      <c r="V78" s="9"/>
    </row>
    <row r="79" spans="2:22" s="1" customFormat="1" ht="12.75" customHeight="1" x14ac:dyDescent="0.2">
      <c r="J79"/>
      <c r="K79"/>
      <c r="L79"/>
      <c r="M79"/>
      <c r="N79" s="2"/>
      <c r="R79"/>
      <c r="S79"/>
      <c r="T79"/>
      <c r="U79"/>
      <c r="V79" s="9"/>
    </row>
    <row r="80" spans="2:22" s="1" customFormat="1" ht="12.75" customHeight="1" x14ac:dyDescent="0.2">
      <c r="J80"/>
      <c r="K80"/>
      <c r="L80"/>
      <c r="M80"/>
      <c r="N80" s="2"/>
      <c r="R80"/>
      <c r="S80"/>
      <c r="T80"/>
      <c r="U80"/>
      <c r="V80" s="9"/>
    </row>
    <row r="81" spans="10:22" s="1" customFormat="1" x14ac:dyDescent="0.2">
      <c r="J81"/>
      <c r="K81"/>
      <c r="L81"/>
      <c r="M81"/>
      <c r="N81" s="2"/>
      <c r="R81"/>
      <c r="S81"/>
      <c r="T81"/>
      <c r="U81"/>
      <c r="V81" s="9"/>
    </row>
    <row r="82" spans="10:22" s="1" customFormat="1" ht="12.75" customHeight="1" x14ac:dyDescent="0.2">
      <c r="J82"/>
      <c r="K82"/>
      <c r="L82"/>
      <c r="M82"/>
      <c r="N82" s="2"/>
      <c r="R82"/>
      <c r="S82"/>
      <c r="T82"/>
      <c r="U82"/>
      <c r="V82" s="9"/>
    </row>
    <row r="83" spans="10:22" s="1" customFormat="1" ht="12.75" customHeight="1" x14ac:dyDescent="0.2">
      <c r="J83"/>
      <c r="K83"/>
      <c r="L83"/>
      <c r="M83"/>
      <c r="N83" s="2"/>
      <c r="R83"/>
      <c r="S83"/>
      <c r="T83"/>
      <c r="U83"/>
      <c r="V83" s="9"/>
    </row>
    <row r="84" spans="10:22" s="1" customFormat="1" ht="12.75" customHeight="1" x14ac:dyDescent="0.2">
      <c r="J84"/>
      <c r="K84"/>
      <c r="L84"/>
      <c r="M84"/>
      <c r="N84" s="2"/>
      <c r="R84"/>
      <c r="S84"/>
      <c r="T84"/>
      <c r="U84"/>
      <c r="V84" s="9"/>
    </row>
    <row r="85" spans="10:22" s="1" customFormat="1" ht="12.75" customHeight="1" x14ac:dyDescent="0.2">
      <c r="J85"/>
      <c r="K85"/>
      <c r="L85"/>
      <c r="M85"/>
      <c r="N85" s="2"/>
      <c r="R85"/>
      <c r="S85"/>
      <c r="T85"/>
      <c r="U85"/>
      <c r="V85" s="9"/>
    </row>
    <row r="86" spans="10:22" s="1" customFormat="1" ht="12.75" customHeight="1" x14ac:dyDescent="0.2">
      <c r="J86"/>
      <c r="K86"/>
      <c r="L86"/>
      <c r="M86"/>
      <c r="N86" s="2"/>
      <c r="R86"/>
      <c r="S86"/>
      <c r="T86"/>
      <c r="U86"/>
      <c r="V86" s="9"/>
    </row>
    <row r="87" spans="10:22" s="1" customFormat="1" x14ac:dyDescent="0.2">
      <c r="J87"/>
      <c r="K87"/>
      <c r="L87"/>
      <c r="M87"/>
      <c r="N87" s="2"/>
      <c r="R87"/>
      <c r="S87"/>
      <c r="T87"/>
      <c r="U87"/>
      <c r="V87"/>
    </row>
    <row r="88" spans="10:22" s="1" customFormat="1" x14ac:dyDescent="0.2">
      <c r="J88"/>
      <c r="K88"/>
      <c r="L88"/>
      <c r="M88"/>
      <c r="N88" s="2"/>
      <c r="R88"/>
      <c r="S88"/>
      <c r="T88"/>
      <c r="U88"/>
      <c r="V88"/>
    </row>
    <row r="89" spans="10:22" s="1" customFormat="1" x14ac:dyDescent="0.2">
      <c r="J89"/>
      <c r="K89"/>
      <c r="L89"/>
      <c r="M89"/>
      <c r="N89" s="2"/>
      <c r="R89"/>
      <c r="S89"/>
      <c r="T89"/>
      <c r="U89"/>
      <c r="V89"/>
    </row>
    <row r="90" spans="10:22" s="1" customFormat="1" x14ac:dyDescent="0.2">
      <c r="J90"/>
      <c r="K90"/>
      <c r="L90"/>
      <c r="M90"/>
      <c r="N90" s="2"/>
      <c r="R90"/>
      <c r="S90"/>
      <c r="T90"/>
      <c r="U90"/>
      <c r="V90"/>
    </row>
    <row r="91" spans="10:22" s="1" customFormat="1" x14ac:dyDescent="0.2">
      <c r="J91"/>
      <c r="K91"/>
      <c r="L91"/>
      <c r="M91"/>
      <c r="N91" s="2"/>
      <c r="R91"/>
      <c r="S91"/>
      <c r="T91"/>
      <c r="U91"/>
      <c r="V91"/>
    </row>
    <row r="92" spans="10:22" s="1" customFormat="1" x14ac:dyDescent="0.2">
      <c r="J92"/>
      <c r="K92"/>
      <c r="L92"/>
      <c r="M92"/>
      <c r="N92" s="2"/>
      <c r="R92"/>
      <c r="S92"/>
      <c r="T92"/>
      <c r="U92"/>
      <c r="V92"/>
    </row>
    <row r="93" spans="10:22" s="1" customFormat="1" x14ac:dyDescent="0.2">
      <c r="J93"/>
      <c r="K93"/>
      <c r="L93"/>
      <c r="M93"/>
      <c r="N93" s="2"/>
      <c r="R93"/>
      <c r="S93"/>
      <c r="T93"/>
      <c r="U93"/>
      <c r="V93"/>
    </row>
    <row r="94" spans="10:22" s="1" customFormat="1" x14ac:dyDescent="0.2">
      <c r="J94"/>
      <c r="K94"/>
      <c r="L94"/>
      <c r="M94"/>
      <c r="N94" s="2"/>
      <c r="R94"/>
      <c r="S94"/>
      <c r="T94"/>
      <c r="U94"/>
      <c r="V94"/>
    </row>
    <row r="95" spans="10:22" s="1" customFormat="1" x14ac:dyDescent="0.2">
      <c r="J95"/>
      <c r="K95"/>
      <c r="L95"/>
      <c r="M95"/>
      <c r="N95" s="2"/>
      <c r="R95"/>
      <c r="S95"/>
      <c r="T95"/>
      <c r="U95"/>
      <c r="V95"/>
    </row>
    <row r="96" spans="10:22" s="1" customFormat="1" x14ac:dyDescent="0.2">
      <c r="J96"/>
      <c r="K96"/>
      <c r="L96"/>
      <c r="M96"/>
      <c r="N96" s="2"/>
      <c r="R96"/>
      <c r="S96"/>
      <c r="T96"/>
      <c r="U96"/>
      <c r="V96"/>
    </row>
    <row r="97" spans="10:22" s="1" customFormat="1" x14ac:dyDescent="0.2">
      <c r="J97"/>
      <c r="K97"/>
      <c r="L97"/>
      <c r="M97"/>
      <c r="N97" s="2"/>
      <c r="R97"/>
      <c r="S97"/>
      <c r="T97"/>
      <c r="U97"/>
      <c r="V97"/>
    </row>
    <row r="98" spans="10:22" s="1" customFormat="1" x14ac:dyDescent="0.2">
      <c r="J98"/>
      <c r="K98"/>
      <c r="L98"/>
      <c r="M98"/>
      <c r="N98" s="2"/>
      <c r="R98"/>
      <c r="S98"/>
      <c r="T98"/>
      <c r="U98"/>
      <c r="V98"/>
    </row>
    <row r="99" spans="10:22" s="1" customFormat="1" x14ac:dyDescent="0.2">
      <c r="J99"/>
      <c r="K99"/>
      <c r="L99"/>
      <c r="M99"/>
      <c r="N99" s="2"/>
      <c r="R99"/>
      <c r="S99"/>
      <c r="T99"/>
      <c r="U99"/>
      <c r="V99"/>
    </row>
    <row r="100" spans="10:22" s="1" customFormat="1" x14ac:dyDescent="0.2">
      <c r="J100"/>
      <c r="K100"/>
      <c r="L100"/>
      <c r="M100"/>
      <c r="N100" s="2"/>
      <c r="R100"/>
      <c r="S100"/>
      <c r="T100"/>
      <c r="U100"/>
      <c r="V100"/>
    </row>
    <row r="101" spans="10:22" s="1" customFormat="1" x14ac:dyDescent="0.2">
      <c r="J101"/>
      <c r="K101"/>
      <c r="L101"/>
      <c r="M101"/>
      <c r="N101" s="2"/>
      <c r="R101"/>
      <c r="S101"/>
      <c r="T101"/>
      <c r="U101"/>
      <c r="V101"/>
    </row>
    <row r="102" spans="10:22" s="1" customFormat="1" x14ac:dyDescent="0.2">
      <c r="J102"/>
      <c r="K102"/>
      <c r="L102"/>
      <c r="M102"/>
      <c r="N102" s="2"/>
      <c r="R102"/>
      <c r="S102"/>
      <c r="T102"/>
      <c r="U102"/>
      <c r="V102"/>
    </row>
    <row r="103" spans="10:22" s="1" customFormat="1" x14ac:dyDescent="0.2">
      <c r="J103"/>
      <c r="K103"/>
      <c r="L103"/>
      <c r="M103"/>
      <c r="N103" s="2"/>
      <c r="R103"/>
      <c r="S103"/>
      <c r="T103"/>
      <c r="U103"/>
      <c r="V103"/>
    </row>
    <row r="104" spans="10:22" s="1" customFormat="1" x14ac:dyDescent="0.2">
      <c r="J104"/>
      <c r="K104"/>
      <c r="L104"/>
      <c r="M104"/>
      <c r="N104" s="2"/>
      <c r="R104"/>
      <c r="S104"/>
      <c r="T104"/>
      <c r="U104"/>
      <c r="V104"/>
    </row>
    <row r="105" spans="10:22" s="1" customFormat="1" x14ac:dyDescent="0.2">
      <c r="J105"/>
      <c r="K105"/>
      <c r="L105"/>
      <c r="M105"/>
      <c r="N105" s="2"/>
      <c r="R105"/>
      <c r="S105"/>
      <c r="T105"/>
      <c r="U105"/>
      <c r="V105"/>
    </row>
    <row r="106" spans="10:22" s="1" customFormat="1" x14ac:dyDescent="0.2">
      <c r="J106"/>
      <c r="K106"/>
      <c r="L106"/>
      <c r="M106"/>
      <c r="N106" s="2"/>
      <c r="R106"/>
      <c r="S106"/>
      <c r="T106"/>
      <c r="U106"/>
      <c r="V106"/>
    </row>
    <row r="107" spans="10:22" s="1" customFormat="1" x14ac:dyDescent="0.2">
      <c r="J107"/>
      <c r="K107"/>
      <c r="L107"/>
      <c r="M107"/>
      <c r="N107" s="2"/>
      <c r="R107"/>
      <c r="S107"/>
      <c r="T107"/>
      <c r="U107"/>
      <c r="V107"/>
    </row>
    <row r="108" spans="10:22" s="1" customFormat="1" x14ac:dyDescent="0.2">
      <c r="J108"/>
      <c r="K108"/>
      <c r="L108"/>
      <c r="M108"/>
      <c r="N108" s="2"/>
      <c r="R108"/>
      <c r="S108"/>
      <c r="T108"/>
      <c r="U108"/>
      <c r="V108"/>
    </row>
    <row r="109" spans="10:22" s="1" customFormat="1" x14ac:dyDescent="0.2">
      <c r="J109"/>
      <c r="K109"/>
      <c r="L109"/>
      <c r="M109"/>
      <c r="N109" s="2"/>
      <c r="R109"/>
      <c r="S109"/>
      <c r="T109"/>
      <c r="U109"/>
      <c r="V109"/>
    </row>
    <row r="110" spans="10:22" s="1" customFormat="1" x14ac:dyDescent="0.2">
      <c r="J110"/>
      <c r="K110"/>
      <c r="L110"/>
      <c r="M110"/>
      <c r="N110" s="2"/>
      <c r="R110"/>
      <c r="S110"/>
      <c r="T110"/>
      <c r="U110"/>
      <c r="V110"/>
    </row>
    <row r="111" spans="10:22" s="1" customFormat="1" x14ac:dyDescent="0.2">
      <c r="J111"/>
      <c r="K111"/>
      <c r="L111"/>
      <c r="M111"/>
      <c r="N111" s="2"/>
      <c r="R111"/>
      <c r="S111"/>
      <c r="T111"/>
      <c r="U111"/>
      <c r="V111"/>
    </row>
    <row r="112" spans="10:22" s="1" customFormat="1" x14ac:dyDescent="0.2">
      <c r="J112"/>
      <c r="K112"/>
      <c r="L112"/>
      <c r="M112"/>
      <c r="N112" s="2"/>
      <c r="R112"/>
      <c r="S112"/>
      <c r="T112"/>
      <c r="U112"/>
      <c r="V112"/>
    </row>
    <row r="113" spans="10:22" s="1" customFormat="1" x14ac:dyDescent="0.2">
      <c r="J113"/>
      <c r="K113"/>
      <c r="L113"/>
      <c r="M113"/>
      <c r="N113" s="2"/>
      <c r="R113"/>
      <c r="S113"/>
      <c r="T113"/>
      <c r="U113"/>
      <c r="V113"/>
    </row>
    <row r="114" spans="10:22" s="1" customFormat="1" x14ac:dyDescent="0.2">
      <c r="J114"/>
      <c r="K114"/>
      <c r="L114"/>
      <c r="M114"/>
      <c r="N114" s="2"/>
      <c r="R114"/>
      <c r="S114"/>
      <c r="T114"/>
      <c r="U114"/>
      <c r="V114"/>
    </row>
    <row r="115" spans="10:22" s="1" customFormat="1" x14ac:dyDescent="0.2">
      <c r="J115"/>
      <c r="K115"/>
      <c r="L115"/>
      <c r="M115"/>
      <c r="N115" s="2"/>
      <c r="R115"/>
      <c r="S115"/>
      <c r="T115"/>
      <c r="U115"/>
      <c r="V115"/>
    </row>
    <row r="116" spans="10:22" s="1" customFormat="1" x14ac:dyDescent="0.2">
      <c r="J116"/>
      <c r="K116"/>
      <c r="L116"/>
      <c r="M116"/>
      <c r="N116" s="2"/>
      <c r="R116"/>
      <c r="S116"/>
      <c r="T116"/>
      <c r="U116"/>
      <c r="V116"/>
    </row>
    <row r="117" spans="10:22" s="1" customFormat="1" x14ac:dyDescent="0.2">
      <c r="J117"/>
      <c r="K117"/>
      <c r="L117"/>
      <c r="M117"/>
      <c r="N117" s="2"/>
      <c r="R117"/>
      <c r="S117"/>
      <c r="T117"/>
      <c r="U117"/>
      <c r="V117"/>
    </row>
    <row r="118" spans="10:22" s="1" customFormat="1" x14ac:dyDescent="0.2">
      <c r="J118"/>
      <c r="K118"/>
      <c r="L118"/>
      <c r="M118"/>
      <c r="N118" s="2"/>
      <c r="R118"/>
      <c r="S118"/>
      <c r="T118"/>
      <c r="U118"/>
      <c r="V118"/>
    </row>
    <row r="119" spans="10:22" s="1" customFormat="1" x14ac:dyDescent="0.2">
      <c r="J119"/>
      <c r="K119"/>
      <c r="L119"/>
      <c r="M119"/>
      <c r="N119" s="2"/>
      <c r="R119"/>
      <c r="S119"/>
      <c r="T119"/>
      <c r="U119"/>
      <c r="V119"/>
    </row>
    <row r="120" spans="10:22" s="1" customFormat="1" x14ac:dyDescent="0.2">
      <c r="J120"/>
      <c r="K120"/>
      <c r="L120"/>
      <c r="M120"/>
      <c r="N120" s="2"/>
      <c r="R120"/>
      <c r="S120"/>
      <c r="T120"/>
      <c r="U120"/>
      <c r="V120"/>
    </row>
    <row r="121" spans="10:22" s="1" customFormat="1" x14ac:dyDescent="0.2">
      <c r="J121"/>
      <c r="K121"/>
      <c r="L121"/>
      <c r="M121"/>
      <c r="N121" s="2"/>
      <c r="R121"/>
      <c r="S121"/>
      <c r="T121"/>
      <c r="U121"/>
      <c r="V121"/>
    </row>
    <row r="122" spans="10:22" s="1" customFormat="1" x14ac:dyDescent="0.2">
      <c r="J122"/>
      <c r="K122"/>
      <c r="L122"/>
      <c r="M122"/>
      <c r="N122" s="2"/>
      <c r="R122"/>
      <c r="S122"/>
      <c r="T122"/>
      <c r="U122"/>
      <c r="V122"/>
    </row>
    <row r="123" spans="10:22" s="1" customFormat="1" x14ac:dyDescent="0.2">
      <c r="J123"/>
      <c r="K123"/>
      <c r="L123"/>
      <c r="M123"/>
      <c r="N123" s="2"/>
      <c r="R123"/>
      <c r="S123"/>
      <c r="T123"/>
      <c r="U123"/>
      <c r="V123"/>
    </row>
    <row r="124" spans="10:22" s="1" customFormat="1" x14ac:dyDescent="0.2">
      <c r="J124"/>
      <c r="K124"/>
      <c r="L124"/>
      <c r="M124"/>
      <c r="N124" s="2"/>
      <c r="R124"/>
      <c r="S124"/>
      <c r="T124"/>
      <c r="U124"/>
      <c r="V124"/>
    </row>
    <row r="125" spans="10:22" s="1" customFormat="1" x14ac:dyDescent="0.2">
      <c r="J125"/>
      <c r="K125"/>
      <c r="L125"/>
      <c r="M125"/>
      <c r="N125" s="2"/>
      <c r="R125"/>
      <c r="S125"/>
      <c r="T125"/>
      <c r="U125"/>
      <c r="V125"/>
    </row>
    <row r="126" spans="10:22" s="1" customFormat="1" x14ac:dyDescent="0.2">
      <c r="J126"/>
      <c r="K126"/>
      <c r="L126"/>
      <c r="M126"/>
      <c r="N126" s="2"/>
      <c r="R126"/>
      <c r="S126"/>
      <c r="T126"/>
      <c r="U126"/>
      <c r="V126"/>
    </row>
    <row r="127" spans="10:22" s="1" customFormat="1" x14ac:dyDescent="0.2">
      <c r="J127"/>
      <c r="K127"/>
      <c r="L127"/>
      <c r="M127"/>
      <c r="N127" s="2"/>
      <c r="R127"/>
      <c r="S127"/>
      <c r="T127"/>
      <c r="U127"/>
      <c r="V127"/>
    </row>
    <row r="128" spans="10:22" s="1" customFormat="1" x14ac:dyDescent="0.2">
      <c r="J128"/>
      <c r="K128"/>
      <c r="L128"/>
      <c r="M128"/>
      <c r="N128" s="2"/>
      <c r="R128"/>
      <c r="S128"/>
      <c r="T128"/>
      <c r="U128"/>
      <c r="V128"/>
    </row>
    <row r="129" spans="10:22" s="1" customFormat="1" x14ac:dyDescent="0.2">
      <c r="J129"/>
      <c r="K129"/>
      <c r="L129"/>
      <c r="M129"/>
      <c r="N129" s="2"/>
      <c r="R129"/>
      <c r="S129"/>
      <c r="T129"/>
      <c r="U129"/>
      <c r="V129"/>
    </row>
    <row r="130" spans="10:22" s="1" customFormat="1" x14ac:dyDescent="0.2">
      <c r="J130"/>
      <c r="K130"/>
      <c r="L130"/>
      <c r="M130"/>
      <c r="N130" s="2"/>
      <c r="R130"/>
      <c r="S130"/>
      <c r="T130"/>
      <c r="U130"/>
      <c r="V130"/>
    </row>
    <row r="131" spans="10:22" s="1" customFormat="1" x14ac:dyDescent="0.2">
      <c r="J131"/>
      <c r="K131"/>
      <c r="L131"/>
      <c r="M131"/>
      <c r="N131" s="2"/>
      <c r="R131"/>
      <c r="S131"/>
      <c r="T131"/>
      <c r="U131"/>
      <c r="V131"/>
    </row>
    <row r="132" spans="10:22" s="1" customFormat="1" x14ac:dyDescent="0.2">
      <c r="J132"/>
      <c r="K132"/>
      <c r="L132"/>
      <c r="M132"/>
      <c r="N132" s="2"/>
      <c r="R132"/>
      <c r="S132"/>
      <c r="T132"/>
      <c r="U132"/>
      <c r="V132"/>
    </row>
    <row r="133" spans="10:22" s="1" customFormat="1" x14ac:dyDescent="0.2">
      <c r="J133"/>
      <c r="K133"/>
      <c r="L133"/>
      <c r="M133"/>
      <c r="N133" s="2"/>
      <c r="R133"/>
      <c r="S133"/>
      <c r="T133"/>
      <c r="U133"/>
      <c r="V133"/>
    </row>
    <row r="134" spans="10:22" s="1" customFormat="1" x14ac:dyDescent="0.2">
      <c r="J134"/>
      <c r="K134"/>
      <c r="L134"/>
      <c r="M134"/>
      <c r="N134" s="2"/>
      <c r="R134"/>
      <c r="S134"/>
      <c r="T134"/>
      <c r="U134"/>
      <c r="V134"/>
    </row>
    <row r="135" spans="10:22" s="1" customFormat="1" x14ac:dyDescent="0.2">
      <c r="J135"/>
      <c r="K135"/>
      <c r="L135"/>
      <c r="M135"/>
      <c r="N135" s="2"/>
      <c r="R135"/>
      <c r="S135"/>
      <c r="T135"/>
      <c r="U135"/>
      <c r="V135"/>
    </row>
    <row r="136" spans="10:22" s="1" customFormat="1" x14ac:dyDescent="0.2">
      <c r="J136"/>
      <c r="K136"/>
      <c r="L136"/>
      <c r="M136"/>
      <c r="N136" s="2"/>
      <c r="R136"/>
      <c r="S136"/>
      <c r="T136"/>
      <c r="U136"/>
      <c r="V136"/>
    </row>
    <row r="137" spans="10:22" s="1" customFormat="1" x14ac:dyDescent="0.2">
      <c r="J137"/>
      <c r="K137"/>
      <c r="L137"/>
      <c r="M137"/>
      <c r="N137" s="2"/>
      <c r="R137"/>
      <c r="S137"/>
      <c r="T137"/>
      <c r="U137"/>
      <c r="V137"/>
    </row>
    <row r="138" spans="10:22" s="1" customFormat="1" x14ac:dyDescent="0.2">
      <c r="J138"/>
      <c r="K138"/>
      <c r="L138"/>
      <c r="M138"/>
      <c r="N138" s="2"/>
      <c r="R138"/>
      <c r="S138"/>
      <c r="T138"/>
      <c r="U138"/>
      <c r="V138"/>
    </row>
    <row r="139" spans="10:22" s="1" customFormat="1" x14ac:dyDescent="0.2">
      <c r="J139"/>
      <c r="K139"/>
      <c r="L139"/>
      <c r="M139"/>
      <c r="N139" s="2"/>
      <c r="R139"/>
      <c r="S139"/>
      <c r="T139"/>
      <c r="U139"/>
      <c r="V139"/>
    </row>
    <row r="140" spans="10:22" s="1" customFormat="1" x14ac:dyDescent="0.2">
      <c r="J140"/>
      <c r="K140"/>
      <c r="L140"/>
      <c r="M140"/>
      <c r="N140" s="2"/>
      <c r="R140"/>
      <c r="S140"/>
      <c r="T140"/>
      <c r="U140"/>
      <c r="V140"/>
    </row>
    <row r="141" spans="10:22" s="1" customFormat="1" x14ac:dyDescent="0.2">
      <c r="J141"/>
      <c r="K141"/>
      <c r="L141"/>
      <c r="M141"/>
      <c r="N141" s="2"/>
      <c r="R141"/>
      <c r="S141"/>
      <c r="T141"/>
      <c r="U141"/>
      <c r="V141"/>
    </row>
    <row r="142" spans="10:22" s="1" customFormat="1" x14ac:dyDescent="0.2">
      <c r="J142"/>
      <c r="K142"/>
      <c r="L142"/>
      <c r="M142"/>
      <c r="N142" s="2"/>
      <c r="R142"/>
      <c r="S142"/>
      <c r="T142"/>
      <c r="U142"/>
      <c r="V142"/>
    </row>
    <row r="143" spans="10:22" s="1" customFormat="1" x14ac:dyDescent="0.2">
      <c r="J143"/>
      <c r="K143"/>
      <c r="L143"/>
      <c r="M143"/>
      <c r="N143" s="2"/>
      <c r="R143"/>
      <c r="S143"/>
      <c r="T143"/>
      <c r="U143"/>
      <c r="V143"/>
    </row>
    <row r="144" spans="10:22" s="1" customFormat="1" x14ac:dyDescent="0.2">
      <c r="J144"/>
      <c r="K144"/>
      <c r="L144"/>
      <c r="M144"/>
      <c r="N144" s="2"/>
      <c r="R144"/>
      <c r="S144"/>
      <c r="T144"/>
      <c r="U144"/>
      <c r="V144"/>
    </row>
    <row r="145" spans="10:22" s="1" customFormat="1" x14ac:dyDescent="0.2">
      <c r="J145"/>
      <c r="K145"/>
      <c r="L145"/>
      <c r="M145"/>
      <c r="N145" s="2"/>
      <c r="R145"/>
      <c r="S145"/>
      <c r="T145"/>
      <c r="U145"/>
      <c r="V145"/>
    </row>
    <row r="146" spans="10:22" s="1" customFormat="1" x14ac:dyDescent="0.2">
      <c r="J146"/>
      <c r="K146"/>
      <c r="L146"/>
      <c r="M146"/>
      <c r="N146" s="2"/>
      <c r="R146"/>
      <c r="S146"/>
      <c r="T146"/>
      <c r="U146"/>
      <c r="V146"/>
    </row>
    <row r="147" spans="10:22" s="1" customFormat="1" x14ac:dyDescent="0.2">
      <c r="J147"/>
      <c r="K147"/>
      <c r="L147"/>
      <c r="M147"/>
      <c r="N147" s="2"/>
      <c r="R147"/>
      <c r="S147"/>
      <c r="T147"/>
      <c r="U147"/>
      <c r="V147"/>
    </row>
    <row r="148" spans="10:22" s="1" customFormat="1" x14ac:dyDescent="0.2">
      <c r="J148"/>
      <c r="K148"/>
      <c r="L148"/>
      <c r="M148"/>
      <c r="N148" s="2"/>
      <c r="R148"/>
      <c r="S148"/>
      <c r="T148"/>
      <c r="U148"/>
      <c r="V148"/>
    </row>
    <row r="149" spans="10:22" s="1" customFormat="1" x14ac:dyDescent="0.2">
      <c r="J149"/>
      <c r="K149"/>
      <c r="L149"/>
      <c r="M149"/>
      <c r="N149" s="2"/>
      <c r="R149"/>
      <c r="S149"/>
      <c r="T149"/>
      <c r="U149"/>
      <c r="V149"/>
    </row>
    <row r="150" spans="10:22" s="1" customFormat="1" x14ac:dyDescent="0.2">
      <c r="J150"/>
      <c r="K150"/>
      <c r="L150"/>
      <c r="M150"/>
      <c r="N150" s="2"/>
      <c r="R150"/>
      <c r="S150"/>
      <c r="T150"/>
      <c r="U150"/>
      <c r="V150"/>
    </row>
    <row r="151" spans="10:22" s="1" customFormat="1" x14ac:dyDescent="0.2">
      <c r="J151"/>
      <c r="K151"/>
      <c r="L151"/>
      <c r="M151"/>
      <c r="N151" s="2"/>
      <c r="R151"/>
      <c r="S151"/>
      <c r="T151"/>
      <c r="U151"/>
      <c r="V151"/>
    </row>
    <row r="152" spans="10:22" s="1" customFormat="1" x14ac:dyDescent="0.2">
      <c r="J152"/>
      <c r="K152"/>
      <c r="L152"/>
      <c r="M152"/>
      <c r="N152" s="2"/>
      <c r="R152"/>
      <c r="S152"/>
      <c r="T152"/>
      <c r="U152"/>
      <c r="V152"/>
    </row>
    <row r="153" spans="10:22" s="1" customFormat="1" x14ac:dyDescent="0.2">
      <c r="J153"/>
      <c r="K153"/>
      <c r="L153"/>
      <c r="M153"/>
      <c r="N153" s="2"/>
      <c r="R153"/>
      <c r="S153"/>
      <c r="T153"/>
      <c r="U153"/>
      <c r="V153"/>
    </row>
    <row r="154" spans="10:22" s="1" customFormat="1" x14ac:dyDescent="0.2">
      <c r="J154"/>
      <c r="K154"/>
      <c r="L154"/>
      <c r="M154"/>
      <c r="N154" s="2"/>
      <c r="R154"/>
      <c r="S154"/>
      <c r="T154"/>
      <c r="U154"/>
      <c r="V154"/>
    </row>
    <row r="155" spans="10:22" s="1" customFormat="1" x14ac:dyDescent="0.2">
      <c r="J155"/>
      <c r="K155"/>
      <c r="L155"/>
      <c r="M155"/>
      <c r="N155" s="2"/>
      <c r="R155"/>
      <c r="S155"/>
      <c r="T155"/>
      <c r="U155"/>
      <c r="V155"/>
    </row>
    <row r="156" spans="10:22" s="1" customFormat="1" x14ac:dyDescent="0.2">
      <c r="J156"/>
      <c r="K156"/>
      <c r="L156"/>
      <c r="M156"/>
      <c r="N156" s="2"/>
      <c r="R156"/>
      <c r="S156"/>
      <c r="T156"/>
      <c r="U156"/>
      <c r="V156"/>
    </row>
    <row r="157" spans="10:22" s="1" customFormat="1" x14ac:dyDescent="0.2">
      <c r="J157"/>
      <c r="K157"/>
      <c r="L157"/>
      <c r="M157"/>
      <c r="N157" s="2"/>
      <c r="R157"/>
      <c r="S157"/>
      <c r="T157"/>
      <c r="U157"/>
      <c r="V157"/>
    </row>
    <row r="158" spans="10:22" s="1" customFormat="1" x14ac:dyDescent="0.2">
      <c r="J158"/>
      <c r="K158"/>
      <c r="L158"/>
      <c r="M158"/>
      <c r="N158" s="2"/>
      <c r="R158"/>
      <c r="S158"/>
      <c r="T158"/>
      <c r="U158"/>
      <c r="V158"/>
    </row>
    <row r="159" spans="10:22" s="1" customFormat="1" x14ac:dyDescent="0.2">
      <c r="J159"/>
      <c r="K159"/>
      <c r="L159"/>
      <c r="M159"/>
      <c r="N159" s="2"/>
      <c r="R159"/>
      <c r="S159"/>
      <c r="T159"/>
      <c r="U159"/>
      <c r="V159"/>
    </row>
    <row r="160" spans="10:22" s="1" customFormat="1" x14ac:dyDescent="0.2">
      <c r="J160"/>
      <c r="K160"/>
      <c r="L160"/>
      <c r="M160"/>
      <c r="N160" s="2"/>
      <c r="R160"/>
      <c r="S160"/>
      <c r="T160"/>
      <c r="U160"/>
      <c r="V160"/>
    </row>
    <row r="161" spans="10:22" s="1" customFormat="1" x14ac:dyDescent="0.2">
      <c r="J161"/>
      <c r="K161"/>
      <c r="L161"/>
      <c r="M161"/>
      <c r="N161" s="2"/>
      <c r="R161"/>
      <c r="S161"/>
      <c r="T161"/>
      <c r="U161"/>
      <c r="V161"/>
    </row>
    <row r="162" spans="10:22" s="1" customFormat="1" x14ac:dyDescent="0.2">
      <c r="J162"/>
      <c r="K162"/>
      <c r="L162"/>
      <c r="M162"/>
      <c r="N162" s="2"/>
      <c r="R162"/>
      <c r="S162"/>
      <c r="T162"/>
      <c r="U162"/>
      <c r="V162"/>
    </row>
    <row r="163" spans="10:22" s="1" customFormat="1" x14ac:dyDescent="0.2">
      <c r="J163"/>
      <c r="K163"/>
      <c r="L163"/>
      <c r="M163"/>
      <c r="N163" s="2"/>
      <c r="R163"/>
      <c r="S163"/>
      <c r="T163"/>
      <c r="U163"/>
      <c r="V163"/>
    </row>
    <row r="164" spans="10:22" s="1" customFormat="1" x14ac:dyDescent="0.2">
      <c r="J164"/>
      <c r="K164"/>
      <c r="L164"/>
      <c r="M164"/>
      <c r="N164" s="2"/>
      <c r="R164"/>
      <c r="S164"/>
      <c r="T164"/>
      <c r="U164"/>
      <c r="V164"/>
    </row>
    <row r="165" spans="10:22" s="1" customFormat="1" x14ac:dyDescent="0.2">
      <c r="J165"/>
      <c r="K165"/>
      <c r="L165"/>
      <c r="M165"/>
      <c r="N165" s="2"/>
      <c r="R165"/>
      <c r="S165"/>
      <c r="T165"/>
      <c r="U165"/>
      <c r="V165"/>
    </row>
    <row r="166" spans="10:22" s="1" customFormat="1" x14ac:dyDescent="0.2">
      <c r="J166"/>
      <c r="K166"/>
      <c r="L166"/>
      <c r="M166"/>
      <c r="N166" s="2"/>
      <c r="R166"/>
      <c r="S166"/>
      <c r="T166"/>
      <c r="U166"/>
      <c r="V166"/>
    </row>
    <row r="167" spans="10:22" s="1" customFormat="1" x14ac:dyDescent="0.2">
      <c r="J167"/>
      <c r="K167"/>
      <c r="L167"/>
      <c r="M167"/>
      <c r="N167" s="2"/>
      <c r="R167"/>
      <c r="S167"/>
      <c r="T167"/>
      <c r="U167"/>
      <c r="V167"/>
    </row>
    <row r="168" spans="10:22" s="1" customFormat="1" x14ac:dyDescent="0.2">
      <c r="J168"/>
      <c r="K168"/>
      <c r="L168"/>
      <c r="M168"/>
      <c r="N168" s="2"/>
      <c r="R168"/>
      <c r="S168"/>
      <c r="T168"/>
      <c r="U168"/>
      <c r="V168"/>
    </row>
    <row r="169" spans="10:22" s="1" customFormat="1" x14ac:dyDescent="0.2">
      <c r="J169"/>
      <c r="K169"/>
      <c r="L169"/>
      <c r="M169"/>
      <c r="N169" s="2"/>
      <c r="R169"/>
      <c r="S169"/>
      <c r="T169"/>
      <c r="U169"/>
      <c r="V169"/>
    </row>
    <row r="170" spans="10:22" s="1" customFormat="1" x14ac:dyDescent="0.2">
      <c r="J170"/>
      <c r="K170"/>
      <c r="L170"/>
      <c r="M170"/>
      <c r="N170" s="2"/>
      <c r="R170"/>
      <c r="S170"/>
      <c r="T170"/>
      <c r="U170"/>
      <c r="V170"/>
    </row>
    <row r="171" spans="10:22" s="1" customFormat="1" x14ac:dyDescent="0.2">
      <c r="J171"/>
      <c r="K171"/>
      <c r="L171"/>
      <c r="M171"/>
      <c r="N171" s="2"/>
      <c r="R171"/>
      <c r="S171"/>
      <c r="T171"/>
      <c r="U171"/>
      <c r="V171"/>
    </row>
    <row r="172" spans="10:22" s="1" customFormat="1" x14ac:dyDescent="0.2">
      <c r="J172"/>
      <c r="K172"/>
      <c r="L172"/>
      <c r="M172"/>
      <c r="N172" s="2"/>
      <c r="R172"/>
      <c r="S172"/>
      <c r="T172"/>
      <c r="U172"/>
      <c r="V172"/>
    </row>
    <row r="173" spans="10:22" s="1" customFormat="1" x14ac:dyDescent="0.2">
      <c r="J173"/>
      <c r="K173"/>
      <c r="L173"/>
      <c r="M173"/>
      <c r="N173" s="2"/>
      <c r="R173"/>
      <c r="S173"/>
      <c r="T173"/>
      <c r="U173"/>
      <c r="V173"/>
    </row>
    <row r="174" spans="10:22" s="1" customFormat="1" x14ac:dyDescent="0.2">
      <c r="J174"/>
      <c r="K174"/>
      <c r="L174"/>
      <c r="M174"/>
      <c r="N174" s="2"/>
      <c r="R174"/>
      <c r="S174"/>
      <c r="T174"/>
      <c r="U174"/>
      <c r="V174"/>
    </row>
    <row r="175" spans="10:22" s="1" customFormat="1" x14ac:dyDescent="0.2">
      <c r="J175"/>
      <c r="K175"/>
      <c r="L175"/>
      <c r="M175"/>
      <c r="N175" s="2"/>
      <c r="R175"/>
      <c r="S175"/>
      <c r="T175"/>
      <c r="U175"/>
      <c r="V175"/>
    </row>
    <row r="176" spans="10:22" s="1" customFormat="1" x14ac:dyDescent="0.2">
      <c r="J176"/>
      <c r="K176"/>
      <c r="L176"/>
      <c r="M176"/>
      <c r="N176" s="2"/>
      <c r="R176"/>
      <c r="S176"/>
      <c r="T176"/>
      <c r="U176"/>
      <c r="V176"/>
    </row>
    <row r="177" spans="10:22" s="1" customFormat="1" x14ac:dyDescent="0.2">
      <c r="J177"/>
      <c r="K177"/>
      <c r="L177"/>
      <c r="M177"/>
      <c r="N177" s="2"/>
      <c r="R177"/>
      <c r="S177"/>
      <c r="T177"/>
      <c r="U177"/>
      <c r="V177"/>
    </row>
    <row r="178" spans="10:22" s="1" customFormat="1" x14ac:dyDescent="0.2">
      <c r="J178"/>
      <c r="K178"/>
      <c r="L178"/>
      <c r="M178"/>
      <c r="N178" s="2"/>
      <c r="R178"/>
      <c r="S178"/>
      <c r="T178"/>
      <c r="U178"/>
      <c r="V178"/>
    </row>
    <row r="179" spans="10:22" s="1" customFormat="1" x14ac:dyDescent="0.2">
      <c r="J179"/>
      <c r="K179"/>
      <c r="L179"/>
      <c r="M179"/>
      <c r="N179" s="2"/>
      <c r="R179"/>
      <c r="S179"/>
      <c r="T179"/>
      <c r="U179"/>
      <c r="V179"/>
    </row>
    <row r="180" spans="10:22" s="1" customFormat="1" x14ac:dyDescent="0.2">
      <c r="J180"/>
      <c r="K180"/>
      <c r="L180"/>
      <c r="M180"/>
      <c r="N180" s="2"/>
      <c r="R180"/>
      <c r="S180"/>
      <c r="T180"/>
      <c r="U180"/>
      <c r="V180"/>
    </row>
    <row r="181" spans="10:22" s="1" customFormat="1" x14ac:dyDescent="0.2">
      <c r="J181"/>
      <c r="K181"/>
      <c r="L181"/>
      <c r="M181"/>
      <c r="N181" s="2"/>
      <c r="R181"/>
      <c r="S181"/>
      <c r="T181"/>
      <c r="U181"/>
      <c r="V181"/>
    </row>
    <row r="182" spans="10:22" s="1" customFormat="1" x14ac:dyDescent="0.2">
      <c r="J182"/>
      <c r="K182"/>
      <c r="L182"/>
      <c r="M182"/>
      <c r="N182" s="2"/>
      <c r="R182"/>
      <c r="S182"/>
      <c r="T182"/>
      <c r="U182"/>
      <c r="V182"/>
    </row>
    <row r="183" spans="10:22" s="1" customFormat="1" x14ac:dyDescent="0.2">
      <c r="J183"/>
      <c r="K183"/>
      <c r="L183"/>
      <c r="M183"/>
      <c r="N183" s="2"/>
      <c r="R183"/>
      <c r="S183"/>
      <c r="T183"/>
      <c r="U183"/>
      <c r="V183"/>
    </row>
    <row r="184" spans="10:22" s="1" customFormat="1" x14ac:dyDescent="0.2">
      <c r="J184"/>
      <c r="K184"/>
      <c r="L184"/>
      <c r="M184"/>
      <c r="N184" s="2"/>
      <c r="R184"/>
      <c r="S184"/>
      <c r="T184"/>
      <c r="U184"/>
      <c r="V184"/>
    </row>
    <row r="185" spans="10:22" s="1" customFormat="1" x14ac:dyDescent="0.2">
      <c r="J185"/>
      <c r="K185"/>
      <c r="L185"/>
      <c r="M185"/>
      <c r="N185" s="2"/>
      <c r="R185"/>
      <c r="S185"/>
      <c r="T185"/>
      <c r="U185"/>
      <c r="V185"/>
    </row>
    <row r="186" spans="10:22" s="1" customFormat="1" x14ac:dyDescent="0.2">
      <c r="J186"/>
      <c r="K186"/>
      <c r="L186"/>
      <c r="M186"/>
      <c r="N186" s="2"/>
      <c r="R186"/>
      <c r="S186"/>
      <c r="T186"/>
      <c r="U186"/>
      <c r="V186"/>
    </row>
    <row r="187" spans="10:22" s="1" customFormat="1" x14ac:dyDescent="0.2">
      <c r="J187"/>
      <c r="K187"/>
      <c r="L187"/>
      <c r="M187"/>
      <c r="N187" s="2"/>
      <c r="R187"/>
      <c r="S187"/>
      <c r="T187"/>
      <c r="U187"/>
      <c r="V187"/>
    </row>
    <row r="188" spans="10:22" s="1" customFormat="1" x14ac:dyDescent="0.2">
      <c r="J188"/>
      <c r="K188"/>
      <c r="L188"/>
      <c r="M188"/>
      <c r="N188" s="2"/>
      <c r="R188"/>
      <c r="S188"/>
      <c r="T188"/>
      <c r="U188"/>
      <c r="V188"/>
    </row>
    <row r="189" spans="10:22" s="1" customFormat="1" x14ac:dyDescent="0.2">
      <c r="J189"/>
      <c r="K189"/>
      <c r="L189"/>
      <c r="M189"/>
      <c r="N189" s="2"/>
      <c r="R189"/>
      <c r="S189"/>
      <c r="T189"/>
      <c r="U189"/>
      <c r="V189"/>
    </row>
    <row r="190" spans="10:22" s="1" customFormat="1" x14ac:dyDescent="0.2">
      <c r="J190"/>
      <c r="K190"/>
      <c r="L190"/>
      <c r="M190"/>
      <c r="N190" s="2"/>
      <c r="R190"/>
      <c r="S190"/>
      <c r="T190"/>
      <c r="U190"/>
      <c r="V190"/>
    </row>
    <row r="191" spans="10:22" s="1" customFormat="1" x14ac:dyDescent="0.2">
      <c r="J191"/>
      <c r="K191"/>
      <c r="L191"/>
      <c r="M191"/>
      <c r="N191" s="2"/>
      <c r="R191"/>
      <c r="S191"/>
      <c r="T191"/>
      <c r="U191"/>
      <c r="V191"/>
    </row>
    <row r="192" spans="10:22" s="1" customFormat="1" x14ac:dyDescent="0.2">
      <c r="J192"/>
      <c r="K192"/>
      <c r="L192"/>
      <c r="M192"/>
      <c r="N192" s="2"/>
      <c r="R192"/>
      <c r="S192"/>
      <c r="T192"/>
      <c r="U192"/>
      <c r="V192"/>
    </row>
    <row r="193" spans="10:22" s="1" customFormat="1" x14ac:dyDescent="0.2">
      <c r="J193"/>
      <c r="K193"/>
      <c r="L193"/>
      <c r="M193"/>
      <c r="N193" s="2"/>
      <c r="R193"/>
      <c r="S193"/>
      <c r="T193"/>
      <c r="U193"/>
      <c r="V193"/>
    </row>
    <row r="194" spans="10:22" s="1" customFormat="1" x14ac:dyDescent="0.2">
      <c r="J194"/>
      <c r="K194"/>
      <c r="L194"/>
      <c r="M194"/>
      <c r="N194" s="2"/>
      <c r="R194"/>
      <c r="S194"/>
      <c r="T194"/>
      <c r="U194"/>
      <c r="V194"/>
    </row>
    <row r="195" spans="10:22" s="1" customFormat="1" x14ac:dyDescent="0.2">
      <c r="J195"/>
      <c r="K195"/>
      <c r="L195"/>
      <c r="M195"/>
      <c r="N195" s="2"/>
      <c r="R195"/>
      <c r="S195"/>
      <c r="T195"/>
      <c r="U195"/>
      <c r="V195"/>
    </row>
    <row r="196" spans="10:22" s="1" customFormat="1" x14ac:dyDescent="0.2">
      <c r="J196"/>
      <c r="K196"/>
      <c r="L196"/>
      <c r="M196"/>
      <c r="N196" s="2"/>
      <c r="R196"/>
      <c r="S196"/>
      <c r="T196"/>
      <c r="U196"/>
      <c r="V196"/>
    </row>
    <row r="197" spans="10:22" s="1" customFormat="1" x14ac:dyDescent="0.2">
      <c r="J197"/>
      <c r="K197"/>
      <c r="L197"/>
      <c r="M197"/>
      <c r="N197" s="2"/>
      <c r="R197"/>
      <c r="S197"/>
      <c r="T197"/>
      <c r="U197"/>
      <c r="V197"/>
    </row>
    <row r="198" spans="10:22" s="1" customFormat="1" x14ac:dyDescent="0.2">
      <c r="J198"/>
      <c r="K198"/>
      <c r="L198"/>
      <c r="M198"/>
      <c r="N198" s="2"/>
      <c r="R198"/>
      <c r="S198"/>
      <c r="T198"/>
      <c r="U198"/>
      <c r="V198"/>
    </row>
    <row r="199" spans="10:22" s="1" customFormat="1" x14ac:dyDescent="0.2">
      <c r="J199"/>
      <c r="K199"/>
      <c r="L199"/>
      <c r="M199"/>
      <c r="N199" s="2"/>
      <c r="R199"/>
      <c r="S199"/>
      <c r="T199"/>
      <c r="U199"/>
      <c r="V199"/>
    </row>
    <row r="200" spans="10:22" s="1" customFormat="1" x14ac:dyDescent="0.2">
      <c r="J200"/>
      <c r="K200"/>
      <c r="L200"/>
      <c r="M200"/>
      <c r="N200" s="2"/>
      <c r="R200"/>
      <c r="S200"/>
      <c r="T200"/>
      <c r="U200"/>
      <c r="V200"/>
    </row>
    <row r="201" spans="10:22" s="1" customFormat="1" x14ac:dyDescent="0.2">
      <c r="J201"/>
      <c r="K201"/>
      <c r="L201"/>
      <c r="M201"/>
      <c r="N201" s="2"/>
      <c r="R201"/>
      <c r="S201"/>
      <c r="T201"/>
      <c r="U201"/>
      <c r="V201"/>
    </row>
    <row r="202" spans="10:22" s="1" customFormat="1" x14ac:dyDescent="0.2">
      <c r="J202"/>
      <c r="K202"/>
      <c r="L202"/>
      <c r="M202"/>
      <c r="N202" s="2"/>
      <c r="R202"/>
      <c r="S202"/>
      <c r="T202"/>
      <c r="U202"/>
      <c r="V202"/>
    </row>
    <row r="203" spans="10:22" s="1" customFormat="1" x14ac:dyDescent="0.2">
      <c r="J203"/>
      <c r="K203"/>
      <c r="L203"/>
      <c r="M203"/>
      <c r="N203" s="2"/>
      <c r="R203"/>
      <c r="S203"/>
      <c r="T203"/>
      <c r="U203"/>
      <c r="V203"/>
    </row>
    <row r="204" spans="10:22" s="1" customFormat="1" x14ac:dyDescent="0.2">
      <c r="J204"/>
      <c r="K204"/>
      <c r="L204"/>
      <c r="M204"/>
      <c r="N204" s="2"/>
      <c r="R204"/>
      <c r="S204"/>
      <c r="T204"/>
      <c r="U204"/>
      <c r="V204"/>
    </row>
    <row r="205" spans="10:22" s="1" customFormat="1" x14ac:dyDescent="0.2">
      <c r="J205"/>
      <c r="K205"/>
      <c r="L205"/>
      <c r="M205"/>
      <c r="N205" s="2"/>
      <c r="R205"/>
      <c r="S205"/>
      <c r="T205"/>
      <c r="U205"/>
      <c r="V205"/>
    </row>
    <row r="206" spans="10:22" s="1" customFormat="1" x14ac:dyDescent="0.2">
      <c r="J206"/>
      <c r="K206"/>
      <c r="L206"/>
      <c r="M206"/>
      <c r="N206" s="2"/>
      <c r="R206"/>
      <c r="S206"/>
      <c r="T206"/>
      <c r="U206"/>
      <c r="V206"/>
    </row>
    <row r="207" spans="10:22" s="1" customFormat="1" x14ac:dyDescent="0.2">
      <c r="J207"/>
      <c r="K207"/>
      <c r="L207"/>
      <c r="M207"/>
      <c r="N207" s="2"/>
      <c r="R207"/>
      <c r="S207"/>
      <c r="T207"/>
      <c r="U207"/>
      <c r="V207"/>
    </row>
    <row r="208" spans="10:22" s="1" customFormat="1" x14ac:dyDescent="0.2">
      <c r="J208"/>
      <c r="K208"/>
      <c r="L208"/>
      <c r="M208"/>
      <c r="N208" s="2"/>
      <c r="R208"/>
      <c r="S208"/>
      <c r="T208"/>
      <c r="U208"/>
      <c r="V208"/>
    </row>
    <row r="209" spans="10:22" s="1" customFormat="1" x14ac:dyDescent="0.2">
      <c r="J209"/>
      <c r="K209"/>
      <c r="L209"/>
      <c r="M209"/>
      <c r="N209" s="2"/>
      <c r="R209"/>
      <c r="S209"/>
      <c r="T209"/>
      <c r="U209"/>
      <c r="V209"/>
    </row>
    <row r="210" spans="10:22" s="1" customFormat="1" x14ac:dyDescent="0.2">
      <c r="J210"/>
      <c r="K210"/>
      <c r="L210"/>
      <c r="M210"/>
      <c r="N210" s="2"/>
      <c r="R210"/>
      <c r="S210"/>
      <c r="T210"/>
      <c r="U210"/>
      <c r="V210"/>
    </row>
    <row r="211" spans="10:22" s="1" customFormat="1" x14ac:dyDescent="0.2">
      <c r="J211"/>
      <c r="K211"/>
      <c r="L211"/>
      <c r="M211"/>
      <c r="N211" s="2"/>
      <c r="R211"/>
      <c r="S211"/>
      <c r="T211"/>
      <c r="U211"/>
      <c r="V211"/>
    </row>
    <row r="212" spans="10:22" s="1" customFormat="1" x14ac:dyDescent="0.2">
      <c r="J212"/>
      <c r="K212"/>
      <c r="L212"/>
      <c r="M212"/>
      <c r="N212" s="2"/>
      <c r="R212"/>
      <c r="S212"/>
      <c r="T212"/>
      <c r="U212"/>
      <c r="V212"/>
    </row>
    <row r="213" spans="10:22" s="1" customFormat="1" x14ac:dyDescent="0.2">
      <c r="J213"/>
      <c r="K213"/>
      <c r="L213"/>
      <c r="M213"/>
      <c r="N213" s="2"/>
      <c r="R213"/>
      <c r="S213"/>
      <c r="T213"/>
      <c r="U213"/>
      <c r="V213"/>
    </row>
    <row r="214" spans="10:22" s="1" customFormat="1" x14ac:dyDescent="0.2">
      <c r="J214"/>
      <c r="K214"/>
      <c r="L214"/>
      <c r="M214"/>
      <c r="N214" s="2"/>
      <c r="R214"/>
      <c r="S214"/>
      <c r="T214"/>
      <c r="U214"/>
      <c r="V214"/>
    </row>
    <row r="215" spans="10:22" s="1" customFormat="1" x14ac:dyDescent="0.2">
      <c r="J215"/>
      <c r="K215"/>
      <c r="L215"/>
      <c r="M215"/>
      <c r="N215" s="2"/>
      <c r="R215"/>
      <c r="S215"/>
      <c r="T215"/>
      <c r="U215"/>
      <c r="V215"/>
    </row>
    <row r="216" spans="10:22" s="1" customFormat="1" x14ac:dyDescent="0.2">
      <c r="J216"/>
      <c r="K216"/>
      <c r="L216"/>
      <c r="M216"/>
      <c r="N216" s="2"/>
      <c r="R216"/>
      <c r="S216"/>
      <c r="T216"/>
      <c r="U216"/>
      <c r="V216"/>
    </row>
    <row r="217" spans="10:22" s="1" customFormat="1" x14ac:dyDescent="0.2">
      <c r="J217"/>
      <c r="K217"/>
      <c r="L217"/>
      <c r="M217"/>
      <c r="N217" s="2"/>
      <c r="R217"/>
      <c r="S217"/>
      <c r="T217"/>
      <c r="U217"/>
      <c r="V217"/>
    </row>
    <row r="218" spans="10:22" s="1" customFormat="1" x14ac:dyDescent="0.2">
      <c r="J218"/>
      <c r="K218"/>
      <c r="L218"/>
      <c r="M218"/>
      <c r="N218" s="2"/>
      <c r="R218"/>
      <c r="S218"/>
      <c r="T218"/>
      <c r="U218"/>
      <c r="V218"/>
    </row>
    <row r="219" spans="10:22" s="1" customFormat="1" x14ac:dyDescent="0.2">
      <c r="J219"/>
      <c r="K219"/>
      <c r="L219"/>
      <c r="M219"/>
      <c r="N219" s="2"/>
      <c r="R219"/>
      <c r="S219"/>
      <c r="T219"/>
      <c r="U219"/>
      <c r="V219"/>
    </row>
    <row r="220" spans="10:22" s="1" customFormat="1" x14ac:dyDescent="0.2">
      <c r="J220"/>
      <c r="K220"/>
      <c r="L220"/>
      <c r="M220"/>
      <c r="N220" s="2"/>
      <c r="R220"/>
      <c r="S220"/>
      <c r="T220"/>
      <c r="U220"/>
      <c r="V220"/>
    </row>
    <row r="221" spans="10:22" s="1" customFormat="1" x14ac:dyDescent="0.2">
      <c r="J221"/>
      <c r="K221"/>
      <c r="L221"/>
      <c r="M221"/>
      <c r="N221" s="2"/>
      <c r="R221"/>
      <c r="S221"/>
      <c r="T221"/>
      <c r="U221"/>
      <c r="V221"/>
    </row>
    <row r="222" spans="10:22" s="1" customFormat="1" x14ac:dyDescent="0.2">
      <c r="J222"/>
      <c r="K222"/>
      <c r="L222"/>
      <c r="M222"/>
      <c r="N222" s="2"/>
      <c r="R222"/>
      <c r="S222"/>
      <c r="T222"/>
      <c r="U222"/>
      <c r="V222"/>
    </row>
    <row r="223" spans="10:22" s="1" customFormat="1" x14ac:dyDescent="0.2">
      <c r="J223"/>
      <c r="K223"/>
      <c r="L223"/>
      <c r="M223"/>
      <c r="N223" s="2"/>
      <c r="R223"/>
      <c r="S223"/>
      <c r="T223"/>
      <c r="U223"/>
      <c r="V223"/>
    </row>
    <row r="224" spans="10:22" s="1" customFormat="1" x14ac:dyDescent="0.2">
      <c r="J224"/>
      <c r="K224"/>
      <c r="L224"/>
      <c r="M224"/>
      <c r="N224" s="2"/>
      <c r="R224"/>
      <c r="S224"/>
      <c r="T224"/>
      <c r="U224"/>
      <c r="V224"/>
    </row>
    <row r="225" spans="10:22" s="1" customFormat="1" x14ac:dyDescent="0.2">
      <c r="J225"/>
      <c r="K225"/>
      <c r="L225"/>
      <c r="M225"/>
      <c r="N225" s="2"/>
      <c r="R225"/>
      <c r="S225"/>
      <c r="T225"/>
      <c r="U225"/>
      <c r="V225"/>
    </row>
    <row r="226" spans="10:22" s="1" customFormat="1" x14ac:dyDescent="0.2">
      <c r="J226"/>
      <c r="K226"/>
      <c r="L226"/>
      <c r="M226"/>
      <c r="N226" s="2"/>
      <c r="R226"/>
      <c r="S226"/>
      <c r="T226"/>
      <c r="U226"/>
      <c r="V226"/>
    </row>
    <row r="227" spans="10:22" s="1" customFormat="1" x14ac:dyDescent="0.2">
      <c r="J227"/>
      <c r="K227"/>
      <c r="L227"/>
      <c r="M227"/>
      <c r="N227" s="2"/>
      <c r="R227"/>
      <c r="S227"/>
      <c r="T227"/>
      <c r="U227"/>
      <c r="V227"/>
    </row>
    <row r="228" spans="10:22" s="1" customFormat="1" x14ac:dyDescent="0.2">
      <c r="J228"/>
      <c r="K228"/>
      <c r="L228"/>
      <c r="M228"/>
      <c r="N228" s="2"/>
      <c r="R228"/>
      <c r="S228"/>
      <c r="T228"/>
      <c r="U228"/>
      <c r="V228"/>
    </row>
    <row r="229" spans="10:22" s="1" customFormat="1" x14ac:dyDescent="0.2">
      <c r="J229"/>
      <c r="K229"/>
      <c r="L229"/>
      <c r="M229"/>
      <c r="N229" s="2"/>
      <c r="R229"/>
      <c r="S229"/>
      <c r="T229"/>
      <c r="U229"/>
      <c r="V229"/>
    </row>
    <row r="230" spans="10:22" s="1" customFormat="1" x14ac:dyDescent="0.2">
      <c r="J230"/>
      <c r="K230"/>
      <c r="L230"/>
      <c r="M230"/>
      <c r="N230" s="2"/>
      <c r="R230"/>
      <c r="S230"/>
      <c r="T230"/>
      <c r="U230"/>
      <c r="V230"/>
    </row>
    <row r="231" spans="10:22" s="1" customFormat="1" x14ac:dyDescent="0.2">
      <c r="J231"/>
      <c r="K231"/>
      <c r="L231"/>
      <c r="M231"/>
      <c r="N231" s="2"/>
      <c r="R231"/>
      <c r="S231"/>
      <c r="T231"/>
      <c r="U231"/>
      <c r="V231"/>
    </row>
    <row r="232" spans="10:22" s="1" customFormat="1" x14ac:dyDescent="0.2">
      <c r="J232"/>
      <c r="K232"/>
      <c r="L232"/>
      <c r="M232"/>
      <c r="N232" s="2"/>
      <c r="R232"/>
      <c r="S232"/>
      <c r="T232"/>
      <c r="U232"/>
      <c r="V232"/>
    </row>
    <row r="233" spans="10:22" s="1" customFormat="1" x14ac:dyDescent="0.2">
      <c r="J233"/>
      <c r="K233"/>
      <c r="L233"/>
      <c r="M233"/>
      <c r="N233" s="2"/>
      <c r="R233"/>
      <c r="S233"/>
      <c r="T233"/>
      <c r="U233"/>
      <c r="V233"/>
    </row>
    <row r="234" spans="10:22" s="1" customFormat="1" x14ac:dyDescent="0.2">
      <c r="J234"/>
      <c r="K234"/>
      <c r="L234"/>
      <c r="M234"/>
      <c r="N234" s="2"/>
      <c r="R234"/>
      <c r="S234"/>
      <c r="T234"/>
      <c r="U234"/>
      <c r="V234"/>
    </row>
    <row r="235" spans="10:22" s="1" customFormat="1" x14ac:dyDescent="0.2">
      <c r="J235"/>
      <c r="K235"/>
      <c r="L235"/>
      <c r="M235"/>
      <c r="N235" s="2"/>
      <c r="R235"/>
      <c r="S235"/>
      <c r="T235"/>
      <c r="U235"/>
      <c r="V235"/>
    </row>
    <row r="236" spans="10:22" s="1" customFormat="1" x14ac:dyDescent="0.2">
      <c r="J236"/>
      <c r="K236"/>
      <c r="L236"/>
      <c r="M236"/>
      <c r="N236" s="2"/>
      <c r="R236"/>
      <c r="S236"/>
      <c r="T236"/>
      <c r="U236"/>
      <c r="V236"/>
    </row>
    <row r="237" spans="10:22" s="1" customFormat="1" x14ac:dyDescent="0.2">
      <c r="J237"/>
      <c r="K237"/>
      <c r="L237"/>
      <c r="M237"/>
      <c r="N237" s="2"/>
      <c r="R237"/>
      <c r="S237"/>
      <c r="T237"/>
      <c r="U237"/>
      <c r="V237"/>
    </row>
    <row r="238" spans="10:22" s="1" customFormat="1" x14ac:dyDescent="0.2">
      <c r="J238"/>
      <c r="K238"/>
      <c r="L238"/>
      <c r="M238"/>
      <c r="N238" s="2"/>
      <c r="R238"/>
      <c r="S238"/>
      <c r="T238"/>
      <c r="U238"/>
      <c r="V238"/>
    </row>
    <row r="239" spans="10:22" s="1" customFormat="1" x14ac:dyDescent="0.2">
      <c r="J239"/>
      <c r="K239"/>
      <c r="L239"/>
      <c r="M239"/>
      <c r="N239" s="2"/>
      <c r="R239"/>
      <c r="S239"/>
      <c r="T239"/>
      <c r="U239"/>
      <c r="V239"/>
    </row>
    <row r="240" spans="10:22" s="1" customFormat="1" x14ac:dyDescent="0.2">
      <c r="J240"/>
      <c r="K240"/>
      <c r="L240"/>
      <c r="M240"/>
      <c r="N240" s="2"/>
      <c r="R240"/>
      <c r="S240"/>
      <c r="T240"/>
      <c r="U240"/>
      <c r="V240"/>
    </row>
    <row r="241" spans="10:22" s="1" customFormat="1" x14ac:dyDescent="0.2">
      <c r="J241"/>
      <c r="K241"/>
      <c r="L241"/>
      <c r="M241"/>
      <c r="N241" s="2"/>
      <c r="R241"/>
      <c r="S241"/>
      <c r="T241"/>
      <c r="U241"/>
      <c r="V241"/>
    </row>
    <row r="242" spans="10:22" s="1" customFormat="1" x14ac:dyDescent="0.2">
      <c r="J242"/>
      <c r="K242"/>
      <c r="L242"/>
      <c r="M242"/>
      <c r="N242" s="2"/>
      <c r="R242"/>
      <c r="S242"/>
      <c r="T242"/>
      <c r="U242"/>
      <c r="V242"/>
    </row>
    <row r="243" spans="10:22" s="1" customFormat="1" x14ac:dyDescent="0.2">
      <c r="J243"/>
      <c r="K243"/>
      <c r="L243"/>
      <c r="M243"/>
      <c r="N243" s="2"/>
      <c r="R243"/>
      <c r="S243"/>
      <c r="T243"/>
      <c r="U243"/>
      <c r="V243"/>
    </row>
    <row r="244" spans="10:22" s="1" customFormat="1" x14ac:dyDescent="0.2">
      <c r="J244"/>
      <c r="K244"/>
      <c r="L244"/>
      <c r="M244"/>
      <c r="N244" s="2"/>
      <c r="R244"/>
      <c r="S244"/>
      <c r="T244"/>
      <c r="U244"/>
      <c r="V244"/>
    </row>
    <row r="245" spans="10:22" s="1" customFormat="1" x14ac:dyDescent="0.2">
      <c r="J245"/>
      <c r="K245"/>
      <c r="L245"/>
      <c r="M245"/>
      <c r="N245" s="2"/>
      <c r="R245"/>
      <c r="S245"/>
      <c r="T245"/>
      <c r="U245"/>
      <c r="V245"/>
    </row>
    <row r="246" spans="10:22" s="1" customFormat="1" x14ac:dyDescent="0.2">
      <c r="J246"/>
      <c r="K246"/>
      <c r="L246"/>
      <c r="M246"/>
      <c r="N246" s="2"/>
      <c r="R246"/>
      <c r="S246"/>
      <c r="T246"/>
      <c r="U246"/>
      <c r="V246"/>
    </row>
    <row r="247" spans="10:22" s="1" customFormat="1" x14ac:dyDescent="0.2">
      <c r="J247"/>
      <c r="K247"/>
      <c r="L247"/>
      <c r="M247"/>
      <c r="N247" s="2"/>
      <c r="R247"/>
      <c r="S247"/>
      <c r="T247"/>
      <c r="U247"/>
      <c r="V247"/>
    </row>
    <row r="248" spans="10:22" s="1" customFormat="1" x14ac:dyDescent="0.2">
      <c r="J248"/>
      <c r="K248"/>
      <c r="L248"/>
      <c r="M248"/>
      <c r="N248" s="2"/>
      <c r="R248"/>
      <c r="S248"/>
      <c r="T248"/>
      <c r="U248"/>
      <c r="V248"/>
    </row>
    <row r="249" spans="10:22" s="1" customFormat="1" x14ac:dyDescent="0.2">
      <c r="J249"/>
      <c r="K249"/>
      <c r="L249"/>
      <c r="M249"/>
      <c r="N249" s="2"/>
      <c r="R249"/>
      <c r="S249"/>
      <c r="T249"/>
      <c r="U249"/>
      <c r="V249"/>
    </row>
    <row r="250" spans="10:22" s="1" customFormat="1" x14ac:dyDescent="0.2">
      <c r="J250"/>
      <c r="K250"/>
      <c r="L250"/>
      <c r="M250"/>
      <c r="N250" s="2"/>
      <c r="R250"/>
      <c r="S250"/>
      <c r="T250"/>
      <c r="U250"/>
      <c r="V250"/>
    </row>
    <row r="251" spans="10:22" s="1" customFormat="1" x14ac:dyDescent="0.2">
      <c r="J251"/>
      <c r="K251"/>
      <c r="L251"/>
      <c r="M251"/>
      <c r="N251" s="2"/>
      <c r="R251"/>
      <c r="S251"/>
      <c r="T251"/>
      <c r="U251"/>
      <c r="V251"/>
    </row>
    <row r="252" spans="10:22" s="1" customFormat="1" x14ac:dyDescent="0.2">
      <c r="J252"/>
      <c r="K252"/>
      <c r="L252"/>
      <c r="M252"/>
      <c r="N252" s="2"/>
      <c r="R252"/>
      <c r="S252"/>
      <c r="T252"/>
      <c r="U252"/>
      <c r="V252"/>
    </row>
    <row r="253" spans="10:22" s="1" customFormat="1" x14ac:dyDescent="0.2">
      <c r="J253"/>
      <c r="K253"/>
      <c r="L253"/>
      <c r="M253"/>
      <c r="N253" s="2"/>
      <c r="R253"/>
      <c r="S253"/>
      <c r="T253"/>
      <c r="U253"/>
      <c r="V253"/>
    </row>
    <row r="254" spans="10:22" s="1" customFormat="1" x14ac:dyDescent="0.2">
      <c r="J254"/>
      <c r="K254"/>
      <c r="L254"/>
      <c r="M254"/>
      <c r="N254" s="2"/>
      <c r="R254"/>
      <c r="S254"/>
      <c r="T254"/>
      <c r="U254"/>
      <c r="V254"/>
    </row>
    <row r="255" spans="10:22" s="1" customFormat="1" x14ac:dyDescent="0.2">
      <c r="J255"/>
      <c r="K255"/>
      <c r="L255"/>
      <c r="M255"/>
      <c r="N255" s="2"/>
      <c r="R255"/>
      <c r="S255"/>
      <c r="T255"/>
      <c r="U255"/>
      <c r="V255"/>
    </row>
    <row r="256" spans="10:22" s="1" customFormat="1" x14ac:dyDescent="0.2">
      <c r="J256"/>
      <c r="K256"/>
      <c r="L256"/>
      <c r="M256"/>
      <c r="N256" s="2"/>
      <c r="R256"/>
      <c r="S256"/>
      <c r="T256"/>
      <c r="U256"/>
      <c r="V256"/>
    </row>
    <row r="257" spans="10:22" s="1" customFormat="1" x14ac:dyDescent="0.2">
      <c r="J257"/>
      <c r="K257"/>
      <c r="L257"/>
      <c r="M257"/>
      <c r="N257" s="2"/>
      <c r="R257"/>
      <c r="S257"/>
      <c r="T257"/>
      <c r="U257"/>
      <c r="V257"/>
    </row>
    <row r="258" spans="10:22" s="1" customFormat="1" x14ac:dyDescent="0.2">
      <c r="J258"/>
      <c r="K258"/>
      <c r="L258"/>
      <c r="M258"/>
      <c r="N258" s="2"/>
      <c r="R258"/>
      <c r="S258"/>
      <c r="T258"/>
      <c r="U258"/>
      <c r="V258"/>
    </row>
    <row r="259" spans="10:22" s="1" customFormat="1" x14ac:dyDescent="0.2">
      <c r="J259"/>
      <c r="K259"/>
      <c r="L259"/>
      <c r="M259"/>
      <c r="N259" s="2"/>
      <c r="R259"/>
      <c r="S259"/>
      <c r="T259"/>
      <c r="U259"/>
      <c r="V259"/>
    </row>
    <row r="260" spans="10:22" s="1" customFormat="1" x14ac:dyDescent="0.2">
      <c r="J260"/>
      <c r="K260"/>
      <c r="L260"/>
      <c r="M260"/>
      <c r="N260" s="2"/>
      <c r="R260"/>
      <c r="S260"/>
      <c r="T260"/>
      <c r="U260"/>
      <c r="V260"/>
    </row>
    <row r="261" spans="10:22" s="1" customFormat="1" x14ac:dyDescent="0.2">
      <c r="J261"/>
      <c r="K261"/>
      <c r="L261"/>
      <c r="M261"/>
      <c r="N261" s="2"/>
      <c r="R261"/>
      <c r="S261"/>
      <c r="T261"/>
      <c r="U261"/>
      <c r="V261"/>
    </row>
    <row r="262" spans="10:22" s="1" customFormat="1" x14ac:dyDescent="0.2">
      <c r="J262"/>
      <c r="K262"/>
      <c r="L262"/>
      <c r="M262"/>
      <c r="N262" s="2"/>
      <c r="R262"/>
      <c r="S262"/>
      <c r="T262"/>
      <c r="U262"/>
      <c r="V262"/>
    </row>
    <row r="263" spans="10:22" s="1" customFormat="1" x14ac:dyDescent="0.2">
      <c r="J263"/>
      <c r="K263"/>
      <c r="L263"/>
      <c r="M263"/>
      <c r="N263" s="2"/>
      <c r="R263"/>
      <c r="S263"/>
      <c r="T263"/>
      <c r="U263"/>
      <c r="V263"/>
    </row>
    <row r="264" spans="10:22" s="1" customFormat="1" x14ac:dyDescent="0.2">
      <c r="J264"/>
      <c r="K264"/>
      <c r="L264"/>
      <c r="M264"/>
      <c r="N264" s="2"/>
      <c r="R264"/>
      <c r="S264"/>
      <c r="T264"/>
      <c r="U264"/>
      <c r="V264"/>
    </row>
    <row r="265" spans="10:22" s="1" customFormat="1" x14ac:dyDescent="0.2">
      <c r="J265"/>
      <c r="K265"/>
      <c r="L265"/>
      <c r="M265"/>
      <c r="N265" s="2"/>
      <c r="R265"/>
      <c r="S265"/>
      <c r="T265"/>
      <c r="U265"/>
      <c r="V265"/>
    </row>
    <row r="266" spans="10:22" s="1" customFormat="1" x14ac:dyDescent="0.2">
      <c r="J266"/>
      <c r="K266"/>
      <c r="L266"/>
      <c r="M266"/>
      <c r="N266" s="2"/>
      <c r="R266"/>
      <c r="S266"/>
      <c r="T266"/>
      <c r="U266"/>
      <c r="V266"/>
    </row>
    <row r="267" spans="10:22" s="1" customFormat="1" x14ac:dyDescent="0.2">
      <c r="J267"/>
      <c r="K267"/>
      <c r="L267"/>
      <c r="M267"/>
      <c r="N267" s="2"/>
      <c r="R267"/>
      <c r="S267"/>
      <c r="T267"/>
      <c r="U267"/>
      <c r="V267"/>
    </row>
    <row r="268" spans="10:22" s="1" customFormat="1" x14ac:dyDescent="0.2">
      <c r="J268"/>
      <c r="K268"/>
      <c r="L268"/>
      <c r="M268"/>
      <c r="N268" s="2"/>
      <c r="R268"/>
      <c r="S268"/>
      <c r="T268"/>
      <c r="U268"/>
      <c r="V268"/>
    </row>
    <row r="269" spans="10:22" s="1" customFormat="1" x14ac:dyDescent="0.2">
      <c r="J269"/>
      <c r="K269"/>
      <c r="L269"/>
      <c r="M269"/>
      <c r="N269" s="2"/>
      <c r="R269"/>
      <c r="S269"/>
      <c r="T269"/>
      <c r="U269"/>
      <c r="V269"/>
    </row>
    <row r="270" spans="10:22" s="1" customFormat="1" x14ac:dyDescent="0.2">
      <c r="J270"/>
      <c r="K270"/>
      <c r="L270"/>
      <c r="M270"/>
      <c r="N270" s="2"/>
      <c r="R270"/>
      <c r="S270"/>
      <c r="T270"/>
      <c r="U270"/>
      <c r="V270"/>
    </row>
    <row r="271" spans="10:22" s="1" customFormat="1" x14ac:dyDescent="0.2">
      <c r="J271"/>
      <c r="K271"/>
      <c r="L271"/>
      <c r="M271"/>
      <c r="N271" s="2"/>
      <c r="R271"/>
      <c r="S271"/>
      <c r="T271"/>
      <c r="U271"/>
      <c r="V271"/>
    </row>
    <row r="272" spans="10:22" s="1" customFormat="1" x14ac:dyDescent="0.2">
      <c r="J272"/>
      <c r="K272"/>
      <c r="L272"/>
      <c r="M272"/>
      <c r="N272" s="2"/>
      <c r="R272"/>
      <c r="S272"/>
      <c r="T272"/>
      <c r="U272"/>
      <c r="V272"/>
    </row>
    <row r="273" spans="10:22" s="1" customFormat="1" x14ac:dyDescent="0.2">
      <c r="J273"/>
      <c r="K273"/>
      <c r="L273"/>
      <c r="M273"/>
      <c r="N273" s="2"/>
      <c r="R273"/>
      <c r="S273"/>
      <c r="T273"/>
      <c r="U273"/>
      <c r="V273"/>
    </row>
    <row r="274" spans="10:22" s="1" customFormat="1" x14ac:dyDescent="0.2">
      <c r="J274"/>
      <c r="K274"/>
      <c r="L274"/>
      <c r="M274"/>
      <c r="N274" s="2"/>
      <c r="R274"/>
      <c r="S274"/>
      <c r="T274"/>
      <c r="U274"/>
      <c r="V274"/>
    </row>
    <row r="275" spans="10:22" s="1" customFormat="1" x14ac:dyDescent="0.2">
      <c r="J275"/>
      <c r="K275"/>
      <c r="L275"/>
      <c r="M275"/>
      <c r="N275" s="2"/>
      <c r="R275"/>
      <c r="S275"/>
      <c r="T275"/>
      <c r="U275"/>
      <c r="V275"/>
    </row>
    <row r="276" spans="10:22" s="1" customFormat="1" x14ac:dyDescent="0.2">
      <c r="J276"/>
      <c r="K276"/>
      <c r="L276"/>
      <c r="M276"/>
      <c r="N276" s="2"/>
      <c r="R276"/>
      <c r="S276"/>
      <c r="T276"/>
      <c r="U276"/>
      <c r="V276"/>
    </row>
    <row r="277" spans="10:22" s="1" customFormat="1" x14ac:dyDescent="0.2">
      <c r="J277"/>
      <c r="K277"/>
      <c r="L277"/>
      <c r="M277"/>
      <c r="N277" s="2"/>
      <c r="R277"/>
      <c r="S277"/>
      <c r="T277"/>
      <c r="U277"/>
      <c r="V277"/>
    </row>
    <row r="278" spans="10:22" s="1" customFormat="1" x14ac:dyDescent="0.2">
      <c r="J278"/>
      <c r="K278"/>
      <c r="L278"/>
      <c r="M278"/>
      <c r="N278" s="2"/>
      <c r="R278"/>
      <c r="S278"/>
      <c r="T278"/>
      <c r="U278"/>
      <c r="V278"/>
    </row>
    <row r="279" spans="10:22" s="1" customFormat="1" x14ac:dyDescent="0.2">
      <c r="J279"/>
      <c r="K279"/>
      <c r="L279"/>
      <c r="M279"/>
      <c r="N279" s="2"/>
      <c r="R279"/>
      <c r="S279"/>
      <c r="T279"/>
      <c r="U279"/>
      <c r="V279"/>
    </row>
    <row r="280" spans="10:22" s="1" customFormat="1" x14ac:dyDescent="0.2">
      <c r="J280"/>
      <c r="K280"/>
      <c r="L280"/>
      <c r="M280"/>
      <c r="N280" s="2"/>
      <c r="R280"/>
      <c r="S280"/>
      <c r="T280"/>
      <c r="U280"/>
      <c r="V280"/>
    </row>
    <row r="281" spans="10:22" s="1" customFormat="1" x14ac:dyDescent="0.2">
      <c r="J281"/>
      <c r="K281"/>
      <c r="L281"/>
      <c r="M281"/>
      <c r="N281" s="2"/>
      <c r="R281"/>
      <c r="S281"/>
      <c r="T281"/>
      <c r="U281"/>
      <c r="V281"/>
    </row>
    <row r="282" spans="10:22" s="1" customFormat="1" x14ac:dyDescent="0.2">
      <c r="J282"/>
      <c r="K282"/>
      <c r="L282"/>
      <c r="M282"/>
      <c r="N282" s="2"/>
      <c r="R282"/>
      <c r="S282"/>
      <c r="T282"/>
      <c r="U282"/>
      <c r="V282"/>
    </row>
    <row r="283" spans="10:22" s="1" customFormat="1" x14ac:dyDescent="0.2">
      <c r="J283"/>
      <c r="K283"/>
      <c r="L283"/>
      <c r="M283"/>
      <c r="N283" s="2"/>
      <c r="R283"/>
      <c r="S283"/>
      <c r="T283"/>
      <c r="U283"/>
      <c r="V283"/>
    </row>
    <row r="284" spans="10:22" s="1" customFormat="1" x14ac:dyDescent="0.2">
      <c r="J284"/>
      <c r="K284"/>
      <c r="L284"/>
      <c r="M284"/>
      <c r="N284" s="2"/>
      <c r="R284"/>
      <c r="S284"/>
      <c r="T284"/>
      <c r="U284"/>
      <c r="V284"/>
    </row>
    <row r="285" spans="10:22" s="1" customFormat="1" x14ac:dyDescent="0.2">
      <c r="J285"/>
      <c r="K285"/>
      <c r="L285"/>
      <c r="M285"/>
      <c r="N285" s="2"/>
      <c r="R285"/>
      <c r="S285"/>
      <c r="T285"/>
      <c r="U285"/>
      <c r="V285"/>
    </row>
    <row r="286" spans="10:22" s="1" customFormat="1" x14ac:dyDescent="0.2">
      <c r="J286"/>
      <c r="K286"/>
      <c r="L286"/>
      <c r="M286"/>
      <c r="N286" s="2"/>
      <c r="R286"/>
      <c r="S286"/>
      <c r="T286"/>
      <c r="U286"/>
      <c r="V286"/>
    </row>
    <row r="287" spans="10:22" s="1" customFormat="1" x14ac:dyDescent="0.2">
      <c r="J287"/>
      <c r="K287"/>
      <c r="L287"/>
      <c r="M287"/>
      <c r="N287" s="2"/>
      <c r="R287"/>
      <c r="S287"/>
      <c r="T287"/>
      <c r="U287"/>
      <c r="V287"/>
    </row>
    <row r="288" spans="10:22" s="1" customFormat="1" x14ac:dyDescent="0.2">
      <c r="J288"/>
      <c r="K288"/>
      <c r="L288"/>
      <c r="M288"/>
      <c r="N288" s="2"/>
      <c r="R288"/>
      <c r="S288"/>
      <c r="T288"/>
      <c r="U288"/>
      <c r="V288"/>
    </row>
    <row r="289" spans="10:22" s="1" customFormat="1" x14ac:dyDescent="0.2">
      <c r="J289"/>
      <c r="K289"/>
      <c r="L289"/>
      <c r="M289"/>
      <c r="N289" s="2"/>
      <c r="R289"/>
      <c r="S289"/>
      <c r="T289"/>
      <c r="U289"/>
      <c r="V289"/>
    </row>
    <row r="290" spans="10:22" s="1" customFormat="1" x14ac:dyDescent="0.2">
      <c r="J290"/>
      <c r="K290"/>
      <c r="L290"/>
      <c r="M290"/>
      <c r="N290" s="2"/>
      <c r="R290"/>
      <c r="S290"/>
      <c r="T290"/>
      <c r="U290"/>
      <c r="V290"/>
    </row>
    <row r="291" spans="10:22" s="1" customFormat="1" x14ac:dyDescent="0.2">
      <c r="J291"/>
      <c r="K291"/>
      <c r="L291"/>
      <c r="M291"/>
      <c r="N291" s="2"/>
      <c r="R291"/>
      <c r="S291"/>
      <c r="T291"/>
      <c r="U291"/>
      <c r="V291"/>
    </row>
    <row r="292" spans="10:22" s="1" customFormat="1" x14ac:dyDescent="0.2">
      <c r="J292"/>
      <c r="K292"/>
      <c r="L292"/>
      <c r="M292"/>
      <c r="N292" s="2"/>
      <c r="R292"/>
      <c r="S292"/>
      <c r="T292"/>
      <c r="U292"/>
      <c r="V292"/>
    </row>
    <row r="293" spans="10:22" s="1" customFormat="1" x14ac:dyDescent="0.2">
      <c r="J293"/>
      <c r="K293"/>
      <c r="L293"/>
      <c r="M293"/>
      <c r="N293" s="2"/>
      <c r="R293"/>
      <c r="S293"/>
      <c r="T293"/>
      <c r="U293"/>
      <c r="V293"/>
    </row>
    <row r="294" spans="10:22" s="1" customFormat="1" x14ac:dyDescent="0.2">
      <c r="J294"/>
      <c r="K294"/>
      <c r="L294"/>
      <c r="M294"/>
      <c r="N294" s="2"/>
      <c r="R294"/>
      <c r="S294"/>
      <c r="T294"/>
      <c r="U294"/>
      <c r="V294"/>
    </row>
    <row r="295" spans="10:22" s="1" customFormat="1" x14ac:dyDescent="0.2">
      <c r="J295"/>
      <c r="K295"/>
      <c r="L295"/>
      <c r="M295"/>
      <c r="N295" s="2"/>
      <c r="R295"/>
      <c r="S295"/>
      <c r="T295"/>
      <c r="U295"/>
      <c r="V295"/>
    </row>
    <row r="296" spans="10:22" s="1" customFormat="1" x14ac:dyDescent="0.2">
      <c r="J296"/>
      <c r="K296"/>
      <c r="L296"/>
      <c r="M296"/>
      <c r="N296" s="2"/>
      <c r="R296"/>
      <c r="S296"/>
      <c r="T296"/>
      <c r="U296"/>
      <c r="V296"/>
    </row>
    <row r="297" spans="10:22" s="1" customFormat="1" x14ac:dyDescent="0.2">
      <c r="J297"/>
      <c r="K297"/>
      <c r="L297"/>
      <c r="M297"/>
      <c r="N297" s="2"/>
      <c r="R297"/>
      <c r="S297"/>
      <c r="T297"/>
      <c r="U297"/>
      <c r="V297"/>
    </row>
    <row r="298" spans="10:22" s="1" customFormat="1" x14ac:dyDescent="0.2">
      <c r="J298"/>
      <c r="K298"/>
      <c r="L298"/>
      <c r="M298"/>
      <c r="N298" s="2"/>
      <c r="R298"/>
      <c r="S298"/>
      <c r="T298"/>
      <c r="U298"/>
      <c r="V298"/>
    </row>
    <row r="299" spans="10:22" s="1" customFormat="1" x14ac:dyDescent="0.2">
      <c r="J299"/>
      <c r="K299"/>
      <c r="L299"/>
      <c r="M299"/>
      <c r="N299" s="2"/>
      <c r="R299"/>
      <c r="S299"/>
      <c r="T299"/>
      <c r="U299"/>
      <c r="V299"/>
    </row>
    <row r="300" spans="10:22" s="1" customFormat="1" x14ac:dyDescent="0.2">
      <c r="J300"/>
      <c r="K300"/>
      <c r="L300"/>
      <c r="M300"/>
      <c r="N300" s="2"/>
      <c r="R300"/>
      <c r="S300"/>
      <c r="T300"/>
      <c r="U300"/>
      <c r="V300"/>
    </row>
    <row r="301" spans="10:22" s="1" customFormat="1" x14ac:dyDescent="0.2">
      <c r="J301"/>
      <c r="K301"/>
      <c r="L301"/>
      <c r="M301"/>
      <c r="N301" s="2"/>
      <c r="R301"/>
      <c r="S301"/>
      <c r="T301"/>
      <c r="U301"/>
      <c r="V301"/>
    </row>
    <row r="302" spans="10:22" s="1" customFormat="1" x14ac:dyDescent="0.2">
      <c r="J302"/>
      <c r="K302"/>
      <c r="L302"/>
      <c r="M302"/>
      <c r="N302" s="2"/>
      <c r="R302"/>
      <c r="S302"/>
      <c r="T302"/>
      <c r="U302"/>
      <c r="V302"/>
    </row>
    <row r="303" spans="10:22" s="1" customFormat="1" x14ac:dyDescent="0.2">
      <c r="J303"/>
      <c r="K303"/>
      <c r="L303"/>
      <c r="M303"/>
      <c r="N303" s="2"/>
      <c r="R303"/>
      <c r="S303"/>
      <c r="T303"/>
      <c r="U303"/>
      <c r="V303"/>
    </row>
    <row r="304" spans="10:22" s="1" customFormat="1" x14ac:dyDescent="0.2">
      <c r="J304"/>
      <c r="K304"/>
      <c r="L304"/>
      <c r="M304"/>
      <c r="N304" s="2"/>
      <c r="R304"/>
      <c r="S304"/>
      <c r="T304"/>
      <c r="U304"/>
      <c r="V304"/>
    </row>
    <row r="305" spans="10:22" s="1" customFormat="1" x14ac:dyDescent="0.2">
      <c r="J305"/>
      <c r="K305"/>
      <c r="L305"/>
      <c r="M305"/>
      <c r="N305" s="2"/>
      <c r="R305"/>
      <c r="S305"/>
      <c r="T305"/>
      <c r="U305"/>
      <c r="V305"/>
    </row>
    <row r="306" spans="10:22" s="1" customFormat="1" x14ac:dyDescent="0.2">
      <c r="J306"/>
      <c r="K306"/>
      <c r="L306"/>
      <c r="M306"/>
      <c r="N306" s="2"/>
      <c r="R306"/>
      <c r="S306"/>
      <c r="T306"/>
      <c r="U306"/>
      <c r="V306"/>
    </row>
    <row r="307" spans="10:22" s="1" customFormat="1" x14ac:dyDescent="0.2">
      <c r="J307"/>
      <c r="K307"/>
      <c r="L307"/>
      <c r="M307"/>
      <c r="N307" s="2"/>
      <c r="R307"/>
      <c r="S307"/>
      <c r="T307"/>
      <c r="U307"/>
      <c r="V307"/>
    </row>
    <row r="308" spans="10:22" s="1" customFormat="1" x14ac:dyDescent="0.2">
      <c r="J308"/>
      <c r="K308"/>
      <c r="L308"/>
      <c r="M308"/>
      <c r="N308" s="2"/>
      <c r="R308"/>
      <c r="S308"/>
      <c r="T308"/>
      <c r="U308"/>
      <c r="V308"/>
    </row>
    <row r="309" spans="10:22" s="1" customFormat="1" x14ac:dyDescent="0.2">
      <c r="J309"/>
      <c r="K309"/>
      <c r="L309"/>
      <c r="M309"/>
      <c r="N309" s="2"/>
      <c r="R309"/>
      <c r="S309"/>
      <c r="T309"/>
      <c r="U309"/>
      <c r="V309"/>
    </row>
    <row r="310" spans="10:22" s="1" customFormat="1" x14ac:dyDescent="0.2">
      <c r="J310"/>
      <c r="K310"/>
      <c r="L310"/>
      <c r="M310"/>
      <c r="N310" s="2"/>
      <c r="R310"/>
      <c r="S310"/>
      <c r="T310"/>
      <c r="U310"/>
      <c r="V310"/>
    </row>
    <row r="311" spans="10:22" s="1" customFormat="1" x14ac:dyDescent="0.2">
      <c r="J311"/>
      <c r="K311"/>
      <c r="L311"/>
      <c r="M311"/>
      <c r="N311" s="2"/>
      <c r="R311"/>
      <c r="S311"/>
      <c r="T311"/>
      <c r="U311"/>
      <c r="V311"/>
    </row>
    <row r="312" spans="10:22" s="1" customFormat="1" x14ac:dyDescent="0.2">
      <c r="J312"/>
      <c r="K312"/>
      <c r="L312"/>
      <c r="M312"/>
      <c r="N312" s="2"/>
      <c r="R312"/>
      <c r="S312"/>
      <c r="T312"/>
      <c r="U312"/>
      <c r="V312"/>
    </row>
    <row r="313" spans="10:22" s="1" customFormat="1" x14ac:dyDescent="0.2">
      <c r="J313"/>
      <c r="K313"/>
      <c r="L313"/>
      <c r="M313"/>
      <c r="N313" s="2"/>
      <c r="R313"/>
      <c r="S313"/>
      <c r="T313"/>
      <c r="U313"/>
      <c r="V313"/>
    </row>
    <row r="314" spans="10:22" s="1" customFormat="1" x14ac:dyDescent="0.2">
      <c r="J314"/>
      <c r="K314"/>
      <c r="L314"/>
      <c r="M314"/>
      <c r="N314" s="2"/>
      <c r="R314"/>
      <c r="S314"/>
      <c r="T314"/>
      <c r="U314"/>
      <c r="V314"/>
    </row>
    <row r="315" spans="10:22" s="1" customFormat="1" x14ac:dyDescent="0.2">
      <c r="J315"/>
      <c r="K315"/>
      <c r="L315"/>
      <c r="M315"/>
      <c r="N315" s="2"/>
      <c r="R315"/>
      <c r="S315"/>
      <c r="T315"/>
      <c r="U315"/>
      <c r="V315"/>
    </row>
    <row r="316" spans="10:22" s="1" customFormat="1" x14ac:dyDescent="0.2">
      <c r="J316"/>
      <c r="K316"/>
      <c r="L316"/>
      <c r="M316"/>
      <c r="N316" s="2"/>
      <c r="R316"/>
      <c r="S316"/>
      <c r="T316"/>
      <c r="U316"/>
      <c r="V316"/>
    </row>
    <row r="317" spans="10:22" s="1" customFormat="1" x14ac:dyDescent="0.2">
      <c r="J317"/>
      <c r="K317"/>
      <c r="L317"/>
      <c r="M317"/>
      <c r="N317" s="2"/>
      <c r="R317"/>
      <c r="S317"/>
      <c r="T317"/>
      <c r="U317"/>
      <c r="V317"/>
    </row>
    <row r="318" spans="10:22" s="1" customFormat="1" x14ac:dyDescent="0.2">
      <c r="J318"/>
      <c r="K318"/>
      <c r="L318"/>
      <c r="M318"/>
      <c r="N318" s="2"/>
      <c r="R318"/>
      <c r="S318"/>
      <c r="T318"/>
      <c r="U318"/>
      <c r="V318"/>
    </row>
    <row r="319" spans="10:22" s="1" customFormat="1" x14ac:dyDescent="0.2">
      <c r="J319"/>
      <c r="K319"/>
      <c r="L319"/>
      <c r="M319"/>
      <c r="N319" s="2"/>
      <c r="R319"/>
      <c r="S319"/>
      <c r="T319"/>
      <c r="U319"/>
      <c r="V319"/>
    </row>
    <row r="320" spans="10:22" s="1" customFormat="1" x14ac:dyDescent="0.2">
      <c r="J320"/>
      <c r="K320"/>
      <c r="L320"/>
      <c r="M320"/>
      <c r="N320" s="2"/>
      <c r="R320"/>
      <c r="S320"/>
      <c r="T320"/>
      <c r="U320"/>
      <c r="V320"/>
    </row>
    <row r="321" spans="10:22" s="1" customFormat="1" x14ac:dyDescent="0.2">
      <c r="J321"/>
      <c r="K321"/>
      <c r="L321"/>
      <c r="M321"/>
      <c r="N321" s="2"/>
      <c r="R321"/>
      <c r="S321"/>
      <c r="T321"/>
      <c r="U321"/>
      <c r="V321"/>
    </row>
    <row r="322" spans="10:22" s="1" customFormat="1" x14ac:dyDescent="0.2">
      <c r="J322"/>
      <c r="K322"/>
      <c r="L322"/>
      <c r="M322"/>
      <c r="N322" s="2"/>
      <c r="R322"/>
      <c r="S322"/>
      <c r="T322"/>
      <c r="U322"/>
      <c r="V322"/>
    </row>
    <row r="323" spans="10:22" s="1" customFormat="1" x14ac:dyDescent="0.2">
      <c r="J323"/>
      <c r="K323"/>
      <c r="L323"/>
      <c r="M323"/>
      <c r="N323" s="2"/>
      <c r="R323"/>
      <c r="S323"/>
      <c r="T323"/>
      <c r="U323"/>
      <c r="V323"/>
    </row>
    <row r="324" spans="10:22" s="1" customFormat="1" x14ac:dyDescent="0.2">
      <c r="J324"/>
      <c r="K324"/>
      <c r="L324"/>
      <c r="M324"/>
      <c r="N324" s="2"/>
      <c r="R324"/>
      <c r="S324"/>
      <c r="T324"/>
      <c r="U324"/>
      <c r="V324"/>
    </row>
    <row r="325" spans="10:22" s="1" customFormat="1" x14ac:dyDescent="0.2">
      <c r="J325"/>
      <c r="K325"/>
      <c r="L325"/>
      <c r="M325"/>
      <c r="N325" s="2"/>
      <c r="R325"/>
      <c r="S325"/>
      <c r="T325"/>
      <c r="U325"/>
      <c r="V325"/>
    </row>
    <row r="326" spans="10:22" s="1" customFormat="1" x14ac:dyDescent="0.2">
      <c r="J326"/>
      <c r="K326"/>
      <c r="L326"/>
      <c r="M326"/>
      <c r="N326" s="2"/>
      <c r="R326"/>
      <c r="S326"/>
      <c r="T326"/>
      <c r="U326"/>
      <c r="V326"/>
    </row>
    <row r="327" spans="10:22" s="1" customFormat="1" x14ac:dyDescent="0.2">
      <c r="J327"/>
      <c r="K327"/>
      <c r="L327"/>
      <c r="M327"/>
      <c r="N327" s="2"/>
      <c r="R327"/>
      <c r="S327"/>
      <c r="T327"/>
      <c r="U327"/>
      <c r="V327"/>
    </row>
    <row r="328" spans="10:22" s="1" customFormat="1" x14ac:dyDescent="0.2">
      <c r="J328"/>
      <c r="K328"/>
      <c r="L328"/>
      <c r="M328"/>
      <c r="N328" s="2"/>
      <c r="R328"/>
      <c r="S328"/>
      <c r="T328"/>
      <c r="U328"/>
      <c r="V328"/>
    </row>
    <row r="329" spans="10:22" s="1" customFormat="1" x14ac:dyDescent="0.2">
      <c r="J329"/>
      <c r="K329"/>
      <c r="L329"/>
      <c r="M329"/>
      <c r="N329" s="2"/>
      <c r="R329"/>
      <c r="S329"/>
      <c r="T329"/>
      <c r="U329"/>
      <c r="V329"/>
    </row>
    <row r="330" spans="10:22" s="1" customFormat="1" x14ac:dyDescent="0.2">
      <c r="J330"/>
      <c r="K330"/>
      <c r="L330"/>
      <c r="M330"/>
      <c r="N330" s="2"/>
      <c r="R330"/>
      <c r="S330"/>
      <c r="T330"/>
      <c r="U330"/>
      <c r="V330"/>
    </row>
    <row r="331" spans="10:22" s="1" customFormat="1" x14ac:dyDescent="0.2">
      <c r="J331"/>
      <c r="K331"/>
      <c r="L331"/>
      <c r="M331"/>
      <c r="N331" s="2"/>
      <c r="R331"/>
      <c r="S331"/>
      <c r="T331"/>
      <c r="U331"/>
      <c r="V331"/>
    </row>
    <row r="332" spans="10:22" s="1" customFormat="1" x14ac:dyDescent="0.2">
      <c r="J332"/>
      <c r="K332"/>
      <c r="L332"/>
      <c r="M332"/>
      <c r="N332" s="2"/>
      <c r="R332"/>
      <c r="S332"/>
      <c r="T332"/>
      <c r="U332"/>
      <c r="V332"/>
    </row>
    <row r="333" spans="10:22" s="1" customFormat="1" x14ac:dyDescent="0.2">
      <c r="J333"/>
      <c r="K333"/>
      <c r="L333"/>
      <c r="M333"/>
      <c r="N333" s="2"/>
      <c r="R333"/>
      <c r="S333"/>
      <c r="T333"/>
      <c r="U333"/>
      <c r="V333"/>
    </row>
    <row r="334" spans="10:22" s="1" customFormat="1" x14ac:dyDescent="0.2">
      <c r="J334"/>
      <c r="K334"/>
      <c r="L334"/>
      <c r="M334"/>
      <c r="N334" s="2"/>
      <c r="R334"/>
      <c r="S334"/>
      <c r="T334"/>
      <c r="U334"/>
      <c r="V334"/>
    </row>
    <row r="335" spans="10:22" s="1" customFormat="1" x14ac:dyDescent="0.2">
      <c r="J335"/>
      <c r="K335"/>
      <c r="L335"/>
      <c r="M335"/>
      <c r="N335" s="2"/>
      <c r="R335"/>
      <c r="S335"/>
      <c r="T335"/>
      <c r="U335"/>
      <c r="V335"/>
    </row>
    <row r="336" spans="10:22" s="1" customFormat="1" x14ac:dyDescent="0.2">
      <c r="J336"/>
      <c r="K336"/>
      <c r="L336"/>
      <c r="M336"/>
      <c r="N336" s="2"/>
      <c r="R336"/>
      <c r="S336"/>
      <c r="T336"/>
      <c r="U336"/>
      <c r="V336"/>
    </row>
    <row r="337" spans="10:22" s="1" customFormat="1" x14ac:dyDescent="0.2">
      <c r="J337"/>
      <c r="K337"/>
      <c r="L337"/>
      <c r="M337"/>
      <c r="N337" s="2"/>
      <c r="R337"/>
      <c r="S337"/>
      <c r="T337"/>
      <c r="U337"/>
      <c r="V337"/>
    </row>
    <row r="338" spans="10:22" s="1" customFormat="1" x14ac:dyDescent="0.2">
      <c r="J338"/>
      <c r="K338"/>
      <c r="L338"/>
      <c r="M338"/>
      <c r="N338" s="2"/>
      <c r="R338"/>
      <c r="S338"/>
      <c r="T338"/>
      <c r="U338"/>
      <c r="V338"/>
    </row>
    <row r="339" spans="10:22" s="1" customFormat="1" x14ac:dyDescent="0.2">
      <c r="J339"/>
      <c r="K339"/>
      <c r="L339"/>
      <c r="M339"/>
      <c r="N339" s="2"/>
      <c r="R339"/>
      <c r="S339"/>
      <c r="T339"/>
      <c r="U339"/>
      <c r="V339"/>
    </row>
    <row r="340" spans="10:22" s="1" customFormat="1" x14ac:dyDescent="0.2">
      <c r="J340"/>
      <c r="K340"/>
      <c r="L340"/>
      <c r="M340"/>
      <c r="N340" s="2"/>
      <c r="R340"/>
      <c r="S340"/>
      <c r="T340"/>
      <c r="U340"/>
      <c r="V340"/>
    </row>
    <row r="341" spans="10:22" s="1" customFormat="1" x14ac:dyDescent="0.2">
      <c r="J341"/>
      <c r="K341"/>
      <c r="L341"/>
      <c r="M341"/>
      <c r="N341" s="2"/>
      <c r="R341"/>
      <c r="S341"/>
      <c r="T341"/>
      <c r="U341"/>
      <c r="V341"/>
    </row>
    <row r="342" spans="10:22" s="1" customFormat="1" x14ac:dyDescent="0.2">
      <c r="J342"/>
      <c r="K342"/>
      <c r="L342"/>
      <c r="M342"/>
      <c r="N342" s="2"/>
      <c r="R342"/>
      <c r="S342"/>
      <c r="T342"/>
      <c r="U342"/>
      <c r="V342"/>
    </row>
    <row r="343" spans="10:22" s="1" customFormat="1" x14ac:dyDescent="0.2">
      <c r="J343"/>
      <c r="K343"/>
      <c r="L343"/>
      <c r="M343"/>
      <c r="N343" s="2"/>
      <c r="R343"/>
      <c r="S343"/>
      <c r="T343"/>
      <c r="U343"/>
      <c r="V343"/>
    </row>
    <row r="344" spans="10:22" s="1" customFormat="1" x14ac:dyDescent="0.2">
      <c r="J344"/>
      <c r="K344"/>
      <c r="L344"/>
      <c r="M344"/>
      <c r="N344" s="2"/>
      <c r="R344"/>
      <c r="S344"/>
      <c r="T344"/>
      <c r="U344"/>
      <c r="V344"/>
    </row>
    <row r="345" spans="10:22" s="1" customFormat="1" x14ac:dyDescent="0.2">
      <c r="J345"/>
      <c r="K345"/>
      <c r="L345"/>
      <c r="M345"/>
      <c r="N345" s="2"/>
      <c r="R345"/>
      <c r="S345"/>
      <c r="T345"/>
      <c r="U345"/>
      <c r="V345"/>
    </row>
    <row r="346" spans="10:22" s="1" customFormat="1" x14ac:dyDescent="0.2">
      <c r="J346"/>
      <c r="K346"/>
      <c r="L346"/>
      <c r="M346"/>
      <c r="N346" s="2"/>
      <c r="R346"/>
      <c r="S346"/>
      <c r="T346"/>
      <c r="U346"/>
      <c r="V346"/>
    </row>
    <row r="347" spans="10:22" s="1" customFormat="1" x14ac:dyDescent="0.2">
      <c r="J347"/>
      <c r="K347"/>
      <c r="L347"/>
      <c r="M347"/>
      <c r="N347" s="2"/>
      <c r="R347"/>
      <c r="S347"/>
      <c r="T347"/>
      <c r="U347"/>
      <c r="V347"/>
    </row>
    <row r="348" spans="10:22" s="1" customFormat="1" x14ac:dyDescent="0.2">
      <c r="J348"/>
      <c r="K348"/>
      <c r="L348"/>
      <c r="M348"/>
      <c r="N348" s="2"/>
      <c r="R348"/>
      <c r="S348"/>
      <c r="T348"/>
      <c r="U348"/>
      <c r="V348"/>
    </row>
    <row r="349" spans="10:22" s="1" customFormat="1" x14ac:dyDescent="0.2">
      <c r="J349"/>
      <c r="K349"/>
      <c r="L349"/>
      <c r="M349"/>
      <c r="N349" s="2"/>
      <c r="R349"/>
      <c r="S349"/>
      <c r="T349"/>
      <c r="U349"/>
      <c r="V349"/>
    </row>
    <row r="350" spans="10:22" s="1" customFormat="1" x14ac:dyDescent="0.2">
      <c r="J350"/>
      <c r="K350"/>
      <c r="L350"/>
      <c r="M350"/>
      <c r="N350" s="2"/>
      <c r="R350"/>
      <c r="S350"/>
      <c r="T350"/>
      <c r="U350"/>
      <c r="V350"/>
    </row>
    <row r="351" spans="10:22" s="1" customFormat="1" x14ac:dyDescent="0.2">
      <c r="J351"/>
      <c r="K351"/>
      <c r="L351"/>
      <c r="M351"/>
      <c r="N351" s="2"/>
      <c r="R351"/>
      <c r="S351"/>
      <c r="T351"/>
      <c r="U351"/>
      <c r="V351"/>
    </row>
    <row r="352" spans="10:22" s="1" customFormat="1" x14ac:dyDescent="0.2">
      <c r="J352"/>
      <c r="K352"/>
      <c r="L352"/>
      <c r="M352"/>
      <c r="N352" s="2"/>
      <c r="R352"/>
      <c r="S352"/>
      <c r="T352"/>
      <c r="U352"/>
      <c r="V352"/>
    </row>
    <row r="353" spans="10:22" s="1" customFormat="1" x14ac:dyDescent="0.2">
      <c r="J353"/>
      <c r="K353"/>
      <c r="L353"/>
      <c r="M353"/>
      <c r="N353" s="2"/>
      <c r="R353"/>
      <c r="S353"/>
      <c r="T353"/>
      <c r="U353"/>
      <c r="V353"/>
    </row>
    <row r="354" spans="10:22" s="1" customFormat="1" x14ac:dyDescent="0.2">
      <c r="J354"/>
      <c r="K354"/>
      <c r="L354"/>
      <c r="M354"/>
      <c r="N354" s="2"/>
      <c r="R354"/>
      <c r="S354"/>
      <c r="T354"/>
      <c r="U354"/>
      <c r="V354"/>
    </row>
    <row r="355" spans="10:22" s="1" customFormat="1" x14ac:dyDescent="0.2">
      <c r="J355"/>
      <c r="K355"/>
      <c r="L355"/>
      <c r="M355"/>
      <c r="N355" s="2"/>
      <c r="R355"/>
      <c r="S355"/>
      <c r="T355"/>
      <c r="U355"/>
      <c r="V355"/>
    </row>
    <row r="356" spans="10:22" s="1" customFormat="1" x14ac:dyDescent="0.2">
      <c r="J356"/>
      <c r="K356"/>
      <c r="L356"/>
      <c r="M356"/>
      <c r="N356" s="2"/>
      <c r="R356"/>
      <c r="S356"/>
      <c r="T356"/>
      <c r="U356"/>
      <c r="V356"/>
    </row>
    <row r="357" spans="10:22" s="1" customFormat="1" x14ac:dyDescent="0.2">
      <c r="J357"/>
      <c r="K357"/>
      <c r="L357"/>
      <c r="M357"/>
      <c r="N357" s="2"/>
      <c r="R357"/>
      <c r="S357"/>
      <c r="T357"/>
      <c r="U357"/>
      <c r="V357"/>
    </row>
    <row r="358" spans="10:22" s="1" customFormat="1" x14ac:dyDescent="0.2">
      <c r="J358"/>
      <c r="K358"/>
      <c r="L358"/>
      <c r="M358"/>
      <c r="N358" s="2"/>
      <c r="R358"/>
      <c r="S358"/>
      <c r="T358"/>
      <c r="U358"/>
      <c r="V358"/>
    </row>
    <row r="359" spans="10:22" s="1" customFormat="1" x14ac:dyDescent="0.2">
      <c r="J359"/>
      <c r="K359"/>
      <c r="L359"/>
      <c r="M359"/>
      <c r="N359" s="2"/>
      <c r="R359"/>
      <c r="S359"/>
      <c r="T359"/>
      <c r="U359"/>
      <c r="V359"/>
    </row>
    <row r="360" spans="10:22" s="1" customFormat="1" x14ac:dyDescent="0.2">
      <c r="J360"/>
      <c r="K360"/>
      <c r="L360"/>
      <c r="M360"/>
      <c r="N360" s="2"/>
      <c r="R360"/>
      <c r="S360"/>
      <c r="T360"/>
      <c r="U360"/>
      <c r="V360"/>
    </row>
    <row r="361" spans="10:22" s="1" customFormat="1" x14ac:dyDescent="0.2">
      <c r="J361"/>
      <c r="K361"/>
      <c r="L361"/>
      <c r="M361"/>
      <c r="N361" s="2"/>
      <c r="R361"/>
      <c r="S361"/>
      <c r="T361"/>
      <c r="U361"/>
      <c r="V361"/>
    </row>
    <row r="362" spans="10:22" s="1" customFormat="1" x14ac:dyDescent="0.2">
      <c r="J362"/>
      <c r="K362"/>
      <c r="L362"/>
      <c r="M362"/>
      <c r="N362" s="2"/>
      <c r="R362"/>
      <c r="S362"/>
      <c r="T362"/>
      <c r="U362"/>
      <c r="V362"/>
    </row>
    <row r="363" spans="10:22" s="1" customFormat="1" x14ac:dyDescent="0.2">
      <c r="J363"/>
      <c r="K363"/>
      <c r="L363"/>
      <c r="M363"/>
      <c r="N363" s="2"/>
      <c r="R363"/>
      <c r="S363"/>
      <c r="T363"/>
      <c r="U363"/>
      <c r="V363"/>
    </row>
    <row r="364" spans="10:22" s="1" customFormat="1" x14ac:dyDescent="0.2">
      <c r="J364"/>
      <c r="K364"/>
      <c r="L364"/>
      <c r="M364"/>
      <c r="N364" s="2"/>
      <c r="R364"/>
      <c r="S364"/>
      <c r="T364"/>
      <c r="U364"/>
      <c r="V364"/>
    </row>
    <row r="365" spans="10:22" s="1" customFormat="1" x14ac:dyDescent="0.2">
      <c r="J365"/>
      <c r="K365"/>
      <c r="L365"/>
      <c r="M365"/>
      <c r="N365" s="2"/>
      <c r="R365"/>
      <c r="S365"/>
      <c r="T365"/>
      <c r="U365"/>
      <c r="V365"/>
    </row>
    <row r="366" spans="10:22" s="1" customFormat="1" x14ac:dyDescent="0.2">
      <c r="J366"/>
      <c r="K366"/>
      <c r="L366"/>
      <c r="M366"/>
      <c r="N366" s="2"/>
      <c r="R366"/>
      <c r="S366"/>
      <c r="T366"/>
      <c r="U366"/>
      <c r="V366"/>
    </row>
    <row r="367" spans="10:22" s="1" customFormat="1" x14ac:dyDescent="0.2">
      <c r="J367"/>
      <c r="K367"/>
      <c r="L367"/>
      <c r="M367"/>
      <c r="N367" s="2"/>
      <c r="R367"/>
      <c r="S367"/>
      <c r="T367"/>
      <c r="U367"/>
      <c r="V367"/>
    </row>
    <row r="368" spans="10:22" s="1" customFormat="1" x14ac:dyDescent="0.2">
      <c r="J368"/>
      <c r="K368"/>
      <c r="L368"/>
      <c r="M368"/>
      <c r="N368" s="2"/>
      <c r="R368"/>
      <c r="S368"/>
      <c r="T368"/>
      <c r="U368"/>
      <c r="V368"/>
    </row>
    <row r="369" spans="10:22" s="1" customFormat="1" x14ac:dyDescent="0.2">
      <c r="J369"/>
      <c r="K369"/>
      <c r="L369"/>
      <c r="M369"/>
      <c r="N369" s="2"/>
      <c r="R369"/>
      <c r="S369"/>
      <c r="T369"/>
      <c r="U369"/>
      <c r="V369"/>
    </row>
    <row r="370" spans="10:22" s="1" customFormat="1" x14ac:dyDescent="0.2">
      <c r="J370"/>
      <c r="K370"/>
      <c r="L370"/>
      <c r="M370"/>
      <c r="N370" s="2"/>
      <c r="R370"/>
      <c r="S370"/>
      <c r="T370"/>
      <c r="U370"/>
      <c r="V370"/>
    </row>
    <row r="371" spans="10:22" s="1" customFormat="1" x14ac:dyDescent="0.2">
      <c r="J371"/>
      <c r="K371"/>
      <c r="L371"/>
      <c r="M371"/>
      <c r="N371" s="2"/>
      <c r="R371"/>
      <c r="S371"/>
      <c r="T371"/>
      <c r="U371"/>
      <c r="V371"/>
    </row>
    <row r="372" spans="10:22" s="1" customFormat="1" x14ac:dyDescent="0.2">
      <c r="J372"/>
      <c r="K372"/>
      <c r="L372"/>
      <c r="M372"/>
      <c r="N372" s="2"/>
      <c r="R372"/>
      <c r="S372"/>
      <c r="T372"/>
      <c r="U372"/>
      <c r="V372"/>
    </row>
    <row r="373" spans="10:22" s="1" customFormat="1" x14ac:dyDescent="0.2">
      <c r="J373"/>
      <c r="K373"/>
      <c r="L373"/>
      <c r="M373"/>
      <c r="N373" s="2"/>
      <c r="R373"/>
      <c r="S373"/>
      <c r="T373"/>
      <c r="U373"/>
      <c r="V373"/>
    </row>
    <row r="374" spans="10:22" s="1" customFormat="1" x14ac:dyDescent="0.2">
      <c r="J374"/>
      <c r="K374"/>
      <c r="L374"/>
      <c r="M374"/>
      <c r="N374" s="2"/>
      <c r="R374"/>
      <c r="S374"/>
      <c r="T374"/>
      <c r="U374"/>
      <c r="V374"/>
    </row>
    <row r="375" spans="10:22" s="1" customFormat="1" x14ac:dyDescent="0.2">
      <c r="J375"/>
      <c r="K375"/>
      <c r="L375"/>
      <c r="M375"/>
      <c r="N375" s="2"/>
      <c r="R375"/>
      <c r="S375"/>
      <c r="T375"/>
      <c r="U375"/>
      <c r="V375"/>
    </row>
    <row r="376" spans="10:22" s="1" customFormat="1" x14ac:dyDescent="0.2">
      <c r="J376"/>
      <c r="K376"/>
      <c r="L376"/>
      <c r="M376"/>
      <c r="N376" s="2"/>
      <c r="R376"/>
      <c r="S376"/>
      <c r="T376"/>
      <c r="U376"/>
      <c r="V376"/>
    </row>
    <row r="377" spans="10:22" s="1" customFormat="1" x14ac:dyDescent="0.2">
      <c r="J377"/>
      <c r="K377"/>
      <c r="L377"/>
      <c r="M377"/>
      <c r="N377" s="2"/>
      <c r="R377"/>
      <c r="S377"/>
      <c r="T377"/>
      <c r="U377"/>
      <c r="V377"/>
    </row>
    <row r="378" spans="10:22" s="1" customFormat="1" x14ac:dyDescent="0.2">
      <c r="J378"/>
      <c r="K378"/>
      <c r="L378"/>
      <c r="M378"/>
      <c r="N378" s="2"/>
      <c r="R378"/>
      <c r="S378"/>
      <c r="T378"/>
      <c r="U378"/>
      <c r="V378"/>
    </row>
    <row r="379" spans="10:22" s="1" customFormat="1" x14ac:dyDescent="0.2">
      <c r="J379"/>
      <c r="K379"/>
      <c r="L379"/>
      <c r="M379"/>
      <c r="N379" s="2"/>
      <c r="R379"/>
      <c r="S379"/>
      <c r="T379"/>
      <c r="U379"/>
      <c r="V379"/>
    </row>
    <row r="380" spans="10:22" s="1" customFormat="1" x14ac:dyDescent="0.2">
      <c r="J380"/>
      <c r="K380"/>
      <c r="L380"/>
      <c r="M380"/>
      <c r="N380" s="2"/>
      <c r="R380"/>
      <c r="S380"/>
      <c r="T380"/>
      <c r="U380"/>
      <c r="V380"/>
    </row>
    <row r="381" spans="10:22" s="1" customFormat="1" x14ac:dyDescent="0.2">
      <c r="J381"/>
      <c r="K381"/>
      <c r="L381"/>
      <c r="M381"/>
      <c r="N381" s="2"/>
      <c r="R381"/>
      <c r="S381"/>
      <c r="T381"/>
      <c r="U381"/>
      <c r="V381"/>
    </row>
    <row r="382" spans="10:22" s="1" customFormat="1" x14ac:dyDescent="0.2">
      <c r="J382"/>
      <c r="K382"/>
      <c r="L382"/>
      <c r="M382"/>
      <c r="N382" s="2"/>
      <c r="R382"/>
      <c r="S382"/>
      <c r="T382"/>
      <c r="U382"/>
      <c r="V382"/>
    </row>
    <row r="383" spans="10:22" s="1" customFormat="1" x14ac:dyDescent="0.2">
      <c r="J383"/>
      <c r="K383"/>
      <c r="L383"/>
      <c r="M383"/>
      <c r="N383" s="2"/>
      <c r="R383"/>
      <c r="S383"/>
      <c r="T383"/>
      <c r="U383"/>
      <c r="V383"/>
    </row>
    <row r="384" spans="10:22" s="1" customFormat="1" x14ac:dyDescent="0.2">
      <c r="J384"/>
      <c r="K384"/>
      <c r="L384"/>
      <c r="M384"/>
      <c r="N384" s="2"/>
      <c r="R384"/>
      <c r="S384"/>
      <c r="T384"/>
      <c r="U384"/>
      <c r="V384"/>
    </row>
    <row r="385" spans="10:22" s="1" customFormat="1" x14ac:dyDescent="0.2">
      <c r="J385"/>
      <c r="K385"/>
      <c r="L385"/>
      <c r="M385"/>
      <c r="N385" s="2"/>
      <c r="R385"/>
      <c r="S385"/>
      <c r="T385"/>
      <c r="U385"/>
      <c r="V385"/>
    </row>
    <row r="386" spans="10:22" s="1" customFormat="1" x14ac:dyDescent="0.2">
      <c r="J386"/>
      <c r="K386"/>
      <c r="L386"/>
      <c r="M386"/>
      <c r="N386" s="2"/>
      <c r="R386"/>
      <c r="S386"/>
      <c r="T386"/>
      <c r="U386"/>
      <c r="V386"/>
    </row>
    <row r="387" spans="10:22" s="1" customFormat="1" x14ac:dyDescent="0.2">
      <c r="J387"/>
      <c r="K387"/>
      <c r="L387"/>
      <c r="M387"/>
      <c r="N387" s="2"/>
      <c r="R387"/>
      <c r="S387"/>
      <c r="T387"/>
      <c r="U387"/>
      <c r="V387"/>
    </row>
    <row r="388" spans="10:22" s="1" customFormat="1" x14ac:dyDescent="0.2">
      <c r="J388"/>
      <c r="K388"/>
      <c r="L388"/>
      <c r="M388"/>
      <c r="N388" s="2"/>
      <c r="R388"/>
      <c r="S388"/>
      <c r="T388"/>
      <c r="U388"/>
      <c r="V388"/>
    </row>
    <row r="389" spans="10:22" s="1" customFormat="1" x14ac:dyDescent="0.2">
      <c r="J389"/>
      <c r="K389"/>
      <c r="L389"/>
      <c r="M389"/>
      <c r="N389" s="2"/>
      <c r="R389"/>
      <c r="S389"/>
      <c r="T389"/>
      <c r="U389"/>
      <c r="V389"/>
    </row>
    <row r="390" spans="10:22" s="1" customFormat="1" x14ac:dyDescent="0.2">
      <c r="J390"/>
      <c r="K390"/>
      <c r="L390"/>
      <c r="M390"/>
      <c r="N390" s="2"/>
      <c r="R390"/>
      <c r="S390"/>
      <c r="T390"/>
      <c r="U390"/>
      <c r="V390"/>
    </row>
    <row r="391" spans="10:22" s="1" customFormat="1" x14ac:dyDescent="0.2">
      <c r="J391"/>
      <c r="K391"/>
      <c r="L391"/>
      <c r="M391"/>
      <c r="N391" s="2"/>
      <c r="R391"/>
      <c r="S391"/>
      <c r="T391"/>
      <c r="U391"/>
      <c r="V391"/>
    </row>
    <row r="392" spans="10:22" s="1" customFormat="1" x14ac:dyDescent="0.2">
      <c r="J392"/>
      <c r="K392"/>
      <c r="L392"/>
      <c r="M392"/>
      <c r="N392" s="2"/>
      <c r="R392"/>
      <c r="S392"/>
      <c r="T392"/>
      <c r="U392"/>
      <c r="V392"/>
    </row>
    <row r="393" spans="10:22" s="1" customFormat="1" x14ac:dyDescent="0.2">
      <c r="J393"/>
      <c r="K393"/>
      <c r="L393"/>
      <c r="M393"/>
      <c r="N393" s="2"/>
      <c r="R393"/>
      <c r="S393"/>
      <c r="T393"/>
      <c r="U393"/>
      <c r="V393"/>
    </row>
    <row r="394" spans="10:22" s="1" customFormat="1" x14ac:dyDescent="0.2">
      <c r="J394"/>
      <c r="K394"/>
      <c r="L394"/>
      <c r="M394"/>
      <c r="N394" s="2"/>
      <c r="R394"/>
      <c r="S394"/>
      <c r="T394"/>
      <c r="U394"/>
      <c r="V394"/>
    </row>
    <row r="395" spans="10:22" s="1" customFormat="1" x14ac:dyDescent="0.2">
      <c r="J395"/>
      <c r="K395"/>
      <c r="L395"/>
      <c r="M395"/>
      <c r="N395" s="2"/>
      <c r="R395"/>
      <c r="S395"/>
      <c r="T395"/>
      <c r="U395"/>
      <c r="V395"/>
    </row>
    <row r="396" spans="10:22" s="1" customFormat="1" x14ac:dyDescent="0.2">
      <c r="J396"/>
      <c r="K396"/>
      <c r="L396"/>
      <c r="M396"/>
      <c r="N396" s="2"/>
      <c r="R396"/>
      <c r="S396"/>
      <c r="T396"/>
      <c r="U396"/>
      <c r="V396"/>
    </row>
    <row r="397" spans="10:22" s="1" customFormat="1" x14ac:dyDescent="0.2">
      <c r="J397"/>
      <c r="K397"/>
      <c r="L397"/>
      <c r="M397"/>
      <c r="N397" s="2"/>
      <c r="R397"/>
      <c r="S397"/>
      <c r="T397"/>
      <c r="U397"/>
      <c r="V397"/>
    </row>
    <row r="398" spans="10:22" s="1" customFormat="1" x14ac:dyDescent="0.2">
      <c r="J398"/>
      <c r="K398"/>
      <c r="L398"/>
      <c r="M398"/>
      <c r="N398" s="2"/>
      <c r="R398"/>
      <c r="S398"/>
      <c r="T398"/>
      <c r="U398"/>
      <c r="V398"/>
    </row>
    <row r="399" spans="10:22" s="1" customFormat="1" x14ac:dyDescent="0.2">
      <c r="J399"/>
      <c r="K399"/>
      <c r="L399"/>
      <c r="M399"/>
      <c r="N399" s="2"/>
      <c r="R399"/>
      <c r="S399"/>
      <c r="T399"/>
      <c r="U399"/>
      <c r="V399"/>
    </row>
    <row r="400" spans="10:22" s="1" customFormat="1" x14ac:dyDescent="0.2">
      <c r="J400"/>
      <c r="K400"/>
      <c r="L400"/>
      <c r="M400"/>
      <c r="N400" s="2"/>
      <c r="R400"/>
      <c r="S400"/>
      <c r="T400"/>
      <c r="U400"/>
      <c r="V400"/>
    </row>
    <row r="401" spans="10:22" s="1" customFormat="1" x14ac:dyDescent="0.2">
      <c r="J401"/>
      <c r="K401"/>
      <c r="L401"/>
      <c r="M401"/>
      <c r="N401" s="2"/>
      <c r="R401"/>
      <c r="S401"/>
      <c r="T401"/>
      <c r="U401"/>
      <c r="V401"/>
    </row>
    <row r="402" spans="10:22" s="1" customFormat="1" x14ac:dyDescent="0.2">
      <c r="J402"/>
      <c r="K402"/>
      <c r="L402"/>
      <c r="M402"/>
      <c r="N402" s="2"/>
      <c r="R402"/>
      <c r="S402"/>
      <c r="T402"/>
      <c r="U402"/>
      <c r="V402"/>
    </row>
    <row r="403" spans="10:22" s="1" customFormat="1" x14ac:dyDescent="0.2">
      <c r="J403"/>
      <c r="K403"/>
      <c r="L403"/>
      <c r="M403"/>
      <c r="N403" s="2"/>
      <c r="R403"/>
      <c r="S403"/>
      <c r="T403"/>
      <c r="U403"/>
      <c r="V403"/>
    </row>
    <row r="404" spans="10:22" s="1" customFormat="1" x14ac:dyDescent="0.2">
      <c r="J404"/>
      <c r="K404"/>
      <c r="L404"/>
      <c r="M404"/>
      <c r="N404" s="2"/>
      <c r="R404"/>
      <c r="S404"/>
      <c r="T404"/>
      <c r="U404"/>
      <c r="V404"/>
    </row>
    <row r="405" spans="10:22" s="1" customFormat="1" x14ac:dyDescent="0.2">
      <c r="J405"/>
      <c r="K405"/>
      <c r="L405"/>
      <c r="M405"/>
      <c r="N405" s="2"/>
      <c r="R405"/>
      <c r="S405"/>
      <c r="T405"/>
      <c r="U405"/>
      <c r="V405"/>
    </row>
    <row r="406" spans="10:22" s="1" customFormat="1" x14ac:dyDescent="0.2">
      <c r="J406"/>
      <c r="K406"/>
      <c r="L406"/>
      <c r="M406"/>
      <c r="N406" s="2"/>
      <c r="R406"/>
      <c r="S406"/>
      <c r="T406"/>
      <c r="U406"/>
      <c r="V406"/>
    </row>
    <row r="407" spans="10:22" s="1" customFormat="1" x14ac:dyDescent="0.2">
      <c r="J407"/>
      <c r="K407"/>
      <c r="L407"/>
      <c r="M407"/>
      <c r="N407" s="2"/>
      <c r="R407"/>
      <c r="S407"/>
      <c r="T407"/>
      <c r="U407"/>
      <c r="V407"/>
    </row>
    <row r="408" spans="10:22" s="1" customFormat="1" x14ac:dyDescent="0.2">
      <c r="J408"/>
      <c r="K408"/>
      <c r="L408"/>
      <c r="M408"/>
      <c r="N408" s="2"/>
      <c r="R408"/>
      <c r="S408"/>
      <c r="T408"/>
      <c r="U408"/>
      <c r="V408"/>
    </row>
    <row r="409" spans="10:22" s="1" customFormat="1" x14ac:dyDescent="0.2">
      <c r="J409"/>
      <c r="K409"/>
      <c r="L409"/>
      <c r="M409"/>
      <c r="N409" s="2"/>
      <c r="R409"/>
      <c r="S409"/>
      <c r="T409"/>
      <c r="U409"/>
      <c r="V409"/>
    </row>
    <row r="410" spans="10:22" s="1" customFormat="1" x14ac:dyDescent="0.2">
      <c r="J410"/>
      <c r="K410"/>
      <c r="L410"/>
      <c r="M410"/>
      <c r="N410" s="2"/>
      <c r="R410"/>
      <c r="S410"/>
      <c r="T410"/>
      <c r="U410"/>
      <c r="V410"/>
    </row>
    <row r="411" spans="10:22" s="1" customFormat="1" x14ac:dyDescent="0.2">
      <c r="J411"/>
      <c r="K411"/>
      <c r="L411"/>
      <c r="M411"/>
      <c r="N411" s="2"/>
      <c r="R411"/>
      <c r="S411"/>
      <c r="T411"/>
      <c r="U411"/>
      <c r="V411"/>
    </row>
    <row r="412" spans="10:22" s="1" customFormat="1" x14ac:dyDescent="0.2">
      <c r="J412"/>
      <c r="K412"/>
      <c r="L412"/>
      <c r="M412"/>
      <c r="N412" s="2"/>
      <c r="R412"/>
      <c r="S412"/>
      <c r="T412"/>
      <c r="U412"/>
      <c r="V412"/>
    </row>
    <row r="413" spans="10:22" s="1" customFormat="1" x14ac:dyDescent="0.2">
      <c r="J413"/>
      <c r="K413"/>
      <c r="L413"/>
      <c r="M413"/>
      <c r="N413" s="2"/>
      <c r="R413"/>
      <c r="S413"/>
      <c r="T413"/>
      <c r="U413"/>
      <c r="V413"/>
    </row>
    <row r="414" spans="10:22" s="1" customFormat="1" x14ac:dyDescent="0.2">
      <c r="J414"/>
      <c r="K414"/>
      <c r="L414"/>
      <c r="M414"/>
      <c r="N414" s="2"/>
      <c r="R414"/>
      <c r="S414"/>
      <c r="T414"/>
      <c r="U414"/>
      <c r="V414"/>
    </row>
    <row r="415" spans="10:22" s="1" customFormat="1" x14ac:dyDescent="0.2">
      <c r="J415"/>
      <c r="K415"/>
      <c r="L415"/>
      <c r="M415"/>
      <c r="N415" s="2"/>
      <c r="R415"/>
      <c r="S415"/>
      <c r="T415"/>
      <c r="U415"/>
      <c r="V415"/>
    </row>
    <row r="416" spans="10:22" s="1" customFormat="1" x14ac:dyDescent="0.2">
      <c r="J416"/>
      <c r="K416"/>
      <c r="L416"/>
      <c r="M416"/>
      <c r="N416" s="2"/>
      <c r="R416"/>
      <c r="S416"/>
      <c r="T416"/>
      <c r="U416"/>
      <c r="V416"/>
    </row>
    <row r="417" spans="10:22" s="1" customFormat="1" x14ac:dyDescent="0.2">
      <c r="J417"/>
      <c r="K417"/>
      <c r="L417"/>
      <c r="M417"/>
      <c r="N417" s="2"/>
      <c r="R417"/>
      <c r="S417"/>
      <c r="T417"/>
      <c r="U417"/>
      <c r="V417"/>
    </row>
    <row r="418" spans="10:22" s="1" customFormat="1" x14ac:dyDescent="0.2">
      <c r="J418"/>
      <c r="K418"/>
      <c r="L418"/>
      <c r="M418"/>
      <c r="N418" s="2"/>
      <c r="R418"/>
      <c r="S418"/>
      <c r="T418"/>
      <c r="U418"/>
      <c r="V418"/>
    </row>
    <row r="419" spans="10:22" s="1" customFormat="1" x14ac:dyDescent="0.2">
      <c r="J419"/>
      <c r="K419"/>
      <c r="L419"/>
      <c r="M419"/>
      <c r="N419" s="2"/>
      <c r="R419"/>
      <c r="S419"/>
      <c r="T419"/>
      <c r="U419"/>
      <c r="V419"/>
    </row>
    <row r="420" spans="10:22" s="1" customFormat="1" x14ac:dyDescent="0.2">
      <c r="J420"/>
      <c r="K420"/>
      <c r="L420"/>
      <c r="M420"/>
      <c r="N420" s="2"/>
      <c r="R420"/>
      <c r="S420"/>
      <c r="T420"/>
      <c r="U420"/>
      <c r="V420"/>
    </row>
    <row r="421" spans="10:22" s="1" customFormat="1" x14ac:dyDescent="0.2">
      <c r="J421"/>
      <c r="K421"/>
      <c r="L421"/>
      <c r="M421"/>
      <c r="N421" s="2"/>
      <c r="R421"/>
      <c r="S421"/>
      <c r="T421"/>
      <c r="U421"/>
      <c r="V421"/>
    </row>
    <row r="422" spans="10:22" s="1" customFormat="1" x14ac:dyDescent="0.2">
      <c r="J422"/>
      <c r="K422"/>
      <c r="L422"/>
      <c r="M422"/>
      <c r="N422" s="2"/>
      <c r="R422"/>
      <c r="S422"/>
      <c r="T422"/>
      <c r="U422"/>
      <c r="V422"/>
    </row>
    <row r="423" spans="10:22" s="1" customFormat="1" x14ac:dyDescent="0.2">
      <c r="J423"/>
      <c r="K423"/>
      <c r="L423"/>
      <c r="M423"/>
      <c r="N423" s="2"/>
      <c r="R423"/>
      <c r="S423"/>
      <c r="T423"/>
      <c r="U423"/>
      <c r="V423"/>
    </row>
    <row r="424" spans="10:22" s="1" customFormat="1" x14ac:dyDescent="0.2">
      <c r="J424"/>
      <c r="K424"/>
      <c r="L424"/>
      <c r="M424"/>
      <c r="N424" s="2"/>
      <c r="R424"/>
      <c r="S424"/>
      <c r="T424"/>
      <c r="U424"/>
      <c r="V424"/>
    </row>
    <row r="425" spans="10:22" s="1" customFormat="1" x14ac:dyDescent="0.2">
      <c r="J425"/>
      <c r="K425"/>
      <c r="L425"/>
      <c r="M425"/>
      <c r="N425" s="2"/>
      <c r="R425"/>
      <c r="S425"/>
      <c r="T425"/>
      <c r="U425"/>
      <c r="V425"/>
    </row>
    <row r="426" spans="10:22" s="1" customFormat="1" x14ac:dyDescent="0.2">
      <c r="J426"/>
      <c r="K426"/>
      <c r="L426"/>
      <c r="M426"/>
      <c r="N426" s="2"/>
      <c r="R426"/>
      <c r="S426"/>
      <c r="T426"/>
      <c r="U426"/>
      <c r="V426"/>
    </row>
    <row r="427" spans="10:22" s="1" customFormat="1" x14ac:dyDescent="0.2">
      <c r="J427"/>
      <c r="K427"/>
      <c r="L427"/>
      <c r="M427"/>
      <c r="N427" s="2"/>
      <c r="R427"/>
      <c r="S427"/>
      <c r="T427"/>
      <c r="U427"/>
      <c r="V427"/>
    </row>
    <row r="428" spans="10:22" s="1" customFormat="1" x14ac:dyDescent="0.2">
      <c r="J428"/>
      <c r="K428"/>
      <c r="L428"/>
      <c r="M428"/>
      <c r="N428" s="2"/>
      <c r="R428"/>
      <c r="S428"/>
      <c r="T428"/>
      <c r="U428"/>
      <c r="V428"/>
    </row>
    <row r="429" spans="10:22" s="1" customFormat="1" x14ac:dyDescent="0.2">
      <c r="J429"/>
      <c r="K429"/>
      <c r="L429"/>
      <c r="M429"/>
      <c r="N429" s="2"/>
      <c r="R429"/>
      <c r="S429"/>
      <c r="T429"/>
      <c r="U429"/>
      <c r="V429"/>
    </row>
    <row r="430" spans="10:22" s="1" customFormat="1" x14ac:dyDescent="0.2">
      <c r="J430"/>
      <c r="K430"/>
      <c r="L430"/>
      <c r="M430"/>
      <c r="N430" s="2"/>
      <c r="R430"/>
      <c r="S430"/>
      <c r="T430"/>
      <c r="U430"/>
      <c r="V430"/>
    </row>
    <row r="431" spans="10:22" s="1" customFormat="1" x14ac:dyDescent="0.2">
      <c r="J431"/>
      <c r="K431"/>
      <c r="L431"/>
      <c r="M431"/>
      <c r="N431" s="2"/>
      <c r="R431"/>
      <c r="S431"/>
      <c r="T431"/>
      <c r="U431"/>
      <c r="V431"/>
    </row>
    <row r="432" spans="10:22" s="1" customFormat="1" x14ac:dyDescent="0.2">
      <c r="J432"/>
      <c r="K432"/>
      <c r="L432"/>
      <c r="M432"/>
      <c r="N432" s="2"/>
      <c r="R432"/>
      <c r="S432"/>
      <c r="T432"/>
      <c r="U432"/>
      <c r="V432"/>
    </row>
    <row r="433" spans="10:22" s="1" customFormat="1" x14ac:dyDescent="0.2">
      <c r="J433"/>
      <c r="K433"/>
      <c r="L433"/>
      <c r="M433"/>
      <c r="N433" s="2"/>
      <c r="R433"/>
      <c r="S433"/>
      <c r="T433"/>
      <c r="U433"/>
      <c r="V433"/>
    </row>
    <row r="434" spans="10:22" s="1" customFormat="1" x14ac:dyDescent="0.2">
      <c r="J434"/>
      <c r="K434"/>
      <c r="L434"/>
      <c r="M434"/>
      <c r="N434" s="2"/>
      <c r="R434"/>
      <c r="S434"/>
      <c r="T434"/>
      <c r="U434"/>
      <c r="V434"/>
    </row>
    <row r="435" spans="10:22" s="1" customFormat="1" x14ac:dyDescent="0.2">
      <c r="J435"/>
      <c r="K435"/>
      <c r="L435"/>
      <c r="M435"/>
      <c r="N435" s="2"/>
      <c r="R435"/>
      <c r="S435"/>
      <c r="T435"/>
      <c r="U435"/>
      <c r="V435"/>
    </row>
    <row r="436" spans="10:22" s="1" customFormat="1" x14ac:dyDescent="0.2">
      <c r="J436"/>
      <c r="K436"/>
      <c r="L436"/>
      <c r="M436"/>
      <c r="N436" s="2"/>
      <c r="R436"/>
      <c r="S436"/>
      <c r="T436"/>
      <c r="U436"/>
      <c r="V436"/>
    </row>
    <row r="437" spans="10:22" s="1" customFormat="1" x14ac:dyDescent="0.2">
      <c r="J437"/>
      <c r="K437"/>
      <c r="L437"/>
      <c r="M437"/>
      <c r="N437" s="2"/>
      <c r="R437"/>
      <c r="S437"/>
      <c r="T437"/>
      <c r="U437"/>
      <c r="V437"/>
    </row>
    <row r="438" spans="10:22" s="1" customFormat="1" x14ac:dyDescent="0.2">
      <c r="J438"/>
      <c r="K438"/>
      <c r="L438"/>
      <c r="M438"/>
      <c r="N438" s="2"/>
      <c r="R438"/>
      <c r="S438"/>
      <c r="T438"/>
      <c r="U438"/>
      <c r="V438"/>
    </row>
    <row r="439" spans="10:22" s="1" customFormat="1" x14ac:dyDescent="0.2">
      <c r="J439"/>
      <c r="K439"/>
      <c r="L439"/>
      <c r="M439"/>
      <c r="N439" s="2"/>
      <c r="R439"/>
      <c r="S439"/>
      <c r="T439"/>
      <c r="U439"/>
      <c r="V439"/>
    </row>
    <row r="440" spans="10:22" s="1" customFormat="1" x14ac:dyDescent="0.2">
      <c r="J440"/>
      <c r="K440"/>
      <c r="L440"/>
      <c r="M440"/>
      <c r="N440" s="2"/>
      <c r="R440"/>
      <c r="S440"/>
      <c r="T440"/>
      <c r="U440"/>
      <c r="V440"/>
    </row>
    <row r="441" spans="10:22" s="1" customFormat="1" x14ac:dyDescent="0.2">
      <c r="J441"/>
      <c r="K441"/>
      <c r="L441"/>
      <c r="M441"/>
      <c r="N441" s="2"/>
      <c r="R441"/>
      <c r="S441"/>
      <c r="T441"/>
      <c r="U441"/>
      <c r="V441"/>
    </row>
    <row r="442" spans="10:22" s="1" customFormat="1" x14ac:dyDescent="0.2">
      <c r="J442"/>
      <c r="K442"/>
      <c r="L442"/>
      <c r="M442"/>
      <c r="N442" s="2"/>
      <c r="R442"/>
      <c r="S442"/>
      <c r="T442"/>
      <c r="U442"/>
      <c r="V442"/>
    </row>
    <row r="443" spans="10:22" s="1" customFormat="1" x14ac:dyDescent="0.2">
      <c r="J443"/>
      <c r="K443"/>
      <c r="L443"/>
      <c r="M443"/>
      <c r="N443" s="2"/>
      <c r="R443"/>
      <c r="S443"/>
      <c r="T443"/>
      <c r="U443"/>
      <c r="V443"/>
    </row>
    <row r="444" spans="10:22" s="1" customFormat="1" x14ac:dyDescent="0.2">
      <c r="J444"/>
      <c r="K444"/>
      <c r="L444"/>
      <c r="M444"/>
      <c r="N444" s="2"/>
      <c r="R444"/>
      <c r="S444"/>
      <c r="T444"/>
      <c r="U444"/>
      <c r="V444"/>
    </row>
    <row r="445" spans="10:22" s="1" customFormat="1" x14ac:dyDescent="0.2">
      <c r="J445"/>
      <c r="K445"/>
      <c r="L445"/>
      <c r="M445"/>
      <c r="N445" s="2"/>
      <c r="R445"/>
      <c r="S445"/>
      <c r="T445"/>
      <c r="U445"/>
      <c r="V445"/>
    </row>
    <row r="446" spans="10:22" s="1" customFormat="1" x14ac:dyDescent="0.2">
      <c r="J446"/>
      <c r="K446"/>
      <c r="L446"/>
      <c r="M446"/>
      <c r="N446" s="2"/>
      <c r="R446"/>
      <c r="S446"/>
      <c r="T446"/>
      <c r="U446"/>
      <c r="V446"/>
    </row>
    <row r="447" spans="10:22" s="1" customFormat="1" x14ac:dyDescent="0.2">
      <c r="J447"/>
      <c r="K447"/>
      <c r="L447"/>
      <c r="M447"/>
      <c r="N447" s="2"/>
      <c r="R447"/>
      <c r="S447"/>
      <c r="T447"/>
      <c r="U447"/>
      <c r="V447"/>
    </row>
    <row r="448" spans="10:22" s="1" customFormat="1" x14ac:dyDescent="0.2">
      <c r="J448"/>
      <c r="K448"/>
      <c r="L448"/>
      <c r="M448"/>
      <c r="N448" s="2"/>
      <c r="R448"/>
      <c r="S448"/>
      <c r="T448"/>
      <c r="U448"/>
      <c r="V448"/>
    </row>
    <row r="449" spans="10:22" s="1" customFormat="1" x14ac:dyDescent="0.2">
      <c r="J449"/>
      <c r="K449"/>
      <c r="L449"/>
      <c r="M449"/>
      <c r="N449" s="2"/>
      <c r="R449"/>
      <c r="S449"/>
      <c r="T449"/>
      <c r="U449"/>
      <c r="V449"/>
    </row>
    <row r="450" spans="10:22" s="1" customFormat="1" x14ac:dyDescent="0.2">
      <c r="J450"/>
      <c r="K450"/>
      <c r="L450"/>
      <c r="M450"/>
      <c r="N450" s="2"/>
      <c r="R450"/>
      <c r="S450"/>
      <c r="T450"/>
      <c r="U450"/>
      <c r="V450"/>
    </row>
    <row r="451" spans="10:22" s="1" customFormat="1" x14ac:dyDescent="0.2">
      <c r="J451"/>
      <c r="K451"/>
      <c r="L451"/>
      <c r="M451"/>
      <c r="N451" s="2"/>
      <c r="R451"/>
      <c r="S451"/>
      <c r="T451"/>
      <c r="U451"/>
      <c r="V451"/>
    </row>
    <row r="452" spans="10:22" s="1" customFormat="1" x14ac:dyDescent="0.2">
      <c r="J452"/>
      <c r="K452"/>
      <c r="L452"/>
      <c r="M452"/>
      <c r="N452" s="2"/>
      <c r="R452"/>
      <c r="S452"/>
      <c r="T452"/>
      <c r="U452"/>
      <c r="V452"/>
    </row>
    <row r="453" spans="10:22" s="1" customFormat="1" x14ac:dyDescent="0.2">
      <c r="J453"/>
      <c r="K453"/>
      <c r="L453"/>
      <c r="M453"/>
      <c r="N453" s="2"/>
      <c r="R453"/>
      <c r="S453"/>
      <c r="T453"/>
      <c r="U453"/>
      <c r="V453"/>
    </row>
    <row r="454" spans="10:22" s="1" customFormat="1" x14ac:dyDescent="0.2">
      <c r="J454"/>
      <c r="K454"/>
      <c r="L454"/>
      <c r="M454"/>
      <c r="N454" s="2"/>
      <c r="R454"/>
      <c r="S454"/>
      <c r="T454"/>
      <c r="U454"/>
      <c r="V454"/>
    </row>
    <row r="455" spans="10:22" s="1" customFormat="1" x14ac:dyDescent="0.2">
      <c r="J455"/>
      <c r="K455"/>
      <c r="L455"/>
      <c r="M455"/>
      <c r="N455" s="2"/>
      <c r="R455"/>
      <c r="S455"/>
      <c r="T455"/>
      <c r="U455"/>
      <c r="V455"/>
    </row>
    <row r="456" spans="10:22" s="1" customFormat="1" x14ac:dyDescent="0.2">
      <c r="J456"/>
      <c r="K456"/>
      <c r="L456"/>
      <c r="M456"/>
      <c r="N456" s="2"/>
      <c r="R456"/>
      <c r="S456"/>
      <c r="T456"/>
      <c r="U456"/>
      <c r="V456"/>
    </row>
    <row r="457" spans="10:22" s="1" customFormat="1" x14ac:dyDescent="0.2">
      <c r="J457"/>
      <c r="K457"/>
      <c r="L457"/>
      <c r="M457"/>
      <c r="N457" s="2"/>
      <c r="R457"/>
      <c r="S457"/>
      <c r="T457"/>
      <c r="U457"/>
      <c r="V457"/>
    </row>
    <row r="458" spans="10:22" s="1" customFormat="1" x14ac:dyDescent="0.2">
      <c r="J458"/>
      <c r="K458"/>
      <c r="L458"/>
      <c r="M458"/>
      <c r="N458" s="2"/>
      <c r="R458"/>
      <c r="S458"/>
      <c r="T458"/>
      <c r="U458"/>
      <c r="V458"/>
    </row>
    <row r="459" spans="10:22" s="1" customFormat="1" x14ac:dyDescent="0.2">
      <c r="J459"/>
      <c r="K459"/>
      <c r="L459"/>
      <c r="M459"/>
      <c r="N459" s="2"/>
      <c r="R459"/>
      <c r="S459"/>
      <c r="T459"/>
      <c r="U459"/>
      <c r="V459"/>
    </row>
    <row r="460" spans="10:22" s="1" customFormat="1" x14ac:dyDescent="0.2">
      <c r="J460"/>
      <c r="K460"/>
      <c r="L460"/>
      <c r="M460"/>
      <c r="N460" s="2"/>
      <c r="R460"/>
      <c r="S460"/>
      <c r="T460"/>
      <c r="U460"/>
      <c r="V460"/>
    </row>
    <row r="461" spans="10:22" s="1" customFormat="1" x14ac:dyDescent="0.2">
      <c r="J461"/>
      <c r="K461"/>
      <c r="L461"/>
      <c r="M461"/>
      <c r="N461" s="2"/>
      <c r="R461"/>
      <c r="S461"/>
      <c r="T461"/>
      <c r="U461"/>
      <c r="V461"/>
    </row>
    <row r="462" spans="10:22" s="1" customFormat="1" x14ac:dyDescent="0.2">
      <c r="J462"/>
      <c r="K462"/>
      <c r="L462"/>
      <c r="M462"/>
      <c r="N462" s="2"/>
      <c r="R462"/>
      <c r="S462"/>
      <c r="T462"/>
      <c r="U462"/>
      <c r="V462"/>
    </row>
    <row r="463" spans="10:22" s="1" customFormat="1" x14ac:dyDescent="0.2">
      <c r="J463"/>
      <c r="K463"/>
      <c r="L463"/>
      <c r="M463"/>
      <c r="N463" s="2"/>
      <c r="R463"/>
      <c r="S463"/>
      <c r="T463"/>
      <c r="U463"/>
      <c r="V463"/>
    </row>
    <row r="464" spans="10:22" s="1" customFormat="1" x14ac:dyDescent="0.2">
      <c r="J464"/>
      <c r="K464"/>
      <c r="L464"/>
      <c r="M464"/>
      <c r="N464" s="2"/>
      <c r="R464"/>
      <c r="S464"/>
      <c r="T464"/>
      <c r="U464"/>
      <c r="V464"/>
    </row>
    <row r="465" spans="10:22" s="1" customFormat="1" x14ac:dyDescent="0.2">
      <c r="J465"/>
      <c r="K465"/>
      <c r="L465"/>
      <c r="M465"/>
      <c r="N465" s="2"/>
      <c r="R465"/>
      <c r="S465"/>
      <c r="T465"/>
      <c r="U465"/>
      <c r="V465"/>
    </row>
    <row r="466" spans="10:22" s="1" customFormat="1" x14ac:dyDescent="0.2">
      <c r="J466"/>
      <c r="K466"/>
      <c r="L466"/>
      <c r="M466"/>
      <c r="N466" s="2"/>
      <c r="R466"/>
      <c r="S466"/>
      <c r="T466"/>
      <c r="U466"/>
      <c r="V466"/>
    </row>
    <row r="467" spans="10:22" s="1" customFormat="1" x14ac:dyDescent="0.2">
      <c r="J467"/>
      <c r="K467"/>
      <c r="L467"/>
      <c r="M467"/>
      <c r="N467" s="2"/>
      <c r="R467"/>
      <c r="S467"/>
      <c r="T467"/>
      <c r="U467"/>
      <c r="V467"/>
    </row>
    <row r="468" spans="10:22" s="1" customFormat="1" x14ac:dyDescent="0.2">
      <c r="J468"/>
      <c r="K468"/>
      <c r="L468"/>
      <c r="M468"/>
      <c r="N468" s="2"/>
      <c r="R468"/>
      <c r="S468"/>
      <c r="T468"/>
      <c r="U468"/>
      <c r="V468"/>
    </row>
    <row r="469" spans="10:22" s="1" customFormat="1" x14ac:dyDescent="0.2">
      <c r="J469"/>
      <c r="K469"/>
      <c r="L469"/>
      <c r="M469"/>
      <c r="N469" s="2"/>
      <c r="R469"/>
      <c r="S469"/>
      <c r="T469"/>
      <c r="U469"/>
      <c r="V469"/>
    </row>
    <row r="470" spans="10:22" s="1" customFormat="1" x14ac:dyDescent="0.2">
      <c r="J470"/>
      <c r="K470"/>
      <c r="L470"/>
      <c r="M470"/>
      <c r="N470" s="2"/>
      <c r="R470"/>
      <c r="S470"/>
      <c r="T470"/>
      <c r="U470"/>
      <c r="V470"/>
    </row>
    <row r="471" spans="10:22" s="1" customFormat="1" x14ac:dyDescent="0.2">
      <c r="J471"/>
      <c r="K471"/>
      <c r="L471"/>
      <c r="M471"/>
      <c r="N471" s="2"/>
      <c r="R471"/>
      <c r="S471"/>
      <c r="T471"/>
      <c r="U471"/>
      <c r="V471"/>
    </row>
    <row r="472" spans="10:22" s="1" customFormat="1" x14ac:dyDescent="0.2">
      <c r="J472"/>
      <c r="K472"/>
      <c r="L472"/>
      <c r="M472"/>
      <c r="N472" s="2"/>
      <c r="R472"/>
      <c r="S472"/>
      <c r="T472"/>
      <c r="U472"/>
      <c r="V472"/>
    </row>
    <row r="473" spans="10:22" s="1" customFormat="1" x14ac:dyDescent="0.2">
      <c r="J473"/>
      <c r="K473"/>
      <c r="L473"/>
      <c r="M473"/>
      <c r="N473" s="2"/>
      <c r="R473"/>
      <c r="S473"/>
      <c r="T473"/>
      <c r="U473"/>
      <c r="V473"/>
    </row>
    <row r="474" spans="10:22" s="1" customFormat="1" x14ac:dyDescent="0.2">
      <c r="J474"/>
      <c r="K474"/>
      <c r="L474"/>
      <c r="M474"/>
      <c r="N474" s="2"/>
      <c r="R474"/>
      <c r="S474"/>
      <c r="T474"/>
      <c r="U474"/>
      <c r="V474"/>
    </row>
    <row r="475" spans="10:22" s="1" customFormat="1" x14ac:dyDescent="0.2">
      <c r="J475"/>
      <c r="K475"/>
      <c r="L475"/>
      <c r="M475"/>
      <c r="N475" s="2"/>
      <c r="R475"/>
      <c r="S475"/>
      <c r="T475"/>
      <c r="U475"/>
      <c r="V475"/>
    </row>
    <row r="476" spans="10:22" s="1" customFormat="1" x14ac:dyDescent="0.2">
      <c r="J476"/>
      <c r="K476"/>
      <c r="L476"/>
      <c r="M476"/>
      <c r="N476" s="2"/>
      <c r="R476"/>
      <c r="S476"/>
      <c r="T476"/>
      <c r="U476"/>
      <c r="V476"/>
    </row>
    <row r="477" spans="10:22" s="1" customFormat="1" x14ac:dyDescent="0.2">
      <c r="J477"/>
      <c r="K477"/>
      <c r="L477"/>
      <c r="M477"/>
      <c r="N477" s="2"/>
      <c r="R477"/>
      <c r="S477"/>
      <c r="T477"/>
      <c r="U477"/>
      <c r="V477"/>
    </row>
    <row r="478" spans="10:22" s="1" customFormat="1" x14ac:dyDescent="0.2">
      <c r="J478"/>
      <c r="K478"/>
      <c r="L478"/>
      <c r="M478"/>
      <c r="N478" s="2"/>
      <c r="R478"/>
      <c r="S478"/>
      <c r="T478"/>
      <c r="U478"/>
      <c r="V478"/>
    </row>
    <row r="479" spans="10:22" s="1" customFormat="1" x14ac:dyDescent="0.2">
      <c r="J479"/>
      <c r="K479"/>
      <c r="L479"/>
      <c r="M479"/>
      <c r="N479" s="2"/>
      <c r="R479"/>
      <c r="S479"/>
      <c r="T479"/>
      <c r="U479"/>
      <c r="V479"/>
    </row>
    <row r="480" spans="10:22" s="1" customFormat="1" x14ac:dyDescent="0.2">
      <c r="J480"/>
      <c r="K480"/>
      <c r="L480"/>
      <c r="M480"/>
      <c r="N480" s="2"/>
      <c r="R480"/>
      <c r="S480"/>
      <c r="T480"/>
      <c r="U480"/>
      <c r="V480"/>
    </row>
    <row r="481" spans="10:22" s="1" customFormat="1" x14ac:dyDescent="0.2">
      <c r="J481"/>
      <c r="K481"/>
      <c r="L481"/>
      <c r="M481"/>
      <c r="N481" s="2"/>
      <c r="R481"/>
      <c r="S481"/>
      <c r="T481"/>
      <c r="U481"/>
      <c r="V481"/>
    </row>
    <row r="482" spans="10:22" s="1" customFormat="1" x14ac:dyDescent="0.2">
      <c r="J482"/>
      <c r="K482"/>
      <c r="L482"/>
      <c r="M482"/>
      <c r="N482" s="2"/>
      <c r="R482"/>
      <c r="S482"/>
      <c r="T482"/>
      <c r="U482"/>
      <c r="V482"/>
    </row>
    <row r="483" spans="10:22" s="1" customFormat="1" x14ac:dyDescent="0.2">
      <c r="J483"/>
      <c r="K483"/>
      <c r="L483"/>
      <c r="M483"/>
      <c r="N483" s="2"/>
      <c r="R483"/>
      <c r="S483"/>
      <c r="T483"/>
      <c r="U483"/>
      <c r="V483"/>
    </row>
    <row r="484" spans="10:22" s="1" customFormat="1" x14ac:dyDescent="0.2">
      <c r="J484"/>
      <c r="K484"/>
      <c r="L484"/>
      <c r="M484"/>
      <c r="N484" s="2"/>
      <c r="R484"/>
      <c r="S484"/>
      <c r="T484"/>
      <c r="U484"/>
      <c r="V484"/>
    </row>
    <row r="485" spans="10:22" s="1" customFormat="1" x14ac:dyDescent="0.2">
      <c r="J485"/>
      <c r="K485"/>
      <c r="L485"/>
      <c r="M485"/>
      <c r="N485" s="2"/>
      <c r="R485"/>
      <c r="S485"/>
      <c r="T485"/>
      <c r="U485"/>
      <c r="V485"/>
    </row>
    <row r="486" spans="10:22" s="1" customFormat="1" x14ac:dyDescent="0.2">
      <c r="J486"/>
      <c r="K486"/>
      <c r="L486"/>
      <c r="M486"/>
      <c r="N486" s="2"/>
      <c r="R486"/>
      <c r="S486"/>
      <c r="T486"/>
      <c r="U486"/>
      <c r="V486"/>
    </row>
    <row r="487" spans="10:22" s="1" customFormat="1" x14ac:dyDescent="0.2">
      <c r="J487"/>
      <c r="K487"/>
      <c r="L487"/>
      <c r="M487"/>
      <c r="N487" s="2"/>
      <c r="R487"/>
      <c r="S487"/>
      <c r="T487"/>
      <c r="U487"/>
      <c r="V487"/>
    </row>
    <row r="488" spans="10:22" s="1" customFormat="1" x14ac:dyDescent="0.2">
      <c r="J488"/>
      <c r="K488"/>
      <c r="L488"/>
      <c r="M488"/>
      <c r="N488" s="2"/>
      <c r="R488"/>
      <c r="S488"/>
      <c r="T488"/>
      <c r="U488"/>
      <c r="V488"/>
    </row>
    <row r="489" spans="10:22" s="1" customFormat="1" x14ac:dyDescent="0.2">
      <c r="J489"/>
      <c r="K489"/>
      <c r="L489"/>
      <c r="M489"/>
      <c r="N489" s="2"/>
      <c r="R489"/>
      <c r="S489"/>
      <c r="T489"/>
      <c r="U489"/>
      <c r="V489"/>
    </row>
    <row r="490" spans="10:22" s="1" customFormat="1" x14ac:dyDescent="0.2">
      <c r="J490"/>
      <c r="K490"/>
      <c r="L490"/>
      <c r="M490"/>
      <c r="N490" s="2"/>
      <c r="R490"/>
      <c r="S490"/>
      <c r="T490"/>
      <c r="U490"/>
      <c r="V490"/>
    </row>
    <row r="491" spans="10:22" s="1" customFormat="1" x14ac:dyDescent="0.2">
      <c r="J491"/>
      <c r="K491"/>
      <c r="L491"/>
      <c r="M491"/>
      <c r="N491" s="2"/>
      <c r="R491"/>
      <c r="S491"/>
      <c r="T491"/>
      <c r="U491"/>
      <c r="V491"/>
    </row>
    <row r="492" spans="10:22" s="1" customFormat="1" x14ac:dyDescent="0.2">
      <c r="J492"/>
      <c r="K492"/>
      <c r="L492"/>
      <c r="M492"/>
      <c r="N492" s="2"/>
      <c r="R492"/>
      <c r="S492"/>
      <c r="T492"/>
      <c r="U492"/>
      <c r="V492"/>
    </row>
    <row r="493" spans="10:22" s="1" customFormat="1" x14ac:dyDescent="0.2">
      <c r="J493"/>
      <c r="K493"/>
      <c r="L493"/>
      <c r="M493"/>
      <c r="N493" s="2"/>
      <c r="R493"/>
      <c r="S493"/>
      <c r="T493"/>
      <c r="U493"/>
      <c r="V493"/>
    </row>
    <row r="494" spans="10:22" s="1" customFormat="1" x14ac:dyDescent="0.2">
      <c r="J494"/>
      <c r="K494"/>
      <c r="L494"/>
      <c r="M494"/>
      <c r="N494" s="2"/>
      <c r="R494"/>
      <c r="S494"/>
      <c r="T494"/>
      <c r="U494"/>
      <c r="V494"/>
    </row>
    <row r="495" spans="10:22" s="1" customFormat="1" x14ac:dyDescent="0.2">
      <c r="J495"/>
      <c r="K495"/>
      <c r="L495"/>
      <c r="M495"/>
      <c r="N495" s="2"/>
      <c r="R495"/>
      <c r="S495"/>
      <c r="T495"/>
      <c r="U495"/>
      <c r="V495"/>
    </row>
    <row r="496" spans="10:22" s="1" customFormat="1" x14ac:dyDescent="0.2">
      <c r="J496"/>
      <c r="K496"/>
      <c r="L496"/>
      <c r="M496"/>
      <c r="N496" s="2"/>
      <c r="R496"/>
      <c r="S496"/>
      <c r="T496"/>
      <c r="U496"/>
      <c r="V496"/>
    </row>
    <row r="497" spans="10:22" s="1" customFormat="1" x14ac:dyDescent="0.2">
      <c r="J497"/>
      <c r="K497"/>
      <c r="L497"/>
      <c r="M497"/>
      <c r="N497" s="2"/>
      <c r="R497"/>
      <c r="S497"/>
      <c r="T497"/>
      <c r="U497"/>
      <c r="V497"/>
    </row>
    <row r="498" spans="10:22" s="1" customFormat="1" x14ac:dyDescent="0.2">
      <c r="J498"/>
      <c r="K498"/>
      <c r="L498"/>
      <c r="M498"/>
      <c r="N498" s="2"/>
      <c r="R498"/>
      <c r="S498"/>
      <c r="T498"/>
      <c r="U498"/>
      <c r="V498"/>
    </row>
    <row r="499" spans="10:22" s="1" customFormat="1" x14ac:dyDescent="0.2">
      <c r="J499"/>
      <c r="K499"/>
      <c r="L499"/>
      <c r="M499"/>
      <c r="N499" s="2"/>
      <c r="R499"/>
      <c r="S499"/>
      <c r="T499"/>
      <c r="U499"/>
      <c r="V499"/>
    </row>
    <row r="500" spans="10:22" s="1" customFormat="1" x14ac:dyDescent="0.2">
      <c r="J500"/>
      <c r="K500"/>
      <c r="L500"/>
      <c r="M500"/>
      <c r="N500" s="2"/>
      <c r="R500"/>
      <c r="S500"/>
      <c r="T500"/>
      <c r="U500"/>
      <c r="V500"/>
    </row>
    <row r="501" spans="10:22" s="1" customFormat="1" x14ac:dyDescent="0.2">
      <c r="J501"/>
      <c r="K501"/>
      <c r="L501"/>
      <c r="M501"/>
      <c r="N501" s="2"/>
      <c r="R501"/>
      <c r="S501"/>
      <c r="T501"/>
      <c r="U501"/>
      <c r="V501"/>
    </row>
    <row r="502" spans="10:22" s="1" customFormat="1" x14ac:dyDescent="0.2">
      <c r="J502"/>
      <c r="K502"/>
      <c r="L502"/>
      <c r="M502"/>
      <c r="N502" s="2"/>
      <c r="R502"/>
      <c r="S502"/>
      <c r="T502"/>
      <c r="U502"/>
      <c r="V502"/>
    </row>
    <row r="503" spans="10:22" s="1" customFormat="1" x14ac:dyDescent="0.2">
      <c r="J503"/>
      <c r="K503"/>
      <c r="L503"/>
      <c r="M503"/>
      <c r="N503" s="2"/>
      <c r="R503"/>
      <c r="S503"/>
      <c r="T503"/>
      <c r="U503"/>
      <c r="V503"/>
    </row>
    <row r="504" spans="10:22" s="1" customFormat="1" x14ac:dyDescent="0.2">
      <c r="J504"/>
      <c r="K504"/>
      <c r="L504"/>
      <c r="M504"/>
      <c r="N504" s="2"/>
      <c r="R504"/>
      <c r="S504"/>
      <c r="T504"/>
      <c r="U504"/>
      <c r="V504"/>
    </row>
    <row r="505" spans="10:22" s="1" customFormat="1" x14ac:dyDescent="0.2">
      <c r="J505"/>
      <c r="K505"/>
      <c r="L505"/>
      <c r="M505"/>
      <c r="N505" s="2"/>
      <c r="R505"/>
      <c r="S505"/>
      <c r="T505"/>
      <c r="U505"/>
      <c r="V505"/>
    </row>
    <row r="506" spans="10:22" s="1" customFormat="1" x14ac:dyDescent="0.2">
      <c r="J506"/>
      <c r="K506"/>
      <c r="L506"/>
      <c r="M506"/>
      <c r="N506" s="2"/>
      <c r="R506"/>
      <c r="S506"/>
      <c r="T506"/>
      <c r="U506"/>
      <c r="V506"/>
    </row>
    <row r="507" spans="10:22" s="1" customFormat="1" x14ac:dyDescent="0.2">
      <c r="J507"/>
      <c r="K507"/>
      <c r="L507"/>
      <c r="M507"/>
      <c r="N507" s="2"/>
      <c r="R507"/>
      <c r="S507"/>
      <c r="T507"/>
      <c r="U507"/>
      <c r="V507"/>
    </row>
    <row r="508" spans="10:22" s="1" customFormat="1" x14ac:dyDescent="0.2">
      <c r="J508"/>
      <c r="K508"/>
      <c r="L508"/>
      <c r="M508"/>
      <c r="N508" s="2"/>
      <c r="R508"/>
      <c r="S508"/>
      <c r="T508"/>
      <c r="U508"/>
      <c r="V508"/>
    </row>
    <row r="509" spans="10:22" s="1" customFormat="1" x14ac:dyDescent="0.2">
      <c r="J509"/>
      <c r="K509"/>
      <c r="L509"/>
      <c r="M509"/>
      <c r="N509" s="2"/>
      <c r="R509"/>
      <c r="S509"/>
      <c r="T509"/>
      <c r="U509"/>
      <c r="V509"/>
    </row>
    <row r="510" spans="10:22" s="1" customFormat="1" x14ac:dyDescent="0.2">
      <c r="J510"/>
      <c r="K510"/>
      <c r="L510"/>
      <c r="M510"/>
      <c r="N510" s="2"/>
      <c r="R510"/>
      <c r="S510"/>
      <c r="T510"/>
      <c r="U510"/>
      <c r="V510"/>
    </row>
    <row r="511" spans="10:22" s="1" customFormat="1" x14ac:dyDescent="0.2">
      <c r="J511"/>
      <c r="K511"/>
      <c r="L511"/>
      <c r="M511"/>
      <c r="N511" s="2"/>
      <c r="R511"/>
      <c r="S511"/>
      <c r="T511"/>
      <c r="U511"/>
      <c r="V511"/>
    </row>
    <row r="512" spans="10:22" s="1" customFormat="1" x14ac:dyDescent="0.2">
      <c r="J512"/>
      <c r="K512"/>
      <c r="L512"/>
      <c r="M512"/>
      <c r="N512" s="2"/>
      <c r="R512"/>
      <c r="S512"/>
      <c r="T512"/>
      <c r="U512"/>
      <c r="V512"/>
    </row>
    <row r="513" spans="10:22" s="1" customFormat="1" x14ac:dyDescent="0.2">
      <c r="J513"/>
      <c r="K513"/>
      <c r="L513"/>
      <c r="M513"/>
      <c r="N513" s="2"/>
      <c r="R513"/>
      <c r="S513"/>
      <c r="T513"/>
      <c r="U513"/>
      <c r="V513"/>
    </row>
    <row r="514" spans="10:22" s="1" customFormat="1" x14ac:dyDescent="0.2">
      <c r="J514"/>
      <c r="K514"/>
      <c r="L514"/>
      <c r="M514"/>
      <c r="N514" s="2"/>
      <c r="R514"/>
      <c r="S514"/>
      <c r="T514"/>
      <c r="U514"/>
      <c r="V514"/>
    </row>
    <row r="515" spans="10:22" s="1" customFormat="1" x14ac:dyDescent="0.2">
      <c r="J515"/>
      <c r="K515"/>
      <c r="L515"/>
      <c r="M515"/>
      <c r="N515" s="2"/>
      <c r="R515"/>
      <c r="S515"/>
      <c r="T515"/>
      <c r="U515"/>
      <c r="V515"/>
    </row>
    <row r="516" spans="10:22" s="1" customFormat="1" x14ac:dyDescent="0.2">
      <c r="J516"/>
      <c r="K516"/>
      <c r="L516"/>
      <c r="M516"/>
      <c r="N516" s="2"/>
      <c r="R516"/>
      <c r="S516"/>
      <c r="T516"/>
      <c r="U516"/>
      <c r="V516"/>
    </row>
    <row r="517" spans="10:22" s="1" customFormat="1" x14ac:dyDescent="0.2">
      <c r="J517"/>
      <c r="K517"/>
      <c r="L517"/>
      <c r="M517"/>
      <c r="N517" s="2"/>
      <c r="R517"/>
      <c r="S517"/>
      <c r="T517"/>
      <c r="U517"/>
      <c r="V517"/>
    </row>
    <row r="518" spans="10:22" s="1" customFormat="1" x14ac:dyDescent="0.2">
      <c r="J518"/>
      <c r="K518"/>
      <c r="L518"/>
      <c r="M518"/>
      <c r="N518" s="2"/>
      <c r="R518"/>
      <c r="S518"/>
      <c r="T518"/>
      <c r="U518"/>
      <c r="V518"/>
    </row>
    <row r="519" spans="10:22" s="1" customFormat="1" x14ac:dyDescent="0.2">
      <c r="J519"/>
      <c r="K519"/>
      <c r="L519"/>
      <c r="M519"/>
      <c r="N519" s="2"/>
      <c r="R519"/>
      <c r="S519"/>
      <c r="T519"/>
      <c r="U519"/>
      <c r="V519"/>
    </row>
    <row r="520" spans="10:22" s="1" customFormat="1" x14ac:dyDescent="0.2">
      <c r="J520"/>
      <c r="K520"/>
      <c r="L520"/>
      <c r="M520"/>
      <c r="N520" s="2"/>
      <c r="R520"/>
      <c r="S520"/>
      <c r="T520"/>
      <c r="U520"/>
      <c r="V520"/>
    </row>
    <row r="521" spans="10:22" s="1" customFormat="1" x14ac:dyDescent="0.2">
      <c r="J521"/>
      <c r="K521"/>
      <c r="L521"/>
      <c r="M521"/>
      <c r="N521" s="2"/>
      <c r="R521"/>
      <c r="S521"/>
      <c r="T521"/>
      <c r="U521"/>
      <c r="V521"/>
    </row>
    <row r="522" spans="10:22" s="1" customFormat="1" x14ac:dyDescent="0.2">
      <c r="J522"/>
      <c r="K522"/>
      <c r="L522"/>
      <c r="M522"/>
      <c r="N522" s="2"/>
      <c r="R522"/>
      <c r="S522"/>
      <c r="T522"/>
      <c r="U522"/>
      <c r="V522"/>
    </row>
    <row r="523" spans="10:22" s="1" customFormat="1" x14ac:dyDescent="0.2">
      <c r="J523"/>
      <c r="K523"/>
      <c r="L523"/>
      <c r="M523"/>
      <c r="N523" s="2"/>
      <c r="R523"/>
      <c r="S523"/>
      <c r="T523"/>
      <c r="U523"/>
      <c r="V523"/>
    </row>
    <row r="524" spans="10:22" s="1" customFormat="1" x14ac:dyDescent="0.2">
      <c r="J524"/>
      <c r="K524"/>
      <c r="L524"/>
      <c r="M524"/>
      <c r="N524" s="2"/>
      <c r="R524"/>
      <c r="S524"/>
      <c r="T524"/>
      <c r="U524"/>
      <c r="V524"/>
    </row>
    <row r="525" spans="10:22" s="1" customFormat="1" x14ac:dyDescent="0.2">
      <c r="J525"/>
      <c r="K525"/>
      <c r="L525"/>
      <c r="M525"/>
      <c r="N525" s="2"/>
      <c r="R525"/>
      <c r="S525"/>
      <c r="T525"/>
      <c r="U525"/>
      <c r="V525"/>
    </row>
    <row r="526" spans="10:22" s="1" customFormat="1" x14ac:dyDescent="0.2">
      <c r="J526"/>
      <c r="K526"/>
      <c r="L526"/>
      <c r="M526"/>
      <c r="N526" s="2"/>
      <c r="R526"/>
      <c r="S526"/>
      <c r="T526"/>
      <c r="U526"/>
      <c r="V526"/>
    </row>
    <row r="527" spans="10:22" s="1" customFormat="1" x14ac:dyDescent="0.2">
      <c r="J527"/>
      <c r="K527"/>
      <c r="L527"/>
      <c r="M527"/>
      <c r="N527" s="2"/>
      <c r="R527"/>
      <c r="S527"/>
      <c r="T527"/>
      <c r="U527"/>
      <c r="V527"/>
    </row>
    <row r="528" spans="10:22" s="1" customFormat="1" x14ac:dyDescent="0.2">
      <c r="J528"/>
      <c r="K528"/>
      <c r="L528"/>
      <c r="M528"/>
      <c r="N528" s="2"/>
      <c r="R528"/>
      <c r="S528"/>
      <c r="T528"/>
      <c r="U528"/>
      <c r="V528"/>
    </row>
    <row r="529" spans="10:22" s="1" customFormat="1" x14ac:dyDescent="0.2">
      <c r="J529"/>
      <c r="K529"/>
      <c r="L529"/>
      <c r="M529"/>
      <c r="N529" s="2"/>
      <c r="R529"/>
      <c r="S529"/>
      <c r="T529"/>
      <c r="U529"/>
      <c r="V529"/>
    </row>
    <row r="530" spans="10:22" s="1" customFormat="1" x14ac:dyDescent="0.2">
      <c r="J530"/>
      <c r="K530"/>
      <c r="L530"/>
      <c r="M530"/>
      <c r="N530" s="2"/>
      <c r="R530"/>
      <c r="S530"/>
      <c r="T530"/>
      <c r="U530"/>
      <c r="V530"/>
    </row>
    <row r="531" spans="10:22" s="1" customFormat="1" x14ac:dyDescent="0.2">
      <c r="J531"/>
      <c r="K531"/>
      <c r="L531"/>
      <c r="M531"/>
      <c r="N531" s="2"/>
      <c r="R531"/>
      <c r="S531"/>
      <c r="T531"/>
      <c r="U531"/>
      <c r="V531"/>
    </row>
    <row r="532" spans="10:22" s="1" customFormat="1" x14ac:dyDescent="0.2">
      <c r="J532"/>
      <c r="K532"/>
      <c r="L532"/>
      <c r="M532"/>
      <c r="N532" s="2"/>
      <c r="R532"/>
      <c r="S532"/>
      <c r="T532"/>
      <c r="U532"/>
      <c r="V532"/>
    </row>
    <row r="533" spans="10:22" s="1" customFormat="1" x14ac:dyDescent="0.2">
      <c r="J533"/>
      <c r="K533"/>
      <c r="L533"/>
      <c r="M533"/>
      <c r="N533" s="2"/>
      <c r="R533"/>
      <c r="S533"/>
      <c r="T533"/>
      <c r="U533"/>
      <c r="V533"/>
    </row>
    <row r="534" spans="10:22" s="1" customFormat="1" x14ac:dyDescent="0.2">
      <c r="J534"/>
      <c r="K534"/>
      <c r="L534"/>
      <c r="M534"/>
      <c r="N534" s="2"/>
      <c r="R534"/>
      <c r="S534"/>
      <c r="T534"/>
      <c r="U534"/>
      <c r="V534"/>
    </row>
    <row r="535" spans="10:22" s="1" customFormat="1" x14ac:dyDescent="0.2">
      <c r="J535"/>
      <c r="K535"/>
      <c r="L535"/>
      <c r="M535"/>
      <c r="N535" s="2"/>
      <c r="R535"/>
      <c r="S535"/>
      <c r="T535"/>
      <c r="U535"/>
      <c r="V535"/>
    </row>
    <row r="536" spans="10:22" s="1" customFormat="1" x14ac:dyDescent="0.2">
      <c r="J536"/>
      <c r="K536"/>
      <c r="L536"/>
      <c r="M536"/>
      <c r="N536" s="2"/>
      <c r="R536"/>
      <c r="S536"/>
      <c r="T536"/>
      <c r="U536"/>
      <c r="V536"/>
    </row>
    <row r="537" spans="10:22" s="1" customFormat="1" x14ac:dyDescent="0.2">
      <c r="J537"/>
      <c r="K537"/>
      <c r="L537"/>
      <c r="M537"/>
      <c r="N537" s="2"/>
      <c r="R537"/>
      <c r="S537"/>
      <c r="T537"/>
      <c r="U537"/>
      <c r="V537"/>
    </row>
    <row r="538" spans="10:22" s="1" customFormat="1" x14ac:dyDescent="0.2">
      <c r="J538"/>
      <c r="K538"/>
      <c r="L538"/>
      <c r="M538"/>
      <c r="N538" s="2"/>
      <c r="R538"/>
      <c r="S538"/>
      <c r="T538"/>
      <c r="U538"/>
      <c r="V538"/>
    </row>
    <row r="539" spans="10:22" s="1" customFormat="1" x14ac:dyDescent="0.2">
      <c r="J539"/>
      <c r="K539"/>
      <c r="L539"/>
      <c r="M539"/>
      <c r="N539" s="2"/>
      <c r="R539"/>
      <c r="S539"/>
      <c r="T539"/>
      <c r="U539"/>
      <c r="V539"/>
    </row>
    <row r="540" spans="10:22" s="1" customFormat="1" x14ac:dyDescent="0.2">
      <c r="J540"/>
      <c r="K540"/>
      <c r="L540"/>
      <c r="M540"/>
      <c r="N540" s="2"/>
      <c r="R540"/>
      <c r="S540"/>
      <c r="T540"/>
      <c r="U540"/>
      <c r="V540"/>
    </row>
    <row r="541" spans="10:22" s="1" customFormat="1" x14ac:dyDescent="0.2">
      <c r="J541"/>
      <c r="K541"/>
      <c r="L541"/>
      <c r="M541"/>
      <c r="N541" s="2"/>
      <c r="R541"/>
      <c r="S541"/>
      <c r="T541"/>
      <c r="U541"/>
      <c r="V541"/>
    </row>
    <row r="542" spans="10:22" s="1" customFormat="1" x14ac:dyDescent="0.2">
      <c r="J542"/>
      <c r="K542"/>
      <c r="L542"/>
      <c r="M542"/>
      <c r="N542" s="2"/>
      <c r="R542"/>
      <c r="S542"/>
      <c r="T542"/>
      <c r="U542"/>
      <c r="V542"/>
    </row>
    <row r="543" spans="10:22" s="1" customFormat="1" x14ac:dyDescent="0.2">
      <c r="J543"/>
      <c r="K543"/>
      <c r="L543"/>
      <c r="M543"/>
      <c r="N543" s="2"/>
      <c r="R543"/>
      <c r="S543"/>
      <c r="T543"/>
      <c r="U543"/>
      <c r="V543"/>
    </row>
    <row r="544" spans="10:22" s="1" customFormat="1" x14ac:dyDescent="0.2">
      <c r="J544"/>
      <c r="K544"/>
      <c r="L544"/>
      <c r="M544"/>
      <c r="N544" s="2"/>
      <c r="R544"/>
      <c r="S544"/>
      <c r="T544"/>
      <c r="U544"/>
      <c r="V544"/>
    </row>
    <row r="545" spans="10:22" s="1" customFormat="1" x14ac:dyDescent="0.2">
      <c r="J545"/>
      <c r="K545"/>
      <c r="L545"/>
      <c r="M545"/>
      <c r="N545" s="2"/>
      <c r="R545"/>
      <c r="S545"/>
      <c r="T545"/>
      <c r="U545"/>
      <c r="V545"/>
    </row>
    <row r="546" spans="10:22" s="1" customFormat="1" x14ac:dyDescent="0.2">
      <c r="J546"/>
      <c r="K546"/>
      <c r="L546"/>
      <c r="M546"/>
      <c r="N546" s="2"/>
      <c r="R546"/>
      <c r="S546"/>
      <c r="T546"/>
      <c r="U546"/>
      <c r="V546"/>
    </row>
    <row r="547" spans="10:22" s="1" customFormat="1" x14ac:dyDescent="0.2">
      <c r="J547"/>
      <c r="K547"/>
      <c r="L547"/>
      <c r="M547"/>
      <c r="N547" s="2"/>
      <c r="R547"/>
      <c r="S547"/>
      <c r="T547"/>
      <c r="U547"/>
      <c r="V547"/>
    </row>
    <row r="548" spans="10:22" s="1" customFormat="1" x14ac:dyDescent="0.2">
      <c r="J548"/>
      <c r="K548"/>
      <c r="L548"/>
      <c r="M548"/>
      <c r="N548" s="2"/>
      <c r="R548"/>
      <c r="S548"/>
      <c r="T548"/>
      <c r="U548"/>
      <c r="V548"/>
    </row>
    <row r="549" spans="10:22" s="1" customFormat="1" x14ac:dyDescent="0.2">
      <c r="J549"/>
      <c r="K549"/>
      <c r="L549"/>
      <c r="M549"/>
      <c r="N549" s="2"/>
      <c r="R549"/>
      <c r="S549"/>
      <c r="T549"/>
      <c r="U549"/>
      <c r="V549"/>
    </row>
    <row r="550" spans="10:22" s="1" customFormat="1" x14ac:dyDescent="0.2">
      <c r="J550"/>
      <c r="K550"/>
      <c r="L550"/>
      <c r="M550"/>
      <c r="N550" s="2"/>
      <c r="R550"/>
      <c r="S550"/>
      <c r="T550"/>
      <c r="U550"/>
      <c r="V550"/>
    </row>
    <row r="551" spans="10:22" s="1" customFormat="1" x14ac:dyDescent="0.2">
      <c r="J551"/>
      <c r="K551"/>
      <c r="L551"/>
      <c r="M551"/>
      <c r="N551" s="2"/>
      <c r="R551"/>
      <c r="S551"/>
      <c r="T551"/>
      <c r="U551"/>
      <c r="V551"/>
    </row>
    <row r="552" spans="10:22" s="1" customFormat="1" x14ac:dyDescent="0.2">
      <c r="J552"/>
      <c r="K552"/>
      <c r="L552"/>
      <c r="M552"/>
      <c r="N552" s="2"/>
      <c r="R552"/>
      <c r="S552"/>
      <c r="T552"/>
      <c r="U552"/>
      <c r="V552"/>
    </row>
    <row r="553" spans="10:22" s="1" customFormat="1" x14ac:dyDescent="0.2">
      <c r="J553"/>
      <c r="K553"/>
      <c r="L553"/>
      <c r="M553"/>
      <c r="N553" s="2"/>
      <c r="R553"/>
      <c r="S553"/>
      <c r="T553"/>
      <c r="U553"/>
      <c r="V553"/>
    </row>
    <row r="554" spans="10:22" s="1" customFormat="1" x14ac:dyDescent="0.2">
      <c r="J554"/>
      <c r="K554"/>
      <c r="L554"/>
      <c r="M554"/>
      <c r="N554" s="2"/>
      <c r="R554"/>
      <c r="S554"/>
      <c r="T554"/>
      <c r="U554"/>
      <c r="V554"/>
    </row>
    <row r="555" spans="10:22" s="1" customFormat="1" x14ac:dyDescent="0.2">
      <c r="J555"/>
      <c r="K555"/>
      <c r="L555"/>
      <c r="M555"/>
      <c r="N555" s="2"/>
      <c r="R555"/>
      <c r="S555"/>
      <c r="T555"/>
      <c r="U555"/>
      <c r="V555"/>
    </row>
    <row r="556" spans="10:22" s="1" customFormat="1" x14ac:dyDescent="0.2">
      <c r="J556"/>
      <c r="K556"/>
      <c r="L556"/>
      <c r="M556"/>
      <c r="N556" s="2"/>
      <c r="R556"/>
      <c r="S556"/>
      <c r="T556"/>
      <c r="U556"/>
      <c r="V556"/>
    </row>
    <row r="557" spans="10:22" s="1" customFormat="1" x14ac:dyDescent="0.2">
      <c r="J557"/>
      <c r="K557"/>
      <c r="L557"/>
      <c r="M557"/>
      <c r="N557" s="2"/>
      <c r="R557"/>
      <c r="S557"/>
      <c r="T557"/>
      <c r="U557"/>
      <c r="V557"/>
    </row>
    <row r="558" spans="10:22" s="1" customFormat="1" x14ac:dyDescent="0.2">
      <c r="J558"/>
      <c r="K558"/>
      <c r="L558"/>
      <c r="M558"/>
      <c r="N558" s="2"/>
      <c r="R558"/>
      <c r="S558"/>
      <c r="T558"/>
      <c r="U558"/>
      <c r="V558"/>
    </row>
    <row r="559" spans="10:22" s="1" customFormat="1" x14ac:dyDescent="0.2">
      <c r="J559"/>
      <c r="K559"/>
      <c r="L559"/>
      <c r="M559"/>
      <c r="N559" s="2"/>
      <c r="R559"/>
      <c r="S559"/>
      <c r="T559"/>
      <c r="U559"/>
      <c r="V559"/>
    </row>
    <row r="560" spans="10:22" s="1" customFormat="1" x14ac:dyDescent="0.2">
      <c r="J560"/>
      <c r="K560"/>
      <c r="L560"/>
      <c r="M560"/>
      <c r="N560" s="2"/>
      <c r="R560"/>
      <c r="S560"/>
      <c r="T560"/>
      <c r="U560"/>
      <c r="V560"/>
    </row>
    <row r="561" spans="10:22" s="1" customFormat="1" x14ac:dyDescent="0.2">
      <c r="J561"/>
      <c r="K561"/>
      <c r="L561"/>
      <c r="M561"/>
      <c r="N561" s="2"/>
      <c r="R561"/>
      <c r="S561"/>
      <c r="T561"/>
      <c r="U561"/>
      <c r="V561"/>
    </row>
    <row r="562" spans="10:22" s="1" customFormat="1" x14ac:dyDescent="0.2">
      <c r="J562"/>
      <c r="K562"/>
      <c r="L562"/>
      <c r="M562"/>
      <c r="N562" s="2"/>
      <c r="R562"/>
      <c r="S562"/>
      <c r="T562"/>
      <c r="U562"/>
      <c r="V562"/>
    </row>
    <row r="563" spans="10:22" s="1" customFormat="1" x14ac:dyDescent="0.2">
      <c r="J563"/>
      <c r="K563"/>
      <c r="L563"/>
      <c r="M563"/>
      <c r="N563" s="2"/>
      <c r="R563"/>
      <c r="S563"/>
      <c r="T563"/>
      <c r="U563"/>
      <c r="V563"/>
    </row>
    <row r="564" spans="10:22" s="1" customFormat="1" x14ac:dyDescent="0.2">
      <c r="J564"/>
      <c r="K564"/>
      <c r="L564"/>
      <c r="M564"/>
      <c r="N564" s="2"/>
      <c r="R564"/>
      <c r="S564"/>
      <c r="T564"/>
      <c r="U564"/>
      <c r="V564"/>
    </row>
    <row r="565" spans="10:22" s="1" customFormat="1" x14ac:dyDescent="0.2">
      <c r="J565"/>
      <c r="K565"/>
      <c r="L565"/>
      <c r="M565"/>
      <c r="N565" s="2"/>
      <c r="R565"/>
      <c r="S565"/>
      <c r="T565"/>
      <c r="U565"/>
      <c r="V565"/>
    </row>
    <row r="566" spans="10:22" s="1" customFormat="1" x14ac:dyDescent="0.2">
      <c r="J566"/>
      <c r="K566"/>
      <c r="L566"/>
      <c r="M566"/>
      <c r="N566" s="2"/>
      <c r="R566"/>
      <c r="S566"/>
      <c r="T566"/>
      <c r="U566"/>
      <c r="V566"/>
    </row>
    <row r="567" spans="10:22" s="1" customFormat="1" x14ac:dyDescent="0.2">
      <c r="J567"/>
      <c r="K567"/>
      <c r="L567"/>
      <c r="M567"/>
      <c r="N567" s="2"/>
      <c r="R567"/>
      <c r="S567"/>
      <c r="T567"/>
      <c r="U567"/>
      <c r="V567"/>
    </row>
    <row r="568" spans="10:22" s="1" customFormat="1" x14ac:dyDescent="0.2">
      <c r="J568"/>
      <c r="K568"/>
      <c r="L568"/>
      <c r="M568"/>
      <c r="N568" s="2"/>
      <c r="R568"/>
      <c r="S568"/>
      <c r="T568"/>
      <c r="U568"/>
      <c r="V568"/>
    </row>
    <row r="569" spans="10:22" s="1" customFormat="1" x14ac:dyDescent="0.2">
      <c r="J569"/>
      <c r="K569"/>
      <c r="L569"/>
      <c r="M569"/>
      <c r="N569" s="2"/>
      <c r="R569"/>
      <c r="S569"/>
      <c r="T569"/>
      <c r="U569"/>
      <c r="V569"/>
    </row>
    <row r="570" spans="10:22" s="1" customFormat="1" x14ac:dyDescent="0.2">
      <c r="J570"/>
      <c r="K570"/>
      <c r="L570"/>
      <c r="M570"/>
      <c r="N570" s="2"/>
      <c r="R570"/>
      <c r="S570"/>
      <c r="T570"/>
      <c r="U570"/>
      <c r="V570"/>
    </row>
    <row r="571" spans="10:22" s="1" customFormat="1" x14ac:dyDescent="0.2">
      <c r="J571"/>
      <c r="K571"/>
      <c r="L571"/>
      <c r="M571"/>
      <c r="N571" s="2"/>
      <c r="R571"/>
      <c r="S571"/>
      <c r="T571"/>
      <c r="U571"/>
      <c r="V571"/>
    </row>
    <row r="572" spans="10:22" s="1" customFormat="1" x14ac:dyDescent="0.2">
      <c r="J572"/>
      <c r="K572"/>
      <c r="L572"/>
      <c r="M572"/>
      <c r="N572" s="2"/>
      <c r="R572"/>
      <c r="S572"/>
      <c r="T572"/>
      <c r="U572"/>
      <c r="V572"/>
    </row>
    <row r="573" spans="10:22" s="1" customFormat="1" x14ac:dyDescent="0.2">
      <c r="J573"/>
      <c r="K573"/>
      <c r="L573"/>
      <c r="M573"/>
      <c r="N573" s="2"/>
      <c r="R573"/>
      <c r="S573"/>
      <c r="T573"/>
      <c r="U573"/>
      <c r="V573"/>
    </row>
    <row r="574" spans="10:22" s="1" customFormat="1" x14ac:dyDescent="0.2">
      <c r="J574"/>
      <c r="K574"/>
      <c r="L574"/>
      <c r="M574"/>
      <c r="N574" s="2"/>
      <c r="R574"/>
      <c r="S574"/>
      <c r="T574"/>
      <c r="U574"/>
      <c r="V574"/>
    </row>
    <row r="575" spans="10:22" s="1" customFormat="1" x14ac:dyDescent="0.2">
      <c r="J575"/>
      <c r="K575"/>
      <c r="L575"/>
      <c r="M575"/>
      <c r="N575" s="2"/>
      <c r="R575"/>
      <c r="S575"/>
      <c r="T575"/>
      <c r="U575"/>
      <c r="V575"/>
    </row>
    <row r="576" spans="10:22" s="1" customFormat="1" x14ac:dyDescent="0.2">
      <c r="J576"/>
      <c r="K576"/>
      <c r="L576"/>
      <c r="M576"/>
      <c r="N576" s="2"/>
      <c r="R576"/>
      <c r="S576"/>
      <c r="T576"/>
      <c r="U576"/>
      <c r="V576"/>
    </row>
    <row r="577" spans="10:22" s="1" customFormat="1" x14ac:dyDescent="0.2">
      <c r="J577"/>
      <c r="K577"/>
      <c r="L577"/>
      <c r="M577"/>
      <c r="N577" s="2"/>
      <c r="R577"/>
      <c r="S577"/>
      <c r="T577"/>
      <c r="U577"/>
      <c r="V577"/>
    </row>
    <row r="578" spans="10:22" s="1" customFormat="1" x14ac:dyDescent="0.2">
      <c r="J578"/>
      <c r="K578"/>
      <c r="L578"/>
      <c r="M578"/>
      <c r="N578" s="2"/>
      <c r="R578"/>
      <c r="S578"/>
      <c r="T578"/>
      <c r="U578"/>
      <c r="V578"/>
    </row>
    <row r="579" spans="10:22" s="1" customFormat="1" x14ac:dyDescent="0.2">
      <c r="J579"/>
      <c r="K579"/>
      <c r="L579"/>
      <c r="M579"/>
      <c r="N579" s="2"/>
      <c r="R579"/>
      <c r="S579"/>
      <c r="T579"/>
      <c r="U579"/>
      <c r="V579"/>
    </row>
    <row r="580" spans="10:22" s="1" customFormat="1" x14ac:dyDescent="0.2">
      <c r="J580"/>
      <c r="K580"/>
      <c r="L580"/>
      <c r="M580"/>
      <c r="N580" s="2"/>
      <c r="R580"/>
      <c r="S580"/>
      <c r="T580"/>
      <c r="U580"/>
      <c r="V580"/>
    </row>
    <row r="581" spans="10:22" s="1" customFormat="1" x14ac:dyDescent="0.2">
      <c r="J581"/>
      <c r="K581"/>
      <c r="L581"/>
      <c r="M581"/>
      <c r="N581" s="2"/>
      <c r="R581"/>
      <c r="S581"/>
      <c r="T581"/>
      <c r="U581"/>
      <c r="V581"/>
    </row>
    <row r="582" spans="10:22" s="1" customFormat="1" x14ac:dyDescent="0.2">
      <c r="J582"/>
      <c r="K582"/>
      <c r="L582"/>
      <c r="M582"/>
      <c r="N582" s="2"/>
      <c r="R582"/>
      <c r="S582"/>
      <c r="T582"/>
      <c r="U582"/>
      <c r="V582"/>
    </row>
    <row r="583" spans="10:22" s="1" customFormat="1" x14ac:dyDescent="0.2">
      <c r="J583"/>
      <c r="K583"/>
      <c r="L583"/>
      <c r="M583"/>
      <c r="N583" s="2"/>
      <c r="R583"/>
      <c r="S583"/>
      <c r="T583"/>
      <c r="U583"/>
      <c r="V583"/>
    </row>
    <row r="584" spans="10:22" s="1" customFormat="1" x14ac:dyDescent="0.2">
      <c r="J584"/>
      <c r="K584"/>
      <c r="L584"/>
      <c r="M584"/>
      <c r="N584" s="2"/>
      <c r="R584"/>
      <c r="S584"/>
      <c r="T584"/>
      <c r="U584"/>
      <c r="V584"/>
    </row>
    <row r="585" spans="10:22" s="1" customFormat="1" x14ac:dyDescent="0.2">
      <c r="J585"/>
      <c r="K585"/>
      <c r="L585"/>
      <c r="M585"/>
      <c r="N585" s="2"/>
      <c r="R585"/>
      <c r="S585"/>
      <c r="T585"/>
      <c r="U585"/>
      <c r="V585"/>
    </row>
    <row r="586" spans="10:22" s="1" customFormat="1" x14ac:dyDescent="0.2">
      <c r="J586"/>
      <c r="K586"/>
      <c r="L586"/>
      <c r="M586"/>
      <c r="N586" s="2"/>
      <c r="R586"/>
      <c r="S586"/>
      <c r="T586"/>
      <c r="U586"/>
      <c r="V586"/>
    </row>
    <row r="587" spans="10:22" s="1" customFormat="1" x14ac:dyDescent="0.2">
      <c r="J587"/>
      <c r="K587"/>
      <c r="L587"/>
      <c r="M587"/>
      <c r="N587" s="2"/>
      <c r="R587"/>
      <c r="S587"/>
      <c r="T587"/>
      <c r="U587"/>
      <c r="V587"/>
    </row>
    <row r="588" spans="10:22" s="1" customFormat="1" x14ac:dyDescent="0.2">
      <c r="J588"/>
      <c r="K588"/>
      <c r="L588"/>
      <c r="M588"/>
      <c r="N588" s="2"/>
      <c r="R588"/>
      <c r="S588"/>
      <c r="T588"/>
      <c r="U588"/>
      <c r="V588"/>
    </row>
    <row r="589" spans="10:22" s="1" customFormat="1" x14ac:dyDescent="0.2">
      <c r="J589"/>
      <c r="K589"/>
      <c r="L589"/>
      <c r="M589"/>
      <c r="N589" s="2"/>
      <c r="R589"/>
      <c r="S589"/>
      <c r="T589"/>
      <c r="U589"/>
      <c r="V589"/>
    </row>
    <row r="590" spans="10:22" s="1" customFormat="1" x14ac:dyDescent="0.2">
      <c r="J590"/>
      <c r="K590"/>
      <c r="L590"/>
      <c r="M590"/>
      <c r="N590" s="2"/>
      <c r="R590"/>
      <c r="S590"/>
      <c r="T590"/>
      <c r="U590"/>
      <c r="V590"/>
    </row>
    <row r="591" spans="10:22" s="1" customFormat="1" x14ac:dyDescent="0.2">
      <c r="J591"/>
      <c r="K591"/>
      <c r="L591"/>
      <c r="M591"/>
      <c r="N591" s="2"/>
      <c r="R591"/>
      <c r="S591"/>
      <c r="T591"/>
      <c r="U591"/>
      <c r="V591"/>
    </row>
    <row r="592" spans="10:22" s="1" customFormat="1" x14ac:dyDescent="0.2">
      <c r="J592"/>
      <c r="K592"/>
      <c r="L592"/>
      <c r="M592"/>
      <c r="N592" s="2"/>
      <c r="R592"/>
      <c r="S592"/>
      <c r="T592"/>
      <c r="U592"/>
      <c r="V592"/>
    </row>
    <row r="593" spans="10:22" s="1" customFormat="1" x14ac:dyDescent="0.2">
      <c r="J593"/>
      <c r="K593"/>
      <c r="L593"/>
      <c r="M593"/>
      <c r="N593" s="2"/>
      <c r="R593"/>
      <c r="S593"/>
      <c r="T593"/>
      <c r="U593"/>
      <c r="V593"/>
    </row>
    <row r="594" spans="10:22" s="1" customFormat="1" x14ac:dyDescent="0.2">
      <c r="J594"/>
      <c r="K594"/>
      <c r="L594"/>
      <c r="M594"/>
      <c r="N594" s="2"/>
      <c r="R594"/>
      <c r="S594"/>
      <c r="T594"/>
      <c r="U594"/>
      <c r="V594"/>
    </row>
    <row r="595" spans="10:22" s="1" customFormat="1" x14ac:dyDescent="0.2">
      <c r="J595"/>
      <c r="K595"/>
      <c r="L595"/>
      <c r="M595"/>
      <c r="N595" s="2"/>
      <c r="R595"/>
      <c r="S595"/>
      <c r="T595"/>
      <c r="U595"/>
      <c r="V595"/>
    </row>
    <row r="596" spans="10:22" s="1" customFormat="1" x14ac:dyDescent="0.2">
      <c r="J596"/>
      <c r="K596"/>
      <c r="L596"/>
      <c r="M596"/>
      <c r="N596" s="2"/>
      <c r="R596"/>
      <c r="S596"/>
      <c r="T596"/>
      <c r="U596"/>
      <c r="V596"/>
    </row>
    <row r="597" spans="10:22" s="1" customFormat="1" x14ac:dyDescent="0.2">
      <c r="J597"/>
      <c r="K597"/>
      <c r="L597"/>
      <c r="M597"/>
      <c r="N597" s="2"/>
      <c r="R597"/>
      <c r="S597"/>
      <c r="T597"/>
      <c r="U597"/>
      <c r="V597"/>
    </row>
    <row r="598" spans="10:22" s="1" customFormat="1" x14ac:dyDescent="0.2">
      <c r="J598"/>
      <c r="K598"/>
      <c r="L598"/>
      <c r="M598"/>
      <c r="N598" s="2"/>
      <c r="R598"/>
      <c r="S598"/>
      <c r="T598"/>
      <c r="U598"/>
      <c r="V598"/>
    </row>
    <row r="599" spans="10:22" s="1" customFormat="1" x14ac:dyDescent="0.2">
      <c r="J599"/>
      <c r="K599"/>
      <c r="L599"/>
      <c r="M599"/>
      <c r="N599" s="2"/>
      <c r="R599"/>
      <c r="S599"/>
      <c r="T599"/>
      <c r="U599"/>
      <c r="V599"/>
    </row>
    <row r="600" spans="10:22" s="1" customFormat="1" x14ac:dyDescent="0.2">
      <c r="J600"/>
      <c r="K600"/>
      <c r="L600"/>
      <c r="M600"/>
      <c r="N600" s="2"/>
      <c r="R600"/>
      <c r="S600"/>
      <c r="T600"/>
      <c r="U600"/>
      <c r="V600"/>
    </row>
    <row r="601" spans="10:22" s="1" customFormat="1" x14ac:dyDescent="0.2">
      <c r="J601"/>
      <c r="K601"/>
      <c r="L601"/>
      <c r="M601"/>
      <c r="N601" s="2"/>
      <c r="R601"/>
      <c r="S601"/>
      <c r="T601"/>
      <c r="U601"/>
      <c r="V601"/>
    </row>
    <row r="602" spans="10:22" s="1" customFormat="1" x14ac:dyDescent="0.2">
      <c r="J602"/>
      <c r="K602"/>
      <c r="L602"/>
      <c r="M602"/>
      <c r="N602" s="2"/>
      <c r="R602"/>
      <c r="S602"/>
      <c r="T602"/>
      <c r="U602"/>
      <c r="V602"/>
    </row>
    <row r="603" spans="10:22" s="1" customFormat="1" x14ac:dyDescent="0.2">
      <c r="J603"/>
      <c r="K603"/>
      <c r="L603"/>
      <c r="M603"/>
      <c r="N603" s="2"/>
      <c r="R603"/>
      <c r="S603"/>
      <c r="T603"/>
      <c r="U603"/>
      <c r="V603"/>
    </row>
    <row r="604" spans="10:22" s="1" customFormat="1" x14ac:dyDescent="0.2">
      <c r="J604"/>
      <c r="K604"/>
      <c r="L604"/>
      <c r="M604"/>
      <c r="N604" s="2"/>
      <c r="R604"/>
      <c r="S604"/>
      <c r="T604"/>
      <c r="U604"/>
      <c r="V604"/>
    </row>
    <row r="605" spans="10:22" s="1" customFormat="1" x14ac:dyDescent="0.2">
      <c r="J605"/>
      <c r="K605"/>
      <c r="L605"/>
      <c r="M605"/>
      <c r="N605" s="2"/>
      <c r="R605"/>
      <c r="S605"/>
      <c r="T605"/>
      <c r="U605"/>
      <c r="V605"/>
    </row>
    <row r="606" spans="10:22" s="1" customFormat="1" x14ac:dyDescent="0.2">
      <c r="J606"/>
      <c r="K606"/>
      <c r="L606"/>
      <c r="M606"/>
      <c r="N606" s="2"/>
      <c r="R606"/>
      <c r="S606"/>
      <c r="T606"/>
      <c r="U606"/>
      <c r="V606"/>
    </row>
    <row r="607" spans="10:22" s="1" customFormat="1" x14ac:dyDescent="0.2">
      <c r="J607"/>
      <c r="K607"/>
      <c r="L607"/>
      <c r="M607"/>
      <c r="N607" s="2"/>
      <c r="R607"/>
      <c r="S607"/>
      <c r="T607"/>
      <c r="U607"/>
      <c r="V607"/>
    </row>
    <row r="608" spans="10:22" s="1" customFormat="1" x14ac:dyDescent="0.2">
      <c r="J608"/>
      <c r="K608"/>
      <c r="L608"/>
      <c r="M608"/>
      <c r="N608" s="2"/>
      <c r="R608"/>
      <c r="S608"/>
      <c r="T608"/>
      <c r="U608"/>
      <c r="V608"/>
    </row>
    <row r="609" spans="10:22" s="1" customFormat="1" x14ac:dyDescent="0.2">
      <c r="J609"/>
      <c r="K609"/>
      <c r="L609"/>
      <c r="M609"/>
      <c r="N609" s="2"/>
      <c r="R609"/>
      <c r="S609"/>
      <c r="T609"/>
      <c r="U609"/>
      <c r="V609"/>
    </row>
    <row r="610" spans="10:22" s="1" customFormat="1" x14ac:dyDescent="0.2">
      <c r="J610"/>
      <c r="K610"/>
      <c r="L610"/>
      <c r="M610"/>
      <c r="N610" s="2"/>
      <c r="R610"/>
      <c r="S610"/>
      <c r="T610"/>
      <c r="U610"/>
      <c r="V610"/>
    </row>
    <row r="611" spans="10:22" s="1" customFormat="1" x14ac:dyDescent="0.2">
      <c r="J611"/>
      <c r="K611"/>
      <c r="L611"/>
      <c r="M611"/>
      <c r="N611" s="2"/>
      <c r="R611"/>
      <c r="S611"/>
      <c r="T611"/>
      <c r="U611"/>
      <c r="V611"/>
    </row>
    <row r="612" spans="10:22" s="1" customFormat="1" x14ac:dyDescent="0.2">
      <c r="J612"/>
      <c r="K612"/>
      <c r="L612"/>
      <c r="M612"/>
      <c r="N612" s="2"/>
      <c r="R612"/>
      <c r="S612"/>
      <c r="T612"/>
      <c r="U612"/>
      <c r="V612"/>
    </row>
    <row r="613" spans="10:22" s="1" customFormat="1" x14ac:dyDescent="0.2">
      <c r="J613"/>
      <c r="K613"/>
      <c r="L613"/>
      <c r="M613"/>
      <c r="N613" s="2"/>
      <c r="R613"/>
      <c r="S613"/>
      <c r="T613"/>
      <c r="U613"/>
      <c r="V613"/>
    </row>
    <row r="614" spans="10:22" s="1" customFormat="1" x14ac:dyDescent="0.2">
      <c r="J614"/>
      <c r="K614"/>
      <c r="L614"/>
      <c r="M614"/>
      <c r="N614" s="2"/>
      <c r="R614"/>
      <c r="S614"/>
      <c r="T614"/>
      <c r="U614"/>
      <c r="V614"/>
    </row>
    <row r="615" spans="10:22" s="1" customFormat="1" x14ac:dyDescent="0.2">
      <c r="J615"/>
      <c r="K615"/>
      <c r="L615"/>
      <c r="M615"/>
      <c r="N615" s="2"/>
      <c r="R615"/>
      <c r="S615"/>
      <c r="T615"/>
      <c r="U615"/>
      <c r="V615"/>
    </row>
    <row r="616" spans="10:22" s="1" customFormat="1" x14ac:dyDescent="0.2">
      <c r="J616"/>
      <c r="K616"/>
      <c r="L616"/>
      <c r="M616"/>
      <c r="N616" s="2"/>
      <c r="R616"/>
      <c r="S616"/>
      <c r="T616"/>
      <c r="U616"/>
      <c r="V616"/>
    </row>
    <row r="617" spans="10:22" s="1" customFormat="1" x14ac:dyDescent="0.2">
      <c r="J617"/>
      <c r="K617"/>
      <c r="L617"/>
      <c r="M617"/>
      <c r="N617" s="2"/>
      <c r="R617"/>
      <c r="S617"/>
      <c r="T617"/>
      <c r="U617"/>
      <c r="V617"/>
    </row>
    <row r="618" spans="10:22" s="1" customFormat="1" x14ac:dyDescent="0.2">
      <c r="J618"/>
      <c r="K618"/>
      <c r="L618"/>
      <c r="M618"/>
      <c r="N618" s="2"/>
      <c r="R618"/>
      <c r="S618"/>
      <c r="T618"/>
      <c r="U618"/>
      <c r="V618"/>
    </row>
    <row r="619" spans="10:22" s="1" customFormat="1" x14ac:dyDescent="0.2">
      <c r="J619"/>
      <c r="K619"/>
      <c r="L619"/>
      <c r="M619"/>
      <c r="N619" s="2"/>
      <c r="R619"/>
      <c r="S619"/>
      <c r="T619"/>
      <c r="U619"/>
      <c r="V619"/>
    </row>
    <row r="620" spans="10:22" s="1" customFormat="1" x14ac:dyDescent="0.2">
      <c r="J620"/>
      <c r="K620"/>
      <c r="L620"/>
      <c r="M620"/>
      <c r="N620" s="2"/>
      <c r="R620"/>
      <c r="S620"/>
      <c r="T620"/>
      <c r="U620"/>
      <c r="V620"/>
    </row>
    <row r="621" spans="10:22" s="1" customFormat="1" x14ac:dyDescent="0.2">
      <c r="J621"/>
      <c r="K621"/>
      <c r="L621"/>
      <c r="M621"/>
      <c r="N621" s="2"/>
      <c r="R621"/>
      <c r="S621"/>
      <c r="T621"/>
      <c r="U621"/>
      <c r="V621"/>
    </row>
    <row r="622" spans="10:22" s="1" customFormat="1" x14ac:dyDescent="0.2">
      <c r="J622"/>
      <c r="K622"/>
      <c r="L622"/>
      <c r="M622"/>
      <c r="N622" s="2"/>
      <c r="R622"/>
      <c r="S622"/>
      <c r="T622"/>
      <c r="U622"/>
      <c r="V622"/>
    </row>
    <row r="623" spans="10:22" s="1" customFormat="1" x14ac:dyDescent="0.2">
      <c r="J623"/>
      <c r="K623"/>
      <c r="L623"/>
      <c r="M623"/>
      <c r="N623" s="2"/>
      <c r="R623"/>
      <c r="S623"/>
      <c r="T623"/>
      <c r="U623"/>
      <c r="V623"/>
    </row>
    <row r="624" spans="10:22" s="1" customFormat="1" x14ac:dyDescent="0.2">
      <c r="J624"/>
      <c r="K624"/>
      <c r="L624"/>
      <c r="M624"/>
      <c r="N624" s="2"/>
      <c r="R624"/>
      <c r="S624"/>
      <c r="T624"/>
      <c r="U624"/>
      <c r="V624"/>
    </row>
    <row r="625" spans="10:22" s="1" customFormat="1" x14ac:dyDescent="0.2">
      <c r="J625"/>
      <c r="K625"/>
      <c r="L625"/>
      <c r="M625"/>
      <c r="N625" s="2"/>
      <c r="R625"/>
      <c r="S625"/>
      <c r="T625"/>
      <c r="U625"/>
      <c r="V625"/>
    </row>
    <row r="626" spans="10:22" s="1" customFormat="1" x14ac:dyDescent="0.2">
      <c r="J626"/>
      <c r="K626"/>
      <c r="L626"/>
      <c r="M626"/>
      <c r="N626" s="2"/>
      <c r="R626"/>
      <c r="S626"/>
      <c r="T626"/>
      <c r="U626"/>
      <c r="V626"/>
    </row>
    <row r="627" spans="10:22" s="1" customFormat="1" x14ac:dyDescent="0.2">
      <c r="J627"/>
      <c r="K627"/>
      <c r="L627"/>
      <c r="M627"/>
      <c r="N627" s="2"/>
      <c r="R627"/>
      <c r="S627"/>
      <c r="T627"/>
      <c r="U627"/>
      <c r="V627"/>
    </row>
    <row r="628" spans="10:22" s="1" customFormat="1" x14ac:dyDescent="0.2">
      <c r="J628"/>
      <c r="K628"/>
      <c r="L628"/>
      <c r="M628"/>
      <c r="N628" s="2"/>
      <c r="R628"/>
      <c r="S628"/>
      <c r="T628"/>
      <c r="U628"/>
      <c r="V628"/>
    </row>
    <row r="629" spans="10:22" s="1" customFormat="1" x14ac:dyDescent="0.2">
      <c r="J629"/>
      <c r="K629"/>
      <c r="L629"/>
      <c r="M629"/>
      <c r="N629" s="2"/>
      <c r="R629"/>
      <c r="S629"/>
      <c r="T629"/>
      <c r="U629"/>
      <c r="V629"/>
    </row>
    <row r="630" spans="10:22" s="1" customFormat="1" x14ac:dyDescent="0.2">
      <c r="J630"/>
      <c r="K630"/>
      <c r="L630"/>
      <c r="M630"/>
      <c r="N630" s="2"/>
      <c r="R630"/>
      <c r="S630"/>
      <c r="T630"/>
      <c r="U630"/>
      <c r="V630"/>
    </row>
    <row r="631" spans="10:22" s="1" customFormat="1" x14ac:dyDescent="0.2">
      <c r="J631"/>
      <c r="K631"/>
      <c r="L631"/>
      <c r="M631"/>
      <c r="N631" s="2"/>
      <c r="R631"/>
      <c r="S631"/>
      <c r="T631"/>
      <c r="U631"/>
      <c r="V631"/>
    </row>
    <row r="632" spans="10:22" s="1" customFormat="1" x14ac:dyDescent="0.2">
      <c r="J632"/>
      <c r="K632"/>
      <c r="L632"/>
      <c r="M632"/>
      <c r="N632" s="2"/>
      <c r="R632"/>
      <c r="S632"/>
      <c r="T632"/>
      <c r="U632"/>
      <c r="V632"/>
    </row>
    <row r="633" spans="10:22" s="1" customFormat="1" x14ac:dyDescent="0.2">
      <c r="J633"/>
      <c r="K633"/>
      <c r="L633"/>
      <c r="M633"/>
      <c r="N633" s="2"/>
      <c r="R633"/>
      <c r="S633"/>
      <c r="T633"/>
      <c r="U633"/>
      <c r="V633"/>
    </row>
    <row r="634" spans="10:22" s="1" customFormat="1" x14ac:dyDescent="0.2">
      <c r="J634"/>
      <c r="K634"/>
      <c r="L634"/>
      <c r="M634"/>
      <c r="N634" s="2"/>
      <c r="R634"/>
      <c r="S634"/>
      <c r="T634"/>
      <c r="U634"/>
      <c r="V634"/>
    </row>
    <row r="635" spans="10:22" s="1" customFormat="1" x14ac:dyDescent="0.2">
      <c r="J635"/>
      <c r="K635"/>
      <c r="L635"/>
      <c r="M635"/>
      <c r="N635" s="2"/>
      <c r="R635"/>
      <c r="S635"/>
      <c r="T635"/>
      <c r="U635"/>
      <c r="V635"/>
    </row>
    <row r="636" spans="10:22" s="1" customFormat="1" x14ac:dyDescent="0.2">
      <c r="J636"/>
      <c r="K636"/>
      <c r="L636"/>
      <c r="M636"/>
      <c r="N636" s="2"/>
      <c r="R636"/>
      <c r="S636"/>
      <c r="T636"/>
      <c r="U636"/>
      <c r="V636"/>
    </row>
    <row r="637" spans="10:22" s="1" customFormat="1" x14ac:dyDescent="0.2">
      <c r="J637"/>
      <c r="K637"/>
      <c r="L637"/>
      <c r="M637"/>
      <c r="N637" s="2"/>
      <c r="R637"/>
      <c r="S637"/>
      <c r="T637"/>
      <c r="U637"/>
      <c r="V637"/>
    </row>
    <row r="638" spans="10:22" s="1" customFormat="1" x14ac:dyDescent="0.2">
      <c r="J638"/>
      <c r="K638"/>
      <c r="L638"/>
      <c r="M638"/>
      <c r="N638" s="2"/>
      <c r="R638"/>
      <c r="S638"/>
      <c r="T638"/>
      <c r="U638"/>
      <c r="V638"/>
    </row>
    <row r="639" spans="10:22" s="1" customFormat="1" x14ac:dyDescent="0.2">
      <c r="J639"/>
      <c r="K639"/>
      <c r="L639"/>
      <c r="M639"/>
      <c r="N639" s="2"/>
      <c r="R639"/>
      <c r="S639"/>
      <c r="T639"/>
      <c r="U639"/>
      <c r="V639"/>
    </row>
    <row r="640" spans="10:22" s="1" customFormat="1" x14ac:dyDescent="0.2">
      <c r="J640"/>
      <c r="K640"/>
      <c r="L640"/>
      <c r="M640"/>
      <c r="N640" s="2"/>
      <c r="R640"/>
      <c r="S640"/>
      <c r="T640"/>
      <c r="U640"/>
      <c r="V640"/>
    </row>
    <row r="641" spans="10:22" s="1" customFormat="1" x14ac:dyDescent="0.2">
      <c r="J641"/>
      <c r="K641"/>
      <c r="L641"/>
      <c r="M641"/>
      <c r="N641" s="2"/>
      <c r="R641"/>
      <c r="S641"/>
      <c r="T641"/>
      <c r="U641"/>
      <c r="V641"/>
    </row>
    <row r="642" spans="10:22" s="1" customFormat="1" x14ac:dyDescent="0.2">
      <c r="J642"/>
      <c r="K642"/>
      <c r="L642"/>
      <c r="M642"/>
      <c r="N642" s="2"/>
      <c r="R642"/>
      <c r="S642"/>
      <c r="T642"/>
      <c r="U642"/>
      <c r="V642"/>
    </row>
    <row r="643" spans="10:22" s="1" customFormat="1" x14ac:dyDescent="0.2">
      <c r="J643"/>
      <c r="K643"/>
      <c r="L643"/>
      <c r="M643"/>
      <c r="N643" s="2"/>
      <c r="R643"/>
      <c r="S643"/>
      <c r="T643"/>
      <c r="U643"/>
      <c r="V643"/>
    </row>
    <row r="644" spans="10:22" s="1" customFormat="1" x14ac:dyDescent="0.2">
      <c r="J644"/>
      <c r="K644"/>
      <c r="L644"/>
      <c r="M644"/>
      <c r="N644" s="2"/>
      <c r="R644"/>
      <c r="S644"/>
      <c r="T644"/>
      <c r="U644"/>
      <c r="V644"/>
    </row>
    <row r="645" spans="10:22" s="1" customFormat="1" x14ac:dyDescent="0.2">
      <c r="J645"/>
      <c r="K645"/>
      <c r="L645"/>
      <c r="M645"/>
      <c r="N645" s="2"/>
      <c r="R645"/>
      <c r="S645"/>
      <c r="T645"/>
      <c r="U645"/>
      <c r="V645"/>
    </row>
    <row r="646" spans="10:22" s="1" customFormat="1" x14ac:dyDescent="0.2">
      <c r="J646"/>
      <c r="K646"/>
      <c r="L646"/>
      <c r="M646"/>
      <c r="N646" s="2"/>
      <c r="R646"/>
      <c r="S646"/>
      <c r="T646"/>
      <c r="U646"/>
      <c r="V646"/>
    </row>
    <row r="647" spans="10:22" s="1" customFormat="1" x14ac:dyDescent="0.2">
      <c r="J647"/>
      <c r="K647"/>
      <c r="L647"/>
      <c r="M647"/>
      <c r="N647" s="2"/>
      <c r="R647"/>
      <c r="S647"/>
      <c r="T647"/>
      <c r="U647"/>
      <c r="V647"/>
    </row>
    <row r="648" spans="10:22" s="1" customFormat="1" x14ac:dyDescent="0.2">
      <c r="J648"/>
      <c r="K648"/>
      <c r="L648"/>
      <c r="M648"/>
      <c r="N648" s="2"/>
      <c r="R648"/>
      <c r="S648"/>
      <c r="T648"/>
      <c r="U648"/>
      <c r="V648"/>
    </row>
    <row r="649" spans="10:22" s="1" customFormat="1" x14ac:dyDescent="0.2">
      <c r="J649"/>
      <c r="K649"/>
      <c r="L649"/>
      <c r="M649"/>
      <c r="N649" s="2"/>
      <c r="R649"/>
      <c r="S649"/>
      <c r="T649"/>
      <c r="U649"/>
      <c r="V649"/>
    </row>
    <row r="650" spans="10:22" s="1" customFormat="1" x14ac:dyDescent="0.2">
      <c r="J650"/>
      <c r="K650"/>
      <c r="L650"/>
      <c r="M650"/>
      <c r="N650" s="2"/>
      <c r="R650"/>
      <c r="S650"/>
      <c r="T650"/>
      <c r="U650"/>
      <c r="V650"/>
    </row>
    <row r="651" spans="10:22" s="1" customFormat="1" x14ac:dyDescent="0.2">
      <c r="J651"/>
      <c r="K651"/>
      <c r="L651"/>
      <c r="M651"/>
      <c r="N651" s="2"/>
      <c r="R651"/>
      <c r="S651"/>
      <c r="T651"/>
      <c r="U651"/>
      <c r="V651"/>
    </row>
    <row r="652" spans="10:22" s="1" customFormat="1" x14ac:dyDescent="0.2">
      <c r="J652"/>
      <c r="K652"/>
      <c r="L652"/>
      <c r="M652"/>
      <c r="N652" s="2"/>
      <c r="R652"/>
      <c r="S652"/>
      <c r="T652"/>
      <c r="U652"/>
      <c r="V652"/>
    </row>
    <row r="653" spans="10:22" s="1" customFormat="1" x14ac:dyDescent="0.2">
      <c r="J653"/>
      <c r="K653"/>
      <c r="L653"/>
      <c r="M653"/>
      <c r="N653" s="2"/>
      <c r="R653"/>
      <c r="S653"/>
      <c r="T653"/>
      <c r="U653"/>
      <c r="V653"/>
    </row>
    <row r="654" spans="10:22" s="1" customFormat="1" x14ac:dyDescent="0.2">
      <c r="J654"/>
      <c r="K654"/>
      <c r="L654"/>
      <c r="M654"/>
      <c r="N654" s="2"/>
      <c r="R654"/>
      <c r="S654"/>
      <c r="T654"/>
      <c r="U654"/>
      <c r="V654"/>
    </row>
    <row r="655" spans="10:22" s="1" customFormat="1" x14ac:dyDescent="0.2">
      <c r="J655"/>
      <c r="K655"/>
      <c r="L655"/>
      <c r="M655"/>
      <c r="N655" s="2"/>
      <c r="R655"/>
      <c r="S655"/>
      <c r="T655"/>
      <c r="U655"/>
      <c r="V655"/>
    </row>
    <row r="656" spans="10:22" s="1" customFormat="1" x14ac:dyDescent="0.2">
      <c r="J656"/>
      <c r="K656"/>
      <c r="L656"/>
      <c r="M656"/>
      <c r="N656" s="2"/>
      <c r="R656"/>
      <c r="S656"/>
      <c r="T656"/>
      <c r="U656"/>
      <c r="V656"/>
    </row>
    <row r="657" spans="10:22" s="1" customFormat="1" x14ac:dyDescent="0.2">
      <c r="J657"/>
      <c r="K657"/>
      <c r="L657"/>
      <c r="M657"/>
      <c r="N657" s="2"/>
      <c r="R657"/>
      <c r="S657"/>
      <c r="T657"/>
      <c r="U657"/>
      <c r="V657"/>
    </row>
    <row r="658" spans="10:22" s="1" customFormat="1" x14ac:dyDescent="0.2">
      <c r="J658"/>
      <c r="K658"/>
      <c r="L658"/>
      <c r="M658"/>
      <c r="N658" s="2"/>
      <c r="R658"/>
      <c r="S658"/>
      <c r="T658"/>
      <c r="U658"/>
      <c r="V658"/>
    </row>
    <row r="659" spans="10:22" s="1" customFormat="1" x14ac:dyDescent="0.2">
      <c r="J659"/>
      <c r="K659"/>
      <c r="L659"/>
      <c r="M659"/>
      <c r="N659" s="2"/>
      <c r="R659"/>
      <c r="S659"/>
      <c r="T659"/>
      <c r="U659"/>
      <c r="V659"/>
    </row>
    <row r="660" spans="10:22" s="1" customFormat="1" x14ac:dyDescent="0.2">
      <c r="J660"/>
      <c r="K660"/>
      <c r="L660"/>
      <c r="M660"/>
      <c r="N660" s="2"/>
      <c r="R660"/>
      <c r="S660"/>
      <c r="T660"/>
      <c r="U660"/>
      <c r="V660"/>
    </row>
    <row r="661" spans="10:22" s="1" customFormat="1" x14ac:dyDescent="0.2">
      <c r="J661"/>
      <c r="K661"/>
      <c r="L661"/>
      <c r="M661"/>
      <c r="N661" s="2"/>
      <c r="R661"/>
      <c r="S661"/>
      <c r="T661"/>
      <c r="U661"/>
      <c r="V661"/>
    </row>
    <row r="662" spans="10:22" s="1" customFormat="1" x14ac:dyDescent="0.2">
      <c r="J662"/>
      <c r="K662"/>
      <c r="L662"/>
      <c r="M662"/>
      <c r="N662" s="2"/>
      <c r="R662"/>
      <c r="S662"/>
      <c r="T662"/>
      <c r="U662"/>
      <c r="V662"/>
    </row>
    <row r="663" spans="10:22" s="1" customFormat="1" x14ac:dyDescent="0.2">
      <c r="J663"/>
      <c r="K663"/>
      <c r="L663"/>
      <c r="M663"/>
      <c r="N663" s="2"/>
      <c r="R663"/>
      <c r="S663"/>
      <c r="T663"/>
      <c r="U663"/>
      <c r="V663"/>
    </row>
    <row r="664" spans="10:22" s="1" customFormat="1" x14ac:dyDescent="0.2">
      <c r="J664"/>
      <c r="K664"/>
      <c r="L664"/>
      <c r="M664"/>
      <c r="N664" s="2"/>
      <c r="R664"/>
      <c r="S664"/>
      <c r="T664"/>
      <c r="U664"/>
      <c r="V664"/>
    </row>
    <row r="665" spans="10:22" s="1" customFormat="1" x14ac:dyDescent="0.2">
      <c r="J665"/>
      <c r="K665"/>
      <c r="L665"/>
      <c r="M665"/>
      <c r="N665" s="2"/>
      <c r="R665"/>
      <c r="S665"/>
      <c r="T665"/>
      <c r="U665"/>
      <c r="V665"/>
    </row>
    <row r="666" spans="10:22" s="1" customFormat="1" x14ac:dyDescent="0.2">
      <c r="J666"/>
      <c r="K666"/>
      <c r="L666"/>
      <c r="M666"/>
      <c r="N666" s="2"/>
      <c r="R666"/>
      <c r="S666"/>
      <c r="T666"/>
      <c r="U666"/>
      <c r="V666"/>
    </row>
    <row r="667" spans="10:22" s="1" customFormat="1" x14ac:dyDescent="0.2">
      <c r="J667"/>
      <c r="K667"/>
      <c r="L667"/>
      <c r="M667"/>
      <c r="N667" s="2"/>
      <c r="R667"/>
      <c r="S667"/>
      <c r="T667"/>
      <c r="U667"/>
      <c r="V667"/>
    </row>
    <row r="668" spans="10:22" s="1" customFormat="1" x14ac:dyDescent="0.2">
      <c r="J668"/>
      <c r="K668"/>
      <c r="L668"/>
      <c r="M668"/>
      <c r="N668" s="2"/>
      <c r="R668"/>
      <c r="S668"/>
      <c r="T668"/>
      <c r="U668"/>
      <c r="V668"/>
    </row>
    <row r="669" spans="10:22" s="1" customFormat="1" x14ac:dyDescent="0.2">
      <c r="J669"/>
      <c r="K669"/>
      <c r="L669"/>
      <c r="M669"/>
      <c r="N669" s="2"/>
      <c r="R669"/>
      <c r="S669"/>
      <c r="T669"/>
      <c r="U669"/>
      <c r="V669"/>
    </row>
    <row r="670" spans="10:22" s="1" customFormat="1" x14ac:dyDescent="0.2">
      <c r="J670"/>
      <c r="K670"/>
      <c r="L670"/>
      <c r="M670"/>
      <c r="N670" s="2"/>
      <c r="R670"/>
      <c r="S670"/>
      <c r="T670"/>
      <c r="U670"/>
      <c r="V670"/>
    </row>
    <row r="671" spans="10:22" s="1" customFormat="1" x14ac:dyDescent="0.2">
      <c r="J671"/>
      <c r="K671"/>
      <c r="L671"/>
      <c r="M671"/>
      <c r="N671" s="2"/>
      <c r="R671"/>
      <c r="S671"/>
      <c r="T671"/>
      <c r="U671"/>
      <c r="V671"/>
    </row>
    <row r="672" spans="10:22" s="1" customFormat="1" x14ac:dyDescent="0.2">
      <c r="J672"/>
      <c r="K672"/>
      <c r="L672"/>
      <c r="M672"/>
      <c r="N672" s="2"/>
      <c r="R672"/>
      <c r="S672"/>
      <c r="T672"/>
      <c r="U672"/>
      <c r="V672"/>
    </row>
    <row r="673" spans="10:22" s="1" customFormat="1" x14ac:dyDescent="0.2">
      <c r="J673"/>
      <c r="K673"/>
      <c r="L673"/>
      <c r="M673"/>
      <c r="N673" s="2"/>
      <c r="R673"/>
      <c r="S673"/>
      <c r="T673"/>
      <c r="U673"/>
      <c r="V673"/>
    </row>
    <row r="674" spans="10:22" s="1" customFormat="1" x14ac:dyDescent="0.2">
      <c r="J674"/>
      <c r="K674"/>
      <c r="L674"/>
      <c r="M674"/>
      <c r="N674" s="2"/>
      <c r="R674"/>
      <c r="S674"/>
      <c r="T674"/>
      <c r="U674"/>
      <c r="V674"/>
    </row>
    <row r="675" spans="10:22" s="1" customFormat="1" x14ac:dyDescent="0.2">
      <c r="J675"/>
      <c r="K675"/>
      <c r="L675"/>
      <c r="M675"/>
      <c r="N675" s="2"/>
      <c r="R675"/>
      <c r="S675"/>
      <c r="T675"/>
      <c r="U675"/>
      <c r="V675"/>
    </row>
    <row r="676" spans="10:22" s="1" customFormat="1" x14ac:dyDescent="0.2">
      <c r="J676"/>
      <c r="K676"/>
      <c r="L676"/>
      <c r="M676"/>
      <c r="N676" s="2"/>
      <c r="R676"/>
      <c r="S676"/>
      <c r="T676"/>
      <c r="U676"/>
      <c r="V676"/>
    </row>
    <row r="677" spans="10:22" s="1" customFormat="1" x14ac:dyDescent="0.2">
      <c r="J677"/>
      <c r="K677"/>
      <c r="L677"/>
      <c r="M677"/>
      <c r="N677" s="2"/>
      <c r="R677"/>
      <c r="S677"/>
      <c r="T677"/>
      <c r="U677"/>
      <c r="V677"/>
    </row>
    <row r="678" spans="10:22" s="1" customFormat="1" x14ac:dyDescent="0.2">
      <c r="J678"/>
      <c r="K678"/>
      <c r="L678"/>
      <c r="M678"/>
      <c r="N678" s="2"/>
      <c r="R678"/>
      <c r="S678"/>
      <c r="T678"/>
      <c r="U678"/>
      <c r="V678"/>
    </row>
    <row r="679" spans="10:22" s="1" customFormat="1" x14ac:dyDescent="0.2">
      <c r="J679"/>
      <c r="K679"/>
      <c r="L679"/>
      <c r="M679"/>
      <c r="N679" s="2"/>
      <c r="R679"/>
      <c r="S679"/>
      <c r="T679"/>
      <c r="U679"/>
      <c r="V679"/>
    </row>
    <row r="680" spans="10:22" s="1" customFormat="1" x14ac:dyDescent="0.2">
      <c r="J680"/>
      <c r="K680"/>
      <c r="L680"/>
      <c r="M680"/>
      <c r="N680" s="2"/>
      <c r="R680"/>
      <c r="S680"/>
      <c r="T680"/>
      <c r="U680"/>
      <c r="V680"/>
    </row>
    <row r="681" spans="10:22" s="1" customFormat="1" x14ac:dyDescent="0.2">
      <c r="J681"/>
      <c r="K681"/>
      <c r="L681"/>
      <c r="M681"/>
      <c r="N681" s="2"/>
      <c r="R681"/>
      <c r="S681"/>
      <c r="T681"/>
      <c r="U681"/>
      <c r="V681"/>
    </row>
    <row r="682" spans="10:22" s="1" customFormat="1" x14ac:dyDescent="0.2">
      <c r="J682"/>
      <c r="K682"/>
      <c r="L682"/>
      <c r="M682"/>
      <c r="N682" s="2"/>
      <c r="R682"/>
      <c r="S682"/>
      <c r="T682"/>
      <c r="U682"/>
      <c r="V682"/>
    </row>
    <row r="683" spans="10:22" s="1" customFormat="1" x14ac:dyDescent="0.2">
      <c r="J683"/>
      <c r="K683"/>
      <c r="L683"/>
      <c r="M683"/>
      <c r="N683" s="2"/>
      <c r="R683"/>
      <c r="S683"/>
      <c r="T683"/>
      <c r="U683"/>
      <c r="V683"/>
    </row>
    <row r="684" spans="10:22" s="1" customFormat="1" x14ac:dyDescent="0.2">
      <c r="J684"/>
      <c r="K684"/>
      <c r="L684"/>
      <c r="M684"/>
      <c r="N684" s="2"/>
      <c r="R684"/>
      <c r="S684"/>
      <c r="T684"/>
      <c r="U684"/>
      <c r="V684"/>
    </row>
    <row r="685" spans="10:22" s="1" customFormat="1" x14ac:dyDescent="0.2">
      <c r="J685"/>
      <c r="K685"/>
      <c r="L685"/>
      <c r="M685"/>
      <c r="N685" s="2"/>
      <c r="R685"/>
      <c r="S685"/>
      <c r="T685"/>
      <c r="U685"/>
      <c r="V685"/>
    </row>
    <row r="686" spans="10:22" s="1" customFormat="1" x14ac:dyDescent="0.2">
      <c r="J686"/>
      <c r="K686"/>
      <c r="L686"/>
      <c r="M686"/>
      <c r="N686" s="2"/>
      <c r="R686"/>
      <c r="S686"/>
      <c r="T686"/>
      <c r="U686"/>
      <c r="V686"/>
    </row>
    <row r="687" spans="10:22" s="1" customFormat="1" x14ac:dyDescent="0.2">
      <c r="J687"/>
      <c r="K687"/>
      <c r="L687"/>
      <c r="M687"/>
      <c r="N687" s="2"/>
      <c r="R687"/>
      <c r="S687"/>
      <c r="T687"/>
      <c r="U687"/>
      <c r="V687"/>
    </row>
    <row r="688" spans="10:22" s="1" customFormat="1" x14ac:dyDescent="0.2">
      <c r="J688"/>
      <c r="K688"/>
      <c r="L688"/>
      <c r="M688"/>
      <c r="N688" s="2"/>
      <c r="R688"/>
      <c r="S688"/>
      <c r="T688"/>
      <c r="U688"/>
      <c r="V688"/>
    </row>
    <row r="689" spans="10:22" s="1" customFormat="1" x14ac:dyDescent="0.2">
      <c r="J689"/>
      <c r="K689"/>
      <c r="L689"/>
      <c r="M689"/>
      <c r="N689" s="2"/>
      <c r="R689"/>
      <c r="S689"/>
      <c r="T689"/>
      <c r="U689"/>
      <c r="V689"/>
    </row>
    <row r="690" spans="10:22" s="1" customFormat="1" x14ac:dyDescent="0.2">
      <c r="J690"/>
      <c r="K690"/>
      <c r="L690"/>
      <c r="M690"/>
      <c r="N690" s="2"/>
      <c r="R690"/>
      <c r="S690"/>
      <c r="T690"/>
      <c r="U690"/>
      <c r="V690"/>
    </row>
    <row r="691" spans="10:22" s="1" customFormat="1" x14ac:dyDescent="0.2">
      <c r="J691"/>
      <c r="K691"/>
      <c r="L691"/>
      <c r="M691"/>
      <c r="N691" s="2"/>
      <c r="R691"/>
      <c r="S691"/>
      <c r="T691"/>
      <c r="U691"/>
      <c r="V691"/>
    </row>
    <row r="692" spans="10:22" s="1" customFormat="1" x14ac:dyDescent="0.2">
      <c r="J692"/>
      <c r="K692"/>
      <c r="L692"/>
      <c r="M692"/>
      <c r="N692" s="2"/>
      <c r="R692"/>
      <c r="S692"/>
      <c r="T692"/>
      <c r="U692"/>
      <c r="V692"/>
    </row>
    <row r="693" spans="10:22" s="1" customFormat="1" x14ac:dyDescent="0.2">
      <c r="J693"/>
      <c r="K693"/>
      <c r="L693"/>
      <c r="M693"/>
      <c r="N693" s="2"/>
      <c r="R693"/>
      <c r="S693"/>
      <c r="T693"/>
      <c r="U693"/>
      <c r="V693"/>
    </row>
    <row r="694" spans="10:22" s="1" customFormat="1" x14ac:dyDescent="0.2">
      <c r="J694"/>
      <c r="K694"/>
      <c r="L694"/>
      <c r="M694"/>
      <c r="N694" s="2"/>
      <c r="R694"/>
      <c r="S694"/>
      <c r="T694"/>
      <c r="U694"/>
      <c r="V694"/>
    </row>
    <row r="695" spans="10:22" s="1" customFormat="1" x14ac:dyDescent="0.2">
      <c r="J695"/>
      <c r="K695"/>
      <c r="L695"/>
      <c r="M695"/>
      <c r="N695" s="2"/>
      <c r="R695"/>
      <c r="S695"/>
      <c r="T695"/>
      <c r="U695"/>
      <c r="V695"/>
    </row>
    <row r="696" spans="10:22" s="1" customFormat="1" x14ac:dyDescent="0.2">
      <c r="J696"/>
      <c r="K696"/>
      <c r="L696"/>
      <c r="M696"/>
      <c r="N696" s="2"/>
      <c r="R696"/>
      <c r="S696"/>
      <c r="T696"/>
      <c r="U696"/>
      <c r="V696"/>
    </row>
    <row r="697" spans="10:22" s="1" customFormat="1" x14ac:dyDescent="0.2">
      <c r="J697"/>
      <c r="K697"/>
      <c r="L697"/>
      <c r="M697"/>
      <c r="N697" s="2"/>
      <c r="R697"/>
      <c r="S697"/>
      <c r="T697"/>
      <c r="U697"/>
      <c r="V697"/>
    </row>
    <row r="698" spans="10:22" s="1" customFormat="1" x14ac:dyDescent="0.2">
      <c r="J698"/>
      <c r="K698"/>
      <c r="L698"/>
      <c r="M698"/>
      <c r="N698" s="2"/>
      <c r="R698"/>
      <c r="S698"/>
      <c r="T698"/>
      <c r="U698"/>
      <c r="V698"/>
    </row>
    <row r="699" spans="10:22" s="1" customFormat="1" x14ac:dyDescent="0.2">
      <c r="J699"/>
      <c r="K699"/>
      <c r="L699"/>
      <c r="M699"/>
      <c r="N699" s="2"/>
      <c r="R699"/>
      <c r="S699"/>
      <c r="T699"/>
      <c r="U699"/>
      <c r="V699"/>
    </row>
    <row r="700" spans="10:22" s="1" customFormat="1" x14ac:dyDescent="0.2">
      <c r="J700"/>
      <c r="K700"/>
      <c r="L700"/>
      <c r="M700"/>
      <c r="N700" s="2"/>
      <c r="R700"/>
      <c r="S700"/>
      <c r="T700"/>
      <c r="U700"/>
      <c r="V700"/>
    </row>
    <row r="701" spans="10:22" s="1" customFormat="1" x14ac:dyDescent="0.2">
      <c r="J701"/>
      <c r="K701"/>
      <c r="L701"/>
      <c r="M701"/>
      <c r="N701" s="2"/>
      <c r="R701"/>
      <c r="S701"/>
      <c r="T701"/>
      <c r="U701"/>
      <c r="V701"/>
    </row>
    <row r="702" spans="10:22" s="1" customFormat="1" x14ac:dyDescent="0.2">
      <c r="J702"/>
      <c r="K702"/>
      <c r="L702"/>
      <c r="M702"/>
      <c r="N702" s="2"/>
      <c r="R702"/>
      <c r="S702"/>
      <c r="T702"/>
      <c r="U702"/>
      <c r="V702"/>
    </row>
    <row r="703" spans="10:22" s="1" customFormat="1" x14ac:dyDescent="0.2">
      <c r="J703"/>
      <c r="K703"/>
      <c r="L703"/>
      <c r="M703"/>
      <c r="N703" s="2"/>
      <c r="R703"/>
      <c r="S703"/>
      <c r="T703"/>
      <c r="U703"/>
      <c r="V703"/>
    </row>
    <row r="704" spans="10:22" s="1" customFormat="1" x14ac:dyDescent="0.2">
      <c r="J704"/>
      <c r="K704"/>
      <c r="L704"/>
      <c r="M704"/>
      <c r="N704" s="2"/>
      <c r="R704"/>
      <c r="S704"/>
      <c r="T704"/>
      <c r="U704"/>
      <c r="V704"/>
    </row>
    <row r="705" spans="10:22" s="1" customFormat="1" x14ac:dyDescent="0.2">
      <c r="J705"/>
      <c r="K705"/>
      <c r="L705"/>
      <c r="M705"/>
      <c r="N705" s="2"/>
      <c r="R705"/>
      <c r="S705"/>
      <c r="T705"/>
      <c r="U705"/>
      <c r="V705"/>
    </row>
    <row r="706" spans="10:22" s="1" customFormat="1" x14ac:dyDescent="0.2">
      <c r="J706"/>
      <c r="K706"/>
      <c r="L706"/>
      <c r="M706"/>
      <c r="N706" s="2"/>
      <c r="R706"/>
      <c r="S706"/>
      <c r="T706"/>
      <c r="U706"/>
      <c r="V706"/>
    </row>
    <row r="707" spans="10:22" s="1" customFormat="1" x14ac:dyDescent="0.2">
      <c r="J707"/>
      <c r="K707"/>
      <c r="L707"/>
      <c r="M707"/>
      <c r="N707" s="2"/>
      <c r="R707"/>
      <c r="S707"/>
      <c r="T707"/>
      <c r="U707"/>
      <c r="V707"/>
    </row>
    <row r="708" spans="10:22" s="1" customFormat="1" x14ac:dyDescent="0.2">
      <c r="J708"/>
      <c r="K708"/>
      <c r="L708"/>
      <c r="M708"/>
      <c r="N708" s="2"/>
      <c r="R708"/>
      <c r="S708"/>
      <c r="T708"/>
      <c r="U708"/>
      <c r="V708"/>
    </row>
    <row r="709" spans="10:22" s="1" customFormat="1" x14ac:dyDescent="0.2">
      <c r="J709"/>
      <c r="K709"/>
      <c r="L709"/>
      <c r="M709"/>
      <c r="N709" s="2"/>
      <c r="R709"/>
      <c r="S709"/>
      <c r="T709"/>
      <c r="U709"/>
      <c r="V709"/>
    </row>
    <row r="710" spans="10:22" s="1" customFormat="1" x14ac:dyDescent="0.2">
      <c r="J710"/>
      <c r="K710"/>
      <c r="L710"/>
      <c r="M710"/>
      <c r="N710" s="2"/>
      <c r="R710"/>
      <c r="S710"/>
      <c r="T710"/>
      <c r="U710"/>
      <c r="V710"/>
    </row>
    <row r="711" spans="10:22" s="1" customFormat="1" x14ac:dyDescent="0.2">
      <c r="J711"/>
      <c r="K711"/>
      <c r="L711"/>
      <c r="M711"/>
      <c r="N711" s="2"/>
      <c r="R711"/>
      <c r="S711"/>
      <c r="T711"/>
      <c r="U711"/>
      <c r="V711"/>
    </row>
    <row r="712" spans="10:22" s="1" customFormat="1" x14ac:dyDescent="0.2">
      <c r="J712"/>
      <c r="K712"/>
      <c r="L712"/>
      <c r="M712"/>
      <c r="N712" s="2"/>
      <c r="R712"/>
      <c r="S712"/>
      <c r="T712"/>
      <c r="U712"/>
      <c r="V712"/>
    </row>
    <row r="713" spans="10:22" s="1" customFormat="1" x14ac:dyDescent="0.2">
      <c r="J713"/>
      <c r="K713"/>
      <c r="L713"/>
      <c r="M713"/>
      <c r="N713" s="2"/>
      <c r="R713"/>
      <c r="S713"/>
      <c r="T713"/>
      <c r="U713"/>
      <c r="V713"/>
    </row>
    <row r="714" spans="10:22" s="1" customFormat="1" x14ac:dyDescent="0.2">
      <c r="J714"/>
      <c r="K714"/>
      <c r="L714"/>
      <c r="M714"/>
      <c r="N714" s="2"/>
      <c r="R714"/>
      <c r="S714"/>
      <c r="T714"/>
      <c r="U714"/>
      <c r="V714"/>
    </row>
    <row r="715" spans="10:22" s="1" customFormat="1" x14ac:dyDescent="0.2">
      <c r="J715"/>
      <c r="K715"/>
      <c r="L715"/>
      <c r="M715"/>
      <c r="N715" s="2"/>
      <c r="R715"/>
      <c r="S715"/>
      <c r="T715"/>
      <c r="U715"/>
      <c r="V715"/>
    </row>
    <row r="716" spans="10:22" s="1" customFormat="1" x14ac:dyDescent="0.2">
      <c r="J716"/>
      <c r="K716"/>
      <c r="L716"/>
      <c r="M716"/>
      <c r="N716" s="2"/>
      <c r="R716"/>
      <c r="S716"/>
      <c r="T716"/>
      <c r="U716"/>
      <c r="V716"/>
    </row>
    <row r="717" spans="10:22" s="1" customFormat="1" x14ac:dyDescent="0.2">
      <c r="J717"/>
      <c r="K717"/>
      <c r="L717"/>
      <c r="M717"/>
      <c r="N717" s="2"/>
      <c r="R717"/>
      <c r="S717"/>
      <c r="T717"/>
      <c r="U717"/>
      <c r="V717"/>
    </row>
    <row r="718" spans="10:22" s="1" customFormat="1" x14ac:dyDescent="0.2">
      <c r="J718"/>
      <c r="K718"/>
      <c r="L718"/>
      <c r="M718"/>
      <c r="N718" s="2"/>
      <c r="R718"/>
      <c r="S718"/>
      <c r="T718"/>
      <c r="U718"/>
      <c r="V718"/>
    </row>
    <row r="719" spans="10:22" s="1" customFormat="1" x14ac:dyDescent="0.2">
      <c r="J719"/>
      <c r="K719"/>
      <c r="L719"/>
      <c r="M719"/>
      <c r="N719" s="2"/>
      <c r="R719"/>
      <c r="S719"/>
      <c r="T719"/>
      <c r="U719"/>
      <c r="V719"/>
    </row>
    <row r="720" spans="10:22" s="1" customFormat="1" x14ac:dyDescent="0.2">
      <c r="J720"/>
      <c r="K720"/>
      <c r="L720"/>
      <c r="M720"/>
      <c r="N720" s="2"/>
      <c r="R720"/>
      <c r="S720"/>
      <c r="T720"/>
      <c r="U720"/>
      <c r="V720"/>
    </row>
    <row r="721" spans="10:22" s="1" customFormat="1" x14ac:dyDescent="0.2">
      <c r="J721"/>
      <c r="K721"/>
      <c r="L721"/>
      <c r="M721"/>
      <c r="N721" s="2"/>
      <c r="R721"/>
      <c r="S721"/>
      <c r="T721"/>
      <c r="U721"/>
      <c r="V721"/>
    </row>
    <row r="722" spans="10:22" s="1" customFormat="1" x14ac:dyDescent="0.2">
      <c r="J722"/>
      <c r="K722"/>
      <c r="L722"/>
      <c r="M722"/>
      <c r="N722" s="2"/>
      <c r="R722"/>
      <c r="S722"/>
      <c r="T722"/>
      <c r="U722"/>
      <c r="V722"/>
    </row>
    <row r="723" spans="10:22" s="1" customFormat="1" x14ac:dyDescent="0.2">
      <c r="J723"/>
      <c r="K723"/>
      <c r="L723"/>
      <c r="M723"/>
      <c r="N723" s="2"/>
      <c r="R723"/>
      <c r="S723"/>
      <c r="T723"/>
      <c r="U723"/>
      <c r="V723"/>
    </row>
    <row r="724" spans="10:22" s="1" customFormat="1" x14ac:dyDescent="0.2">
      <c r="J724"/>
      <c r="K724"/>
      <c r="L724"/>
      <c r="M724"/>
      <c r="N724" s="2"/>
      <c r="R724"/>
      <c r="S724"/>
      <c r="T724"/>
      <c r="U724"/>
      <c r="V724"/>
    </row>
    <row r="725" spans="10:22" s="1" customFormat="1" x14ac:dyDescent="0.2">
      <c r="J725"/>
      <c r="K725"/>
      <c r="L725"/>
      <c r="M725"/>
      <c r="N725" s="2"/>
      <c r="R725"/>
      <c r="S725"/>
      <c r="T725"/>
      <c r="U725"/>
      <c r="V725"/>
    </row>
    <row r="726" spans="10:22" s="1" customFormat="1" x14ac:dyDescent="0.2">
      <c r="J726"/>
      <c r="K726"/>
      <c r="L726"/>
      <c r="M726"/>
      <c r="N726" s="2"/>
      <c r="R726"/>
      <c r="S726"/>
      <c r="T726"/>
      <c r="U726"/>
      <c r="V726"/>
    </row>
    <row r="727" spans="10:22" s="1" customFormat="1" x14ac:dyDescent="0.2">
      <c r="J727"/>
      <c r="K727"/>
      <c r="L727"/>
      <c r="M727"/>
      <c r="N727" s="2"/>
      <c r="R727"/>
      <c r="S727"/>
      <c r="T727"/>
      <c r="U727"/>
      <c r="V727"/>
    </row>
    <row r="728" spans="10:22" s="1" customFormat="1" x14ac:dyDescent="0.2">
      <c r="J728"/>
      <c r="K728"/>
      <c r="L728"/>
      <c r="M728"/>
      <c r="N728" s="2"/>
      <c r="R728"/>
      <c r="S728"/>
      <c r="T728"/>
      <c r="U728"/>
      <c r="V728"/>
    </row>
    <row r="729" spans="10:22" s="1" customFormat="1" x14ac:dyDescent="0.2">
      <c r="J729"/>
      <c r="K729"/>
      <c r="L729"/>
      <c r="M729"/>
      <c r="N729" s="2"/>
      <c r="R729"/>
      <c r="S729"/>
      <c r="T729"/>
      <c r="U729"/>
      <c r="V729"/>
    </row>
    <row r="730" spans="10:22" s="1" customFormat="1" x14ac:dyDescent="0.2">
      <c r="J730"/>
      <c r="K730"/>
      <c r="L730"/>
      <c r="M730"/>
      <c r="N730" s="2"/>
      <c r="R730"/>
      <c r="S730"/>
      <c r="T730"/>
      <c r="U730"/>
      <c r="V730"/>
    </row>
    <row r="731" spans="10:22" s="1" customFormat="1" x14ac:dyDescent="0.2">
      <c r="J731"/>
      <c r="K731"/>
      <c r="L731"/>
      <c r="M731"/>
      <c r="N731" s="2"/>
      <c r="R731"/>
      <c r="S731"/>
      <c r="T731"/>
      <c r="U731"/>
      <c r="V731"/>
    </row>
    <row r="732" spans="10:22" s="1" customFormat="1" x14ac:dyDescent="0.2">
      <c r="J732"/>
      <c r="K732"/>
      <c r="L732"/>
      <c r="M732"/>
      <c r="N732" s="2"/>
      <c r="R732"/>
      <c r="S732"/>
      <c r="T732"/>
      <c r="U732"/>
      <c r="V732"/>
    </row>
    <row r="733" spans="10:22" s="1" customFormat="1" x14ac:dyDescent="0.2">
      <c r="J733"/>
      <c r="K733"/>
      <c r="L733"/>
      <c r="M733"/>
      <c r="N733" s="2"/>
      <c r="R733"/>
      <c r="S733"/>
      <c r="T733"/>
      <c r="U733"/>
      <c r="V733"/>
    </row>
    <row r="734" spans="10:22" s="1" customFormat="1" x14ac:dyDescent="0.2">
      <c r="J734"/>
      <c r="K734"/>
      <c r="L734"/>
      <c r="M734"/>
      <c r="N734" s="2"/>
      <c r="R734"/>
      <c r="S734"/>
      <c r="T734"/>
      <c r="U734"/>
      <c r="V734"/>
    </row>
  </sheetData>
  <mergeCells count="67">
    <mergeCell ref="U30:U31"/>
    <mergeCell ref="B30:B31"/>
    <mergeCell ref="E30:E31"/>
    <mergeCell ref="J30:J31"/>
    <mergeCell ref="K30:K31"/>
    <mergeCell ref="Q30:Q31"/>
    <mergeCell ref="S30:S31"/>
    <mergeCell ref="K19:K21"/>
    <mergeCell ref="U22:U26"/>
    <mergeCell ref="D22:D26"/>
    <mergeCell ref="L22:L26"/>
    <mergeCell ref="I22:I26"/>
    <mergeCell ref="E22:E26"/>
    <mergeCell ref="J22:J26"/>
    <mergeCell ref="K22:K26"/>
    <mergeCell ref="Q19:Q21"/>
    <mergeCell ref="S19:S21"/>
    <mergeCell ref="Q22:Q26"/>
    <mergeCell ref="S22:S26"/>
    <mergeCell ref="U19:U21"/>
    <mergeCell ref="S17:S18"/>
    <mergeCell ref="U17:U18"/>
    <mergeCell ref="V17:V18"/>
    <mergeCell ref="J17:J18"/>
    <mergeCell ref="K17:K18"/>
    <mergeCell ref="L17:L18"/>
    <mergeCell ref="M17:M18"/>
    <mergeCell ref="O17:O18"/>
    <mergeCell ref="Q17:Q18"/>
    <mergeCell ref="E61:F61"/>
    <mergeCell ref="J61:J63"/>
    <mergeCell ref="E62:F62"/>
    <mergeCell ref="E63:F63"/>
    <mergeCell ref="B17:B18"/>
    <mergeCell ref="D17:D18"/>
    <mergeCell ref="E17:E18"/>
    <mergeCell ref="F17:F18"/>
    <mergeCell ref="H17:H18"/>
    <mergeCell ref="I17:I18"/>
    <mergeCell ref="B19:B21"/>
    <mergeCell ref="E19:E21"/>
    <mergeCell ref="J19:J21"/>
    <mergeCell ref="B22:B26"/>
    <mergeCell ref="B2:V2"/>
    <mergeCell ref="B5:B8"/>
    <mergeCell ref="D5:D8"/>
    <mergeCell ref="E5:E8"/>
    <mergeCell ref="J5:J8"/>
    <mergeCell ref="K5:K8"/>
    <mergeCell ref="Q5:Q8"/>
    <mergeCell ref="S5:S8"/>
    <mergeCell ref="U5:U8"/>
    <mergeCell ref="V5:V8"/>
    <mergeCell ref="U28:U29"/>
    <mergeCell ref="B28:B29"/>
    <mergeCell ref="E28:E29"/>
    <mergeCell ref="J28:J29"/>
    <mergeCell ref="K28:K29"/>
    <mergeCell ref="Q28:Q29"/>
    <mergeCell ref="S28:S29"/>
    <mergeCell ref="U34:U35"/>
    <mergeCell ref="E34:E35"/>
    <mergeCell ref="B34:B35"/>
    <mergeCell ref="J34:J35"/>
    <mergeCell ref="K34:K35"/>
    <mergeCell ref="Q34:Q35"/>
    <mergeCell ref="S34:S35"/>
  </mergeCells>
  <conditionalFormatting sqref="I65:I71">
    <cfRule type="cellIs" dxfId="212" priority="291" stopIfTrue="1" operator="greaterThan">
      <formula>1.5%</formula>
    </cfRule>
    <cfRule type="cellIs" dxfId="211" priority="292" stopIfTrue="1" operator="lessThan">
      <formula>0%</formula>
    </cfRule>
  </conditionalFormatting>
  <conditionalFormatting sqref="I73">
    <cfRule type="cellIs" dxfId="210" priority="286" stopIfTrue="1" operator="lessThan">
      <formula>438</formula>
    </cfRule>
  </conditionalFormatting>
  <conditionalFormatting sqref="J3 B2 J72:J65536">
    <cfRule type="cellIs" dxfId="209" priority="309" stopIfTrue="1" operator="lessThan">
      <formula>438</formula>
    </cfRule>
  </conditionalFormatting>
  <conditionalFormatting sqref="J3">
    <cfRule type="cellIs" dxfId="208" priority="306" stopIfTrue="1" operator="lessThan">
      <formula>456.25</formula>
    </cfRule>
  </conditionalFormatting>
  <conditionalFormatting sqref="J4:J5">
    <cfRule type="cellIs" dxfId="207" priority="264" stopIfTrue="1" operator="lessThan">
      <formula>462</formula>
    </cfRule>
  </conditionalFormatting>
  <conditionalFormatting sqref="J9:J17">
    <cfRule type="cellIs" dxfId="206" priority="63" stopIfTrue="1" operator="lessThan">
      <formula>462</formula>
    </cfRule>
  </conditionalFormatting>
  <conditionalFormatting sqref="J19 J22">
    <cfRule type="cellIs" dxfId="205" priority="44" stopIfTrue="1" operator="lessThan">
      <formula>462</formula>
    </cfRule>
  </conditionalFormatting>
  <conditionalFormatting sqref="J27:J28 J30">
    <cfRule type="cellIs" dxfId="204" priority="31" stopIfTrue="1" operator="lessThan">
      <formula>462</formula>
    </cfRule>
  </conditionalFormatting>
  <conditionalFormatting sqref="J32:J34">
    <cfRule type="cellIs" dxfId="203" priority="13" stopIfTrue="1" operator="lessThan">
      <formula>462</formula>
    </cfRule>
  </conditionalFormatting>
  <conditionalFormatting sqref="J36:J60">
    <cfRule type="cellIs" dxfId="202" priority="82" stopIfTrue="1" operator="lessThan">
      <formula>462</formula>
    </cfRule>
  </conditionalFormatting>
  <conditionalFormatting sqref="J65:J71">
    <cfRule type="cellIs" dxfId="201" priority="304" stopIfTrue="1" operator="lessThan">
      <formula>73%</formula>
    </cfRule>
  </conditionalFormatting>
  <conditionalFormatting sqref="K4:K5">
    <cfRule type="cellIs" dxfId="200" priority="263" stopIfTrue="1" operator="lessThan">
      <formula>540</formula>
    </cfRule>
  </conditionalFormatting>
  <conditionalFormatting sqref="K9:K17">
    <cfRule type="cellIs" dxfId="199" priority="62" stopIfTrue="1" operator="lessThan">
      <formula>540</formula>
    </cfRule>
  </conditionalFormatting>
  <conditionalFormatting sqref="K19 K22">
    <cfRule type="cellIs" dxfId="198" priority="43" stopIfTrue="1" operator="lessThan">
      <formula>540</formula>
    </cfRule>
  </conditionalFormatting>
  <conditionalFormatting sqref="K27:K28 K30">
    <cfRule type="cellIs" dxfId="197" priority="19" stopIfTrue="1" operator="lessThan">
      <formula>540</formula>
    </cfRule>
  </conditionalFormatting>
  <conditionalFormatting sqref="K32:K34">
    <cfRule type="cellIs" dxfId="196" priority="7" stopIfTrue="1" operator="lessThan">
      <formula>540</formula>
    </cfRule>
  </conditionalFormatting>
  <conditionalFormatting sqref="K36:K39">
    <cfRule type="cellIs" dxfId="195" priority="81" stopIfTrue="1" operator="lessThan">
      <formula>540</formula>
    </cfRule>
  </conditionalFormatting>
  <conditionalFormatting sqref="K39:L56">
    <cfRule type="cellIs" dxfId="194" priority="269" stopIfTrue="1" operator="lessThan">
      <formula>540</formula>
    </cfRule>
  </conditionalFormatting>
  <conditionalFormatting sqref="K57:L59">
    <cfRule type="cellIs" dxfId="193" priority="299" stopIfTrue="1" operator="lessThan">
      <formula>456.25</formula>
    </cfRule>
    <cfRule type="cellIs" dxfId="192" priority="300" stopIfTrue="1" operator="lessThan">
      <formula>438</formula>
    </cfRule>
  </conditionalFormatting>
  <conditionalFormatting sqref="O4:O17">
    <cfRule type="cellIs" dxfId="191" priority="284" stopIfTrue="1" operator="greaterThan">
      <formula>1.1</formula>
    </cfRule>
  </conditionalFormatting>
  <conditionalFormatting sqref="O19:O61">
    <cfRule type="cellIs" dxfId="190" priority="55" stopIfTrue="1" operator="greaterThan">
      <formula>1.1</formula>
    </cfRule>
  </conditionalFormatting>
  <conditionalFormatting sqref="O61:O62">
    <cfRule type="cellIs" dxfId="189" priority="303" stopIfTrue="1" operator="lessThan">
      <formula>0%</formula>
    </cfRule>
    <cfRule type="cellIs" dxfId="188" priority="302" stopIfTrue="1" operator="greaterThan">
      <formula>1.5%</formula>
    </cfRule>
  </conditionalFormatting>
  <conditionalFormatting sqref="Q4:Q5">
    <cfRule type="cellIs" dxfId="187" priority="261" stopIfTrue="1" operator="lessThan">
      <formula>0.74</formula>
    </cfRule>
  </conditionalFormatting>
  <conditionalFormatting sqref="Q9:Q17">
    <cfRule type="cellIs" dxfId="186" priority="57" stopIfTrue="1" operator="lessThan">
      <formula>0.74</formula>
    </cfRule>
  </conditionalFormatting>
  <conditionalFormatting sqref="Q19 Q22">
    <cfRule type="cellIs" dxfId="185" priority="38" stopIfTrue="1" operator="lessThan">
      <formula>0.74</formula>
    </cfRule>
  </conditionalFormatting>
  <conditionalFormatting sqref="Q27:Q28 Q30">
    <cfRule type="cellIs" dxfId="184" priority="26" stopIfTrue="1" operator="lessThan">
      <formula>0.74</formula>
    </cfRule>
  </conditionalFormatting>
  <conditionalFormatting sqref="Q32:Q34">
    <cfRule type="cellIs" dxfId="183" priority="2" stopIfTrue="1" operator="lessThan">
      <formula>0.74</formula>
    </cfRule>
  </conditionalFormatting>
  <conditionalFormatting sqref="Q36:Q60">
    <cfRule type="cellIs" dxfId="182" priority="79" stopIfTrue="1" operator="lessThan">
      <formula>0.74</formula>
    </cfRule>
  </conditionalFormatting>
  <conditionalFormatting sqref="S42:S59">
    <cfRule type="cellIs" dxfId="181" priority="295" stopIfTrue="1" operator="lessThan">
      <formula>0.74</formula>
    </cfRule>
  </conditionalFormatting>
  <conditionalFormatting sqref="S61:S62">
    <cfRule type="cellIs" dxfId="180" priority="305" stopIfTrue="1" operator="lessThan">
      <formula>73%</formula>
    </cfRule>
  </conditionalFormatting>
  <conditionalFormatting sqref="S3:U3">
    <cfRule type="cellIs" dxfId="179" priority="278" stopIfTrue="1" operator="lessThan">
      <formula>0.65</formula>
    </cfRule>
  </conditionalFormatting>
  <conditionalFormatting sqref="S4:U5">
    <cfRule type="cellIs" dxfId="178" priority="260" stopIfTrue="1" operator="lessThan">
      <formula>0.74</formula>
    </cfRule>
  </conditionalFormatting>
  <conditionalFormatting sqref="S9:U17">
    <cfRule type="cellIs" dxfId="177" priority="56" stopIfTrue="1" operator="lessThan">
      <formula>0.74</formula>
    </cfRule>
  </conditionalFormatting>
  <conditionalFormatting sqref="S19:U19 S22:U22">
    <cfRule type="cellIs" dxfId="176" priority="37" stopIfTrue="1" operator="lessThan">
      <formula>0.74</formula>
    </cfRule>
  </conditionalFormatting>
  <conditionalFormatting sqref="S27:U28 S30:U30">
    <cfRule type="cellIs" dxfId="175" priority="25" stopIfTrue="1" operator="lessThan">
      <formula>0.74</formula>
    </cfRule>
  </conditionalFormatting>
  <conditionalFormatting sqref="S32:U34">
    <cfRule type="cellIs" dxfId="174" priority="1" stopIfTrue="1" operator="lessThan">
      <formula>0.74</formula>
    </cfRule>
  </conditionalFormatting>
  <conditionalFormatting sqref="S36:U41">
    <cfRule type="cellIs" dxfId="173" priority="78" stopIfTrue="1" operator="lessThan">
      <formula>0.74</formula>
    </cfRule>
  </conditionalFormatting>
  <conditionalFormatting sqref="S60:U60">
    <cfRule type="cellIs" dxfId="172" priority="297" stopIfTrue="1" operator="lessThan">
      <formula>0.74</formula>
    </cfRule>
  </conditionalFormatting>
  <conditionalFormatting sqref="T6:T8 T18 T20:T21 T23:T26 T29 T31 T35:T38">
    <cfRule type="cellIs" dxfId="171" priority="74" stopIfTrue="1" operator="lessThan">
      <formula>0.74</formula>
    </cfRule>
  </conditionalFormatting>
  <conditionalFormatting sqref="T42:U59">
    <cfRule type="cellIs" dxfId="170" priority="289" stopIfTrue="1" operator="lessThan">
      <formula>75%</formula>
    </cfRule>
  </conditionalFormatting>
  <conditionalFormatting sqref="T61:U62">
    <cfRule type="cellIs" dxfId="169" priority="308" stopIfTrue="1" operator="lessThan">
      <formula>75%</formula>
    </cfRule>
  </conditionalFormatting>
  <printOptions horizontalCentered="1"/>
  <pageMargins left="0.10312499999999999" right="0.5" top="0.25" bottom="0.27" header="0.25" footer="0.27"/>
  <pageSetup paperSize="5" scale="43" orientation="landscape" r:id="rId1"/>
  <headerFooter alignWithMargins="0"/>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4D377-57ED-4010-9AC7-A4118BA1C76A}">
  <sheetPr codeName="Sheet29">
    <pageSetUpPr fitToPage="1"/>
  </sheetPr>
  <dimension ref="B2:V734"/>
  <sheetViews>
    <sheetView showZeros="0" showWhiteSpace="0" zoomScale="70" zoomScaleNormal="70" workbookViewId="0">
      <pane ySplit="3" topLeftCell="A22" activePane="bottomLeft" state="frozen"/>
      <selection activeCell="B2" sqref="B2:W2"/>
      <selection pane="bottomLeft" activeCell="B2" sqref="B2:W2"/>
    </sheetView>
  </sheetViews>
  <sheetFormatPr defaultColWidth="9.42578125" defaultRowHeight="12.75" x14ac:dyDescent="0.2"/>
  <cols>
    <col min="2" max="2" width="10.42578125" style="1" customWidth="1"/>
    <col min="3" max="3" width="27" style="1" customWidth="1"/>
    <col min="4" max="4" width="13.5703125" style="1" customWidth="1"/>
    <col min="5" max="5" width="13.42578125" style="1" customWidth="1"/>
    <col min="6" max="6" width="15.42578125" style="1" customWidth="1"/>
    <col min="7" max="7" width="15.5703125" customWidth="1"/>
    <col min="8" max="8" width="15.42578125" customWidth="1"/>
    <col min="9" max="9" width="13.5703125" style="1" customWidth="1"/>
    <col min="10" max="10" width="12.5703125" customWidth="1"/>
    <col min="11" max="11" width="11" customWidth="1"/>
    <col min="12" max="12" width="13.42578125" bestFit="1" customWidth="1"/>
    <col min="13" max="13" width="11.42578125" customWidth="1"/>
    <col min="14" max="14" width="10.42578125" style="2" bestFit="1" customWidth="1"/>
    <col min="15" max="15" width="13.5703125" style="1" customWidth="1"/>
    <col min="16" max="16" width="7.5703125" style="1" hidden="1" customWidth="1"/>
    <col min="17" max="17" width="13.42578125" style="1" customWidth="1"/>
    <col min="18" max="18" width="12" hidden="1" customWidth="1"/>
    <col min="19" max="19" width="14.42578125" customWidth="1"/>
    <col min="20" max="20" width="10.42578125" hidden="1" customWidth="1"/>
    <col min="21" max="21" width="14" customWidth="1"/>
    <col min="22" max="22" width="91" customWidth="1"/>
    <col min="23" max="23" width="12.5703125" customWidth="1"/>
    <col min="24" max="24" width="13.5703125" customWidth="1"/>
  </cols>
  <sheetData>
    <row r="2" spans="2:22" ht="24" thickBot="1" x14ac:dyDescent="0.4">
      <c r="B2" s="1022" t="s">
        <v>52</v>
      </c>
      <c r="C2" s="1022"/>
      <c r="D2" s="1022"/>
      <c r="E2" s="1022"/>
      <c r="F2" s="1022"/>
      <c r="G2" s="1022"/>
      <c r="H2" s="1022"/>
      <c r="I2" s="1022"/>
      <c r="J2" s="1022"/>
      <c r="K2" s="1022"/>
      <c r="L2" s="1022"/>
      <c r="M2" s="1022"/>
      <c r="N2" s="1022"/>
      <c r="O2" s="1022"/>
      <c r="P2" s="1022"/>
      <c r="Q2" s="1022"/>
      <c r="R2" s="1022"/>
      <c r="S2" s="1022"/>
      <c r="T2" s="1022"/>
      <c r="U2" s="1022"/>
      <c r="V2" s="1022"/>
    </row>
    <row r="3" spans="2:22" ht="80.25" thickTop="1" thickBot="1" x14ac:dyDescent="0.25">
      <c r="B3" s="37" t="s">
        <v>0</v>
      </c>
      <c r="C3" s="38" t="s">
        <v>2</v>
      </c>
      <c r="D3" s="38" t="s">
        <v>12</v>
      </c>
      <c r="E3" s="38" t="s">
        <v>11</v>
      </c>
      <c r="F3" s="38" t="s">
        <v>15</v>
      </c>
      <c r="G3" s="38" t="s">
        <v>9</v>
      </c>
      <c r="H3" s="38" t="s">
        <v>17</v>
      </c>
      <c r="I3" s="38" t="s">
        <v>5</v>
      </c>
      <c r="J3" s="38" t="s">
        <v>43</v>
      </c>
      <c r="K3" s="38" t="s">
        <v>4</v>
      </c>
      <c r="L3" s="38" t="s">
        <v>161</v>
      </c>
      <c r="M3" s="38" t="s">
        <v>10</v>
      </c>
      <c r="N3" s="39" t="s">
        <v>34</v>
      </c>
      <c r="O3" s="40" t="s">
        <v>55</v>
      </c>
      <c r="P3" s="40" t="s">
        <v>8</v>
      </c>
      <c r="Q3" s="41" t="s">
        <v>7</v>
      </c>
      <c r="R3" s="41" t="s">
        <v>6</v>
      </c>
      <c r="S3" s="41" t="s">
        <v>307</v>
      </c>
      <c r="T3" s="41" t="s">
        <v>47</v>
      </c>
      <c r="U3" s="124" t="s">
        <v>308</v>
      </c>
      <c r="V3" s="5" t="s">
        <v>1</v>
      </c>
    </row>
    <row r="4" spans="2:22" s="19" customFormat="1" ht="50.25" thickTop="1" x14ac:dyDescent="0.2">
      <c r="B4" s="137">
        <v>42646</v>
      </c>
      <c r="C4" s="48" t="s">
        <v>29</v>
      </c>
      <c r="D4" s="49">
        <v>4900</v>
      </c>
      <c r="E4" s="50">
        <v>0.35416666666666669</v>
      </c>
      <c r="F4" s="51">
        <f>SUM([16]October_2016!$J8)</f>
        <v>303.69999999999993</v>
      </c>
      <c r="G4" s="52">
        <f>SUM([16]October_2016!$F8)</f>
        <v>4447</v>
      </c>
      <c r="H4" s="51">
        <f>SUM([16]October_2016!$K8)</f>
        <v>303.00200000000001</v>
      </c>
      <c r="I4" s="53">
        <f>SUM([16]October_2016!$N8)</f>
        <v>12.25</v>
      </c>
      <c r="J4" s="54">
        <f>SUM([16]October_2016!$Q8)</f>
        <v>443.96006655574041</v>
      </c>
      <c r="K4" s="54">
        <f>SUM([16]October_2016!$E8)</f>
        <v>601</v>
      </c>
      <c r="L4" s="134">
        <v>0.78472222222222221</v>
      </c>
      <c r="M4" s="54">
        <f>SUM([16]October_2016!$M8)</f>
        <v>114</v>
      </c>
      <c r="N4" s="122"/>
      <c r="O4" s="55">
        <f>SUM([16]October_2016!$P8)</f>
        <v>0.22983207112279302</v>
      </c>
      <c r="P4" s="54"/>
      <c r="Q4" s="66">
        <f>(G4)/(9.85*15000*(1/24))</f>
        <v>0.72235532994923857</v>
      </c>
      <c r="R4" s="56"/>
      <c r="S4" s="46">
        <f>(G4)*24/(K4/60)/15000</f>
        <v>0.71033610648918466</v>
      </c>
      <c r="T4" s="46">
        <f>(H4+H7)*24/(M4/60)/15000</f>
        <v>0.27583494736842107</v>
      </c>
      <c r="U4" s="125">
        <f>(G4)*24/(K4/60)/17000</f>
        <v>0.62676715278457462</v>
      </c>
      <c r="V4" s="24" t="s">
        <v>295</v>
      </c>
    </row>
    <row r="5" spans="2:22" s="19" customFormat="1" ht="33" x14ac:dyDescent="0.2">
      <c r="B5" s="137">
        <v>42647</v>
      </c>
      <c r="C5" s="48" t="s">
        <v>29</v>
      </c>
      <c r="D5" s="49">
        <v>3500</v>
      </c>
      <c r="E5" s="50">
        <v>0.31944444444444448</v>
      </c>
      <c r="F5" s="51">
        <f>SUM([16]October_2016!$J9)</f>
        <v>278.8</v>
      </c>
      <c r="G5" s="52">
        <f>SUM([16]October_2016!$F9)</f>
        <v>4204</v>
      </c>
      <c r="H5" s="51">
        <f>SUM([16]October_2016!$K9)</f>
        <v>277.464</v>
      </c>
      <c r="I5" s="53">
        <f>SUM([16]October_2016!$N9)</f>
        <v>10</v>
      </c>
      <c r="J5" s="54">
        <f>SUM([16]October_2016!$Q9)</f>
        <v>503.4730538922156</v>
      </c>
      <c r="K5" s="54">
        <f>SUM([16]October_2016!$E9)</f>
        <v>501</v>
      </c>
      <c r="L5" s="134">
        <v>0.71736111111111101</v>
      </c>
      <c r="M5" s="54">
        <f>SUM([16]October_2016!$M9)</f>
        <v>50</v>
      </c>
      <c r="N5" s="54"/>
      <c r="O5" s="55">
        <f>SUM([16]October_2016!$P9)</f>
        <v>0.47919655667145361</v>
      </c>
      <c r="P5" s="54"/>
      <c r="Q5" s="66">
        <f>(G5)/(9*15000*(1/24))</f>
        <v>0.74737777777777781</v>
      </c>
      <c r="R5" s="56"/>
      <c r="S5" s="46">
        <f>(G5)*24/(K5/60)/15000</f>
        <v>0.80555688622754495</v>
      </c>
      <c r="T5" s="46">
        <f>(H5+H8)*24/(M5/60)/15000</f>
        <v>0.88146431999999997</v>
      </c>
      <c r="U5" s="125">
        <f>(G5)*24/(K5/60)/17000</f>
        <v>0.7107854878478338</v>
      </c>
      <c r="V5" s="24" t="s">
        <v>296</v>
      </c>
    </row>
    <row r="6" spans="2:22" s="19" customFormat="1" ht="33" x14ac:dyDescent="0.2">
      <c r="B6" s="137">
        <v>42648</v>
      </c>
      <c r="C6" s="48" t="s">
        <v>27</v>
      </c>
      <c r="D6" s="49">
        <v>4200</v>
      </c>
      <c r="E6" s="50">
        <v>0.31944444444444448</v>
      </c>
      <c r="F6" s="51">
        <f>SUM([16]October_2016!$J10)</f>
        <v>259.7</v>
      </c>
      <c r="G6" s="52">
        <f>SUM([16]October_2016!$F10)</f>
        <v>3882</v>
      </c>
      <c r="H6" s="51">
        <f>SUM([16]October_2016!$K10)</f>
        <v>259.06200000000001</v>
      </c>
      <c r="I6" s="53">
        <f>SUM([16]October_2016!$N10)</f>
        <v>9.5</v>
      </c>
      <c r="J6" s="54">
        <f>SUM([16]October_2016!$Q10)</f>
        <v>423.4909090909091</v>
      </c>
      <c r="K6" s="54">
        <f>SUM([16]October_2016!$E10)</f>
        <v>550</v>
      </c>
      <c r="L6" s="134">
        <v>0.68958333333333333</v>
      </c>
      <c r="M6" s="54">
        <f>SUM([16]October_2016!$M10)</f>
        <v>112</v>
      </c>
      <c r="N6" s="54"/>
      <c r="O6" s="55">
        <f>SUM([16]October_2016!$P10)</f>
        <v>0.24566807855216666</v>
      </c>
      <c r="P6" s="54"/>
      <c r="Q6" s="66">
        <f>(G6)/(9*15000*(1/24))</f>
        <v>0.69013333333333338</v>
      </c>
      <c r="R6" s="56"/>
      <c r="S6" s="46">
        <f>(G6)*24/(K6/60)/15000</f>
        <v>0.6775854545454546</v>
      </c>
      <c r="T6" s="46">
        <f>(H6+H9)*24/(M6/60)/15000</f>
        <v>0.35641028571428574</v>
      </c>
      <c r="U6" s="125">
        <f>(G6)*24/(K6/60)/17000</f>
        <v>0.59786951871657756</v>
      </c>
      <c r="V6" s="24" t="s">
        <v>297</v>
      </c>
    </row>
    <row r="7" spans="2:22" s="19" customFormat="1" ht="33" x14ac:dyDescent="0.2">
      <c r="B7" s="1213">
        <v>42649</v>
      </c>
      <c r="C7" s="48" t="s">
        <v>27</v>
      </c>
      <c r="D7" s="49"/>
      <c r="E7" s="1217">
        <v>0.39583333333333331</v>
      </c>
      <c r="F7" s="51">
        <f>SUM([16]October_2016!$J11)</f>
        <v>26.2</v>
      </c>
      <c r="G7" s="52">
        <f>SUM([16]October_2016!$F11)</f>
        <v>372</v>
      </c>
      <c r="H7" s="51">
        <f>SUM([16]October_2016!$K11)</f>
        <v>24.552</v>
      </c>
      <c r="I7" s="53">
        <f>SUM([16]October_2016!$N11)</f>
        <v>5</v>
      </c>
      <c r="J7" s="1223">
        <f>SUM([16]October_2016!$Q11)</f>
        <v>311.36212624584721</v>
      </c>
      <c r="K7" s="1223">
        <f>SUM([16]October_2016!$E11)</f>
        <v>602</v>
      </c>
      <c r="L7" s="1247">
        <v>0.78263888888888899</v>
      </c>
      <c r="M7" s="54">
        <f>SUM([16]October_2016!$M11)</f>
        <v>110</v>
      </c>
      <c r="N7" s="54"/>
      <c r="O7" s="55">
        <f>SUM([16]October_2016!$P11)</f>
        <v>6.2900763358778615</v>
      </c>
      <c r="P7" s="54"/>
      <c r="Q7" s="1227">
        <f>(G7+G8)/(9.867*15000*(1/24))</f>
        <v>0.50657748049052398</v>
      </c>
      <c r="R7" s="56"/>
      <c r="S7" s="1039">
        <f>(G7+G8)*24/(K7/60)/15000</f>
        <v>0.49817940199335548</v>
      </c>
      <c r="T7" s="46">
        <f>(H7+H10)*24/(M7/60)/15000</f>
        <v>0.11220061090909091</v>
      </c>
      <c r="U7" s="1237">
        <f>(G7+G8)*24/(K7/60)/17000</f>
        <v>0.43957006058237247</v>
      </c>
      <c r="V7" s="24" t="s">
        <v>298</v>
      </c>
    </row>
    <row r="8" spans="2:22" s="19" customFormat="1" ht="49.5" x14ac:dyDescent="0.2">
      <c r="B8" s="1214"/>
      <c r="C8" s="48" t="s">
        <v>30</v>
      </c>
      <c r="D8" s="49">
        <v>4900</v>
      </c>
      <c r="E8" s="1218"/>
      <c r="F8" s="51">
        <f>SUM([16]October_2016!$J12)</f>
        <v>182.29999999999998</v>
      </c>
      <c r="G8" s="52">
        <f>SUM([16]October_2016!$F12)</f>
        <v>2752</v>
      </c>
      <c r="H8" s="51">
        <f>SUM([16]October_2016!$K12)</f>
        <v>181.63200000000001</v>
      </c>
      <c r="I8" s="53">
        <f>SUM([16]October_2016!$N12)</f>
        <v>5.25</v>
      </c>
      <c r="J8" s="1224"/>
      <c r="K8" s="1224"/>
      <c r="L8" s="1248"/>
      <c r="M8" s="54">
        <f>SUM([16]October_2016!$M12)</f>
        <v>46</v>
      </c>
      <c r="N8" s="54"/>
      <c r="O8" s="55">
        <f>SUM([16]October_2016!$P12)</f>
        <v>0.36642896324738233</v>
      </c>
      <c r="P8" s="54"/>
      <c r="Q8" s="1228"/>
      <c r="R8" s="56"/>
      <c r="S8" s="1040"/>
      <c r="T8" s="46"/>
      <c r="U8" s="1239"/>
      <c r="V8" s="24" t="s">
        <v>299</v>
      </c>
    </row>
    <row r="9" spans="2:22" s="19" customFormat="1" ht="25.5" customHeight="1" x14ac:dyDescent="0.2">
      <c r="B9" s="137">
        <v>42650</v>
      </c>
      <c r="C9" s="48" t="s">
        <v>30</v>
      </c>
      <c r="D9" s="49"/>
      <c r="E9" s="50">
        <v>0.3125</v>
      </c>
      <c r="F9" s="51">
        <f>SUM([16]October_2016!$J13)</f>
        <v>157.6</v>
      </c>
      <c r="G9" s="52">
        <f>SUM([16]October_2016!$F13)</f>
        <v>2375</v>
      </c>
      <c r="H9" s="51">
        <f>SUM([16]October_2016!$K13)</f>
        <v>156.75</v>
      </c>
      <c r="I9" s="53">
        <f>SUM([16]October_2016!$N13)</f>
        <v>14</v>
      </c>
      <c r="J9" s="54">
        <f>SUM([16]October_2016!$Q13)</f>
        <v>475</v>
      </c>
      <c r="K9" s="54">
        <f>SUM([16]October_2016!$E13)</f>
        <v>300</v>
      </c>
      <c r="L9" s="134">
        <v>0.57152777777777775</v>
      </c>
      <c r="M9" s="54">
        <f>SUM([16]October_2016!$M13)</f>
        <v>10</v>
      </c>
      <c r="N9" s="54"/>
      <c r="O9" s="55">
        <f>SUM([16]October_2016!$P13)</f>
        <v>0.53934010152283907</v>
      </c>
      <c r="P9" s="54"/>
      <c r="Q9" s="66">
        <f>(G9)/(8*15000*(1/24))</f>
        <v>0.47499999999999998</v>
      </c>
      <c r="R9" s="56"/>
      <c r="S9" s="46">
        <f>(G9)*24/(K9/60)/15000</f>
        <v>0.76</v>
      </c>
      <c r="T9" s="46">
        <f>(H9+H12)*24/(M9/60)/15000</f>
        <v>4.5916416</v>
      </c>
      <c r="U9" s="125">
        <f>(G9)*24/(K9/60)/17000</f>
        <v>0.6705882352941176</v>
      </c>
      <c r="V9" s="24" t="s">
        <v>300</v>
      </c>
    </row>
    <row r="10" spans="2:22" s="19" customFormat="1" ht="33" x14ac:dyDescent="0.2">
      <c r="B10" s="137">
        <v>42653</v>
      </c>
      <c r="C10" s="48" t="s">
        <v>31</v>
      </c>
      <c r="D10" s="49">
        <v>3300</v>
      </c>
      <c r="E10" s="50">
        <v>0.33055555555555555</v>
      </c>
      <c r="F10" s="51">
        <f>SUM([16]October_2016!$J14)</f>
        <v>106.9</v>
      </c>
      <c r="G10" s="52">
        <f>SUM([16]October_2016!$F14)</f>
        <v>1398</v>
      </c>
      <c r="H10" s="51">
        <f>SUM([16]October_2016!$K14)</f>
        <v>104.01119999999999</v>
      </c>
      <c r="I10" s="53">
        <f>SUM([16]October_2016!$N14)</f>
        <v>10</v>
      </c>
      <c r="J10" s="54">
        <f>SUM([16]October_2016!$Q14)</f>
        <v>161.30769230769232</v>
      </c>
      <c r="K10" s="54">
        <f>SUM([16]October_2016!$E14)</f>
        <v>520</v>
      </c>
      <c r="L10" s="134">
        <v>0.72569444444444453</v>
      </c>
      <c r="M10" s="54">
        <f>SUM([16]October_2016!$M14)</f>
        <v>265</v>
      </c>
      <c r="N10" s="54"/>
      <c r="O10" s="55">
        <f>SUM([16]October_2016!$P14)</f>
        <v>2.7023386342376212</v>
      </c>
      <c r="P10" s="54"/>
      <c r="Q10" s="66">
        <f>(G10)/(9*15000*(1/24))</f>
        <v>0.24853333333333333</v>
      </c>
      <c r="R10" s="56"/>
      <c r="S10" s="46">
        <f>(G10)*24/(K10/60)/15000</f>
        <v>0.25809230769230773</v>
      </c>
      <c r="T10" s="46">
        <f>(H10+H13)*24/(M10/60)/15000</f>
        <v>8.5594034716981127E-2</v>
      </c>
      <c r="U10" s="125">
        <f>(G10)*24/(K10/60)/17000</f>
        <v>0.22772850678733034</v>
      </c>
      <c r="V10" s="24" t="s">
        <v>301</v>
      </c>
    </row>
    <row r="11" spans="2:22" s="19" customFormat="1" ht="30.75" customHeight="1" x14ac:dyDescent="0.2">
      <c r="B11" s="137">
        <v>42654</v>
      </c>
      <c r="C11" s="48" t="s">
        <v>31</v>
      </c>
      <c r="D11" s="49"/>
      <c r="E11" s="50">
        <v>0.3263888888888889</v>
      </c>
      <c r="F11" s="51">
        <f>SUM([16]October_2016!$J15)</f>
        <v>146.4</v>
      </c>
      <c r="G11" s="52">
        <f>SUM([16]October_2016!$F15)</f>
        <v>1941</v>
      </c>
      <c r="H11" s="51">
        <f>SUM([16]October_2016!$K15)</f>
        <v>144.41039999999998</v>
      </c>
      <c r="I11" s="53">
        <f>SUM([16]October_2016!$N15)</f>
        <v>13</v>
      </c>
      <c r="J11" s="54">
        <f>SUM([16]October_2016!$Q15)</f>
        <v>238.64754098360658</v>
      </c>
      <c r="K11" s="54">
        <f>SUM([16]October_2016!$E15)</f>
        <v>488</v>
      </c>
      <c r="L11" s="134">
        <v>0.70486111111111116</v>
      </c>
      <c r="M11" s="54">
        <f>SUM([16]October_2016!$M15)</f>
        <v>192</v>
      </c>
      <c r="N11" s="54"/>
      <c r="O11" s="55">
        <f>SUM([16]October_2016!$P15)</f>
        <v>1.3590163934426394</v>
      </c>
      <c r="P11" s="54"/>
      <c r="Q11" s="66">
        <f>(G11)/(9*15000*(1/24))</f>
        <v>0.34506666666666669</v>
      </c>
      <c r="R11" s="56"/>
      <c r="S11" s="46">
        <f>(G11)*24/(K11/60)/15000</f>
        <v>0.38183606557377048</v>
      </c>
      <c r="T11" s="46">
        <f>(H11+H14)*24/(M11/60)/15000</f>
        <v>0.15164219999999998</v>
      </c>
      <c r="U11" s="125">
        <f>(G11)*24/(K11/60)/17000</f>
        <v>0.33691417550626807</v>
      </c>
      <c r="V11" s="24" t="s">
        <v>302</v>
      </c>
    </row>
    <row r="12" spans="2:22" s="19" customFormat="1" ht="33" x14ac:dyDescent="0.2">
      <c r="B12" s="137">
        <v>42655</v>
      </c>
      <c r="C12" s="48" t="s">
        <v>29</v>
      </c>
      <c r="D12" s="49">
        <v>4900</v>
      </c>
      <c r="E12" s="50">
        <v>0.32291666666666669</v>
      </c>
      <c r="F12" s="51">
        <f>SUM([16]October_2016!$J16)</f>
        <v>325.09999999999997</v>
      </c>
      <c r="G12" s="52">
        <f>SUM([16]October_2016!$F16)</f>
        <v>4656</v>
      </c>
      <c r="H12" s="51">
        <f>SUM([16]October_2016!$K16)</f>
        <v>321.54599999999999</v>
      </c>
      <c r="I12" s="53">
        <f>SUM([16]October_2016!$N16)</f>
        <v>8</v>
      </c>
      <c r="J12" s="54">
        <f>SUM([16]October_2016!$Q16)</f>
        <v>459.47368421052636</v>
      </c>
      <c r="K12" s="54">
        <f>SUM([16]October_2016!$E16)</f>
        <v>608</v>
      </c>
      <c r="L12" s="134">
        <v>0.78472222222222221</v>
      </c>
      <c r="M12" s="54">
        <f>SUM([16]October_2016!$M16)</f>
        <v>55</v>
      </c>
      <c r="N12" s="54"/>
      <c r="O12" s="55">
        <f>SUM([16]October_2016!$P16)</f>
        <v>1.0932020916640952</v>
      </c>
      <c r="P12" s="54"/>
      <c r="Q12" s="66">
        <f>(G12)/(9.967*15000*(1/24))</f>
        <v>0.74742650747466644</v>
      </c>
      <c r="R12" s="56"/>
      <c r="S12" s="46">
        <f>(G12)*24/(K12/60)/15000</f>
        <v>0.73515789473684212</v>
      </c>
      <c r="T12" s="46">
        <f>(H12+H15)*24/(M12/60)/15000</f>
        <v>0.9476247272727274</v>
      </c>
      <c r="U12" s="125">
        <f>(G12)*24/(K12/60)/17000</f>
        <v>0.64866873065015485</v>
      </c>
      <c r="V12" s="24" t="s">
        <v>303</v>
      </c>
    </row>
    <row r="13" spans="2:22" s="19" customFormat="1" ht="66" x14ac:dyDescent="0.2">
      <c r="B13" s="1213">
        <v>42656</v>
      </c>
      <c r="C13" s="48" t="s">
        <v>29</v>
      </c>
      <c r="D13" s="49">
        <v>2100</v>
      </c>
      <c r="E13" s="1217">
        <v>0.35416666666666669</v>
      </c>
      <c r="F13" s="51">
        <f>SUM([16]October_2016!$J17)</f>
        <v>133</v>
      </c>
      <c r="G13" s="52">
        <f>SUM([16]October_2016!$F17)</f>
        <v>2004</v>
      </c>
      <c r="H13" s="51">
        <f>SUM([16]October_2016!$K17)</f>
        <v>132.26400000000001</v>
      </c>
      <c r="I13" s="53">
        <f>SUM([16]October_2016!$N17)</f>
        <v>6</v>
      </c>
      <c r="J13" s="1223">
        <f>SUM([16]October_2016!$Q17)</f>
        <v>431.76276771004939</v>
      </c>
      <c r="K13" s="1223">
        <f>SUM([16]October_2016!$E17)</f>
        <v>607</v>
      </c>
      <c r="L13" s="1247">
        <v>0.7895833333333333</v>
      </c>
      <c r="M13" s="54">
        <f>SUM([16]October_2016!$M17)</f>
        <v>65</v>
      </c>
      <c r="N13" s="54"/>
      <c r="O13" s="55">
        <f>SUM([16]October_2016!$P17)</f>
        <v>0.55338345864660909</v>
      </c>
      <c r="P13" s="54"/>
      <c r="Q13" s="1227">
        <f>(G13+G14)/(9.95*15000*(1/24))</f>
        <v>0.70239195979899494</v>
      </c>
      <c r="R13" s="56"/>
      <c r="S13" s="1039">
        <f>(G13+G14)*24/(K13/60)/15000</f>
        <v>0.69082042833607904</v>
      </c>
      <c r="T13" s="46">
        <f>(H13+H16)*24/(M13/60)/15000</f>
        <v>0.56819298461538481</v>
      </c>
      <c r="U13" s="1237">
        <f>(G13+G14)*24/(K13/60)/17000</f>
        <v>0.60954743676712864</v>
      </c>
      <c r="V13" s="24" t="s">
        <v>304</v>
      </c>
    </row>
    <row r="14" spans="2:22" s="19" customFormat="1" ht="33" x14ac:dyDescent="0.2">
      <c r="B14" s="1214"/>
      <c r="C14" s="48" t="s">
        <v>27</v>
      </c>
      <c r="D14" s="49">
        <v>2100</v>
      </c>
      <c r="E14" s="1218"/>
      <c r="F14" s="51">
        <f>SUM([16]October_2016!$J18)</f>
        <v>159.9</v>
      </c>
      <c r="G14" s="52">
        <f>SUM([16]October_2016!$F18)</f>
        <v>2364</v>
      </c>
      <c r="H14" s="51">
        <f>SUM([16]October_2016!$K18)</f>
        <v>158.874</v>
      </c>
      <c r="I14" s="53">
        <f>SUM([16]October_2016!$N18)</f>
        <v>8.75</v>
      </c>
      <c r="J14" s="1224"/>
      <c r="K14" s="1224"/>
      <c r="L14" s="1248"/>
      <c r="M14" s="54">
        <f>SUM([16]October_2016!$M18)</f>
        <v>47</v>
      </c>
      <c r="N14" s="54">
        <f>SUM([16]October_2016!$H18)</f>
        <v>2</v>
      </c>
      <c r="O14" s="55">
        <f>SUM([16]October_2016!$P18)</f>
        <v>0.64165103189494088</v>
      </c>
      <c r="P14" s="54"/>
      <c r="Q14" s="1228"/>
      <c r="R14" s="56"/>
      <c r="S14" s="1040"/>
      <c r="T14" s="46"/>
      <c r="U14" s="1239"/>
      <c r="V14" s="24" t="s">
        <v>305</v>
      </c>
    </row>
    <row r="15" spans="2:22" s="19" customFormat="1" ht="20.25" x14ac:dyDescent="0.2">
      <c r="B15" s="137">
        <v>42657</v>
      </c>
      <c r="C15" s="48" t="s">
        <v>27</v>
      </c>
      <c r="D15" s="49">
        <v>3500</v>
      </c>
      <c r="E15" s="50">
        <v>0.32361111111111113</v>
      </c>
      <c r="F15" s="51">
        <f>SUM([16]October_2016!$J19)</f>
        <v>221.89999999999998</v>
      </c>
      <c r="G15" s="52">
        <f>SUM([16]October_2016!$F19)</f>
        <v>3354</v>
      </c>
      <c r="H15" s="51">
        <f>SUM([16]October_2016!$K19)</f>
        <v>221.364</v>
      </c>
      <c r="I15" s="53">
        <f>SUM([16]October_2016!$N19)</f>
        <v>8.75</v>
      </c>
      <c r="J15" s="54">
        <f>SUM([16]October_2016!$Q19)</f>
        <v>510.76142131979697</v>
      </c>
      <c r="K15" s="54">
        <f>SUM([16]October_2016!$E19)</f>
        <v>394</v>
      </c>
      <c r="L15" s="134">
        <v>0.63680555555555551</v>
      </c>
      <c r="M15" s="54">
        <f>SUM([16]October_2016!$M19)</f>
        <v>12</v>
      </c>
      <c r="N15" s="54"/>
      <c r="O15" s="55">
        <f>SUM([16]October_2016!$P19)</f>
        <v>0.24155024785938395</v>
      </c>
      <c r="P15" s="54"/>
      <c r="Q15" s="66">
        <f>(G15)/(8*15000*(1/24))</f>
        <v>0.67079999999999995</v>
      </c>
      <c r="R15" s="56"/>
      <c r="S15" s="46">
        <f>(G15)*24/(K15/60)/15000</f>
        <v>0.81721827411167514</v>
      </c>
      <c r="T15" s="46">
        <f>(H15+H18)*24/(M15/60)/15000</f>
        <v>2.8130879999999996</v>
      </c>
      <c r="U15" s="125">
        <f>(G15)*24/(K15/60)/17000</f>
        <v>0.72107494774559577</v>
      </c>
      <c r="V15" s="24" t="s">
        <v>306</v>
      </c>
    </row>
    <row r="16" spans="2:22" s="19" customFormat="1" ht="49.5" x14ac:dyDescent="0.2">
      <c r="B16" s="137">
        <v>42660</v>
      </c>
      <c r="C16" s="48" t="s">
        <v>28</v>
      </c>
      <c r="D16" s="49">
        <v>3500</v>
      </c>
      <c r="E16" s="50">
        <v>0.39583333333333331</v>
      </c>
      <c r="F16" s="51">
        <f>SUM([16]October_2016!$J20)</f>
        <v>257.09999999999997</v>
      </c>
      <c r="G16" s="52">
        <f>SUM([16]October_2016!$F20)</f>
        <v>3825</v>
      </c>
      <c r="H16" s="51">
        <f>SUM([16]October_2016!$K20)</f>
        <v>252.45000000000002</v>
      </c>
      <c r="I16" s="53">
        <f>SUM([16]October_2016!$N20)</f>
        <v>13.5</v>
      </c>
      <c r="J16" s="54">
        <f>SUM([16]October_2016!$Q20)</f>
        <v>399.13043478260869</v>
      </c>
      <c r="K16" s="54">
        <f>SUM([16]October_2016!$E20)</f>
        <v>575</v>
      </c>
      <c r="L16" s="134">
        <v>0.83750000000000002</v>
      </c>
      <c r="M16" s="54">
        <f>SUM([16]October_2016!$M20)</f>
        <v>105</v>
      </c>
      <c r="N16" s="54"/>
      <c r="O16" s="55">
        <f>SUM([16]October_2016!$P20)</f>
        <v>1.8086347724620575</v>
      </c>
      <c r="P16" s="54"/>
      <c r="Q16" s="66">
        <f>(G16)/(11.083*15000*(1/24))</f>
        <v>0.55219705855815215</v>
      </c>
      <c r="R16" s="56"/>
      <c r="S16" s="46">
        <f>(G16)*24/(K16/60)/15000</f>
        <v>0.63860869565217382</v>
      </c>
      <c r="T16" s="46">
        <f>(H16+H19)*24/(M16/60)/15000</f>
        <v>0.55255954285714293</v>
      </c>
      <c r="U16" s="125">
        <f>(G16)*24/(K16/60)/17000</f>
        <v>0.56347826086956521</v>
      </c>
      <c r="V16" s="24" t="s">
        <v>309</v>
      </c>
    </row>
    <row r="17" spans="2:22" s="19" customFormat="1" ht="49.5" x14ac:dyDescent="0.2">
      <c r="B17" s="1213">
        <v>42661</v>
      </c>
      <c r="C17" s="48" t="s">
        <v>27</v>
      </c>
      <c r="D17" s="49">
        <v>2800</v>
      </c>
      <c r="E17" s="1217">
        <v>0.32500000000000001</v>
      </c>
      <c r="F17" s="51">
        <f>SUM([16]October_2016!$J21)</f>
        <v>189.3</v>
      </c>
      <c r="G17" s="52">
        <f>SUM([16]October_2016!$F21)</f>
        <v>2816</v>
      </c>
      <c r="H17" s="51">
        <f>SUM([16]October_2016!$K21)</f>
        <v>188.70599999999999</v>
      </c>
      <c r="I17" s="53">
        <f>SUM([16]October_2016!$N21)</f>
        <v>9.75</v>
      </c>
      <c r="J17" s="1223">
        <f>SUM([16]October_2016!$Q21)</f>
        <v>418.36800000000005</v>
      </c>
      <c r="K17" s="1223">
        <f>SUM([16]October_2016!$E21)</f>
        <v>625</v>
      </c>
      <c r="L17" s="1247">
        <v>0.79375000000000007</v>
      </c>
      <c r="M17" s="54">
        <f>SUM([16]October_2016!$M21)</f>
        <v>57</v>
      </c>
      <c r="N17" s="54"/>
      <c r="O17" s="55">
        <f>SUM([16]October_2016!$P21)</f>
        <v>0.31378763866879161</v>
      </c>
      <c r="P17" s="54"/>
      <c r="Q17" s="1227">
        <f>(G17+G18)/(10.25*15000*(1/24))</f>
        <v>0.68027317073170734</v>
      </c>
      <c r="R17" s="56"/>
      <c r="S17" s="1039">
        <f>(G17+G18)*24/(K17/60)/15000</f>
        <v>0.66938880000000001</v>
      </c>
      <c r="T17" s="46">
        <f>(H17+H20)*24/(M17/60)/15000</f>
        <v>0.60338526315789476</v>
      </c>
      <c r="U17" s="1237">
        <f>(G17+G18)*24/(K17/60)/17000</f>
        <v>0.59063717647058822</v>
      </c>
      <c r="V17" s="24" t="s">
        <v>311</v>
      </c>
    </row>
    <row r="18" spans="2:22" s="19" customFormat="1" ht="33" x14ac:dyDescent="0.2">
      <c r="B18" s="1214"/>
      <c r="C18" s="48" t="s">
        <v>29</v>
      </c>
      <c r="D18" s="49">
        <v>2100</v>
      </c>
      <c r="E18" s="1218"/>
      <c r="F18" s="51">
        <f>SUM([16]October_2016!$J22)</f>
        <v>132.5</v>
      </c>
      <c r="G18" s="52">
        <f>SUM([16]October_2016!$F22)</f>
        <v>1542</v>
      </c>
      <c r="H18" s="51">
        <f>SUM([16]October_2016!$K22)</f>
        <v>130.27199999999999</v>
      </c>
      <c r="I18" s="53">
        <f>SUM([16]October_2016!$N22)</f>
        <v>1.75</v>
      </c>
      <c r="J18" s="1224"/>
      <c r="K18" s="1224"/>
      <c r="L18" s="1248"/>
      <c r="M18" s="54">
        <f>SUM([16]October_2016!$M22)</f>
        <v>14</v>
      </c>
      <c r="N18" s="54"/>
      <c r="O18" s="55">
        <f>SUM([16]October_2016!$P22)</f>
        <v>1.6815094339622707</v>
      </c>
      <c r="P18" s="54"/>
      <c r="Q18" s="1228"/>
      <c r="R18" s="56"/>
      <c r="S18" s="1040"/>
      <c r="T18" s="46"/>
      <c r="U18" s="1239"/>
      <c r="V18" s="24" t="s">
        <v>310</v>
      </c>
    </row>
    <row r="19" spans="2:22" s="19" customFormat="1" ht="33" x14ac:dyDescent="0.2">
      <c r="B19" s="137">
        <v>42662</v>
      </c>
      <c r="C19" s="48" t="s">
        <v>29</v>
      </c>
      <c r="D19" s="49">
        <v>4900</v>
      </c>
      <c r="E19" s="50">
        <v>0.31180555555555556</v>
      </c>
      <c r="F19" s="51">
        <f>SUM([16]October_2016!$J23)</f>
        <v>354.09999999999997</v>
      </c>
      <c r="G19" s="52">
        <f>SUM([16]October_2016!$F23)</f>
        <v>5332</v>
      </c>
      <c r="H19" s="51">
        <f>SUM([16]October_2016!$K23)</f>
        <v>351.91200000000003</v>
      </c>
      <c r="I19" s="53">
        <f>SUM([16]October_2016!$N23)</f>
        <v>11.33</v>
      </c>
      <c r="J19" s="54">
        <f>SUM([16]October_2016!$Q23)</f>
        <v>530.54726368159197</v>
      </c>
      <c r="K19" s="54">
        <f>SUM([16]October_2016!$E23)</f>
        <v>603</v>
      </c>
      <c r="L19" s="134">
        <v>0.78263888888888899</v>
      </c>
      <c r="M19" s="54">
        <f>SUM([16]October_2016!$M23)</f>
        <v>26</v>
      </c>
      <c r="N19" s="54"/>
      <c r="O19" s="55">
        <f>SUM([16]October_2016!$P23)</f>
        <v>0.61790454673819029</v>
      </c>
      <c r="P19" s="54"/>
      <c r="Q19" s="66">
        <f>(G19)/(9.883*15000*(1/24))</f>
        <v>0.8632196701406456</v>
      </c>
      <c r="R19" s="56"/>
      <c r="S19" s="46">
        <f>(G19)*24/(K19/60)/15000</f>
        <v>0.84887562189054722</v>
      </c>
      <c r="T19" s="46">
        <f>(H19+H22)*24/(M19/60)/15000</f>
        <v>2.2765735384615389</v>
      </c>
      <c r="U19" s="125">
        <f>(G19)*24/(K19/60)/17000</f>
        <v>0.74900790166812992</v>
      </c>
      <c r="V19" s="24" t="s">
        <v>312</v>
      </c>
    </row>
    <row r="20" spans="2:22" s="19" customFormat="1" ht="35.25" customHeight="1" x14ac:dyDescent="0.2">
      <c r="B20" s="1213">
        <v>42663</v>
      </c>
      <c r="C20" s="48" t="s">
        <v>29</v>
      </c>
      <c r="D20" s="1215">
        <v>2800</v>
      </c>
      <c r="E20" s="1217">
        <v>0.36458333333333331</v>
      </c>
      <c r="F20" s="1219">
        <f>SUM([16]October_2016!$J24)</f>
        <v>170.8</v>
      </c>
      <c r="G20" s="52">
        <f>SUM([16]October_2016!$F24)</f>
        <v>1215</v>
      </c>
      <c r="H20" s="1219">
        <f>SUM([16]October_2016!$K24)</f>
        <v>169.554</v>
      </c>
      <c r="I20" s="1221">
        <f>SUM([16]October_2016!$N24)</f>
        <v>30.75</v>
      </c>
      <c r="J20" s="1223">
        <f>SUM([16]October_2016!$Q24)</f>
        <v>298.14313346228238</v>
      </c>
      <c r="K20" s="1223">
        <f>SUM([16]October_2016!$E24)</f>
        <v>517</v>
      </c>
      <c r="L20" s="1247">
        <v>0.72430555555555554</v>
      </c>
      <c r="M20" s="1223">
        <f>SUM([16]October_2016!$M24)</f>
        <v>132</v>
      </c>
      <c r="N20" s="54"/>
      <c r="O20" s="1225">
        <f>SUM([16]October_2016!$P24)</f>
        <v>0.72950819672131695</v>
      </c>
      <c r="P20" s="54"/>
      <c r="Q20" s="1227">
        <f>(G20+G21)/(9*15000*(1/24))</f>
        <v>0.45671111111111112</v>
      </c>
      <c r="R20" s="56"/>
      <c r="S20" s="1039">
        <f>(G20+G21)*24/(K20/60)/15000</f>
        <v>0.47702901353965182</v>
      </c>
      <c r="T20" s="46">
        <f>(H20+H23)*24/(M20/60)/15000</f>
        <v>0.19127999999999998</v>
      </c>
      <c r="U20" s="1237">
        <f>(G20+G21)*24/(K20/60)/17000</f>
        <v>0.42090795312322221</v>
      </c>
      <c r="V20" s="1208" t="s">
        <v>313</v>
      </c>
    </row>
    <row r="21" spans="2:22" s="19" customFormat="1" ht="30" customHeight="1" x14ac:dyDescent="0.2">
      <c r="B21" s="1214"/>
      <c r="C21" s="48" t="s">
        <v>32</v>
      </c>
      <c r="D21" s="1216"/>
      <c r="E21" s="1218"/>
      <c r="F21" s="1220"/>
      <c r="G21" s="52">
        <f>SUM([16]October_2016!$F25)</f>
        <v>1354</v>
      </c>
      <c r="H21" s="1220"/>
      <c r="I21" s="1222"/>
      <c r="J21" s="1224"/>
      <c r="K21" s="1224"/>
      <c r="L21" s="1248"/>
      <c r="M21" s="1224"/>
      <c r="N21" s="54"/>
      <c r="O21" s="1226"/>
      <c r="P21" s="54"/>
      <c r="Q21" s="1228"/>
      <c r="R21" s="56"/>
      <c r="S21" s="1040"/>
      <c r="T21" s="46"/>
      <c r="U21" s="1239"/>
      <c r="V21" s="1209"/>
    </row>
    <row r="22" spans="2:22" s="19" customFormat="1" ht="33" x14ac:dyDescent="0.2">
      <c r="B22" s="1213">
        <v>42667</v>
      </c>
      <c r="C22" s="48" t="s">
        <v>29</v>
      </c>
      <c r="D22" s="49">
        <v>4000</v>
      </c>
      <c r="E22" s="1217">
        <v>0.33680555555555558</v>
      </c>
      <c r="F22" s="51">
        <f>SUM([16]October_2016!$J26)</f>
        <v>267.10000000000002</v>
      </c>
      <c r="G22" s="52">
        <f>SUM([16]October_2016!$F26)</f>
        <v>4010</v>
      </c>
      <c r="H22" s="51">
        <f>SUM([16]October_2016!$K26)</f>
        <v>264.66000000000003</v>
      </c>
      <c r="I22" s="53">
        <f>SUM([16]October_2016!$N26)</f>
        <v>14</v>
      </c>
      <c r="J22" s="1223">
        <f>SUM([16]October_2016!$Q26)</f>
        <v>444.75409836065575</v>
      </c>
      <c r="K22" s="1223">
        <f>SUM([16]October_2016!$E26)</f>
        <v>732</v>
      </c>
      <c r="L22" s="1247">
        <v>0.87291666666666667</v>
      </c>
      <c r="M22" s="54">
        <f>SUM([16]October_2016!$M26)</f>
        <v>71</v>
      </c>
      <c r="N22" s="54"/>
      <c r="O22" s="55">
        <f>SUM([16]October_2016!$P26)</f>
        <v>0.91351553725196455</v>
      </c>
      <c r="P22" s="54"/>
      <c r="Q22" s="1227">
        <f>(G22+G23)/(12.03*15000*(1/24))</f>
        <v>0.72166251039068996</v>
      </c>
      <c r="R22" s="56"/>
      <c r="S22" s="1039">
        <f>(G22+G23)*24/(K22/60)/15000</f>
        <v>0.71160655737704925</v>
      </c>
      <c r="T22" s="46">
        <f>(H22+H25)*24/(M22/60)/15000</f>
        <v>0.82867740845070414</v>
      </c>
      <c r="U22" s="1237">
        <f>(G22+G23)*24/(K22/60)/17000</f>
        <v>0.62788813886210226</v>
      </c>
      <c r="V22" s="24" t="s">
        <v>314</v>
      </c>
    </row>
    <row r="23" spans="2:22" s="19" customFormat="1" ht="33" x14ac:dyDescent="0.2">
      <c r="B23" s="1214"/>
      <c r="C23" s="48" t="s">
        <v>44</v>
      </c>
      <c r="D23" s="49">
        <v>1400</v>
      </c>
      <c r="E23" s="1218"/>
      <c r="F23" s="51">
        <f>SUM([16]October_2016!$J27)</f>
        <v>96.9</v>
      </c>
      <c r="G23" s="52">
        <f>SUM([16]October_2016!$F27)</f>
        <v>1416</v>
      </c>
      <c r="H23" s="51">
        <f>SUM([16]October_2016!$K27)</f>
        <v>93.456000000000003</v>
      </c>
      <c r="I23" s="53">
        <f>SUM([16]October_2016!$N27)</f>
        <v>7</v>
      </c>
      <c r="J23" s="1224"/>
      <c r="K23" s="1224"/>
      <c r="L23" s="1248"/>
      <c r="M23" s="54">
        <f>SUM([16]October_2016!$M27)</f>
        <v>45</v>
      </c>
      <c r="N23" s="54"/>
      <c r="O23" s="55">
        <f>SUM([16]October_2016!$P27)</f>
        <v>3.5541795665634703</v>
      </c>
      <c r="P23" s="54"/>
      <c r="Q23" s="1228"/>
      <c r="R23" s="56"/>
      <c r="S23" s="1040"/>
      <c r="T23" s="46"/>
      <c r="U23" s="1239"/>
      <c r="V23" s="24" t="s">
        <v>315</v>
      </c>
    </row>
    <row r="24" spans="2:22" s="19" customFormat="1" ht="33" x14ac:dyDescent="0.2">
      <c r="B24" s="137">
        <v>42669</v>
      </c>
      <c r="C24" s="48" t="s">
        <v>27</v>
      </c>
      <c r="D24" s="49">
        <v>4900</v>
      </c>
      <c r="E24" s="50">
        <v>0.58472222222222225</v>
      </c>
      <c r="F24" s="51">
        <f>SUM([16]October_2016!$J28)</f>
        <v>117.9</v>
      </c>
      <c r="G24" s="52">
        <f>SUM([16]October_2016!$F28)</f>
        <v>1702</v>
      </c>
      <c r="H24" s="51">
        <f>SUM([16]October_2016!$K28)</f>
        <v>115.182</v>
      </c>
      <c r="I24" s="53">
        <f>SUM([16]October_2016!$N28)</f>
        <v>7.25</v>
      </c>
      <c r="J24" s="54">
        <f>SUM([16]October_2016!$Q28)</f>
        <v>170.76923076923077</v>
      </c>
      <c r="K24" s="54">
        <f>SUM([16]October_2016!$E28)</f>
        <v>598</v>
      </c>
      <c r="L24" s="134">
        <v>0.77986111111111101</v>
      </c>
      <c r="M24" s="54">
        <f>SUM([16]October_2016!$M28)</f>
        <v>381</v>
      </c>
      <c r="N24" s="54"/>
      <c r="O24" s="55">
        <f>SUM([16]October_2016!$P28)</f>
        <v>2.3053435114503844</v>
      </c>
      <c r="P24" s="54"/>
      <c r="Q24" s="66">
        <f>(G24)/(9.8*15000*(1/24))</f>
        <v>0.27787755102040818</v>
      </c>
      <c r="R24" s="56"/>
      <c r="S24" s="46">
        <f>(G24)*24/(K24/60)/15000</f>
        <v>0.27323076923076922</v>
      </c>
      <c r="T24" s="46">
        <f>(H24+H27)*24/(M24/60)/15000</f>
        <v>3.74536062992126E-2</v>
      </c>
      <c r="U24" s="125">
        <f>(G24)*24/(K24/60)/17000</f>
        <v>0.2410859728506787</v>
      </c>
      <c r="V24" s="24" t="s">
        <v>317</v>
      </c>
    </row>
    <row r="25" spans="2:22" s="19" customFormat="1" ht="49.5" x14ac:dyDescent="0.2">
      <c r="B25" s="137">
        <v>42670</v>
      </c>
      <c r="C25" s="48" t="s">
        <v>27</v>
      </c>
      <c r="D25" s="49">
        <v>2100</v>
      </c>
      <c r="E25" s="50">
        <v>0.32430555555555557</v>
      </c>
      <c r="F25" s="51">
        <f>SUM([16]October_2016!$J29)</f>
        <v>350.29999999999995</v>
      </c>
      <c r="G25" s="52">
        <f>SUM([16]October_2016!$F29)</f>
        <v>5276</v>
      </c>
      <c r="H25" s="51">
        <f>SUM([16]October_2016!$K29)</f>
        <v>348.21600000000001</v>
      </c>
      <c r="I25" s="53">
        <f>SUM([16]October_2016!$N29)</f>
        <v>27.5</v>
      </c>
      <c r="J25" s="54">
        <f>SUM([16]October_2016!$Q29)</f>
        <v>398.18867924528303</v>
      </c>
      <c r="K25" s="54">
        <f>SUM([16]October_2016!$E29)</f>
        <v>795</v>
      </c>
      <c r="L25" s="134">
        <v>0.90972222222222221</v>
      </c>
      <c r="M25" s="54">
        <f>SUM([16]October_2016!$M29)</f>
        <v>88</v>
      </c>
      <c r="N25" s="54"/>
      <c r="O25" s="55">
        <f>SUM([16]October_2016!$P29)</f>
        <v>0.59491864116470072</v>
      </c>
      <c r="P25" s="54"/>
      <c r="Q25" s="66">
        <f>(G25)/(13.083*15000*(1/24))</f>
        <v>0.64523427348467477</v>
      </c>
      <c r="R25" s="56"/>
      <c r="S25" s="46">
        <f>(G25)*24/(K25/60)/15000</f>
        <v>0.63710188679245283</v>
      </c>
      <c r="T25" s="46">
        <f>(H25+H28)*24/(M25/60)/15000</f>
        <v>0.37987200000000004</v>
      </c>
      <c r="U25" s="125">
        <f>(G25)*24/(K25/60)/17000</f>
        <v>0.56214872364039958</v>
      </c>
      <c r="V25" s="24" t="s">
        <v>318</v>
      </c>
    </row>
    <row r="26" spans="2:22" s="19" customFormat="1" ht="32.25" customHeight="1" x14ac:dyDescent="0.2">
      <c r="B26" s="137">
        <v>42671</v>
      </c>
      <c r="C26" s="48" t="s">
        <v>42</v>
      </c>
      <c r="D26" s="49">
        <v>4200</v>
      </c>
      <c r="E26" s="50">
        <v>0.32361111111111113</v>
      </c>
      <c r="F26" s="51">
        <f>SUM([16]October_2016!$J30)</f>
        <v>194.09999999999997</v>
      </c>
      <c r="G26" s="52">
        <f>SUM([16]October_2016!$F30)</f>
        <v>2893</v>
      </c>
      <c r="H26" s="51">
        <f>SUM([16]October_2016!$K30)</f>
        <v>190.93800000000002</v>
      </c>
      <c r="I26" s="53">
        <f>SUM([16]October_2016!$N30)</f>
        <v>13.25</v>
      </c>
      <c r="J26" s="54">
        <f>SUM([16]October_2016!$Q30)</f>
        <v>294.70288624787776</v>
      </c>
      <c r="K26" s="54">
        <f>SUM([16]October_2016!$E30)</f>
        <v>589</v>
      </c>
      <c r="L26" s="134">
        <v>0.77222222222222225</v>
      </c>
      <c r="M26" s="54">
        <f>SUM([16]October_2016!$M30)</f>
        <v>217</v>
      </c>
      <c r="N26" s="54"/>
      <c r="O26" s="55">
        <f>SUM([16]October_2016!$P30)</f>
        <v>1.6290571870169757</v>
      </c>
      <c r="P26" s="54"/>
      <c r="Q26" s="66">
        <f>(G26)/(9.65*15000*(1/24))</f>
        <v>0.47966839378238341</v>
      </c>
      <c r="R26" s="56"/>
      <c r="S26" s="46">
        <f>(G26)*24/(K26/60)/15000</f>
        <v>0.47152461799660444</v>
      </c>
      <c r="T26" s="46">
        <f>(H26+H29)*24/(M26/60)/15000</f>
        <v>8.4470267281106001E-2</v>
      </c>
      <c r="U26" s="125">
        <f>(G26)*24/(K26/60)/17000</f>
        <v>0.41605113352641571</v>
      </c>
      <c r="V26" s="24" t="s">
        <v>319</v>
      </c>
    </row>
    <row r="27" spans="2:22" s="19" customFormat="1" ht="33" x14ac:dyDescent="0.2">
      <c r="B27" s="137">
        <v>42674</v>
      </c>
      <c r="C27" s="48" t="s">
        <v>42</v>
      </c>
      <c r="D27" s="49"/>
      <c r="E27" s="50">
        <v>0.63888888888888895</v>
      </c>
      <c r="F27" s="51">
        <f>SUM([16]October_2016!$J31)</f>
        <v>34.5</v>
      </c>
      <c r="G27" s="52">
        <f>SUM([16]October_2016!$F31)</f>
        <v>507</v>
      </c>
      <c r="H27" s="51">
        <f>SUM([16]October_2016!$K31)</f>
        <v>33.462000000000003</v>
      </c>
      <c r="I27" s="53">
        <f>SUM([16]October_2016!$N31)</f>
        <v>5.5</v>
      </c>
      <c r="J27" s="54">
        <f>SUM([16]October_2016!$Q31)</f>
        <v>51.040268456375834</v>
      </c>
      <c r="K27" s="54">
        <f>SUM([16]October_2016!$E31)</f>
        <v>596</v>
      </c>
      <c r="L27" s="134">
        <v>0.77569444444444446</v>
      </c>
      <c r="M27" s="54">
        <f>SUM([16]October_2016!$M31)</f>
        <v>507</v>
      </c>
      <c r="N27" s="54"/>
      <c r="O27" s="55">
        <f>SUM([16]October_2016!$P31)</f>
        <v>3.0086956521739037</v>
      </c>
      <c r="P27" s="54"/>
      <c r="Q27" s="66">
        <f>(G27)/(9.767*15000*(1/24))</f>
        <v>8.3055185829835163E-2</v>
      </c>
      <c r="R27" s="56"/>
      <c r="S27" s="46">
        <f>(G27)*24/(K27/60)/15000</f>
        <v>8.1664429530201338E-2</v>
      </c>
      <c r="T27" s="46">
        <f>(H27+H30)*24/(M27/60)/15000</f>
        <v>6.3360000000000014E-3</v>
      </c>
      <c r="U27" s="125">
        <f>(G27)*24/(K27/60)/17000</f>
        <v>7.2056849585471774E-2</v>
      </c>
      <c r="V27" s="24" t="s">
        <v>328</v>
      </c>
    </row>
    <row r="28" spans="2:22" s="19" customFormat="1" ht="21" thickBot="1" x14ac:dyDescent="0.25">
      <c r="B28" s="137"/>
      <c r="C28" s="48"/>
      <c r="D28" s="49"/>
      <c r="E28" s="50"/>
      <c r="F28" s="51"/>
      <c r="G28" s="52"/>
      <c r="H28" s="51"/>
      <c r="I28" s="53"/>
      <c r="J28" s="54"/>
      <c r="K28" s="54"/>
      <c r="L28" s="134"/>
      <c r="M28" s="54"/>
      <c r="N28" s="54"/>
      <c r="O28" s="55"/>
      <c r="P28" s="54"/>
      <c r="Q28" s="66"/>
      <c r="R28" s="56"/>
      <c r="S28" s="46"/>
      <c r="T28" s="46"/>
      <c r="U28" s="125"/>
      <c r="V28" s="24"/>
    </row>
    <row r="29" spans="2:22" s="19" customFormat="1" ht="21" hidden="1" thickBot="1" x14ac:dyDescent="0.25">
      <c r="B29" s="137"/>
      <c r="C29" s="48"/>
      <c r="D29" s="49"/>
      <c r="E29" s="50"/>
      <c r="F29" s="51"/>
      <c r="G29" s="52"/>
      <c r="H29" s="51"/>
      <c r="I29" s="53"/>
      <c r="J29" s="54"/>
      <c r="K29" s="54"/>
      <c r="L29" s="134"/>
      <c r="M29" s="54"/>
      <c r="N29" s="54"/>
      <c r="O29" s="55"/>
      <c r="P29" s="54"/>
      <c r="Q29" s="66"/>
      <c r="R29" s="56"/>
      <c r="S29" s="46"/>
      <c r="T29" s="46"/>
      <c r="U29" s="125"/>
      <c r="V29" s="24"/>
    </row>
    <row r="30" spans="2:22" s="19" customFormat="1" ht="20.25" hidden="1" x14ac:dyDescent="0.2">
      <c r="B30" s="137"/>
      <c r="C30" s="48"/>
      <c r="D30" s="49"/>
      <c r="E30" s="50"/>
      <c r="F30" s="51"/>
      <c r="G30" s="52"/>
      <c r="H30" s="51"/>
      <c r="I30" s="53"/>
      <c r="J30" s="54"/>
      <c r="K30" s="54"/>
      <c r="L30" s="134"/>
      <c r="M30" s="54"/>
      <c r="N30" s="54"/>
      <c r="O30" s="55"/>
      <c r="P30" s="54"/>
      <c r="Q30" s="66"/>
      <c r="R30" s="56"/>
      <c r="S30" s="46"/>
      <c r="T30" s="46"/>
      <c r="U30" s="125"/>
      <c r="V30" s="24"/>
    </row>
    <row r="31" spans="2:22" s="19" customFormat="1" ht="20.25" hidden="1" x14ac:dyDescent="0.2">
      <c r="B31" s="137"/>
      <c r="C31" s="48"/>
      <c r="D31" s="49"/>
      <c r="E31" s="50"/>
      <c r="F31" s="51"/>
      <c r="G31" s="52"/>
      <c r="H31" s="51"/>
      <c r="I31" s="53"/>
      <c r="J31" s="54"/>
      <c r="K31" s="54"/>
      <c r="L31" s="134"/>
      <c r="M31" s="54"/>
      <c r="N31" s="54"/>
      <c r="O31" s="55"/>
      <c r="P31" s="54"/>
      <c r="Q31" s="66"/>
      <c r="R31" s="56"/>
      <c r="S31" s="46"/>
      <c r="T31" s="46"/>
      <c r="U31" s="125"/>
      <c r="V31" s="24"/>
    </row>
    <row r="32" spans="2:22" s="19" customFormat="1" ht="21" hidden="1" thickBot="1" x14ac:dyDescent="0.25">
      <c r="B32" s="137"/>
      <c r="C32" s="48"/>
      <c r="D32" s="49"/>
      <c r="E32" s="50"/>
      <c r="F32" s="51"/>
      <c r="G32" s="52"/>
      <c r="H32" s="51"/>
      <c r="I32" s="53"/>
      <c r="J32" s="54"/>
      <c r="K32" s="54"/>
      <c r="L32" s="134"/>
      <c r="M32" s="54"/>
      <c r="N32" s="54"/>
      <c r="O32" s="55"/>
      <c r="P32" s="54"/>
      <c r="Q32" s="66"/>
      <c r="R32" s="56"/>
      <c r="S32" s="46"/>
      <c r="T32" s="46"/>
      <c r="U32" s="125"/>
      <c r="V32" s="24"/>
    </row>
    <row r="33" spans="2:22" s="19" customFormat="1" ht="20.25" hidden="1" x14ac:dyDescent="0.2">
      <c r="B33" s="137"/>
      <c r="C33" s="48"/>
      <c r="D33" s="49"/>
      <c r="E33" s="50"/>
      <c r="F33" s="51"/>
      <c r="G33" s="52"/>
      <c r="H33" s="51"/>
      <c r="I33" s="53"/>
      <c r="J33" s="54"/>
      <c r="K33" s="54"/>
      <c r="L33" s="134"/>
      <c r="M33" s="54"/>
      <c r="N33" s="54"/>
      <c r="O33" s="55"/>
      <c r="P33" s="54"/>
      <c r="Q33" s="66"/>
      <c r="R33" s="56"/>
      <c r="S33" s="46"/>
      <c r="T33" s="46"/>
      <c r="U33" s="125"/>
      <c r="V33" s="24"/>
    </row>
    <row r="34" spans="2:22" s="19" customFormat="1" ht="20.25" hidden="1" x14ac:dyDescent="0.2">
      <c r="B34" s="137"/>
      <c r="C34" s="48"/>
      <c r="D34" s="49"/>
      <c r="E34" s="50"/>
      <c r="F34" s="51"/>
      <c r="G34" s="52"/>
      <c r="H34" s="51"/>
      <c r="I34" s="53"/>
      <c r="J34" s="54"/>
      <c r="K34" s="54"/>
      <c r="L34" s="134"/>
      <c r="M34" s="54"/>
      <c r="N34" s="54"/>
      <c r="O34" s="55"/>
      <c r="P34" s="54"/>
      <c r="Q34" s="66"/>
      <c r="R34" s="56"/>
      <c r="S34" s="46"/>
      <c r="T34" s="46"/>
      <c r="U34" s="125"/>
      <c r="V34" s="24"/>
    </row>
    <row r="35" spans="2:22" s="19" customFormat="1" ht="20.25" hidden="1" x14ac:dyDescent="0.2">
      <c r="B35" s="137"/>
      <c r="C35" s="48"/>
      <c r="D35" s="49"/>
      <c r="E35" s="50"/>
      <c r="F35" s="51"/>
      <c r="G35" s="52"/>
      <c r="H35" s="51"/>
      <c r="I35" s="53"/>
      <c r="J35" s="54"/>
      <c r="K35" s="54"/>
      <c r="L35" s="134"/>
      <c r="M35" s="54"/>
      <c r="N35" s="54"/>
      <c r="O35" s="55"/>
      <c r="P35" s="54"/>
      <c r="Q35" s="66"/>
      <c r="R35" s="56"/>
      <c r="S35" s="46"/>
      <c r="T35" s="46"/>
      <c r="U35" s="125"/>
      <c r="V35" s="24"/>
    </row>
    <row r="36" spans="2:22" s="19" customFormat="1" ht="20.25" hidden="1" x14ac:dyDescent="0.2">
      <c r="B36" s="137"/>
      <c r="C36" s="48"/>
      <c r="D36" s="49"/>
      <c r="E36" s="50"/>
      <c r="F36" s="51"/>
      <c r="G36" s="52"/>
      <c r="H36" s="51"/>
      <c r="I36" s="53"/>
      <c r="J36" s="54"/>
      <c r="K36" s="54"/>
      <c r="L36" s="134"/>
      <c r="M36" s="54"/>
      <c r="N36" s="54"/>
      <c r="O36" s="55"/>
      <c r="P36" s="54"/>
      <c r="Q36" s="66"/>
      <c r="R36" s="56"/>
      <c r="S36" s="46"/>
      <c r="T36" s="46"/>
      <c r="U36" s="125"/>
      <c r="V36" s="24"/>
    </row>
    <row r="37" spans="2:22" s="19" customFormat="1" ht="20.25" hidden="1" x14ac:dyDescent="0.2">
      <c r="B37" s="137"/>
      <c r="C37" s="48"/>
      <c r="D37" s="49"/>
      <c r="E37" s="50"/>
      <c r="F37" s="51"/>
      <c r="G37" s="52"/>
      <c r="H37" s="51"/>
      <c r="I37" s="53"/>
      <c r="J37" s="54"/>
      <c r="K37" s="54"/>
      <c r="L37" s="134"/>
      <c r="M37" s="54"/>
      <c r="N37" s="54" t="e">
        <f>[16]August_2016!$H41</f>
        <v>#REF!</v>
      </c>
      <c r="O37" s="55"/>
      <c r="P37" s="54"/>
      <c r="Q37" s="66"/>
      <c r="R37" s="56"/>
      <c r="S37" s="46"/>
      <c r="T37" s="46"/>
      <c r="U37" s="125"/>
      <c r="V37" s="24"/>
    </row>
    <row r="38" spans="2:22" s="19" customFormat="1" ht="20.25" hidden="1" x14ac:dyDescent="0.2">
      <c r="B38" s="137"/>
      <c r="C38" s="48"/>
      <c r="D38" s="49"/>
      <c r="E38" s="50"/>
      <c r="F38" s="51"/>
      <c r="G38" s="52"/>
      <c r="H38" s="51"/>
      <c r="I38" s="53"/>
      <c r="J38" s="54"/>
      <c r="K38" s="54"/>
      <c r="L38" s="134"/>
      <c r="M38" s="54"/>
      <c r="N38" s="54" t="e">
        <f>[16]August_2016!$H42</f>
        <v>#REF!</v>
      </c>
      <c r="O38" s="55"/>
      <c r="P38" s="54"/>
      <c r="Q38" s="66"/>
      <c r="R38" s="56"/>
      <c r="S38" s="46"/>
      <c r="T38" s="46"/>
      <c r="U38" s="125"/>
      <c r="V38" s="24"/>
    </row>
    <row r="39" spans="2:22" s="19" customFormat="1" ht="20.25" hidden="1" x14ac:dyDescent="0.2">
      <c r="B39" s="137"/>
      <c r="C39" s="48"/>
      <c r="D39" s="49"/>
      <c r="E39" s="50"/>
      <c r="F39" s="51"/>
      <c r="G39" s="52"/>
      <c r="H39" s="51"/>
      <c r="I39" s="53"/>
      <c r="J39" s="54"/>
      <c r="K39" s="54"/>
      <c r="L39" s="134"/>
      <c r="M39" s="54"/>
      <c r="N39" s="54"/>
      <c r="O39" s="55"/>
      <c r="P39" s="54"/>
      <c r="Q39" s="66"/>
      <c r="R39" s="56"/>
      <c r="S39" s="46"/>
      <c r="T39" s="46"/>
      <c r="U39" s="125"/>
      <c r="V39" s="24"/>
    </row>
    <row r="40" spans="2:22" s="19" customFormat="1" ht="20.25" hidden="1" x14ac:dyDescent="0.2">
      <c r="B40" s="137"/>
      <c r="C40" s="48"/>
      <c r="D40" s="49"/>
      <c r="E40" s="50"/>
      <c r="F40" s="51"/>
      <c r="G40" s="52"/>
      <c r="H40" s="51"/>
      <c r="I40" s="53"/>
      <c r="J40" s="54"/>
      <c r="K40" s="54"/>
      <c r="L40" s="54"/>
      <c r="M40" s="54"/>
      <c r="N40" s="54"/>
      <c r="O40" s="55"/>
      <c r="P40" s="54"/>
      <c r="Q40" s="66"/>
      <c r="R40" s="56"/>
      <c r="S40" s="46"/>
      <c r="T40" s="46"/>
      <c r="U40" s="125"/>
      <c r="V40" s="24"/>
    </row>
    <row r="41" spans="2:22" s="19" customFormat="1" ht="20.25" hidden="1" x14ac:dyDescent="0.2">
      <c r="B41" s="137"/>
      <c r="C41" s="48"/>
      <c r="D41" s="49"/>
      <c r="E41" s="50"/>
      <c r="F41" s="51"/>
      <c r="G41" s="52"/>
      <c r="H41" s="51"/>
      <c r="I41" s="53"/>
      <c r="J41" s="54"/>
      <c r="K41" s="54"/>
      <c r="L41" s="54"/>
      <c r="M41" s="54"/>
      <c r="N41" s="54"/>
      <c r="O41" s="55"/>
      <c r="P41" s="54"/>
      <c r="Q41" s="66"/>
      <c r="R41" s="56"/>
      <c r="S41" s="46"/>
      <c r="T41" s="46"/>
      <c r="U41" s="125"/>
      <c r="V41" s="24"/>
    </row>
    <row r="42" spans="2:22" s="19" customFormat="1" ht="31.5" hidden="1" customHeight="1" x14ac:dyDescent="0.2">
      <c r="B42" s="137"/>
      <c r="C42" s="48"/>
      <c r="D42" s="49"/>
      <c r="E42" s="50"/>
      <c r="F42" s="51"/>
      <c r="G42" s="52"/>
      <c r="H42" s="51"/>
      <c r="I42" s="53"/>
      <c r="J42" s="54"/>
      <c r="K42" s="54"/>
      <c r="L42" s="54"/>
      <c r="M42" s="54"/>
      <c r="N42" s="54"/>
      <c r="O42" s="55"/>
      <c r="P42" s="54"/>
      <c r="Q42" s="66"/>
      <c r="R42" s="56"/>
      <c r="S42" s="46"/>
      <c r="T42" s="18"/>
      <c r="U42" s="126"/>
      <c r="V42" s="24"/>
    </row>
    <row r="43" spans="2:22" s="19" customFormat="1" ht="31.5" hidden="1" customHeight="1" x14ac:dyDescent="0.2">
      <c r="B43" s="137"/>
      <c r="C43" s="48"/>
      <c r="D43" s="49"/>
      <c r="E43" s="50"/>
      <c r="F43" s="51"/>
      <c r="G43" s="52"/>
      <c r="H43" s="51"/>
      <c r="I43" s="53"/>
      <c r="J43" s="54"/>
      <c r="K43" s="54"/>
      <c r="L43" s="54"/>
      <c r="M43" s="54"/>
      <c r="N43" s="54"/>
      <c r="O43" s="55"/>
      <c r="P43" s="54"/>
      <c r="Q43" s="66"/>
      <c r="R43" s="56"/>
      <c r="S43" s="46"/>
      <c r="T43" s="18"/>
      <c r="U43" s="126"/>
      <c r="V43" s="24"/>
    </row>
    <row r="44" spans="2:22" s="19" customFormat="1" ht="31.5" hidden="1" customHeight="1" x14ac:dyDescent="0.2">
      <c r="B44" s="137"/>
      <c r="C44" s="48"/>
      <c r="D44" s="49"/>
      <c r="E44" s="50"/>
      <c r="F44" s="51"/>
      <c r="G44" s="52"/>
      <c r="H44" s="51"/>
      <c r="I44" s="53"/>
      <c r="J44" s="54"/>
      <c r="K44" s="54"/>
      <c r="L44" s="54"/>
      <c r="M44" s="54"/>
      <c r="N44" s="54"/>
      <c r="O44" s="55"/>
      <c r="P44" s="54"/>
      <c r="Q44" s="66"/>
      <c r="R44" s="56"/>
      <c r="S44" s="46"/>
      <c r="T44" s="18"/>
      <c r="U44" s="126"/>
      <c r="V44" s="24"/>
    </row>
    <row r="45" spans="2:22" s="19" customFormat="1" ht="31.5" hidden="1" customHeight="1" x14ac:dyDescent="0.2">
      <c r="B45" s="137"/>
      <c r="C45" s="48"/>
      <c r="D45" s="49"/>
      <c r="E45" s="50"/>
      <c r="F45" s="51"/>
      <c r="G45" s="52"/>
      <c r="H45" s="51"/>
      <c r="I45" s="53"/>
      <c r="J45" s="54"/>
      <c r="K45" s="54"/>
      <c r="L45" s="54"/>
      <c r="M45" s="54"/>
      <c r="N45" s="54"/>
      <c r="O45" s="55"/>
      <c r="P45" s="54"/>
      <c r="Q45" s="66"/>
      <c r="R45" s="56"/>
      <c r="S45" s="46"/>
      <c r="T45" s="18"/>
      <c r="U45" s="126"/>
      <c r="V45" s="24"/>
    </row>
    <row r="46" spans="2:22" s="19" customFormat="1" ht="31.5" hidden="1" customHeight="1" x14ac:dyDescent="0.2">
      <c r="B46" s="137"/>
      <c r="C46" s="48"/>
      <c r="D46" s="49"/>
      <c r="E46" s="50"/>
      <c r="F46" s="51"/>
      <c r="G46" s="52"/>
      <c r="H46" s="51"/>
      <c r="I46" s="53"/>
      <c r="J46" s="54"/>
      <c r="K46" s="54"/>
      <c r="L46" s="54"/>
      <c r="M46" s="54"/>
      <c r="N46" s="54"/>
      <c r="O46" s="55"/>
      <c r="P46" s="54"/>
      <c r="Q46" s="66"/>
      <c r="R46" s="56"/>
      <c r="S46" s="46"/>
      <c r="T46" s="18"/>
      <c r="U46" s="126"/>
      <c r="V46" s="24"/>
    </row>
    <row r="47" spans="2:22" s="19" customFormat="1" ht="31.5" hidden="1" customHeight="1" x14ac:dyDescent="0.2">
      <c r="B47" s="137"/>
      <c r="C47" s="48"/>
      <c r="D47" s="49"/>
      <c r="E47" s="50"/>
      <c r="F47" s="51"/>
      <c r="G47" s="52"/>
      <c r="H47" s="51"/>
      <c r="I47" s="53"/>
      <c r="J47" s="54"/>
      <c r="K47" s="54"/>
      <c r="L47" s="54"/>
      <c r="M47" s="54"/>
      <c r="N47" s="54"/>
      <c r="O47" s="55"/>
      <c r="P47" s="54"/>
      <c r="Q47" s="66"/>
      <c r="R47" s="56"/>
      <c r="S47" s="46"/>
      <c r="T47" s="18"/>
      <c r="U47" s="126"/>
      <c r="V47" s="24"/>
    </row>
    <row r="48" spans="2:22" s="19" customFormat="1" ht="31.5" hidden="1" customHeight="1" x14ac:dyDescent="0.2">
      <c r="B48" s="137"/>
      <c r="C48" s="48"/>
      <c r="D48" s="49"/>
      <c r="E48" s="50"/>
      <c r="F48" s="51"/>
      <c r="G48" s="52"/>
      <c r="H48" s="51"/>
      <c r="I48" s="53"/>
      <c r="J48" s="54"/>
      <c r="K48" s="54"/>
      <c r="L48" s="54"/>
      <c r="M48" s="54"/>
      <c r="N48" s="54"/>
      <c r="O48" s="55"/>
      <c r="P48" s="54"/>
      <c r="Q48" s="66"/>
      <c r="R48" s="56"/>
      <c r="S48" s="46"/>
      <c r="T48" s="18"/>
      <c r="U48" s="126"/>
      <c r="V48" s="24"/>
    </row>
    <row r="49" spans="2:22" s="19" customFormat="1" ht="31.5" hidden="1" customHeight="1" x14ac:dyDescent="0.2">
      <c r="B49" s="137"/>
      <c r="C49" s="48"/>
      <c r="D49" s="49"/>
      <c r="E49" s="50"/>
      <c r="F49" s="51"/>
      <c r="G49" s="52"/>
      <c r="H49" s="51"/>
      <c r="I49" s="53"/>
      <c r="J49" s="54"/>
      <c r="K49" s="54"/>
      <c r="L49" s="54"/>
      <c r="M49" s="54"/>
      <c r="N49" s="54"/>
      <c r="O49" s="55"/>
      <c r="P49" s="54"/>
      <c r="Q49" s="66"/>
      <c r="R49" s="56"/>
      <c r="S49" s="46"/>
      <c r="T49" s="18"/>
      <c r="U49" s="126"/>
      <c r="V49" s="24"/>
    </row>
    <row r="50" spans="2:22" s="19" customFormat="1" ht="31.5" hidden="1" customHeight="1" x14ac:dyDescent="0.2">
      <c r="B50" s="137"/>
      <c r="C50" s="48"/>
      <c r="D50" s="49"/>
      <c r="E50" s="50"/>
      <c r="F50" s="51"/>
      <c r="G50" s="52"/>
      <c r="H50" s="51"/>
      <c r="I50" s="53"/>
      <c r="J50" s="54"/>
      <c r="K50" s="54"/>
      <c r="L50" s="54"/>
      <c r="M50" s="54"/>
      <c r="N50" s="54"/>
      <c r="O50" s="55"/>
      <c r="P50" s="54"/>
      <c r="Q50" s="66"/>
      <c r="R50" s="56"/>
      <c r="S50" s="46"/>
      <c r="T50" s="18"/>
      <c r="U50" s="126"/>
      <c r="V50" s="24"/>
    </row>
    <row r="51" spans="2:22" s="19" customFormat="1" ht="31.5" hidden="1" customHeight="1" x14ac:dyDescent="0.2">
      <c r="B51" s="137"/>
      <c r="C51" s="48"/>
      <c r="D51" s="49"/>
      <c r="E51" s="50"/>
      <c r="F51" s="51"/>
      <c r="G51" s="52"/>
      <c r="H51" s="51"/>
      <c r="I51" s="53"/>
      <c r="J51" s="54"/>
      <c r="K51" s="54"/>
      <c r="L51" s="54"/>
      <c r="M51" s="54"/>
      <c r="N51" s="54"/>
      <c r="O51" s="55"/>
      <c r="P51" s="54"/>
      <c r="Q51" s="66"/>
      <c r="R51" s="56"/>
      <c r="S51" s="46"/>
      <c r="T51" s="18"/>
      <c r="U51" s="126"/>
      <c r="V51" s="24"/>
    </row>
    <row r="52" spans="2:22" s="19" customFormat="1" ht="31.5" hidden="1" customHeight="1" x14ac:dyDescent="0.2">
      <c r="B52" s="137"/>
      <c r="C52" s="48"/>
      <c r="D52" s="49"/>
      <c r="E52" s="50"/>
      <c r="F52" s="51"/>
      <c r="G52" s="52"/>
      <c r="H52" s="51"/>
      <c r="I52" s="53"/>
      <c r="J52" s="54"/>
      <c r="K52" s="54"/>
      <c r="L52" s="54"/>
      <c r="M52" s="54"/>
      <c r="N52" s="54"/>
      <c r="O52" s="55"/>
      <c r="P52" s="54"/>
      <c r="Q52" s="66"/>
      <c r="R52" s="56"/>
      <c r="S52" s="46"/>
      <c r="T52" s="18"/>
      <c r="U52" s="126"/>
      <c r="V52" s="24"/>
    </row>
    <row r="53" spans="2:22" s="19" customFormat="1" ht="31.5" hidden="1" customHeight="1" x14ac:dyDescent="0.2">
      <c r="B53" s="137"/>
      <c r="C53" s="48"/>
      <c r="D53" s="49"/>
      <c r="E53" s="50"/>
      <c r="F53" s="51"/>
      <c r="G53" s="52"/>
      <c r="H53" s="51"/>
      <c r="I53" s="53"/>
      <c r="J53" s="54"/>
      <c r="K53" s="54"/>
      <c r="L53" s="54"/>
      <c r="M53" s="54"/>
      <c r="N53" s="54"/>
      <c r="O53" s="55"/>
      <c r="P53" s="54"/>
      <c r="Q53" s="66"/>
      <c r="R53" s="56"/>
      <c r="S53" s="46"/>
      <c r="T53" s="18"/>
      <c r="U53" s="126"/>
      <c r="V53" s="24"/>
    </row>
    <row r="54" spans="2:22" s="19" customFormat="1" ht="31.5" hidden="1" customHeight="1" x14ac:dyDescent="0.2">
      <c r="B54" s="137"/>
      <c r="C54" s="48"/>
      <c r="D54" s="49"/>
      <c r="E54" s="50"/>
      <c r="F54" s="51"/>
      <c r="G54" s="52"/>
      <c r="H54" s="51"/>
      <c r="I54" s="53"/>
      <c r="J54" s="54"/>
      <c r="K54" s="54"/>
      <c r="L54" s="54"/>
      <c r="M54" s="54"/>
      <c r="N54" s="54"/>
      <c r="O54" s="55"/>
      <c r="P54" s="54"/>
      <c r="Q54" s="66"/>
      <c r="R54" s="56"/>
      <c r="S54" s="46"/>
      <c r="T54" s="18"/>
      <c r="U54" s="126"/>
      <c r="V54" s="24"/>
    </row>
    <row r="55" spans="2:22" s="19" customFormat="1" ht="31.5" hidden="1" customHeight="1" x14ac:dyDescent="0.2">
      <c r="B55" s="137"/>
      <c r="C55" s="48"/>
      <c r="D55" s="49"/>
      <c r="E55" s="50"/>
      <c r="F55" s="51"/>
      <c r="G55" s="52"/>
      <c r="H55" s="51"/>
      <c r="I55" s="53"/>
      <c r="J55" s="54"/>
      <c r="K55" s="54"/>
      <c r="L55" s="54"/>
      <c r="M55" s="54"/>
      <c r="N55" s="54"/>
      <c r="O55" s="55"/>
      <c r="P55" s="54"/>
      <c r="Q55" s="66"/>
      <c r="R55" s="56"/>
      <c r="S55" s="46"/>
      <c r="T55" s="18" t="e">
        <f>G55*24/(K55/60)/15400</f>
        <v>#DIV/0!</v>
      </c>
      <c r="U55" s="126"/>
      <c r="V55" s="24"/>
    </row>
    <row r="56" spans="2:22" s="19" customFormat="1" ht="31.5" hidden="1" customHeight="1" x14ac:dyDescent="0.2">
      <c r="B56" s="137"/>
      <c r="C56" s="48"/>
      <c r="D56" s="49"/>
      <c r="E56" s="50"/>
      <c r="F56" s="51"/>
      <c r="G56" s="52"/>
      <c r="H56" s="51"/>
      <c r="I56" s="53"/>
      <c r="J56" s="54"/>
      <c r="K56" s="54"/>
      <c r="L56" s="54"/>
      <c r="M56" s="54"/>
      <c r="N56" s="67"/>
      <c r="O56" s="55"/>
      <c r="P56" s="54"/>
      <c r="Q56" s="66"/>
      <c r="R56" s="56"/>
      <c r="S56" s="46"/>
      <c r="T56" s="18" t="e">
        <f>G56*24/(K56/60)/15400</f>
        <v>#DIV/0!</v>
      </c>
      <c r="U56" s="126"/>
      <c r="V56" s="24"/>
    </row>
    <row r="57" spans="2:22" s="19" customFormat="1" ht="30" hidden="1" customHeight="1" x14ac:dyDescent="0.2">
      <c r="B57" s="137"/>
      <c r="C57" s="26"/>
      <c r="D57" s="27"/>
      <c r="E57" s="28"/>
      <c r="F57" s="29"/>
      <c r="G57" s="30"/>
      <c r="H57" s="29"/>
      <c r="I57" s="31"/>
      <c r="J57" s="32"/>
      <c r="K57" s="32"/>
      <c r="L57" s="32"/>
      <c r="M57" s="32"/>
      <c r="N57" s="32"/>
      <c r="O57" s="33"/>
      <c r="P57" s="32"/>
      <c r="Q57" s="46"/>
      <c r="R57" s="34"/>
      <c r="S57" s="46"/>
      <c r="T57" s="18"/>
      <c r="U57" s="126"/>
      <c r="V57" s="24"/>
    </row>
    <row r="58" spans="2:22" s="19" customFormat="1" ht="20.25" hidden="1" x14ac:dyDescent="0.2">
      <c r="B58" s="137"/>
      <c r="C58" s="26"/>
      <c r="D58" s="27"/>
      <c r="E58" s="28"/>
      <c r="F58" s="29"/>
      <c r="G58" s="30"/>
      <c r="H58" s="29"/>
      <c r="I58" s="31"/>
      <c r="J58" s="32"/>
      <c r="K58" s="32"/>
      <c r="L58" s="32"/>
      <c r="M58" s="32"/>
      <c r="N58" s="32"/>
      <c r="O58" s="33"/>
      <c r="P58" s="32"/>
      <c r="Q58" s="46"/>
      <c r="R58" s="34"/>
      <c r="S58" s="46"/>
      <c r="T58" s="18"/>
      <c r="U58" s="126"/>
      <c r="V58" s="24"/>
    </row>
    <row r="59" spans="2:22" s="19" customFormat="1" ht="21" hidden="1" thickBot="1" x14ac:dyDescent="0.25">
      <c r="B59" s="137"/>
      <c r="C59" s="75"/>
      <c r="D59" s="71"/>
      <c r="E59" s="73"/>
      <c r="F59" s="76"/>
      <c r="G59" s="77"/>
      <c r="H59" s="76"/>
      <c r="I59" s="78"/>
      <c r="J59" s="72"/>
      <c r="K59" s="72"/>
      <c r="L59" s="72"/>
      <c r="M59" s="72"/>
      <c r="N59" s="72"/>
      <c r="O59" s="79"/>
      <c r="P59" s="80"/>
      <c r="Q59" s="70"/>
      <c r="R59" s="81"/>
      <c r="S59" s="70"/>
      <c r="T59" s="82"/>
      <c r="U59" s="127"/>
      <c r="V59" s="83"/>
    </row>
    <row r="60" spans="2:22" s="19" customFormat="1" ht="21" customHeight="1" thickBot="1" x14ac:dyDescent="0.35">
      <c r="B60" s="35" t="s">
        <v>3</v>
      </c>
      <c r="C60" s="36"/>
      <c r="D60" s="57">
        <f>SUM(D4:D58)</f>
        <v>66100</v>
      </c>
      <c r="E60" s="58">
        <f>AVERAGE(E4:E58)</f>
        <v>0.36655701754385961</v>
      </c>
      <c r="F60" s="59">
        <f>SUM(F4:F58)</f>
        <v>4466.1000000000004</v>
      </c>
      <c r="G60" s="57">
        <f>SUM(G4:G58)</f>
        <v>65637</v>
      </c>
      <c r="H60" s="59">
        <f>SUM(H4:H58)</f>
        <v>4423.7396000000008</v>
      </c>
      <c r="I60" s="60">
        <f>SUM(I4:I58)</f>
        <v>252.08</v>
      </c>
      <c r="J60" s="61">
        <f>G60/(K60/60)</f>
        <v>364.61623923710766</v>
      </c>
      <c r="K60" s="57">
        <f>SUM(K4:K58)</f>
        <v>10801</v>
      </c>
      <c r="L60" s="135">
        <f>AVERAGE(L4:L59)</f>
        <v>0.7597953216374268</v>
      </c>
      <c r="M60" s="57">
        <f>SUM(M4:M58)</f>
        <v>2721</v>
      </c>
      <c r="N60" s="60"/>
      <c r="O60" s="87">
        <f>(F60-H60)/F60</f>
        <v>9.4848749468215143E-3</v>
      </c>
      <c r="P60" s="62">
        <f>SUM(P4:P58)</f>
        <v>0</v>
      </c>
      <c r="Q60" s="63">
        <f>AVERAGE(Q4:Q56)</f>
        <v>0.55871375336179707</v>
      </c>
      <c r="R60" s="64"/>
      <c r="S60" s="63">
        <f>(G60)*24/(K60/60)/15000</f>
        <v>0.58338598277937226</v>
      </c>
      <c r="T60" s="63">
        <f>H60*24/(M60/60)/15000</f>
        <v>0.15607460551267921</v>
      </c>
      <c r="U60" s="128">
        <f>(G60)*24/(K60/60)/17000</f>
        <v>0.51475233774650486</v>
      </c>
      <c r="V60" s="21"/>
    </row>
    <row r="61" spans="2:22" ht="18.75" customHeight="1" thickTop="1" x14ac:dyDescent="0.25">
      <c r="B61" s="11"/>
      <c r="C61" s="150" t="s">
        <v>35</v>
      </c>
      <c r="D61" s="42">
        <v>71940</v>
      </c>
      <c r="E61" s="1081" t="s">
        <v>322</v>
      </c>
      <c r="F61" s="1081"/>
      <c r="G61" s="42">
        <f>D61-G60</f>
        <v>6303</v>
      </c>
      <c r="H61" s="150" t="s">
        <v>327</v>
      </c>
      <c r="I61" s="155">
        <f>G60/D61</f>
        <v>0.91238532110091741</v>
      </c>
      <c r="J61" s="151">
        <v>0</v>
      </c>
      <c r="K61" s="12"/>
      <c r="L61" s="12"/>
      <c r="M61" s="12"/>
      <c r="N61" s="13"/>
      <c r="O61" s="14"/>
      <c r="P61" s="12"/>
      <c r="Q61" s="15"/>
      <c r="R61" s="16"/>
      <c r="S61" s="15"/>
      <c r="T61" s="15"/>
      <c r="U61" s="15"/>
      <c r="V61" s="17" t="s">
        <v>48</v>
      </c>
    </row>
    <row r="62" spans="2:22" ht="18" customHeight="1" x14ac:dyDescent="0.25">
      <c r="B62" s="11"/>
      <c r="C62" s="150" t="s">
        <v>37</v>
      </c>
      <c r="D62" s="42">
        <f>September_16!G63+October_16!D61</f>
        <v>720410</v>
      </c>
      <c r="E62" s="1081" t="s">
        <v>36</v>
      </c>
      <c r="F62" s="1081"/>
      <c r="G62" s="42">
        <f>September_16!$G$62+October_16!$G$60</f>
        <v>779727.66666666674</v>
      </c>
      <c r="H62" s="153" t="s">
        <v>326</v>
      </c>
      <c r="I62" s="154">
        <v>0</v>
      </c>
      <c r="J62" s="152"/>
      <c r="K62" s="12">
        <v>0</v>
      </c>
      <c r="L62" s="12"/>
      <c r="M62" s="12"/>
      <c r="N62" s="13"/>
      <c r="O62" s="14"/>
      <c r="P62" s="12"/>
      <c r="Q62" s="15"/>
      <c r="R62" s="16"/>
      <c r="S62" s="15"/>
      <c r="T62" s="15"/>
      <c r="U62" s="15"/>
      <c r="V62" s="17"/>
    </row>
    <row r="63" spans="2:22" ht="6.75" customHeight="1" thickBot="1" x14ac:dyDescent="0.3">
      <c r="C63" s="23"/>
      <c r="D63" s="42"/>
      <c r="E63" s="1082"/>
      <c r="F63" s="1082"/>
      <c r="G63" s="42"/>
      <c r="H63" s="44"/>
      <c r="I63" s="44"/>
      <c r="J63" s="149"/>
      <c r="N63"/>
      <c r="Q63" s="10"/>
      <c r="V63" s="17"/>
    </row>
    <row r="64" spans="2:22" ht="48.75" customHeight="1" thickTop="1" x14ac:dyDescent="0.2">
      <c r="B64" s="7"/>
      <c r="C64" s="88" t="s">
        <v>19</v>
      </c>
      <c r="D64" s="89" t="s">
        <v>14</v>
      </c>
      <c r="E64" s="89" t="s">
        <v>23</v>
      </c>
      <c r="F64" s="89" t="s">
        <v>24</v>
      </c>
      <c r="G64" s="90" t="s">
        <v>15</v>
      </c>
      <c r="H64" s="89" t="s">
        <v>17</v>
      </c>
      <c r="I64" s="89" t="s">
        <v>16</v>
      </c>
      <c r="J64" s="91" t="s">
        <v>316</v>
      </c>
      <c r="N64"/>
      <c r="O64" s="141" t="s">
        <v>325</v>
      </c>
      <c r="P64" s="90" t="s">
        <v>320</v>
      </c>
      <c r="Q64" s="90" t="s">
        <v>321</v>
      </c>
      <c r="R64" s="142"/>
      <c r="S64" s="90" t="s">
        <v>323</v>
      </c>
      <c r="T64" s="142"/>
      <c r="U64" s="143" t="s">
        <v>324</v>
      </c>
    </row>
    <row r="65" spans="2:22" ht="18.75" thickBot="1" x14ac:dyDescent="0.3">
      <c r="B65" s="8"/>
      <c r="C65" s="92">
        <v>1</v>
      </c>
      <c r="D65" s="93" t="s">
        <v>20</v>
      </c>
      <c r="E65" s="94">
        <f>SUM(G4,G5,G6,G7,G12,G13:G14,G15,G17:G18,G19,G20:G21,G22,G25,G24)</f>
        <v>48530</v>
      </c>
      <c r="F65" s="95">
        <f>SUM(K4,K5,K6,K7,K12,K13,K15,K17,K19,K20,K22,K25,K24)</f>
        <v>7733</v>
      </c>
      <c r="G65" s="96">
        <f>SUM(F4,F5,F6,F7,F12,F13:F14,F15,F17:F18,F19,F20,F22,F25,F24)</f>
        <v>3290.3000000000006</v>
      </c>
      <c r="H65" s="96">
        <f>SUM(H4,H5,H6,H7,H12,H13:H14,H15,H17:H18,H19,H20,H22,H25,H24)</f>
        <v>3266.6299999999997</v>
      </c>
      <c r="I65" s="97">
        <f t="shared" ref="I65:I70" si="0">(G65-H65)/G65</f>
        <v>7.1938728991280364E-3</v>
      </c>
      <c r="J65" s="98">
        <f>(E65+G8+G23)*24/(F65/60)/15000</f>
        <v>0.65421026768395196</v>
      </c>
      <c r="N65"/>
      <c r="O65" s="144">
        <f>S76</f>
        <v>1.012795467810503E-2</v>
      </c>
      <c r="P65" s="145"/>
      <c r="Q65" s="146">
        <f>AVERAGE(January_16!P59,February_16!P58,March_16!P58,April_16!P58,May_16!Q60,June_16!Q60,July_16!Q60,August_16!Q60,September_16!Q60,October_16!Q60)</f>
        <v>0.63402648658469574</v>
      </c>
      <c r="R65" s="147"/>
      <c r="S65" s="145">
        <f>S75</f>
        <v>0.65324911202841518</v>
      </c>
      <c r="T65" s="147"/>
      <c r="U65" s="148">
        <f>U75</f>
        <v>0.5763962753191898</v>
      </c>
    </row>
    <row r="66" spans="2:22" s="1" customFormat="1" ht="17.25" thickTop="1" x14ac:dyDescent="0.25">
      <c r="B66" s="8"/>
      <c r="C66" s="99">
        <v>2</v>
      </c>
      <c r="D66" s="100" t="s">
        <v>21</v>
      </c>
      <c r="E66" s="101">
        <f>SUM(G8,G9)</f>
        <v>5127</v>
      </c>
      <c r="F66" s="102">
        <f>SUM(K7,K9)</f>
        <v>902</v>
      </c>
      <c r="G66" s="103">
        <f>SUM(F8,F9)</f>
        <v>339.9</v>
      </c>
      <c r="H66" s="103">
        <f>SUM(H8,H9)</f>
        <v>338.38200000000001</v>
      </c>
      <c r="I66" s="97">
        <f t="shared" si="0"/>
        <v>4.4660194174756468E-3</v>
      </c>
      <c r="J66" s="98">
        <f>(E66+G7)*24/(F66/60)/15000</f>
        <v>0.58525942350332594</v>
      </c>
      <c r="K66"/>
      <c r="L66"/>
      <c r="M66"/>
      <c r="N66" s="2"/>
      <c r="R66"/>
      <c r="S66"/>
      <c r="T66"/>
      <c r="U66"/>
      <c r="V66"/>
    </row>
    <row r="67" spans="2:22" s="1" customFormat="1" ht="16.5" x14ac:dyDescent="0.25">
      <c r="B67" s="8"/>
      <c r="C67" s="92">
        <v>3</v>
      </c>
      <c r="D67" s="100" t="s">
        <v>124</v>
      </c>
      <c r="E67" s="101"/>
      <c r="F67" s="102"/>
      <c r="G67" s="103"/>
      <c r="H67" s="103"/>
      <c r="I67" s="109" t="e">
        <f t="shared" si="0"/>
        <v>#DIV/0!</v>
      </c>
      <c r="J67" s="111" t="e">
        <f>(E67)*24/(F67/60)/15000</f>
        <v>#DIV/0!</v>
      </c>
      <c r="K67"/>
      <c r="L67"/>
      <c r="M67"/>
      <c r="N67" s="2"/>
      <c r="R67"/>
      <c r="S67"/>
      <c r="T67"/>
      <c r="U67"/>
      <c r="V67"/>
    </row>
    <row r="68" spans="2:22" s="1" customFormat="1" ht="16.5" x14ac:dyDescent="0.25">
      <c r="B68" s="8"/>
      <c r="C68" s="99">
        <v>4</v>
      </c>
      <c r="D68" s="100" t="s">
        <v>18</v>
      </c>
      <c r="E68" s="101">
        <f>SUM(G10,G11,G16,G26,G27)</f>
        <v>10564</v>
      </c>
      <c r="F68" s="102">
        <f>SUM(K10,K11,K16,K26,K27)</f>
        <v>2768</v>
      </c>
      <c r="G68" s="101">
        <f>SUM(F10,F11,F16,F26,F27)</f>
        <v>739</v>
      </c>
      <c r="H68" s="101">
        <f>SUM(H10,H11,H16,H26,H27)</f>
        <v>725.27159999999992</v>
      </c>
      <c r="I68" s="97">
        <f t="shared" si="0"/>
        <v>1.8576995940460188E-2</v>
      </c>
      <c r="J68" s="98">
        <f>(E68)*24/(F68/60)/15000</f>
        <v>0.3663815028901734</v>
      </c>
      <c r="K68"/>
      <c r="L68"/>
      <c r="M68"/>
      <c r="N68" s="2"/>
      <c r="Q68" s="8"/>
      <c r="R68"/>
      <c r="S68"/>
      <c r="T68" s="6"/>
      <c r="U68" s="6"/>
      <c r="V68"/>
    </row>
    <row r="69" spans="2:22" s="1" customFormat="1" ht="16.5" x14ac:dyDescent="0.25">
      <c r="B69" s="8"/>
      <c r="C69" s="92">
        <v>5</v>
      </c>
      <c r="D69" s="105" t="s">
        <v>26</v>
      </c>
      <c r="E69" s="106">
        <f>SUM(G23)</f>
        <v>1416</v>
      </c>
      <c r="F69" s="107">
        <f>K22</f>
        <v>732</v>
      </c>
      <c r="G69" s="108">
        <f>SUM(F23)</f>
        <v>96.9</v>
      </c>
      <c r="H69" s="108">
        <f>SUM(H23)</f>
        <v>93.456000000000003</v>
      </c>
      <c r="I69" s="97">
        <f t="shared" si="0"/>
        <v>3.5541795665634701E-2</v>
      </c>
      <c r="J69" s="98">
        <f>(E69+G22)*24/(F69/60)/15000</f>
        <v>0.71160655737704925</v>
      </c>
      <c r="K69"/>
      <c r="L69"/>
      <c r="M69"/>
      <c r="N69" s="2"/>
      <c r="R69"/>
      <c r="S69"/>
      <c r="T69" s="6"/>
      <c r="U69" s="6"/>
      <c r="V69"/>
    </row>
    <row r="70" spans="2:22" s="1" customFormat="1" ht="16.5" x14ac:dyDescent="0.25">
      <c r="B70" s="8"/>
      <c r="C70" s="99">
        <v>6</v>
      </c>
      <c r="D70" s="105" t="s">
        <v>25</v>
      </c>
      <c r="E70" s="106"/>
      <c r="F70" s="107"/>
      <c r="G70" s="108"/>
      <c r="H70" s="108"/>
      <c r="I70" s="109" t="e">
        <f t="shared" si="0"/>
        <v>#DIV/0!</v>
      </c>
      <c r="J70" s="111" t="e">
        <f>(E70)*24/(F70/60)/15000</f>
        <v>#DIV/0!</v>
      </c>
      <c r="K70"/>
      <c r="L70"/>
      <c r="M70"/>
      <c r="N70" s="2"/>
      <c r="R70"/>
      <c r="S70"/>
      <c r="T70"/>
      <c r="U70"/>
      <c r="V70"/>
    </row>
    <row r="71" spans="2:22" s="1" customFormat="1" ht="17.25" thickBot="1" x14ac:dyDescent="0.3">
      <c r="C71" s="112"/>
      <c r="D71" s="113" t="s">
        <v>22</v>
      </c>
      <c r="E71" s="114">
        <f>SUM(E65:E70)</f>
        <v>65637</v>
      </c>
      <c r="F71" s="115">
        <f>K60</f>
        <v>10801</v>
      </c>
      <c r="G71" s="116">
        <f>SUM(G65:G70)</f>
        <v>4466.1000000000004</v>
      </c>
      <c r="H71" s="116">
        <f>SUM(H65:H70)</f>
        <v>4423.7395999999999</v>
      </c>
      <c r="I71" s="117">
        <f>((G71)-(H71))/(G71)</f>
        <v>9.484874946821719E-3</v>
      </c>
      <c r="J71" s="118">
        <f>E71*24/(F71/60)/15000</f>
        <v>0.58338598277937226</v>
      </c>
      <c r="K71"/>
      <c r="L71"/>
      <c r="M71"/>
      <c r="N71" s="139"/>
      <c r="R71"/>
      <c r="S71"/>
      <c r="T71"/>
      <c r="U71"/>
      <c r="V71"/>
    </row>
    <row r="72" spans="2:22" s="1" customFormat="1" ht="13.5" thickTop="1" x14ac:dyDescent="0.2">
      <c r="J72"/>
      <c r="K72"/>
      <c r="L72"/>
      <c r="M72"/>
      <c r="N72" s="2"/>
      <c r="R72"/>
      <c r="S72"/>
      <c r="T72"/>
      <c r="U72"/>
      <c r="V72"/>
    </row>
    <row r="73" spans="2:22" s="1" customFormat="1" x14ac:dyDescent="0.2">
      <c r="E73" s="3"/>
      <c r="F73" s="119"/>
      <c r="G73" s="120"/>
      <c r="H73" s="120"/>
      <c r="I73"/>
      <c r="J73"/>
      <c r="K73"/>
      <c r="L73"/>
      <c r="M73"/>
      <c r="N73" s="2"/>
      <c r="R73"/>
      <c r="S73"/>
      <c r="T73"/>
      <c r="U73"/>
      <c r="V73"/>
    </row>
    <row r="74" spans="2:22" s="1" customFormat="1" ht="13.5" customHeight="1" thickBot="1" x14ac:dyDescent="0.25">
      <c r="J74"/>
      <c r="K74"/>
      <c r="L74"/>
      <c r="M74"/>
      <c r="N74" s="2"/>
      <c r="R74"/>
      <c r="S74"/>
      <c r="T74"/>
      <c r="U74"/>
      <c r="V74" s="9"/>
    </row>
    <row r="75" spans="2:22" s="1" customFormat="1" ht="21" thickBot="1" x14ac:dyDescent="0.25">
      <c r="J75"/>
      <c r="K75"/>
      <c r="L75"/>
      <c r="M75"/>
      <c r="N75" s="2"/>
      <c r="O75" s="3">
        <f>SUM(January_16!G59,February_16!G58,March_16!G58,April_16!G58,May_16!G60,June_16!G60,July_16!G60,August_16!G60,September_16!G60,October_16!G60)</f>
        <v>779727.66666666674</v>
      </c>
      <c r="Q75" s="3">
        <f>SUM(January_16!K59,February_16!K58,March_16!K58,April_16!K58,May_16!K60,June_16!K60,July_16!K60,August_16!K60,September_16!K60,October_16!K60)</f>
        <v>114587</v>
      </c>
      <c r="R75"/>
      <c r="S75" s="63">
        <f>(O75)*24/(Q75/60)/15000</f>
        <v>0.65324911202841518</v>
      </c>
      <c r="T75"/>
      <c r="U75" s="128">
        <f>(O75)*24/(Q75/60)/17000</f>
        <v>0.5763962753191898</v>
      </c>
      <c r="V75" s="9"/>
    </row>
    <row r="76" spans="2:22" s="1" customFormat="1" ht="21.75" thickTop="1" thickBot="1" x14ac:dyDescent="0.35">
      <c r="J76"/>
      <c r="K76"/>
      <c r="L76"/>
      <c r="M76"/>
      <c r="N76" s="2"/>
      <c r="O76" s="140">
        <f>SUM(January_16!F59,February_16!F58,March_16!F58,April_16!F58,May_16!F60,June_16!F60,July_16!F60,August_16!F60,September_16!F60,October_16!F60)</f>
        <v>53229.9549714686</v>
      </c>
      <c r="Q76" s="140">
        <f>SUM(January_16!H59,February_16!H58,March_16!H58,April_16!H58,May_16!H60,June_16!H60,July_16!H60,August_16!H60,September_16!H60,October_16!H60)</f>
        <v>52690.844399999994</v>
      </c>
      <c r="R76"/>
      <c r="S76" s="87">
        <f>(O76-Q76)/O76</f>
        <v>1.012795467810503E-2</v>
      </c>
      <c r="T76"/>
      <c r="U76"/>
      <c r="V76" s="9"/>
    </row>
    <row r="77" spans="2:22" s="1" customFormat="1" ht="12.75" customHeight="1" thickTop="1" x14ac:dyDescent="0.2">
      <c r="J77"/>
      <c r="K77"/>
      <c r="L77"/>
      <c r="M77"/>
      <c r="N77" s="2"/>
      <c r="R77"/>
      <c r="S77"/>
      <c r="T77"/>
      <c r="U77"/>
      <c r="V77" s="9"/>
    </row>
    <row r="78" spans="2:22" s="1" customFormat="1" ht="12.75" customHeight="1" x14ac:dyDescent="0.2">
      <c r="J78"/>
      <c r="K78"/>
      <c r="L78"/>
      <c r="M78"/>
      <c r="N78" s="2"/>
      <c r="R78"/>
      <c r="S78"/>
      <c r="T78"/>
      <c r="U78"/>
      <c r="V78" s="9"/>
    </row>
    <row r="79" spans="2:22" s="1" customFormat="1" ht="12.75" customHeight="1" x14ac:dyDescent="0.2">
      <c r="J79"/>
      <c r="K79"/>
      <c r="L79"/>
      <c r="M79"/>
      <c r="N79" s="2"/>
      <c r="R79"/>
      <c r="S79"/>
      <c r="T79"/>
      <c r="U79"/>
      <c r="V79" s="9"/>
    </row>
    <row r="80" spans="2:22" s="1" customFormat="1" ht="12.75" customHeight="1" x14ac:dyDescent="0.2">
      <c r="J80"/>
      <c r="K80"/>
      <c r="L80"/>
      <c r="M80"/>
      <c r="N80" s="2"/>
      <c r="R80"/>
      <c r="S80"/>
      <c r="T80"/>
      <c r="U80"/>
      <c r="V80" s="9"/>
    </row>
    <row r="81" spans="10:22" s="1" customFormat="1" x14ac:dyDescent="0.2">
      <c r="J81"/>
      <c r="K81"/>
      <c r="L81"/>
      <c r="M81"/>
      <c r="N81" s="2"/>
      <c r="R81"/>
      <c r="S81"/>
      <c r="T81"/>
      <c r="U81"/>
      <c r="V81" s="9"/>
    </row>
    <row r="82" spans="10:22" s="1" customFormat="1" ht="12.75" customHeight="1" x14ac:dyDescent="0.2">
      <c r="J82"/>
      <c r="K82"/>
      <c r="L82"/>
      <c r="M82"/>
      <c r="N82" s="2"/>
      <c r="R82"/>
      <c r="S82"/>
      <c r="T82"/>
      <c r="U82"/>
      <c r="V82" s="9"/>
    </row>
    <row r="83" spans="10:22" s="1" customFormat="1" ht="12.75" customHeight="1" x14ac:dyDescent="0.2">
      <c r="J83"/>
      <c r="K83"/>
      <c r="L83"/>
      <c r="M83"/>
      <c r="N83" s="2"/>
      <c r="R83"/>
      <c r="S83"/>
      <c r="T83"/>
      <c r="U83"/>
      <c r="V83" s="9"/>
    </row>
    <row r="84" spans="10:22" s="1" customFormat="1" ht="12.75" customHeight="1" x14ac:dyDescent="0.2">
      <c r="J84"/>
      <c r="K84"/>
      <c r="L84"/>
      <c r="M84"/>
      <c r="N84" s="2"/>
      <c r="R84"/>
      <c r="S84"/>
      <c r="T84"/>
      <c r="U84"/>
      <c r="V84" s="9"/>
    </row>
    <row r="85" spans="10:22" s="1" customFormat="1" ht="12.75" customHeight="1" x14ac:dyDescent="0.2">
      <c r="J85"/>
      <c r="K85"/>
      <c r="L85"/>
      <c r="M85"/>
      <c r="N85" s="2"/>
      <c r="R85"/>
      <c r="S85"/>
      <c r="T85"/>
      <c r="U85"/>
      <c r="V85" s="9"/>
    </row>
    <row r="86" spans="10:22" s="1" customFormat="1" ht="12.75" customHeight="1" x14ac:dyDescent="0.2">
      <c r="J86"/>
      <c r="K86"/>
      <c r="L86"/>
      <c r="M86"/>
      <c r="N86" s="2"/>
      <c r="R86"/>
      <c r="S86"/>
      <c r="T86"/>
      <c r="U86"/>
      <c r="V86" s="9"/>
    </row>
    <row r="87" spans="10:22" s="1" customFormat="1" x14ac:dyDescent="0.2">
      <c r="J87"/>
      <c r="K87"/>
      <c r="L87"/>
      <c r="M87"/>
      <c r="N87" s="2"/>
      <c r="R87"/>
      <c r="S87"/>
      <c r="T87"/>
      <c r="U87"/>
      <c r="V87"/>
    </row>
    <row r="88" spans="10:22" s="1" customFormat="1" x14ac:dyDescent="0.2">
      <c r="J88"/>
      <c r="K88"/>
      <c r="L88"/>
      <c r="M88"/>
      <c r="N88" s="2"/>
      <c r="R88"/>
      <c r="S88"/>
      <c r="T88"/>
      <c r="U88"/>
      <c r="V88"/>
    </row>
    <row r="89" spans="10:22" s="1" customFormat="1" x14ac:dyDescent="0.2">
      <c r="J89"/>
      <c r="K89"/>
      <c r="L89"/>
      <c r="M89"/>
      <c r="N89" s="2"/>
      <c r="R89"/>
      <c r="S89"/>
      <c r="T89"/>
      <c r="U89"/>
      <c r="V89"/>
    </row>
    <row r="90" spans="10:22" s="1" customFormat="1" x14ac:dyDescent="0.2">
      <c r="J90"/>
      <c r="K90"/>
      <c r="L90"/>
      <c r="M90"/>
      <c r="N90" s="2"/>
      <c r="R90"/>
      <c r="S90"/>
      <c r="T90"/>
      <c r="U90"/>
      <c r="V90"/>
    </row>
    <row r="91" spans="10:22" s="1" customFormat="1" x14ac:dyDescent="0.2">
      <c r="J91"/>
      <c r="K91"/>
      <c r="L91"/>
      <c r="M91"/>
      <c r="N91" s="2"/>
      <c r="R91"/>
      <c r="S91"/>
      <c r="T91"/>
      <c r="U91"/>
      <c r="V91"/>
    </row>
    <row r="92" spans="10:22" s="1" customFormat="1" x14ac:dyDescent="0.2">
      <c r="J92"/>
      <c r="K92"/>
      <c r="L92"/>
      <c r="M92"/>
      <c r="N92" s="2"/>
      <c r="R92"/>
      <c r="S92"/>
      <c r="T92"/>
      <c r="U92"/>
      <c r="V92"/>
    </row>
    <row r="93" spans="10:22" s="1" customFormat="1" x14ac:dyDescent="0.2">
      <c r="J93"/>
      <c r="K93"/>
      <c r="L93"/>
      <c r="M93"/>
      <c r="N93" s="2"/>
      <c r="R93"/>
      <c r="S93"/>
      <c r="T93"/>
      <c r="U93"/>
      <c r="V93"/>
    </row>
    <row r="94" spans="10:22" s="1" customFormat="1" x14ac:dyDescent="0.2">
      <c r="J94"/>
      <c r="K94"/>
      <c r="L94"/>
      <c r="M94"/>
      <c r="N94" s="2"/>
      <c r="R94"/>
      <c r="S94"/>
      <c r="T94"/>
      <c r="U94"/>
      <c r="V94"/>
    </row>
    <row r="95" spans="10:22" s="1" customFormat="1" x14ac:dyDescent="0.2">
      <c r="J95"/>
      <c r="K95"/>
      <c r="L95"/>
      <c r="M95"/>
      <c r="N95" s="2"/>
      <c r="R95"/>
      <c r="S95"/>
      <c r="T95"/>
      <c r="U95"/>
      <c r="V95"/>
    </row>
    <row r="96" spans="10:22" s="1" customFormat="1" x14ac:dyDescent="0.2">
      <c r="J96"/>
      <c r="K96"/>
      <c r="L96"/>
      <c r="M96"/>
      <c r="N96" s="2"/>
      <c r="R96"/>
      <c r="S96"/>
      <c r="T96"/>
      <c r="U96"/>
      <c r="V96"/>
    </row>
    <row r="97" spans="10:22" s="1" customFormat="1" x14ac:dyDescent="0.2">
      <c r="J97"/>
      <c r="K97"/>
      <c r="L97"/>
      <c r="M97"/>
      <c r="N97" s="2"/>
      <c r="R97"/>
      <c r="S97"/>
      <c r="T97"/>
      <c r="U97"/>
      <c r="V97"/>
    </row>
    <row r="98" spans="10:22" s="1" customFormat="1" x14ac:dyDescent="0.2">
      <c r="J98"/>
      <c r="K98"/>
      <c r="L98"/>
      <c r="M98"/>
      <c r="N98" s="2"/>
      <c r="R98"/>
      <c r="S98"/>
      <c r="T98"/>
      <c r="U98"/>
      <c r="V98"/>
    </row>
    <row r="99" spans="10:22" s="1" customFormat="1" x14ac:dyDescent="0.2">
      <c r="J99"/>
      <c r="K99"/>
      <c r="L99"/>
      <c r="M99"/>
      <c r="N99" s="2"/>
      <c r="R99"/>
      <c r="S99"/>
      <c r="T99"/>
      <c r="U99"/>
      <c r="V99"/>
    </row>
    <row r="100" spans="10:22" s="1" customFormat="1" x14ac:dyDescent="0.2">
      <c r="J100"/>
      <c r="K100"/>
      <c r="L100"/>
      <c r="M100"/>
      <c r="N100" s="2"/>
      <c r="R100"/>
      <c r="S100"/>
      <c r="T100"/>
      <c r="U100"/>
      <c r="V100"/>
    </row>
    <row r="101" spans="10:22" s="1" customFormat="1" x14ac:dyDescent="0.2">
      <c r="J101"/>
      <c r="K101"/>
      <c r="L101"/>
      <c r="M101"/>
      <c r="N101" s="2"/>
      <c r="R101"/>
      <c r="S101"/>
      <c r="T101"/>
      <c r="U101"/>
      <c r="V101"/>
    </row>
    <row r="102" spans="10:22" s="1" customFormat="1" x14ac:dyDescent="0.2">
      <c r="J102"/>
      <c r="K102"/>
      <c r="L102"/>
      <c r="M102"/>
      <c r="N102" s="2"/>
      <c r="R102"/>
      <c r="S102"/>
      <c r="T102"/>
      <c r="U102"/>
      <c r="V102"/>
    </row>
    <row r="103" spans="10:22" s="1" customFormat="1" x14ac:dyDescent="0.2">
      <c r="J103"/>
      <c r="K103"/>
      <c r="L103"/>
      <c r="M103"/>
      <c r="N103" s="2"/>
      <c r="R103"/>
      <c r="S103"/>
      <c r="T103"/>
      <c r="U103"/>
      <c r="V103"/>
    </row>
    <row r="104" spans="10:22" s="1" customFormat="1" x14ac:dyDescent="0.2">
      <c r="J104"/>
      <c r="K104"/>
      <c r="L104"/>
      <c r="M104"/>
      <c r="N104" s="2"/>
      <c r="R104"/>
      <c r="S104"/>
      <c r="T104"/>
      <c r="U104"/>
      <c r="V104"/>
    </row>
    <row r="105" spans="10:22" s="1" customFormat="1" x14ac:dyDescent="0.2">
      <c r="J105"/>
      <c r="K105"/>
      <c r="L105"/>
      <c r="M105"/>
      <c r="N105" s="2"/>
      <c r="R105"/>
      <c r="S105"/>
      <c r="T105"/>
      <c r="U105"/>
      <c r="V105"/>
    </row>
    <row r="106" spans="10:22" s="1" customFormat="1" x14ac:dyDescent="0.2">
      <c r="J106"/>
      <c r="K106"/>
      <c r="L106"/>
      <c r="M106"/>
      <c r="N106" s="2"/>
      <c r="R106"/>
      <c r="S106"/>
      <c r="T106"/>
      <c r="U106"/>
      <c r="V106"/>
    </row>
    <row r="107" spans="10:22" s="1" customFormat="1" x14ac:dyDescent="0.2">
      <c r="J107"/>
      <c r="K107"/>
      <c r="L107"/>
      <c r="M107"/>
      <c r="N107" s="2"/>
      <c r="R107"/>
      <c r="S107"/>
      <c r="T107"/>
      <c r="U107"/>
      <c r="V107"/>
    </row>
    <row r="108" spans="10:22" s="1" customFormat="1" x14ac:dyDescent="0.2">
      <c r="J108"/>
      <c r="K108"/>
      <c r="L108"/>
      <c r="M108"/>
      <c r="N108" s="2"/>
      <c r="R108"/>
      <c r="S108"/>
      <c r="T108"/>
      <c r="U108"/>
      <c r="V108"/>
    </row>
    <row r="109" spans="10:22" s="1" customFormat="1" x14ac:dyDescent="0.2">
      <c r="J109"/>
      <c r="K109"/>
      <c r="L109"/>
      <c r="M109"/>
      <c r="N109" s="2"/>
      <c r="R109"/>
      <c r="S109"/>
      <c r="T109"/>
      <c r="U109"/>
      <c r="V109"/>
    </row>
    <row r="110" spans="10:22" s="1" customFormat="1" x14ac:dyDescent="0.2">
      <c r="J110"/>
      <c r="K110"/>
      <c r="L110"/>
      <c r="M110"/>
      <c r="N110" s="2"/>
      <c r="R110"/>
      <c r="S110"/>
      <c r="T110"/>
      <c r="U110"/>
      <c r="V110"/>
    </row>
    <row r="111" spans="10:22" s="1" customFormat="1" x14ac:dyDescent="0.2">
      <c r="J111"/>
      <c r="K111"/>
      <c r="L111"/>
      <c r="M111"/>
      <c r="N111" s="2"/>
      <c r="R111"/>
      <c r="S111"/>
      <c r="T111"/>
      <c r="U111"/>
      <c r="V111"/>
    </row>
    <row r="112" spans="10:22" s="1" customFormat="1" x14ac:dyDescent="0.2">
      <c r="J112"/>
      <c r="K112"/>
      <c r="L112"/>
      <c r="M112"/>
      <c r="N112" s="2"/>
      <c r="R112"/>
      <c r="S112"/>
      <c r="T112"/>
      <c r="U112"/>
      <c r="V112"/>
    </row>
    <row r="113" spans="10:22" s="1" customFormat="1" x14ac:dyDescent="0.2">
      <c r="J113"/>
      <c r="K113"/>
      <c r="L113"/>
      <c r="M113"/>
      <c r="N113" s="2"/>
      <c r="R113"/>
      <c r="S113"/>
      <c r="T113"/>
      <c r="U113"/>
      <c r="V113"/>
    </row>
    <row r="114" spans="10:22" s="1" customFormat="1" x14ac:dyDescent="0.2">
      <c r="J114"/>
      <c r="K114"/>
      <c r="L114"/>
      <c r="M114"/>
      <c r="N114" s="2"/>
      <c r="R114"/>
      <c r="S114"/>
      <c r="T114"/>
      <c r="U114"/>
      <c r="V114"/>
    </row>
    <row r="115" spans="10:22" s="1" customFormat="1" x14ac:dyDescent="0.2">
      <c r="J115"/>
      <c r="K115"/>
      <c r="L115"/>
      <c r="M115"/>
      <c r="N115" s="2"/>
      <c r="R115"/>
      <c r="S115"/>
      <c r="T115"/>
      <c r="U115"/>
      <c r="V115"/>
    </row>
    <row r="116" spans="10:22" s="1" customFormat="1" x14ac:dyDescent="0.2">
      <c r="J116"/>
      <c r="K116"/>
      <c r="L116"/>
      <c r="M116"/>
      <c r="N116" s="2"/>
      <c r="R116"/>
      <c r="S116"/>
      <c r="T116"/>
      <c r="U116"/>
      <c r="V116"/>
    </row>
    <row r="117" spans="10:22" s="1" customFormat="1" x14ac:dyDescent="0.2">
      <c r="J117"/>
      <c r="K117"/>
      <c r="L117"/>
      <c r="M117"/>
      <c r="N117" s="2"/>
      <c r="R117"/>
      <c r="S117"/>
      <c r="T117"/>
      <c r="U117"/>
      <c r="V117"/>
    </row>
    <row r="118" spans="10:22" s="1" customFormat="1" x14ac:dyDescent="0.2">
      <c r="J118"/>
      <c r="K118"/>
      <c r="L118"/>
      <c r="M118"/>
      <c r="N118" s="2"/>
      <c r="R118"/>
      <c r="S118"/>
      <c r="T118"/>
      <c r="U118"/>
      <c r="V118"/>
    </row>
    <row r="119" spans="10:22" s="1" customFormat="1" x14ac:dyDescent="0.2">
      <c r="J119"/>
      <c r="K119"/>
      <c r="L119"/>
      <c r="M119"/>
      <c r="N119" s="2"/>
      <c r="R119"/>
      <c r="S119"/>
      <c r="T119"/>
      <c r="U119"/>
      <c r="V119"/>
    </row>
    <row r="120" spans="10:22" s="1" customFormat="1" x14ac:dyDescent="0.2">
      <c r="J120"/>
      <c r="K120"/>
      <c r="L120"/>
      <c r="M120"/>
      <c r="N120" s="2"/>
      <c r="R120"/>
      <c r="S120"/>
      <c r="T120"/>
      <c r="U120"/>
      <c r="V120"/>
    </row>
    <row r="121" spans="10:22" s="1" customFormat="1" x14ac:dyDescent="0.2">
      <c r="J121"/>
      <c r="K121"/>
      <c r="L121"/>
      <c r="M121"/>
      <c r="N121" s="2"/>
      <c r="R121"/>
      <c r="S121"/>
      <c r="T121"/>
      <c r="U121"/>
      <c r="V121"/>
    </row>
    <row r="122" spans="10:22" s="1" customFormat="1" x14ac:dyDescent="0.2">
      <c r="J122"/>
      <c r="K122"/>
      <c r="L122"/>
      <c r="M122"/>
      <c r="N122" s="2"/>
      <c r="R122"/>
      <c r="S122"/>
      <c r="T122"/>
      <c r="U122"/>
      <c r="V122"/>
    </row>
    <row r="123" spans="10:22" s="1" customFormat="1" x14ac:dyDescent="0.2">
      <c r="J123"/>
      <c r="K123"/>
      <c r="L123"/>
      <c r="M123"/>
      <c r="N123" s="2"/>
      <c r="R123"/>
      <c r="S123"/>
      <c r="T123"/>
      <c r="U123"/>
      <c r="V123"/>
    </row>
    <row r="124" spans="10:22" s="1" customFormat="1" x14ac:dyDescent="0.2">
      <c r="J124"/>
      <c r="K124"/>
      <c r="L124"/>
      <c r="M124"/>
      <c r="N124" s="2"/>
      <c r="R124"/>
      <c r="S124"/>
      <c r="T124"/>
      <c r="U124"/>
      <c r="V124"/>
    </row>
    <row r="125" spans="10:22" s="1" customFormat="1" x14ac:dyDescent="0.2">
      <c r="J125"/>
      <c r="K125"/>
      <c r="L125"/>
      <c r="M125"/>
      <c r="N125" s="2"/>
      <c r="R125"/>
      <c r="S125"/>
      <c r="T125"/>
      <c r="U125"/>
      <c r="V125"/>
    </row>
    <row r="126" spans="10:22" s="1" customFormat="1" x14ac:dyDescent="0.2">
      <c r="J126"/>
      <c r="K126"/>
      <c r="L126"/>
      <c r="M126"/>
      <c r="N126" s="2"/>
      <c r="R126"/>
      <c r="S126"/>
      <c r="T126"/>
      <c r="U126"/>
      <c r="V126"/>
    </row>
    <row r="127" spans="10:22" s="1" customFormat="1" x14ac:dyDescent="0.2">
      <c r="J127"/>
      <c r="K127"/>
      <c r="L127"/>
      <c r="M127"/>
      <c r="N127" s="2"/>
      <c r="R127"/>
      <c r="S127"/>
      <c r="T127"/>
      <c r="U127"/>
      <c r="V127"/>
    </row>
    <row r="128" spans="10:22" s="1" customFormat="1" x14ac:dyDescent="0.2">
      <c r="J128"/>
      <c r="K128"/>
      <c r="L128"/>
      <c r="M128"/>
      <c r="N128" s="2"/>
      <c r="R128"/>
      <c r="S128"/>
      <c r="T128"/>
      <c r="U128"/>
      <c r="V128"/>
    </row>
    <row r="129" spans="10:22" s="1" customFormat="1" x14ac:dyDescent="0.2">
      <c r="J129"/>
      <c r="K129"/>
      <c r="L129"/>
      <c r="M129"/>
      <c r="N129" s="2"/>
      <c r="R129"/>
      <c r="S129"/>
      <c r="T129"/>
      <c r="U129"/>
      <c r="V129"/>
    </row>
    <row r="130" spans="10:22" s="1" customFormat="1" x14ac:dyDescent="0.2">
      <c r="J130"/>
      <c r="K130"/>
      <c r="L130"/>
      <c r="M130"/>
      <c r="N130" s="2"/>
      <c r="R130"/>
      <c r="S130"/>
      <c r="T130"/>
      <c r="U130"/>
      <c r="V130"/>
    </row>
    <row r="131" spans="10:22" s="1" customFormat="1" x14ac:dyDescent="0.2">
      <c r="J131"/>
      <c r="K131"/>
      <c r="L131"/>
      <c r="M131"/>
      <c r="N131" s="2"/>
      <c r="R131"/>
      <c r="S131"/>
      <c r="T131"/>
      <c r="U131"/>
      <c r="V131"/>
    </row>
    <row r="132" spans="10:22" s="1" customFormat="1" x14ac:dyDescent="0.2">
      <c r="J132"/>
      <c r="K132"/>
      <c r="L132"/>
      <c r="M132"/>
      <c r="N132" s="2"/>
      <c r="R132"/>
      <c r="S132"/>
      <c r="T132"/>
      <c r="U132"/>
      <c r="V132"/>
    </row>
    <row r="133" spans="10:22" s="1" customFormat="1" x14ac:dyDescent="0.2">
      <c r="J133"/>
      <c r="K133"/>
      <c r="L133"/>
      <c r="M133"/>
      <c r="N133" s="2"/>
      <c r="R133"/>
      <c r="S133"/>
      <c r="T133"/>
      <c r="U133"/>
      <c r="V133"/>
    </row>
    <row r="134" spans="10:22" s="1" customFormat="1" x14ac:dyDescent="0.2">
      <c r="J134"/>
      <c r="K134"/>
      <c r="L134"/>
      <c r="M134"/>
      <c r="N134" s="2"/>
      <c r="R134"/>
      <c r="S134"/>
      <c r="T134"/>
      <c r="U134"/>
      <c r="V134"/>
    </row>
    <row r="135" spans="10:22" s="1" customFormat="1" x14ac:dyDescent="0.2">
      <c r="J135"/>
      <c r="K135"/>
      <c r="L135"/>
      <c r="M135"/>
      <c r="N135" s="2"/>
      <c r="R135"/>
      <c r="S135"/>
      <c r="T135"/>
      <c r="U135"/>
      <c r="V135"/>
    </row>
    <row r="136" spans="10:22" s="1" customFormat="1" x14ac:dyDescent="0.2">
      <c r="J136"/>
      <c r="K136"/>
      <c r="L136"/>
      <c r="M136"/>
      <c r="N136" s="2"/>
      <c r="R136"/>
      <c r="S136"/>
      <c r="T136"/>
      <c r="U136"/>
      <c r="V136"/>
    </row>
    <row r="137" spans="10:22" s="1" customFormat="1" x14ac:dyDescent="0.2">
      <c r="J137"/>
      <c r="K137"/>
      <c r="L137"/>
      <c r="M137"/>
      <c r="N137" s="2"/>
      <c r="R137"/>
      <c r="S137"/>
      <c r="T137"/>
      <c r="U137"/>
      <c r="V137"/>
    </row>
    <row r="138" spans="10:22" s="1" customFormat="1" x14ac:dyDescent="0.2">
      <c r="J138"/>
      <c r="K138"/>
      <c r="L138"/>
      <c r="M138"/>
      <c r="N138" s="2"/>
      <c r="R138"/>
      <c r="S138"/>
      <c r="T138"/>
      <c r="U138"/>
      <c r="V138"/>
    </row>
    <row r="139" spans="10:22" s="1" customFormat="1" x14ac:dyDescent="0.2">
      <c r="J139"/>
      <c r="K139"/>
      <c r="L139"/>
      <c r="M139"/>
      <c r="N139" s="2"/>
      <c r="R139"/>
      <c r="S139"/>
      <c r="T139"/>
      <c r="U139"/>
      <c r="V139"/>
    </row>
    <row r="140" spans="10:22" s="1" customFormat="1" x14ac:dyDescent="0.2">
      <c r="J140"/>
      <c r="K140"/>
      <c r="L140"/>
      <c r="M140"/>
      <c r="N140" s="2"/>
      <c r="R140"/>
      <c r="S140"/>
      <c r="T140"/>
      <c r="U140"/>
      <c r="V140"/>
    </row>
    <row r="141" spans="10:22" s="1" customFormat="1" x14ac:dyDescent="0.2">
      <c r="J141"/>
      <c r="K141"/>
      <c r="L141"/>
      <c r="M141"/>
      <c r="N141" s="2"/>
      <c r="R141"/>
      <c r="S141"/>
      <c r="T141"/>
      <c r="U141"/>
      <c r="V141"/>
    </row>
    <row r="142" spans="10:22" s="1" customFormat="1" x14ac:dyDescent="0.2">
      <c r="J142"/>
      <c r="K142"/>
      <c r="L142"/>
      <c r="M142"/>
      <c r="N142" s="2"/>
      <c r="R142"/>
      <c r="S142"/>
      <c r="T142"/>
      <c r="U142"/>
      <c r="V142"/>
    </row>
    <row r="143" spans="10:22" s="1" customFormat="1" x14ac:dyDescent="0.2">
      <c r="J143"/>
      <c r="K143"/>
      <c r="L143"/>
      <c r="M143"/>
      <c r="N143" s="2"/>
      <c r="R143"/>
      <c r="S143"/>
      <c r="T143"/>
      <c r="U143"/>
      <c r="V143"/>
    </row>
    <row r="144" spans="10:22" s="1" customFormat="1" x14ac:dyDescent="0.2">
      <c r="J144"/>
      <c r="K144"/>
      <c r="L144"/>
      <c r="M144"/>
      <c r="N144" s="2"/>
      <c r="R144"/>
      <c r="S144"/>
      <c r="T144"/>
      <c r="U144"/>
      <c r="V144"/>
    </row>
    <row r="145" spans="10:22" s="1" customFormat="1" x14ac:dyDescent="0.2">
      <c r="J145"/>
      <c r="K145"/>
      <c r="L145"/>
      <c r="M145"/>
      <c r="N145" s="2"/>
      <c r="R145"/>
      <c r="S145"/>
      <c r="T145"/>
      <c r="U145"/>
      <c r="V145"/>
    </row>
    <row r="146" spans="10:22" s="1" customFormat="1" x14ac:dyDescent="0.2">
      <c r="J146"/>
      <c r="K146"/>
      <c r="L146"/>
      <c r="M146"/>
      <c r="N146" s="2"/>
      <c r="R146"/>
      <c r="S146"/>
      <c r="T146"/>
      <c r="U146"/>
      <c r="V146"/>
    </row>
    <row r="147" spans="10:22" s="1" customFormat="1" x14ac:dyDescent="0.2">
      <c r="J147"/>
      <c r="K147"/>
      <c r="L147"/>
      <c r="M147"/>
      <c r="N147" s="2"/>
      <c r="R147"/>
      <c r="S147"/>
      <c r="T147"/>
      <c r="U147"/>
      <c r="V147"/>
    </row>
    <row r="148" spans="10:22" s="1" customFormat="1" x14ac:dyDescent="0.2">
      <c r="J148"/>
      <c r="K148"/>
      <c r="L148"/>
      <c r="M148"/>
      <c r="N148" s="2"/>
      <c r="R148"/>
      <c r="S148"/>
      <c r="T148"/>
      <c r="U148"/>
      <c r="V148"/>
    </row>
    <row r="149" spans="10:22" s="1" customFormat="1" x14ac:dyDescent="0.2">
      <c r="J149"/>
      <c r="K149"/>
      <c r="L149"/>
      <c r="M149"/>
      <c r="N149" s="2"/>
      <c r="R149"/>
      <c r="S149"/>
      <c r="T149"/>
      <c r="U149"/>
      <c r="V149"/>
    </row>
    <row r="150" spans="10:22" s="1" customFormat="1" x14ac:dyDescent="0.2">
      <c r="J150"/>
      <c r="K150"/>
      <c r="L150"/>
      <c r="M150"/>
      <c r="N150" s="2"/>
      <c r="R150"/>
      <c r="S150"/>
      <c r="T150"/>
      <c r="U150"/>
      <c r="V150"/>
    </row>
    <row r="151" spans="10:22" s="1" customFormat="1" x14ac:dyDescent="0.2">
      <c r="J151"/>
      <c r="K151"/>
      <c r="L151"/>
      <c r="M151"/>
      <c r="N151" s="2"/>
      <c r="R151"/>
      <c r="S151"/>
      <c r="T151"/>
      <c r="U151"/>
      <c r="V151"/>
    </row>
    <row r="152" spans="10:22" s="1" customFormat="1" x14ac:dyDescent="0.2">
      <c r="J152"/>
      <c r="K152"/>
      <c r="L152"/>
      <c r="M152"/>
      <c r="N152" s="2"/>
      <c r="R152"/>
      <c r="S152"/>
      <c r="T152"/>
      <c r="U152"/>
      <c r="V152"/>
    </row>
    <row r="153" spans="10:22" s="1" customFormat="1" x14ac:dyDescent="0.2">
      <c r="J153"/>
      <c r="K153"/>
      <c r="L153"/>
      <c r="M153"/>
      <c r="N153" s="2"/>
      <c r="R153"/>
      <c r="S153"/>
      <c r="T153"/>
      <c r="U153"/>
      <c r="V153"/>
    </row>
    <row r="154" spans="10:22" s="1" customFormat="1" x14ac:dyDescent="0.2">
      <c r="J154"/>
      <c r="K154"/>
      <c r="L154"/>
      <c r="M154"/>
      <c r="N154" s="2"/>
      <c r="R154"/>
      <c r="S154"/>
      <c r="T154"/>
      <c r="U154"/>
      <c r="V154"/>
    </row>
    <row r="155" spans="10:22" s="1" customFormat="1" x14ac:dyDescent="0.2">
      <c r="J155"/>
      <c r="K155"/>
      <c r="L155"/>
      <c r="M155"/>
      <c r="N155" s="2"/>
      <c r="R155"/>
      <c r="S155"/>
      <c r="T155"/>
      <c r="U155"/>
      <c r="V155"/>
    </row>
    <row r="156" spans="10:22" s="1" customFormat="1" x14ac:dyDescent="0.2">
      <c r="J156"/>
      <c r="K156"/>
      <c r="L156"/>
      <c r="M156"/>
      <c r="N156" s="2"/>
      <c r="R156"/>
      <c r="S156"/>
      <c r="T156"/>
      <c r="U156"/>
      <c r="V156"/>
    </row>
    <row r="157" spans="10:22" s="1" customFormat="1" x14ac:dyDescent="0.2">
      <c r="J157"/>
      <c r="K157"/>
      <c r="L157"/>
      <c r="M157"/>
      <c r="N157" s="2"/>
      <c r="R157"/>
      <c r="S157"/>
      <c r="T157"/>
      <c r="U157"/>
      <c r="V157"/>
    </row>
    <row r="158" spans="10:22" s="1" customFormat="1" x14ac:dyDescent="0.2">
      <c r="J158"/>
      <c r="K158"/>
      <c r="L158"/>
      <c r="M158"/>
      <c r="N158" s="2"/>
      <c r="R158"/>
      <c r="S158"/>
      <c r="T158"/>
      <c r="U158"/>
      <c r="V158"/>
    </row>
    <row r="159" spans="10:22" s="1" customFormat="1" x14ac:dyDescent="0.2">
      <c r="J159"/>
      <c r="K159"/>
      <c r="L159"/>
      <c r="M159"/>
      <c r="N159" s="2"/>
      <c r="R159"/>
      <c r="S159"/>
      <c r="T159"/>
      <c r="U159"/>
      <c r="V159"/>
    </row>
    <row r="160" spans="10:22" s="1" customFormat="1" x14ac:dyDescent="0.2">
      <c r="J160"/>
      <c r="K160"/>
      <c r="L160"/>
      <c r="M160"/>
      <c r="N160" s="2"/>
      <c r="R160"/>
      <c r="S160"/>
      <c r="T160"/>
      <c r="U160"/>
      <c r="V160"/>
    </row>
    <row r="161" spans="10:22" s="1" customFormat="1" x14ac:dyDescent="0.2">
      <c r="J161"/>
      <c r="K161"/>
      <c r="L161"/>
      <c r="M161"/>
      <c r="N161" s="2"/>
      <c r="R161"/>
      <c r="S161"/>
      <c r="T161"/>
      <c r="U161"/>
      <c r="V161"/>
    </row>
    <row r="162" spans="10:22" s="1" customFormat="1" x14ac:dyDescent="0.2">
      <c r="J162"/>
      <c r="K162"/>
      <c r="L162"/>
      <c r="M162"/>
      <c r="N162" s="2"/>
      <c r="R162"/>
      <c r="S162"/>
      <c r="T162"/>
      <c r="U162"/>
      <c r="V162"/>
    </row>
    <row r="163" spans="10:22" s="1" customFormat="1" x14ac:dyDescent="0.2">
      <c r="J163"/>
      <c r="K163"/>
      <c r="L163"/>
      <c r="M163"/>
      <c r="N163" s="2"/>
      <c r="R163"/>
      <c r="S163"/>
      <c r="T163"/>
      <c r="U163"/>
      <c r="V163"/>
    </row>
    <row r="164" spans="10:22" s="1" customFormat="1" x14ac:dyDescent="0.2">
      <c r="J164"/>
      <c r="K164"/>
      <c r="L164"/>
      <c r="M164"/>
      <c r="N164" s="2"/>
      <c r="R164"/>
      <c r="S164"/>
      <c r="T164"/>
      <c r="U164"/>
      <c r="V164"/>
    </row>
    <row r="165" spans="10:22" s="1" customFormat="1" x14ac:dyDescent="0.2">
      <c r="J165"/>
      <c r="K165"/>
      <c r="L165"/>
      <c r="M165"/>
      <c r="N165" s="2"/>
      <c r="R165"/>
      <c r="S165"/>
      <c r="T165"/>
      <c r="U165"/>
      <c r="V165"/>
    </row>
    <row r="166" spans="10:22" s="1" customFormat="1" x14ac:dyDescent="0.2">
      <c r="J166"/>
      <c r="K166"/>
      <c r="L166"/>
      <c r="M166"/>
      <c r="N166" s="2"/>
      <c r="R166"/>
      <c r="S166"/>
      <c r="T166"/>
      <c r="U166"/>
      <c r="V166"/>
    </row>
    <row r="167" spans="10:22" s="1" customFormat="1" x14ac:dyDescent="0.2">
      <c r="J167"/>
      <c r="K167"/>
      <c r="L167"/>
      <c r="M167"/>
      <c r="N167" s="2"/>
      <c r="R167"/>
      <c r="S167"/>
      <c r="T167"/>
      <c r="U167"/>
      <c r="V167"/>
    </row>
    <row r="168" spans="10:22" s="1" customFormat="1" x14ac:dyDescent="0.2">
      <c r="J168"/>
      <c r="K168"/>
      <c r="L168"/>
      <c r="M168"/>
      <c r="N168" s="2"/>
      <c r="R168"/>
      <c r="S168"/>
      <c r="T168"/>
      <c r="U168"/>
      <c r="V168"/>
    </row>
    <row r="169" spans="10:22" s="1" customFormat="1" x14ac:dyDescent="0.2">
      <c r="J169"/>
      <c r="K169"/>
      <c r="L169"/>
      <c r="M169"/>
      <c r="N169" s="2"/>
      <c r="R169"/>
      <c r="S169"/>
      <c r="T169"/>
      <c r="U169"/>
      <c r="V169"/>
    </row>
    <row r="170" spans="10:22" s="1" customFormat="1" x14ac:dyDescent="0.2">
      <c r="J170"/>
      <c r="K170"/>
      <c r="L170"/>
      <c r="M170"/>
      <c r="N170" s="2"/>
      <c r="R170"/>
      <c r="S170"/>
      <c r="T170"/>
      <c r="U170"/>
      <c r="V170"/>
    </row>
    <row r="171" spans="10:22" s="1" customFormat="1" x14ac:dyDescent="0.2">
      <c r="J171"/>
      <c r="K171"/>
      <c r="L171"/>
      <c r="M171"/>
      <c r="N171" s="2"/>
      <c r="R171"/>
      <c r="S171"/>
      <c r="T171"/>
      <c r="U171"/>
      <c r="V171"/>
    </row>
    <row r="172" spans="10:22" s="1" customFormat="1" x14ac:dyDescent="0.2">
      <c r="J172"/>
      <c r="K172"/>
      <c r="L172"/>
      <c r="M172"/>
      <c r="N172" s="2"/>
      <c r="R172"/>
      <c r="S172"/>
      <c r="T172"/>
      <c r="U172"/>
      <c r="V172"/>
    </row>
    <row r="173" spans="10:22" s="1" customFormat="1" x14ac:dyDescent="0.2">
      <c r="J173"/>
      <c r="K173"/>
      <c r="L173"/>
      <c r="M173"/>
      <c r="N173" s="2"/>
      <c r="R173"/>
      <c r="S173"/>
      <c r="T173"/>
      <c r="U173"/>
      <c r="V173"/>
    </row>
    <row r="174" spans="10:22" s="1" customFormat="1" x14ac:dyDescent="0.2">
      <c r="J174"/>
      <c r="K174"/>
      <c r="L174"/>
      <c r="M174"/>
      <c r="N174" s="2"/>
      <c r="R174"/>
      <c r="S174"/>
      <c r="T174"/>
      <c r="U174"/>
      <c r="V174"/>
    </row>
    <row r="175" spans="10:22" s="1" customFormat="1" x14ac:dyDescent="0.2">
      <c r="J175"/>
      <c r="K175"/>
      <c r="L175"/>
      <c r="M175"/>
      <c r="N175" s="2"/>
      <c r="R175"/>
      <c r="S175"/>
      <c r="T175"/>
      <c r="U175"/>
      <c r="V175"/>
    </row>
    <row r="176" spans="10:22" s="1" customFormat="1" x14ac:dyDescent="0.2">
      <c r="J176"/>
      <c r="K176"/>
      <c r="L176"/>
      <c r="M176"/>
      <c r="N176" s="2"/>
      <c r="R176"/>
      <c r="S176"/>
      <c r="T176"/>
      <c r="U176"/>
      <c r="V176"/>
    </row>
    <row r="177" spans="10:22" s="1" customFormat="1" x14ac:dyDescent="0.2">
      <c r="J177"/>
      <c r="K177"/>
      <c r="L177"/>
      <c r="M177"/>
      <c r="N177" s="2"/>
      <c r="R177"/>
      <c r="S177"/>
      <c r="T177"/>
      <c r="U177"/>
      <c r="V177"/>
    </row>
    <row r="178" spans="10:22" s="1" customFormat="1" x14ac:dyDescent="0.2">
      <c r="J178"/>
      <c r="K178"/>
      <c r="L178"/>
      <c r="M178"/>
      <c r="N178" s="2"/>
      <c r="R178"/>
      <c r="S178"/>
      <c r="T178"/>
      <c r="U178"/>
      <c r="V178"/>
    </row>
    <row r="179" spans="10:22" s="1" customFormat="1" x14ac:dyDescent="0.2">
      <c r="J179"/>
      <c r="K179"/>
      <c r="L179"/>
      <c r="M179"/>
      <c r="N179" s="2"/>
      <c r="R179"/>
      <c r="S179"/>
      <c r="T179"/>
      <c r="U179"/>
      <c r="V179"/>
    </row>
    <row r="180" spans="10:22" s="1" customFormat="1" x14ac:dyDescent="0.2">
      <c r="J180"/>
      <c r="K180"/>
      <c r="L180"/>
      <c r="M180"/>
      <c r="N180" s="2"/>
      <c r="R180"/>
      <c r="S180"/>
      <c r="T180"/>
      <c r="U180"/>
      <c r="V180"/>
    </row>
    <row r="181" spans="10:22" s="1" customFormat="1" x14ac:dyDescent="0.2">
      <c r="J181"/>
      <c r="K181"/>
      <c r="L181"/>
      <c r="M181"/>
      <c r="N181" s="2"/>
      <c r="R181"/>
      <c r="S181"/>
      <c r="T181"/>
      <c r="U181"/>
      <c r="V181"/>
    </row>
    <row r="182" spans="10:22" s="1" customFormat="1" x14ac:dyDescent="0.2">
      <c r="J182"/>
      <c r="K182"/>
      <c r="L182"/>
      <c r="M182"/>
      <c r="N182" s="2"/>
      <c r="R182"/>
      <c r="S182"/>
      <c r="T182"/>
      <c r="U182"/>
      <c r="V182"/>
    </row>
    <row r="183" spans="10:22" s="1" customFormat="1" x14ac:dyDescent="0.2">
      <c r="J183"/>
      <c r="K183"/>
      <c r="L183"/>
      <c r="M183"/>
      <c r="N183" s="2"/>
      <c r="R183"/>
      <c r="S183"/>
      <c r="T183"/>
      <c r="U183"/>
      <c r="V183"/>
    </row>
    <row r="184" spans="10:22" s="1" customFormat="1" x14ac:dyDescent="0.2">
      <c r="J184"/>
      <c r="K184"/>
      <c r="L184"/>
      <c r="M184"/>
      <c r="N184" s="2"/>
      <c r="R184"/>
      <c r="S184"/>
      <c r="T184"/>
      <c r="U184"/>
      <c r="V184"/>
    </row>
    <row r="185" spans="10:22" s="1" customFormat="1" x14ac:dyDescent="0.2">
      <c r="J185"/>
      <c r="K185"/>
      <c r="L185"/>
      <c r="M185"/>
      <c r="N185" s="2"/>
      <c r="R185"/>
      <c r="S185"/>
      <c r="T185"/>
      <c r="U185"/>
      <c r="V185"/>
    </row>
    <row r="186" spans="10:22" s="1" customFormat="1" x14ac:dyDescent="0.2">
      <c r="J186"/>
      <c r="K186"/>
      <c r="L186"/>
      <c r="M186"/>
      <c r="N186" s="2"/>
      <c r="R186"/>
      <c r="S186"/>
      <c r="T186"/>
      <c r="U186"/>
      <c r="V186"/>
    </row>
    <row r="187" spans="10:22" s="1" customFormat="1" x14ac:dyDescent="0.2">
      <c r="J187"/>
      <c r="K187"/>
      <c r="L187"/>
      <c r="M187"/>
      <c r="N187" s="2"/>
      <c r="R187"/>
      <c r="S187"/>
      <c r="T187"/>
      <c r="U187"/>
      <c r="V187"/>
    </row>
    <row r="188" spans="10:22" s="1" customFormat="1" x14ac:dyDescent="0.2">
      <c r="J188"/>
      <c r="K188"/>
      <c r="L188"/>
      <c r="M188"/>
      <c r="N188" s="2"/>
      <c r="R188"/>
      <c r="S188"/>
      <c r="T188"/>
      <c r="U188"/>
      <c r="V188"/>
    </row>
    <row r="189" spans="10:22" s="1" customFormat="1" x14ac:dyDescent="0.2">
      <c r="J189"/>
      <c r="K189"/>
      <c r="L189"/>
      <c r="M189"/>
      <c r="N189" s="2"/>
      <c r="R189"/>
      <c r="S189"/>
      <c r="T189"/>
      <c r="U189"/>
      <c r="V189"/>
    </row>
    <row r="190" spans="10:22" s="1" customFormat="1" x14ac:dyDescent="0.2">
      <c r="J190"/>
      <c r="K190"/>
      <c r="L190"/>
      <c r="M190"/>
      <c r="N190" s="2"/>
      <c r="R190"/>
      <c r="S190"/>
      <c r="T190"/>
      <c r="U190"/>
      <c r="V190"/>
    </row>
    <row r="191" spans="10:22" s="1" customFormat="1" x14ac:dyDescent="0.2">
      <c r="J191"/>
      <c r="K191"/>
      <c r="L191"/>
      <c r="M191"/>
      <c r="N191" s="2"/>
      <c r="R191"/>
      <c r="S191"/>
      <c r="T191"/>
      <c r="U191"/>
      <c r="V191"/>
    </row>
    <row r="192" spans="10:22" s="1" customFormat="1" x14ac:dyDescent="0.2">
      <c r="J192"/>
      <c r="K192"/>
      <c r="L192"/>
      <c r="M192"/>
      <c r="N192" s="2"/>
      <c r="R192"/>
      <c r="S192"/>
      <c r="T192"/>
      <c r="U192"/>
      <c r="V192"/>
    </row>
    <row r="193" spans="10:22" s="1" customFormat="1" x14ac:dyDescent="0.2">
      <c r="J193"/>
      <c r="K193"/>
      <c r="L193"/>
      <c r="M193"/>
      <c r="N193" s="2"/>
      <c r="R193"/>
      <c r="S193"/>
      <c r="T193"/>
      <c r="U193"/>
      <c r="V193"/>
    </row>
    <row r="194" spans="10:22" s="1" customFormat="1" x14ac:dyDescent="0.2">
      <c r="J194"/>
      <c r="K194"/>
      <c r="L194"/>
      <c r="M194"/>
      <c r="N194" s="2"/>
      <c r="R194"/>
      <c r="S194"/>
      <c r="T194"/>
      <c r="U194"/>
      <c r="V194"/>
    </row>
    <row r="195" spans="10:22" s="1" customFormat="1" x14ac:dyDescent="0.2">
      <c r="J195"/>
      <c r="K195"/>
      <c r="L195"/>
      <c r="M195"/>
      <c r="N195" s="2"/>
      <c r="R195"/>
      <c r="S195"/>
      <c r="T195"/>
      <c r="U195"/>
      <c r="V195"/>
    </row>
    <row r="196" spans="10:22" s="1" customFormat="1" x14ac:dyDescent="0.2">
      <c r="J196"/>
      <c r="K196"/>
      <c r="L196"/>
      <c r="M196"/>
      <c r="N196" s="2"/>
      <c r="R196"/>
      <c r="S196"/>
      <c r="T196"/>
      <c r="U196"/>
      <c r="V196"/>
    </row>
    <row r="197" spans="10:22" s="1" customFormat="1" x14ac:dyDescent="0.2">
      <c r="J197"/>
      <c r="K197"/>
      <c r="L197"/>
      <c r="M197"/>
      <c r="N197" s="2"/>
      <c r="R197"/>
      <c r="S197"/>
      <c r="T197"/>
      <c r="U197"/>
      <c r="V197"/>
    </row>
    <row r="198" spans="10:22" s="1" customFormat="1" x14ac:dyDescent="0.2">
      <c r="J198"/>
      <c r="K198"/>
      <c r="L198"/>
      <c r="M198"/>
      <c r="N198" s="2"/>
      <c r="R198"/>
      <c r="S198"/>
      <c r="T198"/>
      <c r="U198"/>
      <c r="V198"/>
    </row>
    <row r="199" spans="10:22" s="1" customFormat="1" x14ac:dyDescent="0.2">
      <c r="J199"/>
      <c r="K199"/>
      <c r="L199"/>
      <c r="M199"/>
      <c r="N199" s="2"/>
      <c r="R199"/>
      <c r="S199"/>
      <c r="T199"/>
      <c r="U199"/>
      <c r="V199"/>
    </row>
    <row r="200" spans="10:22" s="1" customFormat="1" x14ac:dyDescent="0.2">
      <c r="J200"/>
      <c r="K200"/>
      <c r="L200"/>
      <c r="M200"/>
      <c r="N200" s="2"/>
      <c r="R200"/>
      <c r="S200"/>
      <c r="T200"/>
      <c r="U200"/>
      <c r="V200"/>
    </row>
    <row r="201" spans="10:22" s="1" customFormat="1" x14ac:dyDescent="0.2">
      <c r="J201"/>
      <c r="K201"/>
      <c r="L201"/>
      <c r="M201"/>
      <c r="N201" s="2"/>
      <c r="R201"/>
      <c r="S201"/>
      <c r="T201"/>
      <c r="U201"/>
      <c r="V201"/>
    </row>
    <row r="202" spans="10:22" s="1" customFormat="1" x14ac:dyDescent="0.2">
      <c r="J202"/>
      <c r="K202"/>
      <c r="L202"/>
      <c r="M202"/>
      <c r="N202" s="2"/>
      <c r="R202"/>
      <c r="S202"/>
      <c r="T202"/>
      <c r="U202"/>
      <c r="V202"/>
    </row>
    <row r="203" spans="10:22" s="1" customFormat="1" x14ac:dyDescent="0.2">
      <c r="J203"/>
      <c r="K203"/>
      <c r="L203"/>
      <c r="M203"/>
      <c r="N203" s="2"/>
      <c r="R203"/>
      <c r="S203"/>
      <c r="T203"/>
      <c r="U203"/>
      <c r="V203"/>
    </row>
    <row r="204" spans="10:22" s="1" customFormat="1" x14ac:dyDescent="0.2">
      <c r="J204"/>
      <c r="K204"/>
      <c r="L204"/>
      <c r="M204"/>
      <c r="N204" s="2"/>
      <c r="R204"/>
      <c r="S204"/>
      <c r="T204"/>
      <c r="U204"/>
      <c r="V204"/>
    </row>
    <row r="205" spans="10:22" s="1" customFormat="1" x14ac:dyDescent="0.2">
      <c r="J205"/>
      <c r="K205"/>
      <c r="L205"/>
      <c r="M205"/>
      <c r="N205" s="2"/>
      <c r="R205"/>
      <c r="S205"/>
      <c r="T205"/>
      <c r="U205"/>
      <c r="V205"/>
    </row>
    <row r="206" spans="10:22" s="1" customFormat="1" x14ac:dyDescent="0.2">
      <c r="J206"/>
      <c r="K206"/>
      <c r="L206"/>
      <c r="M206"/>
      <c r="N206" s="2"/>
      <c r="R206"/>
      <c r="S206"/>
      <c r="T206"/>
      <c r="U206"/>
      <c r="V206"/>
    </row>
    <row r="207" spans="10:22" s="1" customFormat="1" x14ac:dyDescent="0.2">
      <c r="J207"/>
      <c r="K207"/>
      <c r="L207"/>
      <c r="M207"/>
      <c r="N207" s="2"/>
      <c r="R207"/>
      <c r="S207"/>
      <c r="T207"/>
      <c r="U207"/>
      <c r="V207"/>
    </row>
    <row r="208" spans="10:22" s="1" customFormat="1" x14ac:dyDescent="0.2">
      <c r="J208"/>
      <c r="K208"/>
      <c r="L208"/>
      <c r="M208"/>
      <c r="N208" s="2"/>
      <c r="R208"/>
      <c r="S208"/>
      <c r="T208"/>
      <c r="U208"/>
      <c r="V208"/>
    </row>
    <row r="209" spans="10:22" s="1" customFormat="1" x14ac:dyDescent="0.2">
      <c r="J209"/>
      <c r="K209"/>
      <c r="L209"/>
      <c r="M209"/>
      <c r="N209" s="2"/>
      <c r="R209"/>
      <c r="S209"/>
      <c r="T209"/>
      <c r="U209"/>
      <c r="V209"/>
    </row>
    <row r="210" spans="10:22" s="1" customFormat="1" x14ac:dyDescent="0.2">
      <c r="J210"/>
      <c r="K210"/>
      <c r="L210"/>
      <c r="M210"/>
      <c r="N210" s="2"/>
      <c r="R210"/>
      <c r="S210"/>
      <c r="T210"/>
      <c r="U210"/>
      <c r="V210"/>
    </row>
    <row r="211" spans="10:22" s="1" customFormat="1" x14ac:dyDescent="0.2">
      <c r="J211"/>
      <c r="K211"/>
      <c r="L211"/>
      <c r="M211"/>
      <c r="N211" s="2"/>
      <c r="R211"/>
      <c r="S211"/>
      <c r="T211"/>
      <c r="U211"/>
      <c r="V211"/>
    </row>
    <row r="212" spans="10:22" s="1" customFormat="1" x14ac:dyDescent="0.2">
      <c r="J212"/>
      <c r="K212"/>
      <c r="L212"/>
      <c r="M212"/>
      <c r="N212" s="2"/>
      <c r="R212"/>
      <c r="S212"/>
      <c r="T212"/>
      <c r="U212"/>
      <c r="V212"/>
    </row>
    <row r="213" spans="10:22" s="1" customFormat="1" x14ac:dyDescent="0.2">
      <c r="J213"/>
      <c r="K213"/>
      <c r="L213"/>
      <c r="M213"/>
      <c r="N213" s="2"/>
      <c r="R213"/>
      <c r="S213"/>
      <c r="T213"/>
      <c r="U213"/>
      <c r="V213"/>
    </row>
    <row r="214" spans="10:22" s="1" customFormat="1" x14ac:dyDescent="0.2">
      <c r="J214"/>
      <c r="K214"/>
      <c r="L214"/>
      <c r="M214"/>
      <c r="N214" s="2"/>
      <c r="R214"/>
      <c r="S214"/>
      <c r="T214"/>
      <c r="U214"/>
      <c r="V214"/>
    </row>
    <row r="215" spans="10:22" s="1" customFormat="1" x14ac:dyDescent="0.2">
      <c r="J215"/>
      <c r="K215"/>
      <c r="L215"/>
      <c r="M215"/>
      <c r="N215" s="2"/>
      <c r="R215"/>
      <c r="S215"/>
      <c r="T215"/>
      <c r="U215"/>
      <c r="V215"/>
    </row>
    <row r="216" spans="10:22" s="1" customFormat="1" x14ac:dyDescent="0.2">
      <c r="J216"/>
      <c r="K216"/>
      <c r="L216"/>
      <c r="M216"/>
      <c r="N216" s="2"/>
      <c r="R216"/>
      <c r="S216"/>
      <c r="T216"/>
      <c r="U216"/>
      <c r="V216"/>
    </row>
    <row r="217" spans="10:22" s="1" customFormat="1" x14ac:dyDescent="0.2">
      <c r="J217"/>
      <c r="K217"/>
      <c r="L217"/>
      <c r="M217"/>
      <c r="N217" s="2"/>
      <c r="R217"/>
      <c r="S217"/>
      <c r="T217"/>
      <c r="U217"/>
      <c r="V217"/>
    </row>
    <row r="218" spans="10:22" s="1" customFormat="1" x14ac:dyDescent="0.2">
      <c r="J218"/>
      <c r="K218"/>
      <c r="L218"/>
      <c r="M218"/>
      <c r="N218" s="2"/>
      <c r="R218"/>
      <c r="S218"/>
      <c r="T218"/>
      <c r="U218"/>
      <c r="V218"/>
    </row>
    <row r="219" spans="10:22" s="1" customFormat="1" x14ac:dyDescent="0.2">
      <c r="J219"/>
      <c r="K219"/>
      <c r="L219"/>
      <c r="M219"/>
      <c r="N219" s="2"/>
      <c r="R219"/>
      <c r="S219"/>
      <c r="T219"/>
      <c r="U219"/>
      <c r="V219"/>
    </row>
    <row r="220" spans="10:22" s="1" customFormat="1" x14ac:dyDescent="0.2">
      <c r="J220"/>
      <c r="K220"/>
      <c r="L220"/>
      <c r="M220"/>
      <c r="N220" s="2"/>
      <c r="R220"/>
      <c r="S220"/>
      <c r="T220"/>
      <c r="U220"/>
      <c r="V220"/>
    </row>
    <row r="221" spans="10:22" s="1" customFormat="1" x14ac:dyDescent="0.2">
      <c r="J221"/>
      <c r="K221"/>
      <c r="L221"/>
      <c r="M221"/>
      <c r="N221" s="2"/>
      <c r="R221"/>
      <c r="S221"/>
      <c r="T221"/>
      <c r="U221"/>
      <c r="V221"/>
    </row>
    <row r="222" spans="10:22" s="1" customFormat="1" x14ac:dyDescent="0.2">
      <c r="J222"/>
      <c r="K222"/>
      <c r="L222"/>
      <c r="M222"/>
      <c r="N222" s="2"/>
      <c r="R222"/>
      <c r="S222"/>
      <c r="T222"/>
      <c r="U222"/>
      <c r="V222"/>
    </row>
    <row r="223" spans="10:22" s="1" customFormat="1" x14ac:dyDescent="0.2">
      <c r="J223"/>
      <c r="K223"/>
      <c r="L223"/>
      <c r="M223"/>
      <c r="N223" s="2"/>
      <c r="R223"/>
      <c r="S223"/>
      <c r="T223"/>
      <c r="U223"/>
      <c r="V223"/>
    </row>
    <row r="224" spans="10:22" s="1" customFormat="1" x14ac:dyDescent="0.2">
      <c r="J224"/>
      <c r="K224"/>
      <c r="L224"/>
      <c r="M224"/>
      <c r="N224" s="2"/>
      <c r="R224"/>
      <c r="S224"/>
      <c r="T224"/>
      <c r="U224"/>
      <c r="V224"/>
    </row>
    <row r="225" spans="10:22" s="1" customFormat="1" x14ac:dyDescent="0.2">
      <c r="J225"/>
      <c r="K225"/>
      <c r="L225"/>
      <c r="M225"/>
      <c r="N225" s="2"/>
      <c r="R225"/>
      <c r="S225"/>
      <c r="T225"/>
      <c r="U225"/>
      <c r="V225"/>
    </row>
    <row r="226" spans="10:22" s="1" customFormat="1" x14ac:dyDescent="0.2">
      <c r="J226"/>
      <c r="K226"/>
      <c r="L226"/>
      <c r="M226"/>
      <c r="N226" s="2"/>
      <c r="R226"/>
      <c r="S226"/>
      <c r="T226"/>
      <c r="U226"/>
      <c r="V226"/>
    </row>
    <row r="227" spans="10:22" s="1" customFormat="1" x14ac:dyDescent="0.2">
      <c r="J227"/>
      <c r="K227"/>
      <c r="L227"/>
      <c r="M227"/>
      <c r="N227" s="2"/>
      <c r="R227"/>
      <c r="S227"/>
      <c r="T227"/>
      <c r="U227"/>
      <c r="V227"/>
    </row>
    <row r="228" spans="10:22" s="1" customFormat="1" x14ac:dyDescent="0.2">
      <c r="J228"/>
      <c r="K228"/>
      <c r="L228"/>
      <c r="M228"/>
      <c r="N228" s="2"/>
      <c r="R228"/>
      <c r="S228"/>
      <c r="T228"/>
      <c r="U228"/>
      <c r="V228"/>
    </row>
    <row r="229" spans="10:22" s="1" customFormat="1" x14ac:dyDescent="0.2">
      <c r="J229"/>
      <c r="K229"/>
      <c r="L229"/>
      <c r="M229"/>
      <c r="N229" s="2"/>
      <c r="R229"/>
      <c r="S229"/>
      <c r="T229"/>
      <c r="U229"/>
      <c r="V229"/>
    </row>
    <row r="230" spans="10:22" s="1" customFormat="1" x14ac:dyDescent="0.2">
      <c r="J230"/>
      <c r="K230"/>
      <c r="L230"/>
      <c r="M230"/>
      <c r="N230" s="2"/>
      <c r="R230"/>
      <c r="S230"/>
      <c r="T230"/>
      <c r="U230"/>
      <c r="V230"/>
    </row>
    <row r="231" spans="10:22" s="1" customFormat="1" x14ac:dyDescent="0.2">
      <c r="J231"/>
      <c r="K231"/>
      <c r="L231"/>
      <c r="M231"/>
      <c r="N231" s="2"/>
      <c r="R231"/>
      <c r="S231"/>
      <c r="T231"/>
      <c r="U231"/>
      <c r="V231"/>
    </row>
    <row r="232" spans="10:22" s="1" customFormat="1" x14ac:dyDescent="0.2">
      <c r="J232"/>
      <c r="K232"/>
      <c r="L232"/>
      <c r="M232"/>
      <c r="N232" s="2"/>
      <c r="R232"/>
      <c r="S232"/>
      <c r="T232"/>
      <c r="U232"/>
      <c r="V232"/>
    </row>
    <row r="233" spans="10:22" s="1" customFormat="1" x14ac:dyDescent="0.2">
      <c r="J233"/>
      <c r="K233"/>
      <c r="L233"/>
      <c r="M233"/>
      <c r="N233" s="2"/>
      <c r="R233"/>
      <c r="S233"/>
      <c r="T233"/>
      <c r="U233"/>
      <c r="V233"/>
    </row>
    <row r="234" spans="10:22" s="1" customFormat="1" x14ac:dyDescent="0.2">
      <c r="J234"/>
      <c r="K234"/>
      <c r="L234"/>
      <c r="M234"/>
      <c r="N234" s="2"/>
      <c r="R234"/>
      <c r="S234"/>
      <c r="T234"/>
      <c r="U234"/>
      <c r="V234"/>
    </row>
    <row r="235" spans="10:22" s="1" customFormat="1" x14ac:dyDescent="0.2">
      <c r="J235"/>
      <c r="K235"/>
      <c r="L235"/>
      <c r="M235"/>
      <c r="N235" s="2"/>
      <c r="R235"/>
      <c r="S235"/>
      <c r="T235"/>
      <c r="U235"/>
      <c r="V235"/>
    </row>
    <row r="236" spans="10:22" s="1" customFormat="1" x14ac:dyDescent="0.2">
      <c r="J236"/>
      <c r="K236"/>
      <c r="L236"/>
      <c r="M236"/>
      <c r="N236" s="2"/>
      <c r="R236"/>
      <c r="S236"/>
      <c r="T236"/>
      <c r="U236"/>
      <c r="V236"/>
    </row>
    <row r="237" spans="10:22" s="1" customFormat="1" x14ac:dyDescent="0.2">
      <c r="J237"/>
      <c r="K237"/>
      <c r="L237"/>
      <c r="M237"/>
      <c r="N237" s="2"/>
      <c r="R237"/>
      <c r="S237"/>
      <c r="T237"/>
      <c r="U237"/>
      <c r="V237"/>
    </row>
    <row r="238" spans="10:22" s="1" customFormat="1" x14ac:dyDescent="0.2">
      <c r="J238"/>
      <c r="K238"/>
      <c r="L238"/>
      <c r="M238"/>
      <c r="N238" s="2"/>
      <c r="R238"/>
      <c r="S238"/>
      <c r="T238"/>
      <c r="U238"/>
      <c r="V238"/>
    </row>
    <row r="239" spans="10:22" s="1" customFormat="1" x14ac:dyDescent="0.2">
      <c r="J239"/>
      <c r="K239"/>
      <c r="L239"/>
      <c r="M239"/>
      <c r="N239" s="2"/>
      <c r="R239"/>
      <c r="S239"/>
      <c r="T239"/>
      <c r="U239"/>
      <c r="V239"/>
    </row>
    <row r="240" spans="10:22" s="1" customFormat="1" x14ac:dyDescent="0.2">
      <c r="J240"/>
      <c r="K240"/>
      <c r="L240"/>
      <c r="M240"/>
      <c r="N240" s="2"/>
      <c r="R240"/>
      <c r="S240"/>
      <c r="T240"/>
      <c r="U240"/>
      <c r="V240"/>
    </row>
    <row r="241" spans="10:22" s="1" customFormat="1" x14ac:dyDescent="0.2">
      <c r="J241"/>
      <c r="K241"/>
      <c r="L241"/>
      <c r="M241"/>
      <c r="N241" s="2"/>
      <c r="R241"/>
      <c r="S241"/>
      <c r="T241"/>
      <c r="U241"/>
      <c r="V241"/>
    </row>
    <row r="242" spans="10:22" s="1" customFormat="1" x14ac:dyDescent="0.2">
      <c r="J242"/>
      <c r="K242"/>
      <c r="L242"/>
      <c r="M242"/>
      <c r="N242" s="2"/>
      <c r="R242"/>
      <c r="S242"/>
      <c r="T242"/>
      <c r="U242"/>
      <c r="V242"/>
    </row>
    <row r="243" spans="10:22" s="1" customFormat="1" x14ac:dyDescent="0.2">
      <c r="J243"/>
      <c r="K243"/>
      <c r="L243"/>
      <c r="M243"/>
      <c r="N243" s="2"/>
      <c r="R243"/>
      <c r="S243"/>
      <c r="T243"/>
      <c r="U243"/>
      <c r="V243"/>
    </row>
    <row r="244" spans="10:22" s="1" customFormat="1" x14ac:dyDescent="0.2">
      <c r="J244"/>
      <c r="K244"/>
      <c r="L244"/>
      <c r="M244"/>
      <c r="N244" s="2"/>
      <c r="R244"/>
      <c r="S244"/>
      <c r="T244"/>
      <c r="U244"/>
      <c r="V244"/>
    </row>
    <row r="245" spans="10:22" s="1" customFormat="1" x14ac:dyDescent="0.2">
      <c r="J245"/>
      <c r="K245"/>
      <c r="L245"/>
      <c r="M245"/>
      <c r="N245" s="2"/>
      <c r="R245"/>
      <c r="S245"/>
      <c r="T245"/>
      <c r="U245"/>
      <c r="V245"/>
    </row>
    <row r="246" spans="10:22" s="1" customFormat="1" x14ac:dyDescent="0.2">
      <c r="J246"/>
      <c r="K246"/>
      <c r="L246"/>
      <c r="M246"/>
      <c r="N246" s="2"/>
      <c r="R246"/>
      <c r="S246"/>
      <c r="T246"/>
      <c r="U246"/>
      <c r="V246"/>
    </row>
    <row r="247" spans="10:22" s="1" customFormat="1" x14ac:dyDescent="0.2">
      <c r="J247"/>
      <c r="K247"/>
      <c r="L247"/>
      <c r="M247"/>
      <c r="N247" s="2"/>
      <c r="R247"/>
      <c r="S247"/>
      <c r="T247"/>
      <c r="U247"/>
      <c r="V247"/>
    </row>
    <row r="248" spans="10:22" s="1" customFormat="1" x14ac:dyDescent="0.2">
      <c r="J248"/>
      <c r="K248"/>
      <c r="L248"/>
      <c r="M248"/>
      <c r="N248" s="2"/>
      <c r="R248"/>
      <c r="S248"/>
      <c r="T248"/>
      <c r="U248"/>
      <c r="V248"/>
    </row>
    <row r="249" spans="10:22" s="1" customFormat="1" x14ac:dyDescent="0.2">
      <c r="J249"/>
      <c r="K249"/>
      <c r="L249"/>
      <c r="M249"/>
      <c r="N249" s="2"/>
      <c r="R249"/>
      <c r="S249"/>
      <c r="T249"/>
      <c r="U249"/>
      <c r="V249"/>
    </row>
    <row r="250" spans="10:22" s="1" customFormat="1" x14ac:dyDescent="0.2">
      <c r="J250"/>
      <c r="K250"/>
      <c r="L250"/>
      <c r="M250"/>
      <c r="N250" s="2"/>
      <c r="R250"/>
      <c r="S250"/>
      <c r="T250"/>
      <c r="U250"/>
      <c r="V250"/>
    </row>
    <row r="251" spans="10:22" s="1" customFormat="1" x14ac:dyDescent="0.2">
      <c r="J251"/>
      <c r="K251"/>
      <c r="L251"/>
      <c r="M251"/>
      <c r="N251" s="2"/>
      <c r="R251"/>
      <c r="S251"/>
      <c r="T251"/>
      <c r="U251"/>
      <c r="V251"/>
    </row>
    <row r="252" spans="10:22" s="1" customFormat="1" x14ac:dyDescent="0.2">
      <c r="J252"/>
      <c r="K252"/>
      <c r="L252"/>
      <c r="M252"/>
      <c r="N252" s="2"/>
      <c r="R252"/>
      <c r="S252"/>
      <c r="T252"/>
      <c r="U252"/>
      <c r="V252"/>
    </row>
    <row r="253" spans="10:22" s="1" customFormat="1" x14ac:dyDescent="0.2">
      <c r="J253"/>
      <c r="K253"/>
      <c r="L253"/>
      <c r="M253"/>
      <c r="N253" s="2"/>
      <c r="R253"/>
      <c r="S253"/>
      <c r="T253"/>
      <c r="U253"/>
      <c r="V253"/>
    </row>
    <row r="254" spans="10:22" s="1" customFormat="1" x14ac:dyDescent="0.2">
      <c r="J254"/>
      <c r="K254"/>
      <c r="L254"/>
      <c r="M254"/>
      <c r="N254" s="2"/>
      <c r="R254"/>
      <c r="S254"/>
      <c r="T254"/>
      <c r="U254"/>
      <c r="V254"/>
    </row>
    <row r="255" spans="10:22" s="1" customFormat="1" x14ac:dyDescent="0.2">
      <c r="J255"/>
      <c r="K255"/>
      <c r="L255"/>
      <c r="M255"/>
      <c r="N255" s="2"/>
      <c r="R255"/>
      <c r="S255"/>
      <c r="T255"/>
      <c r="U255"/>
      <c r="V255"/>
    </row>
    <row r="256" spans="10:22" s="1" customFormat="1" x14ac:dyDescent="0.2">
      <c r="J256"/>
      <c r="K256"/>
      <c r="L256"/>
      <c r="M256"/>
      <c r="N256" s="2"/>
      <c r="R256"/>
      <c r="S256"/>
      <c r="T256"/>
      <c r="U256"/>
      <c r="V256"/>
    </row>
    <row r="257" spans="10:22" s="1" customFormat="1" x14ac:dyDescent="0.2">
      <c r="J257"/>
      <c r="K257"/>
      <c r="L257"/>
      <c r="M257"/>
      <c r="N257" s="2"/>
      <c r="R257"/>
      <c r="S257"/>
      <c r="T257"/>
      <c r="U257"/>
      <c r="V257"/>
    </row>
    <row r="258" spans="10:22" s="1" customFormat="1" x14ac:dyDescent="0.2">
      <c r="J258"/>
      <c r="K258"/>
      <c r="L258"/>
      <c r="M258"/>
      <c r="N258" s="2"/>
      <c r="R258"/>
      <c r="S258"/>
      <c r="T258"/>
      <c r="U258"/>
      <c r="V258"/>
    </row>
    <row r="259" spans="10:22" s="1" customFormat="1" x14ac:dyDescent="0.2">
      <c r="J259"/>
      <c r="K259"/>
      <c r="L259"/>
      <c r="M259"/>
      <c r="N259" s="2"/>
      <c r="R259"/>
      <c r="S259"/>
      <c r="T259"/>
      <c r="U259"/>
      <c r="V259"/>
    </row>
    <row r="260" spans="10:22" s="1" customFormat="1" x14ac:dyDescent="0.2">
      <c r="J260"/>
      <c r="K260"/>
      <c r="L260"/>
      <c r="M260"/>
      <c r="N260" s="2"/>
      <c r="R260"/>
      <c r="S260"/>
      <c r="T260"/>
      <c r="U260"/>
      <c r="V260"/>
    </row>
    <row r="261" spans="10:22" s="1" customFormat="1" x14ac:dyDescent="0.2">
      <c r="J261"/>
      <c r="K261"/>
      <c r="L261"/>
      <c r="M261"/>
      <c r="N261" s="2"/>
      <c r="R261"/>
      <c r="S261"/>
      <c r="T261"/>
      <c r="U261"/>
      <c r="V261"/>
    </row>
    <row r="262" spans="10:22" s="1" customFormat="1" x14ac:dyDescent="0.2">
      <c r="J262"/>
      <c r="K262"/>
      <c r="L262"/>
      <c r="M262"/>
      <c r="N262" s="2"/>
      <c r="R262"/>
      <c r="S262"/>
      <c r="T262"/>
      <c r="U262"/>
      <c r="V262"/>
    </row>
    <row r="263" spans="10:22" s="1" customFormat="1" x14ac:dyDescent="0.2">
      <c r="J263"/>
      <c r="K263"/>
      <c r="L263"/>
      <c r="M263"/>
      <c r="N263" s="2"/>
      <c r="R263"/>
      <c r="S263"/>
      <c r="T263"/>
      <c r="U263"/>
      <c r="V263"/>
    </row>
    <row r="264" spans="10:22" s="1" customFormat="1" x14ac:dyDescent="0.2">
      <c r="J264"/>
      <c r="K264"/>
      <c r="L264"/>
      <c r="M264"/>
      <c r="N264" s="2"/>
      <c r="R264"/>
      <c r="S264"/>
      <c r="T264"/>
      <c r="U264"/>
      <c r="V264"/>
    </row>
    <row r="265" spans="10:22" s="1" customFormat="1" x14ac:dyDescent="0.2">
      <c r="J265"/>
      <c r="K265"/>
      <c r="L265"/>
      <c r="M265"/>
      <c r="N265" s="2"/>
      <c r="R265"/>
      <c r="S265"/>
      <c r="T265"/>
      <c r="U265"/>
      <c r="V265"/>
    </row>
    <row r="266" spans="10:22" s="1" customFormat="1" x14ac:dyDescent="0.2">
      <c r="J266"/>
      <c r="K266"/>
      <c r="L266"/>
      <c r="M266"/>
      <c r="N266" s="2"/>
      <c r="R266"/>
      <c r="S266"/>
      <c r="T266"/>
      <c r="U266"/>
      <c r="V266"/>
    </row>
    <row r="267" spans="10:22" s="1" customFormat="1" x14ac:dyDescent="0.2">
      <c r="J267"/>
      <c r="K267"/>
      <c r="L267"/>
      <c r="M267"/>
      <c r="N267" s="2"/>
      <c r="R267"/>
      <c r="S267"/>
      <c r="T267"/>
      <c r="U267"/>
      <c r="V267"/>
    </row>
    <row r="268" spans="10:22" s="1" customFormat="1" x14ac:dyDescent="0.2">
      <c r="J268"/>
      <c r="K268"/>
      <c r="L268"/>
      <c r="M268"/>
      <c r="N268" s="2"/>
      <c r="R268"/>
      <c r="S268"/>
      <c r="T268"/>
      <c r="U268"/>
      <c r="V268"/>
    </row>
    <row r="269" spans="10:22" s="1" customFormat="1" x14ac:dyDescent="0.2">
      <c r="J269"/>
      <c r="K269"/>
      <c r="L269"/>
      <c r="M269"/>
      <c r="N269" s="2"/>
      <c r="R269"/>
      <c r="S269"/>
      <c r="T269"/>
      <c r="U269"/>
      <c r="V269"/>
    </row>
    <row r="270" spans="10:22" s="1" customFormat="1" x14ac:dyDescent="0.2">
      <c r="J270"/>
      <c r="K270"/>
      <c r="L270"/>
      <c r="M270"/>
      <c r="N270" s="2"/>
      <c r="R270"/>
      <c r="S270"/>
      <c r="T270"/>
      <c r="U270"/>
      <c r="V270"/>
    </row>
    <row r="271" spans="10:22" s="1" customFormat="1" x14ac:dyDescent="0.2">
      <c r="J271"/>
      <c r="K271"/>
      <c r="L271"/>
      <c r="M271"/>
      <c r="N271" s="2"/>
      <c r="R271"/>
      <c r="S271"/>
      <c r="T271"/>
      <c r="U271"/>
      <c r="V271"/>
    </row>
    <row r="272" spans="10:22" s="1" customFormat="1" x14ac:dyDescent="0.2">
      <c r="J272"/>
      <c r="K272"/>
      <c r="L272"/>
      <c r="M272"/>
      <c r="N272" s="2"/>
      <c r="R272"/>
      <c r="S272"/>
      <c r="T272"/>
      <c r="U272"/>
      <c r="V272"/>
    </row>
    <row r="273" spans="10:22" s="1" customFormat="1" x14ac:dyDescent="0.2">
      <c r="J273"/>
      <c r="K273"/>
      <c r="L273"/>
      <c r="M273"/>
      <c r="N273" s="2"/>
      <c r="R273"/>
      <c r="S273"/>
      <c r="T273"/>
      <c r="U273"/>
      <c r="V273"/>
    </row>
    <row r="274" spans="10:22" s="1" customFormat="1" x14ac:dyDescent="0.2">
      <c r="J274"/>
      <c r="K274"/>
      <c r="L274"/>
      <c r="M274"/>
      <c r="N274" s="2"/>
      <c r="R274"/>
      <c r="S274"/>
      <c r="T274"/>
      <c r="U274"/>
      <c r="V274"/>
    </row>
    <row r="275" spans="10:22" s="1" customFormat="1" x14ac:dyDescent="0.2">
      <c r="J275"/>
      <c r="K275"/>
      <c r="L275"/>
      <c r="M275"/>
      <c r="N275" s="2"/>
      <c r="R275"/>
      <c r="S275"/>
      <c r="T275"/>
      <c r="U275"/>
      <c r="V275"/>
    </row>
    <row r="276" spans="10:22" s="1" customFormat="1" x14ac:dyDescent="0.2">
      <c r="J276"/>
      <c r="K276"/>
      <c r="L276"/>
      <c r="M276"/>
      <c r="N276" s="2"/>
      <c r="R276"/>
      <c r="S276"/>
      <c r="T276"/>
      <c r="U276"/>
      <c r="V276"/>
    </row>
    <row r="277" spans="10:22" s="1" customFormat="1" x14ac:dyDescent="0.2">
      <c r="J277"/>
      <c r="K277"/>
      <c r="L277"/>
      <c r="M277"/>
      <c r="N277" s="2"/>
      <c r="R277"/>
      <c r="S277"/>
      <c r="T277"/>
      <c r="U277"/>
      <c r="V277"/>
    </row>
    <row r="278" spans="10:22" s="1" customFormat="1" x14ac:dyDescent="0.2">
      <c r="J278"/>
      <c r="K278"/>
      <c r="L278"/>
      <c r="M278"/>
      <c r="N278" s="2"/>
      <c r="R278"/>
      <c r="S278"/>
      <c r="T278"/>
      <c r="U278"/>
      <c r="V278"/>
    </row>
    <row r="279" spans="10:22" s="1" customFormat="1" x14ac:dyDescent="0.2">
      <c r="J279"/>
      <c r="K279"/>
      <c r="L279"/>
      <c r="M279"/>
      <c r="N279" s="2"/>
      <c r="R279"/>
      <c r="S279"/>
      <c r="T279"/>
      <c r="U279"/>
      <c r="V279"/>
    </row>
    <row r="280" spans="10:22" s="1" customFormat="1" x14ac:dyDescent="0.2">
      <c r="J280"/>
      <c r="K280"/>
      <c r="L280"/>
      <c r="M280"/>
      <c r="N280" s="2"/>
      <c r="R280"/>
      <c r="S280"/>
      <c r="T280"/>
      <c r="U280"/>
      <c r="V280"/>
    </row>
    <row r="281" spans="10:22" s="1" customFormat="1" x14ac:dyDescent="0.2">
      <c r="J281"/>
      <c r="K281"/>
      <c r="L281"/>
      <c r="M281"/>
      <c r="N281" s="2"/>
      <c r="R281"/>
      <c r="S281"/>
      <c r="T281"/>
      <c r="U281"/>
      <c r="V281"/>
    </row>
    <row r="282" spans="10:22" s="1" customFormat="1" x14ac:dyDescent="0.2">
      <c r="J282"/>
      <c r="K282"/>
      <c r="L282"/>
      <c r="M282"/>
      <c r="N282" s="2"/>
      <c r="R282"/>
      <c r="S282"/>
      <c r="T282"/>
      <c r="U282"/>
      <c r="V282"/>
    </row>
    <row r="283" spans="10:22" s="1" customFormat="1" x14ac:dyDescent="0.2">
      <c r="J283"/>
      <c r="K283"/>
      <c r="L283"/>
      <c r="M283"/>
      <c r="N283" s="2"/>
      <c r="R283"/>
      <c r="S283"/>
      <c r="T283"/>
      <c r="U283"/>
      <c r="V283"/>
    </row>
    <row r="284" spans="10:22" s="1" customFormat="1" x14ac:dyDescent="0.2">
      <c r="J284"/>
      <c r="K284"/>
      <c r="L284"/>
      <c r="M284"/>
      <c r="N284" s="2"/>
      <c r="R284"/>
      <c r="S284"/>
      <c r="T284"/>
      <c r="U284"/>
      <c r="V284"/>
    </row>
    <row r="285" spans="10:22" s="1" customFormat="1" x14ac:dyDescent="0.2">
      <c r="J285"/>
      <c r="K285"/>
      <c r="L285"/>
      <c r="M285"/>
      <c r="N285" s="2"/>
      <c r="R285"/>
      <c r="S285"/>
      <c r="T285"/>
      <c r="U285"/>
      <c r="V285"/>
    </row>
    <row r="286" spans="10:22" s="1" customFormat="1" x14ac:dyDescent="0.2">
      <c r="J286"/>
      <c r="K286"/>
      <c r="L286"/>
      <c r="M286"/>
      <c r="N286" s="2"/>
      <c r="R286"/>
      <c r="S286"/>
      <c r="T286"/>
      <c r="U286"/>
      <c r="V286"/>
    </row>
    <row r="287" spans="10:22" s="1" customFormat="1" x14ac:dyDescent="0.2">
      <c r="J287"/>
      <c r="K287"/>
      <c r="L287"/>
      <c r="M287"/>
      <c r="N287" s="2"/>
      <c r="R287"/>
      <c r="S287"/>
      <c r="T287"/>
      <c r="U287"/>
      <c r="V287"/>
    </row>
    <row r="288" spans="10:22" s="1" customFormat="1" x14ac:dyDescent="0.2">
      <c r="J288"/>
      <c r="K288"/>
      <c r="L288"/>
      <c r="M288"/>
      <c r="N288" s="2"/>
      <c r="R288"/>
      <c r="S288"/>
      <c r="T288"/>
      <c r="U288"/>
      <c r="V288"/>
    </row>
    <row r="289" spans="10:22" s="1" customFormat="1" x14ac:dyDescent="0.2">
      <c r="J289"/>
      <c r="K289"/>
      <c r="L289"/>
      <c r="M289"/>
      <c r="N289" s="2"/>
      <c r="R289"/>
      <c r="S289"/>
      <c r="T289"/>
      <c r="U289"/>
      <c r="V289"/>
    </row>
    <row r="290" spans="10:22" s="1" customFormat="1" x14ac:dyDescent="0.2">
      <c r="J290"/>
      <c r="K290"/>
      <c r="L290"/>
      <c r="M290"/>
      <c r="N290" s="2"/>
      <c r="R290"/>
      <c r="S290"/>
      <c r="T290"/>
      <c r="U290"/>
      <c r="V290"/>
    </row>
    <row r="291" spans="10:22" s="1" customFormat="1" x14ac:dyDescent="0.2">
      <c r="J291"/>
      <c r="K291"/>
      <c r="L291"/>
      <c r="M291"/>
      <c r="N291" s="2"/>
      <c r="R291"/>
      <c r="S291"/>
      <c r="T291"/>
      <c r="U291"/>
      <c r="V291"/>
    </row>
    <row r="292" spans="10:22" s="1" customFormat="1" x14ac:dyDescent="0.2">
      <c r="J292"/>
      <c r="K292"/>
      <c r="L292"/>
      <c r="M292"/>
      <c r="N292" s="2"/>
      <c r="R292"/>
      <c r="S292"/>
      <c r="T292"/>
      <c r="U292"/>
      <c r="V292"/>
    </row>
    <row r="293" spans="10:22" s="1" customFormat="1" x14ac:dyDescent="0.2">
      <c r="J293"/>
      <c r="K293"/>
      <c r="L293"/>
      <c r="M293"/>
      <c r="N293" s="2"/>
      <c r="R293"/>
      <c r="S293"/>
      <c r="T293"/>
      <c r="U293"/>
      <c r="V293"/>
    </row>
    <row r="294" spans="10:22" s="1" customFormat="1" x14ac:dyDescent="0.2">
      <c r="J294"/>
      <c r="K294"/>
      <c r="L294"/>
      <c r="M294"/>
      <c r="N294" s="2"/>
      <c r="R294"/>
      <c r="S294"/>
      <c r="T294"/>
      <c r="U294"/>
      <c r="V294"/>
    </row>
    <row r="295" spans="10:22" s="1" customFormat="1" x14ac:dyDescent="0.2">
      <c r="J295"/>
      <c r="K295"/>
      <c r="L295"/>
      <c r="M295"/>
      <c r="N295" s="2"/>
      <c r="R295"/>
      <c r="S295"/>
      <c r="T295"/>
      <c r="U295"/>
      <c r="V295"/>
    </row>
    <row r="296" spans="10:22" s="1" customFormat="1" x14ac:dyDescent="0.2">
      <c r="J296"/>
      <c r="K296"/>
      <c r="L296"/>
      <c r="M296"/>
      <c r="N296" s="2"/>
      <c r="R296"/>
      <c r="S296"/>
      <c r="T296"/>
      <c r="U296"/>
      <c r="V296"/>
    </row>
    <row r="297" spans="10:22" s="1" customFormat="1" x14ac:dyDescent="0.2">
      <c r="J297"/>
      <c r="K297"/>
      <c r="L297"/>
      <c r="M297"/>
      <c r="N297" s="2"/>
      <c r="R297"/>
      <c r="S297"/>
      <c r="T297"/>
      <c r="U297"/>
      <c r="V297"/>
    </row>
    <row r="298" spans="10:22" s="1" customFormat="1" x14ac:dyDescent="0.2">
      <c r="J298"/>
      <c r="K298"/>
      <c r="L298"/>
      <c r="M298"/>
      <c r="N298" s="2"/>
      <c r="R298"/>
      <c r="S298"/>
      <c r="T298"/>
      <c r="U298"/>
      <c r="V298"/>
    </row>
    <row r="299" spans="10:22" s="1" customFormat="1" x14ac:dyDescent="0.2">
      <c r="J299"/>
      <c r="K299"/>
      <c r="L299"/>
      <c r="M299"/>
      <c r="N299" s="2"/>
      <c r="R299"/>
      <c r="S299"/>
      <c r="T299"/>
      <c r="U299"/>
      <c r="V299"/>
    </row>
    <row r="300" spans="10:22" s="1" customFormat="1" x14ac:dyDescent="0.2">
      <c r="J300"/>
      <c r="K300"/>
      <c r="L300"/>
      <c r="M300"/>
      <c r="N300" s="2"/>
      <c r="R300"/>
      <c r="S300"/>
      <c r="T300"/>
      <c r="U300"/>
      <c r="V300"/>
    </row>
    <row r="301" spans="10:22" s="1" customFormat="1" x14ac:dyDescent="0.2">
      <c r="J301"/>
      <c r="K301"/>
      <c r="L301"/>
      <c r="M301"/>
      <c r="N301" s="2"/>
      <c r="R301"/>
      <c r="S301"/>
      <c r="T301"/>
      <c r="U301"/>
      <c r="V301"/>
    </row>
    <row r="302" spans="10:22" s="1" customFormat="1" x14ac:dyDescent="0.2">
      <c r="J302"/>
      <c r="K302"/>
      <c r="L302"/>
      <c r="M302"/>
      <c r="N302" s="2"/>
      <c r="R302"/>
      <c r="S302"/>
      <c r="T302"/>
      <c r="U302"/>
      <c r="V302"/>
    </row>
    <row r="303" spans="10:22" s="1" customFormat="1" x14ac:dyDescent="0.2">
      <c r="J303"/>
      <c r="K303"/>
      <c r="L303"/>
      <c r="M303"/>
      <c r="N303" s="2"/>
      <c r="R303"/>
      <c r="S303"/>
      <c r="T303"/>
      <c r="U303"/>
      <c r="V303"/>
    </row>
    <row r="304" spans="10:22" s="1" customFormat="1" x14ac:dyDescent="0.2">
      <c r="J304"/>
      <c r="K304"/>
      <c r="L304"/>
      <c r="M304"/>
      <c r="N304" s="2"/>
      <c r="R304"/>
      <c r="S304"/>
      <c r="T304"/>
      <c r="U304"/>
      <c r="V304"/>
    </row>
    <row r="305" spans="10:22" s="1" customFormat="1" x14ac:dyDescent="0.2">
      <c r="J305"/>
      <c r="K305"/>
      <c r="L305"/>
      <c r="M305"/>
      <c r="N305" s="2"/>
      <c r="R305"/>
      <c r="S305"/>
      <c r="T305"/>
      <c r="U305"/>
      <c r="V305"/>
    </row>
    <row r="306" spans="10:22" s="1" customFormat="1" x14ac:dyDescent="0.2">
      <c r="J306"/>
      <c r="K306"/>
      <c r="L306"/>
      <c r="M306"/>
      <c r="N306" s="2"/>
      <c r="R306"/>
      <c r="S306"/>
      <c r="T306"/>
      <c r="U306"/>
      <c r="V306"/>
    </row>
    <row r="307" spans="10:22" s="1" customFormat="1" x14ac:dyDescent="0.2">
      <c r="J307"/>
      <c r="K307"/>
      <c r="L307"/>
      <c r="M307"/>
      <c r="N307" s="2"/>
      <c r="R307"/>
      <c r="S307"/>
      <c r="T307"/>
      <c r="U307"/>
      <c r="V307"/>
    </row>
    <row r="308" spans="10:22" s="1" customFormat="1" x14ac:dyDescent="0.2">
      <c r="J308"/>
      <c r="K308"/>
      <c r="L308"/>
      <c r="M308"/>
      <c r="N308" s="2"/>
      <c r="R308"/>
      <c r="S308"/>
      <c r="T308"/>
      <c r="U308"/>
      <c r="V308"/>
    </row>
    <row r="309" spans="10:22" s="1" customFormat="1" x14ac:dyDescent="0.2">
      <c r="J309"/>
      <c r="K309"/>
      <c r="L309"/>
      <c r="M309"/>
      <c r="N309" s="2"/>
      <c r="R309"/>
      <c r="S309"/>
      <c r="T309"/>
      <c r="U309"/>
      <c r="V309"/>
    </row>
    <row r="310" spans="10:22" s="1" customFormat="1" x14ac:dyDescent="0.2">
      <c r="J310"/>
      <c r="K310"/>
      <c r="L310"/>
      <c r="M310"/>
      <c r="N310" s="2"/>
      <c r="R310"/>
      <c r="S310"/>
      <c r="T310"/>
      <c r="U310"/>
      <c r="V310"/>
    </row>
    <row r="311" spans="10:22" s="1" customFormat="1" x14ac:dyDescent="0.2">
      <c r="J311"/>
      <c r="K311"/>
      <c r="L311"/>
      <c r="M311"/>
      <c r="N311" s="2"/>
      <c r="R311"/>
      <c r="S311"/>
      <c r="T311"/>
      <c r="U311"/>
      <c r="V311"/>
    </row>
    <row r="312" spans="10:22" s="1" customFormat="1" x14ac:dyDescent="0.2">
      <c r="J312"/>
      <c r="K312"/>
      <c r="L312"/>
      <c r="M312"/>
      <c r="N312" s="2"/>
      <c r="R312"/>
      <c r="S312"/>
      <c r="T312"/>
      <c r="U312"/>
      <c r="V312"/>
    </row>
    <row r="313" spans="10:22" s="1" customFormat="1" x14ac:dyDescent="0.2">
      <c r="J313"/>
      <c r="K313"/>
      <c r="L313"/>
      <c r="M313"/>
      <c r="N313" s="2"/>
      <c r="R313"/>
      <c r="S313"/>
      <c r="T313"/>
      <c r="U313"/>
      <c r="V313"/>
    </row>
    <row r="314" spans="10:22" s="1" customFormat="1" x14ac:dyDescent="0.2">
      <c r="J314"/>
      <c r="K314"/>
      <c r="L314"/>
      <c r="M314"/>
      <c r="N314" s="2"/>
      <c r="R314"/>
      <c r="S314"/>
      <c r="T314"/>
      <c r="U314"/>
      <c r="V314"/>
    </row>
    <row r="315" spans="10:22" s="1" customFormat="1" x14ac:dyDescent="0.2">
      <c r="J315"/>
      <c r="K315"/>
      <c r="L315"/>
      <c r="M315"/>
      <c r="N315" s="2"/>
      <c r="R315"/>
      <c r="S315"/>
      <c r="T315"/>
      <c r="U315"/>
      <c r="V315"/>
    </row>
    <row r="316" spans="10:22" s="1" customFormat="1" x14ac:dyDescent="0.2">
      <c r="J316"/>
      <c r="K316"/>
      <c r="L316"/>
      <c r="M316"/>
      <c r="N316" s="2"/>
      <c r="R316"/>
      <c r="S316"/>
      <c r="T316"/>
      <c r="U316"/>
      <c r="V316"/>
    </row>
    <row r="317" spans="10:22" s="1" customFormat="1" x14ac:dyDescent="0.2">
      <c r="J317"/>
      <c r="K317"/>
      <c r="L317"/>
      <c r="M317"/>
      <c r="N317" s="2"/>
      <c r="R317"/>
      <c r="S317"/>
      <c r="T317"/>
      <c r="U317"/>
      <c r="V317"/>
    </row>
    <row r="318" spans="10:22" s="1" customFormat="1" x14ac:dyDescent="0.2">
      <c r="J318"/>
      <c r="K318"/>
      <c r="L318"/>
      <c r="M318"/>
      <c r="N318" s="2"/>
      <c r="R318"/>
      <c r="S318"/>
      <c r="T318"/>
      <c r="U318"/>
      <c r="V318"/>
    </row>
    <row r="319" spans="10:22" s="1" customFormat="1" x14ac:dyDescent="0.2">
      <c r="J319"/>
      <c r="K319"/>
      <c r="L319"/>
      <c r="M319"/>
      <c r="N319" s="2"/>
      <c r="R319"/>
      <c r="S319"/>
      <c r="T319"/>
      <c r="U319"/>
      <c r="V319"/>
    </row>
    <row r="320" spans="10:22" s="1" customFormat="1" x14ac:dyDescent="0.2">
      <c r="J320"/>
      <c r="K320"/>
      <c r="L320"/>
      <c r="M320"/>
      <c r="N320" s="2"/>
      <c r="R320"/>
      <c r="S320"/>
      <c r="T320"/>
      <c r="U320"/>
      <c r="V320"/>
    </row>
    <row r="321" spans="10:22" s="1" customFormat="1" x14ac:dyDescent="0.2">
      <c r="J321"/>
      <c r="K321"/>
      <c r="L321"/>
      <c r="M321"/>
      <c r="N321" s="2"/>
      <c r="R321"/>
      <c r="S321"/>
      <c r="T321"/>
      <c r="U321"/>
      <c r="V321"/>
    </row>
    <row r="322" spans="10:22" s="1" customFormat="1" x14ac:dyDescent="0.2">
      <c r="J322"/>
      <c r="K322"/>
      <c r="L322"/>
      <c r="M322"/>
      <c r="N322" s="2"/>
      <c r="R322"/>
      <c r="S322"/>
      <c r="T322"/>
      <c r="U322"/>
      <c r="V322"/>
    </row>
    <row r="323" spans="10:22" s="1" customFormat="1" x14ac:dyDescent="0.2">
      <c r="J323"/>
      <c r="K323"/>
      <c r="L323"/>
      <c r="M323"/>
      <c r="N323" s="2"/>
      <c r="R323"/>
      <c r="S323"/>
      <c r="T323"/>
      <c r="U323"/>
      <c r="V323"/>
    </row>
    <row r="324" spans="10:22" s="1" customFormat="1" x14ac:dyDescent="0.2">
      <c r="J324"/>
      <c r="K324"/>
      <c r="L324"/>
      <c r="M324"/>
      <c r="N324" s="2"/>
      <c r="R324"/>
      <c r="S324"/>
      <c r="T324"/>
      <c r="U324"/>
      <c r="V324"/>
    </row>
    <row r="325" spans="10:22" s="1" customFormat="1" x14ac:dyDescent="0.2">
      <c r="J325"/>
      <c r="K325"/>
      <c r="L325"/>
      <c r="M325"/>
      <c r="N325" s="2"/>
      <c r="R325"/>
      <c r="S325"/>
      <c r="T325"/>
      <c r="U325"/>
      <c r="V325"/>
    </row>
    <row r="326" spans="10:22" s="1" customFormat="1" x14ac:dyDescent="0.2">
      <c r="J326"/>
      <c r="K326"/>
      <c r="L326"/>
      <c r="M326"/>
      <c r="N326" s="2"/>
      <c r="R326"/>
      <c r="S326"/>
      <c r="T326"/>
      <c r="U326"/>
      <c r="V326"/>
    </row>
    <row r="327" spans="10:22" s="1" customFormat="1" x14ac:dyDescent="0.2">
      <c r="J327"/>
      <c r="K327"/>
      <c r="L327"/>
      <c r="M327"/>
      <c r="N327" s="2"/>
      <c r="R327"/>
      <c r="S327"/>
      <c r="T327"/>
      <c r="U327"/>
      <c r="V327"/>
    </row>
    <row r="328" spans="10:22" s="1" customFormat="1" x14ac:dyDescent="0.2">
      <c r="J328"/>
      <c r="K328"/>
      <c r="L328"/>
      <c r="M328"/>
      <c r="N328" s="2"/>
      <c r="R328"/>
      <c r="S328"/>
      <c r="T328"/>
      <c r="U328"/>
      <c r="V328"/>
    </row>
    <row r="329" spans="10:22" s="1" customFormat="1" x14ac:dyDescent="0.2">
      <c r="J329"/>
      <c r="K329"/>
      <c r="L329"/>
      <c r="M329"/>
      <c r="N329" s="2"/>
      <c r="R329"/>
      <c r="S329"/>
      <c r="T329"/>
      <c r="U329"/>
      <c r="V329"/>
    </row>
    <row r="330" spans="10:22" s="1" customFormat="1" x14ac:dyDescent="0.2">
      <c r="J330"/>
      <c r="K330"/>
      <c r="L330"/>
      <c r="M330"/>
      <c r="N330" s="2"/>
      <c r="R330"/>
      <c r="S330"/>
      <c r="T330"/>
      <c r="U330"/>
      <c r="V330"/>
    </row>
    <row r="331" spans="10:22" s="1" customFormat="1" x14ac:dyDescent="0.2">
      <c r="J331"/>
      <c r="K331"/>
      <c r="L331"/>
      <c r="M331"/>
      <c r="N331" s="2"/>
      <c r="R331"/>
      <c r="S331"/>
      <c r="T331"/>
      <c r="U331"/>
      <c r="V331"/>
    </row>
    <row r="332" spans="10:22" s="1" customFormat="1" x14ac:dyDescent="0.2">
      <c r="J332"/>
      <c r="K332"/>
      <c r="L332"/>
      <c r="M332"/>
      <c r="N332" s="2"/>
      <c r="R332"/>
      <c r="S332"/>
      <c r="T332"/>
      <c r="U332"/>
      <c r="V332"/>
    </row>
    <row r="333" spans="10:22" s="1" customFormat="1" x14ac:dyDescent="0.2">
      <c r="J333"/>
      <c r="K333"/>
      <c r="L333"/>
      <c r="M333"/>
      <c r="N333" s="2"/>
      <c r="R333"/>
      <c r="S333"/>
      <c r="T333"/>
      <c r="U333"/>
      <c r="V333"/>
    </row>
    <row r="334" spans="10:22" s="1" customFormat="1" x14ac:dyDescent="0.2">
      <c r="J334"/>
      <c r="K334"/>
      <c r="L334"/>
      <c r="M334"/>
      <c r="N334" s="2"/>
      <c r="R334"/>
      <c r="S334"/>
      <c r="T334"/>
      <c r="U334"/>
      <c r="V334"/>
    </row>
    <row r="335" spans="10:22" s="1" customFormat="1" x14ac:dyDescent="0.2">
      <c r="J335"/>
      <c r="K335"/>
      <c r="L335"/>
      <c r="M335"/>
      <c r="N335" s="2"/>
      <c r="R335"/>
      <c r="S335"/>
      <c r="T335"/>
      <c r="U335"/>
      <c r="V335"/>
    </row>
    <row r="336" spans="10:22" s="1" customFormat="1" x14ac:dyDescent="0.2">
      <c r="J336"/>
      <c r="K336"/>
      <c r="L336"/>
      <c r="M336"/>
      <c r="N336" s="2"/>
      <c r="R336"/>
      <c r="S336"/>
      <c r="T336"/>
      <c r="U336"/>
      <c r="V336"/>
    </row>
    <row r="337" spans="10:22" s="1" customFormat="1" x14ac:dyDescent="0.2">
      <c r="J337"/>
      <c r="K337"/>
      <c r="L337"/>
      <c r="M337"/>
      <c r="N337" s="2"/>
      <c r="R337"/>
      <c r="S337"/>
      <c r="T337"/>
      <c r="U337"/>
      <c r="V337"/>
    </row>
    <row r="338" spans="10:22" s="1" customFormat="1" x14ac:dyDescent="0.2">
      <c r="J338"/>
      <c r="K338"/>
      <c r="L338"/>
      <c r="M338"/>
      <c r="N338" s="2"/>
      <c r="R338"/>
      <c r="S338"/>
      <c r="T338"/>
      <c r="U338"/>
      <c r="V338"/>
    </row>
    <row r="339" spans="10:22" s="1" customFormat="1" x14ac:dyDescent="0.2">
      <c r="J339"/>
      <c r="K339"/>
      <c r="L339"/>
      <c r="M339"/>
      <c r="N339" s="2"/>
      <c r="R339"/>
      <c r="S339"/>
      <c r="T339"/>
      <c r="U339"/>
      <c r="V339"/>
    </row>
    <row r="340" spans="10:22" s="1" customFormat="1" x14ac:dyDescent="0.2">
      <c r="J340"/>
      <c r="K340"/>
      <c r="L340"/>
      <c r="M340"/>
      <c r="N340" s="2"/>
      <c r="R340"/>
      <c r="S340"/>
      <c r="T340"/>
      <c r="U340"/>
      <c r="V340"/>
    </row>
    <row r="341" spans="10:22" s="1" customFormat="1" x14ac:dyDescent="0.2">
      <c r="J341"/>
      <c r="K341"/>
      <c r="L341"/>
      <c r="M341"/>
      <c r="N341" s="2"/>
      <c r="R341"/>
      <c r="S341"/>
      <c r="T341"/>
      <c r="U341"/>
      <c r="V341"/>
    </row>
    <row r="342" spans="10:22" s="1" customFormat="1" x14ac:dyDescent="0.2">
      <c r="J342"/>
      <c r="K342"/>
      <c r="L342"/>
      <c r="M342"/>
      <c r="N342" s="2"/>
      <c r="R342"/>
      <c r="S342"/>
      <c r="T342"/>
      <c r="U342"/>
      <c r="V342"/>
    </row>
    <row r="343" spans="10:22" s="1" customFormat="1" x14ac:dyDescent="0.2">
      <c r="J343"/>
      <c r="K343"/>
      <c r="L343"/>
      <c r="M343"/>
      <c r="N343" s="2"/>
      <c r="R343"/>
      <c r="S343"/>
      <c r="T343"/>
      <c r="U343"/>
      <c r="V343"/>
    </row>
    <row r="344" spans="10:22" s="1" customFormat="1" x14ac:dyDescent="0.2">
      <c r="J344"/>
      <c r="K344"/>
      <c r="L344"/>
      <c r="M344"/>
      <c r="N344" s="2"/>
      <c r="R344"/>
      <c r="S344"/>
      <c r="T344"/>
      <c r="U344"/>
      <c r="V344"/>
    </row>
    <row r="345" spans="10:22" s="1" customFormat="1" x14ac:dyDescent="0.2">
      <c r="J345"/>
      <c r="K345"/>
      <c r="L345"/>
      <c r="M345"/>
      <c r="N345" s="2"/>
      <c r="R345"/>
      <c r="S345"/>
      <c r="T345"/>
      <c r="U345"/>
      <c r="V345"/>
    </row>
    <row r="346" spans="10:22" s="1" customFormat="1" x14ac:dyDescent="0.2">
      <c r="J346"/>
      <c r="K346"/>
      <c r="L346"/>
      <c r="M346"/>
      <c r="N346" s="2"/>
      <c r="R346"/>
      <c r="S346"/>
      <c r="T346"/>
      <c r="U346"/>
      <c r="V346"/>
    </row>
    <row r="347" spans="10:22" s="1" customFormat="1" x14ac:dyDescent="0.2">
      <c r="J347"/>
      <c r="K347"/>
      <c r="L347"/>
      <c r="M347"/>
      <c r="N347" s="2"/>
      <c r="R347"/>
      <c r="S347"/>
      <c r="T347"/>
      <c r="U347"/>
      <c r="V347"/>
    </row>
    <row r="348" spans="10:22" s="1" customFormat="1" x14ac:dyDescent="0.2">
      <c r="J348"/>
      <c r="K348"/>
      <c r="L348"/>
      <c r="M348"/>
      <c r="N348" s="2"/>
      <c r="R348"/>
      <c r="S348"/>
      <c r="T348"/>
      <c r="U348"/>
      <c r="V348"/>
    </row>
    <row r="349" spans="10:22" s="1" customFormat="1" x14ac:dyDescent="0.2">
      <c r="J349"/>
      <c r="K349"/>
      <c r="L349"/>
      <c r="M349"/>
      <c r="N349" s="2"/>
      <c r="R349"/>
      <c r="S349"/>
      <c r="T349"/>
      <c r="U349"/>
      <c r="V349"/>
    </row>
    <row r="350" spans="10:22" s="1" customFormat="1" x14ac:dyDescent="0.2">
      <c r="J350"/>
      <c r="K350"/>
      <c r="L350"/>
      <c r="M350"/>
      <c r="N350" s="2"/>
      <c r="R350"/>
      <c r="S350"/>
      <c r="T350"/>
      <c r="U350"/>
      <c r="V350"/>
    </row>
    <row r="351" spans="10:22" s="1" customFormat="1" x14ac:dyDescent="0.2">
      <c r="J351"/>
      <c r="K351"/>
      <c r="L351"/>
      <c r="M351"/>
      <c r="N351" s="2"/>
      <c r="R351"/>
      <c r="S351"/>
      <c r="T351"/>
      <c r="U351"/>
      <c r="V351"/>
    </row>
    <row r="352" spans="10:22" s="1" customFormat="1" x14ac:dyDescent="0.2">
      <c r="J352"/>
      <c r="K352"/>
      <c r="L352"/>
      <c r="M352"/>
      <c r="N352" s="2"/>
      <c r="R352"/>
      <c r="S352"/>
      <c r="T352"/>
      <c r="U352"/>
      <c r="V352"/>
    </row>
    <row r="353" spans="10:22" s="1" customFormat="1" x14ac:dyDescent="0.2">
      <c r="J353"/>
      <c r="K353"/>
      <c r="L353"/>
      <c r="M353"/>
      <c r="N353" s="2"/>
      <c r="R353"/>
      <c r="S353"/>
      <c r="T353"/>
      <c r="U353"/>
      <c r="V353"/>
    </row>
    <row r="354" spans="10:22" s="1" customFormat="1" x14ac:dyDescent="0.2">
      <c r="J354"/>
      <c r="K354"/>
      <c r="L354"/>
      <c r="M354"/>
      <c r="N354" s="2"/>
      <c r="R354"/>
      <c r="S354"/>
      <c r="T354"/>
      <c r="U354"/>
      <c r="V354"/>
    </row>
    <row r="355" spans="10:22" s="1" customFormat="1" x14ac:dyDescent="0.2">
      <c r="J355"/>
      <c r="K355"/>
      <c r="L355"/>
      <c r="M355"/>
      <c r="N355" s="2"/>
      <c r="R355"/>
      <c r="S355"/>
      <c r="T355"/>
      <c r="U355"/>
      <c r="V355"/>
    </row>
    <row r="356" spans="10:22" s="1" customFormat="1" x14ac:dyDescent="0.2">
      <c r="J356"/>
      <c r="K356"/>
      <c r="L356"/>
      <c r="M356"/>
      <c r="N356" s="2"/>
      <c r="R356"/>
      <c r="S356"/>
      <c r="T356"/>
      <c r="U356"/>
      <c r="V356"/>
    </row>
    <row r="357" spans="10:22" s="1" customFormat="1" x14ac:dyDescent="0.2">
      <c r="J357"/>
      <c r="K357"/>
      <c r="L357"/>
      <c r="M357"/>
      <c r="N357" s="2"/>
      <c r="R357"/>
      <c r="S357"/>
      <c r="T357"/>
      <c r="U357"/>
      <c r="V357"/>
    </row>
    <row r="358" spans="10:22" s="1" customFormat="1" x14ac:dyDescent="0.2">
      <c r="J358"/>
      <c r="K358"/>
      <c r="L358"/>
      <c r="M358"/>
      <c r="N358" s="2"/>
      <c r="R358"/>
      <c r="S358"/>
      <c r="T358"/>
      <c r="U358"/>
      <c r="V358"/>
    </row>
    <row r="359" spans="10:22" s="1" customFormat="1" x14ac:dyDescent="0.2">
      <c r="J359"/>
      <c r="K359"/>
      <c r="L359"/>
      <c r="M359"/>
      <c r="N359" s="2"/>
      <c r="R359"/>
      <c r="S359"/>
      <c r="T359"/>
      <c r="U359"/>
      <c r="V359"/>
    </row>
    <row r="360" spans="10:22" s="1" customFormat="1" x14ac:dyDescent="0.2">
      <c r="J360"/>
      <c r="K360"/>
      <c r="L360"/>
      <c r="M360"/>
      <c r="N360" s="2"/>
      <c r="R360"/>
      <c r="S360"/>
      <c r="T360"/>
      <c r="U360"/>
      <c r="V360"/>
    </row>
    <row r="361" spans="10:22" s="1" customFormat="1" x14ac:dyDescent="0.2">
      <c r="J361"/>
      <c r="K361"/>
      <c r="L361"/>
      <c r="M361"/>
      <c r="N361" s="2"/>
      <c r="R361"/>
      <c r="S361"/>
      <c r="T361"/>
      <c r="U361"/>
      <c r="V361"/>
    </row>
    <row r="362" spans="10:22" s="1" customFormat="1" x14ac:dyDescent="0.2">
      <c r="J362"/>
      <c r="K362"/>
      <c r="L362"/>
      <c r="M362"/>
      <c r="N362" s="2"/>
      <c r="R362"/>
      <c r="S362"/>
      <c r="T362"/>
      <c r="U362"/>
      <c r="V362"/>
    </row>
    <row r="363" spans="10:22" s="1" customFormat="1" x14ac:dyDescent="0.2">
      <c r="J363"/>
      <c r="K363"/>
      <c r="L363"/>
      <c r="M363"/>
      <c r="N363" s="2"/>
      <c r="R363"/>
      <c r="S363"/>
      <c r="T363"/>
      <c r="U363"/>
      <c r="V363"/>
    </row>
    <row r="364" spans="10:22" s="1" customFormat="1" x14ac:dyDescent="0.2">
      <c r="J364"/>
      <c r="K364"/>
      <c r="L364"/>
      <c r="M364"/>
      <c r="N364" s="2"/>
      <c r="R364"/>
      <c r="S364"/>
      <c r="T364"/>
      <c r="U364"/>
      <c r="V364"/>
    </row>
    <row r="365" spans="10:22" s="1" customFormat="1" x14ac:dyDescent="0.2">
      <c r="J365"/>
      <c r="K365"/>
      <c r="L365"/>
      <c r="M365"/>
      <c r="N365" s="2"/>
      <c r="R365"/>
      <c r="S365"/>
      <c r="T365"/>
      <c r="U365"/>
      <c r="V365"/>
    </row>
    <row r="366" spans="10:22" s="1" customFormat="1" x14ac:dyDescent="0.2">
      <c r="J366"/>
      <c r="K366"/>
      <c r="L366"/>
      <c r="M366"/>
      <c r="N366" s="2"/>
      <c r="R366"/>
      <c r="S366"/>
      <c r="T366"/>
      <c r="U366"/>
      <c r="V366"/>
    </row>
    <row r="367" spans="10:22" s="1" customFormat="1" x14ac:dyDescent="0.2">
      <c r="J367"/>
      <c r="K367"/>
      <c r="L367"/>
      <c r="M367"/>
      <c r="N367" s="2"/>
      <c r="R367"/>
      <c r="S367"/>
      <c r="T367"/>
      <c r="U367"/>
      <c r="V367"/>
    </row>
    <row r="368" spans="10:22" s="1" customFormat="1" x14ac:dyDescent="0.2">
      <c r="J368"/>
      <c r="K368"/>
      <c r="L368"/>
      <c r="M368"/>
      <c r="N368" s="2"/>
      <c r="R368"/>
      <c r="S368"/>
      <c r="T368"/>
      <c r="U368"/>
      <c r="V368"/>
    </row>
    <row r="369" spans="10:22" s="1" customFormat="1" x14ac:dyDescent="0.2">
      <c r="J369"/>
      <c r="K369"/>
      <c r="L369"/>
      <c r="M369"/>
      <c r="N369" s="2"/>
      <c r="R369"/>
      <c r="S369"/>
      <c r="T369"/>
      <c r="U369"/>
      <c r="V369"/>
    </row>
    <row r="370" spans="10:22" s="1" customFormat="1" x14ac:dyDescent="0.2">
      <c r="J370"/>
      <c r="K370"/>
      <c r="L370"/>
      <c r="M370"/>
      <c r="N370" s="2"/>
      <c r="R370"/>
      <c r="S370"/>
      <c r="T370"/>
      <c r="U370"/>
      <c r="V370"/>
    </row>
    <row r="371" spans="10:22" s="1" customFormat="1" x14ac:dyDescent="0.2">
      <c r="J371"/>
      <c r="K371"/>
      <c r="L371"/>
      <c r="M371"/>
      <c r="N371" s="2"/>
      <c r="R371"/>
      <c r="S371"/>
      <c r="T371"/>
      <c r="U371"/>
      <c r="V371"/>
    </row>
    <row r="372" spans="10:22" s="1" customFormat="1" x14ac:dyDescent="0.2">
      <c r="J372"/>
      <c r="K372"/>
      <c r="L372"/>
      <c r="M372"/>
      <c r="N372" s="2"/>
      <c r="R372"/>
      <c r="S372"/>
      <c r="T372"/>
      <c r="U372"/>
      <c r="V372"/>
    </row>
    <row r="373" spans="10:22" s="1" customFormat="1" x14ac:dyDescent="0.2">
      <c r="J373"/>
      <c r="K373"/>
      <c r="L373"/>
      <c r="M373"/>
      <c r="N373" s="2"/>
      <c r="R373"/>
      <c r="S373"/>
      <c r="T373"/>
      <c r="U373"/>
      <c r="V373"/>
    </row>
    <row r="374" spans="10:22" s="1" customFormat="1" x14ac:dyDescent="0.2">
      <c r="J374"/>
      <c r="K374"/>
      <c r="L374"/>
      <c r="M374"/>
      <c r="N374" s="2"/>
      <c r="R374"/>
      <c r="S374"/>
      <c r="T374"/>
      <c r="U374"/>
      <c r="V374"/>
    </row>
    <row r="375" spans="10:22" s="1" customFormat="1" x14ac:dyDescent="0.2">
      <c r="J375"/>
      <c r="K375"/>
      <c r="L375"/>
      <c r="M375"/>
      <c r="N375" s="2"/>
      <c r="R375"/>
      <c r="S375"/>
      <c r="T375"/>
      <c r="U375"/>
      <c r="V375"/>
    </row>
    <row r="376" spans="10:22" s="1" customFormat="1" x14ac:dyDescent="0.2">
      <c r="J376"/>
      <c r="K376"/>
      <c r="L376"/>
      <c r="M376"/>
      <c r="N376" s="2"/>
      <c r="R376"/>
      <c r="S376"/>
      <c r="T376"/>
      <c r="U376"/>
      <c r="V376"/>
    </row>
    <row r="377" spans="10:22" s="1" customFormat="1" x14ac:dyDescent="0.2">
      <c r="J377"/>
      <c r="K377"/>
      <c r="L377"/>
      <c r="M377"/>
      <c r="N377" s="2"/>
      <c r="R377"/>
      <c r="S377"/>
      <c r="T377"/>
      <c r="U377"/>
      <c r="V377"/>
    </row>
    <row r="378" spans="10:22" s="1" customFormat="1" x14ac:dyDescent="0.2">
      <c r="J378"/>
      <c r="K378"/>
      <c r="L378"/>
      <c r="M378"/>
      <c r="N378" s="2"/>
      <c r="R378"/>
      <c r="S378"/>
      <c r="T378"/>
      <c r="U378"/>
      <c r="V378"/>
    </row>
    <row r="379" spans="10:22" s="1" customFormat="1" x14ac:dyDescent="0.2">
      <c r="J379"/>
      <c r="K379"/>
      <c r="L379"/>
      <c r="M379"/>
      <c r="N379" s="2"/>
      <c r="R379"/>
      <c r="S379"/>
      <c r="T379"/>
      <c r="U379"/>
      <c r="V379"/>
    </row>
    <row r="380" spans="10:22" s="1" customFormat="1" x14ac:dyDescent="0.2">
      <c r="J380"/>
      <c r="K380"/>
      <c r="L380"/>
      <c r="M380"/>
      <c r="N380" s="2"/>
      <c r="R380"/>
      <c r="S380"/>
      <c r="T380"/>
      <c r="U380"/>
      <c r="V380"/>
    </row>
    <row r="381" spans="10:22" s="1" customFormat="1" x14ac:dyDescent="0.2">
      <c r="J381"/>
      <c r="K381"/>
      <c r="L381"/>
      <c r="M381"/>
      <c r="N381" s="2"/>
      <c r="R381"/>
      <c r="S381"/>
      <c r="T381"/>
      <c r="U381"/>
      <c r="V381"/>
    </row>
    <row r="382" spans="10:22" s="1" customFormat="1" x14ac:dyDescent="0.2">
      <c r="J382"/>
      <c r="K382"/>
      <c r="L382"/>
      <c r="M382"/>
      <c r="N382" s="2"/>
      <c r="R382"/>
      <c r="S382"/>
      <c r="T382"/>
      <c r="U382"/>
      <c r="V382"/>
    </row>
    <row r="383" spans="10:22" s="1" customFormat="1" x14ac:dyDescent="0.2">
      <c r="J383"/>
      <c r="K383"/>
      <c r="L383"/>
      <c r="M383"/>
      <c r="N383" s="2"/>
      <c r="R383"/>
      <c r="S383"/>
      <c r="T383"/>
      <c r="U383"/>
      <c r="V383"/>
    </row>
    <row r="384" spans="10:22" s="1" customFormat="1" x14ac:dyDescent="0.2">
      <c r="J384"/>
      <c r="K384"/>
      <c r="L384"/>
      <c r="M384"/>
      <c r="N384" s="2"/>
      <c r="R384"/>
      <c r="S384"/>
      <c r="T384"/>
      <c r="U384"/>
      <c r="V384"/>
    </row>
    <row r="385" spans="10:22" s="1" customFormat="1" x14ac:dyDescent="0.2">
      <c r="J385"/>
      <c r="K385"/>
      <c r="L385"/>
      <c r="M385"/>
      <c r="N385" s="2"/>
      <c r="R385"/>
      <c r="S385"/>
      <c r="T385"/>
      <c r="U385"/>
      <c r="V385"/>
    </row>
    <row r="386" spans="10:22" s="1" customFormat="1" x14ac:dyDescent="0.2">
      <c r="J386"/>
      <c r="K386"/>
      <c r="L386"/>
      <c r="M386"/>
      <c r="N386" s="2"/>
      <c r="R386"/>
      <c r="S386"/>
      <c r="T386"/>
      <c r="U386"/>
      <c r="V386"/>
    </row>
    <row r="387" spans="10:22" s="1" customFormat="1" x14ac:dyDescent="0.2">
      <c r="J387"/>
      <c r="K387"/>
      <c r="L387"/>
      <c r="M387"/>
      <c r="N387" s="2"/>
      <c r="R387"/>
      <c r="S387"/>
      <c r="T387"/>
      <c r="U387"/>
      <c r="V387"/>
    </row>
    <row r="388" spans="10:22" s="1" customFormat="1" x14ac:dyDescent="0.2">
      <c r="J388"/>
      <c r="K388"/>
      <c r="L388"/>
      <c r="M388"/>
      <c r="N388" s="2"/>
      <c r="R388"/>
      <c r="S388"/>
      <c r="T388"/>
      <c r="U388"/>
      <c r="V388"/>
    </row>
    <row r="389" spans="10:22" s="1" customFormat="1" x14ac:dyDescent="0.2">
      <c r="J389"/>
      <c r="K389"/>
      <c r="L389"/>
      <c r="M389"/>
      <c r="N389" s="2"/>
      <c r="R389"/>
      <c r="S389"/>
      <c r="T389"/>
      <c r="U389"/>
      <c r="V389"/>
    </row>
    <row r="390" spans="10:22" s="1" customFormat="1" x14ac:dyDescent="0.2">
      <c r="J390"/>
      <c r="K390"/>
      <c r="L390"/>
      <c r="M390"/>
      <c r="N390" s="2"/>
      <c r="R390"/>
      <c r="S390"/>
      <c r="T390"/>
      <c r="U390"/>
      <c r="V390"/>
    </row>
    <row r="391" spans="10:22" s="1" customFormat="1" x14ac:dyDescent="0.2">
      <c r="J391"/>
      <c r="K391"/>
      <c r="L391"/>
      <c r="M391"/>
      <c r="N391" s="2"/>
      <c r="R391"/>
      <c r="S391"/>
      <c r="T391"/>
      <c r="U391"/>
      <c r="V391"/>
    </row>
    <row r="392" spans="10:22" s="1" customFormat="1" x14ac:dyDescent="0.2">
      <c r="J392"/>
      <c r="K392"/>
      <c r="L392"/>
      <c r="M392"/>
      <c r="N392" s="2"/>
      <c r="R392"/>
      <c r="S392"/>
      <c r="T392"/>
      <c r="U392"/>
      <c r="V392"/>
    </row>
    <row r="393" spans="10:22" s="1" customFormat="1" x14ac:dyDescent="0.2">
      <c r="J393"/>
      <c r="K393"/>
      <c r="L393"/>
      <c r="M393"/>
      <c r="N393" s="2"/>
      <c r="R393"/>
      <c r="S393"/>
      <c r="T393"/>
      <c r="U393"/>
      <c r="V393"/>
    </row>
    <row r="394" spans="10:22" s="1" customFormat="1" x14ac:dyDescent="0.2">
      <c r="J394"/>
      <c r="K394"/>
      <c r="L394"/>
      <c r="M394"/>
      <c r="N394" s="2"/>
      <c r="R394"/>
      <c r="S394"/>
      <c r="T394"/>
      <c r="U394"/>
      <c r="V394"/>
    </row>
    <row r="395" spans="10:22" s="1" customFormat="1" x14ac:dyDescent="0.2">
      <c r="J395"/>
      <c r="K395"/>
      <c r="L395"/>
      <c r="M395"/>
      <c r="N395" s="2"/>
      <c r="R395"/>
      <c r="S395"/>
      <c r="T395"/>
      <c r="U395"/>
      <c r="V395"/>
    </row>
    <row r="396" spans="10:22" s="1" customFormat="1" x14ac:dyDescent="0.2">
      <c r="J396"/>
      <c r="K396"/>
      <c r="L396"/>
      <c r="M396"/>
      <c r="N396" s="2"/>
      <c r="R396"/>
      <c r="S396"/>
      <c r="T396"/>
      <c r="U396"/>
      <c r="V396"/>
    </row>
    <row r="397" spans="10:22" s="1" customFormat="1" x14ac:dyDescent="0.2">
      <c r="J397"/>
      <c r="K397"/>
      <c r="L397"/>
      <c r="M397"/>
      <c r="N397" s="2"/>
      <c r="R397"/>
      <c r="S397"/>
      <c r="T397"/>
      <c r="U397"/>
      <c r="V397"/>
    </row>
    <row r="398" spans="10:22" s="1" customFormat="1" x14ac:dyDescent="0.2">
      <c r="J398"/>
      <c r="K398"/>
      <c r="L398"/>
      <c r="M398"/>
      <c r="N398" s="2"/>
      <c r="R398"/>
      <c r="S398"/>
      <c r="T398"/>
      <c r="U398"/>
      <c r="V398"/>
    </row>
    <row r="399" spans="10:22" s="1" customFormat="1" x14ac:dyDescent="0.2">
      <c r="J399"/>
      <c r="K399"/>
      <c r="L399"/>
      <c r="M399"/>
      <c r="N399" s="2"/>
      <c r="R399"/>
      <c r="S399"/>
      <c r="T399"/>
      <c r="U399"/>
      <c r="V399"/>
    </row>
    <row r="400" spans="10:22" s="1" customFormat="1" x14ac:dyDescent="0.2">
      <c r="J400"/>
      <c r="K400"/>
      <c r="L400"/>
      <c r="M400"/>
      <c r="N400" s="2"/>
      <c r="R400"/>
      <c r="S400"/>
      <c r="T400"/>
      <c r="U400"/>
      <c r="V400"/>
    </row>
    <row r="401" spans="10:22" s="1" customFormat="1" x14ac:dyDescent="0.2">
      <c r="J401"/>
      <c r="K401"/>
      <c r="L401"/>
      <c r="M401"/>
      <c r="N401" s="2"/>
      <c r="R401"/>
      <c r="S401"/>
      <c r="T401"/>
      <c r="U401"/>
      <c r="V401"/>
    </row>
    <row r="402" spans="10:22" s="1" customFormat="1" x14ac:dyDescent="0.2">
      <c r="J402"/>
      <c r="K402"/>
      <c r="L402"/>
      <c r="M402"/>
      <c r="N402" s="2"/>
      <c r="R402"/>
      <c r="S402"/>
      <c r="T402"/>
      <c r="U402"/>
      <c r="V402"/>
    </row>
    <row r="403" spans="10:22" s="1" customFormat="1" x14ac:dyDescent="0.2">
      <c r="J403"/>
      <c r="K403"/>
      <c r="L403"/>
      <c r="M403"/>
      <c r="N403" s="2"/>
      <c r="R403"/>
      <c r="S403"/>
      <c r="T403"/>
      <c r="U403"/>
      <c r="V403"/>
    </row>
    <row r="404" spans="10:22" s="1" customFormat="1" x14ac:dyDescent="0.2">
      <c r="J404"/>
      <c r="K404"/>
      <c r="L404"/>
      <c r="M404"/>
      <c r="N404" s="2"/>
      <c r="R404"/>
      <c r="S404"/>
      <c r="T404"/>
      <c r="U404"/>
      <c r="V404"/>
    </row>
    <row r="405" spans="10:22" s="1" customFormat="1" x14ac:dyDescent="0.2">
      <c r="J405"/>
      <c r="K405"/>
      <c r="L405"/>
      <c r="M405"/>
      <c r="N405" s="2"/>
      <c r="R405"/>
      <c r="S405"/>
      <c r="T405"/>
      <c r="U405"/>
      <c r="V405"/>
    </row>
    <row r="406" spans="10:22" s="1" customFormat="1" x14ac:dyDescent="0.2">
      <c r="J406"/>
      <c r="K406"/>
      <c r="L406"/>
      <c r="M406"/>
      <c r="N406" s="2"/>
      <c r="R406"/>
      <c r="S406"/>
      <c r="T406"/>
      <c r="U406"/>
      <c r="V406"/>
    </row>
    <row r="407" spans="10:22" s="1" customFormat="1" x14ac:dyDescent="0.2">
      <c r="J407"/>
      <c r="K407"/>
      <c r="L407"/>
      <c r="M407"/>
      <c r="N407" s="2"/>
      <c r="R407"/>
      <c r="S407"/>
      <c r="T407"/>
      <c r="U407"/>
      <c r="V407"/>
    </row>
    <row r="408" spans="10:22" s="1" customFormat="1" x14ac:dyDescent="0.2">
      <c r="J408"/>
      <c r="K408"/>
      <c r="L408"/>
      <c r="M408"/>
      <c r="N408" s="2"/>
      <c r="R408"/>
      <c r="S408"/>
      <c r="T408"/>
      <c r="U408"/>
      <c r="V408"/>
    </row>
    <row r="409" spans="10:22" s="1" customFormat="1" x14ac:dyDescent="0.2">
      <c r="J409"/>
      <c r="K409"/>
      <c r="L409"/>
      <c r="M409"/>
      <c r="N409" s="2"/>
      <c r="R409"/>
      <c r="S409"/>
      <c r="T409"/>
      <c r="U409"/>
      <c r="V409"/>
    </row>
    <row r="410" spans="10:22" s="1" customFormat="1" x14ac:dyDescent="0.2">
      <c r="J410"/>
      <c r="K410"/>
      <c r="L410"/>
      <c r="M410"/>
      <c r="N410" s="2"/>
      <c r="R410"/>
      <c r="S410"/>
      <c r="T410"/>
      <c r="U410"/>
      <c r="V410"/>
    </row>
    <row r="411" spans="10:22" s="1" customFormat="1" x14ac:dyDescent="0.2">
      <c r="J411"/>
      <c r="K411"/>
      <c r="L411"/>
      <c r="M411"/>
      <c r="N411" s="2"/>
      <c r="R411"/>
      <c r="S411"/>
      <c r="T411"/>
      <c r="U411"/>
      <c r="V411"/>
    </row>
    <row r="412" spans="10:22" s="1" customFormat="1" x14ac:dyDescent="0.2">
      <c r="J412"/>
      <c r="K412"/>
      <c r="L412"/>
      <c r="M412"/>
      <c r="N412" s="2"/>
      <c r="R412"/>
      <c r="S412"/>
      <c r="T412"/>
      <c r="U412"/>
      <c r="V412"/>
    </row>
    <row r="413" spans="10:22" s="1" customFormat="1" x14ac:dyDescent="0.2">
      <c r="J413"/>
      <c r="K413"/>
      <c r="L413"/>
      <c r="M413"/>
      <c r="N413" s="2"/>
      <c r="R413"/>
      <c r="S413"/>
      <c r="T413"/>
      <c r="U413"/>
      <c r="V413"/>
    </row>
    <row r="414" spans="10:22" s="1" customFormat="1" x14ac:dyDescent="0.2">
      <c r="J414"/>
      <c r="K414"/>
      <c r="L414"/>
      <c r="M414"/>
      <c r="N414" s="2"/>
      <c r="R414"/>
      <c r="S414"/>
      <c r="T414"/>
      <c r="U414"/>
      <c r="V414"/>
    </row>
    <row r="415" spans="10:22" s="1" customFormat="1" x14ac:dyDescent="0.2">
      <c r="J415"/>
      <c r="K415"/>
      <c r="L415"/>
      <c r="M415"/>
      <c r="N415" s="2"/>
      <c r="R415"/>
      <c r="S415"/>
      <c r="T415"/>
      <c r="U415"/>
      <c r="V415"/>
    </row>
    <row r="416" spans="10:22" s="1" customFormat="1" x14ac:dyDescent="0.2">
      <c r="J416"/>
      <c r="K416"/>
      <c r="L416"/>
      <c r="M416"/>
      <c r="N416" s="2"/>
      <c r="R416"/>
      <c r="S416"/>
      <c r="T416"/>
      <c r="U416"/>
      <c r="V416"/>
    </row>
    <row r="417" spans="10:22" s="1" customFormat="1" x14ac:dyDescent="0.2">
      <c r="J417"/>
      <c r="K417"/>
      <c r="L417"/>
      <c r="M417"/>
      <c r="N417" s="2"/>
      <c r="R417"/>
      <c r="S417"/>
      <c r="T417"/>
      <c r="U417"/>
      <c r="V417"/>
    </row>
    <row r="418" spans="10:22" s="1" customFormat="1" x14ac:dyDescent="0.2">
      <c r="J418"/>
      <c r="K418"/>
      <c r="L418"/>
      <c r="M418"/>
      <c r="N418" s="2"/>
      <c r="R418"/>
      <c r="S418"/>
      <c r="T418"/>
      <c r="U418"/>
      <c r="V418"/>
    </row>
    <row r="419" spans="10:22" s="1" customFormat="1" x14ac:dyDescent="0.2">
      <c r="J419"/>
      <c r="K419"/>
      <c r="L419"/>
      <c r="M419"/>
      <c r="N419" s="2"/>
      <c r="R419"/>
      <c r="S419"/>
      <c r="T419"/>
      <c r="U419"/>
      <c r="V419"/>
    </row>
    <row r="420" spans="10:22" s="1" customFormat="1" x14ac:dyDescent="0.2">
      <c r="J420"/>
      <c r="K420"/>
      <c r="L420"/>
      <c r="M420"/>
      <c r="N420" s="2"/>
      <c r="R420"/>
      <c r="S420"/>
      <c r="T420"/>
      <c r="U420"/>
      <c r="V420"/>
    </row>
    <row r="421" spans="10:22" s="1" customFormat="1" x14ac:dyDescent="0.2">
      <c r="J421"/>
      <c r="K421"/>
      <c r="L421"/>
      <c r="M421"/>
      <c r="N421" s="2"/>
      <c r="R421"/>
      <c r="S421"/>
      <c r="T421"/>
      <c r="U421"/>
      <c r="V421"/>
    </row>
    <row r="422" spans="10:22" s="1" customFormat="1" x14ac:dyDescent="0.2">
      <c r="J422"/>
      <c r="K422"/>
      <c r="L422"/>
      <c r="M422"/>
      <c r="N422" s="2"/>
      <c r="R422"/>
      <c r="S422"/>
      <c r="T422"/>
      <c r="U422"/>
      <c r="V422"/>
    </row>
    <row r="423" spans="10:22" s="1" customFormat="1" x14ac:dyDescent="0.2">
      <c r="J423"/>
      <c r="K423"/>
      <c r="L423"/>
      <c r="M423"/>
      <c r="N423" s="2"/>
      <c r="R423"/>
      <c r="S423"/>
      <c r="T423"/>
      <c r="U423"/>
      <c r="V423"/>
    </row>
    <row r="424" spans="10:22" s="1" customFormat="1" x14ac:dyDescent="0.2">
      <c r="J424"/>
      <c r="K424"/>
      <c r="L424"/>
      <c r="M424"/>
      <c r="N424" s="2"/>
      <c r="R424"/>
      <c r="S424"/>
      <c r="T424"/>
      <c r="U424"/>
      <c r="V424"/>
    </row>
    <row r="425" spans="10:22" s="1" customFormat="1" x14ac:dyDescent="0.2">
      <c r="J425"/>
      <c r="K425"/>
      <c r="L425"/>
      <c r="M425"/>
      <c r="N425" s="2"/>
      <c r="R425"/>
      <c r="S425"/>
      <c r="T425"/>
      <c r="U425"/>
      <c r="V425"/>
    </row>
    <row r="426" spans="10:22" s="1" customFormat="1" x14ac:dyDescent="0.2">
      <c r="J426"/>
      <c r="K426"/>
      <c r="L426"/>
      <c r="M426"/>
      <c r="N426" s="2"/>
      <c r="R426"/>
      <c r="S426"/>
      <c r="T426"/>
      <c r="U426"/>
      <c r="V426"/>
    </row>
    <row r="427" spans="10:22" s="1" customFormat="1" x14ac:dyDescent="0.2">
      <c r="J427"/>
      <c r="K427"/>
      <c r="L427"/>
      <c r="M427"/>
      <c r="N427" s="2"/>
      <c r="R427"/>
      <c r="S427"/>
      <c r="T427"/>
      <c r="U427"/>
      <c r="V427"/>
    </row>
    <row r="428" spans="10:22" s="1" customFormat="1" x14ac:dyDescent="0.2">
      <c r="J428"/>
      <c r="K428"/>
      <c r="L428"/>
      <c r="M428"/>
      <c r="N428" s="2"/>
      <c r="R428"/>
      <c r="S428"/>
      <c r="T428"/>
      <c r="U428"/>
      <c r="V428"/>
    </row>
    <row r="429" spans="10:22" s="1" customFormat="1" x14ac:dyDescent="0.2">
      <c r="J429"/>
      <c r="K429"/>
      <c r="L429"/>
      <c r="M429"/>
      <c r="N429" s="2"/>
      <c r="R429"/>
      <c r="S429"/>
      <c r="T429"/>
      <c r="U429"/>
      <c r="V429"/>
    </row>
    <row r="430" spans="10:22" s="1" customFormat="1" x14ac:dyDescent="0.2">
      <c r="J430"/>
      <c r="K430"/>
      <c r="L430"/>
      <c r="M430"/>
      <c r="N430" s="2"/>
      <c r="R430"/>
      <c r="S430"/>
      <c r="T430"/>
      <c r="U430"/>
      <c r="V430"/>
    </row>
    <row r="431" spans="10:22" s="1" customFormat="1" x14ac:dyDescent="0.2">
      <c r="J431"/>
      <c r="K431"/>
      <c r="L431"/>
      <c r="M431"/>
      <c r="N431" s="2"/>
      <c r="R431"/>
      <c r="S431"/>
      <c r="T431"/>
      <c r="U431"/>
      <c r="V431"/>
    </row>
    <row r="432" spans="10:22" s="1" customFormat="1" x14ac:dyDescent="0.2">
      <c r="J432"/>
      <c r="K432"/>
      <c r="L432"/>
      <c r="M432"/>
      <c r="N432" s="2"/>
      <c r="R432"/>
      <c r="S432"/>
      <c r="T432"/>
      <c r="U432"/>
      <c r="V432"/>
    </row>
    <row r="433" spans="10:22" s="1" customFormat="1" x14ac:dyDescent="0.2">
      <c r="J433"/>
      <c r="K433"/>
      <c r="L433"/>
      <c r="M433"/>
      <c r="N433" s="2"/>
      <c r="R433"/>
      <c r="S433"/>
      <c r="T433"/>
      <c r="U433"/>
      <c r="V433"/>
    </row>
    <row r="434" spans="10:22" s="1" customFormat="1" x14ac:dyDescent="0.2">
      <c r="J434"/>
      <c r="K434"/>
      <c r="L434"/>
      <c r="M434"/>
      <c r="N434" s="2"/>
      <c r="R434"/>
      <c r="S434"/>
      <c r="T434"/>
      <c r="U434"/>
      <c r="V434"/>
    </row>
    <row r="435" spans="10:22" s="1" customFormat="1" x14ac:dyDescent="0.2">
      <c r="J435"/>
      <c r="K435"/>
      <c r="L435"/>
      <c r="M435"/>
      <c r="N435" s="2"/>
      <c r="R435"/>
      <c r="S435"/>
      <c r="T435"/>
      <c r="U435"/>
      <c r="V435"/>
    </row>
    <row r="436" spans="10:22" s="1" customFormat="1" x14ac:dyDescent="0.2">
      <c r="J436"/>
      <c r="K436"/>
      <c r="L436"/>
      <c r="M436"/>
      <c r="N436" s="2"/>
      <c r="R436"/>
      <c r="S436"/>
      <c r="T436"/>
      <c r="U436"/>
      <c r="V436"/>
    </row>
    <row r="437" spans="10:22" s="1" customFormat="1" x14ac:dyDescent="0.2">
      <c r="J437"/>
      <c r="K437"/>
      <c r="L437"/>
      <c r="M437"/>
      <c r="N437" s="2"/>
      <c r="R437"/>
      <c r="S437"/>
      <c r="T437"/>
      <c r="U437"/>
      <c r="V437"/>
    </row>
    <row r="438" spans="10:22" s="1" customFormat="1" x14ac:dyDescent="0.2">
      <c r="J438"/>
      <c r="K438"/>
      <c r="L438"/>
      <c r="M438"/>
      <c r="N438" s="2"/>
      <c r="R438"/>
      <c r="S438"/>
      <c r="T438"/>
      <c r="U438"/>
      <c r="V438"/>
    </row>
    <row r="439" spans="10:22" s="1" customFormat="1" x14ac:dyDescent="0.2">
      <c r="J439"/>
      <c r="K439"/>
      <c r="L439"/>
      <c r="M439"/>
      <c r="N439" s="2"/>
      <c r="R439"/>
      <c r="S439"/>
      <c r="T439"/>
      <c r="U439"/>
      <c r="V439"/>
    </row>
    <row r="440" spans="10:22" s="1" customFormat="1" x14ac:dyDescent="0.2">
      <c r="J440"/>
      <c r="K440"/>
      <c r="L440"/>
      <c r="M440"/>
      <c r="N440" s="2"/>
      <c r="R440"/>
      <c r="S440"/>
      <c r="T440"/>
      <c r="U440"/>
      <c r="V440"/>
    </row>
    <row r="441" spans="10:22" s="1" customFormat="1" x14ac:dyDescent="0.2">
      <c r="J441"/>
      <c r="K441"/>
      <c r="L441"/>
      <c r="M441"/>
      <c r="N441" s="2"/>
      <c r="R441"/>
      <c r="S441"/>
      <c r="T441"/>
      <c r="U441"/>
      <c r="V441"/>
    </row>
    <row r="442" spans="10:22" s="1" customFormat="1" x14ac:dyDescent="0.2">
      <c r="J442"/>
      <c r="K442"/>
      <c r="L442"/>
      <c r="M442"/>
      <c r="N442" s="2"/>
      <c r="R442"/>
      <c r="S442"/>
      <c r="T442"/>
      <c r="U442"/>
      <c r="V442"/>
    </row>
    <row r="443" spans="10:22" s="1" customFormat="1" x14ac:dyDescent="0.2">
      <c r="J443"/>
      <c r="K443"/>
      <c r="L443"/>
      <c r="M443"/>
      <c r="N443" s="2"/>
      <c r="R443"/>
      <c r="S443"/>
      <c r="T443"/>
      <c r="U443"/>
      <c r="V443"/>
    </row>
    <row r="444" spans="10:22" s="1" customFormat="1" x14ac:dyDescent="0.2">
      <c r="J444"/>
      <c r="K444"/>
      <c r="L444"/>
      <c r="M444"/>
      <c r="N444" s="2"/>
      <c r="R444"/>
      <c r="S444"/>
      <c r="T444"/>
      <c r="U444"/>
      <c r="V444"/>
    </row>
    <row r="445" spans="10:22" s="1" customFormat="1" x14ac:dyDescent="0.2">
      <c r="J445"/>
      <c r="K445"/>
      <c r="L445"/>
      <c r="M445"/>
      <c r="N445" s="2"/>
      <c r="R445"/>
      <c r="S445"/>
      <c r="T445"/>
      <c r="U445"/>
      <c r="V445"/>
    </row>
    <row r="446" spans="10:22" s="1" customFormat="1" x14ac:dyDescent="0.2">
      <c r="J446"/>
      <c r="K446"/>
      <c r="L446"/>
      <c r="M446"/>
      <c r="N446" s="2"/>
      <c r="R446"/>
      <c r="S446"/>
      <c r="T446"/>
      <c r="U446"/>
      <c r="V446"/>
    </row>
    <row r="447" spans="10:22" s="1" customFormat="1" x14ac:dyDescent="0.2">
      <c r="J447"/>
      <c r="K447"/>
      <c r="L447"/>
      <c r="M447"/>
      <c r="N447" s="2"/>
      <c r="R447"/>
      <c r="S447"/>
      <c r="T447"/>
      <c r="U447"/>
      <c r="V447"/>
    </row>
    <row r="448" spans="10:22" s="1" customFormat="1" x14ac:dyDescent="0.2">
      <c r="J448"/>
      <c r="K448"/>
      <c r="L448"/>
      <c r="M448"/>
      <c r="N448" s="2"/>
      <c r="R448"/>
      <c r="S448"/>
      <c r="T448"/>
      <c r="U448"/>
      <c r="V448"/>
    </row>
    <row r="449" spans="10:22" s="1" customFormat="1" x14ac:dyDescent="0.2">
      <c r="J449"/>
      <c r="K449"/>
      <c r="L449"/>
      <c r="M449"/>
      <c r="N449" s="2"/>
      <c r="R449"/>
      <c r="S449"/>
      <c r="T449"/>
      <c r="U449"/>
      <c r="V449"/>
    </row>
    <row r="450" spans="10:22" s="1" customFormat="1" x14ac:dyDescent="0.2">
      <c r="J450"/>
      <c r="K450"/>
      <c r="L450"/>
      <c r="M450"/>
      <c r="N450" s="2"/>
      <c r="R450"/>
      <c r="S450"/>
      <c r="T450"/>
      <c r="U450"/>
      <c r="V450"/>
    </row>
    <row r="451" spans="10:22" s="1" customFormat="1" x14ac:dyDescent="0.2">
      <c r="J451"/>
      <c r="K451"/>
      <c r="L451"/>
      <c r="M451"/>
      <c r="N451" s="2"/>
      <c r="R451"/>
      <c r="S451"/>
      <c r="T451"/>
      <c r="U451"/>
      <c r="V451"/>
    </row>
    <row r="452" spans="10:22" s="1" customFormat="1" x14ac:dyDescent="0.2">
      <c r="J452"/>
      <c r="K452"/>
      <c r="L452"/>
      <c r="M452"/>
      <c r="N452" s="2"/>
      <c r="R452"/>
      <c r="S452"/>
      <c r="T452"/>
      <c r="U452"/>
      <c r="V452"/>
    </row>
    <row r="453" spans="10:22" s="1" customFormat="1" x14ac:dyDescent="0.2">
      <c r="J453"/>
      <c r="K453"/>
      <c r="L453"/>
      <c r="M453"/>
      <c r="N453" s="2"/>
      <c r="R453"/>
      <c r="S453"/>
      <c r="T453"/>
      <c r="U453"/>
      <c r="V453"/>
    </row>
    <row r="454" spans="10:22" s="1" customFormat="1" x14ac:dyDescent="0.2">
      <c r="J454"/>
      <c r="K454"/>
      <c r="L454"/>
      <c r="M454"/>
      <c r="N454" s="2"/>
      <c r="R454"/>
      <c r="S454"/>
      <c r="T454"/>
      <c r="U454"/>
      <c r="V454"/>
    </row>
    <row r="455" spans="10:22" s="1" customFormat="1" x14ac:dyDescent="0.2">
      <c r="J455"/>
      <c r="K455"/>
      <c r="L455"/>
      <c r="M455"/>
      <c r="N455" s="2"/>
      <c r="R455"/>
      <c r="S455"/>
      <c r="T455"/>
      <c r="U455"/>
      <c r="V455"/>
    </row>
    <row r="456" spans="10:22" s="1" customFormat="1" x14ac:dyDescent="0.2">
      <c r="J456"/>
      <c r="K456"/>
      <c r="L456"/>
      <c r="M456"/>
      <c r="N456" s="2"/>
      <c r="R456"/>
      <c r="S456"/>
      <c r="T456"/>
      <c r="U456"/>
      <c r="V456"/>
    </row>
    <row r="457" spans="10:22" s="1" customFormat="1" x14ac:dyDescent="0.2">
      <c r="J457"/>
      <c r="K457"/>
      <c r="L457"/>
      <c r="M457"/>
      <c r="N457" s="2"/>
      <c r="R457"/>
      <c r="S457"/>
      <c r="T457"/>
      <c r="U457"/>
      <c r="V457"/>
    </row>
    <row r="458" spans="10:22" s="1" customFormat="1" x14ac:dyDescent="0.2">
      <c r="J458"/>
      <c r="K458"/>
      <c r="L458"/>
      <c r="M458"/>
      <c r="N458" s="2"/>
      <c r="R458"/>
      <c r="S458"/>
      <c r="T458"/>
      <c r="U458"/>
      <c r="V458"/>
    </row>
    <row r="459" spans="10:22" s="1" customFormat="1" x14ac:dyDescent="0.2">
      <c r="J459"/>
      <c r="K459"/>
      <c r="L459"/>
      <c r="M459"/>
      <c r="N459" s="2"/>
      <c r="R459"/>
      <c r="S459"/>
      <c r="T459"/>
      <c r="U459"/>
      <c r="V459"/>
    </row>
    <row r="460" spans="10:22" s="1" customFormat="1" x14ac:dyDescent="0.2">
      <c r="J460"/>
      <c r="K460"/>
      <c r="L460"/>
      <c r="M460"/>
      <c r="N460" s="2"/>
      <c r="R460"/>
      <c r="S460"/>
      <c r="T460"/>
      <c r="U460"/>
      <c r="V460"/>
    </row>
    <row r="461" spans="10:22" s="1" customFormat="1" x14ac:dyDescent="0.2">
      <c r="J461"/>
      <c r="K461"/>
      <c r="L461"/>
      <c r="M461"/>
      <c r="N461" s="2"/>
      <c r="R461"/>
      <c r="S461"/>
      <c r="T461"/>
      <c r="U461"/>
      <c r="V461"/>
    </row>
    <row r="462" spans="10:22" s="1" customFormat="1" x14ac:dyDescent="0.2">
      <c r="J462"/>
      <c r="K462"/>
      <c r="L462"/>
      <c r="M462"/>
      <c r="N462" s="2"/>
      <c r="R462"/>
      <c r="S462"/>
      <c r="T462"/>
      <c r="U462"/>
      <c r="V462"/>
    </row>
    <row r="463" spans="10:22" s="1" customFormat="1" x14ac:dyDescent="0.2">
      <c r="J463"/>
      <c r="K463"/>
      <c r="L463"/>
      <c r="M463"/>
      <c r="N463" s="2"/>
      <c r="R463"/>
      <c r="S463"/>
      <c r="T463"/>
      <c r="U463"/>
      <c r="V463"/>
    </row>
    <row r="464" spans="10:22" s="1" customFormat="1" x14ac:dyDescent="0.2">
      <c r="J464"/>
      <c r="K464"/>
      <c r="L464"/>
      <c r="M464"/>
      <c r="N464" s="2"/>
      <c r="R464"/>
      <c r="S464"/>
      <c r="T464"/>
      <c r="U464"/>
      <c r="V464"/>
    </row>
    <row r="465" spans="10:22" s="1" customFormat="1" x14ac:dyDescent="0.2">
      <c r="J465"/>
      <c r="K465"/>
      <c r="L465"/>
      <c r="M465"/>
      <c r="N465" s="2"/>
      <c r="R465"/>
      <c r="S465"/>
      <c r="T465"/>
      <c r="U465"/>
      <c r="V465"/>
    </row>
    <row r="466" spans="10:22" s="1" customFormat="1" x14ac:dyDescent="0.2">
      <c r="J466"/>
      <c r="K466"/>
      <c r="L466"/>
      <c r="M466"/>
      <c r="N466" s="2"/>
      <c r="R466"/>
      <c r="S466"/>
      <c r="T466"/>
      <c r="U466"/>
      <c r="V466"/>
    </row>
    <row r="467" spans="10:22" s="1" customFormat="1" x14ac:dyDescent="0.2">
      <c r="J467"/>
      <c r="K467"/>
      <c r="L467"/>
      <c r="M467"/>
      <c r="N467" s="2"/>
      <c r="R467"/>
      <c r="S467"/>
      <c r="T467"/>
      <c r="U467"/>
      <c r="V467"/>
    </row>
    <row r="468" spans="10:22" s="1" customFormat="1" x14ac:dyDescent="0.2">
      <c r="J468"/>
      <c r="K468"/>
      <c r="L468"/>
      <c r="M468"/>
      <c r="N468" s="2"/>
      <c r="R468"/>
      <c r="S468"/>
      <c r="T468"/>
      <c r="U468"/>
      <c r="V468"/>
    </row>
    <row r="469" spans="10:22" s="1" customFormat="1" x14ac:dyDescent="0.2">
      <c r="J469"/>
      <c r="K469"/>
      <c r="L469"/>
      <c r="M469"/>
      <c r="N469" s="2"/>
      <c r="R469"/>
      <c r="S469"/>
      <c r="T469"/>
      <c r="U469"/>
      <c r="V469"/>
    </row>
    <row r="470" spans="10:22" s="1" customFormat="1" x14ac:dyDescent="0.2">
      <c r="J470"/>
      <c r="K470"/>
      <c r="L470"/>
      <c r="M470"/>
      <c r="N470" s="2"/>
      <c r="R470"/>
      <c r="S470"/>
      <c r="T470"/>
      <c r="U470"/>
      <c r="V470"/>
    </row>
    <row r="471" spans="10:22" s="1" customFormat="1" x14ac:dyDescent="0.2">
      <c r="J471"/>
      <c r="K471"/>
      <c r="L471"/>
      <c r="M471"/>
      <c r="N471" s="2"/>
      <c r="R471"/>
      <c r="S471"/>
      <c r="T471"/>
      <c r="U471"/>
      <c r="V471"/>
    </row>
    <row r="472" spans="10:22" s="1" customFormat="1" x14ac:dyDescent="0.2">
      <c r="J472"/>
      <c r="K472"/>
      <c r="L472"/>
      <c r="M472"/>
      <c r="N472" s="2"/>
      <c r="R472"/>
      <c r="S472"/>
      <c r="T472"/>
      <c r="U472"/>
      <c r="V472"/>
    </row>
    <row r="473" spans="10:22" s="1" customFormat="1" x14ac:dyDescent="0.2">
      <c r="J473"/>
      <c r="K473"/>
      <c r="L473"/>
      <c r="M473"/>
      <c r="N473" s="2"/>
      <c r="R473"/>
      <c r="S473"/>
      <c r="T473"/>
      <c r="U473"/>
      <c r="V473"/>
    </row>
    <row r="474" spans="10:22" s="1" customFormat="1" x14ac:dyDescent="0.2">
      <c r="J474"/>
      <c r="K474"/>
      <c r="L474"/>
      <c r="M474"/>
      <c r="N474" s="2"/>
      <c r="R474"/>
      <c r="S474"/>
      <c r="T474"/>
      <c r="U474"/>
      <c r="V474"/>
    </row>
    <row r="475" spans="10:22" s="1" customFormat="1" x14ac:dyDescent="0.2">
      <c r="J475"/>
      <c r="K475"/>
      <c r="L475"/>
      <c r="M475"/>
      <c r="N475" s="2"/>
      <c r="R475"/>
      <c r="S475"/>
      <c r="T475"/>
      <c r="U475"/>
      <c r="V475"/>
    </row>
    <row r="476" spans="10:22" s="1" customFormat="1" x14ac:dyDescent="0.2">
      <c r="J476"/>
      <c r="K476"/>
      <c r="L476"/>
      <c r="M476"/>
      <c r="N476" s="2"/>
      <c r="R476"/>
      <c r="S476"/>
      <c r="T476"/>
      <c r="U476"/>
      <c r="V476"/>
    </row>
    <row r="477" spans="10:22" s="1" customFormat="1" x14ac:dyDescent="0.2">
      <c r="J477"/>
      <c r="K477"/>
      <c r="L477"/>
      <c r="M477"/>
      <c r="N477" s="2"/>
      <c r="R477"/>
      <c r="S477"/>
      <c r="T477"/>
      <c r="U477"/>
      <c r="V477"/>
    </row>
    <row r="478" spans="10:22" s="1" customFormat="1" x14ac:dyDescent="0.2">
      <c r="J478"/>
      <c r="K478"/>
      <c r="L478"/>
      <c r="M478"/>
      <c r="N478" s="2"/>
      <c r="R478"/>
      <c r="S478"/>
      <c r="T478"/>
      <c r="U478"/>
      <c r="V478"/>
    </row>
    <row r="479" spans="10:22" s="1" customFormat="1" x14ac:dyDescent="0.2">
      <c r="J479"/>
      <c r="K479"/>
      <c r="L479"/>
      <c r="M479"/>
      <c r="N479" s="2"/>
      <c r="R479"/>
      <c r="S479"/>
      <c r="T479"/>
      <c r="U479"/>
      <c r="V479"/>
    </row>
    <row r="480" spans="10:22" s="1" customFormat="1" x14ac:dyDescent="0.2">
      <c r="J480"/>
      <c r="K480"/>
      <c r="L480"/>
      <c r="M480"/>
      <c r="N480" s="2"/>
      <c r="R480"/>
      <c r="S480"/>
      <c r="T480"/>
      <c r="U480"/>
      <c r="V480"/>
    </row>
    <row r="481" spans="10:22" s="1" customFormat="1" x14ac:dyDescent="0.2">
      <c r="J481"/>
      <c r="K481"/>
      <c r="L481"/>
      <c r="M481"/>
      <c r="N481" s="2"/>
      <c r="R481"/>
      <c r="S481"/>
      <c r="T481"/>
      <c r="U481"/>
      <c r="V481"/>
    </row>
    <row r="482" spans="10:22" s="1" customFormat="1" x14ac:dyDescent="0.2">
      <c r="J482"/>
      <c r="K482"/>
      <c r="L482"/>
      <c r="M482"/>
      <c r="N482" s="2"/>
      <c r="R482"/>
      <c r="S482"/>
      <c r="T482"/>
      <c r="U482"/>
      <c r="V482"/>
    </row>
    <row r="483" spans="10:22" s="1" customFormat="1" x14ac:dyDescent="0.2">
      <c r="J483"/>
      <c r="K483"/>
      <c r="L483"/>
      <c r="M483"/>
      <c r="N483" s="2"/>
      <c r="R483"/>
      <c r="S483"/>
      <c r="T483"/>
      <c r="U483"/>
      <c r="V483"/>
    </row>
    <row r="484" spans="10:22" s="1" customFormat="1" x14ac:dyDescent="0.2">
      <c r="J484"/>
      <c r="K484"/>
      <c r="L484"/>
      <c r="M484"/>
      <c r="N484" s="2"/>
      <c r="R484"/>
      <c r="S484"/>
      <c r="T484"/>
      <c r="U484"/>
      <c r="V484"/>
    </row>
    <row r="485" spans="10:22" s="1" customFormat="1" x14ac:dyDescent="0.2">
      <c r="J485"/>
      <c r="K485"/>
      <c r="L485"/>
      <c r="M485"/>
      <c r="N485" s="2"/>
      <c r="R485"/>
      <c r="S485"/>
      <c r="T485"/>
      <c r="U485"/>
      <c r="V485"/>
    </row>
    <row r="486" spans="10:22" s="1" customFormat="1" x14ac:dyDescent="0.2">
      <c r="J486"/>
      <c r="K486"/>
      <c r="L486"/>
      <c r="M486"/>
      <c r="N486" s="2"/>
      <c r="R486"/>
      <c r="S486"/>
      <c r="T486"/>
      <c r="U486"/>
      <c r="V486"/>
    </row>
    <row r="487" spans="10:22" s="1" customFormat="1" x14ac:dyDescent="0.2">
      <c r="J487"/>
      <c r="K487"/>
      <c r="L487"/>
      <c r="M487"/>
      <c r="N487" s="2"/>
      <c r="R487"/>
      <c r="S487"/>
      <c r="T487"/>
      <c r="U487"/>
      <c r="V487"/>
    </row>
    <row r="488" spans="10:22" s="1" customFormat="1" x14ac:dyDescent="0.2">
      <c r="J488"/>
      <c r="K488"/>
      <c r="L488"/>
      <c r="M488"/>
      <c r="N488" s="2"/>
      <c r="R488"/>
      <c r="S488"/>
      <c r="T488"/>
      <c r="U488"/>
      <c r="V488"/>
    </row>
    <row r="489" spans="10:22" s="1" customFormat="1" x14ac:dyDescent="0.2">
      <c r="J489"/>
      <c r="K489"/>
      <c r="L489"/>
      <c r="M489"/>
      <c r="N489" s="2"/>
      <c r="R489"/>
      <c r="S489"/>
      <c r="T489"/>
      <c r="U489"/>
      <c r="V489"/>
    </row>
    <row r="490" spans="10:22" s="1" customFormat="1" x14ac:dyDescent="0.2">
      <c r="J490"/>
      <c r="K490"/>
      <c r="L490"/>
      <c r="M490"/>
      <c r="N490" s="2"/>
      <c r="R490"/>
      <c r="S490"/>
      <c r="T490"/>
      <c r="U490"/>
      <c r="V490"/>
    </row>
    <row r="491" spans="10:22" s="1" customFormat="1" x14ac:dyDescent="0.2">
      <c r="J491"/>
      <c r="K491"/>
      <c r="L491"/>
      <c r="M491"/>
      <c r="N491" s="2"/>
      <c r="R491"/>
      <c r="S491"/>
      <c r="T491"/>
      <c r="U491"/>
      <c r="V491"/>
    </row>
    <row r="492" spans="10:22" s="1" customFormat="1" x14ac:dyDescent="0.2">
      <c r="J492"/>
      <c r="K492"/>
      <c r="L492"/>
      <c r="M492"/>
      <c r="N492" s="2"/>
      <c r="R492"/>
      <c r="S492"/>
      <c r="T492"/>
      <c r="U492"/>
      <c r="V492"/>
    </row>
    <row r="493" spans="10:22" s="1" customFormat="1" x14ac:dyDescent="0.2">
      <c r="J493"/>
      <c r="K493"/>
      <c r="L493"/>
      <c r="M493"/>
      <c r="N493" s="2"/>
      <c r="R493"/>
      <c r="S493"/>
      <c r="T493"/>
      <c r="U493"/>
      <c r="V493"/>
    </row>
    <row r="494" spans="10:22" s="1" customFormat="1" x14ac:dyDescent="0.2">
      <c r="J494"/>
      <c r="K494"/>
      <c r="L494"/>
      <c r="M494"/>
      <c r="N494" s="2"/>
      <c r="R494"/>
      <c r="S494"/>
      <c r="T494"/>
      <c r="U494"/>
      <c r="V494"/>
    </row>
    <row r="495" spans="10:22" s="1" customFormat="1" x14ac:dyDescent="0.2">
      <c r="J495"/>
      <c r="K495"/>
      <c r="L495"/>
      <c r="M495"/>
      <c r="N495" s="2"/>
      <c r="R495"/>
      <c r="S495"/>
      <c r="T495"/>
      <c r="U495"/>
      <c r="V495"/>
    </row>
    <row r="496" spans="10:22" s="1" customFormat="1" x14ac:dyDescent="0.2">
      <c r="J496"/>
      <c r="K496"/>
      <c r="L496"/>
      <c r="M496"/>
      <c r="N496" s="2"/>
      <c r="R496"/>
      <c r="S496"/>
      <c r="T496"/>
      <c r="U496"/>
      <c r="V496"/>
    </row>
    <row r="497" spans="10:22" s="1" customFormat="1" x14ac:dyDescent="0.2">
      <c r="J497"/>
      <c r="K497"/>
      <c r="L497"/>
      <c r="M497"/>
      <c r="N497" s="2"/>
      <c r="R497"/>
      <c r="S497"/>
      <c r="T497"/>
      <c r="U497"/>
      <c r="V497"/>
    </row>
    <row r="498" spans="10:22" s="1" customFormat="1" x14ac:dyDescent="0.2">
      <c r="J498"/>
      <c r="K498"/>
      <c r="L498"/>
      <c r="M498"/>
      <c r="N498" s="2"/>
      <c r="R498"/>
      <c r="S498"/>
      <c r="T498"/>
      <c r="U498"/>
      <c r="V498"/>
    </row>
    <row r="499" spans="10:22" s="1" customFormat="1" x14ac:dyDescent="0.2">
      <c r="J499"/>
      <c r="K499"/>
      <c r="L499"/>
      <c r="M499"/>
      <c r="N499" s="2"/>
      <c r="R499"/>
      <c r="S499"/>
      <c r="T499"/>
      <c r="U499"/>
      <c r="V499"/>
    </row>
    <row r="500" spans="10:22" s="1" customFormat="1" x14ac:dyDescent="0.2">
      <c r="J500"/>
      <c r="K500"/>
      <c r="L500"/>
      <c r="M500"/>
      <c r="N500" s="2"/>
      <c r="R500"/>
      <c r="S500"/>
      <c r="T500"/>
      <c r="U500"/>
      <c r="V500"/>
    </row>
    <row r="501" spans="10:22" s="1" customFormat="1" x14ac:dyDescent="0.2">
      <c r="J501"/>
      <c r="K501"/>
      <c r="L501"/>
      <c r="M501"/>
      <c r="N501" s="2"/>
      <c r="R501"/>
      <c r="S501"/>
      <c r="T501"/>
      <c r="U501"/>
      <c r="V501"/>
    </row>
    <row r="502" spans="10:22" s="1" customFormat="1" x14ac:dyDescent="0.2">
      <c r="J502"/>
      <c r="K502"/>
      <c r="L502"/>
      <c r="M502"/>
      <c r="N502" s="2"/>
      <c r="R502"/>
      <c r="S502"/>
      <c r="T502"/>
      <c r="U502"/>
      <c r="V502"/>
    </row>
    <row r="503" spans="10:22" s="1" customFormat="1" x14ac:dyDescent="0.2">
      <c r="J503"/>
      <c r="K503"/>
      <c r="L503"/>
      <c r="M503"/>
      <c r="N503" s="2"/>
      <c r="R503"/>
      <c r="S503"/>
      <c r="T503"/>
      <c r="U503"/>
      <c r="V503"/>
    </row>
    <row r="504" spans="10:22" s="1" customFormat="1" x14ac:dyDescent="0.2">
      <c r="J504"/>
      <c r="K504"/>
      <c r="L504"/>
      <c r="M504"/>
      <c r="N504" s="2"/>
      <c r="R504"/>
      <c r="S504"/>
      <c r="T504"/>
      <c r="U504"/>
      <c r="V504"/>
    </row>
    <row r="505" spans="10:22" s="1" customFormat="1" x14ac:dyDescent="0.2">
      <c r="J505"/>
      <c r="K505"/>
      <c r="L505"/>
      <c r="M505"/>
      <c r="N505" s="2"/>
      <c r="R505"/>
      <c r="S505"/>
      <c r="T505"/>
      <c r="U505"/>
      <c r="V505"/>
    </row>
    <row r="506" spans="10:22" s="1" customFormat="1" x14ac:dyDescent="0.2">
      <c r="J506"/>
      <c r="K506"/>
      <c r="L506"/>
      <c r="M506"/>
      <c r="N506" s="2"/>
      <c r="R506"/>
      <c r="S506"/>
      <c r="T506"/>
      <c r="U506"/>
      <c r="V506"/>
    </row>
    <row r="507" spans="10:22" s="1" customFormat="1" x14ac:dyDescent="0.2">
      <c r="J507"/>
      <c r="K507"/>
      <c r="L507"/>
      <c r="M507"/>
      <c r="N507" s="2"/>
      <c r="R507"/>
      <c r="S507"/>
      <c r="T507"/>
      <c r="U507"/>
      <c r="V507"/>
    </row>
    <row r="508" spans="10:22" s="1" customFormat="1" x14ac:dyDescent="0.2">
      <c r="J508"/>
      <c r="K508"/>
      <c r="L508"/>
      <c r="M508"/>
      <c r="N508" s="2"/>
      <c r="R508"/>
      <c r="S508"/>
      <c r="T508"/>
      <c r="U508"/>
      <c r="V508"/>
    </row>
    <row r="509" spans="10:22" s="1" customFormat="1" x14ac:dyDescent="0.2">
      <c r="J509"/>
      <c r="K509"/>
      <c r="L509"/>
      <c r="M509"/>
      <c r="N509" s="2"/>
      <c r="R509"/>
      <c r="S509"/>
      <c r="T509"/>
      <c r="U509"/>
      <c r="V509"/>
    </row>
    <row r="510" spans="10:22" s="1" customFormat="1" x14ac:dyDescent="0.2">
      <c r="J510"/>
      <c r="K510"/>
      <c r="L510"/>
      <c r="M510"/>
      <c r="N510" s="2"/>
      <c r="R510"/>
      <c r="S510"/>
      <c r="T510"/>
      <c r="U510"/>
      <c r="V510"/>
    </row>
    <row r="511" spans="10:22" s="1" customFormat="1" x14ac:dyDescent="0.2">
      <c r="J511"/>
      <c r="K511"/>
      <c r="L511"/>
      <c r="M511"/>
      <c r="N511" s="2"/>
      <c r="R511"/>
      <c r="S511"/>
      <c r="T511"/>
      <c r="U511"/>
      <c r="V511"/>
    </row>
    <row r="512" spans="10:22" s="1" customFormat="1" x14ac:dyDescent="0.2">
      <c r="J512"/>
      <c r="K512"/>
      <c r="L512"/>
      <c r="M512"/>
      <c r="N512" s="2"/>
      <c r="R512"/>
      <c r="S512"/>
      <c r="T512"/>
      <c r="U512"/>
      <c r="V512"/>
    </row>
    <row r="513" spans="10:22" s="1" customFormat="1" x14ac:dyDescent="0.2">
      <c r="J513"/>
      <c r="K513"/>
      <c r="L513"/>
      <c r="M513"/>
      <c r="N513" s="2"/>
      <c r="R513"/>
      <c r="S513"/>
      <c r="T513"/>
      <c r="U513"/>
      <c r="V513"/>
    </row>
    <row r="514" spans="10:22" s="1" customFormat="1" x14ac:dyDescent="0.2">
      <c r="J514"/>
      <c r="K514"/>
      <c r="L514"/>
      <c r="M514"/>
      <c r="N514" s="2"/>
      <c r="R514"/>
      <c r="S514"/>
      <c r="T514"/>
      <c r="U514"/>
      <c r="V514"/>
    </row>
    <row r="515" spans="10:22" s="1" customFormat="1" x14ac:dyDescent="0.2">
      <c r="J515"/>
      <c r="K515"/>
      <c r="L515"/>
      <c r="M515"/>
      <c r="N515" s="2"/>
      <c r="R515"/>
      <c r="S515"/>
      <c r="T515"/>
      <c r="U515"/>
      <c r="V515"/>
    </row>
    <row r="516" spans="10:22" s="1" customFormat="1" x14ac:dyDescent="0.2">
      <c r="J516"/>
      <c r="K516"/>
      <c r="L516"/>
      <c r="M516"/>
      <c r="N516" s="2"/>
      <c r="R516"/>
      <c r="S516"/>
      <c r="T516"/>
      <c r="U516"/>
      <c r="V516"/>
    </row>
    <row r="517" spans="10:22" s="1" customFormat="1" x14ac:dyDescent="0.2">
      <c r="J517"/>
      <c r="K517"/>
      <c r="L517"/>
      <c r="M517"/>
      <c r="N517" s="2"/>
      <c r="R517"/>
      <c r="S517"/>
      <c r="T517"/>
      <c r="U517"/>
      <c r="V517"/>
    </row>
    <row r="518" spans="10:22" s="1" customFormat="1" x14ac:dyDescent="0.2">
      <c r="J518"/>
      <c r="K518"/>
      <c r="L518"/>
      <c r="M518"/>
      <c r="N518" s="2"/>
      <c r="R518"/>
      <c r="S518"/>
      <c r="T518"/>
      <c r="U518"/>
      <c r="V518"/>
    </row>
    <row r="519" spans="10:22" s="1" customFormat="1" x14ac:dyDescent="0.2">
      <c r="J519"/>
      <c r="K519"/>
      <c r="L519"/>
      <c r="M519"/>
      <c r="N519" s="2"/>
      <c r="R519"/>
      <c r="S519"/>
      <c r="T519"/>
      <c r="U519"/>
      <c r="V519"/>
    </row>
    <row r="520" spans="10:22" s="1" customFormat="1" x14ac:dyDescent="0.2">
      <c r="J520"/>
      <c r="K520"/>
      <c r="L520"/>
      <c r="M520"/>
      <c r="N520" s="2"/>
      <c r="R520"/>
      <c r="S520"/>
      <c r="T520"/>
      <c r="U520"/>
      <c r="V520"/>
    </row>
    <row r="521" spans="10:22" s="1" customFormat="1" x14ac:dyDescent="0.2">
      <c r="J521"/>
      <c r="K521"/>
      <c r="L521"/>
      <c r="M521"/>
      <c r="N521" s="2"/>
      <c r="R521"/>
      <c r="S521"/>
      <c r="T521"/>
      <c r="U521"/>
      <c r="V521"/>
    </row>
    <row r="522" spans="10:22" s="1" customFormat="1" x14ac:dyDescent="0.2">
      <c r="J522"/>
      <c r="K522"/>
      <c r="L522"/>
      <c r="M522"/>
      <c r="N522" s="2"/>
      <c r="R522"/>
      <c r="S522"/>
      <c r="T522"/>
      <c r="U522"/>
      <c r="V522"/>
    </row>
    <row r="523" spans="10:22" s="1" customFormat="1" x14ac:dyDescent="0.2">
      <c r="J523"/>
      <c r="K523"/>
      <c r="L523"/>
      <c r="M523"/>
      <c r="N523" s="2"/>
      <c r="R523"/>
      <c r="S523"/>
      <c r="T523"/>
      <c r="U523"/>
      <c r="V523"/>
    </row>
    <row r="524" spans="10:22" s="1" customFormat="1" x14ac:dyDescent="0.2">
      <c r="J524"/>
      <c r="K524"/>
      <c r="L524"/>
      <c r="M524"/>
      <c r="N524" s="2"/>
      <c r="R524"/>
      <c r="S524"/>
      <c r="T524"/>
      <c r="U524"/>
      <c r="V524"/>
    </row>
    <row r="525" spans="10:22" s="1" customFormat="1" x14ac:dyDescent="0.2">
      <c r="J525"/>
      <c r="K525"/>
      <c r="L525"/>
      <c r="M525"/>
      <c r="N525" s="2"/>
      <c r="R525"/>
      <c r="S525"/>
      <c r="T525"/>
      <c r="U525"/>
      <c r="V525"/>
    </row>
    <row r="526" spans="10:22" s="1" customFormat="1" x14ac:dyDescent="0.2">
      <c r="J526"/>
      <c r="K526"/>
      <c r="L526"/>
      <c r="M526"/>
      <c r="N526" s="2"/>
      <c r="R526"/>
      <c r="S526"/>
      <c r="T526"/>
      <c r="U526"/>
      <c r="V526"/>
    </row>
    <row r="527" spans="10:22" s="1" customFormat="1" x14ac:dyDescent="0.2">
      <c r="J527"/>
      <c r="K527"/>
      <c r="L527"/>
      <c r="M527"/>
      <c r="N527" s="2"/>
      <c r="R527"/>
      <c r="S527"/>
      <c r="T527"/>
      <c r="U527"/>
      <c r="V527"/>
    </row>
    <row r="528" spans="10:22" s="1" customFormat="1" x14ac:dyDescent="0.2">
      <c r="J528"/>
      <c r="K528"/>
      <c r="L528"/>
      <c r="M528"/>
      <c r="N528" s="2"/>
      <c r="R528"/>
      <c r="S528"/>
      <c r="T528"/>
      <c r="U528"/>
      <c r="V528"/>
    </row>
    <row r="529" spans="10:22" s="1" customFormat="1" x14ac:dyDescent="0.2">
      <c r="J529"/>
      <c r="K529"/>
      <c r="L529"/>
      <c r="M529"/>
      <c r="N529" s="2"/>
      <c r="R529"/>
      <c r="S529"/>
      <c r="T529"/>
      <c r="U529"/>
      <c r="V529"/>
    </row>
    <row r="530" spans="10:22" s="1" customFormat="1" x14ac:dyDescent="0.2">
      <c r="J530"/>
      <c r="K530"/>
      <c r="L530"/>
      <c r="M530"/>
      <c r="N530" s="2"/>
      <c r="R530"/>
      <c r="S530"/>
      <c r="T530"/>
      <c r="U530"/>
      <c r="V530"/>
    </row>
    <row r="531" spans="10:22" s="1" customFormat="1" x14ac:dyDescent="0.2">
      <c r="J531"/>
      <c r="K531"/>
      <c r="L531"/>
      <c r="M531"/>
      <c r="N531" s="2"/>
      <c r="R531"/>
      <c r="S531"/>
      <c r="T531"/>
      <c r="U531"/>
      <c r="V531"/>
    </row>
    <row r="532" spans="10:22" s="1" customFormat="1" x14ac:dyDescent="0.2">
      <c r="J532"/>
      <c r="K532"/>
      <c r="L532"/>
      <c r="M532"/>
      <c r="N532" s="2"/>
      <c r="R532"/>
      <c r="S532"/>
      <c r="T532"/>
      <c r="U532"/>
      <c r="V532"/>
    </row>
    <row r="533" spans="10:22" s="1" customFormat="1" x14ac:dyDescent="0.2">
      <c r="J533"/>
      <c r="K533"/>
      <c r="L533"/>
      <c r="M533"/>
      <c r="N533" s="2"/>
      <c r="R533"/>
      <c r="S533"/>
      <c r="T533"/>
      <c r="U533"/>
      <c r="V533"/>
    </row>
    <row r="534" spans="10:22" s="1" customFormat="1" x14ac:dyDescent="0.2">
      <c r="J534"/>
      <c r="K534"/>
      <c r="L534"/>
      <c r="M534"/>
      <c r="N534" s="2"/>
      <c r="R534"/>
      <c r="S534"/>
      <c r="T534"/>
      <c r="U534"/>
      <c r="V534"/>
    </row>
    <row r="535" spans="10:22" s="1" customFormat="1" x14ac:dyDescent="0.2">
      <c r="J535"/>
      <c r="K535"/>
      <c r="L535"/>
      <c r="M535"/>
      <c r="N535" s="2"/>
      <c r="R535"/>
      <c r="S535"/>
      <c r="T535"/>
      <c r="U535"/>
      <c r="V535"/>
    </row>
    <row r="536" spans="10:22" s="1" customFormat="1" x14ac:dyDescent="0.2">
      <c r="J536"/>
      <c r="K536"/>
      <c r="L536"/>
      <c r="M536"/>
      <c r="N536" s="2"/>
      <c r="R536"/>
      <c r="S536"/>
      <c r="T536"/>
      <c r="U536"/>
      <c r="V536"/>
    </row>
    <row r="537" spans="10:22" s="1" customFormat="1" x14ac:dyDescent="0.2">
      <c r="J537"/>
      <c r="K537"/>
      <c r="L537"/>
      <c r="M537"/>
      <c r="N537" s="2"/>
      <c r="R537"/>
      <c r="S537"/>
      <c r="T537"/>
      <c r="U537"/>
      <c r="V537"/>
    </row>
    <row r="538" spans="10:22" s="1" customFormat="1" x14ac:dyDescent="0.2">
      <c r="J538"/>
      <c r="K538"/>
      <c r="L538"/>
      <c r="M538"/>
      <c r="N538" s="2"/>
      <c r="R538"/>
      <c r="S538"/>
      <c r="T538"/>
      <c r="U538"/>
      <c r="V538"/>
    </row>
    <row r="539" spans="10:22" s="1" customFormat="1" x14ac:dyDescent="0.2">
      <c r="J539"/>
      <c r="K539"/>
      <c r="L539"/>
      <c r="M539"/>
      <c r="N539" s="2"/>
      <c r="R539"/>
      <c r="S539"/>
      <c r="T539"/>
      <c r="U539"/>
      <c r="V539"/>
    </row>
    <row r="540" spans="10:22" s="1" customFormat="1" x14ac:dyDescent="0.2">
      <c r="J540"/>
      <c r="K540"/>
      <c r="L540"/>
      <c r="M540"/>
      <c r="N540" s="2"/>
      <c r="R540"/>
      <c r="S540"/>
      <c r="T540"/>
      <c r="U540"/>
      <c r="V540"/>
    </row>
    <row r="541" spans="10:22" s="1" customFormat="1" x14ac:dyDescent="0.2">
      <c r="J541"/>
      <c r="K541"/>
      <c r="L541"/>
      <c r="M541"/>
      <c r="N541" s="2"/>
      <c r="R541"/>
      <c r="S541"/>
      <c r="T541"/>
      <c r="U541"/>
      <c r="V541"/>
    </row>
    <row r="542" spans="10:22" s="1" customFormat="1" x14ac:dyDescent="0.2">
      <c r="J542"/>
      <c r="K542"/>
      <c r="L542"/>
      <c r="M542"/>
      <c r="N542" s="2"/>
      <c r="R542"/>
      <c r="S542"/>
      <c r="T542"/>
      <c r="U542"/>
      <c r="V542"/>
    </row>
    <row r="543" spans="10:22" s="1" customFormat="1" x14ac:dyDescent="0.2">
      <c r="J543"/>
      <c r="K543"/>
      <c r="L543"/>
      <c r="M543"/>
      <c r="N543" s="2"/>
      <c r="R543"/>
      <c r="S543"/>
      <c r="T543"/>
      <c r="U543"/>
      <c r="V543"/>
    </row>
    <row r="544" spans="10:22" s="1" customFormat="1" x14ac:dyDescent="0.2">
      <c r="J544"/>
      <c r="K544"/>
      <c r="L544"/>
      <c r="M544"/>
      <c r="N544" s="2"/>
      <c r="R544"/>
      <c r="S544"/>
      <c r="T544"/>
      <c r="U544"/>
      <c r="V544"/>
    </row>
    <row r="545" spans="10:22" s="1" customFormat="1" x14ac:dyDescent="0.2">
      <c r="J545"/>
      <c r="K545"/>
      <c r="L545"/>
      <c r="M545"/>
      <c r="N545" s="2"/>
      <c r="R545"/>
      <c r="S545"/>
      <c r="T545"/>
      <c r="U545"/>
      <c r="V545"/>
    </row>
    <row r="546" spans="10:22" s="1" customFormat="1" x14ac:dyDescent="0.2">
      <c r="J546"/>
      <c r="K546"/>
      <c r="L546"/>
      <c r="M546"/>
      <c r="N546" s="2"/>
      <c r="R546"/>
      <c r="S546"/>
      <c r="T546"/>
      <c r="U546"/>
      <c r="V546"/>
    </row>
    <row r="547" spans="10:22" s="1" customFormat="1" x14ac:dyDescent="0.2">
      <c r="J547"/>
      <c r="K547"/>
      <c r="L547"/>
      <c r="M547"/>
      <c r="N547" s="2"/>
      <c r="R547"/>
      <c r="S547"/>
      <c r="T547"/>
      <c r="U547"/>
      <c r="V547"/>
    </row>
    <row r="548" spans="10:22" s="1" customFormat="1" x14ac:dyDescent="0.2">
      <c r="J548"/>
      <c r="K548"/>
      <c r="L548"/>
      <c r="M548"/>
      <c r="N548" s="2"/>
      <c r="R548"/>
      <c r="S548"/>
      <c r="T548"/>
      <c r="U548"/>
      <c r="V548"/>
    </row>
    <row r="549" spans="10:22" s="1" customFormat="1" x14ac:dyDescent="0.2">
      <c r="J549"/>
      <c r="K549"/>
      <c r="L549"/>
      <c r="M549"/>
      <c r="N549" s="2"/>
      <c r="R549"/>
      <c r="S549"/>
      <c r="T549"/>
      <c r="U549"/>
      <c r="V549"/>
    </row>
    <row r="550" spans="10:22" s="1" customFormat="1" x14ac:dyDescent="0.2">
      <c r="J550"/>
      <c r="K550"/>
      <c r="L550"/>
      <c r="M550"/>
      <c r="N550" s="2"/>
      <c r="R550"/>
      <c r="S550"/>
      <c r="T550"/>
      <c r="U550"/>
      <c r="V550"/>
    </row>
    <row r="551" spans="10:22" s="1" customFormat="1" x14ac:dyDescent="0.2">
      <c r="J551"/>
      <c r="K551"/>
      <c r="L551"/>
      <c r="M551"/>
      <c r="N551" s="2"/>
      <c r="R551"/>
      <c r="S551"/>
      <c r="T551"/>
      <c r="U551"/>
      <c r="V551"/>
    </row>
    <row r="552" spans="10:22" s="1" customFormat="1" x14ac:dyDescent="0.2">
      <c r="J552"/>
      <c r="K552"/>
      <c r="L552"/>
      <c r="M552"/>
      <c r="N552" s="2"/>
      <c r="R552"/>
      <c r="S552"/>
      <c r="T552"/>
      <c r="U552"/>
      <c r="V552"/>
    </row>
    <row r="553" spans="10:22" s="1" customFormat="1" x14ac:dyDescent="0.2">
      <c r="J553"/>
      <c r="K553"/>
      <c r="L553"/>
      <c r="M553"/>
      <c r="N553" s="2"/>
      <c r="R553"/>
      <c r="S553"/>
      <c r="T553"/>
      <c r="U553"/>
      <c r="V553"/>
    </row>
    <row r="554" spans="10:22" s="1" customFormat="1" x14ac:dyDescent="0.2">
      <c r="J554"/>
      <c r="K554"/>
      <c r="L554"/>
      <c r="M554"/>
      <c r="N554" s="2"/>
      <c r="R554"/>
      <c r="S554"/>
      <c r="T554"/>
      <c r="U554"/>
      <c r="V554"/>
    </row>
    <row r="555" spans="10:22" s="1" customFormat="1" x14ac:dyDescent="0.2">
      <c r="J555"/>
      <c r="K555"/>
      <c r="L555"/>
      <c r="M555"/>
      <c r="N555" s="2"/>
      <c r="R555"/>
      <c r="S555"/>
      <c r="T555"/>
      <c r="U555"/>
      <c r="V555"/>
    </row>
    <row r="556" spans="10:22" s="1" customFormat="1" x14ac:dyDescent="0.2">
      <c r="J556"/>
      <c r="K556"/>
      <c r="L556"/>
      <c r="M556"/>
      <c r="N556" s="2"/>
      <c r="R556"/>
      <c r="S556"/>
      <c r="T556"/>
      <c r="U556"/>
      <c r="V556"/>
    </row>
    <row r="557" spans="10:22" s="1" customFormat="1" x14ac:dyDescent="0.2">
      <c r="J557"/>
      <c r="K557"/>
      <c r="L557"/>
      <c r="M557"/>
      <c r="N557" s="2"/>
      <c r="R557"/>
      <c r="S557"/>
      <c r="T557"/>
      <c r="U557"/>
      <c r="V557"/>
    </row>
    <row r="558" spans="10:22" s="1" customFormat="1" x14ac:dyDescent="0.2">
      <c r="J558"/>
      <c r="K558"/>
      <c r="L558"/>
      <c r="M558"/>
      <c r="N558" s="2"/>
      <c r="R558"/>
      <c r="S558"/>
      <c r="T558"/>
      <c r="U558"/>
      <c r="V558"/>
    </row>
    <row r="559" spans="10:22" s="1" customFormat="1" x14ac:dyDescent="0.2">
      <c r="J559"/>
      <c r="K559"/>
      <c r="L559"/>
      <c r="M559"/>
      <c r="N559" s="2"/>
      <c r="R559"/>
      <c r="S559"/>
      <c r="T559"/>
      <c r="U559"/>
      <c r="V559"/>
    </row>
    <row r="560" spans="10:22" s="1" customFormat="1" x14ac:dyDescent="0.2">
      <c r="J560"/>
      <c r="K560"/>
      <c r="L560"/>
      <c r="M560"/>
      <c r="N560" s="2"/>
      <c r="R560"/>
      <c r="S560"/>
      <c r="T560"/>
      <c r="U560"/>
      <c r="V560"/>
    </row>
    <row r="561" spans="10:22" s="1" customFormat="1" x14ac:dyDescent="0.2">
      <c r="J561"/>
      <c r="K561"/>
      <c r="L561"/>
      <c r="M561"/>
      <c r="N561" s="2"/>
      <c r="R561"/>
      <c r="S561"/>
      <c r="T561"/>
      <c r="U561"/>
      <c r="V561"/>
    </row>
    <row r="562" spans="10:22" s="1" customFormat="1" x14ac:dyDescent="0.2">
      <c r="J562"/>
      <c r="K562"/>
      <c r="L562"/>
      <c r="M562"/>
      <c r="N562" s="2"/>
      <c r="R562"/>
      <c r="S562"/>
      <c r="T562"/>
      <c r="U562"/>
      <c r="V562"/>
    </row>
    <row r="563" spans="10:22" s="1" customFormat="1" x14ac:dyDescent="0.2">
      <c r="J563"/>
      <c r="K563"/>
      <c r="L563"/>
      <c r="M563"/>
      <c r="N563" s="2"/>
      <c r="R563"/>
      <c r="S563"/>
      <c r="T563"/>
      <c r="U563"/>
      <c r="V563"/>
    </row>
    <row r="564" spans="10:22" s="1" customFormat="1" x14ac:dyDescent="0.2">
      <c r="J564"/>
      <c r="K564"/>
      <c r="L564"/>
      <c r="M564"/>
      <c r="N564" s="2"/>
      <c r="R564"/>
      <c r="S564"/>
      <c r="T564"/>
      <c r="U564"/>
      <c r="V564"/>
    </row>
    <row r="565" spans="10:22" s="1" customFormat="1" x14ac:dyDescent="0.2">
      <c r="J565"/>
      <c r="K565"/>
      <c r="L565"/>
      <c r="M565"/>
      <c r="N565" s="2"/>
      <c r="R565"/>
      <c r="S565"/>
      <c r="T565"/>
      <c r="U565"/>
      <c r="V565"/>
    </row>
    <row r="566" spans="10:22" s="1" customFormat="1" x14ac:dyDescent="0.2">
      <c r="J566"/>
      <c r="K566"/>
      <c r="L566"/>
      <c r="M566"/>
      <c r="N566" s="2"/>
      <c r="R566"/>
      <c r="S566"/>
      <c r="T566"/>
      <c r="U566"/>
      <c r="V566"/>
    </row>
    <row r="567" spans="10:22" s="1" customFormat="1" x14ac:dyDescent="0.2">
      <c r="J567"/>
      <c r="K567"/>
      <c r="L567"/>
      <c r="M567"/>
      <c r="N567" s="2"/>
      <c r="R567"/>
      <c r="S567"/>
      <c r="T567"/>
      <c r="U567"/>
      <c r="V567"/>
    </row>
    <row r="568" spans="10:22" s="1" customFormat="1" x14ac:dyDescent="0.2">
      <c r="J568"/>
      <c r="K568"/>
      <c r="L568"/>
      <c r="M568"/>
      <c r="N568" s="2"/>
      <c r="R568"/>
      <c r="S568"/>
      <c r="T568"/>
      <c r="U568"/>
      <c r="V568"/>
    </row>
    <row r="569" spans="10:22" s="1" customFormat="1" x14ac:dyDescent="0.2">
      <c r="J569"/>
      <c r="K569"/>
      <c r="L569"/>
      <c r="M569"/>
      <c r="N569" s="2"/>
      <c r="R569"/>
      <c r="S569"/>
      <c r="T569"/>
      <c r="U569"/>
      <c r="V569"/>
    </row>
    <row r="570" spans="10:22" s="1" customFormat="1" x14ac:dyDescent="0.2">
      <c r="J570"/>
      <c r="K570"/>
      <c r="L570"/>
      <c r="M570"/>
      <c r="N570" s="2"/>
      <c r="R570"/>
      <c r="S570"/>
      <c r="T570"/>
      <c r="U570"/>
      <c r="V570"/>
    </row>
    <row r="571" spans="10:22" s="1" customFormat="1" x14ac:dyDescent="0.2">
      <c r="J571"/>
      <c r="K571"/>
      <c r="L571"/>
      <c r="M571"/>
      <c r="N571" s="2"/>
      <c r="R571"/>
      <c r="S571"/>
      <c r="T571"/>
      <c r="U571"/>
      <c r="V571"/>
    </row>
    <row r="572" spans="10:22" s="1" customFormat="1" x14ac:dyDescent="0.2">
      <c r="J572"/>
      <c r="K572"/>
      <c r="L572"/>
      <c r="M572"/>
      <c r="N572" s="2"/>
      <c r="R572"/>
      <c r="S572"/>
      <c r="T572"/>
      <c r="U572"/>
      <c r="V572"/>
    </row>
    <row r="573" spans="10:22" s="1" customFormat="1" x14ac:dyDescent="0.2">
      <c r="J573"/>
      <c r="K573"/>
      <c r="L573"/>
      <c r="M573"/>
      <c r="N573" s="2"/>
      <c r="R573"/>
      <c r="S573"/>
      <c r="T573"/>
      <c r="U573"/>
      <c r="V573"/>
    </row>
    <row r="574" spans="10:22" s="1" customFormat="1" x14ac:dyDescent="0.2">
      <c r="J574"/>
      <c r="K574"/>
      <c r="L574"/>
      <c r="M574"/>
      <c r="N574" s="2"/>
      <c r="R574"/>
      <c r="S574"/>
      <c r="T574"/>
      <c r="U574"/>
      <c r="V574"/>
    </row>
    <row r="575" spans="10:22" s="1" customFormat="1" x14ac:dyDescent="0.2">
      <c r="J575"/>
      <c r="K575"/>
      <c r="L575"/>
      <c r="M575"/>
      <c r="N575" s="2"/>
      <c r="R575"/>
      <c r="S575"/>
      <c r="T575"/>
      <c r="U575"/>
      <c r="V575"/>
    </row>
    <row r="576" spans="10:22" s="1" customFormat="1" x14ac:dyDescent="0.2">
      <c r="J576"/>
      <c r="K576"/>
      <c r="L576"/>
      <c r="M576"/>
      <c r="N576" s="2"/>
      <c r="R576"/>
      <c r="S576"/>
      <c r="T576"/>
      <c r="U576"/>
      <c r="V576"/>
    </row>
    <row r="577" spans="10:22" s="1" customFormat="1" x14ac:dyDescent="0.2">
      <c r="J577"/>
      <c r="K577"/>
      <c r="L577"/>
      <c r="M577"/>
      <c r="N577" s="2"/>
      <c r="R577"/>
      <c r="S577"/>
      <c r="T577"/>
      <c r="U577"/>
      <c r="V577"/>
    </row>
    <row r="578" spans="10:22" s="1" customFormat="1" x14ac:dyDescent="0.2">
      <c r="J578"/>
      <c r="K578"/>
      <c r="L578"/>
      <c r="M578"/>
      <c r="N578" s="2"/>
      <c r="R578"/>
      <c r="S578"/>
      <c r="T578"/>
      <c r="U578"/>
      <c r="V578"/>
    </row>
    <row r="579" spans="10:22" s="1" customFormat="1" x14ac:dyDescent="0.2">
      <c r="J579"/>
      <c r="K579"/>
      <c r="L579"/>
      <c r="M579"/>
      <c r="N579" s="2"/>
      <c r="R579"/>
      <c r="S579"/>
      <c r="T579"/>
      <c r="U579"/>
      <c r="V579"/>
    </row>
    <row r="580" spans="10:22" s="1" customFormat="1" x14ac:dyDescent="0.2">
      <c r="J580"/>
      <c r="K580"/>
      <c r="L580"/>
      <c r="M580"/>
      <c r="N580" s="2"/>
      <c r="R580"/>
      <c r="S580"/>
      <c r="T580"/>
      <c r="U580"/>
      <c r="V580"/>
    </row>
    <row r="581" spans="10:22" s="1" customFormat="1" x14ac:dyDescent="0.2">
      <c r="J581"/>
      <c r="K581"/>
      <c r="L581"/>
      <c r="M581"/>
      <c r="N581" s="2"/>
      <c r="R581"/>
      <c r="S581"/>
      <c r="T581"/>
      <c r="U581"/>
      <c r="V581"/>
    </row>
    <row r="582" spans="10:22" s="1" customFormat="1" x14ac:dyDescent="0.2">
      <c r="J582"/>
      <c r="K582"/>
      <c r="L582"/>
      <c r="M582"/>
      <c r="N582" s="2"/>
      <c r="R582"/>
      <c r="S582"/>
      <c r="T582"/>
      <c r="U582"/>
      <c r="V582"/>
    </row>
    <row r="583" spans="10:22" s="1" customFormat="1" x14ac:dyDescent="0.2">
      <c r="J583"/>
      <c r="K583"/>
      <c r="L583"/>
      <c r="M583"/>
      <c r="N583" s="2"/>
      <c r="R583"/>
      <c r="S583"/>
      <c r="T583"/>
      <c r="U583"/>
      <c r="V583"/>
    </row>
    <row r="584" spans="10:22" s="1" customFormat="1" x14ac:dyDescent="0.2">
      <c r="J584"/>
      <c r="K584"/>
      <c r="L584"/>
      <c r="M584"/>
      <c r="N584" s="2"/>
      <c r="R584"/>
      <c r="S584"/>
      <c r="T584"/>
      <c r="U584"/>
      <c r="V584"/>
    </row>
    <row r="585" spans="10:22" s="1" customFormat="1" x14ac:dyDescent="0.2">
      <c r="J585"/>
      <c r="K585"/>
      <c r="L585"/>
      <c r="M585"/>
      <c r="N585" s="2"/>
      <c r="R585"/>
      <c r="S585"/>
      <c r="T585"/>
      <c r="U585"/>
      <c r="V585"/>
    </row>
    <row r="586" spans="10:22" s="1" customFormat="1" x14ac:dyDescent="0.2">
      <c r="J586"/>
      <c r="K586"/>
      <c r="L586"/>
      <c r="M586"/>
      <c r="N586" s="2"/>
      <c r="R586"/>
      <c r="S586"/>
      <c r="T586"/>
      <c r="U586"/>
      <c r="V586"/>
    </row>
    <row r="587" spans="10:22" s="1" customFormat="1" x14ac:dyDescent="0.2">
      <c r="J587"/>
      <c r="K587"/>
      <c r="L587"/>
      <c r="M587"/>
      <c r="N587" s="2"/>
      <c r="R587"/>
      <c r="S587"/>
      <c r="T587"/>
      <c r="U587"/>
      <c r="V587"/>
    </row>
    <row r="588" spans="10:22" s="1" customFormat="1" x14ac:dyDescent="0.2">
      <c r="J588"/>
      <c r="K588"/>
      <c r="L588"/>
      <c r="M588"/>
      <c r="N588" s="2"/>
      <c r="R588"/>
      <c r="S588"/>
      <c r="T588"/>
      <c r="U588"/>
      <c r="V588"/>
    </row>
    <row r="589" spans="10:22" s="1" customFormat="1" x14ac:dyDescent="0.2">
      <c r="J589"/>
      <c r="K589"/>
      <c r="L589"/>
      <c r="M589"/>
      <c r="N589" s="2"/>
      <c r="R589"/>
      <c r="S589"/>
      <c r="T589"/>
      <c r="U589"/>
      <c r="V589"/>
    </row>
    <row r="590" spans="10:22" s="1" customFormat="1" x14ac:dyDescent="0.2">
      <c r="J590"/>
      <c r="K590"/>
      <c r="L590"/>
      <c r="M590"/>
      <c r="N590" s="2"/>
      <c r="R590"/>
      <c r="S590"/>
      <c r="T590"/>
      <c r="U590"/>
      <c r="V590"/>
    </row>
    <row r="591" spans="10:22" s="1" customFormat="1" x14ac:dyDescent="0.2">
      <c r="J591"/>
      <c r="K591"/>
      <c r="L591"/>
      <c r="M591"/>
      <c r="N591" s="2"/>
      <c r="R591"/>
      <c r="S591"/>
      <c r="T591"/>
      <c r="U591"/>
      <c r="V591"/>
    </row>
    <row r="592" spans="10:22" s="1" customFormat="1" x14ac:dyDescent="0.2">
      <c r="J592"/>
      <c r="K592"/>
      <c r="L592"/>
      <c r="M592"/>
      <c r="N592" s="2"/>
      <c r="R592"/>
      <c r="S592"/>
      <c r="T592"/>
      <c r="U592"/>
      <c r="V592"/>
    </row>
    <row r="593" spans="10:22" s="1" customFormat="1" x14ac:dyDescent="0.2">
      <c r="J593"/>
      <c r="K593"/>
      <c r="L593"/>
      <c r="M593"/>
      <c r="N593" s="2"/>
      <c r="R593"/>
      <c r="S593"/>
      <c r="T593"/>
      <c r="U593"/>
      <c r="V593"/>
    </row>
    <row r="594" spans="10:22" s="1" customFormat="1" x14ac:dyDescent="0.2">
      <c r="J594"/>
      <c r="K594"/>
      <c r="L594"/>
      <c r="M594"/>
      <c r="N594" s="2"/>
      <c r="R594"/>
      <c r="S594"/>
      <c r="T594"/>
      <c r="U594"/>
      <c r="V594"/>
    </row>
    <row r="595" spans="10:22" s="1" customFormat="1" x14ac:dyDescent="0.2">
      <c r="J595"/>
      <c r="K595"/>
      <c r="L595"/>
      <c r="M595"/>
      <c r="N595" s="2"/>
      <c r="R595"/>
      <c r="S595"/>
      <c r="T595"/>
      <c r="U595"/>
      <c r="V595"/>
    </row>
    <row r="596" spans="10:22" s="1" customFormat="1" x14ac:dyDescent="0.2">
      <c r="J596"/>
      <c r="K596"/>
      <c r="L596"/>
      <c r="M596"/>
      <c r="N596" s="2"/>
      <c r="R596"/>
      <c r="S596"/>
      <c r="T596"/>
      <c r="U596"/>
      <c r="V596"/>
    </row>
    <row r="597" spans="10:22" s="1" customFormat="1" x14ac:dyDescent="0.2">
      <c r="J597"/>
      <c r="K597"/>
      <c r="L597"/>
      <c r="M597"/>
      <c r="N597" s="2"/>
      <c r="R597"/>
      <c r="S597"/>
      <c r="T597"/>
      <c r="U597"/>
      <c r="V597"/>
    </row>
    <row r="598" spans="10:22" s="1" customFormat="1" x14ac:dyDescent="0.2">
      <c r="J598"/>
      <c r="K598"/>
      <c r="L598"/>
      <c r="M598"/>
      <c r="N598" s="2"/>
      <c r="R598"/>
      <c r="S598"/>
      <c r="T598"/>
      <c r="U598"/>
      <c r="V598"/>
    </row>
    <row r="599" spans="10:22" s="1" customFormat="1" x14ac:dyDescent="0.2">
      <c r="J599"/>
      <c r="K599"/>
      <c r="L599"/>
      <c r="M599"/>
      <c r="N599" s="2"/>
      <c r="R599"/>
      <c r="S599"/>
      <c r="T599"/>
      <c r="U599"/>
      <c r="V599"/>
    </row>
    <row r="600" spans="10:22" s="1" customFormat="1" x14ac:dyDescent="0.2">
      <c r="J600"/>
      <c r="K600"/>
      <c r="L600"/>
      <c r="M600"/>
      <c r="N600" s="2"/>
      <c r="R600"/>
      <c r="S600"/>
      <c r="T600"/>
      <c r="U600"/>
      <c r="V600"/>
    </row>
    <row r="601" spans="10:22" s="1" customFormat="1" x14ac:dyDescent="0.2">
      <c r="J601"/>
      <c r="K601"/>
      <c r="L601"/>
      <c r="M601"/>
      <c r="N601" s="2"/>
      <c r="R601"/>
      <c r="S601"/>
      <c r="T601"/>
      <c r="U601"/>
      <c r="V601"/>
    </row>
    <row r="602" spans="10:22" s="1" customFormat="1" x14ac:dyDescent="0.2">
      <c r="J602"/>
      <c r="K602"/>
      <c r="L602"/>
      <c r="M602"/>
      <c r="N602" s="2"/>
      <c r="R602"/>
      <c r="S602"/>
      <c r="T602"/>
      <c r="U602"/>
      <c r="V602"/>
    </row>
    <row r="603" spans="10:22" s="1" customFormat="1" x14ac:dyDescent="0.2">
      <c r="J603"/>
      <c r="K603"/>
      <c r="L603"/>
      <c r="M603"/>
      <c r="N603" s="2"/>
      <c r="R603"/>
      <c r="S603"/>
      <c r="T603"/>
      <c r="U603"/>
      <c r="V603"/>
    </row>
    <row r="604" spans="10:22" s="1" customFormat="1" x14ac:dyDescent="0.2">
      <c r="J604"/>
      <c r="K604"/>
      <c r="L604"/>
      <c r="M604"/>
      <c r="N604" s="2"/>
      <c r="R604"/>
      <c r="S604"/>
      <c r="T604"/>
      <c r="U604"/>
      <c r="V604"/>
    </row>
    <row r="605" spans="10:22" s="1" customFormat="1" x14ac:dyDescent="0.2">
      <c r="J605"/>
      <c r="K605"/>
      <c r="L605"/>
      <c r="M605"/>
      <c r="N605" s="2"/>
      <c r="R605"/>
      <c r="S605"/>
      <c r="T605"/>
      <c r="U605"/>
      <c r="V605"/>
    </row>
    <row r="606" spans="10:22" s="1" customFormat="1" x14ac:dyDescent="0.2">
      <c r="J606"/>
      <c r="K606"/>
      <c r="L606"/>
      <c r="M606"/>
      <c r="N606" s="2"/>
      <c r="R606"/>
      <c r="S606"/>
      <c r="T606"/>
      <c r="U606"/>
      <c r="V606"/>
    </row>
    <row r="607" spans="10:22" s="1" customFormat="1" x14ac:dyDescent="0.2">
      <c r="J607"/>
      <c r="K607"/>
      <c r="L607"/>
      <c r="M607"/>
      <c r="N607" s="2"/>
      <c r="R607"/>
      <c r="S607"/>
      <c r="T607"/>
      <c r="U607"/>
      <c r="V607"/>
    </row>
    <row r="608" spans="10:22" s="1" customFormat="1" x14ac:dyDescent="0.2">
      <c r="J608"/>
      <c r="K608"/>
      <c r="L608"/>
      <c r="M608"/>
      <c r="N608" s="2"/>
      <c r="R608"/>
      <c r="S608"/>
      <c r="T608"/>
      <c r="U608"/>
      <c r="V608"/>
    </row>
    <row r="609" spans="10:22" s="1" customFormat="1" x14ac:dyDescent="0.2">
      <c r="J609"/>
      <c r="K609"/>
      <c r="L609"/>
      <c r="M609"/>
      <c r="N609" s="2"/>
      <c r="R609"/>
      <c r="S609"/>
      <c r="T609"/>
      <c r="U609"/>
      <c r="V609"/>
    </row>
    <row r="610" spans="10:22" s="1" customFormat="1" x14ac:dyDescent="0.2">
      <c r="J610"/>
      <c r="K610"/>
      <c r="L610"/>
      <c r="M610"/>
      <c r="N610" s="2"/>
      <c r="R610"/>
      <c r="S610"/>
      <c r="T610"/>
      <c r="U610"/>
      <c r="V610"/>
    </row>
    <row r="611" spans="10:22" s="1" customFormat="1" x14ac:dyDescent="0.2">
      <c r="J611"/>
      <c r="K611"/>
      <c r="L611"/>
      <c r="M611"/>
      <c r="N611" s="2"/>
      <c r="R611"/>
      <c r="S611"/>
      <c r="T611"/>
      <c r="U611"/>
      <c r="V611"/>
    </row>
    <row r="612" spans="10:22" s="1" customFormat="1" x14ac:dyDescent="0.2">
      <c r="J612"/>
      <c r="K612"/>
      <c r="L612"/>
      <c r="M612"/>
      <c r="N612" s="2"/>
      <c r="R612"/>
      <c r="S612"/>
      <c r="T612"/>
      <c r="U612"/>
      <c r="V612"/>
    </row>
    <row r="613" spans="10:22" s="1" customFormat="1" x14ac:dyDescent="0.2">
      <c r="J613"/>
      <c r="K613"/>
      <c r="L613"/>
      <c r="M613"/>
      <c r="N613" s="2"/>
      <c r="R613"/>
      <c r="S613"/>
      <c r="T613"/>
      <c r="U613"/>
      <c r="V613"/>
    </row>
    <row r="614" spans="10:22" s="1" customFormat="1" x14ac:dyDescent="0.2">
      <c r="J614"/>
      <c r="K614"/>
      <c r="L614"/>
      <c r="M614"/>
      <c r="N614" s="2"/>
      <c r="R614"/>
      <c r="S614"/>
      <c r="T614"/>
      <c r="U614"/>
      <c r="V614"/>
    </row>
    <row r="615" spans="10:22" s="1" customFormat="1" x14ac:dyDescent="0.2">
      <c r="J615"/>
      <c r="K615"/>
      <c r="L615"/>
      <c r="M615"/>
      <c r="N615" s="2"/>
      <c r="R615"/>
      <c r="S615"/>
      <c r="T615"/>
      <c r="U615"/>
      <c r="V615"/>
    </row>
    <row r="616" spans="10:22" s="1" customFormat="1" x14ac:dyDescent="0.2">
      <c r="J616"/>
      <c r="K616"/>
      <c r="L616"/>
      <c r="M616"/>
      <c r="N616" s="2"/>
      <c r="R616"/>
      <c r="S616"/>
      <c r="T616"/>
      <c r="U616"/>
      <c r="V616"/>
    </row>
    <row r="617" spans="10:22" s="1" customFormat="1" x14ac:dyDescent="0.2">
      <c r="J617"/>
      <c r="K617"/>
      <c r="L617"/>
      <c r="M617"/>
      <c r="N617" s="2"/>
      <c r="R617"/>
      <c r="S617"/>
      <c r="T617"/>
      <c r="U617"/>
      <c r="V617"/>
    </row>
    <row r="618" spans="10:22" s="1" customFormat="1" x14ac:dyDescent="0.2">
      <c r="J618"/>
      <c r="K618"/>
      <c r="L618"/>
      <c r="M618"/>
      <c r="N618" s="2"/>
      <c r="R618"/>
      <c r="S618"/>
      <c r="T618"/>
      <c r="U618"/>
      <c r="V618"/>
    </row>
    <row r="619" spans="10:22" s="1" customFormat="1" x14ac:dyDescent="0.2">
      <c r="J619"/>
      <c r="K619"/>
      <c r="L619"/>
      <c r="M619"/>
      <c r="N619" s="2"/>
      <c r="R619"/>
      <c r="S619"/>
      <c r="T619"/>
      <c r="U619"/>
      <c r="V619"/>
    </row>
    <row r="620" spans="10:22" s="1" customFormat="1" x14ac:dyDescent="0.2">
      <c r="J620"/>
      <c r="K620"/>
      <c r="L620"/>
      <c r="M620"/>
      <c r="N620" s="2"/>
      <c r="R620"/>
      <c r="S620"/>
      <c r="T620"/>
      <c r="U620"/>
      <c r="V620"/>
    </row>
    <row r="621" spans="10:22" s="1" customFormat="1" x14ac:dyDescent="0.2">
      <c r="J621"/>
      <c r="K621"/>
      <c r="L621"/>
      <c r="M621"/>
      <c r="N621" s="2"/>
      <c r="R621"/>
      <c r="S621"/>
      <c r="T621"/>
      <c r="U621"/>
      <c r="V621"/>
    </row>
    <row r="622" spans="10:22" s="1" customFormat="1" x14ac:dyDescent="0.2">
      <c r="J622"/>
      <c r="K622"/>
      <c r="L622"/>
      <c r="M622"/>
      <c r="N622" s="2"/>
      <c r="R622"/>
      <c r="S622"/>
      <c r="T622"/>
      <c r="U622"/>
      <c r="V622"/>
    </row>
    <row r="623" spans="10:22" s="1" customFormat="1" x14ac:dyDescent="0.2">
      <c r="J623"/>
      <c r="K623"/>
      <c r="L623"/>
      <c r="M623"/>
      <c r="N623" s="2"/>
      <c r="R623"/>
      <c r="S623"/>
      <c r="T623"/>
      <c r="U623"/>
      <c r="V623"/>
    </row>
    <row r="624" spans="10:22" s="1" customFormat="1" x14ac:dyDescent="0.2">
      <c r="J624"/>
      <c r="K624"/>
      <c r="L624"/>
      <c r="M624"/>
      <c r="N624" s="2"/>
      <c r="R624"/>
      <c r="S624"/>
      <c r="T624"/>
      <c r="U624"/>
      <c r="V624"/>
    </row>
    <row r="625" spans="10:22" s="1" customFormat="1" x14ac:dyDescent="0.2">
      <c r="J625"/>
      <c r="K625"/>
      <c r="L625"/>
      <c r="M625"/>
      <c r="N625" s="2"/>
      <c r="R625"/>
      <c r="S625"/>
      <c r="T625"/>
      <c r="U625"/>
      <c r="V625"/>
    </row>
    <row r="626" spans="10:22" s="1" customFormat="1" x14ac:dyDescent="0.2">
      <c r="J626"/>
      <c r="K626"/>
      <c r="L626"/>
      <c r="M626"/>
      <c r="N626" s="2"/>
      <c r="R626"/>
      <c r="S626"/>
      <c r="T626"/>
      <c r="U626"/>
      <c r="V626"/>
    </row>
    <row r="627" spans="10:22" s="1" customFormat="1" x14ac:dyDescent="0.2">
      <c r="J627"/>
      <c r="K627"/>
      <c r="L627"/>
      <c r="M627"/>
      <c r="N627" s="2"/>
      <c r="R627"/>
      <c r="S627"/>
      <c r="T627"/>
      <c r="U627"/>
      <c r="V627"/>
    </row>
    <row r="628" spans="10:22" s="1" customFormat="1" x14ac:dyDescent="0.2">
      <c r="J628"/>
      <c r="K628"/>
      <c r="L628"/>
      <c r="M628"/>
      <c r="N628" s="2"/>
      <c r="R628"/>
      <c r="S628"/>
      <c r="T628"/>
      <c r="U628"/>
      <c r="V628"/>
    </row>
    <row r="629" spans="10:22" s="1" customFormat="1" x14ac:dyDescent="0.2">
      <c r="J629"/>
      <c r="K629"/>
      <c r="L629"/>
      <c r="M629"/>
      <c r="N629" s="2"/>
      <c r="R629"/>
      <c r="S629"/>
      <c r="T629"/>
      <c r="U629"/>
      <c r="V629"/>
    </row>
    <row r="630" spans="10:22" s="1" customFormat="1" x14ac:dyDescent="0.2">
      <c r="J630"/>
      <c r="K630"/>
      <c r="L630"/>
      <c r="M630"/>
      <c r="N630" s="2"/>
      <c r="R630"/>
      <c r="S630"/>
      <c r="T630"/>
      <c r="U630"/>
      <c r="V630"/>
    </row>
    <row r="631" spans="10:22" s="1" customFormat="1" x14ac:dyDescent="0.2">
      <c r="J631"/>
      <c r="K631"/>
      <c r="L631"/>
      <c r="M631"/>
      <c r="N631" s="2"/>
      <c r="R631"/>
      <c r="S631"/>
      <c r="T631"/>
      <c r="U631"/>
      <c r="V631"/>
    </row>
    <row r="632" spans="10:22" s="1" customFormat="1" x14ac:dyDescent="0.2">
      <c r="J632"/>
      <c r="K632"/>
      <c r="L632"/>
      <c r="M632"/>
      <c r="N632" s="2"/>
      <c r="R632"/>
      <c r="S632"/>
      <c r="T632"/>
      <c r="U632"/>
      <c r="V632"/>
    </row>
    <row r="633" spans="10:22" s="1" customFormat="1" x14ac:dyDescent="0.2">
      <c r="J633"/>
      <c r="K633"/>
      <c r="L633"/>
      <c r="M633"/>
      <c r="N633" s="2"/>
      <c r="R633"/>
      <c r="S633"/>
      <c r="T633"/>
      <c r="U633"/>
      <c r="V633"/>
    </row>
    <row r="634" spans="10:22" s="1" customFormat="1" x14ac:dyDescent="0.2">
      <c r="J634"/>
      <c r="K634"/>
      <c r="L634"/>
      <c r="M634"/>
      <c r="N634" s="2"/>
      <c r="R634"/>
      <c r="S634"/>
      <c r="T634"/>
      <c r="U634"/>
      <c r="V634"/>
    </row>
    <row r="635" spans="10:22" s="1" customFormat="1" x14ac:dyDescent="0.2">
      <c r="J635"/>
      <c r="K635"/>
      <c r="L635"/>
      <c r="M635"/>
      <c r="N635" s="2"/>
      <c r="R635"/>
      <c r="S635"/>
      <c r="T635"/>
      <c r="U635"/>
      <c r="V635"/>
    </row>
    <row r="636" spans="10:22" s="1" customFormat="1" x14ac:dyDescent="0.2">
      <c r="J636"/>
      <c r="K636"/>
      <c r="L636"/>
      <c r="M636"/>
      <c r="N636" s="2"/>
      <c r="R636"/>
      <c r="S636"/>
      <c r="T636"/>
      <c r="U636"/>
      <c r="V636"/>
    </row>
    <row r="637" spans="10:22" s="1" customFormat="1" x14ac:dyDescent="0.2">
      <c r="J637"/>
      <c r="K637"/>
      <c r="L637"/>
      <c r="M637"/>
      <c r="N637" s="2"/>
      <c r="R637"/>
      <c r="S637"/>
      <c r="T637"/>
      <c r="U637"/>
      <c r="V637"/>
    </row>
    <row r="638" spans="10:22" s="1" customFormat="1" x14ac:dyDescent="0.2">
      <c r="J638"/>
      <c r="K638"/>
      <c r="L638"/>
      <c r="M638"/>
      <c r="N638" s="2"/>
      <c r="R638"/>
      <c r="S638"/>
      <c r="T638"/>
      <c r="U638"/>
      <c r="V638"/>
    </row>
    <row r="639" spans="10:22" s="1" customFormat="1" x14ac:dyDescent="0.2">
      <c r="J639"/>
      <c r="K639"/>
      <c r="L639"/>
      <c r="M639"/>
      <c r="N639" s="2"/>
      <c r="R639"/>
      <c r="S639"/>
      <c r="T639"/>
      <c r="U639"/>
      <c r="V639"/>
    </row>
    <row r="640" spans="10:22" s="1" customFormat="1" x14ac:dyDescent="0.2">
      <c r="J640"/>
      <c r="K640"/>
      <c r="L640"/>
      <c r="M640"/>
      <c r="N640" s="2"/>
      <c r="R640"/>
      <c r="S640"/>
      <c r="T640"/>
      <c r="U640"/>
      <c r="V640"/>
    </row>
    <row r="641" spans="10:22" s="1" customFormat="1" x14ac:dyDescent="0.2">
      <c r="J641"/>
      <c r="K641"/>
      <c r="L641"/>
      <c r="M641"/>
      <c r="N641" s="2"/>
      <c r="R641"/>
      <c r="S641"/>
      <c r="T641"/>
      <c r="U641"/>
      <c r="V641"/>
    </row>
    <row r="642" spans="10:22" s="1" customFormat="1" x14ac:dyDescent="0.2">
      <c r="J642"/>
      <c r="K642"/>
      <c r="L642"/>
      <c r="M642"/>
      <c r="N642" s="2"/>
      <c r="R642"/>
      <c r="S642"/>
      <c r="T642"/>
      <c r="U642"/>
      <c r="V642"/>
    </row>
    <row r="643" spans="10:22" s="1" customFormat="1" x14ac:dyDescent="0.2">
      <c r="J643"/>
      <c r="K643"/>
      <c r="L643"/>
      <c r="M643"/>
      <c r="N643" s="2"/>
      <c r="R643"/>
      <c r="S643"/>
      <c r="T643"/>
      <c r="U643"/>
      <c r="V643"/>
    </row>
    <row r="644" spans="10:22" s="1" customFormat="1" x14ac:dyDescent="0.2">
      <c r="J644"/>
      <c r="K644"/>
      <c r="L644"/>
      <c r="M644"/>
      <c r="N644" s="2"/>
      <c r="R644"/>
      <c r="S644"/>
      <c r="T644"/>
      <c r="U644"/>
      <c r="V644"/>
    </row>
    <row r="645" spans="10:22" s="1" customFormat="1" x14ac:dyDescent="0.2">
      <c r="J645"/>
      <c r="K645"/>
      <c r="L645"/>
      <c r="M645"/>
      <c r="N645" s="2"/>
      <c r="R645"/>
      <c r="S645"/>
      <c r="T645"/>
      <c r="U645"/>
      <c r="V645"/>
    </row>
    <row r="646" spans="10:22" s="1" customFormat="1" x14ac:dyDescent="0.2">
      <c r="J646"/>
      <c r="K646"/>
      <c r="L646"/>
      <c r="M646"/>
      <c r="N646" s="2"/>
      <c r="R646"/>
      <c r="S646"/>
      <c r="T646"/>
      <c r="U646"/>
      <c r="V646"/>
    </row>
    <row r="647" spans="10:22" s="1" customFormat="1" x14ac:dyDescent="0.2">
      <c r="J647"/>
      <c r="K647"/>
      <c r="L647"/>
      <c r="M647"/>
      <c r="N647" s="2"/>
      <c r="R647"/>
      <c r="S647"/>
      <c r="T647"/>
      <c r="U647"/>
      <c r="V647"/>
    </row>
    <row r="648" spans="10:22" s="1" customFormat="1" x14ac:dyDescent="0.2">
      <c r="J648"/>
      <c r="K648"/>
      <c r="L648"/>
      <c r="M648"/>
      <c r="N648" s="2"/>
      <c r="R648"/>
      <c r="S648"/>
      <c r="T648"/>
      <c r="U648"/>
      <c r="V648"/>
    </row>
    <row r="649" spans="10:22" s="1" customFormat="1" x14ac:dyDescent="0.2">
      <c r="J649"/>
      <c r="K649"/>
      <c r="L649"/>
      <c r="M649"/>
      <c r="N649" s="2"/>
      <c r="R649"/>
      <c r="S649"/>
      <c r="T649"/>
      <c r="U649"/>
      <c r="V649"/>
    </row>
    <row r="650" spans="10:22" s="1" customFormat="1" x14ac:dyDescent="0.2">
      <c r="J650"/>
      <c r="K650"/>
      <c r="L650"/>
      <c r="M650"/>
      <c r="N650" s="2"/>
      <c r="R650"/>
      <c r="S650"/>
      <c r="T650"/>
      <c r="U650"/>
      <c r="V650"/>
    </row>
    <row r="651" spans="10:22" s="1" customFormat="1" x14ac:dyDescent="0.2">
      <c r="J651"/>
      <c r="K651"/>
      <c r="L651"/>
      <c r="M651"/>
      <c r="N651" s="2"/>
      <c r="R651"/>
      <c r="S651"/>
      <c r="T651"/>
      <c r="U651"/>
      <c r="V651"/>
    </row>
    <row r="652" spans="10:22" s="1" customFormat="1" x14ac:dyDescent="0.2">
      <c r="J652"/>
      <c r="K652"/>
      <c r="L652"/>
      <c r="M652"/>
      <c r="N652" s="2"/>
      <c r="R652"/>
      <c r="S652"/>
      <c r="T652"/>
      <c r="U652"/>
      <c r="V652"/>
    </row>
    <row r="653" spans="10:22" s="1" customFormat="1" x14ac:dyDescent="0.2">
      <c r="J653"/>
      <c r="K653"/>
      <c r="L653"/>
      <c r="M653"/>
      <c r="N653" s="2"/>
      <c r="R653"/>
      <c r="S653"/>
      <c r="T653"/>
      <c r="U653"/>
      <c r="V653"/>
    </row>
    <row r="654" spans="10:22" s="1" customFormat="1" x14ac:dyDescent="0.2">
      <c r="J654"/>
      <c r="K654"/>
      <c r="L654"/>
      <c r="M654"/>
      <c r="N654" s="2"/>
      <c r="R654"/>
      <c r="S654"/>
      <c r="T654"/>
      <c r="U654"/>
      <c r="V654"/>
    </row>
    <row r="655" spans="10:22" s="1" customFormat="1" x14ac:dyDescent="0.2">
      <c r="J655"/>
      <c r="K655"/>
      <c r="L655"/>
      <c r="M655"/>
      <c r="N655" s="2"/>
      <c r="R655"/>
      <c r="S655"/>
      <c r="T655"/>
      <c r="U655"/>
      <c r="V655"/>
    </row>
    <row r="656" spans="10:22" s="1" customFormat="1" x14ac:dyDescent="0.2">
      <c r="J656"/>
      <c r="K656"/>
      <c r="L656"/>
      <c r="M656"/>
      <c r="N656" s="2"/>
      <c r="R656"/>
      <c r="S656"/>
      <c r="T656"/>
      <c r="U656"/>
      <c r="V656"/>
    </row>
    <row r="657" spans="10:22" s="1" customFormat="1" x14ac:dyDescent="0.2">
      <c r="J657"/>
      <c r="K657"/>
      <c r="L657"/>
      <c r="M657"/>
      <c r="N657" s="2"/>
      <c r="R657"/>
      <c r="S657"/>
      <c r="T657"/>
      <c r="U657"/>
      <c r="V657"/>
    </row>
    <row r="658" spans="10:22" s="1" customFormat="1" x14ac:dyDescent="0.2">
      <c r="J658"/>
      <c r="K658"/>
      <c r="L658"/>
      <c r="M658"/>
      <c r="N658" s="2"/>
      <c r="R658"/>
      <c r="S658"/>
      <c r="T658"/>
      <c r="U658"/>
      <c r="V658"/>
    </row>
    <row r="659" spans="10:22" s="1" customFormat="1" x14ac:dyDescent="0.2">
      <c r="J659"/>
      <c r="K659"/>
      <c r="L659"/>
      <c r="M659"/>
      <c r="N659" s="2"/>
      <c r="R659"/>
      <c r="S659"/>
      <c r="T659"/>
      <c r="U659"/>
      <c r="V659"/>
    </row>
    <row r="660" spans="10:22" s="1" customFormat="1" x14ac:dyDescent="0.2">
      <c r="J660"/>
      <c r="K660"/>
      <c r="L660"/>
      <c r="M660"/>
      <c r="N660" s="2"/>
      <c r="R660"/>
      <c r="S660"/>
      <c r="T660"/>
      <c r="U660"/>
      <c r="V660"/>
    </row>
    <row r="661" spans="10:22" s="1" customFormat="1" x14ac:dyDescent="0.2">
      <c r="J661"/>
      <c r="K661"/>
      <c r="L661"/>
      <c r="M661"/>
      <c r="N661" s="2"/>
      <c r="R661"/>
      <c r="S661"/>
      <c r="T661"/>
      <c r="U661"/>
      <c r="V661"/>
    </row>
    <row r="662" spans="10:22" s="1" customFormat="1" x14ac:dyDescent="0.2">
      <c r="J662"/>
      <c r="K662"/>
      <c r="L662"/>
      <c r="M662"/>
      <c r="N662" s="2"/>
      <c r="R662"/>
      <c r="S662"/>
      <c r="T662"/>
      <c r="U662"/>
      <c r="V662"/>
    </row>
    <row r="663" spans="10:22" s="1" customFormat="1" x14ac:dyDescent="0.2">
      <c r="J663"/>
      <c r="K663"/>
      <c r="L663"/>
      <c r="M663"/>
      <c r="N663" s="2"/>
      <c r="R663"/>
      <c r="S663"/>
      <c r="T663"/>
      <c r="U663"/>
      <c r="V663"/>
    </row>
    <row r="664" spans="10:22" s="1" customFormat="1" x14ac:dyDescent="0.2">
      <c r="J664"/>
      <c r="K664"/>
      <c r="L664"/>
      <c r="M664"/>
      <c r="N664" s="2"/>
      <c r="R664"/>
      <c r="S664"/>
      <c r="T664"/>
      <c r="U664"/>
      <c r="V664"/>
    </row>
    <row r="665" spans="10:22" s="1" customFormat="1" x14ac:dyDescent="0.2">
      <c r="J665"/>
      <c r="K665"/>
      <c r="L665"/>
      <c r="M665"/>
      <c r="N665" s="2"/>
      <c r="R665"/>
      <c r="S665"/>
      <c r="T665"/>
      <c r="U665"/>
      <c r="V665"/>
    </row>
    <row r="666" spans="10:22" s="1" customFormat="1" x14ac:dyDescent="0.2">
      <c r="J666"/>
      <c r="K666"/>
      <c r="L666"/>
      <c r="M666"/>
      <c r="N666" s="2"/>
      <c r="R666"/>
      <c r="S666"/>
      <c r="T666"/>
      <c r="U666"/>
      <c r="V666"/>
    </row>
    <row r="667" spans="10:22" s="1" customFormat="1" x14ac:dyDescent="0.2">
      <c r="J667"/>
      <c r="K667"/>
      <c r="L667"/>
      <c r="M667"/>
      <c r="N667" s="2"/>
      <c r="R667"/>
      <c r="S667"/>
      <c r="T667"/>
      <c r="U667"/>
      <c r="V667"/>
    </row>
    <row r="668" spans="10:22" s="1" customFormat="1" x14ac:dyDescent="0.2">
      <c r="J668"/>
      <c r="K668"/>
      <c r="L668"/>
      <c r="M668"/>
      <c r="N668" s="2"/>
      <c r="R668"/>
      <c r="S668"/>
      <c r="T668"/>
      <c r="U668"/>
      <c r="V668"/>
    </row>
    <row r="669" spans="10:22" s="1" customFormat="1" x14ac:dyDescent="0.2">
      <c r="J669"/>
      <c r="K669"/>
      <c r="L669"/>
      <c r="M669"/>
      <c r="N669" s="2"/>
      <c r="R669"/>
      <c r="S669"/>
      <c r="T669"/>
      <c r="U669"/>
      <c r="V669"/>
    </row>
    <row r="670" spans="10:22" s="1" customFormat="1" x14ac:dyDescent="0.2">
      <c r="J670"/>
      <c r="K670"/>
      <c r="L670"/>
      <c r="M670"/>
      <c r="N670" s="2"/>
      <c r="R670"/>
      <c r="S670"/>
      <c r="T670"/>
      <c r="U670"/>
      <c r="V670"/>
    </row>
    <row r="671" spans="10:22" s="1" customFormat="1" x14ac:dyDescent="0.2">
      <c r="J671"/>
      <c r="K671"/>
      <c r="L671"/>
      <c r="M671"/>
      <c r="N671" s="2"/>
      <c r="R671"/>
      <c r="S671"/>
      <c r="T671"/>
      <c r="U671"/>
      <c r="V671"/>
    </row>
    <row r="672" spans="10:22" s="1" customFormat="1" x14ac:dyDescent="0.2">
      <c r="J672"/>
      <c r="K672"/>
      <c r="L672"/>
      <c r="M672"/>
      <c r="N672" s="2"/>
      <c r="R672"/>
      <c r="S672"/>
      <c r="T672"/>
      <c r="U672"/>
      <c r="V672"/>
    </row>
    <row r="673" spans="10:22" s="1" customFormat="1" x14ac:dyDescent="0.2">
      <c r="J673"/>
      <c r="K673"/>
      <c r="L673"/>
      <c r="M673"/>
      <c r="N673" s="2"/>
      <c r="R673"/>
      <c r="S673"/>
      <c r="T673"/>
      <c r="U673"/>
      <c r="V673"/>
    </row>
    <row r="674" spans="10:22" s="1" customFormat="1" x14ac:dyDescent="0.2">
      <c r="J674"/>
      <c r="K674"/>
      <c r="L674"/>
      <c r="M674"/>
      <c r="N674" s="2"/>
      <c r="R674"/>
      <c r="S674"/>
      <c r="T674"/>
      <c r="U674"/>
      <c r="V674"/>
    </row>
    <row r="675" spans="10:22" s="1" customFormat="1" x14ac:dyDescent="0.2">
      <c r="J675"/>
      <c r="K675"/>
      <c r="L675"/>
      <c r="M675"/>
      <c r="N675" s="2"/>
      <c r="R675"/>
      <c r="S675"/>
      <c r="T675"/>
      <c r="U675"/>
      <c r="V675"/>
    </row>
    <row r="676" spans="10:22" s="1" customFormat="1" x14ac:dyDescent="0.2">
      <c r="J676"/>
      <c r="K676"/>
      <c r="L676"/>
      <c r="M676"/>
      <c r="N676" s="2"/>
      <c r="R676"/>
      <c r="S676"/>
      <c r="T676"/>
      <c r="U676"/>
      <c r="V676"/>
    </row>
    <row r="677" spans="10:22" s="1" customFormat="1" x14ac:dyDescent="0.2">
      <c r="J677"/>
      <c r="K677"/>
      <c r="L677"/>
      <c r="M677"/>
      <c r="N677" s="2"/>
      <c r="R677"/>
      <c r="S677"/>
      <c r="T677"/>
      <c r="U677"/>
      <c r="V677"/>
    </row>
    <row r="678" spans="10:22" s="1" customFormat="1" x14ac:dyDescent="0.2">
      <c r="J678"/>
      <c r="K678"/>
      <c r="L678"/>
      <c r="M678"/>
      <c r="N678" s="2"/>
      <c r="R678"/>
      <c r="S678"/>
      <c r="T678"/>
      <c r="U678"/>
      <c r="V678"/>
    </row>
    <row r="679" spans="10:22" s="1" customFormat="1" x14ac:dyDescent="0.2">
      <c r="J679"/>
      <c r="K679"/>
      <c r="L679"/>
      <c r="M679"/>
      <c r="N679" s="2"/>
      <c r="R679"/>
      <c r="S679"/>
      <c r="T679"/>
      <c r="U679"/>
      <c r="V679"/>
    </row>
    <row r="680" spans="10:22" s="1" customFormat="1" x14ac:dyDescent="0.2">
      <c r="J680"/>
      <c r="K680"/>
      <c r="L680"/>
      <c r="M680"/>
      <c r="N680" s="2"/>
      <c r="R680"/>
      <c r="S680"/>
      <c r="T680"/>
      <c r="U680"/>
      <c r="V680"/>
    </row>
    <row r="681" spans="10:22" s="1" customFormat="1" x14ac:dyDescent="0.2">
      <c r="J681"/>
      <c r="K681"/>
      <c r="L681"/>
      <c r="M681"/>
      <c r="N681" s="2"/>
      <c r="R681"/>
      <c r="S681"/>
      <c r="T681"/>
      <c r="U681"/>
      <c r="V681"/>
    </row>
    <row r="682" spans="10:22" s="1" customFormat="1" x14ac:dyDescent="0.2">
      <c r="J682"/>
      <c r="K682"/>
      <c r="L682"/>
      <c r="M682"/>
      <c r="N682" s="2"/>
      <c r="R682"/>
      <c r="S682"/>
      <c r="T682"/>
      <c r="U682"/>
      <c r="V682"/>
    </row>
    <row r="683" spans="10:22" s="1" customFormat="1" x14ac:dyDescent="0.2">
      <c r="J683"/>
      <c r="K683"/>
      <c r="L683"/>
      <c r="M683"/>
      <c r="N683" s="2"/>
      <c r="R683"/>
      <c r="S683"/>
      <c r="T683"/>
      <c r="U683"/>
      <c r="V683"/>
    </row>
    <row r="684" spans="10:22" s="1" customFormat="1" x14ac:dyDescent="0.2">
      <c r="J684"/>
      <c r="K684"/>
      <c r="L684"/>
      <c r="M684"/>
      <c r="N684" s="2"/>
      <c r="R684"/>
      <c r="S684"/>
      <c r="T684"/>
      <c r="U684"/>
      <c r="V684"/>
    </row>
    <row r="685" spans="10:22" s="1" customFormat="1" x14ac:dyDescent="0.2">
      <c r="J685"/>
      <c r="K685"/>
      <c r="L685"/>
      <c r="M685"/>
      <c r="N685" s="2"/>
      <c r="R685"/>
      <c r="S685"/>
      <c r="T685"/>
      <c r="U685"/>
      <c r="V685"/>
    </row>
    <row r="686" spans="10:22" s="1" customFormat="1" x14ac:dyDescent="0.2">
      <c r="J686"/>
      <c r="K686"/>
      <c r="L686"/>
      <c r="M686"/>
      <c r="N686" s="2"/>
      <c r="R686"/>
      <c r="S686"/>
      <c r="T686"/>
      <c r="U686"/>
      <c r="V686"/>
    </row>
    <row r="687" spans="10:22" s="1" customFormat="1" x14ac:dyDescent="0.2">
      <c r="J687"/>
      <c r="K687"/>
      <c r="L687"/>
      <c r="M687"/>
      <c r="N687" s="2"/>
      <c r="R687"/>
      <c r="S687"/>
      <c r="T687"/>
      <c r="U687"/>
      <c r="V687"/>
    </row>
    <row r="688" spans="10:22" s="1" customFormat="1" x14ac:dyDescent="0.2">
      <c r="J688"/>
      <c r="K688"/>
      <c r="L688"/>
      <c r="M688"/>
      <c r="N688" s="2"/>
      <c r="R688"/>
      <c r="S688"/>
      <c r="T688"/>
      <c r="U688"/>
      <c r="V688"/>
    </row>
    <row r="689" spans="10:22" s="1" customFormat="1" x14ac:dyDescent="0.2">
      <c r="J689"/>
      <c r="K689"/>
      <c r="L689"/>
      <c r="M689"/>
      <c r="N689" s="2"/>
      <c r="R689"/>
      <c r="S689"/>
      <c r="T689"/>
      <c r="U689"/>
      <c r="V689"/>
    </row>
    <row r="690" spans="10:22" s="1" customFormat="1" x14ac:dyDescent="0.2">
      <c r="J690"/>
      <c r="K690"/>
      <c r="L690"/>
      <c r="M690"/>
      <c r="N690" s="2"/>
      <c r="R690"/>
      <c r="S690"/>
      <c r="T690"/>
      <c r="U690"/>
      <c r="V690"/>
    </row>
    <row r="691" spans="10:22" s="1" customFormat="1" x14ac:dyDescent="0.2">
      <c r="J691"/>
      <c r="K691"/>
      <c r="L691"/>
      <c r="M691"/>
      <c r="N691" s="2"/>
      <c r="R691"/>
      <c r="S691"/>
      <c r="T691"/>
      <c r="U691"/>
      <c r="V691"/>
    </row>
    <row r="692" spans="10:22" s="1" customFormat="1" x14ac:dyDescent="0.2">
      <c r="J692"/>
      <c r="K692"/>
      <c r="L692"/>
      <c r="M692"/>
      <c r="N692" s="2"/>
      <c r="R692"/>
      <c r="S692"/>
      <c r="T692"/>
      <c r="U692"/>
      <c r="V692"/>
    </row>
    <row r="693" spans="10:22" s="1" customFormat="1" x14ac:dyDescent="0.2">
      <c r="J693"/>
      <c r="K693"/>
      <c r="L693"/>
      <c r="M693"/>
      <c r="N693" s="2"/>
      <c r="R693"/>
      <c r="S693"/>
      <c r="T693"/>
      <c r="U693"/>
      <c r="V693"/>
    </row>
    <row r="694" spans="10:22" s="1" customFormat="1" x14ac:dyDescent="0.2">
      <c r="J694"/>
      <c r="K694"/>
      <c r="L694"/>
      <c r="M694"/>
      <c r="N694" s="2"/>
      <c r="R694"/>
      <c r="S694"/>
      <c r="T694"/>
      <c r="U694"/>
      <c r="V694"/>
    </row>
    <row r="695" spans="10:22" s="1" customFormat="1" x14ac:dyDescent="0.2">
      <c r="J695"/>
      <c r="K695"/>
      <c r="L695"/>
      <c r="M695"/>
      <c r="N695" s="2"/>
      <c r="R695"/>
      <c r="S695"/>
      <c r="T695"/>
      <c r="U695"/>
      <c r="V695"/>
    </row>
    <row r="696" spans="10:22" s="1" customFormat="1" x14ac:dyDescent="0.2">
      <c r="J696"/>
      <c r="K696"/>
      <c r="L696"/>
      <c r="M696"/>
      <c r="N696" s="2"/>
      <c r="R696"/>
      <c r="S696"/>
      <c r="T696"/>
      <c r="U696"/>
      <c r="V696"/>
    </row>
    <row r="697" spans="10:22" s="1" customFormat="1" x14ac:dyDescent="0.2">
      <c r="J697"/>
      <c r="K697"/>
      <c r="L697"/>
      <c r="M697"/>
      <c r="N697" s="2"/>
      <c r="R697"/>
      <c r="S697"/>
      <c r="T697"/>
      <c r="U697"/>
      <c r="V697"/>
    </row>
    <row r="698" spans="10:22" s="1" customFormat="1" x14ac:dyDescent="0.2">
      <c r="J698"/>
      <c r="K698"/>
      <c r="L698"/>
      <c r="M698"/>
      <c r="N698" s="2"/>
      <c r="R698"/>
      <c r="S698"/>
      <c r="T698"/>
      <c r="U698"/>
      <c r="V698"/>
    </row>
    <row r="699" spans="10:22" s="1" customFormat="1" x14ac:dyDescent="0.2">
      <c r="J699"/>
      <c r="K699"/>
      <c r="L699"/>
      <c r="M699"/>
      <c r="N699" s="2"/>
      <c r="R699"/>
      <c r="S699"/>
      <c r="T699"/>
      <c r="U699"/>
      <c r="V699"/>
    </row>
    <row r="700" spans="10:22" s="1" customFormat="1" x14ac:dyDescent="0.2">
      <c r="J700"/>
      <c r="K700"/>
      <c r="L700"/>
      <c r="M700"/>
      <c r="N700" s="2"/>
      <c r="R700"/>
      <c r="S700"/>
      <c r="T700"/>
      <c r="U700"/>
      <c r="V700"/>
    </row>
    <row r="701" spans="10:22" s="1" customFormat="1" x14ac:dyDescent="0.2">
      <c r="J701"/>
      <c r="K701"/>
      <c r="L701"/>
      <c r="M701"/>
      <c r="N701" s="2"/>
      <c r="R701"/>
      <c r="S701"/>
      <c r="T701"/>
      <c r="U701"/>
      <c r="V701"/>
    </row>
    <row r="702" spans="10:22" s="1" customFormat="1" x14ac:dyDescent="0.2">
      <c r="J702"/>
      <c r="K702"/>
      <c r="L702"/>
      <c r="M702"/>
      <c r="N702" s="2"/>
      <c r="R702"/>
      <c r="S702"/>
      <c r="T702"/>
      <c r="U702"/>
      <c r="V702"/>
    </row>
    <row r="703" spans="10:22" s="1" customFormat="1" x14ac:dyDescent="0.2">
      <c r="J703"/>
      <c r="K703"/>
      <c r="L703"/>
      <c r="M703"/>
      <c r="N703" s="2"/>
      <c r="R703"/>
      <c r="S703"/>
      <c r="T703"/>
      <c r="U703"/>
      <c r="V703"/>
    </row>
    <row r="704" spans="10:22" s="1" customFormat="1" x14ac:dyDescent="0.2">
      <c r="J704"/>
      <c r="K704"/>
      <c r="L704"/>
      <c r="M704"/>
      <c r="N704" s="2"/>
      <c r="R704"/>
      <c r="S704"/>
      <c r="T704"/>
      <c r="U704"/>
      <c r="V704"/>
    </row>
    <row r="705" spans="10:22" s="1" customFormat="1" x14ac:dyDescent="0.2">
      <c r="J705"/>
      <c r="K705"/>
      <c r="L705"/>
      <c r="M705"/>
      <c r="N705" s="2"/>
      <c r="R705"/>
      <c r="S705"/>
      <c r="T705"/>
      <c r="U705"/>
      <c r="V705"/>
    </row>
    <row r="706" spans="10:22" s="1" customFormat="1" x14ac:dyDescent="0.2">
      <c r="J706"/>
      <c r="K706"/>
      <c r="L706"/>
      <c r="M706"/>
      <c r="N706" s="2"/>
      <c r="R706"/>
      <c r="S706"/>
      <c r="T706"/>
      <c r="U706"/>
      <c r="V706"/>
    </row>
    <row r="707" spans="10:22" s="1" customFormat="1" x14ac:dyDescent="0.2">
      <c r="J707"/>
      <c r="K707"/>
      <c r="L707"/>
      <c r="M707"/>
      <c r="N707" s="2"/>
      <c r="R707"/>
      <c r="S707"/>
      <c r="T707"/>
      <c r="U707"/>
      <c r="V707"/>
    </row>
    <row r="708" spans="10:22" s="1" customFormat="1" x14ac:dyDescent="0.2">
      <c r="J708"/>
      <c r="K708"/>
      <c r="L708"/>
      <c r="M708"/>
      <c r="N708" s="2"/>
      <c r="R708"/>
      <c r="S708"/>
      <c r="T708"/>
      <c r="U708"/>
      <c r="V708"/>
    </row>
    <row r="709" spans="10:22" s="1" customFormat="1" x14ac:dyDescent="0.2">
      <c r="J709"/>
      <c r="K709"/>
      <c r="L709"/>
      <c r="M709"/>
      <c r="N709" s="2"/>
      <c r="R709"/>
      <c r="S709"/>
      <c r="T709"/>
      <c r="U709"/>
      <c r="V709"/>
    </row>
    <row r="710" spans="10:22" s="1" customFormat="1" x14ac:dyDescent="0.2">
      <c r="J710"/>
      <c r="K710"/>
      <c r="L710"/>
      <c r="M710"/>
      <c r="N710" s="2"/>
      <c r="R710"/>
      <c r="S710"/>
      <c r="T710"/>
      <c r="U710"/>
      <c r="V710"/>
    </row>
    <row r="711" spans="10:22" s="1" customFormat="1" x14ac:dyDescent="0.2">
      <c r="J711"/>
      <c r="K711"/>
      <c r="L711"/>
      <c r="M711"/>
      <c r="N711" s="2"/>
      <c r="R711"/>
      <c r="S711"/>
      <c r="T711"/>
      <c r="U711"/>
      <c r="V711"/>
    </row>
    <row r="712" spans="10:22" s="1" customFormat="1" x14ac:dyDescent="0.2">
      <c r="J712"/>
      <c r="K712"/>
      <c r="L712"/>
      <c r="M712"/>
      <c r="N712" s="2"/>
      <c r="R712"/>
      <c r="S712"/>
      <c r="T712"/>
      <c r="U712"/>
      <c r="V712"/>
    </row>
    <row r="713" spans="10:22" s="1" customFormat="1" x14ac:dyDescent="0.2">
      <c r="J713"/>
      <c r="K713"/>
      <c r="L713"/>
      <c r="M713"/>
      <c r="N713" s="2"/>
      <c r="R713"/>
      <c r="S713"/>
      <c r="T713"/>
      <c r="U713"/>
      <c r="V713"/>
    </row>
    <row r="714" spans="10:22" s="1" customFormat="1" x14ac:dyDescent="0.2">
      <c r="J714"/>
      <c r="K714"/>
      <c r="L714"/>
      <c r="M714"/>
      <c r="N714" s="2"/>
      <c r="R714"/>
      <c r="S714"/>
      <c r="T714"/>
      <c r="U714"/>
      <c r="V714"/>
    </row>
    <row r="715" spans="10:22" s="1" customFormat="1" x14ac:dyDescent="0.2">
      <c r="J715"/>
      <c r="K715"/>
      <c r="L715"/>
      <c r="M715"/>
      <c r="N715" s="2"/>
      <c r="R715"/>
      <c r="S715"/>
      <c r="T715"/>
      <c r="U715"/>
      <c r="V715"/>
    </row>
    <row r="716" spans="10:22" s="1" customFormat="1" x14ac:dyDescent="0.2">
      <c r="J716"/>
      <c r="K716"/>
      <c r="L716"/>
      <c r="M716"/>
      <c r="N716" s="2"/>
      <c r="R716"/>
      <c r="S716"/>
      <c r="T716"/>
      <c r="U716"/>
      <c r="V716"/>
    </row>
    <row r="717" spans="10:22" s="1" customFormat="1" x14ac:dyDescent="0.2">
      <c r="J717"/>
      <c r="K717"/>
      <c r="L717"/>
      <c r="M717"/>
      <c r="N717" s="2"/>
      <c r="R717"/>
      <c r="S717"/>
      <c r="T717"/>
      <c r="U717"/>
      <c r="V717"/>
    </row>
    <row r="718" spans="10:22" s="1" customFormat="1" x14ac:dyDescent="0.2">
      <c r="J718"/>
      <c r="K718"/>
      <c r="L718"/>
      <c r="M718"/>
      <c r="N718" s="2"/>
      <c r="R718"/>
      <c r="S718"/>
      <c r="T718"/>
      <c r="U718"/>
      <c r="V718"/>
    </row>
    <row r="719" spans="10:22" s="1" customFormat="1" x14ac:dyDescent="0.2">
      <c r="J719"/>
      <c r="K719"/>
      <c r="L719"/>
      <c r="M719"/>
      <c r="N719" s="2"/>
      <c r="R719"/>
      <c r="S719"/>
      <c r="T719"/>
      <c r="U719"/>
      <c r="V719"/>
    </row>
    <row r="720" spans="10:22" s="1" customFormat="1" x14ac:dyDescent="0.2">
      <c r="J720"/>
      <c r="K720"/>
      <c r="L720"/>
      <c r="M720"/>
      <c r="N720" s="2"/>
      <c r="R720"/>
      <c r="S720"/>
      <c r="T720"/>
      <c r="U720"/>
      <c r="V720"/>
    </row>
    <row r="721" spans="10:22" s="1" customFormat="1" x14ac:dyDescent="0.2">
      <c r="J721"/>
      <c r="K721"/>
      <c r="L721"/>
      <c r="M721"/>
      <c r="N721" s="2"/>
      <c r="R721"/>
      <c r="S721"/>
      <c r="T721"/>
      <c r="U721"/>
      <c r="V721"/>
    </row>
    <row r="722" spans="10:22" s="1" customFormat="1" x14ac:dyDescent="0.2">
      <c r="J722"/>
      <c r="K722"/>
      <c r="L722"/>
      <c r="M722"/>
      <c r="N722" s="2"/>
      <c r="R722"/>
      <c r="S722"/>
      <c r="T722"/>
      <c r="U722"/>
      <c r="V722"/>
    </row>
    <row r="723" spans="10:22" s="1" customFormat="1" x14ac:dyDescent="0.2">
      <c r="J723"/>
      <c r="K723"/>
      <c r="L723"/>
      <c r="M723"/>
      <c r="N723" s="2"/>
      <c r="R723"/>
      <c r="S723"/>
      <c r="T723"/>
      <c r="U723"/>
      <c r="V723"/>
    </row>
    <row r="724" spans="10:22" s="1" customFormat="1" x14ac:dyDescent="0.2">
      <c r="J724"/>
      <c r="K724"/>
      <c r="L724"/>
      <c r="M724"/>
      <c r="N724" s="2"/>
      <c r="R724"/>
      <c r="S724"/>
      <c r="T724"/>
      <c r="U724"/>
      <c r="V724"/>
    </row>
    <row r="725" spans="10:22" s="1" customFormat="1" x14ac:dyDescent="0.2">
      <c r="J725"/>
      <c r="K725"/>
      <c r="L725"/>
      <c r="M725"/>
      <c r="N725" s="2"/>
      <c r="R725"/>
      <c r="S725"/>
      <c r="T725"/>
      <c r="U725"/>
      <c r="V725"/>
    </row>
    <row r="726" spans="10:22" s="1" customFormat="1" x14ac:dyDescent="0.2">
      <c r="J726"/>
      <c r="K726"/>
      <c r="L726"/>
      <c r="M726"/>
      <c r="N726" s="2"/>
      <c r="R726"/>
      <c r="S726"/>
      <c r="T726"/>
      <c r="U726"/>
      <c r="V726"/>
    </row>
    <row r="727" spans="10:22" s="1" customFormat="1" x14ac:dyDescent="0.2">
      <c r="J727"/>
      <c r="K727"/>
      <c r="L727"/>
      <c r="M727"/>
      <c r="N727" s="2"/>
      <c r="R727"/>
      <c r="S727"/>
      <c r="T727"/>
      <c r="U727"/>
      <c r="V727"/>
    </row>
    <row r="728" spans="10:22" s="1" customFormat="1" x14ac:dyDescent="0.2">
      <c r="J728"/>
      <c r="K728"/>
      <c r="L728"/>
      <c r="M728"/>
      <c r="N728" s="2"/>
      <c r="R728"/>
      <c r="S728"/>
      <c r="T728"/>
      <c r="U728"/>
      <c r="V728"/>
    </row>
    <row r="729" spans="10:22" s="1" customFormat="1" x14ac:dyDescent="0.2">
      <c r="J729"/>
      <c r="K729"/>
      <c r="L729"/>
      <c r="M729"/>
      <c r="N729" s="2"/>
      <c r="R729"/>
      <c r="S729"/>
      <c r="T729"/>
      <c r="U729"/>
      <c r="V729"/>
    </row>
    <row r="730" spans="10:22" s="1" customFormat="1" x14ac:dyDescent="0.2">
      <c r="J730"/>
      <c r="K730"/>
      <c r="L730"/>
      <c r="M730"/>
      <c r="N730" s="2"/>
      <c r="R730"/>
      <c r="S730"/>
      <c r="T730"/>
      <c r="U730"/>
      <c r="V730"/>
    </row>
    <row r="731" spans="10:22" s="1" customFormat="1" x14ac:dyDescent="0.2">
      <c r="J731"/>
      <c r="K731"/>
      <c r="L731"/>
      <c r="M731"/>
      <c r="N731" s="2"/>
      <c r="R731"/>
      <c r="S731"/>
      <c r="T731"/>
      <c r="U731"/>
      <c r="V731"/>
    </row>
    <row r="732" spans="10:22" s="1" customFormat="1" x14ac:dyDescent="0.2">
      <c r="J732"/>
      <c r="K732"/>
      <c r="L732"/>
      <c r="M732"/>
      <c r="N732" s="2"/>
      <c r="R732"/>
      <c r="S732"/>
      <c r="T732"/>
      <c r="U732"/>
      <c r="V732"/>
    </row>
    <row r="733" spans="10:22" s="1" customFormat="1" x14ac:dyDescent="0.2">
      <c r="J733"/>
      <c r="K733"/>
      <c r="L733"/>
      <c r="M733"/>
      <c r="N733" s="2"/>
      <c r="R733"/>
      <c r="S733"/>
      <c r="T733"/>
      <c r="U733"/>
      <c r="V733"/>
    </row>
    <row r="734" spans="10:22" s="1" customFormat="1" x14ac:dyDescent="0.2">
      <c r="J734"/>
      <c r="K734"/>
      <c r="L734"/>
      <c r="M734"/>
      <c r="N734" s="2"/>
      <c r="R734"/>
      <c r="S734"/>
      <c r="T734"/>
      <c r="U734"/>
      <c r="V734"/>
    </row>
  </sheetData>
  <mergeCells count="51">
    <mergeCell ref="E22:E23"/>
    <mergeCell ref="J22:J23"/>
    <mergeCell ref="K22:K23"/>
    <mergeCell ref="Q22:Q23"/>
    <mergeCell ref="E61:F61"/>
    <mergeCell ref="E62:F62"/>
    <mergeCell ref="E63:F63"/>
    <mergeCell ref="B2:V2"/>
    <mergeCell ref="B7:B8"/>
    <mergeCell ref="E7:E8"/>
    <mergeCell ref="J7:J8"/>
    <mergeCell ref="K7:K8"/>
    <mergeCell ref="Q7:Q8"/>
    <mergeCell ref="B17:B18"/>
    <mergeCell ref="E17:E18"/>
    <mergeCell ref="J17:J18"/>
    <mergeCell ref="K17:K18"/>
    <mergeCell ref="Q17:Q18"/>
    <mergeCell ref="S17:S18"/>
    <mergeCell ref="B22:B23"/>
    <mergeCell ref="I20:I21"/>
    <mergeCell ref="S7:S8"/>
    <mergeCell ref="U7:U8"/>
    <mergeCell ref="E13:E14"/>
    <mergeCell ref="B13:B14"/>
    <mergeCell ref="Q13:Q14"/>
    <mergeCell ref="S13:S14"/>
    <mergeCell ref="U13:U14"/>
    <mergeCell ref="K13:K14"/>
    <mergeCell ref="J13:J14"/>
    <mergeCell ref="L7:L8"/>
    <mergeCell ref="L13:L14"/>
    <mergeCell ref="B20:B21"/>
    <mergeCell ref="D20:D21"/>
    <mergeCell ref="E20:E21"/>
    <mergeCell ref="F20:F21"/>
    <mergeCell ref="H20:H21"/>
    <mergeCell ref="U20:U21"/>
    <mergeCell ref="V20:V21"/>
    <mergeCell ref="U17:U18"/>
    <mergeCell ref="U22:U23"/>
    <mergeCell ref="J20:J21"/>
    <mergeCell ref="K20:K21"/>
    <mergeCell ref="L20:L21"/>
    <mergeCell ref="M20:M21"/>
    <mergeCell ref="O20:O21"/>
    <mergeCell ref="Q20:Q21"/>
    <mergeCell ref="L17:L18"/>
    <mergeCell ref="L22:L23"/>
    <mergeCell ref="S20:S21"/>
    <mergeCell ref="S22:S23"/>
  </mergeCells>
  <conditionalFormatting sqref="I65:I71">
    <cfRule type="cellIs" dxfId="168" priority="435" stopIfTrue="1" operator="lessThan">
      <formula>0%</formula>
    </cfRule>
    <cfRule type="cellIs" dxfId="167" priority="434" stopIfTrue="1" operator="greaterThan">
      <formula>1.5%</formula>
    </cfRule>
  </conditionalFormatting>
  <conditionalFormatting sqref="I73">
    <cfRule type="cellIs" dxfId="166" priority="429" stopIfTrue="1" operator="lessThan">
      <formula>438</formula>
    </cfRule>
  </conditionalFormatting>
  <conditionalFormatting sqref="J3 B2 J72:J65536">
    <cfRule type="cellIs" dxfId="165" priority="452" stopIfTrue="1" operator="lessThan">
      <formula>438</formula>
    </cfRule>
  </conditionalFormatting>
  <conditionalFormatting sqref="J3">
    <cfRule type="cellIs" dxfId="164" priority="449" stopIfTrue="1" operator="lessThan">
      <formula>456.25</formula>
    </cfRule>
  </conditionalFormatting>
  <conditionalFormatting sqref="J4:J7">
    <cfRule type="cellIs" dxfId="163" priority="407" stopIfTrue="1" operator="lessThan">
      <formula>462</formula>
    </cfRule>
  </conditionalFormatting>
  <conditionalFormatting sqref="J9:J13">
    <cfRule type="cellIs" dxfId="162" priority="245" stopIfTrue="1" operator="lessThan">
      <formula>462</formula>
    </cfRule>
  </conditionalFormatting>
  <conditionalFormatting sqref="J15:J17">
    <cfRule type="cellIs" dxfId="161" priority="172" stopIfTrue="1" operator="lessThan">
      <formula>462</formula>
    </cfRule>
  </conditionalFormatting>
  <conditionalFormatting sqref="J19:J20">
    <cfRule type="cellIs" dxfId="160" priority="97" stopIfTrue="1" operator="lessThan">
      <formula>462</formula>
    </cfRule>
  </conditionalFormatting>
  <conditionalFormatting sqref="J22">
    <cfRule type="cellIs" dxfId="159" priority="41" stopIfTrue="1" operator="lessThan">
      <formula>462</formula>
    </cfRule>
  </conditionalFormatting>
  <conditionalFormatting sqref="J24:J60">
    <cfRule type="cellIs" dxfId="158" priority="11" stopIfTrue="1" operator="lessThan">
      <formula>462</formula>
    </cfRule>
  </conditionalFormatting>
  <conditionalFormatting sqref="J65:J71">
    <cfRule type="cellIs" dxfId="157" priority="447" stopIfTrue="1" operator="lessThan">
      <formula>73%</formula>
    </cfRule>
  </conditionalFormatting>
  <conditionalFormatting sqref="K4:K7">
    <cfRule type="cellIs" dxfId="156" priority="406" stopIfTrue="1" operator="lessThan">
      <formula>540</formula>
    </cfRule>
  </conditionalFormatting>
  <conditionalFormatting sqref="K9:K13">
    <cfRule type="cellIs" dxfId="155" priority="244" stopIfTrue="1" operator="lessThan">
      <formula>540</formula>
    </cfRule>
  </conditionalFormatting>
  <conditionalFormatting sqref="K15:K17">
    <cfRule type="cellIs" dxfId="154" priority="171" stopIfTrue="1" operator="lessThan">
      <formula>540</formula>
    </cfRule>
  </conditionalFormatting>
  <conditionalFormatting sqref="K19:K20">
    <cfRule type="cellIs" dxfId="153" priority="96" stopIfTrue="1" operator="lessThan">
      <formula>540</formula>
    </cfRule>
  </conditionalFormatting>
  <conditionalFormatting sqref="K22">
    <cfRule type="cellIs" dxfId="152" priority="40" stopIfTrue="1" operator="lessThan">
      <formula>540</formula>
    </cfRule>
  </conditionalFormatting>
  <conditionalFormatting sqref="K24:K39">
    <cfRule type="cellIs" dxfId="151" priority="10" stopIfTrue="1" operator="lessThan">
      <formula>540</formula>
    </cfRule>
  </conditionalFormatting>
  <conditionalFormatting sqref="K39:L56">
    <cfRule type="cellIs" dxfId="150" priority="412" stopIfTrue="1" operator="lessThan">
      <formula>540</formula>
    </cfRule>
  </conditionalFormatting>
  <conditionalFormatting sqref="K57:L59">
    <cfRule type="cellIs" dxfId="149" priority="443" stopIfTrue="1" operator="lessThan">
      <formula>438</formula>
    </cfRule>
    <cfRule type="cellIs" dxfId="148" priority="442" stopIfTrue="1" operator="lessThan">
      <formula>456.25</formula>
    </cfRule>
  </conditionalFormatting>
  <conditionalFormatting sqref="O4:O20">
    <cfRule type="cellIs" dxfId="147" priority="116" stopIfTrue="1" operator="greaterThan">
      <formula>1.1</formula>
    </cfRule>
  </conditionalFormatting>
  <conditionalFormatting sqref="O22:O61">
    <cfRule type="cellIs" dxfId="146" priority="52" stopIfTrue="1" operator="greaterThan">
      <formula>1.1</formula>
    </cfRule>
  </conditionalFormatting>
  <conditionalFormatting sqref="O61:O62">
    <cfRule type="cellIs" dxfId="145" priority="446" stopIfTrue="1" operator="lessThan">
      <formula>0%</formula>
    </cfRule>
    <cfRule type="cellIs" dxfId="144" priority="445" stopIfTrue="1" operator="greaterThan">
      <formula>1.5%</formula>
    </cfRule>
  </conditionalFormatting>
  <conditionalFormatting sqref="Q4:Q7">
    <cfRule type="cellIs" dxfId="143" priority="404" stopIfTrue="1" operator="lessThan">
      <formula>0.74</formula>
    </cfRule>
  </conditionalFormatting>
  <conditionalFormatting sqref="Q9:Q13">
    <cfRule type="cellIs" dxfId="142" priority="215" stopIfTrue="1" operator="lessThan">
      <formula>0.74</formula>
    </cfRule>
  </conditionalFormatting>
  <conditionalFormatting sqref="Q15:Q17">
    <cfRule type="cellIs" dxfId="141" priority="148" stopIfTrue="1" operator="lessThan">
      <formula>0.74</formula>
    </cfRule>
  </conditionalFormatting>
  <conditionalFormatting sqref="Q19:Q20">
    <cfRule type="cellIs" dxfId="140" priority="85" stopIfTrue="1" operator="lessThan">
      <formula>0.74</formula>
    </cfRule>
  </conditionalFormatting>
  <conditionalFormatting sqref="Q22">
    <cfRule type="cellIs" dxfId="139" priority="35" stopIfTrue="1" operator="lessThan">
      <formula>0.74</formula>
    </cfRule>
  </conditionalFormatting>
  <conditionalFormatting sqref="Q24:Q60">
    <cfRule type="cellIs" dxfId="138" priority="5" stopIfTrue="1" operator="lessThan">
      <formula>0.74</formula>
    </cfRule>
  </conditionalFormatting>
  <conditionalFormatting sqref="S42:S59">
    <cfRule type="cellIs" dxfId="137" priority="438" stopIfTrue="1" operator="lessThan">
      <formula>0.74</formula>
    </cfRule>
  </conditionalFormatting>
  <conditionalFormatting sqref="S61:S62">
    <cfRule type="cellIs" dxfId="136" priority="448" stopIfTrue="1" operator="lessThan">
      <formula>73%</formula>
    </cfRule>
  </conditionalFormatting>
  <conditionalFormatting sqref="S75">
    <cfRule type="cellIs" dxfId="135" priority="3" stopIfTrue="1" operator="lessThan">
      <formula>0.74</formula>
    </cfRule>
  </conditionalFormatting>
  <conditionalFormatting sqref="S76">
    <cfRule type="cellIs" dxfId="134" priority="1" stopIfTrue="1" operator="greaterThan">
      <formula>1.1</formula>
    </cfRule>
  </conditionalFormatting>
  <conditionalFormatting sqref="S3:U3">
    <cfRule type="cellIs" dxfId="133" priority="421" stopIfTrue="1" operator="lessThan">
      <formula>0.65</formula>
    </cfRule>
  </conditionalFormatting>
  <conditionalFormatting sqref="S4:U7">
    <cfRule type="cellIs" dxfId="132" priority="403" stopIfTrue="1" operator="lessThan">
      <formula>0.74</formula>
    </cfRule>
  </conditionalFormatting>
  <conditionalFormatting sqref="S9:U13">
    <cfRule type="cellIs" dxfId="131" priority="214" stopIfTrue="1" operator="lessThan">
      <formula>0.74</formula>
    </cfRule>
  </conditionalFormatting>
  <conditionalFormatting sqref="S15:U17">
    <cfRule type="cellIs" dxfId="130" priority="147" stopIfTrue="1" operator="lessThan">
      <formula>0.74</formula>
    </cfRule>
  </conditionalFormatting>
  <conditionalFormatting sqref="S19:U20">
    <cfRule type="cellIs" dxfId="129" priority="84" stopIfTrue="1" operator="lessThan">
      <formula>0.74</formula>
    </cfRule>
  </conditionalFormatting>
  <conditionalFormatting sqref="S22:U22">
    <cfRule type="cellIs" dxfId="128" priority="34" stopIfTrue="1" operator="lessThan">
      <formula>0.74</formula>
    </cfRule>
  </conditionalFormatting>
  <conditionalFormatting sqref="S24:U41">
    <cfRule type="cellIs" dxfId="127" priority="4" stopIfTrue="1" operator="lessThan">
      <formula>0.74</formula>
    </cfRule>
  </conditionalFormatting>
  <conditionalFormatting sqref="S60:U60">
    <cfRule type="cellIs" dxfId="126" priority="440" stopIfTrue="1" operator="lessThan">
      <formula>0.74</formula>
    </cfRule>
  </conditionalFormatting>
  <conditionalFormatting sqref="T8">
    <cfRule type="cellIs" dxfId="125" priority="354" stopIfTrue="1" operator="lessThan">
      <formula>0.74</formula>
    </cfRule>
  </conditionalFormatting>
  <conditionalFormatting sqref="T14">
    <cfRule type="cellIs" dxfId="124" priority="202" stopIfTrue="1" operator="lessThan">
      <formula>0.74</formula>
    </cfRule>
  </conditionalFormatting>
  <conditionalFormatting sqref="T18">
    <cfRule type="cellIs" dxfId="123" priority="135" stopIfTrue="1" operator="lessThan">
      <formula>0.74</formula>
    </cfRule>
  </conditionalFormatting>
  <conditionalFormatting sqref="T21">
    <cfRule type="cellIs" dxfId="122" priority="72" stopIfTrue="1" operator="lessThan">
      <formula>0.74</formula>
    </cfRule>
  </conditionalFormatting>
  <conditionalFormatting sqref="T23">
    <cfRule type="cellIs" dxfId="121" priority="22" stopIfTrue="1" operator="lessThan">
      <formula>0.74</formula>
    </cfRule>
  </conditionalFormatting>
  <conditionalFormatting sqref="T29 T31 T35:T38">
    <cfRule type="cellIs" dxfId="120" priority="372" stopIfTrue="1" operator="lessThan">
      <formula>0.74</formula>
    </cfRule>
  </conditionalFormatting>
  <conditionalFormatting sqref="T42:U59">
    <cfRule type="cellIs" dxfId="119" priority="432" stopIfTrue="1" operator="lessThan">
      <formula>75%</formula>
    </cfRule>
  </conditionalFormatting>
  <conditionalFormatting sqref="T61:U62">
    <cfRule type="cellIs" dxfId="118" priority="451" stopIfTrue="1" operator="lessThan">
      <formula>75%</formula>
    </cfRule>
  </conditionalFormatting>
  <conditionalFormatting sqref="U75">
    <cfRule type="cellIs" dxfId="117" priority="2" stopIfTrue="1" operator="lessThan">
      <formula>0.74</formula>
    </cfRule>
  </conditionalFormatting>
  <printOptions horizontalCentered="1"/>
  <pageMargins left="0.10312499999999999" right="0.5" top="0.25" bottom="0.27" header="0.25" footer="0.27"/>
  <pageSetup paperSize="5" scale="46" orientation="landscape" r:id="rId1"/>
  <headerFooter alignWithMargins="0"/>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FAC02-E528-40FE-B37B-5EBFCAEE3512}">
  <sheetPr codeName="Sheet30">
    <pageSetUpPr fitToPage="1"/>
  </sheetPr>
  <dimension ref="B2:V734"/>
  <sheetViews>
    <sheetView showZeros="0" showWhiteSpace="0" zoomScale="70" zoomScaleNormal="70" workbookViewId="0">
      <pane ySplit="3" topLeftCell="A7" activePane="bottomLeft" state="frozen"/>
      <selection activeCell="B2" sqref="B2:W2"/>
      <selection pane="bottomLeft" activeCell="B2" sqref="B2:W2"/>
    </sheetView>
  </sheetViews>
  <sheetFormatPr defaultColWidth="9.42578125" defaultRowHeight="12.75" x14ac:dyDescent="0.2"/>
  <cols>
    <col min="2" max="2" width="10.42578125" style="1" customWidth="1"/>
    <col min="3" max="3" width="27" style="1" customWidth="1"/>
    <col min="4" max="4" width="13.5703125" style="1" customWidth="1"/>
    <col min="5" max="5" width="13.42578125" style="1" customWidth="1"/>
    <col min="6" max="6" width="17" style="1" customWidth="1"/>
    <col min="7" max="7" width="15.5703125" customWidth="1"/>
    <col min="8" max="8" width="15.42578125" customWidth="1"/>
    <col min="9" max="9" width="13.5703125" style="1" customWidth="1"/>
    <col min="10" max="10" width="12.5703125" customWidth="1"/>
    <col min="11" max="11" width="11" customWidth="1"/>
    <col min="12" max="12" width="13.42578125" bestFit="1" customWidth="1"/>
    <col min="13" max="13" width="11.42578125" customWidth="1"/>
    <col min="14" max="14" width="10.42578125" style="2" bestFit="1" customWidth="1"/>
    <col min="15" max="15" width="13.5703125" style="1" customWidth="1"/>
    <col min="16" max="16" width="7.5703125" style="1" hidden="1" customWidth="1"/>
    <col min="17" max="17" width="13.42578125" style="1" customWidth="1"/>
    <col min="18" max="18" width="12" hidden="1" customWidth="1"/>
    <col min="19" max="19" width="14.42578125" customWidth="1"/>
    <col min="20" max="20" width="10.42578125" hidden="1" customWidth="1"/>
    <col min="21" max="21" width="14" customWidth="1"/>
    <col min="22" max="22" width="91" customWidth="1"/>
    <col min="23" max="23" width="12.5703125" customWidth="1"/>
    <col min="24" max="24" width="13.5703125" customWidth="1"/>
  </cols>
  <sheetData>
    <row r="2" spans="2:22" ht="24" thickBot="1" x14ac:dyDescent="0.4">
      <c r="B2" s="1022" t="s">
        <v>52</v>
      </c>
      <c r="C2" s="1022"/>
      <c r="D2" s="1022"/>
      <c r="E2" s="1022"/>
      <c r="F2" s="1022"/>
      <c r="G2" s="1022"/>
      <c r="H2" s="1022"/>
      <c r="I2" s="1022"/>
      <c r="J2" s="1022"/>
      <c r="K2" s="1022"/>
      <c r="L2" s="1022"/>
      <c r="M2" s="1022"/>
      <c r="N2" s="1022"/>
      <c r="O2" s="1022"/>
      <c r="P2" s="1022"/>
      <c r="Q2" s="1022"/>
      <c r="R2" s="1022"/>
      <c r="S2" s="1022"/>
      <c r="T2" s="1022"/>
      <c r="U2" s="1022"/>
      <c r="V2" s="1022"/>
    </row>
    <row r="3" spans="2:22" ht="80.25" thickTop="1" thickBot="1" x14ac:dyDescent="0.25">
      <c r="B3" s="37" t="s">
        <v>0</v>
      </c>
      <c r="C3" s="38" t="s">
        <v>2</v>
      </c>
      <c r="D3" s="38" t="s">
        <v>12</v>
      </c>
      <c r="E3" s="38" t="s">
        <v>11</v>
      </c>
      <c r="F3" s="38" t="s">
        <v>15</v>
      </c>
      <c r="G3" s="38" t="s">
        <v>9</v>
      </c>
      <c r="H3" s="38" t="s">
        <v>17</v>
      </c>
      <c r="I3" s="38" t="s">
        <v>5</v>
      </c>
      <c r="J3" s="38" t="s">
        <v>43</v>
      </c>
      <c r="K3" s="38" t="s">
        <v>4</v>
      </c>
      <c r="L3" s="38" t="s">
        <v>161</v>
      </c>
      <c r="M3" s="38" t="s">
        <v>10</v>
      </c>
      <c r="N3" s="39" t="s">
        <v>34</v>
      </c>
      <c r="O3" s="40" t="s">
        <v>55</v>
      </c>
      <c r="P3" s="40" t="s">
        <v>8</v>
      </c>
      <c r="Q3" s="41" t="s">
        <v>7</v>
      </c>
      <c r="R3" s="41" t="s">
        <v>6</v>
      </c>
      <c r="S3" s="41" t="s">
        <v>307</v>
      </c>
      <c r="T3" s="41" t="s">
        <v>47</v>
      </c>
      <c r="U3" s="124" t="s">
        <v>308</v>
      </c>
      <c r="V3" s="5" t="s">
        <v>1</v>
      </c>
    </row>
    <row r="4" spans="2:22" s="19" customFormat="1" ht="33.75" thickTop="1" x14ac:dyDescent="0.2">
      <c r="B4" s="1252">
        <v>42675</v>
      </c>
      <c r="C4" s="48" t="s">
        <v>42</v>
      </c>
      <c r="D4" s="49"/>
      <c r="E4" s="1253">
        <v>0.3354166666666667</v>
      </c>
      <c r="F4" s="51">
        <f>[17]November_2016!$J8</f>
        <v>53.2</v>
      </c>
      <c r="G4" s="52">
        <f>SUM([16]November_2016!$F8)</f>
        <v>780</v>
      </c>
      <c r="H4" s="51">
        <f>[17]November_2016!$K8</f>
        <v>51.480000000000004</v>
      </c>
      <c r="I4" s="53">
        <f>SUM([16]November_2016!$N8)</f>
        <v>8</v>
      </c>
      <c r="J4" s="1251">
        <f>SUM([16]November_2016!$Q8)</f>
        <v>198.73170731707316</v>
      </c>
      <c r="K4" s="1251">
        <f>SUM([16]November_2016!$E8)</f>
        <v>615</v>
      </c>
      <c r="L4" s="1257">
        <v>0.79027777777777775</v>
      </c>
      <c r="M4" s="54">
        <f>SUM([16]November_2016!$M8)</f>
        <v>84</v>
      </c>
      <c r="N4" s="122">
        <f>SUM([16]November_2016!$H8)</f>
        <v>0</v>
      </c>
      <c r="O4" s="55">
        <f>SUM([16]November_2016!$P8)</f>
        <v>3.2330827067669148</v>
      </c>
      <c r="P4" s="54"/>
      <c r="Q4" s="1254">
        <f>(G4+G5)/(10.083*15000*(1/24))</f>
        <v>0.3232371318060101</v>
      </c>
      <c r="R4" s="56"/>
      <c r="S4" s="1074">
        <f>(G4+G5)*24/(K4/60)/15000</f>
        <v>0.3179707317073171</v>
      </c>
      <c r="T4" s="46">
        <f>(H4+H7)*24/(M4/60)/15000</f>
        <v>0.50258057142857149</v>
      </c>
      <c r="U4" s="1241">
        <f>(G4+G5)*24/(K4/60)/17000</f>
        <v>0.28056241032998569</v>
      </c>
      <c r="V4" s="24" t="s">
        <v>329</v>
      </c>
    </row>
    <row r="5" spans="2:22" s="19" customFormat="1" ht="33" x14ac:dyDescent="0.2">
      <c r="B5" s="1214"/>
      <c r="C5" s="48" t="s">
        <v>27</v>
      </c>
      <c r="D5" s="49">
        <v>1400</v>
      </c>
      <c r="E5" s="1218"/>
      <c r="F5" s="51">
        <f>[17]November_2016!$J9</f>
        <v>84.6</v>
      </c>
      <c r="G5" s="52">
        <f>SUM([16]November_2016!$F9)</f>
        <v>1257</v>
      </c>
      <c r="H5" s="51">
        <f>[17]November_2016!$K9</f>
        <v>82.962000000000003</v>
      </c>
      <c r="I5" s="53">
        <f>SUM([16]November_2016!$N9)</f>
        <v>8.25</v>
      </c>
      <c r="J5" s="1224"/>
      <c r="K5" s="1224"/>
      <c r="L5" s="1248"/>
      <c r="M5" s="54">
        <f>SUM([16]November_2016!$M9)</f>
        <v>155</v>
      </c>
      <c r="N5" s="54">
        <f>SUM([16]November_2016!$H9)</f>
        <v>0</v>
      </c>
      <c r="O5" s="55">
        <f>SUM([16]November_2016!$P9)</f>
        <v>1.936170212765947</v>
      </c>
      <c r="P5" s="54"/>
      <c r="Q5" s="1228"/>
      <c r="R5" s="56"/>
      <c r="S5" s="1040"/>
      <c r="T5" s="46"/>
      <c r="U5" s="1239"/>
      <c r="V5" s="24" t="s">
        <v>330</v>
      </c>
    </row>
    <row r="6" spans="2:22" s="19" customFormat="1" ht="29.25" customHeight="1" x14ac:dyDescent="0.2">
      <c r="B6" s="137">
        <v>42676</v>
      </c>
      <c r="C6" s="48" t="s">
        <v>29</v>
      </c>
      <c r="D6" s="49">
        <v>5600</v>
      </c>
      <c r="E6" s="50">
        <v>0.32083333333333336</v>
      </c>
      <c r="F6" s="51">
        <f>[17]November_2016!$J10</f>
        <v>364.70000000000005</v>
      </c>
      <c r="G6" s="52">
        <f>SUM([16]November_2016!$F10)</f>
        <v>5359</v>
      </c>
      <c r="H6" s="51">
        <f>[17]November_2016!$K10</f>
        <v>363.19400000000002</v>
      </c>
      <c r="I6" s="53">
        <f>SUM([16]November_2016!$N10)</f>
        <v>25</v>
      </c>
      <c r="J6" s="54">
        <f>SUM([16]November_2016!$Q10)</f>
        <v>528.84868421052636</v>
      </c>
      <c r="K6" s="54">
        <f>SUM([16]November_2016!$E10)</f>
        <v>608</v>
      </c>
      <c r="L6" s="134">
        <v>0.78402777777777777</v>
      </c>
      <c r="M6" s="54">
        <f>SUM([16]November_2016!$M10)</f>
        <v>67</v>
      </c>
      <c r="N6" s="54">
        <f>SUM([16]November_2016!$H10)</f>
        <v>0</v>
      </c>
      <c r="O6" s="55">
        <f>SUM([16]November_2016!$P10)</f>
        <v>0.41294214422814052</v>
      </c>
      <c r="P6" s="54"/>
      <c r="Q6" s="66">
        <f>(G6)/(9.967*15000*(1/24))</f>
        <v>0.86027892043744358</v>
      </c>
      <c r="R6" s="56"/>
      <c r="S6" s="46">
        <f>(G6)*24/(K6/60)/15000</f>
        <v>0.84615789473684211</v>
      </c>
      <c r="T6" s="46">
        <f>(H6+H9)*24/(M6/60)/15000</f>
        <v>0.89572585074626865</v>
      </c>
      <c r="U6" s="125">
        <f>(G6)*24/(K6/60)/17000</f>
        <v>0.74660990712074304</v>
      </c>
      <c r="V6" s="24" t="s">
        <v>331</v>
      </c>
    </row>
    <row r="7" spans="2:22" s="19" customFormat="1" ht="49.5" x14ac:dyDescent="0.2">
      <c r="B7" s="137">
        <v>42677</v>
      </c>
      <c r="C7" s="48" t="s">
        <v>33</v>
      </c>
      <c r="D7" s="49">
        <v>5600</v>
      </c>
      <c r="E7" s="50">
        <v>0.30555555555555552</v>
      </c>
      <c r="F7" s="51">
        <f>[17]November_2016!$J11</f>
        <v>388.9</v>
      </c>
      <c r="G7" s="52">
        <f>SUM([16]November_2016!$F11)</f>
        <v>5883</v>
      </c>
      <c r="H7" s="51">
        <f>[17]November_2016!$K11</f>
        <v>388.27800000000002</v>
      </c>
      <c r="I7" s="53">
        <f>SUM([16]November_2016!$N11)</f>
        <v>25.25</v>
      </c>
      <c r="J7" s="54">
        <f>SUM([16]November_2016!$Q11)</f>
        <v>461.41176470588238</v>
      </c>
      <c r="K7" s="54">
        <f>SUM([16]November_2016!$E11)</f>
        <v>765</v>
      </c>
      <c r="L7" s="134">
        <v>0.90694444444444444</v>
      </c>
      <c r="M7" s="54">
        <f>SUM([16]November_2016!$M11)</f>
        <v>185</v>
      </c>
      <c r="N7" s="54">
        <f>SUM([16]November_2016!$H11)</f>
        <v>0</v>
      </c>
      <c r="O7" s="55">
        <f>SUM([16]November_2016!$P11)</f>
        <v>0.15993828747748964</v>
      </c>
      <c r="P7" s="54"/>
      <c r="Q7" s="66">
        <f>(G7)/(15*15000*(1/24))</f>
        <v>0.62751999999999997</v>
      </c>
      <c r="R7" s="56"/>
      <c r="S7" s="46">
        <f>(G7)*24/(K7/60)/15000</f>
        <v>0.73825882352941175</v>
      </c>
      <c r="T7" s="46">
        <f>(H7+H10)*24/(M7/60)/15000</f>
        <v>0.31806719999999999</v>
      </c>
      <c r="U7" s="125">
        <f>(G7)*24/(K7/60)/17000</f>
        <v>0.65140484429065748</v>
      </c>
      <c r="V7" s="24" t="s">
        <v>332</v>
      </c>
    </row>
    <row r="8" spans="2:22" s="19" customFormat="1" ht="33" x14ac:dyDescent="0.2">
      <c r="B8" s="137">
        <v>42678</v>
      </c>
      <c r="C8" s="48" t="s">
        <v>27</v>
      </c>
      <c r="D8" s="49">
        <v>5600</v>
      </c>
      <c r="E8" s="50">
        <v>0.30833333333333335</v>
      </c>
      <c r="F8" s="51">
        <f>[17]November_2016!$J12</f>
        <v>380.4</v>
      </c>
      <c r="G8" s="52">
        <f>SUM([16]November_2016!$F12)</f>
        <v>5739</v>
      </c>
      <c r="H8" s="51">
        <f>[17]November_2016!$K12</f>
        <v>378.774</v>
      </c>
      <c r="I8" s="53">
        <f>SUM([16]November_2016!$N12)</f>
        <v>17.25</v>
      </c>
      <c r="J8" s="54">
        <f>SUM([16]November_2016!$Q12)</f>
        <v>456.07947019867549</v>
      </c>
      <c r="K8" s="54">
        <f>SUM([16]November_2016!$E12)</f>
        <v>755</v>
      </c>
      <c r="L8" s="134">
        <v>0.89097222222222217</v>
      </c>
      <c r="M8" s="54">
        <f>SUM([16]November_2016!$M12)</f>
        <v>112</v>
      </c>
      <c r="N8" s="54">
        <f>SUM([16]November_2016!$H12)</f>
        <v>0</v>
      </c>
      <c r="O8" s="55">
        <f>SUM([16]November_2016!$P12)</f>
        <v>0.42744479495267523</v>
      </c>
      <c r="P8" s="54"/>
      <c r="Q8" s="66">
        <f>(G8)/(14*15000*(1/24))</f>
        <v>0.65588571428571429</v>
      </c>
      <c r="R8" s="56"/>
      <c r="S8" s="46">
        <f>(G8)*24/(K8/60)/15000</f>
        <v>0.72972715231788077</v>
      </c>
      <c r="T8" s="46">
        <f>(H8+H11)*24/(M8/60)/15000</f>
        <v>0.49697999999999992</v>
      </c>
      <c r="U8" s="125">
        <f>(G8)*24/(K8/60)/17000</f>
        <v>0.64387689910401236</v>
      </c>
      <c r="V8" s="24" t="s">
        <v>333</v>
      </c>
    </row>
    <row r="9" spans="2:22" s="19" customFormat="1" ht="49.5" x14ac:dyDescent="0.2">
      <c r="B9" s="137">
        <v>42681</v>
      </c>
      <c r="C9" s="48" t="s">
        <v>29</v>
      </c>
      <c r="D9" s="49">
        <v>7000</v>
      </c>
      <c r="E9" s="50">
        <v>0.3298611111111111</v>
      </c>
      <c r="F9" s="51">
        <f>[17]November_2016!$J13</f>
        <v>264.3</v>
      </c>
      <c r="G9" s="52">
        <f>SUM([16]November_2016!$F13)</f>
        <v>3753</v>
      </c>
      <c r="H9" s="51">
        <f>[17]November_2016!$K13</f>
        <v>261.94799999999998</v>
      </c>
      <c r="I9" s="53">
        <f>SUM([16]November_2016!$N13)</f>
        <v>29</v>
      </c>
      <c r="J9" s="54">
        <f>SUM([16]November_2016!$Q13)</f>
        <v>354.61417322834643</v>
      </c>
      <c r="K9" s="54">
        <f>SUM([16]November_2016!$E13)</f>
        <v>635</v>
      </c>
      <c r="L9" s="134">
        <v>0.9291666666666667</v>
      </c>
      <c r="M9" s="54">
        <f>SUM([16]November_2016!$M13)</f>
        <v>556</v>
      </c>
      <c r="N9" s="54">
        <f>SUM([16]November_2016!$H13)</f>
        <v>0</v>
      </c>
      <c r="O9" s="55">
        <f>SUM([16]November_2016!$P13)</f>
        <v>0.88989784335983046</v>
      </c>
      <c r="P9" s="54"/>
      <c r="Q9" s="66">
        <f>(G9)/(15*15000*(1/24))</f>
        <v>0.40032000000000001</v>
      </c>
      <c r="R9" s="136"/>
      <c r="S9" s="129">
        <f>(G9)*24/(K9/60)/15000</f>
        <v>0.5673826771653544</v>
      </c>
      <c r="T9" s="129">
        <f>(H9+H12)*24/(M9/60)/15000</f>
        <v>0.13400287769784172</v>
      </c>
      <c r="U9" s="131">
        <f>(G9)*24/(K9/60)/17000</f>
        <v>0.50063177396943026</v>
      </c>
      <c r="V9" s="24" t="s">
        <v>334</v>
      </c>
    </row>
    <row r="10" spans="2:22" s="19" customFormat="1" ht="33" x14ac:dyDescent="0.2">
      <c r="B10" s="1213">
        <v>42682</v>
      </c>
      <c r="C10" s="48" t="s">
        <v>29</v>
      </c>
      <c r="D10" s="49"/>
      <c r="E10" s="1217">
        <v>0.40625</v>
      </c>
      <c r="F10" s="51">
        <f>[17]November_2016!$J14</f>
        <v>225.5</v>
      </c>
      <c r="G10" s="52">
        <f>SUM([16]November_2016!$F14)</f>
        <v>3404</v>
      </c>
      <c r="H10" s="51">
        <f>[17]November_2016!$K14</f>
        <v>224.66400000000002</v>
      </c>
      <c r="I10" s="53">
        <f>SUM([16]November_2016!$N14)</f>
        <v>9.75</v>
      </c>
      <c r="J10" s="1223">
        <f>SUM([16]November_2016!$Q14)</f>
        <v>432.88590604026842</v>
      </c>
      <c r="K10" s="1223">
        <f>SUM([16]November_2016!$E14)</f>
        <v>894</v>
      </c>
      <c r="L10" s="1247">
        <v>0.98819444444444438</v>
      </c>
      <c r="M10" s="54">
        <f>SUM([16]November_2016!$M14)</f>
        <v>139</v>
      </c>
      <c r="N10" s="54">
        <f>SUM([16]November_2016!$H14)</f>
        <v>0</v>
      </c>
      <c r="O10" s="55">
        <f>SUM([16]November_2016!$P14)</f>
        <v>0.37073170731706623</v>
      </c>
      <c r="P10" s="54"/>
      <c r="Q10" s="1227">
        <f>(G10+G11)/(15*15000*(1/24))</f>
        <v>0.68799999999999994</v>
      </c>
      <c r="R10" s="56"/>
      <c r="S10" s="1039">
        <f>(G10+G11)*24/(K10/60)/15000</f>
        <v>0.69261744966442951</v>
      </c>
      <c r="T10" s="46">
        <f>(H10+H13)*24/(M10/60)/15000</f>
        <v>0.35162520863309354</v>
      </c>
      <c r="U10" s="1237">
        <f>(G10+G11)*24/(K10/60)/17000</f>
        <v>0.61113304382155542</v>
      </c>
      <c r="V10" s="24" t="s">
        <v>336</v>
      </c>
    </row>
    <row r="11" spans="2:22" s="19" customFormat="1" ht="20.25" x14ac:dyDescent="0.2">
      <c r="B11" s="1214"/>
      <c r="C11" s="48" t="s">
        <v>27</v>
      </c>
      <c r="D11" s="49">
        <v>3500</v>
      </c>
      <c r="E11" s="1218"/>
      <c r="F11" s="51">
        <f>[17]November_2016!$J15</f>
        <v>201.60000000000002</v>
      </c>
      <c r="G11" s="52">
        <f>SUM([16]November_2016!$F15)</f>
        <v>3046</v>
      </c>
      <c r="H11" s="51">
        <f>[17]November_2016!$K15</f>
        <v>201.036</v>
      </c>
      <c r="I11" s="53">
        <f>SUM([16]November_2016!$N15)</f>
        <v>8.25</v>
      </c>
      <c r="J11" s="1224"/>
      <c r="K11" s="1224"/>
      <c r="L11" s="1248"/>
      <c r="M11" s="54">
        <f>SUM([16]November_2016!$M15)</f>
        <v>21</v>
      </c>
      <c r="N11" s="54">
        <f>SUM([16]November_2016!$H15)</f>
        <v>0</v>
      </c>
      <c r="O11" s="55">
        <f>SUM([16]November_2016!$P15)</f>
        <v>0.27976190476191531</v>
      </c>
      <c r="P11" s="54"/>
      <c r="Q11" s="1228"/>
      <c r="R11" s="56"/>
      <c r="S11" s="1040"/>
      <c r="T11" s="46"/>
      <c r="U11" s="1239"/>
      <c r="V11" s="24" t="s">
        <v>335</v>
      </c>
    </row>
    <row r="12" spans="2:22" s="19" customFormat="1" ht="27.75" customHeight="1" x14ac:dyDescent="0.2">
      <c r="B12" s="137">
        <v>42683</v>
      </c>
      <c r="C12" s="48" t="s">
        <v>27</v>
      </c>
      <c r="D12" s="49">
        <v>7000</v>
      </c>
      <c r="E12" s="50">
        <v>0.32291666666666669</v>
      </c>
      <c r="F12" s="51">
        <f>[17]November_2016!$J16</f>
        <v>515.90000000000009</v>
      </c>
      <c r="G12" s="52">
        <f>SUM([16]November_2016!$F16)</f>
        <v>7747</v>
      </c>
      <c r="H12" s="51">
        <f>[17]November_2016!$K16</f>
        <v>514.15200000000004</v>
      </c>
      <c r="I12" s="53">
        <f>SUM([16]November_2016!$N16)</f>
        <v>29.75</v>
      </c>
      <c r="J12" s="54">
        <f>SUM([16]November_2016!$Q16)</f>
        <v>505.78890097932538</v>
      </c>
      <c r="K12" s="54">
        <f>SUM([16]November_2016!$E16)</f>
        <v>919</v>
      </c>
      <c r="L12" s="134">
        <v>1.0062499999999999</v>
      </c>
      <c r="M12" s="54">
        <f>SUM([16]November_2016!$M16)</f>
        <v>70</v>
      </c>
      <c r="N12" s="54">
        <f>SUM([16]November_2016!$H16)</f>
        <v>0</v>
      </c>
      <c r="O12" s="55">
        <f>SUM([16]November_2016!$P16)</f>
        <v>0.33882535375073597</v>
      </c>
      <c r="P12" s="54"/>
      <c r="Q12" s="66">
        <f>(G12)/(15.15*15000*(1/24))</f>
        <v>0.81816501650165019</v>
      </c>
      <c r="R12" s="136"/>
      <c r="S12" s="129">
        <f>(G12)*24/(K12/60)/15000</f>
        <v>0.8092622415669205</v>
      </c>
      <c r="T12" s="129">
        <f>(H12+H15)*24/(M12/60)/15000</f>
        <v>1.0658221714285714</v>
      </c>
      <c r="U12" s="131">
        <f>(G12)*24/(K12/60)/17000</f>
        <v>0.7140549190296358</v>
      </c>
      <c r="V12" s="24" t="s">
        <v>338</v>
      </c>
    </row>
    <row r="13" spans="2:22" s="19" customFormat="1" ht="66" x14ac:dyDescent="0.2">
      <c r="B13" s="137">
        <v>42684</v>
      </c>
      <c r="C13" s="48" t="s">
        <v>42</v>
      </c>
      <c r="D13" s="49">
        <v>4200</v>
      </c>
      <c r="E13" s="50">
        <v>0.32222222222222224</v>
      </c>
      <c r="F13" s="51">
        <f>[17]November_2016!$J17</f>
        <v>287.59999999999997</v>
      </c>
      <c r="G13" s="52">
        <f>SUM([16]November_2016!$F17)</f>
        <v>4310</v>
      </c>
      <c r="H13" s="51">
        <f>[17]November_2016!$K17</f>
        <v>284.46000000000004</v>
      </c>
      <c r="I13" s="53">
        <f>SUM([16]November_2016!$N17)</f>
        <v>15</v>
      </c>
      <c r="J13" s="54">
        <f>SUM([16]November_2016!$Q17)</f>
        <v>478.00369685767095</v>
      </c>
      <c r="K13" s="54">
        <f>SUM([16]November_2016!$E17)</f>
        <v>541</v>
      </c>
      <c r="L13" s="134">
        <v>0.78194444444444444</v>
      </c>
      <c r="M13" s="54">
        <f>SUM([16]November_2016!$M17)</f>
        <v>108</v>
      </c>
      <c r="N13" s="54">
        <f>SUM([16]November_2016!$H17)</f>
        <v>63</v>
      </c>
      <c r="O13" s="55">
        <f>SUM([16]November_2016!$P17)</f>
        <v>1.0917941585535222</v>
      </c>
      <c r="P13" s="54"/>
      <c r="Q13" s="66">
        <f>(G13)/(9.833*15000*(1/24))</f>
        <v>0.70131190887826711</v>
      </c>
      <c r="R13" s="136"/>
      <c r="S13" s="129">
        <f>(G13)*24/(K13/60)/15000</f>
        <v>0.76480591497227346</v>
      </c>
      <c r="T13" s="129">
        <f>(H13+H16)*24/(M13/60)/15000</f>
        <v>0.44988977777777783</v>
      </c>
      <c r="U13" s="131">
        <f>(G13)*24/(K13/60)/17000</f>
        <v>0.67482874850494723</v>
      </c>
      <c r="V13" s="24" t="s">
        <v>339</v>
      </c>
    </row>
    <row r="14" spans="2:22" s="19" customFormat="1" ht="33" x14ac:dyDescent="0.2">
      <c r="B14" s="137">
        <v>42685</v>
      </c>
      <c r="C14" s="48" t="s">
        <v>45</v>
      </c>
      <c r="D14" s="49">
        <v>1800</v>
      </c>
      <c r="E14" s="50">
        <v>0.32847222222222222</v>
      </c>
      <c r="F14" s="51">
        <f>[17]November_2016!$J18</f>
        <v>118.8</v>
      </c>
      <c r="G14" s="52">
        <f>SUM([16]November_2016!$F18)</f>
        <v>1799</v>
      </c>
      <c r="H14" s="51">
        <f>[17]November_2016!$K18</f>
        <v>118.73400000000001</v>
      </c>
      <c r="I14" s="53">
        <f>SUM([16]November_2016!$N18)</f>
        <v>6.5</v>
      </c>
      <c r="J14" s="54">
        <f>SUM([16]November_2016!$Q18)</f>
        <v>267.84119106699751</v>
      </c>
      <c r="K14" s="54">
        <f>SUM([16]November_2016!$E18)</f>
        <v>403</v>
      </c>
      <c r="L14" s="134">
        <v>0.65</v>
      </c>
      <c r="M14" s="54">
        <f>SUM([16]November_2016!$M18)</f>
        <v>181</v>
      </c>
      <c r="N14" s="54">
        <f>SUM([16]November_2016!$H18)</f>
        <v>0</v>
      </c>
      <c r="O14" s="55">
        <f>SUM([16]November_2016!$P18)</f>
        <v>5.5555555555545699E-2</v>
      </c>
      <c r="P14" s="54"/>
      <c r="Q14" s="66">
        <f>(G14)/(8*15000*(1/24))</f>
        <v>0.35980000000000001</v>
      </c>
      <c r="R14" s="136"/>
      <c r="S14" s="129">
        <f>(G14)*24/(K14/60)/15000</f>
        <v>0.42854590570719603</v>
      </c>
      <c r="T14" s="129">
        <f>(H14+H17)*24/(M14/60)/15000</f>
        <v>0.14737325966850831</v>
      </c>
      <c r="U14" s="131">
        <f>(G14)*24/(K14/60)/17000</f>
        <v>0.37812874032987887</v>
      </c>
      <c r="V14" s="24" t="s">
        <v>340</v>
      </c>
    </row>
    <row r="15" spans="2:22" s="19" customFormat="1" ht="33" x14ac:dyDescent="0.2">
      <c r="B15" s="1213">
        <v>42688</v>
      </c>
      <c r="C15" s="48" t="s">
        <v>29</v>
      </c>
      <c r="D15" s="49">
        <v>3600</v>
      </c>
      <c r="E15" s="1217">
        <v>0.31666666666666665</v>
      </c>
      <c r="F15" s="51">
        <f>[17]November_2016!$J19</f>
        <v>263.89999999999998</v>
      </c>
      <c r="G15" s="52">
        <f>SUM([16]November_2016!$F19)</f>
        <v>3985</v>
      </c>
      <c r="H15" s="51">
        <f>[17]November_2016!$K19</f>
        <v>263.01</v>
      </c>
      <c r="I15" s="53">
        <f>SUM([16]November_2016!$N19)</f>
        <v>18.75</v>
      </c>
      <c r="J15" s="1223">
        <f>SUM([16]November_2016!$Q19)</f>
        <v>484.11960132890363</v>
      </c>
      <c r="K15" s="1223">
        <f>SUM([16]November_2016!$E19)</f>
        <v>903</v>
      </c>
      <c r="L15" s="1247">
        <v>0.99097222222222225</v>
      </c>
      <c r="M15" s="54">
        <f>SUM([16]November_2016!$M19)</f>
        <v>79</v>
      </c>
      <c r="N15" s="54">
        <f>SUM([16]November_2016!$H19)</f>
        <v>0</v>
      </c>
      <c r="O15" s="55">
        <f>SUM([16]November_2016!$P19)</f>
        <v>0.33724895793860798</v>
      </c>
      <c r="P15" s="54"/>
      <c r="Q15" s="1227">
        <f>(G15+G16)/(15*15000*(1/24))</f>
        <v>0.77717333333333338</v>
      </c>
      <c r="R15" s="56"/>
      <c r="S15" s="1039">
        <f>(G15+G16)*24/(K15/60)/15000</f>
        <v>0.7745913621262458</v>
      </c>
      <c r="T15" s="46">
        <f>(H15+H18)*24/(M15/60)/15000</f>
        <v>0.52308091139240509</v>
      </c>
      <c r="U15" s="1237">
        <f>(G15+G16)*24/(K15/60)/17000</f>
        <v>0.68346296658198158</v>
      </c>
      <c r="V15" s="24" t="s">
        <v>341</v>
      </c>
    </row>
    <row r="16" spans="2:22" s="19" customFormat="1" ht="20.25" x14ac:dyDescent="0.2">
      <c r="B16" s="1214"/>
      <c r="C16" s="48" t="s">
        <v>27</v>
      </c>
      <c r="D16" s="49">
        <v>3100</v>
      </c>
      <c r="E16" s="1218"/>
      <c r="F16" s="51">
        <f>[17]November_2016!$J20</f>
        <v>222.89999999999998</v>
      </c>
      <c r="G16" s="52">
        <f>SUM([16]November_2016!$F20)</f>
        <v>3301</v>
      </c>
      <c r="H16" s="51">
        <f>[17]November_2016!$K20</f>
        <v>221.66600000000003</v>
      </c>
      <c r="I16" s="53">
        <f>SUM([16]November_2016!$N20)</f>
        <v>11.83</v>
      </c>
      <c r="J16" s="1224"/>
      <c r="K16" s="1224"/>
      <c r="L16" s="1248"/>
      <c r="M16" s="54">
        <f>SUM([16]November_2016!$M20)</f>
        <v>41</v>
      </c>
      <c r="N16" s="54">
        <f>SUM([16]November_2016!$H20)</f>
        <v>0</v>
      </c>
      <c r="O16" s="55">
        <f>SUM([16]November_2016!$P20)</f>
        <v>0.99776686020542749</v>
      </c>
      <c r="P16" s="54"/>
      <c r="Q16" s="1228"/>
      <c r="R16" s="56"/>
      <c r="S16" s="1040"/>
      <c r="T16" s="46"/>
      <c r="U16" s="1239"/>
      <c r="V16" s="24" t="s">
        <v>342</v>
      </c>
    </row>
    <row r="17" spans="2:22" s="19" customFormat="1" ht="33" x14ac:dyDescent="0.2">
      <c r="B17" s="1213">
        <v>42689</v>
      </c>
      <c r="C17" s="48" t="s">
        <v>27</v>
      </c>
      <c r="D17" s="49">
        <v>2500</v>
      </c>
      <c r="E17" s="1217">
        <v>0.31458333333333333</v>
      </c>
      <c r="F17" s="51">
        <f>[17]November_2016!$J21</f>
        <v>160.19999999999999</v>
      </c>
      <c r="G17" s="52">
        <f>SUM([16]November_2016!$F21)</f>
        <v>2411</v>
      </c>
      <c r="H17" s="51">
        <f>[17]November_2016!$K21</f>
        <v>159.126</v>
      </c>
      <c r="I17" s="53">
        <f>SUM([16]November_2016!$N21)</f>
        <v>15</v>
      </c>
      <c r="J17" s="1223">
        <f>SUM([16]November_2016!$Q21)</f>
        <v>457.44221879815103</v>
      </c>
      <c r="K17" s="1223">
        <f>SUM([16]November_2016!$E21)</f>
        <v>649</v>
      </c>
      <c r="L17" s="1247">
        <v>0.95486111111111116</v>
      </c>
      <c r="M17" s="54">
        <f>SUM([16]November_2016!$M21)</f>
        <v>57</v>
      </c>
      <c r="N17" s="54">
        <f>SUM([16]November_2016!$H21)</f>
        <v>0</v>
      </c>
      <c r="O17" s="55">
        <f>SUM([16]November_2016!$P21)</f>
        <v>0.67041198501871657</v>
      </c>
      <c r="P17" s="54"/>
      <c r="Q17" s="1227">
        <f>(G17+G18)/(15*15000*(1/24))</f>
        <v>0.52778666666666663</v>
      </c>
      <c r="R17" s="56"/>
      <c r="S17" s="1039">
        <f>(G17+G18)*24/(K17/60)/15000</f>
        <v>0.73190755007704167</v>
      </c>
      <c r="T17" s="46">
        <f>(H17+H20)*24/(M17/60)/15000</f>
        <v>0.83746357894736845</v>
      </c>
      <c r="U17" s="1237">
        <f>(G17+G18)*24/(K17/60)/17000</f>
        <v>0.64580077947974257</v>
      </c>
      <c r="V17" s="24" t="s">
        <v>344</v>
      </c>
    </row>
    <row r="18" spans="2:22" s="19" customFormat="1" ht="33" x14ac:dyDescent="0.2">
      <c r="B18" s="1214"/>
      <c r="C18" s="48" t="s">
        <v>131</v>
      </c>
      <c r="D18" s="49">
        <v>2800</v>
      </c>
      <c r="E18" s="1218"/>
      <c r="F18" s="51">
        <f>[17]November_2016!$J22</f>
        <v>168.89999999999998</v>
      </c>
      <c r="G18" s="52">
        <f>SUM([16]November_2016!$F22)</f>
        <v>2537</v>
      </c>
      <c r="H18" s="51">
        <f>[17]November_2016!$K22</f>
        <v>167.44200000000001</v>
      </c>
      <c r="I18" s="53">
        <f>SUM([16]November_2016!$N22)</f>
        <v>21.75</v>
      </c>
      <c r="J18" s="1224"/>
      <c r="K18" s="1224"/>
      <c r="L18" s="1248"/>
      <c r="M18" s="54">
        <f>SUM([16]November_2016!$M22)</f>
        <v>290</v>
      </c>
      <c r="N18" s="54">
        <f>SUM([16]November_2016!$H22)</f>
        <v>0</v>
      </c>
      <c r="O18" s="55">
        <f>SUM([16]November_2016!$P22)</f>
        <v>0.86323268206037318</v>
      </c>
      <c r="P18" s="54"/>
      <c r="Q18" s="1228"/>
      <c r="R18" s="56"/>
      <c r="S18" s="1040"/>
      <c r="T18" s="46"/>
      <c r="U18" s="1239"/>
      <c r="V18" s="24" t="s">
        <v>343</v>
      </c>
    </row>
    <row r="19" spans="2:22" s="19" customFormat="1" ht="33" x14ac:dyDescent="0.2">
      <c r="B19" s="137">
        <v>42690</v>
      </c>
      <c r="C19" s="48" t="s">
        <v>29</v>
      </c>
      <c r="D19" s="49">
        <v>5600</v>
      </c>
      <c r="E19" s="50">
        <v>0.42152777777777778</v>
      </c>
      <c r="F19" s="51">
        <f>[17]November_2016!$J23</f>
        <v>363.4</v>
      </c>
      <c r="G19" s="52">
        <f>SUM([16]November_2016!$F23)</f>
        <v>5199</v>
      </c>
      <c r="H19" s="51">
        <f>[17]November_2016!$K23</f>
        <v>362.13400000000001</v>
      </c>
      <c r="I19" s="53">
        <f>SUM([16]November_2016!$N23)</f>
        <v>15.16</v>
      </c>
      <c r="J19" s="54">
        <f>SUM([16]November_2016!$Q23)</f>
        <v>458.0616740088106</v>
      </c>
      <c r="K19" s="54">
        <f>SUM([16]November_2016!$E23)</f>
        <v>681</v>
      </c>
      <c r="L19" s="134">
        <v>0.90486111111111101</v>
      </c>
      <c r="M19" s="54">
        <f>SUM([16]November_2016!$M23)</f>
        <v>162</v>
      </c>
      <c r="N19" s="54">
        <f>SUM([16]November_2016!$H23)</f>
        <v>0</v>
      </c>
      <c r="O19" s="55">
        <f>SUM([16]November_2016!$P23)</f>
        <v>7.3399558498885964E-2</v>
      </c>
      <c r="P19" s="54"/>
      <c r="Q19" s="66">
        <f>(G19)/(12.767*15000*(1/24))</f>
        <v>0.65155478969217517</v>
      </c>
      <c r="R19" s="136"/>
      <c r="S19" s="129">
        <f>(G19)*24/(K19/60)/15000</f>
        <v>0.73289867841409695</v>
      </c>
      <c r="T19" s="129">
        <f>(H19+H22)*24/(M19/60)/15000</f>
        <v>0.26651555555555556</v>
      </c>
      <c r="U19" s="131">
        <f>(G19)*24/(K19/60)/17000</f>
        <v>0.64667530448302679</v>
      </c>
      <c r="V19" s="24" t="s">
        <v>345</v>
      </c>
    </row>
    <row r="20" spans="2:22" s="19" customFormat="1" ht="33" x14ac:dyDescent="0.2">
      <c r="B20" s="137">
        <v>42691</v>
      </c>
      <c r="C20" s="48" t="s">
        <v>346</v>
      </c>
      <c r="D20" s="49">
        <v>4900</v>
      </c>
      <c r="E20" s="50">
        <v>0.31180555555555556</v>
      </c>
      <c r="F20" s="51">
        <f>[17]November_2016!$J24</f>
        <v>340.7</v>
      </c>
      <c r="G20" s="52">
        <f>SUM([16]November_2016!$F24)</f>
        <v>5123</v>
      </c>
      <c r="H20" s="51">
        <f>[17]November_2016!$K24</f>
        <v>338.11799999999999</v>
      </c>
      <c r="I20" s="53">
        <f>SUM([16]November_2016!$N24)</f>
        <v>28.5</v>
      </c>
      <c r="J20" s="54">
        <f>SUM([16]November_2016!$Q24)</f>
        <v>520.98305084745755</v>
      </c>
      <c r="K20" s="54">
        <f>SUM([16]November_2016!$E24)</f>
        <v>590</v>
      </c>
      <c r="L20" s="134">
        <v>0.76944444444444438</v>
      </c>
      <c r="M20" s="54">
        <f>SUM([16]November_2016!$M24)</f>
        <v>46</v>
      </c>
      <c r="N20" s="54">
        <f>SUM([16]November_2016!$H24)</f>
        <v>0</v>
      </c>
      <c r="O20" s="55">
        <f>SUM([16]November_2016!$P24)</f>
        <v>0.75785148224244014</v>
      </c>
      <c r="P20" s="54"/>
      <c r="Q20" s="66">
        <f>(G20)/(9.667*15000*(1/24))</f>
        <v>0.84791558911761666</v>
      </c>
      <c r="R20" s="136"/>
      <c r="S20" s="129">
        <f>(G20)*24/(K20/60)/15000</f>
        <v>0.8335728813559321</v>
      </c>
      <c r="T20" s="129">
        <f>(H20+H23)*24/(M20/60)/15000</f>
        <v>0.89309426086956523</v>
      </c>
      <c r="U20" s="131">
        <f>(G20)*24/(K20/60)/17000</f>
        <v>0.73550548354935186</v>
      </c>
      <c r="V20" s="24" t="s">
        <v>347</v>
      </c>
    </row>
    <row r="21" spans="2:22" s="19" customFormat="1" ht="49.5" x14ac:dyDescent="0.2">
      <c r="B21" s="137">
        <v>42692</v>
      </c>
      <c r="C21" s="48" t="s">
        <v>31</v>
      </c>
      <c r="D21" s="49">
        <v>4000</v>
      </c>
      <c r="E21" s="50">
        <v>0.32708333333333334</v>
      </c>
      <c r="F21" s="51">
        <f>[17]November_2016!$J25</f>
        <v>311</v>
      </c>
      <c r="G21" s="52">
        <f>SUM([16]November_2016!$F25)</f>
        <v>4148</v>
      </c>
      <c r="H21" s="51">
        <f>[17]November_2016!$K25</f>
        <v>308.6112</v>
      </c>
      <c r="I21" s="53">
        <f>SUM([16]November_2016!$N25)</f>
        <v>23</v>
      </c>
      <c r="J21" s="54">
        <f>SUM([16]November_2016!$Q25)</f>
        <v>357.58620689655174</v>
      </c>
      <c r="K21" s="54">
        <f>SUM([16]November_2016!$E25)</f>
        <v>696</v>
      </c>
      <c r="L21" s="134">
        <v>0.85138888888888886</v>
      </c>
      <c r="M21" s="54">
        <f>SUM([16]November_2016!$M25)</f>
        <v>83</v>
      </c>
      <c r="N21" s="54">
        <f>SUM([16]November_2016!$H25)</f>
        <v>21</v>
      </c>
      <c r="O21" s="55">
        <f>SUM([16]November_2016!$P25)</f>
        <v>0.76810289389067632</v>
      </c>
      <c r="P21" s="54"/>
      <c r="Q21" s="66">
        <f>(G21)/(11.433*15000*(1/24))</f>
        <v>0.58049505816496105</v>
      </c>
      <c r="R21" s="136"/>
      <c r="S21" s="129">
        <f>(G21)*24/(K21/60)/15000</f>
        <v>0.57213793103448274</v>
      </c>
      <c r="T21" s="129">
        <f>(H21+H24)*24/(M21/60)/15000</f>
        <v>0.40628958072289156</v>
      </c>
      <c r="U21" s="131">
        <f>(G21)*24/(K21/60)/17000</f>
        <v>0.50482758620689649</v>
      </c>
      <c r="V21" s="24" t="s">
        <v>348</v>
      </c>
    </row>
    <row r="22" spans="2:22" s="19" customFormat="1" ht="49.5" x14ac:dyDescent="0.2">
      <c r="B22" s="1213">
        <v>42695</v>
      </c>
      <c r="C22" s="48" t="s">
        <v>88</v>
      </c>
      <c r="D22" s="1215">
        <v>4000</v>
      </c>
      <c r="E22" s="1217">
        <v>0.36180555555555555</v>
      </c>
      <c r="F22" s="51">
        <f>[17]November_2016!$J26</f>
        <v>90.4</v>
      </c>
      <c r="G22" s="52">
        <f>SUM([16]November_2016!$F26)</f>
        <v>1109</v>
      </c>
      <c r="H22" s="51">
        <f>[17]November_2016!$K26</f>
        <v>87.611000000000004</v>
      </c>
      <c r="I22" s="53">
        <f>SUM([16]November_2016!$N26)</f>
        <v>3.75</v>
      </c>
      <c r="J22" s="1223">
        <f>SUM([16]November_2016!$Q26)</f>
        <v>350.99099099099101</v>
      </c>
      <c r="K22" s="1223">
        <f>SUM([16]November_2016!$E26)</f>
        <v>666</v>
      </c>
      <c r="L22" s="1247">
        <v>0.8354166666666667</v>
      </c>
      <c r="M22" s="54">
        <f>SUM([16]November_2016!$M26)</f>
        <v>94</v>
      </c>
      <c r="N22" s="54">
        <f>SUM([16]November_2016!$H26)</f>
        <v>0</v>
      </c>
      <c r="O22" s="55">
        <f>SUM([16]November_2016!$P26)</f>
        <v>3.0851769911504441</v>
      </c>
      <c r="P22" s="54"/>
      <c r="Q22" s="1227">
        <f>(G22+G23+G24+G25+G26)/(11*15000*(1/24))</f>
        <v>0.56669090909090913</v>
      </c>
      <c r="R22" s="136"/>
      <c r="S22" s="1039">
        <f>(G22+G23+G24+G25+G26)*24/(K22/60)/15000</f>
        <v>0.56158558558558558</v>
      </c>
      <c r="T22" s="129">
        <f>(H22+H25)*24/(M22/60)/15000</f>
        <v>0.13610859574468084</v>
      </c>
      <c r="U22" s="1237">
        <f>(G22+G23+G24+G25+G26)*24/(K22/60)/17000</f>
        <v>0.49551669316375196</v>
      </c>
      <c r="V22" s="24" t="s">
        <v>349</v>
      </c>
    </row>
    <row r="23" spans="2:22" s="19" customFormat="1" ht="20.25" x14ac:dyDescent="0.2">
      <c r="B23" s="1233"/>
      <c r="C23" s="48" t="s">
        <v>89</v>
      </c>
      <c r="D23" s="1242"/>
      <c r="E23" s="1234"/>
      <c r="F23" s="51">
        <f>[17]November_2016!$J27</f>
        <v>90.4</v>
      </c>
      <c r="G23" s="52">
        <f>SUM([16]November_2016!$F27)</f>
        <v>1137</v>
      </c>
      <c r="H23" s="51">
        <f>[17]November_2016!$K27</f>
        <v>89.823000000000008</v>
      </c>
      <c r="I23" s="53">
        <f>SUM([16]November_2016!$N27)</f>
        <v>1</v>
      </c>
      <c r="J23" s="1235"/>
      <c r="K23" s="1235"/>
      <c r="L23" s="1255"/>
      <c r="M23" s="54">
        <f>SUM([16]November_2016!$M27)</f>
        <v>31</v>
      </c>
      <c r="N23" s="54">
        <f>SUM([16]November_2016!$H27)</f>
        <v>0</v>
      </c>
      <c r="O23" s="55">
        <f>SUM([16]November_2016!$P27)</f>
        <v>0.63827433628318386</v>
      </c>
      <c r="P23" s="54"/>
      <c r="Q23" s="1236"/>
      <c r="R23" s="56"/>
      <c r="S23" s="1041"/>
      <c r="T23" s="46"/>
      <c r="U23" s="1238"/>
      <c r="V23" s="24" t="s">
        <v>350</v>
      </c>
    </row>
    <row r="24" spans="2:22" s="19" customFormat="1" ht="20.25" x14ac:dyDescent="0.2">
      <c r="B24" s="1233"/>
      <c r="C24" s="48" t="s">
        <v>150</v>
      </c>
      <c r="D24" s="1242"/>
      <c r="E24" s="1234"/>
      <c r="F24" s="51">
        <f>[17]November_2016!$J28</f>
        <v>45.2</v>
      </c>
      <c r="G24" s="52">
        <f>SUM([16]November_2016!$F28)</f>
        <v>540</v>
      </c>
      <c r="H24" s="51">
        <f>[17]November_2016!$K28</f>
        <v>42.660000000000004</v>
      </c>
      <c r="I24" s="53">
        <f>SUM([16]November_2016!$N28)</f>
        <v>1.75</v>
      </c>
      <c r="J24" s="1235"/>
      <c r="K24" s="1235"/>
      <c r="L24" s="1255"/>
      <c r="M24" s="54">
        <f>SUM([16]November_2016!$M28)</f>
        <v>27</v>
      </c>
      <c r="N24" s="54">
        <f>SUM([16]November_2016!$H28)</f>
        <v>0</v>
      </c>
      <c r="O24" s="55">
        <f>SUM([16]November_2016!$P28)</f>
        <v>5.6194690265486704</v>
      </c>
      <c r="P24" s="54"/>
      <c r="Q24" s="1236"/>
      <c r="R24" s="56"/>
      <c r="S24" s="1041"/>
      <c r="T24" s="46"/>
      <c r="U24" s="1238"/>
      <c r="V24" s="24" t="s">
        <v>351</v>
      </c>
    </row>
    <row r="25" spans="2:22" s="19" customFormat="1" ht="20.25" x14ac:dyDescent="0.2">
      <c r="B25" s="1233"/>
      <c r="C25" s="48" t="s">
        <v>152</v>
      </c>
      <c r="D25" s="1242"/>
      <c r="E25" s="1234"/>
      <c r="F25" s="51">
        <f>[17]November_2016!$J29</f>
        <v>46.781999999999996</v>
      </c>
      <c r="G25" s="52">
        <f>SUM([16]November_2016!$F29)</f>
        <v>578</v>
      </c>
      <c r="H25" s="51">
        <f>[17]November_2016!$K29</f>
        <v>45.661999999999999</v>
      </c>
      <c r="I25" s="53">
        <f>SUM([16]November_2016!$N29)</f>
        <v>1.5</v>
      </c>
      <c r="J25" s="1235"/>
      <c r="K25" s="1235"/>
      <c r="L25" s="1255"/>
      <c r="M25" s="54">
        <f>SUM([16]November_2016!$M29)</f>
        <v>26</v>
      </c>
      <c r="N25" s="54">
        <f>SUM([16]November_2016!$H29)</f>
        <v>0</v>
      </c>
      <c r="O25" s="55">
        <f>SUM([16]November_2016!$P29)</f>
        <v>2.3940831943909999</v>
      </c>
      <c r="P25" s="54"/>
      <c r="Q25" s="1236"/>
      <c r="R25" s="56"/>
      <c r="S25" s="1041"/>
      <c r="T25" s="46"/>
      <c r="U25" s="1238"/>
      <c r="V25" s="24" t="s">
        <v>352</v>
      </c>
    </row>
    <row r="26" spans="2:22" s="19" customFormat="1" ht="20.25" x14ac:dyDescent="0.2">
      <c r="B26" s="1214"/>
      <c r="C26" s="48" t="s">
        <v>270</v>
      </c>
      <c r="D26" s="1216"/>
      <c r="E26" s="1218"/>
      <c r="F26" s="51">
        <f>[17]November_2016!$J30</f>
        <v>45.2</v>
      </c>
      <c r="G26" s="52">
        <f>SUM([16]November_2016!$F30)</f>
        <v>532</v>
      </c>
      <c r="H26" s="51">
        <f>[17]November_2016!$K30</f>
        <v>42.027999999999999</v>
      </c>
      <c r="I26" s="53">
        <f>SUM([16]November_2016!$N30)</f>
        <v>0</v>
      </c>
      <c r="J26" s="1224"/>
      <c r="K26" s="1224"/>
      <c r="L26" s="1248"/>
      <c r="M26" s="54">
        <f>SUM([16]November_2016!$M30)</f>
        <v>27</v>
      </c>
      <c r="N26" s="54">
        <f>SUM([16]November_2016!$H30)</f>
        <v>0</v>
      </c>
      <c r="O26" s="55">
        <f>SUM([16]November_2016!$P30)</f>
        <v>7.0176991150442571</v>
      </c>
      <c r="P26" s="54"/>
      <c r="Q26" s="1228"/>
      <c r="R26" s="56"/>
      <c r="S26" s="1040"/>
      <c r="T26" s="46"/>
      <c r="U26" s="1239"/>
      <c r="V26" s="24" t="s">
        <v>353</v>
      </c>
    </row>
    <row r="27" spans="2:22" s="19" customFormat="1" ht="82.5" x14ac:dyDescent="0.2">
      <c r="B27" s="137">
        <v>42696</v>
      </c>
      <c r="C27" s="48" t="s">
        <v>27</v>
      </c>
      <c r="D27" s="49">
        <v>4900</v>
      </c>
      <c r="E27" s="50">
        <v>0.33194444444444443</v>
      </c>
      <c r="F27" s="51">
        <f>[17]November_2016!$J31</f>
        <v>317.69999999999993</v>
      </c>
      <c r="G27" s="52">
        <f>SUM([16]November_2016!$F31)</f>
        <v>4722.75</v>
      </c>
      <c r="H27" s="51">
        <f>[17]November_2016!$K31</f>
        <v>315.51800000000003</v>
      </c>
      <c r="I27" s="53">
        <f>SUM([16]November_2016!$N31)</f>
        <v>22.25</v>
      </c>
      <c r="J27" s="54">
        <f>SUM([16]November_2016!$Q31)</f>
        <v>466.06085526315792</v>
      </c>
      <c r="K27" s="54">
        <f>SUM([16]November_2016!$E31)</f>
        <v>608</v>
      </c>
      <c r="L27" s="134">
        <v>0.80208333333333337</v>
      </c>
      <c r="M27" s="54">
        <f>SUM([16]November_2016!$M31)</f>
        <v>141</v>
      </c>
      <c r="N27" s="54">
        <f>SUM([16]November_2016!$H31)</f>
        <v>0</v>
      </c>
      <c r="O27" s="55">
        <f>SUM([16]November_2016!$P31)</f>
        <v>0.69200503619764264</v>
      </c>
      <c r="P27" s="54"/>
      <c r="Q27" s="66">
        <f>(G27)/(9.967*15000*(1/24))</f>
        <v>0.75814186816494433</v>
      </c>
      <c r="R27" s="136"/>
      <c r="S27" s="129">
        <f>(G27)*24/(K27/60)/15000</f>
        <v>0.74569736842105272</v>
      </c>
      <c r="T27" s="129">
        <f>(H27+H30)*24/(M27/60)/15000</f>
        <v>0.39482961702127661</v>
      </c>
      <c r="U27" s="131">
        <f>(G27)*24/(K27/60)/17000</f>
        <v>0.65796826625386995</v>
      </c>
      <c r="V27" s="24" t="s">
        <v>354</v>
      </c>
    </row>
    <row r="28" spans="2:22" s="19" customFormat="1" ht="66" x14ac:dyDescent="0.2">
      <c r="B28" s="137">
        <v>42697</v>
      </c>
      <c r="C28" s="48" t="s">
        <v>27</v>
      </c>
      <c r="D28" s="49">
        <v>4900</v>
      </c>
      <c r="E28" s="50">
        <v>0.32083333333333336</v>
      </c>
      <c r="F28" s="51">
        <f>[17]November_2016!$J32</f>
        <v>406</v>
      </c>
      <c r="G28" s="52">
        <f>SUM([16]November_2016!$F32)</f>
        <v>6109</v>
      </c>
      <c r="H28" s="51">
        <f>[17]November_2016!$K32</f>
        <v>403.19400000000002</v>
      </c>
      <c r="I28" s="53">
        <f>SUM([16]November_2016!$N32)</f>
        <v>46.5</v>
      </c>
      <c r="J28" s="54">
        <f>SUM([16]November_2016!$Q32)</f>
        <v>583.66242038216558</v>
      </c>
      <c r="K28" s="54">
        <f>SUM([16]November_2016!$E32)</f>
        <v>628</v>
      </c>
      <c r="L28" s="134">
        <v>0.81319444444444444</v>
      </c>
      <c r="M28" s="54">
        <f>SUM([16]November_2016!$M32)</f>
        <v>52</v>
      </c>
      <c r="N28" s="54">
        <f>SUM([16]November_2016!$H32)</f>
        <v>0</v>
      </c>
      <c r="O28" s="55">
        <f>SUM([16]November_2016!$P32)</f>
        <v>0.6911330049261043</v>
      </c>
      <c r="P28" s="54"/>
      <c r="Q28" s="66">
        <f>(G28)/(10.3*15000*(1/24))</f>
        <v>0.94897087378640776</v>
      </c>
      <c r="R28" s="136"/>
      <c r="S28" s="129">
        <f>(G28)*24/(K28/60)/15000</f>
        <v>0.93385987261146497</v>
      </c>
      <c r="T28" s="129">
        <f>(H28+H31)*24/(M28/60)/15000</f>
        <v>1.1336566153846155</v>
      </c>
      <c r="U28" s="131">
        <f>(G28)*24/(K28/60)/17000</f>
        <v>0.82399400524541033</v>
      </c>
      <c r="V28" s="24" t="s">
        <v>355</v>
      </c>
    </row>
    <row r="29" spans="2:22" s="19" customFormat="1" ht="33" x14ac:dyDescent="0.2">
      <c r="B29" s="1213">
        <v>42698</v>
      </c>
      <c r="C29" s="48" t="s">
        <v>27</v>
      </c>
      <c r="D29" s="49">
        <v>3000</v>
      </c>
      <c r="E29" s="1217">
        <v>0.31944444444444448</v>
      </c>
      <c r="F29" s="51">
        <f>[17]November_2016!$J33</f>
        <v>130.89999999999998</v>
      </c>
      <c r="G29" s="52">
        <f>SUM([16]November_2016!$F33)</f>
        <v>1966</v>
      </c>
      <c r="H29" s="51">
        <f>[17]November_2016!$K33</f>
        <v>129.756</v>
      </c>
      <c r="I29" s="53">
        <f>SUM([16]November_2016!$N33)</f>
        <v>9.5</v>
      </c>
      <c r="J29" s="1223">
        <f>SUM([16]November_2016!$Q33)</f>
        <v>557.25490196078431</v>
      </c>
      <c r="K29" s="1223">
        <f>SUM([16]November_2016!$E33)</f>
        <v>612</v>
      </c>
      <c r="L29" s="1247">
        <v>0.79166666666666663</v>
      </c>
      <c r="M29" s="54">
        <f>SUM([16]November_2016!$M33)</f>
        <v>17</v>
      </c>
      <c r="N29" s="54">
        <f>SUM([16]November_2016!$H33)</f>
        <v>0</v>
      </c>
      <c r="O29" s="55">
        <f>SUM([16]November_2016!$P33)</f>
        <v>0.87394957983191535</v>
      </c>
      <c r="P29" s="54"/>
      <c r="Q29" s="1227">
        <f>(G29+G30)/(10.033*15000*(1/24))</f>
        <v>0.90644871922655235</v>
      </c>
      <c r="R29" s="56"/>
      <c r="S29" s="1039">
        <f>(G29+G30)*24/(K29/60)/15000</f>
        <v>0.89160784313725505</v>
      </c>
      <c r="T29" s="46">
        <f>(H29+H32)*24/(M29/60)/15000</f>
        <v>2.896512</v>
      </c>
      <c r="U29" s="1237">
        <f>(G29+G30)*24/(K29/60)/17000</f>
        <v>0.78671280276816624</v>
      </c>
      <c r="V29" s="24" t="s">
        <v>357</v>
      </c>
    </row>
    <row r="30" spans="2:22" s="19" customFormat="1" ht="49.5" x14ac:dyDescent="0.2">
      <c r="B30" s="1214"/>
      <c r="C30" s="48" t="s">
        <v>29</v>
      </c>
      <c r="D30" s="49">
        <v>3100</v>
      </c>
      <c r="E30" s="1218"/>
      <c r="F30" s="51">
        <f>[17]November_2016!$J34</f>
        <v>266.59999999999997</v>
      </c>
      <c r="G30" s="52">
        <f>SUM([16]November_2016!$F34)</f>
        <v>3718</v>
      </c>
      <c r="H30" s="51">
        <f>[17]November_2016!$K34</f>
        <v>264.38800000000003</v>
      </c>
      <c r="I30" s="53">
        <f>SUM([16]November_2016!$N34)</f>
        <v>11.5</v>
      </c>
      <c r="J30" s="1224"/>
      <c r="K30" s="1224"/>
      <c r="L30" s="1248"/>
      <c r="M30" s="54">
        <f>SUM([16]November_2016!$M34)</f>
        <v>49</v>
      </c>
      <c r="N30" s="54">
        <f>SUM([16]November_2016!$H34)</f>
        <v>0</v>
      </c>
      <c r="O30" s="55">
        <f>SUM([16]November_2016!$P34)</f>
        <v>0.19328048320118674</v>
      </c>
      <c r="P30" s="54"/>
      <c r="Q30" s="1228"/>
      <c r="R30" s="56"/>
      <c r="S30" s="1040"/>
      <c r="T30" s="46"/>
      <c r="U30" s="1239"/>
      <c r="V30" s="24" t="s">
        <v>356</v>
      </c>
    </row>
    <row r="31" spans="2:22" s="19" customFormat="1" ht="49.5" x14ac:dyDescent="0.2">
      <c r="B31" s="137">
        <v>42699</v>
      </c>
      <c r="C31" s="48" t="s">
        <v>29</v>
      </c>
      <c r="D31" s="49">
        <v>3900</v>
      </c>
      <c r="E31" s="50">
        <v>0.35486111111111113</v>
      </c>
      <c r="F31" s="51">
        <f>[17]November_2016!$J35</f>
        <v>211.3</v>
      </c>
      <c r="G31" s="52">
        <f>SUM([16]November_2016!$F35)</f>
        <v>3195</v>
      </c>
      <c r="H31" s="51">
        <f>[17]November_2016!$K35</f>
        <v>210.87</v>
      </c>
      <c r="I31" s="53">
        <f>SUM([16]November_2016!$N35)</f>
        <v>10.5</v>
      </c>
      <c r="J31" s="54">
        <f>SUM([16]November_2016!$Q35)</f>
        <v>401.04602510460251</v>
      </c>
      <c r="K31" s="54">
        <f>SUM([16]November_2016!$E35)</f>
        <v>478</v>
      </c>
      <c r="L31" s="134">
        <v>0.72569444444444453</v>
      </c>
      <c r="M31" s="54">
        <f>SUM([16]November_2016!$M35)</f>
        <v>186</v>
      </c>
      <c r="N31" s="54">
        <f>SUM([16]November_2016!$H35)</f>
        <v>0</v>
      </c>
      <c r="O31" s="55">
        <f>SUM([16]November_2016!$P35)</f>
        <v>0.2035021296734533</v>
      </c>
      <c r="P31" s="54"/>
      <c r="Q31" s="66">
        <f>(G31)/(8.483*15000*(1/24))</f>
        <v>0.60261699870328889</v>
      </c>
      <c r="R31" s="136"/>
      <c r="S31" s="129">
        <f>(G31)*24/(K31/60)/15000</f>
        <v>0.64167364016736406</v>
      </c>
      <c r="T31" s="129">
        <f>(H31+H34)*24/(M31/60)/15000</f>
        <v>0.25940129032258064</v>
      </c>
      <c r="U31" s="131">
        <f>(G31)*24/(K31/60)/17000</f>
        <v>0.56618262367708594</v>
      </c>
      <c r="V31" s="24" t="s">
        <v>358</v>
      </c>
    </row>
    <row r="32" spans="2:22" s="19" customFormat="1" ht="49.5" x14ac:dyDescent="0.2">
      <c r="B32" s="137">
        <v>42702</v>
      </c>
      <c r="C32" s="48" t="s">
        <v>27</v>
      </c>
      <c r="D32" s="49">
        <v>5600</v>
      </c>
      <c r="E32" s="50">
        <v>0.31527777777777777</v>
      </c>
      <c r="F32" s="51">
        <f>[17]November_2016!$J36</f>
        <v>383.8</v>
      </c>
      <c r="G32" s="52">
        <f>SUM([16]November_2016!$F36)</f>
        <v>5748</v>
      </c>
      <c r="H32" s="51">
        <f>[17]November_2016!$K36</f>
        <v>383.16800000000001</v>
      </c>
      <c r="I32" s="53">
        <f>SUM([16]November_2016!$N36)</f>
        <v>28</v>
      </c>
      <c r="J32" s="54">
        <f>SUM([16]November_2016!$Q36)</f>
        <v>538.875</v>
      </c>
      <c r="K32" s="54">
        <f>SUM([16]November_2016!$E36)</f>
        <v>640</v>
      </c>
      <c r="L32" s="134">
        <v>0.80625000000000002</v>
      </c>
      <c r="M32" s="54">
        <f>SUM([16]November_2016!$M36)</f>
        <v>86</v>
      </c>
      <c r="N32" s="54">
        <f>SUM([16]November_2016!$H36)</f>
        <v>0</v>
      </c>
      <c r="O32" s="55">
        <f>SUM([16]November_2016!$P36)</f>
        <v>0.16466909848879754</v>
      </c>
      <c r="P32" s="54"/>
      <c r="Q32" s="66">
        <f>(G32)/(10.5*15000*(1/24))</f>
        <v>0.87588571428571427</v>
      </c>
      <c r="R32" s="136"/>
      <c r="S32" s="129">
        <f>(G32)*24/(K32/60)/15000</f>
        <v>0.86219999999999997</v>
      </c>
      <c r="T32" s="129">
        <f>(H32+H35)*24/(M32/60)/15000</f>
        <v>0.4277224186046511</v>
      </c>
      <c r="U32" s="131">
        <f>(G32)*24/(K32/60)/17000</f>
        <v>0.7607647058823529</v>
      </c>
      <c r="V32" s="24" t="s">
        <v>359</v>
      </c>
    </row>
    <row r="33" spans="2:22" s="19" customFormat="1" ht="49.5" x14ac:dyDescent="0.2">
      <c r="B33" s="137">
        <v>42703</v>
      </c>
      <c r="C33" s="48" t="s">
        <v>29</v>
      </c>
      <c r="D33" s="49">
        <v>5600</v>
      </c>
      <c r="E33" s="50">
        <v>0.3125</v>
      </c>
      <c r="F33" s="51">
        <f>[17]November_2016!$J37</f>
        <v>384.1</v>
      </c>
      <c r="G33" s="52">
        <f>SUM([16]November_2016!$F37)</f>
        <v>5360</v>
      </c>
      <c r="H33" s="51">
        <f>[17]November_2016!$K37</f>
        <v>382.26</v>
      </c>
      <c r="I33" s="53">
        <f>SUM([16]November_2016!$N37)</f>
        <v>29.75</v>
      </c>
      <c r="J33" s="54">
        <f>SUM([16]November_2016!$Q37)</f>
        <v>520.38834951456306</v>
      </c>
      <c r="K33" s="54">
        <f>SUM([16]November_2016!$E37)</f>
        <v>618</v>
      </c>
      <c r="L33" s="134">
        <v>0.79236111111111107</v>
      </c>
      <c r="M33" s="54">
        <f>SUM([16]November_2016!$M37)</f>
        <v>85</v>
      </c>
      <c r="N33" s="54">
        <f>SUM([16]November_2016!$H37)</f>
        <v>0</v>
      </c>
      <c r="O33" s="55">
        <f>SUM([16]November_2016!$P37)</f>
        <v>0.42719458192238685</v>
      </c>
      <c r="P33" s="54"/>
      <c r="Q33" s="66">
        <f>(G33)/(10.013*15000*(1/24))</f>
        <v>0.85648656746229901</v>
      </c>
      <c r="R33" s="136"/>
      <c r="S33" s="129">
        <f>(G33)*24/(K33/60)/15000</f>
        <v>0.83262135922330094</v>
      </c>
      <c r="T33" s="129">
        <f>(H33+H36)*24/(M33/60)/15000</f>
        <v>0.43172894117647054</v>
      </c>
      <c r="U33" s="131">
        <f>(G33)*24/(K33/60)/17000</f>
        <v>0.73466590519703023</v>
      </c>
      <c r="V33" s="24" t="s">
        <v>360</v>
      </c>
    </row>
    <row r="34" spans="2:22" s="19" customFormat="1" ht="49.5" x14ac:dyDescent="0.2">
      <c r="B34" s="137">
        <v>42704</v>
      </c>
      <c r="C34" s="48" t="s">
        <v>33</v>
      </c>
      <c r="D34" s="49">
        <v>4200</v>
      </c>
      <c r="E34" s="50">
        <v>0.32083333333333336</v>
      </c>
      <c r="F34" s="51">
        <f>[17]November_2016!$J38</f>
        <v>293.5</v>
      </c>
      <c r="G34" s="52">
        <f>SUM([16]November_2016!$F38)</f>
        <v>4420.125</v>
      </c>
      <c r="H34" s="51">
        <f>[17]November_2016!$K38</f>
        <v>291.72000000000003</v>
      </c>
      <c r="I34" s="53">
        <f>SUM([16]November_2016!$N38)</f>
        <v>23.5</v>
      </c>
      <c r="J34" s="54">
        <f>[17]November_2016!$Q38</f>
        <v>442</v>
      </c>
      <c r="K34" s="54">
        <f>SUM([16]November_2016!$E38)</f>
        <v>600</v>
      </c>
      <c r="L34" s="134">
        <v>0.74305555555555547</v>
      </c>
      <c r="M34" s="54">
        <f>[17]November_2016!$M38</f>
        <v>113</v>
      </c>
      <c r="N34" s="54">
        <f>SUM([16]November_2016!$H38)</f>
        <v>0</v>
      </c>
      <c r="O34" s="55">
        <f>SUM([16]November_2016!$P38)</f>
        <v>0.60366269165246922</v>
      </c>
      <c r="P34" s="54"/>
      <c r="Q34" s="66">
        <f>(G34)/(9.833*15000*(1/24))</f>
        <v>0.71923116037831791</v>
      </c>
      <c r="R34" s="136"/>
      <c r="S34" s="129">
        <f>(G34)*24/(K34/60)/15000</f>
        <v>0.70721999999999996</v>
      </c>
      <c r="T34" s="129">
        <f>(H34+H37)*24/(M34/60)/15000</f>
        <v>0.24783292035398233</v>
      </c>
      <c r="U34" s="131">
        <f>(G34)*24/(K34/60)/17000</f>
        <v>0.62401764705882345</v>
      </c>
      <c r="V34" s="24" t="s">
        <v>361</v>
      </c>
    </row>
    <row r="35" spans="2:22" s="19" customFormat="1" ht="20.25" x14ac:dyDescent="0.2">
      <c r="B35" s="137"/>
      <c r="C35" s="48"/>
      <c r="D35" s="49"/>
      <c r="E35" s="50"/>
      <c r="F35" s="51"/>
      <c r="G35" s="52"/>
      <c r="H35" s="51"/>
      <c r="I35" s="53"/>
      <c r="J35" s="54"/>
      <c r="K35" s="54"/>
      <c r="L35" s="134"/>
      <c r="M35" s="54"/>
      <c r="N35" s="54"/>
      <c r="O35" s="55"/>
      <c r="P35" s="54"/>
      <c r="Q35" s="66"/>
      <c r="R35" s="56"/>
      <c r="S35" s="46"/>
      <c r="T35" s="46"/>
      <c r="U35" s="125"/>
      <c r="V35" s="24"/>
    </row>
    <row r="36" spans="2:22" s="19" customFormat="1" ht="20.25" x14ac:dyDescent="0.2">
      <c r="B36" s="137"/>
      <c r="C36" s="48"/>
      <c r="D36" s="49"/>
      <c r="E36" s="50"/>
      <c r="F36" s="51"/>
      <c r="G36" s="52"/>
      <c r="H36" s="51"/>
      <c r="I36" s="53"/>
      <c r="J36" s="54"/>
      <c r="K36" s="54"/>
      <c r="L36" s="134"/>
      <c r="M36" s="54"/>
      <c r="N36" s="54"/>
      <c r="O36" s="55"/>
      <c r="P36" s="54"/>
      <c r="Q36" s="66"/>
      <c r="R36" s="56"/>
      <c r="S36" s="46"/>
      <c r="T36" s="46"/>
      <c r="U36" s="125"/>
      <c r="V36" s="24"/>
    </row>
    <row r="37" spans="2:22" s="19" customFormat="1" ht="21" thickBot="1" x14ac:dyDescent="0.25">
      <c r="B37" s="137"/>
      <c r="C37" s="48"/>
      <c r="D37" s="49"/>
      <c r="E37" s="50"/>
      <c r="F37" s="51"/>
      <c r="G37" s="52"/>
      <c r="H37" s="51"/>
      <c r="I37" s="53"/>
      <c r="J37" s="54"/>
      <c r="K37" s="54"/>
      <c r="L37" s="134"/>
      <c r="M37" s="54"/>
      <c r="N37" s="54"/>
      <c r="O37" s="55"/>
      <c r="P37" s="54"/>
      <c r="Q37" s="66"/>
      <c r="R37" s="56"/>
      <c r="S37" s="46"/>
      <c r="T37" s="46"/>
      <c r="U37" s="125"/>
      <c r="V37" s="24"/>
    </row>
    <row r="38" spans="2:22" s="19" customFormat="1" ht="20.25" hidden="1" x14ac:dyDescent="0.2">
      <c r="B38" s="137"/>
      <c r="C38" s="48"/>
      <c r="D38" s="49"/>
      <c r="E38" s="50"/>
      <c r="F38" s="51"/>
      <c r="G38" s="52"/>
      <c r="H38" s="51"/>
      <c r="I38" s="53"/>
      <c r="J38" s="54"/>
      <c r="K38" s="54"/>
      <c r="L38" s="134"/>
      <c r="M38" s="54"/>
      <c r="N38" s="54" t="e">
        <f>[16]August_2016!$H42</f>
        <v>#REF!</v>
      </c>
      <c r="O38" s="55"/>
      <c r="P38" s="54"/>
      <c r="Q38" s="66"/>
      <c r="R38" s="56"/>
      <c r="S38" s="46"/>
      <c r="T38" s="46"/>
      <c r="U38" s="125"/>
      <c r="V38" s="24"/>
    </row>
    <row r="39" spans="2:22" s="19" customFormat="1" ht="20.25" hidden="1" x14ac:dyDescent="0.2">
      <c r="B39" s="137"/>
      <c r="C39" s="48"/>
      <c r="D39" s="49"/>
      <c r="E39" s="50"/>
      <c r="F39" s="51"/>
      <c r="G39" s="52"/>
      <c r="H39" s="51"/>
      <c r="I39" s="53"/>
      <c r="J39" s="54"/>
      <c r="K39" s="54"/>
      <c r="L39" s="134"/>
      <c r="M39" s="54"/>
      <c r="N39" s="54"/>
      <c r="O39" s="55"/>
      <c r="P39" s="54"/>
      <c r="Q39" s="66"/>
      <c r="R39" s="56"/>
      <c r="S39" s="46"/>
      <c r="T39" s="46"/>
      <c r="U39" s="125"/>
      <c r="V39" s="24"/>
    </row>
    <row r="40" spans="2:22" s="19" customFormat="1" ht="20.25" hidden="1" x14ac:dyDescent="0.2">
      <c r="B40" s="137"/>
      <c r="C40" s="48"/>
      <c r="D40" s="49"/>
      <c r="E40" s="50"/>
      <c r="F40" s="51"/>
      <c r="G40" s="52"/>
      <c r="H40" s="51"/>
      <c r="I40" s="53"/>
      <c r="J40" s="54"/>
      <c r="K40" s="54"/>
      <c r="L40" s="54"/>
      <c r="M40" s="54"/>
      <c r="N40" s="54"/>
      <c r="O40" s="55"/>
      <c r="P40" s="54"/>
      <c r="Q40" s="66"/>
      <c r="R40" s="56"/>
      <c r="S40" s="46"/>
      <c r="T40" s="46"/>
      <c r="U40" s="125"/>
      <c r="V40" s="24"/>
    </row>
    <row r="41" spans="2:22" s="19" customFormat="1" ht="20.25" hidden="1" x14ac:dyDescent="0.2">
      <c r="B41" s="137"/>
      <c r="C41" s="48"/>
      <c r="D41" s="49"/>
      <c r="E41" s="50"/>
      <c r="F41" s="51"/>
      <c r="G41" s="52"/>
      <c r="H41" s="51"/>
      <c r="I41" s="53"/>
      <c r="J41" s="54"/>
      <c r="K41" s="54"/>
      <c r="L41" s="54"/>
      <c r="M41" s="54"/>
      <c r="N41" s="54"/>
      <c r="O41" s="55"/>
      <c r="P41" s="54"/>
      <c r="Q41" s="66"/>
      <c r="R41" s="56"/>
      <c r="S41" s="46"/>
      <c r="T41" s="46"/>
      <c r="U41" s="125"/>
      <c r="V41" s="24"/>
    </row>
    <row r="42" spans="2:22" s="19" customFormat="1" ht="31.5" hidden="1" customHeight="1" x14ac:dyDescent="0.2">
      <c r="B42" s="137"/>
      <c r="C42" s="48"/>
      <c r="D42" s="49"/>
      <c r="E42" s="50"/>
      <c r="F42" s="51"/>
      <c r="G42" s="52"/>
      <c r="H42" s="51"/>
      <c r="I42" s="53"/>
      <c r="J42" s="54"/>
      <c r="K42" s="54"/>
      <c r="L42" s="54"/>
      <c r="M42" s="54"/>
      <c r="N42" s="54"/>
      <c r="O42" s="55"/>
      <c r="P42" s="54"/>
      <c r="Q42" s="66"/>
      <c r="R42" s="56"/>
      <c r="S42" s="46"/>
      <c r="T42" s="18"/>
      <c r="U42" s="126"/>
      <c r="V42" s="24"/>
    </row>
    <row r="43" spans="2:22" s="19" customFormat="1" ht="31.5" hidden="1" customHeight="1" x14ac:dyDescent="0.2">
      <c r="B43" s="137"/>
      <c r="C43" s="48"/>
      <c r="D43" s="49"/>
      <c r="E43" s="50"/>
      <c r="F43" s="51"/>
      <c r="G43" s="52"/>
      <c r="H43" s="51"/>
      <c r="I43" s="53"/>
      <c r="J43" s="54"/>
      <c r="K43" s="54"/>
      <c r="L43" s="54"/>
      <c r="M43" s="54"/>
      <c r="N43" s="54"/>
      <c r="O43" s="55"/>
      <c r="P43" s="54"/>
      <c r="Q43" s="66"/>
      <c r="R43" s="56"/>
      <c r="S43" s="46"/>
      <c r="T43" s="18"/>
      <c r="U43" s="126"/>
      <c r="V43" s="24"/>
    </row>
    <row r="44" spans="2:22" s="19" customFormat="1" ht="31.5" hidden="1" customHeight="1" x14ac:dyDescent="0.2">
      <c r="B44" s="137"/>
      <c r="C44" s="48"/>
      <c r="D44" s="49"/>
      <c r="E44" s="50"/>
      <c r="F44" s="51"/>
      <c r="G44" s="52"/>
      <c r="H44" s="51"/>
      <c r="I44" s="53"/>
      <c r="J44" s="54"/>
      <c r="K44" s="54"/>
      <c r="L44" s="54"/>
      <c r="M44" s="54"/>
      <c r="N44" s="54"/>
      <c r="O44" s="55"/>
      <c r="P44" s="54"/>
      <c r="Q44" s="66"/>
      <c r="R44" s="56"/>
      <c r="S44" s="46"/>
      <c r="T44" s="18"/>
      <c r="U44" s="126"/>
      <c r="V44" s="24"/>
    </row>
    <row r="45" spans="2:22" s="19" customFormat="1" ht="31.5" hidden="1" customHeight="1" x14ac:dyDescent="0.2">
      <c r="B45" s="137"/>
      <c r="C45" s="48"/>
      <c r="D45" s="49"/>
      <c r="E45" s="50"/>
      <c r="F45" s="51"/>
      <c r="G45" s="52"/>
      <c r="H45" s="51"/>
      <c r="I45" s="53"/>
      <c r="J45" s="54"/>
      <c r="K45" s="54"/>
      <c r="L45" s="54"/>
      <c r="M45" s="54"/>
      <c r="N45" s="54"/>
      <c r="O45" s="55"/>
      <c r="P45" s="54"/>
      <c r="Q45" s="66"/>
      <c r="R45" s="56"/>
      <c r="S45" s="46"/>
      <c r="T45" s="18"/>
      <c r="U45" s="126"/>
      <c r="V45" s="24"/>
    </row>
    <row r="46" spans="2:22" s="19" customFormat="1" ht="31.5" hidden="1" customHeight="1" x14ac:dyDescent="0.2">
      <c r="B46" s="137"/>
      <c r="C46" s="48"/>
      <c r="D46" s="49"/>
      <c r="E46" s="50"/>
      <c r="F46" s="51"/>
      <c r="G46" s="52"/>
      <c r="H46" s="51"/>
      <c r="I46" s="53"/>
      <c r="J46" s="54"/>
      <c r="K46" s="54"/>
      <c r="L46" s="54"/>
      <c r="M46" s="54"/>
      <c r="N46" s="54"/>
      <c r="O46" s="55"/>
      <c r="P46" s="54"/>
      <c r="Q46" s="66"/>
      <c r="R46" s="56"/>
      <c r="S46" s="46"/>
      <c r="T46" s="18"/>
      <c r="U46" s="126"/>
      <c r="V46" s="24"/>
    </row>
    <row r="47" spans="2:22" s="19" customFormat="1" ht="31.5" hidden="1" customHeight="1" x14ac:dyDescent="0.2">
      <c r="B47" s="137"/>
      <c r="C47" s="48"/>
      <c r="D47" s="49"/>
      <c r="E47" s="50"/>
      <c r="F47" s="51"/>
      <c r="G47" s="52"/>
      <c r="H47" s="51"/>
      <c r="I47" s="53"/>
      <c r="J47" s="54"/>
      <c r="K47" s="54"/>
      <c r="L47" s="54"/>
      <c r="M47" s="54"/>
      <c r="N47" s="54"/>
      <c r="O47" s="55"/>
      <c r="P47" s="54"/>
      <c r="Q47" s="66"/>
      <c r="R47" s="56"/>
      <c r="S47" s="46"/>
      <c r="T47" s="18"/>
      <c r="U47" s="126"/>
      <c r="V47" s="24"/>
    </row>
    <row r="48" spans="2:22" s="19" customFormat="1" ht="31.5" hidden="1" customHeight="1" x14ac:dyDescent="0.2">
      <c r="B48" s="137"/>
      <c r="C48" s="48"/>
      <c r="D48" s="49"/>
      <c r="E48" s="50"/>
      <c r="F48" s="51"/>
      <c r="G48" s="52"/>
      <c r="H48" s="51"/>
      <c r="I48" s="53"/>
      <c r="J48" s="54"/>
      <c r="K48" s="54"/>
      <c r="L48" s="54"/>
      <c r="M48" s="54"/>
      <c r="N48" s="54"/>
      <c r="O48" s="55"/>
      <c r="P48" s="54"/>
      <c r="Q48" s="66"/>
      <c r="R48" s="56"/>
      <c r="S48" s="46"/>
      <c r="T48" s="18"/>
      <c r="U48" s="126"/>
      <c r="V48" s="24"/>
    </row>
    <row r="49" spans="2:22" s="19" customFormat="1" ht="31.5" hidden="1" customHeight="1" x14ac:dyDescent="0.2">
      <c r="B49" s="137"/>
      <c r="C49" s="48"/>
      <c r="D49" s="49"/>
      <c r="E49" s="50"/>
      <c r="F49" s="51"/>
      <c r="G49" s="52"/>
      <c r="H49" s="51"/>
      <c r="I49" s="53"/>
      <c r="J49" s="54"/>
      <c r="K49" s="54"/>
      <c r="L49" s="54"/>
      <c r="M49" s="54"/>
      <c r="N49" s="54"/>
      <c r="O49" s="55"/>
      <c r="P49" s="54"/>
      <c r="Q49" s="66"/>
      <c r="R49" s="56"/>
      <c r="S49" s="46"/>
      <c r="T49" s="18"/>
      <c r="U49" s="126"/>
      <c r="V49" s="24"/>
    </row>
    <row r="50" spans="2:22" s="19" customFormat="1" ht="31.5" hidden="1" customHeight="1" x14ac:dyDescent="0.2">
      <c r="B50" s="137"/>
      <c r="C50" s="48"/>
      <c r="D50" s="49"/>
      <c r="E50" s="50"/>
      <c r="F50" s="51"/>
      <c r="G50" s="52"/>
      <c r="H50" s="51"/>
      <c r="I50" s="53"/>
      <c r="J50" s="54"/>
      <c r="K50" s="54"/>
      <c r="L50" s="54"/>
      <c r="M50" s="54"/>
      <c r="N50" s="54"/>
      <c r="O50" s="55"/>
      <c r="P50" s="54"/>
      <c r="Q50" s="66"/>
      <c r="R50" s="56"/>
      <c r="S50" s="46"/>
      <c r="T50" s="18"/>
      <c r="U50" s="126"/>
      <c r="V50" s="24"/>
    </row>
    <row r="51" spans="2:22" s="19" customFormat="1" ht="31.5" hidden="1" customHeight="1" x14ac:dyDescent="0.2">
      <c r="B51" s="137"/>
      <c r="C51" s="48"/>
      <c r="D51" s="49"/>
      <c r="E51" s="50"/>
      <c r="F51" s="51"/>
      <c r="G51" s="52"/>
      <c r="H51" s="51"/>
      <c r="I51" s="53"/>
      <c r="J51" s="54"/>
      <c r="K51" s="54"/>
      <c r="L51" s="54"/>
      <c r="M51" s="54"/>
      <c r="N51" s="54"/>
      <c r="O51" s="55"/>
      <c r="P51" s="54"/>
      <c r="Q51" s="66"/>
      <c r="R51" s="56"/>
      <c r="S51" s="46"/>
      <c r="T51" s="18"/>
      <c r="U51" s="126"/>
      <c r="V51" s="24"/>
    </row>
    <row r="52" spans="2:22" s="19" customFormat="1" ht="31.5" hidden="1" customHeight="1" x14ac:dyDescent="0.2">
      <c r="B52" s="137"/>
      <c r="C52" s="48"/>
      <c r="D52" s="49"/>
      <c r="E52" s="50"/>
      <c r="F52" s="51"/>
      <c r="G52" s="52"/>
      <c r="H52" s="51"/>
      <c r="I52" s="53"/>
      <c r="J52" s="54"/>
      <c r="K52" s="54"/>
      <c r="L52" s="54"/>
      <c r="M52" s="54"/>
      <c r="N52" s="54"/>
      <c r="O52" s="55"/>
      <c r="P52" s="54"/>
      <c r="Q52" s="66"/>
      <c r="R52" s="56"/>
      <c r="S52" s="46"/>
      <c r="T52" s="18"/>
      <c r="U52" s="126"/>
      <c r="V52" s="24"/>
    </row>
    <row r="53" spans="2:22" s="19" customFormat="1" ht="31.5" hidden="1" customHeight="1" x14ac:dyDescent="0.2">
      <c r="B53" s="137"/>
      <c r="C53" s="48"/>
      <c r="D53" s="49"/>
      <c r="E53" s="50"/>
      <c r="F53" s="51"/>
      <c r="G53" s="52"/>
      <c r="H53" s="51"/>
      <c r="I53" s="53"/>
      <c r="J53" s="54"/>
      <c r="K53" s="54"/>
      <c r="L53" s="54"/>
      <c r="M53" s="54"/>
      <c r="N53" s="54"/>
      <c r="O53" s="55"/>
      <c r="P53" s="54"/>
      <c r="Q53" s="66"/>
      <c r="R53" s="56"/>
      <c r="S53" s="46"/>
      <c r="T53" s="18"/>
      <c r="U53" s="126"/>
      <c r="V53" s="24"/>
    </row>
    <row r="54" spans="2:22" s="19" customFormat="1" ht="31.5" hidden="1" customHeight="1" x14ac:dyDescent="0.2">
      <c r="B54" s="137"/>
      <c r="C54" s="48"/>
      <c r="D54" s="49"/>
      <c r="E54" s="50"/>
      <c r="F54" s="51"/>
      <c r="G54" s="52"/>
      <c r="H54" s="51"/>
      <c r="I54" s="53"/>
      <c r="J54" s="54"/>
      <c r="K54" s="54"/>
      <c r="L54" s="54"/>
      <c r="M54" s="54"/>
      <c r="N54" s="54"/>
      <c r="O54" s="55"/>
      <c r="P54" s="54"/>
      <c r="Q54" s="66"/>
      <c r="R54" s="56"/>
      <c r="S54" s="46"/>
      <c r="T54" s="18"/>
      <c r="U54" s="126"/>
      <c r="V54" s="24"/>
    </row>
    <row r="55" spans="2:22" s="19" customFormat="1" ht="31.5" hidden="1" customHeight="1" x14ac:dyDescent="0.2">
      <c r="B55" s="137"/>
      <c r="C55" s="48"/>
      <c r="D55" s="49"/>
      <c r="E55" s="50"/>
      <c r="F55" s="51"/>
      <c r="G55" s="52"/>
      <c r="H55" s="51"/>
      <c r="I55" s="53"/>
      <c r="J55" s="54"/>
      <c r="K55" s="54"/>
      <c r="L55" s="54"/>
      <c r="M55" s="54"/>
      <c r="N55" s="54"/>
      <c r="O55" s="55"/>
      <c r="P55" s="54"/>
      <c r="Q55" s="66"/>
      <c r="R55" s="56"/>
      <c r="S55" s="46"/>
      <c r="T55" s="18" t="e">
        <f>G55*24/(K55/60)/15400</f>
        <v>#DIV/0!</v>
      </c>
      <c r="U55" s="126"/>
      <c r="V55" s="24"/>
    </row>
    <row r="56" spans="2:22" s="19" customFormat="1" ht="31.5" hidden="1" customHeight="1" x14ac:dyDescent="0.2">
      <c r="B56" s="137"/>
      <c r="C56" s="48"/>
      <c r="D56" s="49"/>
      <c r="E56" s="50"/>
      <c r="F56" s="51"/>
      <c r="G56" s="52"/>
      <c r="H56" s="51"/>
      <c r="I56" s="53"/>
      <c r="J56" s="54"/>
      <c r="K56" s="54"/>
      <c r="L56" s="54"/>
      <c r="M56" s="54"/>
      <c r="N56" s="67"/>
      <c r="O56" s="55"/>
      <c r="P56" s="54"/>
      <c r="Q56" s="66"/>
      <c r="R56" s="56"/>
      <c r="S56" s="46"/>
      <c r="T56" s="18" t="e">
        <f>G56*24/(K56/60)/15400</f>
        <v>#DIV/0!</v>
      </c>
      <c r="U56" s="126"/>
      <c r="V56" s="24"/>
    </row>
    <row r="57" spans="2:22" s="19" customFormat="1" ht="30" hidden="1" customHeight="1" x14ac:dyDescent="0.2">
      <c r="B57" s="137"/>
      <c r="C57" s="26"/>
      <c r="D57" s="27"/>
      <c r="E57" s="28"/>
      <c r="F57" s="29"/>
      <c r="G57" s="30"/>
      <c r="H57" s="29"/>
      <c r="I57" s="31"/>
      <c r="J57" s="32"/>
      <c r="K57" s="32"/>
      <c r="L57" s="32"/>
      <c r="M57" s="32"/>
      <c r="N57" s="32"/>
      <c r="O57" s="33"/>
      <c r="P57" s="32"/>
      <c r="Q57" s="46"/>
      <c r="R57" s="34"/>
      <c r="S57" s="46"/>
      <c r="T57" s="18"/>
      <c r="U57" s="126"/>
      <c r="V57" s="24"/>
    </row>
    <row r="58" spans="2:22" s="19" customFormat="1" ht="20.25" hidden="1" x14ac:dyDescent="0.2">
      <c r="B58" s="137"/>
      <c r="C58" s="26"/>
      <c r="D58" s="27"/>
      <c r="E58" s="28"/>
      <c r="F58" s="29"/>
      <c r="G58" s="30"/>
      <c r="H58" s="29"/>
      <c r="I58" s="31"/>
      <c r="J58" s="32"/>
      <c r="K58" s="32"/>
      <c r="L58" s="32"/>
      <c r="M58" s="32"/>
      <c r="N58" s="32"/>
      <c r="O58" s="33"/>
      <c r="P58" s="32"/>
      <c r="Q58" s="46"/>
      <c r="R58" s="34"/>
      <c r="S58" s="46"/>
      <c r="T58" s="18"/>
      <c r="U58" s="126"/>
      <c r="V58" s="24"/>
    </row>
    <row r="59" spans="2:22" s="19" customFormat="1" ht="21" hidden="1" thickBot="1" x14ac:dyDescent="0.25">
      <c r="B59" s="137"/>
      <c r="C59" s="75"/>
      <c r="D59" s="71"/>
      <c r="E59" s="73"/>
      <c r="F59" s="76"/>
      <c r="G59" s="77"/>
      <c r="H59" s="76"/>
      <c r="I59" s="78"/>
      <c r="J59" s="72"/>
      <c r="K59" s="72"/>
      <c r="L59" s="72"/>
      <c r="M59" s="72"/>
      <c r="N59" s="72"/>
      <c r="O59" s="79"/>
      <c r="P59" s="80"/>
      <c r="Q59" s="70"/>
      <c r="R59" s="81"/>
      <c r="S59" s="70"/>
      <c r="T59" s="82"/>
      <c r="U59" s="127"/>
      <c r="V59" s="83"/>
    </row>
    <row r="60" spans="2:22" s="19" customFormat="1" ht="21" customHeight="1" thickBot="1" x14ac:dyDescent="0.35">
      <c r="B60" s="35" t="s">
        <v>3</v>
      </c>
      <c r="C60" s="36"/>
      <c r="D60" s="57">
        <f>SUM(D4:D58)</f>
        <v>107400</v>
      </c>
      <c r="E60" s="58">
        <f>AVERAGE(E4:E58)</f>
        <v>0.33222853535353541</v>
      </c>
      <c r="F60" s="59">
        <f>SUM(F4:F58)</f>
        <v>7428.3820000000005</v>
      </c>
      <c r="G60" s="57">
        <f>SUM(G4:G58)</f>
        <v>108915.875</v>
      </c>
      <c r="H60" s="59">
        <f>SUM(H4:H58)</f>
        <v>7378.4472000000023</v>
      </c>
      <c r="I60" s="60">
        <f>SUM(I4:I58)</f>
        <v>505.49</v>
      </c>
      <c r="J60" s="61">
        <f>G60/(K60/60)</f>
        <v>450.56208632101493</v>
      </c>
      <c r="K60" s="57">
        <f>SUM(K4:K58)</f>
        <v>14504</v>
      </c>
      <c r="L60" s="135">
        <f>AVERAGE(L4:L59)</f>
        <v>0.84131944444444462</v>
      </c>
      <c r="M60" s="57">
        <f>SUM(M4:M58)</f>
        <v>3370</v>
      </c>
      <c r="N60" s="60">
        <v>84</v>
      </c>
      <c r="O60" s="87">
        <f>(F60-H60)/F60</f>
        <v>6.7221637228669952E-3</v>
      </c>
      <c r="P60" s="62">
        <f>SUM(P4:P58)</f>
        <v>0</v>
      </c>
      <c r="Q60" s="63">
        <f>AVERAGE(Q4:Q56)</f>
        <v>0.68426895181737601</v>
      </c>
      <c r="R60" s="64"/>
      <c r="S60" s="63">
        <f>(G60)*24/(K60/60)/15000</f>
        <v>0.72089933811362394</v>
      </c>
      <c r="T60" s="63">
        <f>H60*24/(M60/60)/15000</f>
        <v>0.2101872199406529</v>
      </c>
      <c r="U60" s="128">
        <f>(G60)*24/(K60/60)/17000</f>
        <v>0.63608765127672695</v>
      </c>
      <c r="V60" s="21"/>
    </row>
    <row r="61" spans="2:22" ht="18.75" customHeight="1" thickTop="1" x14ac:dyDescent="0.25">
      <c r="B61" s="11"/>
      <c r="C61" s="150" t="s">
        <v>35</v>
      </c>
      <c r="D61" s="42">
        <v>79300</v>
      </c>
      <c r="E61" s="1081" t="s">
        <v>337</v>
      </c>
      <c r="F61" s="1081"/>
      <c r="G61" s="42">
        <f>D61-G60</f>
        <v>-29615.875</v>
      </c>
      <c r="H61" s="150" t="s">
        <v>327</v>
      </c>
      <c r="I61" s="155">
        <f>G60/D61</f>
        <v>1.3734662673392182</v>
      </c>
      <c r="J61" s="151">
        <v>0</v>
      </c>
      <c r="K61" s="12"/>
      <c r="L61" s="12"/>
      <c r="M61" s="12"/>
      <c r="N61" s="13"/>
      <c r="O61" s="14"/>
      <c r="P61" s="12"/>
      <c r="Q61" s="15"/>
      <c r="R61" s="16"/>
      <c r="S61" s="15"/>
      <c r="T61" s="15"/>
      <c r="U61" s="15"/>
      <c r="V61" s="17" t="s">
        <v>48</v>
      </c>
    </row>
    <row r="62" spans="2:22" ht="18" customHeight="1" x14ac:dyDescent="0.25">
      <c r="B62" s="11"/>
      <c r="C62" s="150" t="s">
        <v>37</v>
      </c>
      <c r="D62" s="42">
        <f>D61+October_16!D62</f>
        <v>799710</v>
      </c>
      <c r="E62" s="1081" t="s">
        <v>36</v>
      </c>
      <c r="F62" s="1081"/>
      <c r="G62" s="42">
        <f>October_16!G62+November_16!G60</f>
        <v>888643.54166666674</v>
      </c>
      <c r="H62" s="153" t="s">
        <v>326</v>
      </c>
      <c r="I62" s="154">
        <v>0</v>
      </c>
      <c r="J62" s="152"/>
      <c r="K62" s="12">
        <v>0</v>
      </c>
      <c r="L62" s="12"/>
      <c r="M62" s="12"/>
      <c r="N62" s="13"/>
      <c r="O62" s="14"/>
      <c r="P62" s="12"/>
      <c r="Q62" s="15"/>
      <c r="R62" s="16"/>
      <c r="S62" s="15"/>
      <c r="T62" s="15"/>
      <c r="U62" s="15"/>
      <c r="V62" s="17"/>
    </row>
    <row r="63" spans="2:22" ht="6.75" customHeight="1" thickBot="1" x14ac:dyDescent="0.3">
      <c r="C63" s="23"/>
      <c r="D63" s="42"/>
      <c r="E63" s="1082"/>
      <c r="F63" s="1082"/>
      <c r="G63" s="42"/>
      <c r="H63" s="44"/>
      <c r="I63" s="44"/>
      <c r="J63" s="149"/>
      <c r="N63"/>
      <c r="Q63" s="10"/>
      <c r="V63" s="17"/>
    </row>
    <row r="64" spans="2:22" ht="48.75" customHeight="1" thickTop="1" x14ac:dyDescent="0.2">
      <c r="B64" s="7"/>
      <c r="C64" s="88" t="s">
        <v>19</v>
      </c>
      <c r="D64" s="89" t="s">
        <v>14</v>
      </c>
      <c r="E64" s="89" t="s">
        <v>23</v>
      </c>
      <c r="F64" s="89" t="s">
        <v>24</v>
      </c>
      <c r="G64" s="90" t="s">
        <v>15</v>
      </c>
      <c r="H64" s="89" t="s">
        <v>17</v>
      </c>
      <c r="I64" s="89" t="s">
        <v>16</v>
      </c>
      <c r="J64" s="91" t="s">
        <v>316</v>
      </c>
      <c r="N64"/>
      <c r="O64" s="141" t="s">
        <v>325</v>
      </c>
      <c r="P64" s="90" t="s">
        <v>320</v>
      </c>
      <c r="Q64" s="90" t="s">
        <v>321</v>
      </c>
      <c r="R64" s="142"/>
      <c r="S64" s="90" t="s">
        <v>323</v>
      </c>
      <c r="T64" s="142"/>
      <c r="U64" s="143" t="s">
        <v>324</v>
      </c>
    </row>
    <row r="65" spans="2:22" ht="18.75" thickBot="1" x14ac:dyDescent="0.3">
      <c r="B65" s="8"/>
      <c r="C65" s="92">
        <v>1</v>
      </c>
      <c r="D65" s="93" t="s">
        <v>20</v>
      </c>
      <c r="E65" s="94">
        <f>SUM(G5,G6,G8,G9,G10:G11,G12,G15:G16,G17,G19,G27,G28,G29:G30,G31,G32,G33)</f>
        <v>76019.75</v>
      </c>
      <c r="F65" s="95">
        <f>SUM(K4,K6,K8,K9,K10,K12,K15,K17,K19,K27,K28,K29,K31,K32,K33)</f>
        <v>10243</v>
      </c>
      <c r="G65" s="96">
        <f>SUM(F5,F6,F8,F9,F10:F11,F12,F15:F16,F17,F19,F27,F28,F29:F30,F31,F32,F33)</f>
        <v>5147.8000000000011</v>
      </c>
      <c r="H65" s="96">
        <f>SUM(H5,H6,H8,H9,H10:H11,H12,H15:H16,H17,H19,H27,H28,H29:H30,H31,H32,H33)</f>
        <v>5121.8200000000006</v>
      </c>
      <c r="I65" s="97">
        <f t="shared" ref="I65:I70" si="0">(G65-H65)/G65</f>
        <v>5.0468161156222982E-3</v>
      </c>
      <c r="J65" s="98">
        <f>(E65+G4+G18)*24/(F65/60)/15000</f>
        <v>0.7435641901786586</v>
      </c>
      <c r="N65"/>
      <c r="O65" s="144">
        <f>S76</f>
        <v>9.710872418834459E-3</v>
      </c>
      <c r="P65" s="145"/>
      <c r="Q65" s="146">
        <f>AVERAGE(January_16!P59,February_16!P58,March_16!P58,April_16!P58,May_16!Q60,June_16!Q60,July_16!Q60,August_16!Q60,September_16!Q60,October_16!Q60,November_16!Q60)</f>
        <v>0.63859398342403029</v>
      </c>
      <c r="R65" s="147"/>
      <c r="S65" s="145">
        <f>S75</f>
        <v>0.66084994306342026</v>
      </c>
      <c r="T65" s="147"/>
      <c r="U65" s="148">
        <f>U75</f>
        <v>0.58310289093831202</v>
      </c>
    </row>
    <row r="66" spans="2:22" s="1" customFormat="1" ht="17.25" thickTop="1" x14ac:dyDescent="0.25">
      <c r="B66" s="8"/>
      <c r="C66" s="99">
        <v>2</v>
      </c>
      <c r="D66" s="100" t="s">
        <v>21</v>
      </c>
      <c r="E66" s="101">
        <f>SUM(G7,G20,G34)</f>
        <v>15426.125</v>
      </c>
      <c r="F66" s="102">
        <f>SUM(K7,K20,K34)</f>
        <v>1955</v>
      </c>
      <c r="G66" s="103">
        <f>SUM(F7,F20,F34)</f>
        <v>1023.0999999999999</v>
      </c>
      <c r="H66" s="103">
        <f>SUM(H7,H20,H34)</f>
        <v>1018.116</v>
      </c>
      <c r="I66" s="97">
        <f t="shared" si="0"/>
        <v>4.871469064607491E-3</v>
      </c>
      <c r="J66" s="98">
        <f>(E66)*24/(F66/60)/15000</f>
        <v>0.75749769820971868</v>
      </c>
      <c r="K66"/>
      <c r="L66"/>
      <c r="M66"/>
      <c r="N66" s="2"/>
      <c r="R66"/>
      <c r="S66"/>
      <c r="T66"/>
      <c r="U66"/>
      <c r="V66"/>
    </row>
    <row r="67" spans="2:22" s="1" customFormat="1" ht="16.5" x14ac:dyDescent="0.25">
      <c r="B67" s="8"/>
      <c r="C67" s="92">
        <v>3</v>
      </c>
      <c r="D67" s="100" t="s">
        <v>124</v>
      </c>
      <c r="E67" s="156"/>
      <c r="F67" s="157"/>
      <c r="G67" s="158"/>
      <c r="H67" s="158"/>
      <c r="I67" s="109" t="e">
        <f t="shared" si="0"/>
        <v>#DIV/0!</v>
      </c>
      <c r="J67" s="111" t="e">
        <f>(E67)*24/(F67/60)/15000</f>
        <v>#DIV/0!</v>
      </c>
      <c r="K67"/>
      <c r="L67"/>
      <c r="M67"/>
      <c r="N67" s="2"/>
      <c r="R67"/>
      <c r="S67"/>
      <c r="T67"/>
      <c r="U67"/>
      <c r="V67"/>
    </row>
    <row r="68" spans="2:22" s="1" customFormat="1" ht="16.5" x14ac:dyDescent="0.25">
      <c r="B68" s="8"/>
      <c r="C68" s="99">
        <v>4</v>
      </c>
      <c r="D68" s="100" t="s">
        <v>18</v>
      </c>
      <c r="E68" s="101">
        <f>SUM(G4,G13,G21)</f>
        <v>9238</v>
      </c>
      <c r="F68" s="102">
        <f>SUM(K4,K13,K21)</f>
        <v>1852</v>
      </c>
      <c r="G68" s="101">
        <f>SUM(F4,F13,F21)</f>
        <v>651.79999999999995</v>
      </c>
      <c r="H68" s="101">
        <f>SUM(H4,H13,H21)</f>
        <v>644.55120000000011</v>
      </c>
      <c r="I68" s="97">
        <f t="shared" si="0"/>
        <v>1.1121202822951591E-2</v>
      </c>
      <c r="J68" s="98">
        <f>(E68+G5)*24/(F68/60)/15000</f>
        <v>0.54401727861771054</v>
      </c>
      <c r="K68"/>
      <c r="L68"/>
      <c r="M68"/>
      <c r="N68" s="2"/>
      <c r="Q68" s="8"/>
      <c r="R68"/>
      <c r="S68"/>
      <c r="T68" s="6"/>
      <c r="U68" s="6"/>
      <c r="V68"/>
    </row>
    <row r="69" spans="2:22" s="1" customFormat="1" ht="16.5" x14ac:dyDescent="0.25">
      <c r="B69" s="8"/>
      <c r="C69" s="92">
        <v>5</v>
      </c>
      <c r="D69" s="105" t="s">
        <v>26</v>
      </c>
      <c r="E69" s="106">
        <f>SUM(G14,G18)</f>
        <v>4336</v>
      </c>
      <c r="F69" s="107">
        <f>SUM(K14,K17)</f>
        <v>1052</v>
      </c>
      <c r="G69" s="108">
        <f>SUM(F14,F18)</f>
        <v>287.7</v>
      </c>
      <c r="H69" s="108">
        <f>SUM(H14,H18)</f>
        <v>286.17600000000004</v>
      </c>
      <c r="I69" s="97">
        <f t="shared" si="0"/>
        <v>5.297184567257366E-3</v>
      </c>
      <c r="J69" s="98">
        <f>(E69+G17)*24/(F69/60)/15000</f>
        <v>0.61569581749049418</v>
      </c>
      <c r="K69"/>
      <c r="L69"/>
      <c r="M69"/>
      <c r="N69" s="2"/>
      <c r="R69"/>
      <c r="S69"/>
      <c r="T69" s="6"/>
      <c r="U69" s="6"/>
      <c r="V69"/>
    </row>
    <row r="70" spans="2:22" s="1" customFormat="1" ht="16.5" x14ac:dyDescent="0.25">
      <c r="B70" s="8"/>
      <c r="C70" s="99">
        <v>6</v>
      </c>
      <c r="D70" s="105" t="s">
        <v>25</v>
      </c>
      <c r="E70" s="106">
        <f>SUM(G22:G26)</f>
        <v>3896</v>
      </c>
      <c r="F70" s="107">
        <f>SUM(K22)</f>
        <v>666</v>
      </c>
      <c r="G70" s="108">
        <f>SUM(F22:F26)</f>
        <v>317.98199999999997</v>
      </c>
      <c r="H70" s="108">
        <f>SUM(H22:H26)</f>
        <v>307.78400000000005</v>
      </c>
      <c r="I70" s="109">
        <f t="shared" si="0"/>
        <v>3.2070997729430985E-2</v>
      </c>
      <c r="J70" s="111">
        <f>(E70)*24/(F70/60)/15000</f>
        <v>0.56158558558558558</v>
      </c>
      <c r="K70"/>
      <c r="L70"/>
      <c r="M70"/>
      <c r="N70" s="2"/>
      <c r="R70"/>
      <c r="S70"/>
      <c r="T70"/>
      <c r="U70"/>
      <c r="V70"/>
    </row>
    <row r="71" spans="2:22" s="1" customFormat="1" ht="17.25" thickBot="1" x14ac:dyDescent="0.3">
      <c r="C71" s="112"/>
      <c r="D71" s="113" t="s">
        <v>22</v>
      </c>
      <c r="E71" s="114">
        <f>SUM(E65:E70)</f>
        <v>108915.875</v>
      </c>
      <c r="F71" s="115">
        <f>K60</f>
        <v>14504</v>
      </c>
      <c r="G71" s="116">
        <f>SUM(G65:G70)</f>
        <v>7428.3820000000014</v>
      </c>
      <c r="H71" s="116">
        <f>SUM(H65:H70)</f>
        <v>7378.4472000000005</v>
      </c>
      <c r="I71" s="117">
        <f>((G71)-(H71))/(G71)</f>
        <v>6.7221637228673612E-3</v>
      </c>
      <c r="J71" s="118">
        <f>E71*24/(F71/60)/15000</f>
        <v>0.72089933811362394</v>
      </c>
      <c r="K71"/>
      <c r="L71"/>
      <c r="M71"/>
      <c r="N71" s="139"/>
      <c r="R71"/>
      <c r="S71"/>
      <c r="T71"/>
      <c r="U71"/>
      <c r="V71"/>
    </row>
    <row r="72" spans="2:22" s="1" customFormat="1" ht="13.5" thickTop="1" x14ac:dyDescent="0.2">
      <c r="J72"/>
      <c r="K72"/>
      <c r="L72"/>
      <c r="M72"/>
      <c r="N72" s="2"/>
      <c r="R72"/>
      <c r="S72"/>
      <c r="T72"/>
      <c r="U72"/>
      <c r="V72"/>
    </row>
    <row r="73" spans="2:22" s="1" customFormat="1" x14ac:dyDescent="0.2">
      <c r="E73" s="3"/>
      <c r="F73" s="119"/>
      <c r="G73" s="120"/>
      <c r="H73" s="120"/>
      <c r="I73"/>
      <c r="J73"/>
      <c r="K73"/>
      <c r="L73"/>
      <c r="M73"/>
      <c r="N73" s="2"/>
      <c r="R73"/>
      <c r="S73"/>
      <c r="T73"/>
      <c r="U73"/>
      <c r="V73"/>
    </row>
    <row r="74" spans="2:22" s="1" customFormat="1" ht="13.5" customHeight="1" thickBot="1" x14ac:dyDescent="0.25">
      <c r="J74"/>
      <c r="K74"/>
      <c r="L74"/>
      <c r="M74"/>
      <c r="N74" s="2"/>
      <c r="R74"/>
      <c r="S74"/>
      <c r="T74"/>
      <c r="U74"/>
      <c r="V74" s="9"/>
    </row>
    <row r="75" spans="2:22" s="1" customFormat="1" ht="21" thickBot="1" x14ac:dyDescent="0.25">
      <c r="J75"/>
      <c r="K75"/>
      <c r="L75"/>
      <c r="M75"/>
      <c r="N75" s="2"/>
      <c r="O75" s="3">
        <f>SUM(January_16!G59,February_16!G58,March_16!G58,April_16!G58,May_16!G60,June_16!G60,July_16!G60,August_16!G60,September_16!G60,October_16!G60,November_16!G60)</f>
        <v>888643.54166666674</v>
      </c>
      <c r="Q75" s="3">
        <f>SUM(January_16!K59,February_16!K58,March_16!K58,April_16!K58,May_16!K60,June_16!K60,July_16!K60,August_16!K60,September_16!K60,October_16!K60,November_16!K60)</f>
        <v>129091</v>
      </c>
      <c r="R75"/>
      <c r="S75" s="63">
        <f>(O75)*24/(Q75/60)/15000</f>
        <v>0.66084994306342026</v>
      </c>
      <c r="T75"/>
      <c r="U75" s="128">
        <f>(O75)*24/(Q75/60)/17000</f>
        <v>0.58310289093831202</v>
      </c>
      <c r="V75" s="9"/>
    </row>
    <row r="76" spans="2:22" s="1" customFormat="1" ht="21.75" thickTop="1" thickBot="1" x14ac:dyDescent="0.35">
      <c r="J76"/>
      <c r="K76"/>
      <c r="L76"/>
      <c r="M76"/>
      <c r="N76" s="2"/>
      <c r="O76" s="140">
        <f>SUM(January_16!F59,February_16!F58,March_16!F58,April_16!F58,May_16!F60,June_16!F60,July_16!F60,August_16!F60,September_16!F60,October_16!F60,November_16!F60)</f>
        <v>60658.336971468598</v>
      </c>
      <c r="Q76" s="140">
        <f>SUM(January_16!H59,February_16!H58,March_16!H58,April_16!H58,May_16!H60,June_16!H60,July_16!H60,August_16!H60,September_16!H60,October_16!H60,November_16!H60)</f>
        <v>60069.291599999997</v>
      </c>
      <c r="R76"/>
      <c r="S76" s="87">
        <f>(O76-Q76)/O76</f>
        <v>9.710872418834459E-3</v>
      </c>
      <c r="T76"/>
      <c r="U76"/>
      <c r="V76" s="9"/>
    </row>
    <row r="77" spans="2:22" s="1" customFormat="1" ht="12.75" customHeight="1" thickTop="1" x14ac:dyDescent="0.2">
      <c r="J77"/>
      <c r="K77"/>
      <c r="L77"/>
      <c r="M77"/>
      <c r="N77" s="2"/>
      <c r="R77"/>
      <c r="S77"/>
      <c r="T77"/>
      <c r="U77"/>
      <c r="V77" s="9"/>
    </row>
    <row r="78" spans="2:22" s="1" customFormat="1" ht="12.75" customHeight="1" x14ac:dyDescent="0.2">
      <c r="J78"/>
      <c r="K78"/>
      <c r="L78"/>
      <c r="M78"/>
      <c r="N78" s="2"/>
      <c r="R78"/>
      <c r="S78"/>
      <c r="T78"/>
      <c r="U78"/>
      <c r="V78" s="9"/>
    </row>
    <row r="79" spans="2:22" s="1" customFormat="1" ht="12.75" customHeight="1" x14ac:dyDescent="0.2">
      <c r="J79"/>
      <c r="K79"/>
      <c r="L79"/>
      <c r="M79"/>
      <c r="N79" s="2"/>
      <c r="R79"/>
      <c r="S79"/>
      <c r="T79"/>
      <c r="U79"/>
      <c r="V79" s="9"/>
    </row>
    <row r="80" spans="2:22" s="1" customFormat="1" ht="12.75" customHeight="1" x14ac:dyDescent="0.2">
      <c r="J80"/>
      <c r="K80"/>
      <c r="L80"/>
      <c r="M80"/>
      <c r="N80" s="2"/>
      <c r="R80"/>
      <c r="S80"/>
      <c r="T80"/>
      <c r="U80"/>
      <c r="V80" s="9"/>
    </row>
    <row r="81" spans="10:22" s="1" customFormat="1" x14ac:dyDescent="0.2">
      <c r="J81"/>
      <c r="K81"/>
      <c r="L81"/>
      <c r="M81"/>
      <c r="N81" s="2"/>
      <c r="R81"/>
      <c r="S81"/>
      <c r="T81"/>
      <c r="U81"/>
      <c r="V81" s="9"/>
    </row>
    <row r="82" spans="10:22" s="1" customFormat="1" ht="12.75" customHeight="1" x14ac:dyDescent="0.2">
      <c r="J82"/>
      <c r="K82"/>
      <c r="L82"/>
      <c r="M82"/>
      <c r="N82" s="2"/>
      <c r="R82"/>
      <c r="S82"/>
      <c r="T82"/>
      <c r="U82"/>
      <c r="V82" s="9"/>
    </row>
    <row r="83" spans="10:22" s="1" customFormat="1" ht="12.75" customHeight="1" x14ac:dyDescent="0.2">
      <c r="J83"/>
      <c r="K83"/>
      <c r="L83"/>
      <c r="M83"/>
      <c r="N83" s="2"/>
      <c r="R83"/>
      <c r="S83"/>
      <c r="T83"/>
      <c r="U83"/>
      <c r="V83" s="9"/>
    </row>
    <row r="84" spans="10:22" s="1" customFormat="1" ht="12.75" customHeight="1" x14ac:dyDescent="0.2">
      <c r="J84"/>
      <c r="K84"/>
      <c r="L84"/>
      <c r="M84"/>
      <c r="N84" s="2"/>
      <c r="R84"/>
      <c r="S84"/>
      <c r="T84"/>
      <c r="U84"/>
      <c r="V84" s="9"/>
    </row>
    <row r="85" spans="10:22" s="1" customFormat="1" ht="12.75" customHeight="1" x14ac:dyDescent="0.2">
      <c r="J85"/>
      <c r="K85"/>
      <c r="L85"/>
      <c r="M85"/>
      <c r="N85" s="2"/>
      <c r="R85"/>
      <c r="S85"/>
      <c r="T85"/>
      <c r="U85"/>
      <c r="V85" s="9"/>
    </row>
    <row r="86" spans="10:22" s="1" customFormat="1" ht="12.75" customHeight="1" x14ac:dyDescent="0.2">
      <c r="J86"/>
      <c r="K86"/>
      <c r="L86"/>
      <c r="M86"/>
      <c r="N86" s="2"/>
      <c r="R86"/>
      <c r="S86"/>
      <c r="T86"/>
      <c r="U86"/>
      <c r="V86" s="9"/>
    </row>
    <row r="87" spans="10:22" s="1" customFormat="1" x14ac:dyDescent="0.2">
      <c r="J87"/>
      <c r="K87"/>
      <c r="L87"/>
      <c r="M87"/>
      <c r="N87" s="2"/>
      <c r="R87"/>
      <c r="S87"/>
      <c r="T87"/>
      <c r="U87"/>
      <c r="V87"/>
    </row>
    <row r="88" spans="10:22" s="1" customFormat="1" x14ac:dyDescent="0.2">
      <c r="J88"/>
      <c r="K88"/>
      <c r="L88"/>
      <c r="M88"/>
      <c r="N88" s="2"/>
      <c r="R88"/>
      <c r="S88"/>
      <c r="T88"/>
      <c r="U88"/>
      <c r="V88"/>
    </row>
    <row r="89" spans="10:22" s="1" customFormat="1" x14ac:dyDescent="0.2">
      <c r="J89"/>
      <c r="K89"/>
      <c r="L89"/>
      <c r="M89"/>
      <c r="N89" s="2"/>
      <c r="R89"/>
      <c r="S89"/>
      <c r="T89"/>
      <c r="U89"/>
      <c r="V89"/>
    </row>
    <row r="90" spans="10:22" s="1" customFormat="1" x14ac:dyDescent="0.2">
      <c r="J90"/>
      <c r="K90"/>
      <c r="L90"/>
      <c r="M90"/>
      <c r="N90" s="2"/>
      <c r="R90"/>
      <c r="S90"/>
      <c r="T90"/>
      <c r="U90"/>
      <c r="V90"/>
    </row>
    <row r="91" spans="10:22" s="1" customFormat="1" x14ac:dyDescent="0.2">
      <c r="J91"/>
      <c r="K91"/>
      <c r="L91"/>
      <c r="M91"/>
      <c r="N91" s="2"/>
      <c r="R91"/>
      <c r="S91"/>
      <c r="T91"/>
      <c r="U91"/>
      <c r="V91"/>
    </row>
    <row r="92" spans="10:22" s="1" customFormat="1" x14ac:dyDescent="0.2">
      <c r="J92"/>
      <c r="K92"/>
      <c r="L92"/>
      <c r="M92"/>
      <c r="N92" s="2"/>
      <c r="R92"/>
      <c r="S92"/>
      <c r="T92"/>
      <c r="U92"/>
      <c r="V92"/>
    </row>
    <row r="93" spans="10:22" s="1" customFormat="1" x14ac:dyDescent="0.2">
      <c r="J93"/>
      <c r="K93"/>
      <c r="L93"/>
      <c r="M93"/>
      <c r="N93" s="2"/>
      <c r="R93"/>
      <c r="S93"/>
      <c r="T93"/>
      <c r="U93"/>
      <c r="V93"/>
    </row>
    <row r="94" spans="10:22" s="1" customFormat="1" x14ac:dyDescent="0.2">
      <c r="J94"/>
      <c r="K94"/>
      <c r="L94"/>
      <c r="M94"/>
      <c r="N94" s="2"/>
      <c r="R94"/>
      <c r="S94"/>
      <c r="T94"/>
      <c r="U94"/>
      <c r="V94"/>
    </row>
    <row r="95" spans="10:22" s="1" customFormat="1" x14ac:dyDescent="0.2">
      <c r="J95"/>
      <c r="K95"/>
      <c r="L95"/>
      <c r="M95"/>
      <c r="N95" s="2"/>
      <c r="R95"/>
      <c r="S95"/>
      <c r="T95"/>
      <c r="U95"/>
      <c r="V95"/>
    </row>
    <row r="96" spans="10:22" s="1" customFormat="1" x14ac:dyDescent="0.2">
      <c r="J96"/>
      <c r="K96"/>
      <c r="L96"/>
      <c r="M96"/>
      <c r="N96" s="2"/>
      <c r="R96"/>
      <c r="S96"/>
      <c r="T96"/>
      <c r="U96"/>
      <c r="V96"/>
    </row>
    <row r="97" spans="10:22" s="1" customFormat="1" x14ac:dyDescent="0.2">
      <c r="J97"/>
      <c r="K97"/>
      <c r="L97"/>
      <c r="M97"/>
      <c r="N97" s="2"/>
      <c r="R97"/>
      <c r="S97"/>
      <c r="T97"/>
      <c r="U97"/>
      <c r="V97"/>
    </row>
    <row r="98" spans="10:22" s="1" customFormat="1" x14ac:dyDescent="0.2">
      <c r="J98"/>
      <c r="K98"/>
      <c r="L98"/>
      <c r="M98"/>
      <c r="N98" s="2"/>
      <c r="R98"/>
      <c r="S98"/>
      <c r="T98"/>
      <c r="U98"/>
      <c r="V98"/>
    </row>
    <row r="99" spans="10:22" s="1" customFormat="1" x14ac:dyDescent="0.2">
      <c r="J99"/>
      <c r="K99"/>
      <c r="L99"/>
      <c r="M99"/>
      <c r="N99" s="2"/>
      <c r="R99"/>
      <c r="S99"/>
      <c r="T99"/>
      <c r="U99"/>
      <c r="V99"/>
    </row>
    <row r="100" spans="10:22" s="1" customFormat="1" x14ac:dyDescent="0.2">
      <c r="J100"/>
      <c r="K100"/>
      <c r="L100"/>
      <c r="M100"/>
      <c r="N100" s="2"/>
      <c r="R100"/>
      <c r="S100"/>
      <c r="T100"/>
      <c r="U100"/>
      <c r="V100"/>
    </row>
    <row r="101" spans="10:22" s="1" customFormat="1" x14ac:dyDescent="0.2">
      <c r="J101"/>
      <c r="K101"/>
      <c r="L101"/>
      <c r="M101"/>
      <c r="N101" s="2"/>
      <c r="R101"/>
      <c r="S101"/>
      <c r="T101"/>
      <c r="U101"/>
      <c r="V101"/>
    </row>
    <row r="102" spans="10:22" s="1" customFormat="1" x14ac:dyDescent="0.2">
      <c r="J102"/>
      <c r="K102"/>
      <c r="L102"/>
      <c r="M102"/>
      <c r="N102" s="2"/>
      <c r="R102"/>
      <c r="S102"/>
      <c r="T102"/>
      <c r="U102"/>
      <c r="V102"/>
    </row>
    <row r="103" spans="10:22" s="1" customFormat="1" x14ac:dyDescent="0.2">
      <c r="J103"/>
      <c r="K103"/>
      <c r="L103"/>
      <c r="M103"/>
      <c r="N103" s="2"/>
      <c r="R103"/>
      <c r="S103"/>
      <c r="T103"/>
      <c r="U103"/>
      <c r="V103"/>
    </row>
    <row r="104" spans="10:22" s="1" customFormat="1" x14ac:dyDescent="0.2">
      <c r="J104"/>
      <c r="K104"/>
      <c r="L104"/>
      <c r="M104"/>
      <c r="N104" s="2"/>
      <c r="R104"/>
      <c r="S104"/>
      <c r="T104"/>
      <c r="U104"/>
      <c r="V104"/>
    </row>
    <row r="105" spans="10:22" s="1" customFormat="1" x14ac:dyDescent="0.2">
      <c r="J105"/>
      <c r="K105"/>
      <c r="L105"/>
      <c r="M105"/>
      <c r="N105" s="2"/>
      <c r="R105"/>
      <c r="S105"/>
      <c r="T105"/>
      <c r="U105"/>
      <c r="V105"/>
    </row>
    <row r="106" spans="10:22" s="1" customFormat="1" x14ac:dyDescent="0.2">
      <c r="J106"/>
      <c r="K106"/>
      <c r="L106"/>
      <c r="M106"/>
      <c r="N106" s="2"/>
      <c r="R106"/>
      <c r="S106"/>
      <c r="T106"/>
      <c r="U106"/>
      <c r="V106"/>
    </row>
    <row r="107" spans="10:22" s="1" customFormat="1" x14ac:dyDescent="0.2">
      <c r="J107"/>
      <c r="K107"/>
      <c r="L107"/>
      <c r="M107"/>
      <c r="N107" s="2"/>
      <c r="R107"/>
      <c r="S107"/>
      <c r="T107"/>
      <c r="U107"/>
      <c r="V107"/>
    </row>
    <row r="108" spans="10:22" s="1" customFormat="1" x14ac:dyDescent="0.2">
      <c r="J108"/>
      <c r="K108"/>
      <c r="L108"/>
      <c r="M108"/>
      <c r="N108" s="2"/>
      <c r="R108"/>
      <c r="S108"/>
      <c r="T108"/>
      <c r="U108"/>
      <c r="V108"/>
    </row>
    <row r="109" spans="10:22" s="1" customFormat="1" x14ac:dyDescent="0.2">
      <c r="J109"/>
      <c r="K109"/>
      <c r="L109"/>
      <c r="M109"/>
      <c r="N109" s="2"/>
      <c r="R109"/>
      <c r="S109"/>
      <c r="T109"/>
      <c r="U109"/>
      <c r="V109"/>
    </row>
    <row r="110" spans="10:22" s="1" customFormat="1" x14ac:dyDescent="0.2">
      <c r="J110"/>
      <c r="K110"/>
      <c r="L110"/>
      <c r="M110"/>
      <c r="N110" s="2"/>
      <c r="R110"/>
      <c r="S110"/>
      <c r="T110"/>
      <c r="U110"/>
      <c r="V110"/>
    </row>
    <row r="111" spans="10:22" s="1" customFormat="1" x14ac:dyDescent="0.2">
      <c r="J111"/>
      <c r="K111"/>
      <c r="L111"/>
      <c r="M111"/>
      <c r="N111" s="2"/>
      <c r="R111"/>
      <c r="S111"/>
      <c r="T111"/>
      <c r="U111"/>
      <c r="V111"/>
    </row>
    <row r="112" spans="10:22" s="1" customFormat="1" x14ac:dyDescent="0.2">
      <c r="J112"/>
      <c r="K112"/>
      <c r="L112"/>
      <c r="M112"/>
      <c r="N112" s="2"/>
      <c r="R112"/>
      <c r="S112"/>
      <c r="T112"/>
      <c r="U112"/>
      <c r="V112"/>
    </row>
    <row r="113" spans="10:22" s="1" customFormat="1" x14ac:dyDescent="0.2">
      <c r="J113"/>
      <c r="K113"/>
      <c r="L113"/>
      <c r="M113"/>
      <c r="N113" s="2"/>
      <c r="R113"/>
      <c r="S113"/>
      <c r="T113"/>
      <c r="U113"/>
      <c r="V113"/>
    </row>
    <row r="114" spans="10:22" s="1" customFormat="1" x14ac:dyDescent="0.2">
      <c r="J114"/>
      <c r="K114"/>
      <c r="L114"/>
      <c r="M114"/>
      <c r="N114" s="2"/>
      <c r="R114"/>
      <c r="S114"/>
      <c r="T114"/>
      <c r="U114"/>
      <c r="V114"/>
    </row>
    <row r="115" spans="10:22" s="1" customFormat="1" x14ac:dyDescent="0.2">
      <c r="J115"/>
      <c r="K115"/>
      <c r="L115"/>
      <c r="M115"/>
      <c r="N115" s="2"/>
      <c r="R115"/>
      <c r="S115"/>
      <c r="T115"/>
      <c r="U115"/>
      <c r="V115"/>
    </row>
    <row r="116" spans="10:22" s="1" customFormat="1" x14ac:dyDescent="0.2">
      <c r="J116"/>
      <c r="K116"/>
      <c r="L116"/>
      <c r="M116"/>
      <c r="N116" s="2"/>
      <c r="R116"/>
      <c r="S116"/>
      <c r="T116"/>
      <c r="U116"/>
      <c r="V116"/>
    </row>
    <row r="117" spans="10:22" s="1" customFormat="1" x14ac:dyDescent="0.2">
      <c r="J117"/>
      <c r="K117"/>
      <c r="L117"/>
      <c r="M117"/>
      <c r="N117" s="2"/>
      <c r="R117"/>
      <c r="S117"/>
      <c r="T117"/>
      <c r="U117"/>
      <c r="V117"/>
    </row>
    <row r="118" spans="10:22" s="1" customFormat="1" x14ac:dyDescent="0.2">
      <c r="J118"/>
      <c r="K118"/>
      <c r="L118"/>
      <c r="M118"/>
      <c r="N118" s="2"/>
      <c r="R118"/>
      <c r="S118"/>
      <c r="T118"/>
      <c r="U118"/>
      <c r="V118"/>
    </row>
    <row r="119" spans="10:22" s="1" customFormat="1" x14ac:dyDescent="0.2">
      <c r="J119"/>
      <c r="K119"/>
      <c r="L119"/>
      <c r="M119"/>
      <c r="N119" s="2"/>
      <c r="R119"/>
      <c r="S119"/>
      <c r="T119"/>
      <c r="U119"/>
      <c r="V119"/>
    </row>
    <row r="120" spans="10:22" s="1" customFormat="1" x14ac:dyDescent="0.2">
      <c r="J120"/>
      <c r="K120"/>
      <c r="L120"/>
      <c r="M120"/>
      <c r="N120" s="2"/>
      <c r="R120"/>
      <c r="S120"/>
      <c r="T120"/>
      <c r="U120"/>
      <c r="V120"/>
    </row>
    <row r="121" spans="10:22" s="1" customFormat="1" x14ac:dyDescent="0.2">
      <c r="J121"/>
      <c r="K121"/>
      <c r="L121"/>
      <c r="M121"/>
      <c r="N121" s="2"/>
      <c r="R121"/>
      <c r="S121"/>
      <c r="T121"/>
      <c r="U121"/>
      <c r="V121"/>
    </row>
    <row r="122" spans="10:22" s="1" customFormat="1" x14ac:dyDescent="0.2">
      <c r="J122"/>
      <c r="K122"/>
      <c r="L122"/>
      <c r="M122"/>
      <c r="N122" s="2"/>
      <c r="R122"/>
      <c r="S122"/>
      <c r="T122"/>
      <c r="U122"/>
      <c r="V122"/>
    </row>
    <row r="123" spans="10:22" s="1" customFormat="1" x14ac:dyDescent="0.2">
      <c r="J123"/>
      <c r="K123"/>
      <c r="L123"/>
      <c r="M123"/>
      <c r="N123" s="2"/>
      <c r="R123"/>
      <c r="S123"/>
      <c r="T123"/>
      <c r="U123"/>
      <c r="V123"/>
    </row>
    <row r="124" spans="10:22" s="1" customFormat="1" x14ac:dyDescent="0.2">
      <c r="J124"/>
      <c r="K124"/>
      <c r="L124"/>
      <c r="M124"/>
      <c r="N124" s="2"/>
      <c r="R124"/>
      <c r="S124"/>
      <c r="T124"/>
      <c r="U124"/>
      <c r="V124"/>
    </row>
    <row r="125" spans="10:22" s="1" customFormat="1" x14ac:dyDescent="0.2">
      <c r="J125"/>
      <c r="K125"/>
      <c r="L125"/>
      <c r="M125"/>
      <c r="N125" s="2"/>
      <c r="R125"/>
      <c r="S125"/>
      <c r="T125"/>
      <c r="U125"/>
      <c r="V125"/>
    </row>
    <row r="126" spans="10:22" s="1" customFormat="1" x14ac:dyDescent="0.2">
      <c r="J126"/>
      <c r="K126"/>
      <c r="L126"/>
      <c r="M126"/>
      <c r="N126" s="2"/>
      <c r="R126"/>
      <c r="S126"/>
      <c r="T126"/>
      <c r="U126"/>
      <c r="V126"/>
    </row>
    <row r="127" spans="10:22" s="1" customFormat="1" x14ac:dyDescent="0.2">
      <c r="J127"/>
      <c r="K127"/>
      <c r="L127"/>
      <c r="M127"/>
      <c r="N127" s="2"/>
      <c r="R127"/>
      <c r="S127"/>
      <c r="T127"/>
      <c r="U127"/>
      <c r="V127"/>
    </row>
    <row r="128" spans="10:22" s="1" customFormat="1" x14ac:dyDescent="0.2">
      <c r="J128"/>
      <c r="K128"/>
      <c r="L128"/>
      <c r="M128"/>
      <c r="N128" s="2"/>
      <c r="R128"/>
      <c r="S128"/>
      <c r="T128"/>
      <c r="U128"/>
      <c r="V128"/>
    </row>
    <row r="129" spans="10:22" s="1" customFormat="1" x14ac:dyDescent="0.2">
      <c r="J129"/>
      <c r="K129"/>
      <c r="L129"/>
      <c r="M129"/>
      <c r="N129" s="2"/>
      <c r="R129"/>
      <c r="S129"/>
      <c r="T129"/>
      <c r="U129"/>
      <c r="V129"/>
    </row>
    <row r="130" spans="10:22" s="1" customFormat="1" x14ac:dyDescent="0.2">
      <c r="J130"/>
      <c r="K130"/>
      <c r="L130"/>
      <c r="M130"/>
      <c r="N130" s="2"/>
      <c r="R130"/>
      <c r="S130"/>
      <c r="T130"/>
      <c r="U130"/>
      <c r="V130"/>
    </row>
    <row r="131" spans="10:22" s="1" customFormat="1" x14ac:dyDescent="0.2">
      <c r="J131"/>
      <c r="K131"/>
      <c r="L131"/>
      <c r="M131"/>
      <c r="N131" s="2"/>
      <c r="R131"/>
      <c r="S131"/>
      <c r="T131"/>
      <c r="U131"/>
      <c r="V131"/>
    </row>
    <row r="132" spans="10:22" s="1" customFormat="1" x14ac:dyDescent="0.2">
      <c r="J132"/>
      <c r="K132"/>
      <c r="L132"/>
      <c r="M132"/>
      <c r="N132" s="2"/>
      <c r="R132"/>
      <c r="S132"/>
      <c r="T132"/>
      <c r="U132"/>
      <c r="V132"/>
    </row>
    <row r="133" spans="10:22" s="1" customFormat="1" x14ac:dyDescent="0.2">
      <c r="J133"/>
      <c r="K133"/>
      <c r="L133"/>
      <c r="M133"/>
      <c r="N133" s="2"/>
      <c r="R133"/>
      <c r="S133"/>
      <c r="T133"/>
      <c r="U133"/>
      <c r="V133"/>
    </row>
    <row r="134" spans="10:22" s="1" customFormat="1" x14ac:dyDescent="0.2">
      <c r="J134"/>
      <c r="K134"/>
      <c r="L134"/>
      <c r="M134"/>
      <c r="N134" s="2"/>
      <c r="R134"/>
      <c r="S134"/>
      <c r="T134"/>
      <c r="U134"/>
      <c r="V134"/>
    </row>
    <row r="135" spans="10:22" s="1" customFormat="1" x14ac:dyDescent="0.2">
      <c r="J135"/>
      <c r="K135"/>
      <c r="L135"/>
      <c r="M135"/>
      <c r="N135" s="2"/>
      <c r="R135"/>
      <c r="S135"/>
      <c r="T135"/>
      <c r="U135"/>
      <c r="V135"/>
    </row>
    <row r="136" spans="10:22" s="1" customFormat="1" x14ac:dyDescent="0.2">
      <c r="J136"/>
      <c r="K136"/>
      <c r="L136"/>
      <c r="M136"/>
      <c r="N136" s="2"/>
      <c r="R136"/>
      <c r="S136"/>
      <c r="T136"/>
      <c r="U136"/>
      <c r="V136"/>
    </row>
    <row r="137" spans="10:22" s="1" customFormat="1" x14ac:dyDescent="0.2">
      <c r="J137"/>
      <c r="K137"/>
      <c r="L137"/>
      <c r="M137"/>
      <c r="N137" s="2"/>
      <c r="R137"/>
      <c r="S137"/>
      <c r="T137"/>
      <c r="U137"/>
      <c r="V137"/>
    </row>
    <row r="138" spans="10:22" s="1" customFormat="1" x14ac:dyDescent="0.2">
      <c r="J138"/>
      <c r="K138"/>
      <c r="L138"/>
      <c r="M138"/>
      <c r="N138" s="2"/>
      <c r="R138"/>
      <c r="S138"/>
      <c r="T138"/>
      <c r="U138"/>
      <c r="V138"/>
    </row>
    <row r="139" spans="10:22" s="1" customFormat="1" x14ac:dyDescent="0.2">
      <c r="J139"/>
      <c r="K139"/>
      <c r="L139"/>
      <c r="M139"/>
      <c r="N139" s="2"/>
      <c r="R139"/>
      <c r="S139"/>
      <c r="T139"/>
      <c r="U139"/>
      <c r="V139"/>
    </row>
    <row r="140" spans="10:22" s="1" customFormat="1" x14ac:dyDescent="0.2">
      <c r="J140"/>
      <c r="K140"/>
      <c r="L140"/>
      <c r="M140"/>
      <c r="N140" s="2"/>
      <c r="R140"/>
      <c r="S140"/>
      <c r="T140"/>
      <c r="U140"/>
      <c r="V140"/>
    </row>
    <row r="141" spans="10:22" s="1" customFormat="1" x14ac:dyDescent="0.2">
      <c r="J141"/>
      <c r="K141"/>
      <c r="L141"/>
      <c r="M141"/>
      <c r="N141" s="2"/>
      <c r="R141"/>
      <c r="S141"/>
      <c r="T141"/>
      <c r="U141"/>
      <c r="V141"/>
    </row>
    <row r="142" spans="10:22" s="1" customFormat="1" x14ac:dyDescent="0.2">
      <c r="J142"/>
      <c r="K142"/>
      <c r="L142"/>
      <c r="M142"/>
      <c r="N142" s="2"/>
      <c r="R142"/>
      <c r="S142"/>
      <c r="T142"/>
      <c r="U142"/>
      <c r="V142"/>
    </row>
    <row r="143" spans="10:22" s="1" customFormat="1" x14ac:dyDescent="0.2">
      <c r="J143"/>
      <c r="K143"/>
      <c r="L143"/>
      <c r="M143"/>
      <c r="N143" s="2"/>
      <c r="R143"/>
      <c r="S143"/>
      <c r="T143"/>
      <c r="U143"/>
      <c r="V143"/>
    </row>
    <row r="144" spans="10:22" s="1" customFormat="1" x14ac:dyDescent="0.2">
      <c r="J144"/>
      <c r="K144"/>
      <c r="L144"/>
      <c r="M144"/>
      <c r="N144" s="2"/>
      <c r="R144"/>
      <c r="S144"/>
      <c r="T144"/>
      <c r="U144"/>
      <c r="V144"/>
    </row>
    <row r="145" spans="10:22" s="1" customFormat="1" x14ac:dyDescent="0.2">
      <c r="J145"/>
      <c r="K145"/>
      <c r="L145"/>
      <c r="M145"/>
      <c r="N145" s="2"/>
      <c r="R145"/>
      <c r="S145"/>
      <c r="T145"/>
      <c r="U145"/>
      <c r="V145"/>
    </row>
    <row r="146" spans="10:22" s="1" customFormat="1" x14ac:dyDescent="0.2">
      <c r="J146"/>
      <c r="K146"/>
      <c r="L146"/>
      <c r="M146"/>
      <c r="N146" s="2"/>
      <c r="R146"/>
      <c r="S146"/>
      <c r="T146"/>
      <c r="U146"/>
      <c r="V146"/>
    </row>
    <row r="147" spans="10:22" s="1" customFormat="1" x14ac:dyDescent="0.2">
      <c r="J147"/>
      <c r="K147"/>
      <c r="L147"/>
      <c r="M147"/>
      <c r="N147" s="2"/>
      <c r="R147"/>
      <c r="S147"/>
      <c r="T147"/>
      <c r="U147"/>
      <c r="V147"/>
    </row>
    <row r="148" spans="10:22" s="1" customFormat="1" x14ac:dyDescent="0.2">
      <c r="J148"/>
      <c r="K148"/>
      <c r="L148"/>
      <c r="M148"/>
      <c r="N148" s="2"/>
      <c r="R148"/>
      <c r="S148"/>
      <c r="T148"/>
      <c r="U148"/>
      <c r="V148"/>
    </row>
    <row r="149" spans="10:22" s="1" customFormat="1" x14ac:dyDescent="0.2">
      <c r="J149"/>
      <c r="K149"/>
      <c r="L149"/>
      <c r="M149"/>
      <c r="N149" s="2"/>
      <c r="R149"/>
      <c r="S149"/>
      <c r="T149"/>
      <c r="U149"/>
      <c r="V149"/>
    </row>
    <row r="150" spans="10:22" s="1" customFormat="1" x14ac:dyDescent="0.2">
      <c r="J150"/>
      <c r="K150"/>
      <c r="L150"/>
      <c r="M150"/>
      <c r="N150" s="2"/>
      <c r="R150"/>
      <c r="S150"/>
      <c r="T150"/>
      <c r="U150"/>
      <c r="V150"/>
    </row>
    <row r="151" spans="10:22" s="1" customFormat="1" x14ac:dyDescent="0.2">
      <c r="J151"/>
      <c r="K151"/>
      <c r="L151"/>
      <c r="M151"/>
      <c r="N151" s="2"/>
      <c r="R151"/>
      <c r="S151"/>
      <c r="T151"/>
      <c r="U151"/>
      <c r="V151"/>
    </row>
    <row r="152" spans="10:22" s="1" customFormat="1" x14ac:dyDescent="0.2">
      <c r="J152"/>
      <c r="K152"/>
      <c r="L152"/>
      <c r="M152"/>
      <c r="N152" s="2"/>
      <c r="R152"/>
      <c r="S152"/>
      <c r="T152"/>
      <c r="U152"/>
      <c r="V152"/>
    </row>
    <row r="153" spans="10:22" s="1" customFormat="1" x14ac:dyDescent="0.2">
      <c r="J153"/>
      <c r="K153"/>
      <c r="L153"/>
      <c r="M153"/>
      <c r="N153" s="2"/>
      <c r="R153"/>
      <c r="S153"/>
      <c r="T153"/>
      <c r="U153"/>
      <c r="V153"/>
    </row>
    <row r="154" spans="10:22" s="1" customFormat="1" x14ac:dyDescent="0.2">
      <c r="J154"/>
      <c r="K154"/>
      <c r="L154"/>
      <c r="M154"/>
      <c r="N154" s="2"/>
      <c r="R154"/>
      <c r="S154"/>
      <c r="T154"/>
      <c r="U154"/>
      <c r="V154"/>
    </row>
    <row r="155" spans="10:22" s="1" customFormat="1" x14ac:dyDescent="0.2">
      <c r="J155"/>
      <c r="K155"/>
      <c r="L155"/>
      <c r="M155"/>
      <c r="N155" s="2"/>
      <c r="R155"/>
      <c r="S155"/>
      <c r="T155"/>
      <c r="U155"/>
      <c r="V155"/>
    </row>
    <row r="156" spans="10:22" s="1" customFormat="1" x14ac:dyDescent="0.2">
      <c r="J156"/>
      <c r="K156"/>
      <c r="L156"/>
      <c r="M156"/>
      <c r="N156" s="2"/>
      <c r="R156"/>
      <c r="S156"/>
      <c r="T156"/>
      <c r="U156"/>
      <c r="V156"/>
    </row>
    <row r="157" spans="10:22" s="1" customFormat="1" x14ac:dyDescent="0.2">
      <c r="J157"/>
      <c r="K157"/>
      <c r="L157"/>
      <c r="M157"/>
      <c r="N157" s="2"/>
      <c r="R157"/>
      <c r="S157"/>
      <c r="T157"/>
      <c r="U157"/>
      <c r="V157"/>
    </row>
    <row r="158" spans="10:22" s="1" customFormat="1" x14ac:dyDescent="0.2">
      <c r="J158"/>
      <c r="K158"/>
      <c r="L158"/>
      <c r="M158"/>
      <c r="N158" s="2"/>
      <c r="R158"/>
      <c r="S158"/>
      <c r="T158"/>
      <c r="U158"/>
      <c r="V158"/>
    </row>
    <row r="159" spans="10:22" s="1" customFormat="1" x14ac:dyDescent="0.2">
      <c r="J159"/>
      <c r="K159"/>
      <c r="L159"/>
      <c r="M159"/>
      <c r="N159" s="2"/>
      <c r="R159"/>
      <c r="S159"/>
      <c r="T159"/>
      <c r="U159"/>
      <c r="V159"/>
    </row>
    <row r="160" spans="10:22" s="1" customFormat="1" x14ac:dyDescent="0.2">
      <c r="J160"/>
      <c r="K160"/>
      <c r="L160"/>
      <c r="M160"/>
      <c r="N160" s="2"/>
      <c r="R160"/>
      <c r="S160"/>
      <c r="T160"/>
      <c r="U160"/>
      <c r="V160"/>
    </row>
    <row r="161" spans="10:22" s="1" customFormat="1" x14ac:dyDescent="0.2">
      <c r="J161"/>
      <c r="K161"/>
      <c r="L161"/>
      <c r="M161"/>
      <c r="N161" s="2"/>
      <c r="R161"/>
      <c r="S161"/>
      <c r="T161"/>
      <c r="U161"/>
      <c r="V161"/>
    </row>
    <row r="162" spans="10:22" s="1" customFormat="1" x14ac:dyDescent="0.2">
      <c r="J162"/>
      <c r="K162"/>
      <c r="L162"/>
      <c r="M162"/>
      <c r="N162" s="2"/>
      <c r="R162"/>
      <c r="S162"/>
      <c r="T162"/>
      <c r="U162"/>
      <c r="V162"/>
    </row>
    <row r="163" spans="10:22" s="1" customFormat="1" x14ac:dyDescent="0.2">
      <c r="J163"/>
      <c r="K163"/>
      <c r="L163"/>
      <c r="M163"/>
      <c r="N163" s="2"/>
      <c r="R163"/>
      <c r="S163"/>
      <c r="T163"/>
      <c r="U163"/>
      <c r="V163"/>
    </row>
    <row r="164" spans="10:22" s="1" customFormat="1" x14ac:dyDescent="0.2">
      <c r="J164"/>
      <c r="K164"/>
      <c r="L164"/>
      <c r="M164"/>
      <c r="N164" s="2"/>
      <c r="R164"/>
      <c r="S164"/>
      <c r="T164"/>
      <c r="U164"/>
      <c r="V164"/>
    </row>
    <row r="165" spans="10:22" s="1" customFormat="1" x14ac:dyDescent="0.2">
      <c r="J165"/>
      <c r="K165"/>
      <c r="L165"/>
      <c r="M165"/>
      <c r="N165" s="2"/>
      <c r="R165"/>
      <c r="S165"/>
      <c r="T165"/>
      <c r="U165"/>
      <c r="V165"/>
    </row>
    <row r="166" spans="10:22" s="1" customFormat="1" x14ac:dyDescent="0.2">
      <c r="J166"/>
      <c r="K166"/>
      <c r="L166"/>
      <c r="M166"/>
      <c r="N166" s="2"/>
      <c r="R166"/>
      <c r="S166"/>
      <c r="T166"/>
      <c r="U166"/>
      <c r="V166"/>
    </row>
    <row r="167" spans="10:22" s="1" customFormat="1" x14ac:dyDescent="0.2">
      <c r="J167"/>
      <c r="K167"/>
      <c r="L167"/>
      <c r="M167"/>
      <c r="N167" s="2"/>
      <c r="R167"/>
      <c r="S167"/>
      <c r="T167"/>
      <c r="U167"/>
      <c r="V167"/>
    </row>
    <row r="168" spans="10:22" s="1" customFormat="1" x14ac:dyDescent="0.2">
      <c r="J168"/>
      <c r="K168"/>
      <c r="L168"/>
      <c r="M168"/>
      <c r="N168" s="2"/>
      <c r="R168"/>
      <c r="S168"/>
      <c r="T168"/>
      <c r="U168"/>
      <c r="V168"/>
    </row>
    <row r="169" spans="10:22" s="1" customFormat="1" x14ac:dyDescent="0.2">
      <c r="J169"/>
      <c r="K169"/>
      <c r="L169"/>
      <c r="M169"/>
      <c r="N169" s="2"/>
      <c r="R169"/>
      <c r="S169"/>
      <c r="T169"/>
      <c r="U169"/>
      <c r="V169"/>
    </row>
    <row r="170" spans="10:22" s="1" customFormat="1" x14ac:dyDescent="0.2">
      <c r="J170"/>
      <c r="K170"/>
      <c r="L170"/>
      <c r="M170"/>
      <c r="N170" s="2"/>
      <c r="R170"/>
      <c r="S170"/>
      <c r="T170"/>
      <c r="U170"/>
      <c r="V170"/>
    </row>
    <row r="171" spans="10:22" s="1" customFormat="1" x14ac:dyDescent="0.2">
      <c r="J171"/>
      <c r="K171"/>
      <c r="L171"/>
      <c r="M171"/>
      <c r="N171" s="2"/>
      <c r="R171"/>
      <c r="S171"/>
      <c r="T171"/>
      <c r="U171"/>
      <c r="V171"/>
    </row>
    <row r="172" spans="10:22" s="1" customFormat="1" x14ac:dyDescent="0.2">
      <c r="J172"/>
      <c r="K172"/>
      <c r="L172"/>
      <c r="M172"/>
      <c r="N172" s="2"/>
      <c r="R172"/>
      <c r="S172"/>
      <c r="T172"/>
      <c r="U172"/>
      <c r="V172"/>
    </row>
    <row r="173" spans="10:22" s="1" customFormat="1" x14ac:dyDescent="0.2">
      <c r="J173"/>
      <c r="K173"/>
      <c r="L173"/>
      <c r="M173"/>
      <c r="N173" s="2"/>
      <c r="R173"/>
      <c r="S173"/>
      <c r="T173"/>
      <c r="U173"/>
      <c r="V173"/>
    </row>
    <row r="174" spans="10:22" s="1" customFormat="1" x14ac:dyDescent="0.2">
      <c r="J174"/>
      <c r="K174"/>
      <c r="L174"/>
      <c r="M174"/>
      <c r="N174" s="2"/>
      <c r="R174"/>
      <c r="S174"/>
      <c r="T174"/>
      <c r="U174"/>
      <c r="V174"/>
    </row>
    <row r="175" spans="10:22" s="1" customFormat="1" x14ac:dyDescent="0.2">
      <c r="J175"/>
      <c r="K175"/>
      <c r="L175"/>
      <c r="M175"/>
      <c r="N175" s="2"/>
      <c r="R175"/>
      <c r="S175"/>
      <c r="T175"/>
      <c r="U175"/>
      <c r="V175"/>
    </row>
    <row r="176" spans="10:22" s="1" customFormat="1" x14ac:dyDescent="0.2">
      <c r="J176"/>
      <c r="K176"/>
      <c r="L176"/>
      <c r="M176"/>
      <c r="N176" s="2"/>
      <c r="R176"/>
      <c r="S176"/>
      <c r="T176"/>
      <c r="U176"/>
      <c r="V176"/>
    </row>
    <row r="177" spans="10:22" s="1" customFormat="1" x14ac:dyDescent="0.2">
      <c r="J177"/>
      <c r="K177"/>
      <c r="L177"/>
      <c r="M177"/>
      <c r="N177" s="2"/>
      <c r="R177"/>
      <c r="S177"/>
      <c r="T177"/>
      <c r="U177"/>
      <c r="V177"/>
    </row>
    <row r="178" spans="10:22" s="1" customFormat="1" x14ac:dyDescent="0.2">
      <c r="J178"/>
      <c r="K178"/>
      <c r="L178"/>
      <c r="M178"/>
      <c r="N178" s="2"/>
      <c r="R178"/>
      <c r="S178"/>
      <c r="T178"/>
      <c r="U178"/>
      <c r="V178"/>
    </row>
    <row r="179" spans="10:22" s="1" customFormat="1" x14ac:dyDescent="0.2">
      <c r="J179"/>
      <c r="K179"/>
      <c r="L179"/>
      <c r="M179"/>
      <c r="N179" s="2"/>
      <c r="R179"/>
      <c r="S179"/>
      <c r="T179"/>
      <c r="U179"/>
      <c r="V179"/>
    </row>
    <row r="180" spans="10:22" s="1" customFormat="1" x14ac:dyDescent="0.2">
      <c r="J180"/>
      <c r="K180"/>
      <c r="L180"/>
      <c r="M180"/>
      <c r="N180" s="2"/>
      <c r="R180"/>
      <c r="S180"/>
      <c r="T180"/>
      <c r="U180"/>
      <c r="V180"/>
    </row>
    <row r="181" spans="10:22" s="1" customFormat="1" x14ac:dyDescent="0.2">
      <c r="J181"/>
      <c r="K181"/>
      <c r="L181"/>
      <c r="M181"/>
      <c r="N181" s="2"/>
      <c r="R181"/>
      <c r="S181"/>
      <c r="T181"/>
      <c r="U181"/>
      <c r="V181"/>
    </row>
    <row r="182" spans="10:22" s="1" customFormat="1" x14ac:dyDescent="0.2">
      <c r="J182"/>
      <c r="K182"/>
      <c r="L182"/>
      <c r="M182"/>
      <c r="N182" s="2"/>
      <c r="R182"/>
      <c r="S182"/>
      <c r="T182"/>
      <c r="U182"/>
      <c r="V182"/>
    </row>
    <row r="183" spans="10:22" s="1" customFormat="1" x14ac:dyDescent="0.2">
      <c r="J183"/>
      <c r="K183"/>
      <c r="L183"/>
      <c r="M183"/>
      <c r="N183" s="2"/>
      <c r="R183"/>
      <c r="S183"/>
      <c r="T183"/>
      <c r="U183"/>
      <c r="V183"/>
    </row>
    <row r="184" spans="10:22" s="1" customFormat="1" x14ac:dyDescent="0.2">
      <c r="J184"/>
      <c r="K184"/>
      <c r="L184"/>
      <c r="M184"/>
      <c r="N184" s="2"/>
      <c r="R184"/>
      <c r="S184"/>
      <c r="T184"/>
      <c r="U184"/>
      <c r="V184"/>
    </row>
    <row r="185" spans="10:22" s="1" customFormat="1" x14ac:dyDescent="0.2">
      <c r="J185"/>
      <c r="K185"/>
      <c r="L185"/>
      <c r="M185"/>
      <c r="N185" s="2"/>
      <c r="R185"/>
      <c r="S185"/>
      <c r="T185"/>
      <c r="U185"/>
      <c r="V185"/>
    </row>
    <row r="186" spans="10:22" s="1" customFormat="1" x14ac:dyDescent="0.2">
      <c r="J186"/>
      <c r="K186"/>
      <c r="L186"/>
      <c r="M186"/>
      <c r="N186" s="2"/>
      <c r="R186"/>
      <c r="S186"/>
      <c r="T186"/>
      <c r="U186"/>
      <c r="V186"/>
    </row>
    <row r="187" spans="10:22" s="1" customFormat="1" x14ac:dyDescent="0.2">
      <c r="J187"/>
      <c r="K187"/>
      <c r="L187"/>
      <c r="M187"/>
      <c r="N187" s="2"/>
      <c r="R187"/>
      <c r="S187"/>
      <c r="T187"/>
      <c r="U187"/>
      <c r="V187"/>
    </row>
    <row r="188" spans="10:22" s="1" customFormat="1" x14ac:dyDescent="0.2">
      <c r="J188"/>
      <c r="K188"/>
      <c r="L188"/>
      <c r="M188"/>
      <c r="N188" s="2"/>
      <c r="R188"/>
      <c r="S188"/>
      <c r="T188"/>
      <c r="U188"/>
      <c r="V188"/>
    </row>
    <row r="189" spans="10:22" s="1" customFormat="1" x14ac:dyDescent="0.2">
      <c r="J189"/>
      <c r="K189"/>
      <c r="L189"/>
      <c r="M189"/>
      <c r="N189" s="2"/>
      <c r="R189"/>
      <c r="S189"/>
      <c r="T189"/>
      <c r="U189"/>
      <c r="V189"/>
    </row>
    <row r="190" spans="10:22" s="1" customFormat="1" x14ac:dyDescent="0.2">
      <c r="J190"/>
      <c r="K190"/>
      <c r="L190"/>
      <c r="M190"/>
      <c r="N190" s="2"/>
      <c r="R190"/>
      <c r="S190"/>
      <c r="T190"/>
      <c r="U190"/>
      <c r="V190"/>
    </row>
    <row r="191" spans="10:22" s="1" customFormat="1" x14ac:dyDescent="0.2">
      <c r="J191"/>
      <c r="K191"/>
      <c r="L191"/>
      <c r="M191"/>
      <c r="N191" s="2"/>
      <c r="R191"/>
      <c r="S191"/>
      <c r="T191"/>
      <c r="U191"/>
      <c r="V191"/>
    </row>
    <row r="192" spans="10:22" s="1" customFormat="1" x14ac:dyDescent="0.2">
      <c r="J192"/>
      <c r="K192"/>
      <c r="L192"/>
      <c r="M192"/>
      <c r="N192" s="2"/>
      <c r="R192"/>
      <c r="S192"/>
      <c r="T192"/>
      <c r="U192"/>
      <c r="V192"/>
    </row>
    <row r="193" spans="10:22" s="1" customFormat="1" x14ac:dyDescent="0.2">
      <c r="J193"/>
      <c r="K193"/>
      <c r="L193"/>
      <c r="M193"/>
      <c r="N193" s="2"/>
      <c r="R193"/>
      <c r="S193"/>
      <c r="T193"/>
      <c r="U193"/>
      <c r="V193"/>
    </row>
    <row r="194" spans="10:22" s="1" customFormat="1" x14ac:dyDescent="0.2">
      <c r="J194"/>
      <c r="K194"/>
      <c r="L194"/>
      <c r="M194"/>
      <c r="N194" s="2"/>
      <c r="R194"/>
      <c r="S194"/>
      <c r="T194"/>
      <c r="U194"/>
      <c r="V194"/>
    </row>
    <row r="195" spans="10:22" s="1" customFormat="1" x14ac:dyDescent="0.2">
      <c r="J195"/>
      <c r="K195"/>
      <c r="L195"/>
      <c r="M195"/>
      <c r="N195" s="2"/>
      <c r="R195"/>
      <c r="S195"/>
      <c r="T195"/>
      <c r="U195"/>
      <c r="V195"/>
    </row>
    <row r="196" spans="10:22" s="1" customFormat="1" x14ac:dyDescent="0.2">
      <c r="J196"/>
      <c r="K196"/>
      <c r="L196"/>
      <c r="M196"/>
      <c r="N196" s="2"/>
      <c r="R196"/>
      <c r="S196"/>
      <c r="T196"/>
      <c r="U196"/>
      <c r="V196"/>
    </row>
    <row r="197" spans="10:22" s="1" customFormat="1" x14ac:dyDescent="0.2">
      <c r="J197"/>
      <c r="K197"/>
      <c r="L197"/>
      <c r="M197"/>
      <c r="N197" s="2"/>
      <c r="R197"/>
      <c r="S197"/>
      <c r="T197"/>
      <c r="U197"/>
      <c r="V197"/>
    </row>
    <row r="198" spans="10:22" s="1" customFormat="1" x14ac:dyDescent="0.2">
      <c r="J198"/>
      <c r="K198"/>
      <c r="L198"/>
      <c r="M198"/>
      <c r="N198" s="2"/>
      <c r="R198"/>
      <c r="S198"/>
      <c r="T198"/>
      <c r="U198"/>
      <c r="V198"/>
    </row>
    <row r="199" spans="10:22" s="1" customFormat="1" x14ac:dyDescent="0.2">
      <c r="J199"/>
      <c r="K199"/>
      <c r="L199"/>
      <c r="M199"/>
      <c r="N199" s="2"/>
      <c r="R199"/>
      <c r="S199"/>
      <c r="T199"/>
      <c r="U199"/>
      <c r="V199"/>
    </row>
    <row r="200" spans="10:22" s="1" customFormat="1" x14ac:dyDescent="0.2">
      <c r="J200"/>
      <c r="K200"/>
      <c r="L200"/>
      <c r="M200"/>
      <c r="N200" s="2"/>
      <c r="R200"/>
      <c r="S200"/>
      <c r="T200"/>
      <c r="U200"/>
      <c r="V200"/>
    </row>
    <row r="201" spans="10:22" s="1" customFormat="1" x14ac:dyDescent="0.2">
      <c r="J201"/>
      <c r="K201"/>
      <c r="L201"/>
      <c r="M201"/>
      <c r="N201" s="2"/>
      <c r="R201"/>
      <c r="S201"/>
      <c r="T201"/>
      <c r="U201"/>
      <c r="V201"/>
    </row>
    <row r="202" spans="10:22" s="1" customFormat="1" x14ac:dyDescent="0.2">
      <c r="J202"/>
      <c r="K202"/>
      <c r="L202"/>
      <c r="M202"/>
      <c r="N202" s="2"/>
      <c r="R202"/>
      <c r="S202"/>
      <c r="T202"/>
      <c r="U202"/>
      <c r="V202"/>
    </row>
    <row r="203" spans="10:22" s="1" customFormat="1" x14ac:dyDescent="0.2">
      <c r="J203"/>
      <c r="K203"/>
      <c r="L203"/>
      <c r="M203"/>
      <c r="N203" s="2"/>
      <c r="R203"/>
      <c r="S203"/>
      <c r="T203"/>
      <c r="U203"/>
      <c r="V203"/>
    </row>
    <row r="204" spans="10:22" s="1" customFormat="1" x14ac:dyDescent="0.2">
      <c r="J204"/>
      <c r="K204"/>
      <c r="L204"/>
      <c r="M204"/>
      <c r="N204" s="2"/>
      <c r="R204"/>
      <c r="S204"/>
      <c r="T204"/>
      <c r="U204"/>
      <c r="V204"/>
    </row>
    <row r="205" spans="10:22" s="1" customFormat="1" x14ac:dyDescent="0.2">
      <c r="J205"/>
      <c r="K205"/>
      <c r="L205"/>
      <c r="M205"/>
      <c r="N205" s="2"/>
      <c r="R205"/>
      <c r="S205"/>
      <c r="T205"/>
      <c r="U205"/>
      <c r="V205"/>
    </row>
    <row r="206" spans="10:22" s="1" customFormat="1" x14ac:dyDescent="0.2">
      <c r="J206"/>
      <c r="K206"/>
      <c r="L206"/>
      <c r="M206"/>
      <c r="N206" s="2"/>
      <c r="R206"/>
      <c r="S206"/>
      <c r="T206"/>
      <c r="U206"/>
      <c r="V206"/>
    </row>
    <row r="207" spans="10:22" s="1" customFormat="1" x14ac:dyDescent="0.2">
      <c r="J207"/>
      <c r="K207"/>
      <c r="L207"/>
      <c r="M207"/>
      <c r="N207" s="2"/>
      <c r="R207"/>
      <c r="S207"/>
      <c r="T207"/>
      <c r="U207"/>
      <c r="V207"/>
    </row>
    <row r="208" spans="10:22" s="1" customFormat="1" x14ac:dyDescent="0.2">
      <c r="J208"/>
      <c r="K208"/>
      <c r="L208"/>
      <c r="M208"/>
      <c r="N208" s="2"/>
      <c r="R208"/>
      <c r="S208"/>
      <c r="T208"/>
      <c r="U208"/>
      <c r="V208"/>
    </row>
    <row r="209" spans="10:22" s="1" customFormat="1" x14ac:dyDescent="0.2">
      <c r="J209"/>
      <c r="K209"/>
      <c r="L209"/>
      <c r="M209"/>
      <c r="N209" s="2"/>
      <c r="R209"/>
      <c r="S209"/>
      <c r="T209"/>
      <c r="U209"/>
      <c r="V209"/>
    </row>
    <row r="210" spans="10:22" s="1" customFormat="1" x14ac:dyDescent="0.2">
      <c r="J210"/>
      <c r="K210"/>
      <c r="L210"/>
      <c r="M210"/>
      <c r="N210" s="2"/>
      <c r="R210"/>
      <c r="S210"/>
      <c r="T210"/>
      <c r="U210"/>
      <c r="V210"/>
    </row>
    <row r="211" spans="10:22" s="1" customFormat="1" x14ac:dyDescent="0.2">
      <c r="J211"/>
      <c r="K211"/>
      <c r="L211"/>
      <c r="M211"/>
      <c r="N211" s="2"/>
      <c r="R211"/>
      <c r="S211"/>
      <c r="T211"/>
      <c r="U211"/>
      <c r="V211"/>
    </row>
    <row r="212" spans="10:22" s="1" customFormat="1" x14ac:dyDescent="0.2">
      <c r="J212"/>
      <c r="K212"/>
      <c r="L212"/>
      <c r="M212"/>
      <c r="N212" s="2"/>
      <c r="R212"/>
      <c r="S212"/>
      <c r="T212"/>
      <c r="U212"/>
      <c r="V212"/>
    </row>
    <row r="213" spans="10:22" s="1" customFormat="1" x14ac:dyDescent="0.2">
      <c r="J213"/>
      <c r="K213"/>
      <c r="L213"/>
      <c r="M213"/>
      <c r="N213" s="2"/>
      <c r="R213"/>
      <c r="S213"/>
      <c r="T213"/>
      <c r="U213"/>
      <c r="V213"/>
    </row>
    <row r="214" spans="10:22" s="1" customFormat="1" x14ac:dyDescent="0.2">
      <c r="J214"/>
      <c r="K214"/>
      <c r="L214"/>
      <c r="M214"/>
      <c r="N214" s="2"/>
      <c r="R214"/>
      <c r="S214"/>
      <c r="T214"/>
      <c r="U214"/>
      <c r="V214"/>
    </row>
    <row r="215" spans="10:22" s="1" customFormat="1" x14ac:dyDescent="0.2">
      <c r="J215"/>
      <c r="K215"/>
      <c r="L215"/>
      <c r="M215"/>
      <c r="N215" s="2"/>
      <c r="R215"/>
      <c r="S215"/>
      <c r="T215"/>
      <c r="U215"/>
      <c r="V215"/>
    </row>
    <row r="216" spans="10:22" s="1" customFormat="1" x14ac:dyDescent="0.2">
      <c r="J216"/>
      <c r="K216"/>
      <c r="L216"/>
      <c r="M216"/>
      <c r="N216" s="2"/>
      <c r="R216"/>
      <c r="S216"/>
      <c r="T216"/>
      <c r="U216"/>
      <c r="V216"/>
    </row>
    <row r="217" spans="10:22" s="1" customFormat="1" x14ac:dyDescent="0.2">
      <c r="J217"/>
      <c r="K217"/>
      <c r="L217"/>
      <c r="M217"/>
      <c r="N217" s="2"/>
      <c r="R217"/>
      <c r="S217"/>
      <c r="T217"/>
      <c r="U217"/>
      <c r="V217"/>
    </row>
    <row r="218" spans="10:22" s="1" customFormat="1" x14ac:dyDescent="0.2">
      <c r="J218"/>
      <c r="K218"/>
      <c r="L218"/>
      <c r="M218"/>
      <c r="N218" s="2"/>
      <c r="R218"/>
      <c r="S218"/>
      <c r="T218"/>
      <c r="U218"/>
      <c r="V218"/>
    </row>
    <row r="219" spans="10:22" s="1" customFormat="1" x14ac:dyDescent="0.2">
      <c r="J219"/>
      <c r="K219"/>
      <c r="L219"/>
      <c r="M219"/>
      <c r="N219" s="2"/>
      <c r="R219"/>
      <c r="S219"/>
      <c r="T219"/>
      <c r="U219"/>
      <c r="V219"/>
    </row>
    <row r="220" spans="10:22" s="1" customFormat="1" x14ac:dyDescent="0.2">
      <c r="J220"/>
      <c r="K220"/>
      <c r="L220"/>
      <c r="M220"/>
      <c r="N220" s="2"/>
      <c r="R220"/>
      <c r="S220"/>
      <c r="T220"/>
      <c r="U220"/>
      <c r="V220"/>
    </row>
    <row r="221" spans="10:22" s="1" customFormat="1" x14ac:dyDescent="0.2">
      <c r="J221"/>
      <c r="K221"/>
      <c r="L221"/>
      <c r="M221"/>
      <c r="N221" s="2"/>
      <c r="R221"/>
      <c r="S221"/>
      <c r="T221"/>
      <c r="U221"/>
      <c r="V221"/>
    </row>
    <row r="222" spans="10:22" s="1" customFormat="1" x14ac:dyDescent="0.2">
      <c r="J222"/>
      <c r="K222"/>
      <c r="L222"/>
      <c r="M222"/>
      <c r="N222" s="2"/>
      <c r="R222"/>
      <c r="S222"/>
      <c r="T222"/>
      <c r="U222"/>
      <c r="V222"/>
    </row>
    <row r="223" spans="10:22" s="1" customFormat="1" x14ac:dyDescent="0.2">
      <c r="J223"/>
      <c r="K223"/>
      <c r="L223"/>
      <c r="M223"/>
      <c r="N223" s="2"/>
      <c r="R223"/>
      <c r="S223"/>
      <c r="T223"/>
      <c r="U223"/>
      <c r="V223"/>
    </row>
    <row r="224" spans="10:22" s="1" customFormat="1" x14ac:dyDescent="0.2">
      <c r="J224"/>
      <c r="K224"/>
      <c r="L224"/>
      <c r="M224"/>
      <c r="N224" s="2"/>
      <c r="R224"/>
      <c r="S224"/>
      <c r="T224"/>
      <c r="U224"/>
      <c r="V224"/>
    </row>
    <row r="225" spans="10:22" s="1" customFormat="1" x14ac:dyDescent="0.2">
      <c r="J225"/>
      <c r="K225"/>
      <c r="L225"/>
      <c r="M225"/>
      <c r="N225" s="2"/>
      <c r="R225"/>
      <c r="S225"/>
      <c r="T225"/>
      <c r="U225"/>
      <c r="V225"/>
    </row>
    <row r="226" spans="10:22" s="1" customFormat="1" x14ac:dyDescent="0.2">
      <c r="J226"/>
      <c r="K226"/>
      <c r="L226"/>
      <c r="M226"/>
      <c r="N226" s="2"/>
      <c r="R226"/>
      <c r="S226"/>
      <c r="T226"/>
      <c r="U226"/>
      <c r="V226"/>
    </row>
    <row r="227" spans="10:22" s="1" customFormat="1" x14ac:dyDescent="0.2">
      <c r="J227"/>
      <c r="K227"/>
      <c r="L227"/>
      <c r="M227"/>
      <c r="N227" s="2"/>
      <c r="R227"/>
      <c r="S227"/>
      <c r="T227"/>
      <c r="U227"/>
      <c r="V227"/>
    </row>
    <row r="228" spans="10:22" s="1" customFormat="1" x14ac:dyDescent="0.2">
      <c r="J228"/>
      <c r="K228"/>
      <c r="L228"/>
      <c r="M228"/>
      <c r="N228" s="2"/>
      <c r="R228"/>
      <c r="S228"/>
      <c r="T228"/>
      <c r="U228"/>
      <c r="V228"/>
    </row>
    <row r="229" spans="10:22" s="1" customFormat="1" x14ac:dyDescent="0.2">
      <c r="J229"/>
      <c r="K229"/>
      <c r="L229"/>
      <c r="M229"/>
      <c r="N229" s="2"/>
      <c r="R229"/>
      <c r="S229"/>
      <c r="T229"/>
      <c r="U229"/>
      <c r="V229"/>
    </row>
    <row r="230" spans="10:22" s="1" customFormat="1" x14ac:dyDescent="0.2">
      <c r="J230"/>
      <c r="K230"/>
      <c r="L230"/>
      <c r="M230"/>
      <c r="N230" s="2"/>
      <c r="R230"/>
      <c r="S230"/>
      <c r="T230"/>
      <c r="U230"/>
      <c r="V230"/>
    </row>
    <row r="231" spans="10:22" s="1" customFormat="1" x14ac:dyDescent="0.2">
      <c r="J231"/>
      <c r="K231"/>
      <c r="L231"/>
      <c r="M231"/>
      <c r="N231" s="2"/>
      <c r="R231"/>
      <c r="S231"/>
      <c r="T231"/>
      <c r="U231"/>
      <c r="V231"/>
    </row>
    <row r="232" spans="10:22" s="1" customFormat="1" x14ac:dyDescent="0.2">
      <c r="J232"/>
      <c r="K232"/>
      <c r="L232"/>
      <c r="M232"/>
      <c r="N232" s="2"/>
      <c r="R232"/>
      <c r="S232"/>
      <c r="T232"/>
      <c r="U232"/>
      <c r="V232"/>
    </row>
    <row r="233" spans="10:22" s="1" customFormat="1" x14ac:dyDescent="0.2">
      <c r="J233"/>
      <c r="K233"/>
      <c r="L233"/>
      <c r="M233"/>
      <c r="N233" s="2"/>
      <c r="R233"/>
      <c r="S233"/>
      <c r="T233"/>
      <c r="U233"/>
      <c r="V233"/>
    </row>
    <row r="234" spans="10:22" s="1" customFormat="1" x14ac:dyDescent="0.2">
      <c r="J234"/>
      <c r="K234"/>
      <c r="L234"/>
      <c r="M234"/>
      <c r="N234" s="2"/>
      <c r="R234"/>
      <c r="S234"/>
      <c r="T234"/>
      <c r="U234"/>
      <c r="V234"/>
    </row>
    <row r="235" spans="10:22" s="1" customFormat="1" x14ac:dyDescent="0.2">
      <c r="J235"/>
      <c r="K235"/>
      <c r="L235"/>
      <c r="M235"/>
      <c r="N235" s="2"/>
      <c r="R235"/>
      <c r="S235"/>
      <c r="T235"/>
      <c r="U235"/>
      <c r="V235"/>
    </row>
    <row r="236" spans="10:22" s="1" customFormat="1" x14ac:dyDescent="0.2">
      <c r="J236"/>
      <c r="K236"/>
      <c r="L236"/>
      <c r="M236"/>
      <c r="N236" s="2"/>
      <c r="R236"/>
      <c r="S236"/>
      <c r="T236"/>
      <c r="U236"/>
      <c r="V236"/>
    </row>
    <row r="237" spans="10:22" s="1" customFormat="1" x14ac:dyDescent="0.2">
      <c r="J237"/>
      <c r="K237"/>
      <c r="L237"/>
      <c r="M237"/>
      <c r="N237" s="2"/>
      <c r="R237"/>
      <c r="S237"/>
      <c r="T237"/>
      <c r="U237"/>
      <c r="V237"/>
    </row>
    <row r="238" spans="10:22" s="1" customFormat="1" x14ac:dyDescent="0.2">
      <c r="J238"/>
      <c r="K238"/>
      <c r="L238"/>
      <c r="M238"/>
      <c r="N238" s="2"/>
      <c r="R238"/>
      <c r="S238"/>
      <c r="T238"/>
      <c r="U238"/>
      <c r="V238"/>
    </row>
    <row r="239" spans="10:22" s="1" customFormat="1" x14ac:dyDescent="0.2">
      <c r="J239"/>
      <c r="K239"/>
      <c r="L239"/>
      <c r="M239"/>
      <c r="N239" s="2"/>
      <c r="R239"/>
      <c r="S239"/>
      <c r="T239"/>
      <c r="U239"/>
      <c r="V239"/>
    </row>
    <row r="240" spans="10:22" s="1" customFormat="1" x14ac:dyDescent="0.2">
      <c r="J240"/>
      <c r="K240"/>
      <c r="L240"/>
      <c r="M240"/>
      <c r="N240" s="2"/>
      <c r="R240"/>
      <c r="S240"/>
      <c r="T240"/>
      <c r="U240"/>
      <c r="V240"/>
    </row>
    <row r="241" spans="10:22" s="1" customFormat="1" x14ac:dyDescent="0.2">
      <c r="J241"/>
      <c r="K241"/>
      <c r="L241"/>
      <c r="M241"/>
      <c r="N241" s="2"/>
      <c r="R241"/>
      <c r="S241"/>
      <c r="T241"/>
      <c r="U241"/>
      <c r="V241"/>
    </row>
    <row r="242" spans="10:22" s="1" customFormat="1" x14ac:dyDescent="0.2">
      <c r="J242"/>
      <c r="K242"/>
      <c r="L242"/>
      <c r="M242"/>
      <c r="N242" s="2"/>
      <c r="R242"/>
      <c r="S242"/>
      <c r="T242"/>
      <c r="U242"/>
      <c r="V242"/>
    </row>
    <row r="243" spans="10:22" s="1" customFormat="1" x14ac:dyDescent="0.2">
      <c r="J243"/>
      <c r="K243"/>
      <c r="L243"/>
      <c r="M243"/>
      <c r="N243" s="2"/>
      <c r="R243"/>
      <c r="S243"/>
      <c r="T243"/>
      <c r="U243"/>
      <c r="V243"/>
    </row>
    <row r="244" spans="10:22" s="1" customFormat="1" x14ac:dyDescent="0.2">
      <c r="J244"/>
      <c r="K244"/>
      <c r="L244"/>
      <c r="M244"/>
      <c r="N244" s="2"/>
      <c r="R244"/>
      <c r="S244"/>
      <c r="T244"/>
      <c r="U244"/>
      <c r="V244"/>
    </row>
    <row r="245" spans="10:22" s="1" customFormat="1" x14ac:dyDescent="0.2">
      <c r="J245"/>
      <c r="K245"/>
      <c r="L245"/>
      <c r="M245"/>
      <c r="N245" s="2"/>
      <c r="R245"/>
      <c r="S245"/>
      <c r="T245"/>
      <c r="U245"/>
      <c r="V245"/>
    </row>
    <row r="246" spans="10:22" s="1" customFormat="1" x14ac:dyDescent="0.2">
      <c r="J246"/>
      <c r="K246"/>
      <c r="L246"/>
      <c r="M246"/>
      <c r="N246" s="2"/>
      <c r="R246"/>
      <c r="S246"/>
      <c r="T246"/>
      <c r="U246"/>
      <c r="V246"/>
    </row>
    <row r="247" spans="10:22" s="1" customFormat="1" x14ac:dyDescent="0.2">
      <c r="J247"/>
      <c r="K247"/>
      <c r="L247"/>
      <c r="M247"/>
      <c r="N247" s="2"/>
      <c r="R247"/>
      <c r="S247"/>
      <c r="T247"/>
      <c r="U247"/>
      <c r="V247"/>
    </row>
    <row r="248" spans="10:22" s="1" customFormat="1" x14ac:dyDescent="0.2">
      <c r="J248"/>
      <c r="K248"/>
      <c r="L248"/>
      <c r="M248"/>
      <c r="N248" s="2"/>
      <c r="R248"/>
      <c r="S248"/>
      <c r="T248"/>
      <c r="U248"/>
      <c r="V248"/>
    </row>
    <row r="249" spans="10:22" s="1" customFormat="1" x14ac:dyDescent="0.2">
      <c r="J249"/>
      <c r="K249"/>
      <c r="L249"/>
      <c r="M249"/>
      <c r="N249" s="2"/>
      <c r="R249"/>
      <c r="S249"/>
      <c r="T249"/>
      <c r="U249"/>
      <c r="V249"/>
    </row>
    <row r="250" spans="10:22" s="1" customFormat="1" x14ac:dyDescent="0.2">
      <c r="J250"/>
      <c r="K250"/>
      <c r="L250"/>
      <c r="M250"/>
      <c r="N250" s="2"/>
      <c r="R250"/>
      <c r="S250"/>
      <c r="T250"/>
      <c r="U250"/>
      <c r="V250"/>
    </row>
    <row r="251" spans="10:22" s="1" customFormat="1" x14ac:dyDescent="0.2">
      <c r="J251"/>
      <c r="K251"/>
      <c r="L251"/>
      <c r="M251"/>
      <c r="N251" s="2"/>
      <c r="R251"/>
      <c r="S251"/>
      <c r="T251"/>
      <c r="U251"/>
      <c r="V251"/>
    </row>
    <row r="252" spans="10:22" s="1" customFormat="1" x14ac:dyDescent="0.2">
      <c r="J252"/>
      <c r="K252"/>
      <c r="L252"/>
      <c r="M252"/>
      <c r="N252" s="2"/>
      <c r="R252"/>
      <c r="S252"/>
      <c r="T252"/>
      <c r="U252"/>
      <c r="V252"/>
    </row>
    <row r="253" spans="10:22" s="1" customFormat="1" x14ac:dyDescent="0.2">
      <c r="J253"/>
      <c r="K253"/>
      <c r="L253"/>
      <c r="M253"/>
      <c r="N253" s="2"/>
      <c r="R253"/>
      <c r="S253"/>
      <c r="T253"/>
      <c r="U253"/>
      <c r="V253"/>
    </row>
    <row r="254" spans="10:22" s="1" customFormat="1" x14ac:dyDescent="0.2">
      <c r="J254"/>
      <c r="K254"/>
      <c r="L254"/>
      <c r="M254"/>
      <c r="N254" s="2"/>
      <c r="R254"/>
      <c r="S254"/>
      <c r="T254"/>
      <c r="U254"/>
      <c r="V254"/>
    </row>
    <row r="255" spans="10:22" s="1" customFormat="1" x14ac:dyDescent="0.2">
      <c r="J255"/>
      <c r="K255"/>
      <c r="L255"/>
      <c r="M255"/>
      <c r="N255" s="2"/>
      <c r="R255"/>
      <c r="S255"/>
      <c r="T255"/>
      <c r="U255"/>
      <c r="V255"/>
    </row>
    <row r="256" spans="10:22" s="1" customFormat="1" x14ac:dyDescent="0.2">
      <c r="J256"/>
      <c r="K256"/>
      <c r="L256"/>
      <c r="M256"/>
      <c r="N256" s="2"/>
      <c r="R256"/>
      <c r="S256"/>
      <c r="T256"/>
      <c r="U256"/>
      <c r="V256"/>
    </row>
    <row r="257" spans="10:22" s="1" customFormat="1" x14ac:dyDescent="0.2">
      <c r="J257"/>
      <c r="K257"/>
      <c r="L257"/>
      <c r="M257"/>
      <c r="N257" s="2"/>
      <c r="R257"/>
      <c r="S257"/>
      <c r="T257"/>
      <c r="U257"/>
      <c r="V257"/>
    </row>
    <row r="258" spans="10:22" s="1" customFormat="1" x14ac:dyDescent="0.2">
      <c r="J258"/>
      <c r="K258"/>
      <c r="L258"/>
      <c r="M258"/>
      <c r="N258" s="2"/>
      <c r="R258"/>
      <c r="S258"/>
      <c r="T258"/>
      <c r="U258"/>
      <c r="V258"/>
    </row>
    <row r="259" spans="10:22" s="1" customFormat="1" x14ac:dyDescent="0.2">
      <c r="J259"/>
      <c r="K259"/>
      <c r="L259"/>
      <c r="M259"/>
      <c r="N259" s="2"/>
      <c r="R259"/>
      <c r="S259"/>
      <c r="T259"/>
      <c r="U259"/>
      <c r="V259"/>
    </row>
    <row r="260" spans="10:22" s="1" customFormat="1" x14ac:dyDescent="0.2">
      <c r="J260"/>
      <c r="K260"/>
      <c r="L260"/>
      <c r="M260"/>
      <c r="N260" s="2"/>
      <c r="R260"/>
      <c r="S260"/>
      <c r="T260"/>
      <c r="U260"/>
      <c r="V260"/>
    </row>
    <row r="261" spans="10:22" s="1" customFormat="1" x14ac:dyDescent="0.2">
      <c r="J261"/>
      <c r="K261"/>
      <c r="L261"/>
      <c r="M261"/>
      <c r="N261" s="2"/>
      <c r="R261"/>
      <c r="S261"/>
      <c r="T261"/>
      <c r="U261"/>
      <c r="V261"/>
    </row>
    <row r="262" spans="10:22" s="1" customFormat="1" x14ac:dyDescent="0.2">
      <c r="J262"/>
      <c r="K262"/>
      <c r="L262"/>
      <c r="M262"/>
      <c r="N262" s="2"/>
      <c r="R262"/>
      <c r="S262"/>
      <c r="T262"/>
      <c r="U262"/>
      <c r="V262"/>
    </row>
    <row r="263" spans="10:22" s="1" customFormat="1" x14ac:dyDescent="0.2">
      <c r="J263"/>
      <c r="K263"/>
      <c r="L263"/>
      <c r="M263"/>
      <c r="N263" s="2"/>
      <c r="R263"/>
      <c r="S263"/>
      <c r="T263"/>
      <c r="U263"/>
      <c r="V263"/>
    </row>
    <row r="264" spans="10:22" s="1" customFormat="1" x14ac:dyDescent="0.2">
      <c r="J264"/>
      <c r="K264"/>
      <c r="L264"/>
      <c r="M264"/>
      <c r="N264" s="2"/>
      <c r="R264"/>
      <c r="S264"/>
      <c r="T264"/>
      <c r="U264"/>
      <c r="V264"/>
    </row>
    <row r="265" spans="10:22" s="1" customFormat="1" x14ac:dyDescent="0.2">
      <c r="J265"/>
      <c r="K265"/>
      <c r="L265"/>
      <c r="M265"/>
      <c r="N265" s="2"/>
      <c r="R265"/>
      <c r="S265"/>
      <c r="T265"/>
      <c r="U265"/>
      <c r="V265"/>
    </row>
    <row r="266" spans="10:22" s="1" customFormat="1" x14ac:dyDescent="0.2">
      <c r="J266"/>
      <c r="K266"/>
      <c r="L266"/>
      <c r="M266"/>
      <c r="N266" s="2"/>
      <c r="R266"/>
      <c r="S266"/>
      <c r="T266"/>
      <c r="U266"/>
      <c r="V266"/>
    </row>
    <row r="267" spans="10:22" s="1" customFormat="1" x14ac:dyDescent="0.2">
      <c r="J267"/>
      <c r="K267"/>
      <c r="L267"/>
      <c r="M267"/>
      <c r="N267" s="2"/>
      <c r="R267"/>
      <c r="S267"/>
      <c r="T267"/>
      <c r="U267"/>
      <c r="V267"/>
    </row>
    <row r="268" spans="10:22" s="1" customFormat="1" x14ac:dyDescent="0.2">
      <c r="J268"/>
      <c r="K268"/>
      <c r="L268"/>
      <c r="M268"/>
      <c r="N268" s="2"/>
      <c r="R268"/>
      <c r="S268"/>
      <c r="T268"/>
      <c r="U268"/>
      <c r="V268"/>
    </row>
    <row r="269" spans="10:22" s="1" customFormat="1" x14ac:dyDescent="0.2">
      <c r="J269"/>
      <c r="K269"/>
      <c r="L269"/>
      <c r="M269"/>
      <c r="N269" s="2"/>
      <c r="R269"/>
      <c r="S269"/>
      <c r="T269"/>
      <c r="U269"/>
      <c r="V269"/>
    </row>
    <row r="270" spans="10:22" s="1" customFormat="1" x14ac:dyDescent="0.2">
      <c r="J270"/>
      <c r="K270"/>
      <c r="L270"/>
      <c r="M270"/>
      <c r="N270" s="2"/>
      <c r="R270"/>
      <c r="S270"/>
      <c r="T270"/>
      <c r="U270"/>
      <c r="V270"/>
    </row>
    <row r="271" spans="10:22" s="1" customFormat="1" x14ac:dyDescent="0.2">
      <c r="J271"/>
      <c r="K271"/>
      <c r="L271"/>
      <c r="M271"/>
      <c r="N271" s="2"/>
      <c r="R271"/>
      <c r="S271"/>
      <c r="T271"/>
      <c r="U271"/>
      <c r="V271"/>
    </row>
    <row r="272" spans="10:22" s="1" customFormat="1" x14ac:dyDescent="0.2">
      <c r="J272"/>
      <c r="K272"/>
      <c r="L272"/>
      <c r="M272"/>
      <c r="N272" s="2"/>
      <c r="R272"/>
      <c r="S272"/>
      <c r="T272"/>
      <c r="U272"/>
      <c r="V272"/>
    </row>
    <row r="273" spans="10:22" s="1" customFormat="1" x14ac:dyDescent="0.2">
      <c r="J273"/>
      <c r="K273"/>
      <c r="L273"/>
      <c r="M273"/>
      <c r="N273" s="2"/>
      <c r="R273"/>
      <c r="S273"/>
      <c r="T273"/>
      <c r="U273"/>
      <c r="V273"/>
    </row>
    <row r="274" spans="10:22" s="1" customFormat="1" x14ac:dyDescent="0.2">
      <c r="J274"/>
      <c r="K274"/>
      <c r="L274"/>
      <c r="M274"/>
      <c r="N274" s="2"/>
      <c r="R274"/>
      <c r="S274"/>
      <c r="T274"/>
      <c r="U274"/>
      <c r="V274"/>
    </row>
    <row r="275" spans="10:22" s="1" customFormat="1" x14ac:dyDescent="0.2">
      <c r="J275"/>
      <c r="K275"/>
      <c r="L275"/>
      <c r="M275"/>
      <c r="N275" s="2"/>
      <c r="R275"/>
      <c r="S275"/>
      <c r="T275"/>
      <c r="U275"/>
      <c r="V275"/>
    </row>
    <row r="276" spans="10:22" s="1" customFormat="1" x14ac:dyDescent="0.2">
      <c r="J276"/>
      <c r="K276"/>
      <c r="L276"/>
      <c r="M276"/>
      <c r="N276" s="2"/>
      <c r="R276"/>
      <c r="S276"/>
      <c r="T276"/>
      <c r="U276"/>
      <c r="V276"/>
    </row>
    <row r="277" spans="10:22" s="1" customFormat="1" x14ac:dyDescent="0.2">
      <c r="J277"/>
      <c r="K277"/>
      <c r="L277"/>
      <c r="M277"/>
      <c r="N277" s="2"/>
      <c r="R277"/>
      <c r="S277"/>
      <c r="T277"/>
      <c r="U277"/>
      <c r="V277"/>
    </row>
    <row r="278" spans="10:22" s="1" customFormat="1" x14ac:dyDescent="0.2">
      <c r="J278"/>
      <c r="K278"/>
      <c r="L278"/>
      <c r="M278"/>
      <c r="N278" s="2"/>
      <c r="R278"/>
      <c r="S278"/>
      <c r="T278"/>
      <c r="U278"/>
      <c r="V278"/>
    </row>
    <row r="279" spans="10:22" s="1" customFormat="1" x14ac:dyDescent="0.2">
      <c r="J279"/>
      <c r="K279"/>
      <c r="L279"/>
      <c r="M279"/>
      <c r="N279" s="2"/>
      <c r="R279"/>
      <c r="S279"/>
      <c r="T279"/>
      <c r="U279"/>
      <c r="V279"/>
    </row>
    <row r="280" spans="10:22" s="1" customFormat="1" x14ac:dyDescent="0.2">
      <c r="J280"/>
      <c r="K280"/>
      <c r="L280"/>
      <c r="M280"/>
      <c r="N280" s="2"/>
      <c r="R280"/>
      <c r="S280"/>
      <c r="T280"/>
      <c r="U280"/>
      <c r="V280"/>
    </row>
    <row r="281" spans="10:22" s="1" customFormat="1" x14ac:dyDescent="0.2">
      <c r="J281"/>
      <c r="K281"/>
      <c r="L281"/>
      <c r="M281"/>
      <c r="N281" s="2"/>
      <c r="R281"/>
      <c r="S281"/>
      <c r="T281"/>
      <c r="U281"/>
      <c r="V281"/>
    </row>
    <row r="282" spans="10:22" s="1" customFormat="1" x14ac:dyDescent="0.2">
      <c r="J282"/>
      <c r="K282"/>
      <c r="L282"/>
      <c r="M282"/>
      <c r="N282" s="2"/>
      <c r="R282"/>
      <c r="S282"/>
      <c r="T282"/>
      <c r="U282"/>
      <c r="V282"/>
    </row>
    <row r="283" spans="10:22" s="1" customFormat="1" x14ac:dyDescent="0.2">
      <c r="J283"/>
      <c r="K283"/>
      <c r="L283"/>
      <c r="M283"/>
      <c r="N283" s="2"/>
      <c r="R283"/>
      <c r="S283"/>
      <c r="T283"/>
      <c r="U283"/>
      <c r="V283"/>
    </row>
    <row r="284" spans="10:22" s="1" customFormat="1" x14ac:dyDescent="0.2">
      <c r="J284"/>
      <c r="K284"/>
      <c r="L284"/>
      <c r="M284"/>
      <c r="N284" s="2"/>
      <c r="R284"/>
      <c r="S284"/>
      <c r="T284"/>
      <c r="U284"/>
      <c r="V284"/>
    </row>
    <row r="285" spans="10:22" s="1" customFormat="1" x14ac:dyDescent="0.2">
      <c r="J285"/>
      <c r="K285"/>
      <c r="L285"/>
      <c r="M285"/>
      <c r="N285" s="2"/>
      <c r="R285"/>
      <c r="S285"/>
      <c r="T285"/>
      <c r="U285"/>
      <c r="V285"/>
    </row>
    <row r="286" spans="10:22" s="1" customFormat="1" x14ac:dyDescent="0.2">
      <c r="J286"/>
      <c r="K286"/>
      <c r="L286"/>
      <c r="M286"/>
      <c r="N286" s="2"/>
      <c r="R286"/>
      <c r="S286"/>
      <c r="T286"/>
      <c r="U286"/>
      <c r="V286"/>
    </row>
    <row r="287" spans="10:22" s="1" customFormat="1" x14ac:dyDescent="0.2">
      <c r="J287"/>
      <c r="K287"/>
      <c r="L287"/>
      <c r="M287"/>
      <c r="N287" s="2"/>
      <c r="R287"/>
      <c r="S287"/>
      <c r="T287"/>
      <c r="U287"/>
      <c r="V287"/>
    </row>
    <row r="288" spans="10:22" s="1" customFormat="1" x14ac:dyDescent="0.2">
      <c r="J288"/>
      <c r="K288"/>
      <c r="L288"/>
      <c r="M288"/>
      <c r="N288" s="2"/>
      <c r="R288"/>
      <c r="S288"/>
      <c r="T288"/>
      <c r="U288"/>
      <c r="V288"/>
    </row>
    <row r="289" spans="10:22" s="1" customFormat="1" x14ac:dyDescent="0.2">
      <c r="J289"/>
      <c r="K289"/>
      <c r="L289"/>
      <c r="M289"/>
      <c r="N289" s="2"/>
      <c r="R289"/>
      <c r="S289"/>
      <c r="T289"/>
      <c r="U289"/>
      <c r="V289"/>
    </row>
    <row r="290" spans="10:22" s="1" customFormat="1" x14ac:dyDescent="0.2">
      <c r="J290"/>
      <c r="K290"/>
      <c r="L290"/>
      <c r="M290"/>
      <c r="N290" s="2"/>
      <c r="R290"/>
      <c r="S290"/>
      <c r="T290"/>
      <c r="U290"/>
      <c r="V290"/>
    </row>
    <row r="291" spans="10:22" s="1" customFormat="1" x14ac:dyDescent="0.2">
      <c r="J291"/>
      <c r="K291"/>
      <c r="L291"/>
      <c r="M291"/>
      <c r="N291" s="2"/>
      <c r="R291"/>
      <c r="S291"/>
      <c r="T291"/>
      <c r="U291"/>
      <c r="V291"/>
    </row>
    <row r="292" spans="10:22" s="1" customFormat="1" x14ac:dyDescent="0.2">
      <c r="J292"/>
      <c r="K292"/>
      <c r="L292"/>
      <c r="M292"/>
      <c r="N292" s="2"/>
      <c r="R292"/>
      <c r="S292"/>
      <c r="T292"/>
      <c r="U292"/>
      <c r="V292"/>
    </row>
    <row r="293" spans="10:22" s="1" customFormat="1" x14ac:dyDescent="0.2">
      <c r="J293"/>
      <c r="K293"/>
      <c r="L293"/>
      <c r="M293"/>
      <c r="N293" s="2"/>
      <c r="R293"/>
      <c r="S293"/>
      <c r="T293"/>
      <c r="U293"/>
      <c r="V293"/>
    </row>
    <row r="294" spans="10:22" s="1" customFormat="1" x14ac:dyDescent="0.2">
      <c r="J294"/>
      <c r="K294"/>
      <c r="L294"/>
      <c r="M294"/>
      <c r="N294" s="2"/>
      <c r="R294"/>
      <c r="S294"/>
      <c r="T294"/>
      <c r="U294"/>
      <c r="V294"/>
    </row>
    <row r="295" spans="10:22" s="1" customFormat="1" x14ac:dyDescent="0.2">
      <c r="J295"/>
      <c r="K295"/>
      <c r="L295"/>
      <c r="M295"/>
      <c r="N295" s="2"/>
      <c r="R295"/>
      <c r="S295"/>
      <c r="T295"/>
      <c r="U295"/>
      <c r="V295"/>
    </row>
    <row r="296" spans="10:22" s="1" customFormat="1" x14ac:dyDescent="0.2">
      <c r="J296"/>
      <c r="K296"/>
      <c r="L296"/>
      <c r="M296"/>
      <c r="N296" s="2"/>
      <c r="R296"/>
      <c r="S296"/>
      <c r="T296"/>
      <c r="U296"/>
      <c r="V296"/>
    </row>
    <row r="297" spans="10:22" s="1" customFormat="1" x14ac:dyDescent="0.2">
      <c r="J297"/>
      <c r="K297"/>
      <c r="L297"/>
      <c r="M297"/>
      <c r="N297" s="2"/>
      <c r="R297"/>
      <c r="S297"/>
      <c r="T297"/>
      <c r="U297"/>
      <c r="V297"/>
    </row>
    <row r="298" spans="10:22" s="1" customFormat="1" x14ac:dyDescent="0.2">
      <c r="J298"/>
      <c r="K298"/>
      <c r="L298"/>
      <c r="M298"/>
      <c r="N298" s="2"/>
      <c r="R298"/>
      <c r="S298"/>
      <c r="T298"/>
      <c r="U298"/>
      <c r="V298"/>
    </row>
    <row r="299" spans="10:22" s="1" customFormat="1" x14ac:dyDescent="0.2">
      <c r="J299"/>
      <c r="K299"/>
      <c r="L299"/>
      <c r="M299"/>
      <c r="N299" s="2"/>
      <c r="R299"/>
      <c r="S299"/>
      <c r="T299"/>
      <c r="U299"/>
      <c r="V299"/>
    </row>
    <row r="300" spans="10:22" s="1" customFormat="1" x14ac:dyDescent="0.2">
      <c r="J300"/>
      <c r="K300"/>
      <c r="L300"/>
      <c r="M300"/>
      <c r="N300" s="2"/>
      <c r="R300"/>
      <c r="S300"/>
      <c r="T300"/>
      <c r="U300"/>
      <c r="V300"/>
    </row>
    <row r="301" spans="10:22" s="1" customFormat="1" x14ac:dyDescent="0.2">
      <c r="J301"/>
      <c r="K301"/>
      <c r="L301"/>
      <c r="M301"/>
      <c r="N301" s="2"/>
      <c r="R301"/>
      <c r="S301"/>
      <c r="T301"/>
      <c r="U301"/>
      <c r="V301"/>
    </row>
    <row r="302" spans="10:22" s="1" customFormat="1" x14ac:dyDescent="0.2">
      <c r="J302"/>
      <c r="K302"/>
      <c r="L302"/>
      <c r="M302"/>
      <c r="N302" s="2"/>
      <c r="R302"/>
      <c r="S302"/>
      <c r="T302"/>
      <c r="U302"/>
      <c r="V302"/>
    </row>
    <row r="303" spans="10:22" s="1" customFormat="1" x14ac:dyDescent="0.2">
      <c r="J303"/>
      <c r="K303"/>
      <c r="L303"/>
      <c r="M303"/>
      <c r="N303" s="2"/>
      <c r="R303"/>
      <c r="S303"/>
      <c r="T303"/>
      <c r="U303"/>
      <c r="V303"/>
    </row>
    <row r="304" spans="10:22" s="1" customFormat="1" x14ac:dyDescent="0.2">
      <c r="J304"/>
      <c r="K304"/>
      <c r="L304"/>
      <c r="M304"/>
      <c r="N304" s="2"/>
      <c r="R304"/>
      <c r="S304"/>
      <c r="T304"/>
      <c r="U304"/>
      <c r="V304"/>
    </row>
    <row r="305" spans="10:22" s="1" customFormat="1" x14ac:dyDescent="0.2">
      <c r="J305"/>
      <c r="K305"/>
      <c r="L305"/>
      <c r="M305"/>
      <c r="N305" s="2"/>
      <c r="R305"/>
      <c r="S305"/>
      <c r="T305"/>
      <c r="U305"/>
      <c r="V305"/>
    </row>
    <row r="306" spans="10:22" s="1" customFormat="1" x14ac:dyDescent="0.2">
      <c r="J306"/>
      <c r="K306"/>
      <c r="L306"/>
      <c r="M306"/>
      <c r="N306" s="2"/>
      <c r="R306"/>
      <c r="S306"/>
      <c r="T306"/>
      <c r="U306"/>
      <c r="V306"/>
    </row>
    <row r="307" spans="10:22" s="1" customFormat="1" x14ac:dyDescent="0.2">
      <c r="J307"/>
      <c r="K307"/>
      <c r="L307"/>
      <c r="M307"/>
      <c r="N307" s="2"/>
      <c r="R307"/>
      <c r="S307"/>
      <c r="T307"/>
      <c r="U307"/>
      <c r="V307"/>
    </row>
    <row r="308" spans="10:22" s="1" customFormat="1" x14ac:dyDescent="0.2">
      <c r="J308"/>
      <c r="K308"/>
      <c r="L308"/>
      <c r="M308"/>
      <c r="N308" s="2"/>
      <c r="R308"/>
      <c r="S308"/>
      <c r="T308"/>
      <c r="U308"/>
      <c r="V308"/>
    </row>
    <row r="309" spans="10:22" s="1" customFormat="1" x14ac:dyDescent="0.2">
      <c r="J309"/>
      <c r="K309"/>
      <c r="L309"/>
      <c r="M309"/>
      <c r="N309" s="2"/>
      <c r="R309"/>
      <c r="S309"/>
      <c r="T309"/>
      <c r="U309"/>
      <c r="V309"/>
    </row>
    <row r="310" spans="10:22" s="1" customFormat="1" x14ac:dyDescent="0.2">
      <c r="J310"/>
      <c r="K310"/>
      <c r="L310"/>
      <c r="M310"/>
      <c r="N310" s="2"/>
      <c r="R310"/>
      <c r="S310"/>
      <c r="T310"/>
      <c r="U310"/>
      <c r="V310"/>
    </row>
    <row r="311" spans="10:22" s="1" customFormat="1" x14ac:dyDescent="0.2">
      <c r="J311"/>
      <c r="K311"/>
      <c r="L311"/>
      <c r="M311"/>
      <c r="N311" s="2"/>
      <c r="R311"/>
      <c r="S311"/>
      <c r="T311"/>
      <c r="U311"/>
      <c r="V311"/>
    </row>
    <row r="312" spans="10:22" s="1" customFormat="1" x14ac:dyDescent="0.2">
      <c r="J312"/>
      <c r="K312"/>
      <c r="L312"/>
      <c r="M312"/>
      <c r="N312" s="2"/>
      <c r="R312"/>
      <c r="S312"/>
      <c r="T312"/>
      <c r="U312"/>
      <c r="V312"/>
    </row>
    <row r="313" spans="10:22" s="1" customFormat="1" x14ac:dyDescent="0.2">
      <c r="J313"/>
      <c r="K313"/>
      <c r="L313"/>
      <c r="M313"/>
      <c r="N313" s="2"/>
      <c r="R313"/>
      <c r="S313"/>
      <c r="T313"/>
      <c r="U313"/>
      <c r="V313"/>
    </row>
    <row r="314" spans="10:22" s="1" customFormat="1" x14ac:dyDescent="0.2">
      <c r="J314"/>
      <c r="K314"/>
      <c r="L314"/>
      <c r="M314"/>
      <c r="N314" s="2"/>
      <c r="R314"/>
      <c r="S314"/>
      <c r="T314"/>
      <c r="U314"/>
      <c r="V314"/>
    </row>
    <row r="315" spans="10:22" s="1" customFormat="1" x14ac:dyDescent="0.2">
      <c r="J315"/>
      <c r="K315"/>
      <c r="L315"/>
      <c r="M315"/>
      <c r="N315" s="2"/>
      <c r="R315"/>
      <c r="S315"/>
      <c r="T315"/>
      <c r="U315"/>
      <c r="V315"/>
    </row>
    <row r="316" spans="10:22" s="1" customFormat="1" x14ac:dyDescent="0.2">
      <c r="J316"/>
      <c r="K316"/>
      <c r="L316"/>
      <c r="M316"/>
      <c r="N316" s="2"/>
      <c r="R316"/>
      <c r="S316"/>
      <c r="T316"/>
      <c r="U316"/>
      <c r="V316"/>
    </row>
    <row r="317" spans="10:22" s="1" customFormat="1" x14ac:dyDescent="0.2">
      <c r="J317"/>
      <c r="K317"/>
      <c r="L317"/>
      <c r="M317"/>
      <c r="N317" s="2"/>
      <c r="R317"/>
      <c r="S317"/>
      <c r="T317"/>
      <c r="U317"/>
      <c r="V317"/>
    </row>
    <row r="318" spans="10:22" s="1" customFormat="1" x14ac:dyDescent="0.2">
      <c r="J318"/>
      <c r="K318"/>
      <c r="L318"/>
      <c r="M318"/>
      <c r="N318" s="2"/>
      <c r="R318"/>
      <c r="S318"/>
      <c r="T318"/>
      <c r="U318"/>
      <c r="V318"/>
    </row>
    <row r="319" spans="10:22" s="1" customFormat="1" x14ac:dyDescent="0.2">
      <c r="J319"/>
      <c r="K319"/>
      <c r="L319"/>
      <c r="M319"/>
      <c r="N319" s="2"/>
      <c r="R319"/>
      <c r="S319"/>
      <c r="T319"/>
      <c r="U319"/>
      <c r="V319"/>
    </row>
    <row r="320" spans="10:22" s="1" customFormat="1" x14ac:dyDescent="0.2">
      <c r="J320"/>
      <c r="K320"/>
      <c r="L320"/>
      <c r="M320"/>
      <c r="N320" s="2"/>
      <c r="R320"/>
      <c r="S320"/>
      <c r="T320"/>
      <c r="U320"/>
      <c r="V320"/>
    </row>
    <row r="321" spans="10:22" s="1" customFormat="1" x14ac:dyDescent="0.2">
      <c r="J321"/>
      <c r="K321"/>
      <c r="L321"/>
      <c r="M321"/>
      <c r="N321" s="2"/>
      <c r="R321"/>
      <c r="S321"/>
      <c r="T321"/>
      <c r="U321"/>
      <c r="V321"/>
    </row>
    <row r="322" spans="10:22" s="1" customFormat="1" x14ac:dyDescent="0.2">
      <c r="J322"/>
      <c r="K322"/>
      <c r="L322"/>
      <c r="M322"/>
      <c r="N322" s="2"/>
      <c r="R322"/>
      <c r="S322"/>
      <c r="T322"/>
      <c r="U322"/>
      <c r="V322"/>
    </row>
    <row r="323" spans="10:22" s="1" customFormat="1" x14ac:dyDescent="0.2">
      <c r="J323"/>
      <c r="K323"/>
      <c r="L323"/>
      <c r="M323"/>
      <c r="N323" s="2"/>
      <c r="R323"/>
      <c r="S323"/>
      <c r="T323"/>
      <c r="U323"/>
      <c r="V323"/>
    </row>
    <row r="324" spans="10:22" s="1" customFormat="1" x14ac:dyDescent="0.2">
      <c r="J324"/>
      <c r="K324"/>
      <c r="L324"/>
      <c r="M324"/>
      <c r="N324" s="2"/>
      <c r="R324"/>
      <c r="S324"/>
      <c r="T324"/>
      <c r="U324"/>
      <c r="V324"/>
    </row>
    <row r="325" spans="10:22" s="1" customFormat="1" x14ac:dyDescent="0.2">
      <c r="J325"/>
      <c r="K325"/>
      <c r="L325"/>
      <c r="M325"/>
      <c r="N325" s="2"/>
      <c r="R325"/>
      <c r="S325"/>
      <c r="T325"/>
      <c r="U325"/>
      <c r="V325"/>
    </row>
    <row r="326" spans="10:22" s="1" customFormat="1" x14ac:dyDescent="0.2">
      <c r="J326"/>
      <c r="K326"/>
      <c r="L326"/>
      <c r="M326"/>
      <c r="N326" s="2"/>
      <c r="R326"/>
      <c r="S326"/>
      <c r="T326"/>
      <c r="U326"/>
      <c r="V326"/>
    </row>
    <row r="327" spans="10:22" s="1" customFormat="1" x14ac:dyDescent="0.2">
      <c r="J327"/>
      <c r="K327"/>
      <c r="L327"/>
      <c r="M327"/>
      <c r="N327" s="2"/>
      <c r="R327"/>
      <c r="S327"/>
      <c r="T327"/>
      <c r="U327"/>
      <c r="V327"/>
    </row>
    <row r="328" spans="10:22" s="1" customFormat="1" x14ac:dyDescent="0.2">
      <c r="J328"/>
      <c r="K328"/>
      <c r="L328"/>
      <c r="M328"/>
      <c r="N328" s="2"/>
      <c r="R328"/>
      <c r="S328"/>
      <c r="T328"/>
      <c r="U328"/>
      <c r="V328"/>
    </row>
    <row r="329" spans="10:22" s="1" customFormat="1" x14ac:dyDescent="0.2">
      <c r="J329"/>
      <c r="K329"/>
      <c r="L329"/>
      <c r="M329"/>
      <c r="N329" s="2"/>
      <c r="R329"/>
      <c r="S329"/>
      <c r="T329"/>
      <c r="U329"/>
      <c r="V329"/>
    </row>
    <row r="330" spans="10:22" s="1" customFormat="1" x14ac:dyDescent="0.2">
      <c r="J330"/>
      <c r="K330"/>
      <c r="L330"/>
      <c r="M330"/>
      <c r="N330" s="2"/>
      <c r="R330"/>
      <c r="S330"/>
      <c r="T330"/>
      <c r="U330"/>
      <c r="V330"/>
    </row>
    <row r="331" spans="10:22" s="1" customFormat="1" x14ac:dyDescent="0.2">
      <c r="J331"/>
      <c r="K331"/>
      <c r="L331"/>
      <c r="M331"/>
      <c r="N331" s="2"/>
      <c r="R331"/>
      <c r="S331"/>
      <c r="T331"/>
      <c r="U331"/>
      <c r="V331"/>
    </row>
    <row r="332" spans="10:22" s="1" customFormat="1" x14ac:dyDescent="0.2">
      <c r="J332"/>
      <c r="K332"/>
      <c r="L332"/>
      <c r="M332"/>
      <c r="N332" s="2"/>
      <c r="R332"/>
      <c r="S332"/>
      <c r="T332"/>
      <c r="U332"/>
      <c r="V332"/>
    </row>
    <row r="333" spans="10:22" s="1" customFormat="1" x14ac:dyDescent="0.2">
      <c r="J333"/>
      <c r="K333"/>
      <c r="L333"/>
      <c r="M333"/>
      <c r="N333" s="2"/>
      <c r="R333"/>
      <c r="S333"/>
      <c r="T333"/>
      <c r="U333"/>
      <c r="V333"/>
    </row>
    <row r="334" spans="10:22" s="1" customFormat="1" x14ac:dyDescent="0.2">
      <c r="J334"/>
      <c r="K334"/>
      <c r="L334"/>
      <c r="M334"/>
      <c r="N334" s="2"/>
      <c r="R334"/>
      <c r="S334"/>
      <c r="T334"/>
      <c r="U334"/>
      <c r="V334"/>
    </row>
    <row r="335" spans="10:22" s="1" customFormat="1" x14ac:dyDescent="0.2">
      <c r="J335"/>
      <c r="K335"/>
      <c r="L335"/>
      <c r="M335"/>
      <c r="N335" s="2"/>
      <c r="R335"/>
      <c r="S335"/>
      <c r="T335"/>
      <c r="U335"/>
      <c r="V335"/>
    </row>
    <row r="336" spans="10:22" s="1" customFormat="1" x14ac:dyDescent="0.2">
      <c r="J336"/>
      <c r="K336"/>
      <c r="L336"/>
      <c r="M336"/>
      <c r="N336" s="2"/>
      <c r="R336"/>
      <c r="S336"/>
      <c r="T336"/>
      <c r="U336"/>
      <c r="V336"/>
    </row>
    <row r="337" spans="10:22" s="1" customFormat="1" x14ac:dyDescent="0.2">
      <c r="J337"/>
      <c r="K337"/>
      <c r="L337"/>
      <c r="M337"/>
      <c r="N337" s="2"/>
      <c r="R337"/>
      <c r="S337"/>
      <c r="T337"/>
      <c r="U337"/>
      <c r="V337"/>
    </row>
    <row r="338" spans="10:22" s="1" customFormat="1" x14ac:dyDescent="0.2">
      <c r="J338"/>
      <c r="K338"/>
      <c r="L338"/>
      <c r="M338"/>
      <c r="N338" s="2"/>
      <c r="R338"/>
      <c r="S338"/>
      <c r="T338"/>
      <c r="U338"/>
      <c r="V338"/>
    </row>
    <row r="339" spans="10:22" s="1" customFormat="1" x14ac:dyDescent="0.2">
      <c r="J339"/>
      <c r="K339"/>
      <c r="L339"/>
      <c r="M339"/>
      <c r="N339" s="2"/>
      <c r="R339"/>
      <c r="S339"/>
      <c r="T339"/>
      <c r="U339"/>
      <c r="V339"/>
    </row>
    <row r="340" spans="10:22" s="1" customFormat="1" x14ac:dyDescent="0.2">
      <c r="J340"/>
      <c r="K340"/>
      <c r="L340"/>
      <c r="M340"/>
      <c r="N340" s="2"/>
      <c r="R340"/>
      <c r="S340"/>
      <c r="T340"/>
      <c r="U340"/>
      <c r="V340"/>
    </row>
    <row r="341" spans="10:22" s="1" customFormat="1" x14ac:dyDescent="0.2">
      <c r="J341"/>
      <c r="K341"/>
      <c r="L341"/>
      <c r="M341"/>
      <c r="N341" s="2"/>
      <c r="R341"/>
      <c r="S341"/>
      <c r="T341"/>
      <c r="U341"/>
      <c r="V341"/>
    </row>
    <row r="342" spans="10:22" s="1" customFormat="1" x14ac:dyDescent="0.2">
      <c r="J342"/>
      <c r="K342"/>
      <c r="L342"/>
      <c r="M342"/>
      <c r="N342" s="2"/>
      <c r="R342"/>
      <c r="S342"/>
      <c r="T342"/>
      <c r="U342"/>
      <c r="V342"/>
    </row>
    <row r="343" spans="10:22" s="1" customFormat="1" x14ac:dyDescent="0.2">
      <c r="J343"/>
      <c r="K343"/>
      <c r="L343"/>
      <c r="M343"/>
      <c r="N343" s="2"/>
      <c r="R343"/>
      <c r="S343"/>
      <c r="T343"/>
      <c r="U343"/>
      <c r="V343"/>
    </row>
    <row r="344" spans="10:22" s="1" customFormat="1" x14ac:dyDescent="0.2">
      <c r="J344"/>
      <c r="K344"/>
      <c r="L344"/>
      <c r="M344"/>
      <c r="N344" s="2"/>
      <c r="R344"/>
      <c r="S344"/>
      <c r="T344"/>
      <c r="U344"/>
      <c r="V344"/>
    </row>
    <row r="345" spans="10:22" s="1" customFormat="1" x14ac:dyDescent="0.2">
      <c r="J345"/>
      <c r="K345"/>
      <c r="L345"/>
      <c r="M345"/>
      <c r="N345" s="2"/>
      <c r="R345"/>
      <c r="S345"/>
      <c r="T345"/>
      <c r="U345"/>
      <c r="V345"/>
    </row>
    <row r="346" spans="10:22" s="1" customFormat="1" x14ac:dyDescent="0.2">
      <c r="J346"/>
      <c r="K346"/>
      <c r="L346"/>
      <c r="M346"/>
      <c r="N346" s="2"/>
      <c r="R346"/>
      <c r="S346"/>
      <c r="T346"/>
      <c r="U346"/>
      <c r="V346"/>
    </row>
    <row r="347" spans="10:22" s="1" customFormat="1" x14ac:dyDescent="0.2">
      <c r="J347"/>
      <c r="K347"/>
      <c r="L347"/>
      <c r="M347"/>
      <c r="N347" s="2"/>
      <c r="R347"/>
      <c r="S347"/>
      <c r="T347"/>
      <c r="U347"/>
      <c r="V347"/>
    </row>
    <row r="348" spans="10:22" s="1" customFormat="1" x14ac:dyDescent="0.2">
      <c r="J348"/>
      <c r="K348"/>
      <c r="L348"/>
      <c r="M348"/>
      <c r="N348" s="2"/>
      <c r="R348"/>
      <c r="S348"/>
      <c r="T348"/>
      <c r="U348"/>
      <c r="V348"/>
    </row>
    <row r="349" spans="10:22" s="1" customFormat="1" x14ac:dyDescent="0.2">
      <c r="J349"/>
      <c r="K349"/>
      <c r="L349"/>
      <c r="M349"/>
      <c r="N349" s="2"/>
      <c r="R349"/>
      <c r="S349"/>
      <c r="T349"/>
      <c r="U349"/>
      <c r="V349"/>
    </row>
    <row r="350" spans="10:22" s="1" customFormat="1" x14ac:dyDescent="0.2">
      <c r="J350"/>
      <c r="K350"/>
      <c r="L350"/>
      <c r="M350"/>
      <c r="N350" s="2"/>
      <c r="R350"/>
      <c r="S350"/>
      <c r="T350"/>
      <c r="U350"/>
      <c r="V350"/>
    </row>
    <row r="351" spans="10:22" s="1" customFormat="1" x14ac:dyDescent="0.2">
      <c r="J351"/>
      <c r="K351"/>
      <c r="L351"/>
      <c r="M351"/>
      <c r="N351" s="2"/>
      <c r="R351"/>
      <c r="S351"/>
      <c r="T351"/>
      <c r="U351"/>
      <c r="V351"/>
    </row>
    <row r="352" spans="10:22" s="1" customFormat="1" x14ac:dyDescent="0.2">
      <c r="J352"/>
      <c r="K352"/>
      <c r="L352"/>
      <c r="M352"/>
      <c r="N352" s="2"/>
      <c r="R352"/>
      <c r="S352"/>
      <c r="T352"/>
      <c r="U352"/>
      <c r="V352"/>
    </row>
    <row r="353" spans="10:22" s="1" customFormat="1" x14ac:dyDescent="0.2">
      <c r="J353"/>
      <c r="K353"/>
      <c r="L353"/>
      <c r="M353"/>
      <c r="N353" s="2"/>
      <c r="R353"/>
      <c r="S353"/>
      <c r="T353"/>
      <c r="U353"/>
      <c r="V353"/>
    </row>
    <row r="354" spans="10:22" s="1" customFormat="1" x14ac:dyDescent="0.2">
      <c r="J354"/>
      <c r="K354"/>
      <c r="L354"/>
      <c r="M354"/>
      <c r="N354" s="2"/>
      <c r="R354"/>
      <c r="S354"/>
      <c r="T354"/>
      <c r="U354"/>
      <c r="V354"/>
    </row>
    <row r="355" spans="10:22" s="1" customFormat="1" x14ac:dyDescent="0.2">
      <c r="J355"/>
      <c r="K355"/>
      <c r="L355"/>
      <c r="M355"/>
      <c r="N355" s="2"/>
      <c r="R355"/>
      <c r="S355"/>
      <c r="T355"/>
      <c r="U355"/>
      <c r="V355"/>
    </row>
    <row r="356" spans="10:22" s="1" customFormat="1" x14ac:dyDescent="0.2">
      <c r="J356"/>
      <c r="K356"/>
      <c r="L356"/>
      <c r="M356"/>
      <c r="N356" s="2"/>
      <c r="R356"/>
      <c r="S356"/>
      <c r="T356"/>
      <c r="U356"/>
      <c r="V356"/>
    </row>
    <row r="357" spans="10:22" s="1" customFormat="1" x14ac:dyDescent="0.2">
      <c r="J357"/>
      <c r="K357"/>
      <c r="L357"/>
      <c r="M357"/>
      <c r="N357" s="2"/>
      <c r="R357"/>
      <c r="S357"/>
      <c r="T357"/>
      <c r="U357"/>
      <c r="V357"/>
    </row>
    <row r="358" spans="10:22" s="1" customFormat="1" x14ac:dyDescent="0.2">
      <c r="J358"/>
      <c r="K358"/>
      <c r="L358"/>
      <c r="M358"/>
      <c r="N358" s="2"/>
      <c r="R358"/>
      <c r="S358"/>
      <c r="T358"/>
      <c r="U358"/>
      <c r="V358"/>
    </row>
    <row r="359" spans="10:22" s="1" customFormat="1" x14ac:dyDescent="0.2">
      <c r="J359"/>
      <c r="K359"/>
      <c r="L359"/>
      <c r="M359"/>
      <c r="N359" s="2"/>
      <c r="R359"/>
      <c r="S359"/>
      <c r="T359"/>
      <c r="U359"/>
      <c r="V359"/>
    </row>
    <row r="360" spans="10:22" s="1" customFormat="1" x14ac:dyDescent="0.2">
      <c r="J360"/>
      <c r="K360"/>
      <c r="L360"/>
      <c r="M360"/>
      <c r="N360" s="2"/>
      <c r="R360"/>
      <c r="S360"/>
      <c r="T360"/>
      <c r="U360"/>
      <c r="V360"/>
    </row>
    <row r="361" spans="10:22" s="1" customFormat="1" x14ac:dyDescent="0.2">
      <c r="J361"/>
      <c r="K361"/>
      <c r="L361"/>
      <c r="M361"/>
      <c r="N361" s="2"/>
      <c r="R361"/>
      <c r="S361"/>
      <c r="T361"/>
      <c r="U361"/>
      <c r="V361"/>
    </row>
    <row r="362" spans="10:22" s="1" customFormat="1" x14ac:dyDescent="0.2">
      <c r="J362"/>
      <c r="K362"/>
      <c r="L362"/>
      <c r="M362"/>
      <c r="N362" s="2"/>
      <c r="R362"/>
      <c r="S362"/>
      <c r="T362"/>
      <c r="U362"/>
      <c r="V362"/>
    </row>
    <row r="363" spans="10:22" s="1" customFormat="1" x14ac:dyDescent="0.2">
      <c r="J363"/>
      <c r="K363"/>
      <c r="L363"/>
      <c r="M363"/>
      <c r="N363" s="2"/>
      <c r="R363"/>
      <c r="S363"/>
      <c r="T363"/>
      <c r="U363"/>
      <c r="V363"/>
    </row>
    <row r="364" spans="10:22" s="1" customFormat="1" x14ac:dyDescent="0.2">
      <c r="J364"/>
      <c r="K364"/>
      <c r="L364"/>
      <c r="M364"/>
      <c r="N364" s="2"/>
      <c r="R364"/>
      <c r="S364"/>
      <c r="T364"/>
      <c r="U364"/>
      <c r="V364"/>
    </row>
    <row r="365" spans="10:22" s="1" customFormat="1" x14ac:dyDescent="0.2">
      <c r="J365"/>
      <c r="K365"/>
      <c r="L365"/>
      <c r="M365"/>
      <c r="N365" s="2"/>
      <c r="R365"/>
      <c r="S365"/>
      <c r="T365"/>
      <c r="U365"/>
      <c r="V365"/>
    </row>
    <row r="366" spans="10:22" s="1" customFormat="1" x14ac:dyDescent="0.2">
      <c r="J366"/>
      <c r="K366"/>
      <c r="L366"/>
      <c r="M366"/>
      <c r="N366" s="2"/>
      <c r="R366"/>
      <c r="S366"/>
      <c r="T366"/>
      <c r="U366"/>
      <c r="V366"/>
    </row>
    <row r="367" spans="10:22" s="1" customFormat="1" x14ac:dyDescent="0.2">
      <c r="J367"/>
      <c r="K367"/>
      <c r="L367"/>
      <c r="M367"/>
      <c r="N367" s="2"/>
      <c r="R367"/>
      <c r="S367"/>
      <c r="T367"/>
      <c r="U367"/>
      <c r="V367"/>
    </row>
    <row r="368" spans="10:22" s="1" customFormat="1" x14ac:dyDescent="0.2">
      <c r="J368"/>
      <c r="K368"/>
      <c r="L368"/>
      <c r="M368"/>
      <c r="N368" s="2"/>
      <c r="R368"/>
      <c r="S368"/>
      <c r="T368"/>
      <c r="U368"/>
      <c r="V368"/>
    </row>
    <row r="369" spans="10:22" s="1" customFormat="1" x14ac:dyDescent="0.2">
      <c r="J369"/>
      <c r="K369"/>
      <c r="L369"/>
      <c r="M369"/>
      <c r="N369" s="2"/>
      <c r="R369"/>
      <c r="S369"/>
      <c r="T369"/>
      <c r="U369"/>
      <c r="V369"/>
    </row>
    <row r="370" spans="10:22" s="1" customFormat="1" x14ac:dyDescent="0.2">
      <c r="J370"/>
      <c r="K370"/>
      <c r="L370"/>
      <c r="M370"/>
      <c r="N370" s="2"/>
      <c r="R370"/>
      <c r="S370"/>
      <c r="T370"/>
      <c r="U370"/>
      <c r="V370"/>
    </row>
    <row r="371" spans="10:22" s="1" customFormat="1" x14ac:dyDescent="0.2">
      <c r="J371"/>
      <c r="K371"/>
      <c r="L371"/>
      <c r="M371"/>
      <c r="N371" s="2"/>
      <c r="R371"/>
      <c r="S371"/>
      <c r="T371"/>
      <c r="U371"/>
      <c r="V371"/>
    </row>
    <row r="372" spans="10:22" s="1" customFormat="1" x14ac:dyDescent="0.2">
      <c r="J372"/>
      <c r="K372"/>
      <c r="L372"/>
      <c r="M372"/>
      <c r="N372" s="2"/>
      <c r="R372"/>
      <c r="S372"/>
      <c r="T372"/>
      <c r="U372"/>
      <c r="V372"/>
    </row>
    <row r="373" spans="10:22" s="1" customFormat="1" x14ac:dyDescent="0.2">
      <c r="J373"/>
      <c r="K373"/>
      <c r="L373"/>
      <c r="M373"/>
      <c r="N373" s="2"/>
      <c r="R373"/>
      <c r="S373"/>
      <c r="T373"/>
      <c r="U373"/>
      <c r="V373"/>
    </row>
    <row r="374" spans="10:22" s="1" customFormat="1" x14ac:dyDescent="0.2">
      <c r="J374"/>
      <c r="K374"/>
      <c r="L374"/>
      <c r="M374"/>
      <c r="N374" s="2"/>
      <c r="R374"/>
      <c r="S374"/>
      <c r="T374"/>
      <c r="U374"/>
      <c r="V374"/>
    </row>
    <row r="375" spans="10:22" s="1" customFormat="1" x14ac:dyDescent="0.2">
      <c r="J375"/>
      <c r="K375"/>
      <c r="L375"/>
      <c r="M375"/>
      <c r="N375" s="2"/>
      <c r="R375"/>
      <c r="S375"/>
      <c r="T375"/>
      <c r="U375"/>
      <c r="V375"/>
    </row>
    <row r="376" spans="10:22" s="1" customFormat="1" x14ac:dyDescent="0.2">
      <c r="J376"/>
      <c r="K376"/>
      <c r="L376"/>
      <c r="M376"/>
      <c r="N376" s="2"/>
      <c r="R376"/>
      <c r="S376"/>
      <c r="T376"/>
      <c r="U376"/>
      <c r="V376"/>
    </row>
    <row r="377" spans="10:22" s="1" customFormat="1" x14ac:dyDescent="0.2">
      <c r="J377"/>
      <c r="K377"/>
      <c r="L377"/>
      <c r="M377"/>
      <c r="N377" s="2"/>
      <c r="R377"/>
      <c r="S377"/>
      <c r="T377"/>
      <c r="U377"/>
      <c r="V377"/>
    </row>
    <row r="378" spans="10:22" s="1" customFormat="1" x14ac:dyDescent="0.2">
      <c r="J378"/>
      <c r="K378"/>
      <c r="L378"/>
      <c r="M378"/>
      <c r="N378" s="2"/>
      <c r="R378"/>
      <c r="S378"/>
      <c r="T378"/>
      <c r="U378"/>
      <c r="V378"/>
    </row>
    <row r="379" spans="10:22" s="1" customFormat="1" x14ac:dyDescent="0.2">
      <c r="J379"/>
      <c r="K379"/>
      <c r="L379"/>
      <c r="M379"/>
      <c r="N379" s="2"/>
      <c r="R379"/>
      <c r="S379"/>
      <c r="T379"/>
      <c r="U379"/>
      <c r="V379"/>
    </row>
    <row r="380" spans="10:22" s="1" customFormat="1" x14ac:dyDescent="0.2">
      <c r="J380"/>
      <c r="K380"/>
      <c r="L380"/>
      <c r="M380"/>
      <c r="N380" s="2"/>
      <c r="R380"/>
      <c r="S380"/>
      <c r="T380"/>
      <c r="U380"/>
      <c r="V380"/>
    </row>
    <row r="381" spans="10:22" s="1" customFormat="1" x14ac:dyDescent="0.2">
      <c r="J381"/>
      <c r="K381"/>
      <c r="L381"/>
      <c r="M381"/>
      <c r="N381" s="2"/>
      <c r="R381"/>
      <c r="S381"/>
      <c r="T381"/>
      <c r="U381"/>
      <c r="V381"/>
    </row>
    <row r="382" spans="10:22" s="1" customFormat="1" x14ac:dyDescent="0.2">
      <c r="J382"/>
      <c r="K382"/>
      <c r="L382"/>
      <c r="M382"/>
      <c r="N382" s="2"/>
      <c r="R382"/>
      <c r="S382"/>
      <c r="T382"/>
      <c r="U382"/>
      <c r="V382"/>
    </row>
    <row r="383" spans="10:22" s="1" customFormat="1" x14ac:dyDescent="0.2">
      <c r="J383"/>
      <c r="K383"/>
      <c r="L383"/>
      <c r="M383"/>
      <c r="N383" s="2"/>
      <c r="R383"/>
      <c r="S383"/>
      <c r="T383"/>
      <c r="U383"/>
      <c r="V383"/>
    </row>
    <row r="384" spans="10:22" s="1" customFormat="1" x14ac:dyDescent="0.2">
      <c r="J384"/>
      <c r="K384"/>
      <c r="L384"/>
      <c r="M384"/>
      <c r="N384" s="2"/>
      <c r="R384"/>
      <c r="S384"/>
      <c r="T384"/>
      <c r="U384"/>
      <c r="V384"/>
    </row>
    <row r="385" spans="10:22" s="1" customFormat="1" x14ac:dyDescent="0.2">
      <c r="J385"/>
      <c r="K385"/>
      <c r="L385"/>
      <c r="M385"/>
      <c r="N385" s="2"/>
      <c r="R385"/>
      <c r="S385"/>
      <c r="T385"/>
      <c r="U385"/>
      <c r="V385"/>
    </row>
    <row r="386" spans="10:22" s="1" customFormat="1" x14ac:dyDescent="0.2">
      <c r="J386"/>
      <c r="K386"/>
      <c r="L386"/>
      <c r="M386"/>
      <c r="N386" s="2"/>
      <c r="R386"/>
      <c r="S386"/>
      <c r="T386"/>
      <c r="U386"/>
      <c r="V386"/>
    </row>
    <row r="387" spans="10:22" s="1" customFormat="1" x14ac:dyDescent="0.2">
      <c r="J387"/>
      <c r="K387"/>
      <c r="L387"/>
      <c r="M387"/>
      <c r="N387" s="2"/>
      <c r="R387"/>
      <c r="S387"/>
      <c r="T387"/>
      <c r="U387"/>
      <c r="V387"/>
    </row>
    <row r="388" spans="10:22" s="1" customFormat="1" x14ac:dyDescent="0.2">
      <c r="J388"/>
      <c r="K388"/>
      <c r="L388"/>
      <c r="M388"/>
      <c r="N388" s="2"/>
      <c r="R388"/>
      <c r="S388"/>
      <c r="T388"/>
      <c r="U388"/>
      <c r="V388"/>
    </row>
    <row r="389" spans="10:22" s="1" customFormat="1" x14ac:dyDescent="0.2">
      <c r="J389"/>
      <c r="K389"/>
      <c r="L389"/>
      <c r="M389"/>
      <c r="N389" s="2"/>
      <c r="R389"/>
      <c r="S389"/>
      <c r="T389"/>
      <c r="U389"/>
      <c r="V389"/>
    </row>
    <row r="390" spans="10:22" s="1" customFormat="1" x14ac:dyDescent="0.2">
      <c r="J390"/>
      <c r="K390"/>
      <c r="L390"/>
      <c r="M390"/>
      <c r="N390" s="2"/>
      <c r="R390"/>
      <c r="S390"/>
      <c r="T390"/>
      <c r="U390"/>
      <c r="V390"/>
    </row>
    <row r="391" spans="10:22" s="1" customFormat="1" x14ac:dyDescent="0.2">
      <c r="J391"/>
      <c r="K391"/>
      <c r="L391"/>
      <c r="M391"/>
      <c r="N391" s="2"/>
      <c r="R391"/>
      <c r="S391"/>
      <c r="T391"/>
      <c r="U391"/>
      <c r="V391"/>
    </row>
    <row r="392" spans="10:22" s="1" customFormat="1" x14ac:dyDescent="0.2">
      <c r="J392"/>
      <c r="K392"/>
      <c r="L392"/>
      <c r="M392"/>
      <c r="N392" s="2"/>
      <c r="R392"/>
      <c r="S392"/>
      <c r="T392"/>
      <c r="U392"/>
      <c r="V392"/>
    </row>
    <row r="393" spans="10:22" s="1" customFormat="1" x14ac:dyDescent="0.2">
      <c r="J393"/>
      <c r="K393"/>
      <c r="L393"/>
      <c r="M393"/>
      <c r="N393" s="2"/>
      <c r="R393"/>
      <c r="S393"/>
      <c r="T393"/>
      <c r="U393"/>
      <c r="V393"/>
    </row>
    <row r="394" spans="10:22" s="1" customFormat="1" x14ac:dyDescent="0.2">
      <c r="J394"/>
      <c r="K394"/>
      <c r="L394"/>
      <c r="M394"/>
      <c r="N394" s="2"/>
      <c r="R394"/>
      <c r="S394"/>
      <c r="T394"/>
      <c r="U394"/>
      <c r="V394"/>
    </row>
    <row r="395" spans="10:22" s="1" customFormat="1" x14ac:dyDescent="0.2">
      <c r="J395"/>
      <c r="K395"/>
      <c r="L395"/>
      <c r="M395"/>
      <c r="N395" s="2"/>
      <c r="R395"/>
      <c r="S395"/>
      <c r="T395"/>
      <c r="U395"/>
      <c r="V395"/>
    </row>
    <row r="396" spans="10:22" s="1" customFormat="1" x14ac:dyDescent="0.2">
      <c r="J396"/>
      <c r="K396"/>
      <c r="L396"/>
      <c r="M396"/>
      <c r="N396" s="2"/>
      <c r="R396"/>
      <c r="S396"/>
      <c r="T396"/>
      <c r="U396"/>
      <c r="V396"/>
    </row>
    <row r="397" spans="10:22" s="1" customFormat="1" x14ac:dyDescent="0.2">
      <c r="J397"/>
      <c r="K397"/>
      <c r="L397"/>
      <c r="M397"/>
      <c r="N397" s="2"/>
      <c r="R397"/>
      <c r="S397"/>
      <c r="T397"/>
      <c r="U397"/>
      <c r="V397"/>
    </row>
    <row r="398" spans="10:22" s="1" customFormat="1" x14ac:dyDescent="0.2">
      <c r="J398"/>
      <c r="K398"/>
      <c r="L398"/>
      <c r="M398"/>
      <c r="N398" s="2"/>
      <c r="R398"/>
      <c r="S398"/>
      <c r="T398"/>
      <c r="U398"/>
      <c r="V398"/>
    </row>
    <row r="399" spans="10:22" s="1" customFormat="1" x14ac:dyDescent="0.2">
      <c r="J399"/>
      <c r="K399"/>
      <c r="L399"/>
      <c r="M399"/>
      <c r="N399" s="2"/>
      <c r="R399"/>
      <c r="S399"/>
      <c r="T399"/>
      <c r="U399"/>
      <c r="V399"/>
    </row>
    <row r="400" spans="10:22" s="1" customFormat="1" x14ac:dyDescent="0.2">
      <c r="J400"/>
      <c r="K400"/>
      <c r="L400"/>
      <c r="M400"/>
      <c r="N400" s="2"/>
      <c r="R400"/>
      <c r="S400"/>
      <c r="T400"/>
      <c r="U400"/>
      <c r="V400"/>
    </row>
    <row r="401" spans="10:22" s="1" customFormat="1" x14ac:dyDescent="0.2">
      <c r="J401"/>
      <c r="K401"/>
      <c r="L401"/>
      <c r="M401"/>
      <c r="N401" s="2"/>
      <c r="R401"/>
      <c r="S401"/>
      <c r="T401"/>
      <c r="U401"/>
      <c r="V401"/>
    </row>
    <row r="402" spans="10:22" s="1" customFormat="1" x14ac:dyDescent="0.2">
      <c r="J402"/>
      <c r="K402"/>
      <c r="L402"/>
      <c r="M402"/>
      <c r="N402" s="2"/>
      <c r="R402"/>
      <c r="S402"/>
      <c r="T402"/>
      <c r="U402"/>
      <c r="V402"/>
    </row>
    <row r="403" spans="10:22" s="1" customFormat="1" x14ac:dyDescent="0.2">
      <c r="J403"/>
      <c r="K403"/>
      <c r="L403"/>
      <c r="M403"/>
      <c r="N403" s="2"/>
      <c r="R403"/>
      <c r="S403"/>
      <c r="T403"/>
      <c r="U403"/>
      <c r="V403"/>
    </row>
    <row r="404" spans="10:22" s="1" customFormat="1" x14ac:dyDescent="0.2">
      <c r="J404"/>
      <c r="K404"/>
      <c r="L404"/>
      <c r="M404"/>
      <c r="N404" s="2"/>
      <c r="R404"/>
      <c r="S404"/>
      <c r="T404"/>
      <c r="U404"/>
      <c r="V404"/>
    </row>
    <row r="405" spans="10:22" s="1" customFormat="1" x14ac:dyDescent="0.2">
      <c r="J405"/>
      <c r="K405"/>
      <c r="L405"/>
      <c r="M405"/>
      <c r="N405" s="2"/>
      <c r="R405"/>
      <c r="S405"/>
      <c r="T405"/>
      <c r="U405"/>
      <c r="V405"/>
    </row>
    <row r="406" spans="10:22" s="1" customFormat="1" x14ac:dyDescent="0.2">
      <c r="J406"/>
      <c r="K406"/>
      <c r="L406"/>
      <c r="M406"/>
      <c r="N406" s="2"/>
      <c r="R406"/>
      <c r="S406"/>
      <c r="T406"/>
      <c r="U406"/>
      <c r="V406"/>
    </row>
    <row r="407" spans="10:22" s="1" customFormat="1" x14ac:dyDescent="0.2">
      <c r="J407"/>
      <c r="K407"/>
      <c r="L407"/>
      <c r="M407"/>
      <c r="N407" s="2"/>
      <c r="R407"/>
      <c r="S407"/>
      <c r="T407"/>
      <c r="U407"/>
      <c r="V407"/>
    </row>
    <row r="408" spans="10:22" s="1" customFormat="1" x14ac:dyDescent="0.2">
      <c r="J408"/>
      <c r="K408"/>
      <c r="L408"/>
      <c r="M408"/>
      <c r="N408" s="2"/>
      <c r="R408"/>
      <c r="S408"/>
      <c r="T408"/>
      <c r="U408"/>
      <c r="V408"/>
    </row>
    <row r="409" spans="10:22" s="1" customFormat="1" x14ac:dyDescent="0.2">
      <c r="J409"/>
      <c r="K409"/>
      <c r="L409"/>
      <c r="M409"/>
      <c r="N409" s="2"/>
      <c r="R409"/>
      <c r="S409"/>
      <c r="T409"/>
      <c r="U409"/>
      <c r="V409"/>
    </row>
    <row r="410" spans="10:22" s="1" customFormat="1" x14ac:dyDescent="0.2">
      <c r="J410"/>
      <c r="K410"/>
      <c r="L410"/>
      <c r="M410"/>
      <c r="N410" s="2"/>
      <c r="R410"/>
      <c r="S410"/>
      <c r="T410"/>
      <c r="U410"/>
      <c r="V410"/>
    </row>
    <row r="411" spans="10:22" s="1" customFormat="1" x14ac:dyDescent="0.2">
      <c r="J411"/>
      <c r="K411"/>
      <c r="L411"/>
      <c r="M411"/>
      <c r="N411" s="2"/>
      <c r="R411"/>
      <c r="S411"/>
      <c r="T411"/>
      <c r="U411"/>
      <c r="V411"/>
    </row>
    <row r="412" spans="10:22" s="1" customFormat="1" x14ac:dyDescent="0.2">
      <c r="J412"/>
      <c r="K412"/>
      <c r="L412"/>
      <c r="M412"/>
      <c r="N412" s="2"/>
      <c r="R412"/>
      <c r="S412"/>
      <c r="T412"/>
      <c r="U412"/>
      <c r="V412"/>
    </row>
    <row r="413" spans="10:22" s="1" customFormat="1" x14ac:dyDescent="0.2">
      <c r="J413"/>
      <c r="K413"/>
      <c r="L413"/>
      <c r="M413"/>
      <c r="N413" s="2"/>
      <c r="R413"/>
      <c r="S413"/>
      <c r="T413"/>
      <c r="U413"/>
      <c r="V413"/>
    </row>
    <row r="414" spans="10:22" s="1" customFormat="1" x14ac:dyDescent="0.2">
      <c r="J414"/>
      <c r="K414"/>
      <c r="L414"/>
      <c r="M414"/>
      <c r="N414" s="2"/>
      <c r="R414"/>
      <c r="S414"/>
      <c r="T414"/>
      <c r="U414"/>
      <c r="V414"/>
    </row>
    <row r="415" spans="10:22" s="1" customFormat="1" x14ac:dyDescent="0.2">
      <c r="J415"/>
      <c r="K415"/>
      <c r="L415"/>
      <c r="M415"/>
      <c r="N415" s="2"/>
      <c r="R415"/>
      <c r="S415"/>
      <c r="T415"/>
      <c r="U415"/>
      <c r="V415"/>
    </row>
    <row r="416" spans="10:22" s="1" customFormat="1" x14ac:dyDescent="0.2">
      <c r="J416"/>
      <c r="K416"/>
      <c r="L416"/>
      <c r="M416"/>
      <c r="N416" s="2"/>
      <c r="R416"/>
      <c r="S416"/>
      <c r="T416"/>
      <c r="U416"/>
      <c r="V416"/>
    </row>
    <row r="417" spans="10:22" s="1" customFormat="1" x14ac:dyDescent="0.2">
      <c r="J417"/>
      <c r="K417"/>
      <c r="L417"/>
      <c r="M417"/>
      <c r="N417" s="2"/>
      <c r="R417"/>
      <c r="S417"/>
      <c r="T417"/>
      <c r="U417"/>
      <c r="V417"/>
    </row>
    <row r="418" spans="10:22" s="1" customFormat="1" x14ac:dyDescent="0.2">
      <c r="J418"/>
      <c r="K418"/>
      <c r="L418"/>
      <c r="M418"/>
      <c r="N418" s="2"/>
      <c r="R418"/>
      <c r="S418"/>
      <c r="T418"/>
      <c r="U418"/>
      <c r="V418"/>
    </row>
    <row r="419" spans="10:22" s="1" customFormat="1" x14ac:dyDescent="0.2">
      <c r="J419"/>
      <c r="K419"/>
      <c r="L419"/>
      <c r="M419"/>
      <c r="N419" s="2"/>
      <c r="R419"/>
      <c r="S419"/>
      <c r="T419"/>
      <c r="U419"/>
      <c r="V419"/>
    </row>
    <row r="420" spans="10:22" s="1" customFormat="1" x14ac:dyDescent="0.2">
      <c r="J420"/>
      <c r="K420"/>
      <c r="L420"/>
      <c r="M420"/>
      <c r="N420" s="2"/>
      <c r="R420"/>
      <c r="S420"/>
      <c r="T420"/>
      <c r="U420"/>
      <c r="V420"/>
    </row>
    <row r="421" spans="10:22" s="1" customFormat="1" x14ac:dyDescent="0.2">
      <c r="J421"/>
      <c r="K421"/>
      <c r="L421"/>
      <c r="M421"/>
      <c r="N421" s="2"/>
      <c r="R421"/>
      <c r="S421"/>
      <c r="T421"/>
      <c r="U421"/>
      <c r="V421"/>
    </row>
    <row r="422" spans="10:22" s="1" customFormat="1" x14ac:dyDescent="0.2">
      <c r="J422"/>
      <c r="K422"/>
      <c r="L422"/>
      <c r="M422"/>
      <c r="N422" s="2"/>
      <c r="R422"/>
      <c r="S422"/>
      <c r="T422"/>
      <c r="U422"/>
      <c r="V422"/>
    </row>
    <row r="423" spans="10:22" s="1" customFormat="1" x14ac:dyDescent="0.2">
      <c r="J423"/>
      <c r="K423"/>
      <c r="L423"/>
      <c r="M423"/>
      <c r="N423" s="2"/>
      <c r="R423"/>
      <c r="S423"/>
      <c r="T423"/>
      <c r="U423"/>
      <c r="V423"/>
    </row>
    <row r="424" spans="10:22" s="1" customFormat="1" x14ac:dyDescent="0.2">
      <c r="J424"/>
      <c r="K424"/>
      <c r="L424"/>
      <c r="M424"/>
      <c r="N424" s="2"/>
      <c r="R424"/>
      <c r="S424"/>
      <c r="T424"/>
      <c r="U424"/>
      <c r="V424"/>
    </row>
    <row r="425" spans="10:22" s="1" customFormat="1" x14ac:dyDescent="0.2">
      <c r="J425"/>
      <c r="K425"/>
      <c r="L425"/>
      <c r="M425"/>
      <c r="N425" s="2"/>
      <c r="R425"/>
      <c r="S425"/>
      <c r="T425"/>
      <c r="U425"/>
      <c r="V425"/>
    </row>
    <row r="426" spans="10:22" s="1" customFormat="1" x14ac:dyDescent="0.2">
      <c r="J426"/>
      <c r="K426"/>
      <c r="L426"/>
      <c r="M426"/>
      <c r="N426" s="2"/>
      <c r="R426"/>
      <c r="S426"/>
      <c r="T426"/>
      <c r="U426"/>
      <c r="V426"/>
    </row>
    <row r="427" spans="10:22" s="1" customFormat="1" x14ac:dyDescent="0.2">
      <c r="J427"/>
      <c r="K427"/>
      <c r="L427"/>
      <c r="M427"/>
      <c r="N427" s="2"/>
      <c r="R427"/>
      <c r="S427"/>
      <c r="T427"/>
      <c r="U427"/>
      <c r="V427"/>
    </row>
    <row r="428" spans="10:22" s="1" customFormat="1" x14ac:dyDescent="0.2">
      <c r="J428"/>
      <c r="K428"/>
      <c r="L428"/>
      <c r="M428"/>
      <c r="N428" s="2"/>
      <c r="R428"/>
      <c r="S428"/>
      <c r="T428"/>
      <c r="U428"/>
      <c r="V428"/>
    </row>
    <row r="429" spans="10:22" s="1" customFormat="1" x14ac:dyDescent="0.2">
      <c r="J429"/>
      <c r="K429"/>
      <c r="L429"/>
      <c r="M429"/>
      <c r="N429" s="2"/>
      <c r="R429"/>
      <c r="S429"/>
      <c r="T429"/>
      <c r="U429"/>
      <c r="V429"/>
    </row>
    <row r="430" spans="10:22" s="1" customFormat="1" x14ac:dyDescent="0.2">
      <c r="J430"/>
      <c r="K430"/>
      <c r="L430"/>
      <c r="M430"/>
      <c r="N430" s="2"/>
      <c r="R430"/>
      <c r="S430"/>
      <c r="T430"/>
      <c r="U430"/>
      <c r="V430"/>
    </row>
    <row r="431" spans="10:22" s="1" customFormat="1" x14ac:dyDescent="0.2">
      <c r="J431"/>
      <c r="K431"/>
      <c r="L431"/>
      <c r="M431"/>
      <c r="N431" s="2"/>
      <c r="R431"/>
      <c r="S431"/>
      <c r="T431"/>
      <c r="U431"/>
      <c r="V431"/>
    </row>
    <row r="432" spans="10:22" s="1" customFormat="1" x14ac:dyDescent="0.2">
      <c r="J432"/>
      <c r="K432"/>
      <c r="L432"/>
      <c r="M432"/>
      <c r="N432" s="2"/>
      <c r="R432"/>
      <c r="S432"/>
      <c r="T432"/>
      <c r="U432"/>
      <c r="V432"/>
    </row>
    <row r="433" spans="10:22" s="1" customFormat="1" x14ac:dyDescent="0.2">
      <c r="J433"/>
      <c r="K433"/>
      <c r="L433"/>
      <c r="M433"/>
      <c r="N433" s="2"/>
      <c r="R433"/>
      <c r="S433"/>
      <c r="T433"/>
      <c r="U433"/>
      <c r="V433"/>
    </row>
    <row r="434" spans="10:22" s="1" customFormat="1" x14ac:dyDescent="0.2">
      <c r="J434"/>
      <c r="K434"/>
      <c r="L434"/>
      <c r="M434"/>
      <c r="N434" s="2"/>
      <c r="R434"/>
      <c r="S434"/>
      <c r="T434"/>
      <c r="U434"/>
      <c r="V434"/>
    </row>
    <row r="435" spans="10:22" s="1" customFormat="1" x14ac:dyDescent="0.2">
      <c r="J435"/>
      <c r="K435"/>
      <c r="L435"/>
      <c r="M435"/>
      <c r="N435" s="2"/>
      <c r="R435"/>
      <c r="S435"/>
      <c r="T435"/>
      <c r="U435"/>
      <c r="V435"/>
    </row>
    <row r="436" spans="10:22" s="1" customFormat="1" x14ac:dyDescent="0.2">
      <c r="J436"/>
      <c r="K436"/>
      <c r="L436"/>
      <c r="M436"/>
      <c r="N436" s="2"/>
      <c r="R436"/>
      <c r="S436"/>
      <c r="T436"/>
      <c r="U436"/>
      <c r="V436"/>
    </row>
    <row r="437" spans="10:22" s="1" customFormat="1" x14ac:dyDescent="0.2">
      <c r="J437"/>
      <c r="K437"/>
      <c r="L437"/>
      <c r="M437"/>
      <c r="N437" s="2"/>
      <c r="R437"/>
      <c r="S437"/>
      <c r="T437"/>
      <c r="U437"/>
      <c r="V437"/>
    </row>
    <row r="438" spans="10:22" s="1" customFormat="1" x14ac:dyDescent="0.2">
      <c r="J438"/>
      <c r="K438"/>
      <c r="L438"/>
      <c r="M438"/>
      <c r="N438" s="2"/>
      <c r="R438"/>
      <c r="S438"/>
      <c r="T438"/>
      <c r="U438"/>
      <c r="V438"/>
    </row>
    <row r="439" spans="10:22" s="1" customFormat="1" x14ac:dyDescent="0.2">
      <c r="J439"/>
      <c r="K439"/>
      <c r="L439"/>
      <c r="M439"/>
      <c r="N439" s="2"/>
      <c r="R439"/>
      <c r="S439"/>
      <c r="T439"/>
      <c r="U439"/>
      <c r="V439"/>
    </row>
    <row r="440" spans="10:22" s="1" customFormat="1" x14ac:dyDescent="0.2">
      <c r="J440"/>
      <c r="K440"/>
      <c r="L440"/>
      <c r="M440"/>
      <c r="N440" s="2"/>
      <c r="R440"/>
      <c r="S440"/>
      <c r="T440"/>
      <c r="U440"/>
      <c r="V440"/>
    </row>
    <row r="441" spans="10:22" s="1" customFormat="1" x14ac:dyDescent="0.2">
      <c r="J441"/>
      <c r="K441"/>
      <c r="L441"/>
      <c r="M441"/>
      <c r="N441" s="2"/>
      <c r="R441"/>
      <c r="S441"/>
      <c r="T441"/>
      <c r="U441"/>
      <c r="V441"/>
    </row>
    <row r="442" spans="10:22" s="1" customFormat="1" x14ac:dyDescent="0.2">
      <c r="J442"/>
      <c r="K442"/>
      <c r="L442"/>
      <c r="M442"/>
      <c r="N442" s="2"/>
      <c r="R442"/>
      <c r="S442"/>
      <c r="T442"/>
      <c r="U442"/>
      <c r="V442"/>
    </row>
    <row r="443" spans="10:22" s="1" customFormat="1" x14ac:dyDescent="0.2">
      <c r="J443"/>
      <c r="K443"/>
      <c r="L443"/>
      <c r="M443"/>
      <c r="N443" s="2"/>
      <c r="R443"/>
      <c r="S443"/>
      <c r="T443"/>
      <c r="U443"/>
      <c r="V443"/>
    </row>
    <row r="444" spans="10:22" s="1" customFormat="1" x14ac:dyDescent="0.2">
      <c r="J444"/>
      <c r="K444"/>
      <c r="L444"/>
      <c r="M444"/>
      <c r="N444" s="2"/>
      <c r="R444"/>
      <c r="S444"/>
      <c r="T444"/>
      <c r="U444"/>
      <c r="V444"/>
    </row>
    <row r="445" spans="10:22" s="1" customFormat="1" x14ac:dyDescent="0.2">
      <c r="J445"/>
      <c r="K445"/>
      <c r="L445"/>
      <c r="M445"/>
      <c r="N445" s="2"/>
      <c r="R445"/>
      <c r="S445"/>
      <c r="T445"/>
      <c r="U445"/>
      <c r="V445"/>
    </row>
    <row r="446" spans="10:22" s="1" customFormat="1" x14ac:dyDescent="0.2">
      <c r="J446"/>
      <c r="K446"/>
      <c r="L446"/>
      <c r="M446"/>
      <c r="N446" s="2"/>
      <c r="R446"/>
      <c r="S446"/>
      <c r="T446"/>
      <c r="U446"/>
      <c r="V446"/>
    </row>
    <row r="447" spans="10:22" s="1" customFormat="1" x14ac:dyDescent="0.2">
      <c r="J447"/>
      <c r="K447"/>
      <c r="L447"/>
      <c r="M447"/>
      <c r="N447" s="2"/>
      <c r="R447"/>
      <c r="S447"/>
      <c r="T447"/>
      <c r="U447"/>
      <c r="V447"/>
    </row>
    <row r="448" spans="10:22" s="1" customFormat="1" x14ac:dyDescent="0.2">
      <c r="J448"/>
      <c r="K448"/>
      <c r="L448"/>
      <c r="M448"/>
      <c r="N448" s="2"/>
      <c r="R448"/>
      <c r="S448"/>
      <c r="T448"/>
      <c r="U448"/>
      <c r="V448"/>
    </row>
    <row r="449" spans="10:22" s="1" customFormat="1" x14ac:dyDescent="0.2">
      <c r="J449"/>
      <c r="K449"/>
      <c r="L449"/>
      <c r="M449"/>
      <c r="N449" s="2"/>
      <c r="R449"/>
      <c r="S449"/>
      <c r="T449"/>
      <c r="U449"/>
      <c r="V449"/>
    </row>
    <row r="450" spans="10:22" s="1" customFormat="1" x14ac:dyDescent="0.2">
      <c r="J450"/>
      <c r="K450"/>
      <c r="L450"/>
      <c r="M450"/>
      <c r="N450" s="2"/>
      <c r="R450"/>
      <c r="S450"/>
      <c r="T450"/>
      <c r="U450"/>
      <c r="V450"/>
    </row>
    <row r="451" spans="10:22" s="1" customFormat="1" x14ac:dyDescent="0.2">
      <c r="J451"/>
      <c r="K451"/>
      <c r="L451"/>
      <c r="M451"/>
      <c r="N451" s="2"/>
      <c r="R451"/>
      <c r="S451"/>
      <c r="T451"/>
      <c r="U451"/>
      <c r="V451"/>
    </row>
    <row r="452" spans="10:22" s="1" customFormat="1" x14ac:dyDescent="0.2">
      <c r="J452"/>
      <c r="K452"/>
      <c r="L452"/>
      <c r="M452"/>
      <c r="N452" s="2"/>
      <c r="R452"/>
      <c r="S452"/>
      <c r="T452"/>
      <c r="U452"/>
      <c r="V452"/>
    </row>
    <row r="453" spans="10:22" s="1" customFormat="1" x14ac:dyDescent="0.2">
      <c r="J453"/>
      <c r="K453"/>
      <c r="L453"/>
      <c r="M453"/>
      <c r="N453" s="2"/>
      <c r="R453"/>
      <c r="S453"/>
      <c r="T453"/>
      <c r="U453"/>
      <c r="V453"/>
    </row>
    <row r="454" spans="10:22" s="1" customFormat="1" x14ac:dyDescent="0.2">
      <c r="J454"/>
      <c r="K454"/>
      <c r="L454"/>
      <c r="M454"/>
      <c r="N454" s="2"/>
      <c r="R454"/>
      <c r="S454"/>
      <c r="T454"/>
      <c r="U454"/>
      <c r="V454"/>
    </row>
    <row r="455" spans="10:22" s="1" customFormat="1" x14ac:dyDescent="0.2">
      <c r="J455"/>
      <c r="K455"/>
      <c r="L455"/>
      <c r="M455"/>
      <c r="N455" s="2"/>
      <c r="R455"/>
      <c r="S455"/>
      <c r="T455"/>
      <c r="U455"/>
      <c r="V455"/>
    </row>
    <row r="456" spans="10:22" s="1" customFormat="1" x14ac:dyDescent="0.2">
      <c r="J456"/>
      <c r="K456"/>
      <c r="L456"/>
      <c r="M456"/>
      <c r="N456" s="2"/>
      <c r="R456"/>
      <c r="S456"/>
      <c r="T456"/>
      <c r="U456"/>
      <c r="V456"/>
    </row>
    <row r="457" spans="10:22" s="1" customFormat="1" x14ac:dyDescent="0.2">
      <c r="J457"/>
      <c r="K457"/>
      <c r="L457"/>
      <c r="M457"/>
      <c r="N457" s="2"/>
      <c r="R457"/>
      <c r="S457"/>
      <c r="T457"/>
      <c r="U457"/>
      <c r="V457"/>
    </row>
    <row r="458" spans="10:22" s="1" customFormat="1" x14ac:dyDescent="0.2">
      <c r="J458"/>
      <c r="K458"/>
      <c r="L458"/>
      <c r="M458"/>
      <c r="N458" s="2"/>
      <c r="R458"/>
      <c r="S458"/>
      <c r="T458"/>
      <c r="U458"/>
      <c r="V458"/>
    </row>
    <row r="459" spans="10:22" s="1" customFormat="1" x14ac:dyDescent="0.2">
      <c r="J459"/>
      <c r="K459"/>
      <c r="L459"/>
      <c r="M459"/>
      <c r="N459" s="2"/>
      <c r="R459"/>
      <c r="S459"/>
      <c r="T459"/>
      <c r="U459"/>
      <c r="V459"/>
    </row>
    <row r="460" spans="10:22" s="1" customFormat="1" x14ac:dyDescent="0.2">
      <c r="J460"/>
      <c r="K460"/>
      <c r="L460"/>
      <c r="M460"/>
      <c r="N460" s="2"/>
      <c r="R460"/>
      <c r="S460"/>
      <c r="T460"/>
      <c r="U460"/>
      <c r="V460"/>
    </row>
    <row r="461" spans="10:22" s="1" customFormat="1" x14ac:dyDescent="0.2">
      <c r="J461"/>
      <c r="K461"/>
      <c r="L461"/>
      <c r="M461"/>
      <c r="N461" s="2"/>
      <c r="R461"/>
      <c r="S461"/>
      <c r="T461"/>
      <c r="U461"/>
      <c r="V461"/>
    </row>
    <row r="462" spans="10:22" s="1" customFormat="1" x14ac:dyDescent="0.2">
      <c r="J462"/>
      <c r="K462"/>
      <c r="L462"/>
      <c r="M462"/>
      <c r="N462" s="2"/>
      <c r="R462"/>
      <c r="S462"/>
      <c r="T462"/>
      <c r="U462"/>
      <c r="V462"/>
    </row>
    <row r="463" spans="10:22" s="1" customFormat="1" x14ac:dyDescent="0.2">
      <c r="J463"/>
      <c r="K463"/>
      <c r="L463"/>
      <c r="M463"/>
      <c r="N463" s="2"/>
      <c r="R463"/>
      <c r="S463"/>
      <c r="T463"/>
      <c r="U463"/>
      <c r="V463"/>
    </row>
    <row r="464" spans="10:22" s="1" customFormat="1" x14ac:dyDescent="0.2">
      <c r="J464"/>
      <c r="K464"/>
      <c r="L464"/>
      <c r="M464"/>
      <c r="N464" s="2"/>
      <c r="R464"/>
      <c r="S464"/>
      <c r="T464"/>
      <c r="U464"/>
      <c r="V464"/>
    </row>
    <row r="465" spans="10:22" s="1" customFormat="1" x14ac:dyDescent="0.2">
      <c r="J465"/>
      <c r="K465"/>
      <c r="L465"/>
      <c r="M465"/>
      <c r="N465" s="2"/>
      <c r="R465"/>
      <c r="S465"/>
      <c r="T465"/>
      <c r="U465"/>
      <c r="V465"/>
    </row>
    <row r="466" spans="10:22" s="1" customFormat="1" x14ac:dyDescent="0.2">
      <c r="J466"/>
      <c r="K466"/>
      <c r="L466"/>
      <c r="M466"/>
      <c r="N466" s="2"/>
      <c r="R466"/>
      <c r="S466"/>
      <c r="T466"/>
      <c r="U466"/>
      <c r="V466"/>
    </row>
    <row r="467" spans="10:22" s="1" customFormat="1" x14ac:dyDescent="0.2">
      <c r="J467"/>
      <c r="K467"/>
      <c r="L467"/>
      <c r="M467"/>
      <c r="N467" s="2"/>
      <c r="R467"/>
      <c r="S467"/>
      <c r="T467"/>
      <c r="U467"/>
      <c r="V467"/>
    </row>
    <row r="468" spans="10:22" s="1" customFormat="1" x14ac:dyDescent="0.2">
      <c r="J468"/>
      <c r="K468"/>
      <c r="L468"/>
      <c r="M468"/>
      <c r="N468" s="2"/>
      <c r="R468"/>
      <c r="S468"/>
      <c r="T468"/>
      <c r="U468"/>
      <c r="V468"/>
    </row>
    <row r="469" spans="10:22" s="1" customFormat="1" x14ac:dyDescent="0.2">
      <c r="J469"/>
      <c r="K469"/>
      <c r="L469"/>
      <c r="M469"/>
      <c r="N469" s="2"/>
      <c r="R469"/>
      <c r="S469"/>
      <c r="T469"/>
      <c r="U469"/>
      <c r="V469"/>
    </row>
    <row r="470" spans="10:22" s="1" customFormat="1" x14ac:dyDescent="0.2">
      <c r="J470"/>
      <c r="K470"/>
      <c r="L470"/>
      <c r="M470"/>
      <c r="N470" s="2"/>
      <c r="R470"/>
      <c r="S470"/>
      <c r="T470"/>
      <c r="U470"/>
      <c r="V470"/>
    </row>
    <row r="471" spans="10:22" s="1" customFormat="1" x14ac:dyDescent="0.2">
      <c r="J471"/>
      <c r="K471"/>
      <c r="L471"/>
      <c r="M471"/>
      <c r="N471" s="2"/>
      <c r="R471"/>
      <c r="S471"/>
      <c r="T471"/>
      <c r="U471"/>
      <c r="V471"/>
    </row>
    <row r="472" spans="10:22" s="1" customFormat="1" x14ac:dyDescent="0.2">
      <c r="J472"/>
      <c r="K472"/>
      <c r="L472"/>
      <c r="M472"/>
      <c r="N472" s="2"/>
      <c r="R472"/>
      <c r="S472"/>
      <c r="T472"/>
      <c r="U472"/>
      <c r="V472"/>
    </row>
    <row r="473" spans="10:22" s="1" customFormat="1" x14ac:dyDescent="0.2">
      <c r="J473"/>
      <c r="K473"/>
      <c r="L473"/>
      <c r="M473"/>
      <c r="N473" s="2"/>
      <c r="R473"/>
      <c r="S473"/>
      <c r="T473"/>
      <c r="U473"/>
      <c r="V473"/>
    </row>
    <row r="474" spans="10:22" s="1" customFormat="1" x14ac:dyDescent="0.2">
      <c r="J474"/>
      <c r="K474"/>
      <c r="L474"/>
      <c r="M474"/>
      <c r="N474" s="2"/>
      <c r="R474"/>
      <c r="S474"/>
      <c r="T474"/>
      <c r="U474"/>
      <c r="V474"/>
    </row>
    <row r="475" spans="10:22" s="1" customFormat="1" x14ac:dyDescent="0.2">
      <c r="J475"/>
      <c r="K475"/>
      <c r="L475"/>
      <c r="M475"/>
      <c r="N475" s="2"/>
      <c r="R475"/>
      <c r="S475"/>
      <c r="T475"/>
      <c r="U475"/>
      <c r="V475"/>
    </row>
    <row r="476" spans="10:22" s="1" customFormat="1" x14ac:dyDescent="0.2">
      <c r="J476"/>
      <c r="K476"/>
      <c r="L476"/>
      <c r="M476"/>
      <c r="N476" s="2"/>
      <c r="R476"/>
      <c r="S476"/>
      <c r="T476"/>
      <c r="U476"/>
      <c r="V476"/>
    </row>
    <row r="477" spans="10:22" s="1" customFormat="1" x14ac:dyDescent="0.2">
      <c r="J477"/>
      <c r="K477"/>
      <c r="L477"/>
      <c r="M477"/>
      <c r="N477" s="2"/>
      <c r="R477"/>
      <c r="S477"/>
      <c r="T477"/>
      <c r="U477"/>
      <c r="V477"/>
    </row>
    <row r="478" spans="10:22" s="1" customFormat="1" x14ac:dyDescent="0.2">
      <c r="J478"/>
      <c r="K478"/>
      <c r="L478"/>
      <c r="M478"/>
      <c r="N478" s="2"/>
      <c r="R478"/>
      <c r="S478"/>
      <c r="T478"/>
      <c r="U478"/>
      <c r="V478"/>
    </row>
    <row r="479" spans="10:22" s="1" customFormat="1" x14ac:dyDescent="0.2">
      <c r="J479"/>
      <c r="K479"/>
      <c r="L479"/>
      <c r="M479"/>
      <c r="N479" s="2"/>
      <c r="R479"/>
      <c r="S479"/>
      <c r="T479"/>
      <c r="U479"/>
      <c r="V479"/>
    </row>
    <row r="480" spans="10:22" s="1" customFormat="1" x14ac:dyDescent="0.2">
      <c r="J480"/>
      <c r="K480"/>
      <c r="L480"/>
      <c r="M480"/>
      <c r="N480" s="2"/>
      <c r="R480"/>
      <c r="S480"/>
      <c r="T480"/>
      <c r="U480"/>
      <c r="V480"/>
    </row>
    <row r="481" spans="10:22" s="1" customFormat="1" x14ac:dyDescent="0.2">
      <c r="J481"/>
      <c r="K481"/>
      <c r="L481"/>
      <c r="M481"/>
      <c r="N481" s="2"/>
      <c r="R481"/>
      <c r="S481"/>
      <c r="T481"/>
      <c r="U481"/>
      <c r="V481"/>
    </row>
    <row r="482" spans="10:22" s="1" customFormat="1" x14ac:dyDescent="0.2">
      <c r="J482"/>
      <c r="K482"/>
      <c r="L482"/>
      <c r="M482"/>
      <c r="N482" s="2"/>
      <c r="R482"/>
      <c r="S482"/>
      <c r="T482"/>
      <c r="U482"/>
      <c r="V482"/>
    </row>
    <row r="483" spans="10:22" s="1" customFormat="1" x14ac:dyDescent="0.2">
      <c r="J483"/>
      <c r="K483"/>
      <c r="L483"/>
      <c r="M483"/>
      <c r="N483" s="2"/>
      <c r="R483"/>
      <c r="S483"/>
      <c r="T483"/>
      <c r="U483"/>
      <c r="V483"/>
    </row>
    <row r="484" spans="10:22" s="1" customFormat="1" x14ac:dyDescent="0.2">
      <c r="J484"/>
      <c r="K484"/>
      <c r="L484"/>
      <c r="M484"/>
      <c r="N484" s="2"/>
      <c r="R484"/>
      <c r="S484"/>
      <c r="T484"/>
      <c r="U484"/>
      <c r="V484"/>
    </row>
    <row r="485" spans="10:22" s="1" customFormat="1" x14ac:dyDescent="0.2">
      <c r="J485"/>
      <c r="K485"/>
      <c r="L485"/>
      <c r="M485"/>
      <c r="N485" s="2"/>
      <c r="R485"/>
      <c r="S485"/>
      <c r="T485"/>
      <c r="U485"/>
      <c r="V485"/>
    </row>
    <row r="486" spans="10:22" s="1" customFormat="1" x14ac:dyDescent="0.2">
      <c r="J486"/>
      <c r="K486"/>
      <c r="L486"/>
      <c r="M486"/>
      <c r="N486" s="2"/>
      <c r="R486"/>
      <c r="S486"/>
      <c r="T486"/>
      <c r="U486"/>
      <c r="V486"/>
    </row>
    <row r="487" spans="10:22" s="1" customFormat="1" x14ac:dyDescent="0.2">
      <c r="J487"/>
      <c r="K487"/>
      <c r="L487"/>
      <c r="M487"/>
      <c r="N487" s="2"/>
      <c r="R487"/>
      <c r="S487"/>
      <c r="T487"/>
      <c r="U487"/>
      <c r="V487"/>
    </row>
    <row r="488" spans="10:22" s="1" customFormat="1" x14ac:dyDescent="0.2">
      <c r="J488"/>
      <c r="K488"/>
      <c r="L488"/>
      <c r="M488"/>
      <c r="N488" s="2"/>
      <c r="R488"/>
      <c r="S488"/>
      <c r="T488"/>
      <c r="U488"/>
      <c r="V488"/>
    </row>
    <row r="489" spans="10:22" s="1" customFormat="1" x14ac:dyDescent="0.2">
      <c r="J489"/>
      <c r="K489"/>
      <c r="L489"/>
      <c r="M489"/>
      <c r="N489" s="2"/>
      <c r="R489"/>
      <c r="S489"/>
      <c r="T489"/>
      <c r="U489"/>
      <c r="V489"/>
    </row>
    <row r="490" spans="10:22" s="1" customFormat="1" x14ac:dyDescent="0.2">
      <c r="J490"/>
      <c r="K490"/>
      <c r="L490"/>
      <c r="M490"/>
      <c r="N490" s="2"/>
      <c r="R490"/>
      <c r="S490"/>
      <c r="T490"/>
      <c r="U490"/>
      <c r="V490"/>
    </row>
    <row r="491" spans="10:22" s="1" customFormat="1" x14ac:dyDescent="0.2">
      <c r="J491"/>
      <c r="K491"/>
      <c r="L491"/>
      <c r="M491"/>
      <c r="N491" s="2"/>
      <c r="R491"/>
      <c r="S491"/>
      <c r="T491"/>
      <c r="U491"/>
      <c r="V491"/>
    </row>
    <row r="492" spans="10:22" s="1" customFormat="1" x14ac:dyDescent="0.2">
      <c r="J492"/>
      <c r="K492"/>
      <c r="L492"/>
      <c r="M492"/>
      <c r="N492" s="2"/>
      <c r="R492"/>
      <c r="S492"/>
      <c r="T492"/>
      <c r="U492"/>
      <c r="V492"/>
    </row>
    <row r="493" spans="10:22" s="1" customFormat="1" x14ac:dyDescent="0.2">
      <c r="J493"/>
      <c r="K493"/>
      <c r="L493"/>
      <c r="M493"/>
      <c r="N493" s="2"/>
      <c r="R493"/>
      <c r="S493"/>
      <c r="T493"/>
      <c r="U493"/>
      <c r="V493"/>
    </row>
    <row r="494" spans="10:22" s="1" customFormat="1" x14ac:dyDescent="0.2">
      <c r="J494"/>
      <c r="K494"/>
      <c r="L494"/>
      <c r="M494"/>
      <c r="N494" s="2"/>
      <c r="R494"/>
      <c r="S494"/>
      <c r="T494"/>
      <c r="U494"/>
      <c r="V494"/>
    </row>
    <row r="495" spans="10:22" s="1" customFormat="1" x14ac:dyDescent="0.2">
      <c r="J495"/>
      <c r="K495"/>
      <c r="L495"/>
      <c r="M495"/>
      <c r="N495" s="2"/>
      <c r="R495"/>
      <c r="S495"/>
      <c r="T495"/>
      <c r="U495"/>
      <c r="V495"/>
    </row>
    <row r="496" spans="10:22" s="1" customFormat="1" x14ac:dyDescent="0.2">
      <c r="J496"/>
      <c r="K496"/>
      <c r="L496"/>
      <c r="M496"/>
      <c r="N496" s="2"/>
      <c r="R496"/>
      <c r="S496"/>
      <c r="T496"/>
      <c r="U496"/>
      <c r="V496"/>
    </row>
    <row r="497" spans="10:22" s="1" customFormat="1" x14ac:dyDescent="0.2">
      <c r="J497"/>
      <c r="K497"/>
      <c r="L497"/>
      <c r="M497"/>
      <c r="N497" s="2"/>
      <c r="R497"/>
      <c r="S497"/>
      <c r="T497"/>
      <c r="U497"/>
      <c r="V497"/>
    </row>
    <row r="498" spans="10:22" s="1" customFormat="1" x14ac:dyDescent="0.2">
      <c r="J498"/>
      <c r="K498"/>
      <c r="L498"/>
      <c r="M498"/>
      <c r="N498" s="2"/>
      <c r="R498"/>
      <c r="S498"/>
      <c r="T498"/>
      <c r="U498"/>
      <c r="V498"/>
    </row>
    <row r="499" spans="10:22" s="1" customFormat="1" x14ac:dyDescent="0.2">
      <c r="J499"/>
      <c r="K499"/>
      <c r="L499"/>
      <c r="M499"/>
      <c r="N499" s="2"/>
      <c r="R499"/>
      <c r="S499"/>
      <c r="T499"/>
      <c r="U499"/>
      <c r="V499"/>
    </row>
    <row r="500" spans="10:22" s="1" customFormat="1" x14ac:dyDescent="0.2">
      <c r="J500"/>
      <c r="K500"/>
      <c r="L500"/>
      <c r="M500"/>
      <c r="N500" s="2"/>
      <c r="R500"/>
      <c r="S500"/>
      <c r="T500"/>
      <c r="U500"/>
      <c r="V500"/>
    </row>
    <row r="501" spans="10:22" s="1" customFormat="1" x14ac:dyDescent="0.2">
      <c r="J501"/>
      <c r="K501"/>
      <c r="L501"/>
      <c r="M501"/>
      <c r="N501" s="2"/>
      <c r="R501"/>
      <c r="S501"/>
      <c r="T501"/>
      <c r="U501"/>
      <c r="V501"/>
    </row>
    <row r="502" spans="10:22" s="1" customFormat="1" x14ac:dyDescent="0.2">
      <c r="J502"/>
      <c r="K502"/>
      <c r="L502"/>
      <c r="M502"/>
      <c r="N502" s="2"/>
      <c r="R502"/>
      <c r="S502"/>
      <c r="T502"/>
      <c r="U502"/>
      <c r="V502"/>
    </row>
    <row r="503" spans="10:22" s="1" customFormat="1" x14ac:dyDescent="0.2">
      <c r="J503"/>
      <c r="K503"/>
      <c r="L503"/>
      <c r="M503"/>
      <c r="N503" s="2"/>
      <c r="R503"/>
      <c r="S503"/>
      <c r="T503"/>
      <c r="U503"/>
      <c r="V503"/>
    </row>
    <row r="504" spans="10:22" s="1" customFormat="1" x14ac:dyDescent="0.2">
      <c r="J504"/>
      <c r="K504"/>
      <c r="L504"/>
      <c r="M504"/>
      <c r="N504" s="2"/>
      <c r="R504"/>
      <c r="S504"/>
      <c r="T504"/>
      <c r="U504"/>
      <c r="V504"/>
    </row>
    <row r="505" spans="10:22" s="1" customFormat="1" x14ac:dyDescent="0.2">
      <c r="J505"/>
      <c r="K505"/>
      <c r="L505"/>
      <c r="M505"/>
      <c r="N505" s="2"/>
      <c r="R505"/>
      <c r="S505"/>
      <c r="T505"/>
      <c r="U505"/>
      <c r="V505"/>
    </row>
    <row r="506" spans="10:22" s="1" customFormat="1" x14ac:dyDescent="0.2">
      <c r="J506"/>
      <c r="K506"/>
      <c r="L506"/>
      <c r="M506"/>
      <c r="N506" s="2"/>
      <c r="R506"/>
      <c r="S506"/>
      <c r="T506"/>
      <c r="U506"/>
      <c r="V506"/>
    </row>
    <row r="507" spans="10:22" s="1" customFormat="1" x14ac:dyDescent="0.2">
      <c r="J507"/>
      <c r="K507"/>
      <c r="L507"/>
      <c r="M507"/>
      <c r="N507" s="2"/>
      <c r="R507"/>
      <c r="S507"/>
      <c r="T507"/>
      <c r="U507"/>
      <c r="V507"/>
    </row>
    <row r="508" spans="10:22" s="1" customFormat="1" x14ac:dyDescent="0.2">
      <c r="J508"/>
      <c r="K508"/>
      <c r="L508"/>
      <c r="M508"/>
      <c r="N508" s="2"/>
      <c r="R508"/>
      <c r="S508"/>
      <c r="T508"/>
      <c r="U508"/>
      <c r="V508"/>
    </row>
    <row r="509" spans="10:22" s="1" customFormat="1" x14ac:dyDescent="0.2">
      <c r="J509"/>
      <c r="K509"/>
      <c r="L509"/>
      <c r="M509"/>
      <c r="N509" s="2"/>
      <c r="R509"/>
      <c r="S509"/>
      <c r="T509"/>
      <c r="U509"/>
      <c r="V509"/>
    </row>
    <row r="510" spans="10:22" s="1" customFormat="1" x14ac:dyDescent="0.2">
      <c r="J510"/>
      <c r="K510"/>
      <c r="L510"/>
      <c r="M510"/>
      <c r="N510" s="2"/>
      <c r="R510"/>
      <c r="S510"/>
      <c r="T510"/>
      <c r="U510"/>
      <c r="V510"/>
    </row>
    <row r="511" spans="10:22" s="1" customFormat="1" x14ac:dyDescent="0.2">
      <c r="J511"/>
      <c r="K511"/>
      <c r="L511"/>
      <c r="M511"/>
      <c r="N511" s="2"/>
      <c r="R511"/>
      <c r="S511"/>
      <c r="T511"/>
      <c r="U511"/>
      <c r="V511"/>
    </row>
    <row r="512" spans="10:22" s="1" customFormat="1" x14ac:dyDescent="0.2">
      <c r="J512"/>
      <c r="K512"/>
      <c r="L512"/>
      <c r="M512"/>
      <c r="N512" s="2"/>
      <c r="R512"/>
      <c r="S512"/>
      <c r="T512"/>
      <c r="U512"/>
      <c r="V512"/>
    </row>
    <row r="513" spans="10:22" s="1" customFormat="1" x14ac:dyDescent="0.2">
      <c r="J513"/>
      <c r="K513"/>
      <c r="L513"/>
      <c r="M513"/>
      <c r="N513" s="2"/>
      <c r="R513"/>
      <c r="S513"/>
      <c r="T513"/>
      <c r="U513"/>
      <c r="V513"/>
    </row>
    <row r="514" spans="10:22" s="1" customFormat="1" x14ac:dyDescent="0.2">
      <c r="J514"/>
      <c r="K514"/>
      <c r="L514"/>
      <c r="M514"/>
      <c r="N514" s="2"/>
      <c r="R514"/>
      <c r="S514"/>
      <c r="T514"/>
      <c r="U514"/>
      <c r="V514"/>
    </row>
    <row r="515" spans="10:22" s="1" customFormat="1" x14ac:dyDescent="0.2">
      <c r="J515"/>
      <c r="K515"/>
      <c r="L515"/>
      <c r="M515"/>
      <c r="N515" s="2"/>
      <c r="R515"/>
      <c r="S515"/>
      <c r="T515"/>
      <c r="U515"/>
      <c r="V515"/>
    </row>
    <row r="516" spans="10:22" s="1" customFormat="1" x14ac:dyDescent="0.2">
      <c r="J516"/>
      <c r="K516"/>
      <c r="L516"/>
      <c r="M516"/>
      <c r="N516" s="2"/>
      <c r="R516"/>
      <c r="S516"/>
      <c r="T516"/>
      <c r="U516"/>
      <c r="V516"/>
    </row>
    <row r="517" spans="10:22" s="1" customFormat="1" x14ac:dyDescent="0.2">
      <c r="J517"/>
      <c r="K517"/>
      <c r="L517"/>
      <c r="M517"/>
      <c r="N517" s="2"/>
      <c r="R517"/>
      <c r="S517"/>
      <c r="T517"/>
      <c r="U517"/>
      <c r="V517"/>
    </row>
    <row r="518" spans="10:22" s="1" customFormat="1" x14ac:dyDescent="0.2">
      <c r="J518"/>
      <c r="K518"/>
      <c r="L518"/>
      <c r="M518"/>
      <c r="N518" s="2"/>
      <c r="R518"/>
      <c r="S518"/>
      <c r="T518"/>
      <c r="U518"/>
      <c r="V518"/>
    </row>
    <row r="519" spans="10:22" s="1" customFormat="1" x14ac:dyDescent="0.2">
      <c r="J519"/>
      <c r="K519"/>
      <c r="L519"/>
      <c r="M519"/>
      <c r="N519" s="2"/>
      <c r="R519"/>
      <c r="S519"/>
      <c r="T519"/>
      <c r="U519"/>
      <c r="V519"/>
    </row>
    <row r="520" spans="10:22" s="1" customFormat="1" x14ac:dyDescent="0.2">
      <c r="J520"/>
      <c r="K520"/>
      <c r="L520"/>
      <c r="M520"/>
      <c r="N520" s="2"/>
      <c r="R520"/>
      <c r="S520"/>
      <c r="T520"/>
      <c r="U520"/>
      <c r="V520"/>
    </row>
    <row r="521" spans="10:22" s="1" customFormat="1" x14ac:dyDescent="0.2">
      <c r="J521"/>
      <c r="K521"/>
      <c r="L521"/>
      <c r="M521"/>
      <c r="N521" s="2"/>
      <c r="R521"/>
      <c r="S521"/>
      <c r="T521"/>
      <c r="U521"/>
      <c r="V521"/>
    </row>
    <row r="522" spans="10:22" s="1" customFormat="1" x14ac:dyDescent="0.2">
      <c r="J522"/>
      <c r="K522"/>
      <c r="L522"/>
      <c r="M522"/>
      <c r="N522" s="2"/>
      <c r="R522"/>
      <c r="S522"/>
      <c r="T522"/>
      <c r="U522"/>
      <c r="V522"/>
    </row>
    <row r="523" spans="10:22" s="1" customFormat="1" x14ac:dyDescent="0.2">
      <c r="J523"/>
      <c r="K523"/>
      <c r="L523"/>
      <c r="M523"/>
      <c r="N523" s="2"/>
      <c r="R523"/>
      <c r="S523"/>
      <c r="T523"/>
      <c r="U523"/>
      <c r="V523"/>
    </row>
    <row r="524" spans="10:22" s="1" customFormat="1" x14ac:dyDescent="0.2">
      <c r="J524"/>
      <c r="K524"/>
      <c r="L524"/>
      <c r="M524"/>
      <c r="N524" s="2"/>
      <c r="R524"/>
      <c r="S524"/>
      <c r="T524"/>
      <c r="U524"/>
      <c r="V524"/>
    </row>
    <row r="525" spans="10:22" s="1" customFormat="1" x14ac:dyDescent="0.2">
      <c r="J525"/>
      <c r="K525"/>
      <c r="L525"/>
      <c r="M525"/>
      <c r="N525" s="2"/>
      <c r="R525"/>
      <c r="S525"/>
      <c r="T525"/>
      <c r="U525"/>
      <c r="V525"/>
    </row>
    <row r="526" spans="10:22" s="1" customFormat="1" x14ac:dyDescent="0.2">
      <c r="J526"/>
      <c r="K526"/>
      <c r="L526"/>
      <c r="M526"/>
      <c r="N526" s="2"/>
      <c r="R526"/>
      <c r="S526"/>
      <c r="T526"/>
      <c r="U526"/>
      <c r="V526"/>
    </row>
    <row r="527" spans="10:22" s="1" customFormat="1" x14ac:dyDescent="0.2">
      <c r="J527"/>
      <c r="K527"/>
      <c r="L527"/>
      <c r="M527"/>
      <c r="N527" s="2"/>
      <c r="R527"/>
      <c r="S527"/>
      <c r="T527"/>
      <c r="U527"/>
      <c r="V527"/>
    </row>
    <row r="528" spans="10:22" s="1" customFormat="1" x14ac:dyDescent="0.2">
      <c r="J528"/>
      <c r="K528"/>
      <c r="L528"/>
      <c r="M528"/>
      <c r="N528" s="2"/>
      <c r="R528"/>
      <c r="S528"/>
      <c r="T528"/>
      <c r="U528"/>
      <c r="V528"/>
    </row>
    <row r="529" spans="10:22" s="1" customFormat="1" x14ac:dyDescent="0.2">
      <c r="J529"/>
      <c r="K529"/>
      <c r="L529"/>
      <c r="M529"/>
      <c r="N529" s="2"/>
      <c r="R529"/>
      <c r="S529"/>
      <c r="T529"/>
      <c r="U529"/>
      <c r="V529"/>
    </row>
    <row r="530" spans="10:22" s="1" customFormat="1" x14ac:dyDescent="0.2">
      <c r="J530"/>
      <c r="K530"/>
      <c r="L530"/>
      <c r="M530"/>
      <c r="N530" s="2"/>
      <c r="R530"/>
      <c r="S530"/>
      <c r="T530"/>
      <c r="U530"/>
      <c r="V530"/>
    </row>
    <row r="531" spans="10:22" s="1" customFormat="1" x14ac:dyDescent="0.2">
      <c r="J531"/>
      <c r="K531"/>
      <c r="L531"/>
      <c r="M531"/>
      <c r="N531" s="2"/>
      <c r="R531"/>
      <c r="S531"/>
      <c r="T531"/>
      <c r="U531"/>
      <c r="V531"/>
    </row>
    <row r="532" spans="10:22" s="1" customFormat="1" x14ac:dyDescent="0.2">
      <c r="J532"/>
      <c r="K532"/>
      <c r="L532"/>
      <c r="M532"/>
      <c r="N532" s="2"/>
      <c r="R532"/>
      <c r="S532"/>
      <c r="T532"/>
      <c r="U532"/>
      <c r="V532"/>
    </row>
    <row r="533" spans="10:22" s="1" customFormat="1" x14ac:dyDescent="0.2">
      <c r="J533"/>
      <c r="K533"/>
      <c r="L533"/>
      <c r="M533"/>
      <c r="N533" s="2"/>
      <c r="R533"/>
      <c r="S533"/>
      <c r="T533"/>
      <c r="U533"/>
      <c r="V533"/>
    </row>
    <row r="534" spans="10:22" s="1" customFormat="1" x14ac:dyDescent="0.2">
      <c r="J534"/>
      <c r="K534"/>
      <c r="L534"/>
      <c r="M534"/>
      <c r="N534" s="2"/>
      <c r="R534"/>
      <c r="S534"/>
      <c r="T534"/>
      <c r="U534"/>
      <c r="V534"/>
    </row>
    <row r="535" spans="10:22" s="1" customFormat="1" x14ac:dyDescent="0.2">
      <c r="J535"/>
      <c r="K535"/>
      <c r="L535"/>
      <c r="M535"/>
      <c r="N535" s="2"/>
      <c r="R535"/>
      <c r="S535"/>
      <c r="T535"/>
      <c r="U535"/>
      <c r="V535"/>
    </row>
    <row r="536" spans="10:22" s="1" customFormat="1" x14ac:dyDescent="0.2">
      <c r="J536"/>
      <c r="K536"/>
      <c r="L536"/>
      <c r="M536"/>
      <c r="N536" s="2"/>
      <c r="R536"/>
      <c r="S536"/>
      <c r="T536"/>
      <c r="U536"/>
      <c r="V536"/>
    </row>
    <row r="537" spans="10:22" s="1" customFormat="1" x14ac:dyDescent="0.2">
      <c r="J537"/>
      <c r="K537"/>
      <c r="L537"/>
      <c r="M537"/>
      <c r="N537" s="2"/>
      <c r="R537"/>
      <c r="S537"/>
      <c r="T537"/>
      <c r="U537"/>
      <c r="V537"/>
    </row>
    <row r="538" spans="10:22" s="1" customFormat="1" x14ac:dyDescent="0.2">
      <c r="J538"/>
      <c r="K538"/>
      <c r="L538"/>
      <c r="M538"/>
      <c r="N538" s="2"/>
      <c r="R538"/>
      <c r="S538"/>
      <c r="T538"/>
      <c r="U538"/>
      <c r="V538"/>
    </row>
    <row r="539" spans="10:22" s="1" customFormat="1" x14ac:dyDescent="0.2">
      <c r="J539"/>
      <c r="K539"/>
      <c r="L539"/>
      <c r="M539"/>
      <c r="N539" s="2"/>
      <c r="R539"/>
      <c r="S539"/>
      <c r="T539"/>
      <c r="U539"/>
      <c r="V539"/>
    </row>
    <row r="540" spans="10:22" s="1" customFormat="1" x14ac:dyDescent="0.2">
      <c r="J540"/>
      <c r="K540"/>
      <c r="L540"/>
      <c r="M540"/>
      <c r="N540" s="2"/>
      <c r="R540"/>
      <c r="S540"/>
      <c r="T540"/>
      <c r="U540"/>
      <c r="V540"/>
    </row>
    <row r="541" spans="10:22" s="1" customFormat="1" x14ac:dyDescent="0.2">
      <c r="J541"/>
      <c r="K541"/>
      <c r="L541"/>
      <c r="M541"/>
      <c r="N541" s="2"/>
      <c r="R541"/>
      <c r="S541"/>
      <c r="T541"/>
      <c r="U541"/>
      <c r="V541"/>
    </row>
    <row r="542" spans="10:22" s="1" customFormat="1" x14ac:dyDescent="0.2">
      <c r="J542"/>
      <c r="K542"/>
      <c r="L542"/>
      <c r="M542"/>
      <c r="N542" s="2"/>
      <c r="R542"/>
      <c r="S542"/>
      <c r="T542"/>
      <c r="U542"/>
      <c r="V542"/>
    </row>
    <row r="543" spans="10:22" s="1" customFormat="1" x14ac:dyDescent="0.2">
      <c r="J543"/>
      <c r="K543"/>
      <c r="L543"/>
      <c r="M543"/>
      <c r="N543" s="2"/>
      <c r="R543"/>
      <c r="S543"/>
      <c r="T543"/>
      <c r="U543"/>
      <c r="V543"/>
    </row>
    <row r="544" spans="10:22" s="1" customFormat="1" x14ac:dyDescent="0.2">
      <c r="J544"/>
      <c r="K544"/>
      <c r="L544"/>
      <c r="M544"/>
      <c r="N544" s="2"/>
      <c r="R544"/>
      <c r="S544"/>
      <c r="T544"/>
      <c r="U544"/>
      <c r="V544"/>
    </row>
    <row r="545" spans="10:22" s="1" customFormat="1" x14ac:dyDescent="0.2">
      <c r="J545"/>
      <c r="K545"/>
      <c r="L545"/>
      <c r="M545"/>
      <c r="N545" s="2"/>
      <c r="R545"/>
      <c r="S545"/>
      <c r="T545"/>
      <c r="U545"/>
      <c r="V545"/>
    </row>
    <row r="546" spans="10:22" s="1" customFormat="1" x14ac:dyDescent="0.2">
      <c r="J546"/>
      <c r="K546"/>
      <c r="L546"/>
      <c r="M546"/>
      <c r="N546" s="2"/>
      <c r="R546"/>
      <c r="S546"/>
      <c r="T546"/>
      <c r="U546"/>
      <c r="V546"/>
    </row>
    <row r="547" spans="10:22" s="1" customFormat="1" x14ac:dyDescent="0.2">
      <c r="J547"/>
      <c r="K547"/>
      <c r="L547"/>
      <c r="M547"/>
      <c r="N547" s="2"/>
      <c r="R547"/>
      <c r="S547"/>
      <c r="T547"/>
      <c r="U547"/>
      <c r="V547"/>
    </row>
    <row r="548" spans="10:22" s="1" customFormat="1" x14ac:dyDescent="0.2">
      <c r="J548"/>
      <c r="K548"/>
      <c r="L548"/>
      <c r="M548"/>
      <c r="N548" s="2"/>
      <c r="R548"/>
      <c r="S548"/>
      <c r="T548"/>
      <c r="U548"/>
      <c r="V548"/>
    </row>
    <row r="549" spans="10:22" s="1" customFormat="1" x14ac:dyDescent="0.2">
      <c r="J549"/>
      <c r="K549"/>
      <c r="L549"/>
      <c r="M549"/>
      <c r="N549" s="2"/>
      <c r="R549"/>
      <c r="S549"/>
      <c r="T549"/>
      <c r="U549"/>
      <c r="V549"/>
    </row>
    <row r="550" spans="10:22" s="1" customFormat="1" x14ac:dyDescent="0.2">
      <c r="J550"/>
      <c r="K550"/>
      <c r="L550"/>
      <c r="M550"/>
      <c r="N550" s="2"/>
      <c r="R550"/>
      <c r="S550"/>
      <c r="T550"/>
      <c r="U550"/>
      <c r="V550"/>
    </row>
    <row r="551" spans="10:22" s="1" customFormat="1" x14ac:dyDescent="0.2">
      <c r="J551"/>
      <c r="K551"/>
      <c r="L551"/>
      <c r="M551"/>
      <c r="N551" s="2"/>
      <c r="R551"/>
      <c r="S551"/>
      <c r="T551"/>
      <c r="U551"/>
      <c r="V551"/>
    </row>
    <row r="552" spans="10:22" s="1" customFormat="1" x14ac:dyDescent="0.2">
      <c r="J552"/>
      <c r="K552"/>
      <c r="L552"/>
      <c r="M552"/>
      <c r="N552" s="2"/>
      <c r="R552"/>
      <c r="S552"/>
      <c r="T552"/>
      <c r="U552"/>
      <c r="V552"/>
    </row>
    <row r="553" spans="10:22" s="1" customFormat="1" x14ac:dyDescent="0.2">
      <c r="J553"/>
      <c r="K553"/>
      <c r="L553"/>
      <c r="M553"/>
      <c r="N553" s="2"/>
      <c r="R553"/>
      <c r="S553"/>
      <c r="T553"/>
      <c r="U553"/>
      <c r="V553"/>
    </row>
    <row r="554" spans="10:22" s="1" customFormat="1" x14ac:dyDescent="0.2">
      <c r="J554"/>
      <c r="K554"/>
      <c r="L554"/>
      <c r="M554"/>
      <c r="N554" s="2"/>
      <c r="R554"/>
      <c r="S554"/>
      <c r="T554"/>
      <c r="U554"/>
      <c r="V554"/>
    </row>
    <row r="555" spans="10:22" s="1" customFormat="1" x14ac:dyDescent="0.2">
      <c r="J555"/>
      <c r="K555"/>
      <c r="L555"/>
      <c r="M555"/>
      <c r="N555" s="2"/>
      <c r="R555"/>
      <c r="S555"/>
      <c r="T555"/>
      <c r="U555"/>
      <c r="V555"/>
    </row>
    <row r="556" spans="10:22" s="1" customFormat="1" x14ac:dyDescent="0.2">
      <c r="J556"/>
      <c r="K556"/>
      <c r="L556"/>
      <c r="M556"/>
      <c r="N556" s="2"/>
      <c r="R556"/>
      <c r="S556"/>
      <c r="T556"/>
      <c r="U556"/>
      <c r="V556"/>
    </row>
    <row r="557" spans="10:22" s="1" customFormat="1" x14ac:dyDescent="0.2">
      <c r="J557"/>
      <c r="K557"/>
      <c r="L557"/>
      <c r="M557"/>
      <c r="N557" s="2"/>
      <c r="R557"/>
      <c r="S557"/>
      <c r="T557"/>
      <c r="U557"/>
      <c r="V557"/>
    </row>
    <row r="558" spans="10:22" s="1" customFormat="1" x14ac:dyDescent="0.2">
      <c r="J558"/>
      <c r="K558"/>
      <c r="L558"/>
      <c r="M558"/>
      <c r="N558" s="2"/>
      <c r="R558"/>
      <c r="S558"/>
      <c r="T558"/>
      <c r="U558"/>
      <c r="V558"/>
    </row>
    <row r="559" spans="10:22" s="1" customFormat="1" x14ac:dyDescent="0.2">
      <c r="J559"/>
      <c r="K559"/>
      <c r="L559"/>
      <c r="M559"/>
      <c r="N559" s="2"/>
      <c r="R559"/>
      <c r="S559"/>
      <c r="T559"/>
      <c r="U559"/>
      <c r="V559"/>
    </row>
    <row r="560" spans="10:22" s="1" customFormat="1" x14ac:dyDescent="0.2">
      <c r="J560"/>
      <c r="K560"/>
      <c r="L560"/>
      <c r="M560"/>
      <c r="N560" s="2"/>
      <c r="R560"/>
      <c r="S560"/>
      <c r="T560"/>
      <c r="U560"/>
      <c r="V560"/>
    </row>
    <row r="561" spans="10:22" s="1" customFormat="1" x14ac:dyDescent="0.2">
      <c r="J561"/>
      <c r="K561"/>
      <c r="L561"/>
      <c r="M561"/>
      <c r="N561" s="2"/>
      <c r="R561"/>
      <c r="S561"/>
      <c r="T561"/>
      <c r="U561"/>
      <c r="V561"/>
    </row>
    <row r="562" spans="10:22" s="1" customFormat="1" x14ac:dyDescent="0.2">
      <c r="J562"/>
      <c r="K562"/>
      <c r="L562"/>
      <c r="M562"/>
      <c r="N562" s="2"/>
      <c r="R562"/>
      <c r="S562"/>
      <c r="T562"/>
      <c r="U562"/>
      <c r="V562"/>
    </row>
    <row r="563" spans="10:22" s="1" customFormat="1" x14ac:dyDescent="0.2">
      <c r="J563"/>
      <c r="K563"/>
      <c r="L563"/>
      <c r="M563"/>
      <c r="N563" s="2"/>
      <c r="R563"/>
      <c r="S563"/>
      <c r="T563"/>
      <c r="U563"/>
      <c r="V563"/>
    </row>
    <row r="564" spans="10:22" s="1" customFormat="1" x14ac:dyDescent="0.2">
      <c r="J564"/>
      <c r="K564"/>
      <c r="L564"/>
      <c r="M564"/>
      <c r="N564" s="2"/>
      <c r="R564"/>
      <c r="S564"/>
      <c r="T564"/>
      <c r="U564"/>
      <c r="V564"/>
    </row>
    <row r="565" spans="10:22" s="1" customFormat="1" x14ac:dyDescent="0.2">
      <c r="J565"/>
      <c r="K565"/>
      <c r="L565"/>
      <c r="M565"/>
      <c r="N565" s="2"/>
      <c r="R565"/>
      <c r="S565"/>
      <c r="T565"/>
      <c r="U565"/>
      <c r="V565"/>
    </row>
    <row r="566" spans="10:22" s="1" customFormat="1" x14ac:dyDescent="0.2">
      <c r="J566"/>
      <c r="K566"/>
      <c r="L566"/>
      <c r="M566"/>
      <c r="N566" s="2"/>
      <c r="R566"/>
      <c r="S566"/>
      <c r="T566"/>
      <c r="U566"/>
      <c r="V566"/>
    </row>
    <row r="567" spans="10:22" s="1" customFormat="1" x14ac:dyDescent="0.2">
      <c r="J567"/>
      <c r="K567"/>
      <c r="L567"/>
      <c r="M567"/>
      <c r="N567" s="2"/>
      <c r="R567"/>
      <c r="S567"/>
      <c r="T567"/>
      <c r="U567"/>
      <c r="V567"/>
    </row>
    <row r="568" spans="10:22" s="1" customFormat="1" x14ac:dyDescent="0.2">
      <c r="J568"/>
      <c r="K568"/>
      <c r="L568"/>
      <c r="M568"/>
      <c r="N568" s="2"/>
      <c r="R568"/>
      <c r="S568"/>
      <c r="T568"/>
      <c r="U568"/>
      <c r="V568"/>
    </row>
    <row r="569" spans="10:22" s="1" customFormat="1" x14ac:dyDescent="0.2">
      <c r="J569"/>
      <c r="K569"/>
      <c r="L569"/>
      <c r="M569"/>
      <c r="N569" s="2"/>
      <c r="R569"/>
      <c r="S569"/>
      <c r="T569"/>
      <c r="U569"/>
      <c r="V569"/>
    </row>
    <row r="570" spans="10:22" s="1" customFormat="1" x14ac:dyDescent="0.2">
      <c r="J570"/>
      <c r="K570"/>
      <c r="L570"/>
      <c r="M570"/>
      <c r="N570" s="2"/>
      <c r="R570"/>
      <c r="S570"/>
      <c r="T570"/>
      <c r="U570"/>
      <c r="V570"/>
    </row>
    <row r="571" spans="10:22" s="1" customFormat="1" x14ac:dyDescent="0.2">
      <c r="J571"/>
      <c r="K571"/>
      <c r="L571"/>
      <c r="M571"/>
      <c r="N571" s="2"/>
      <c r="R571"/>
      <c r="S571"/>
      <c r="T571"/>
      <c r="U571"/>
      <c r="V571"/>
    </row>
    <row r="572" spans="10:22" s="1" customFormat="1" x14ac:dyDescent="0.2">
      <c r="J572"/>
      <c r="K572"/>
      <c r="L572"/>
      <c r="M572"/>
      <c r="N572" s="2"/>
      <c r="R572"/>
      <c r="S572"/>
      <c r="T572"/>
      <c r="U572"/>
      <c r="V572"/>
    </row>
    <row r="573" spans="10:22" s="1" customFormat="1" x14ac:dyDescent="0.2">
      <c r="J573"/>
      <c r="K573"/>
      <c r="L573"/>
      <c r="M573"/>
      <c r="N573" s="2"/>
      <c r="R573"/>
      <c r="S573"/>
      <c r="T573"/>
      <c r="U573"/>
      <c r="V573"/>
    </row>
    <row r="574" spans="10:22" s="1" customFormat="1" x14ac:dyDescent="0.2">
      <c r="J574"/>
      <c r="K574"/>
      <c r="L574"/>
      <c r="M574"/>
      <c r="N574" s="2"/>
      <c r="R574"/>
      <c r="S574"/>
      <c r="T574"/>
      <c r="U574"/>
      <c r="V574"/>
    </row>
    <row r="575" spans="10:22" s="1" customFormat="1" x14ac:dyDescent="0.2">
      <c r="J575"/>
      <c r="K575"/>
      <c r="L575"/>
      <c r="M575"/>
      <c r="N575" s="2"/>
      <c r="R575"/>
      <c r="S575"/>
      <c r="T575"/>
      <c r="U575"/>
      <c r="V575"/>
    </row>
    <row r="576" spans="10:22" s="1" customFormat="1" x14ac:dyDescent="0.2">
      <c r="J576"/>
      <c r="K576"/>
      <c r="L576"/>
      <c r="M576"/>
      <c r="N576" s="2"/>
      <c r="R576"/>
      <c r="S576"/>
      <c r="T576"/>
      <c r="U576"/>
      <c r="V576"/>
    </row>
    <row r="577" spans="10:22" s="1" customFormat="1" x14ac:dyDescent="0.2">
      <c r="J577"/>
      <c r="K577"/>
      <c r="L577"/>
      <c r="M577"/>
      <c r="N577" s="2"/>
      <c r="R577"/>
      <c r="S577"/>
      <c r="T577"/>
      <c r="U577"/>
      <c r="V577"/>
    </row>
    <row r="578" spans="10:22" s="1" customFormat="1" x14ac:dyDescent="0.2">
      <c r="J578"/>
      <c r="K578"/>
      <c r="L578"/>
      <c r="M578"/>
      <c r="N578" s="2"/>
      <c r="R578"/>
      <c r="S578"/>
      <c r="T578"/>
      <c r="U578"/>
      <c r="V578"/>
    </row>
    <row r="579" spans="10:22" s="1" customFormat="1" x14ac:dyDescent="0.2">
      <c r="J579"/>
      <c r="K579"/>
      <c r="L579"/>
      <c r="M579"/>
      <c r="N579" s="2"/>
      <c r="R579"/>
      <c r="S579"/>
      <c r="T579"/>
      <c r="U579"/>
      <c r="V579"/>
    </row>
    <row r="580" spans="10:22" s="1" customFormat="1" x14ac:dyDescent="0.2">
      <c r="J580"/>
      <c r="K580"/>
      <c r="L580"/>
      <c r="M580"/>
      <c r="N580" s="2"/>
      <c r="R580"/>
      <c r="S580"/>
      <c r="T580"/>
      <c r="U580"/>
      <c r="V580"/>
    </row>
    <row r="581" spans="10:22" s="1" customFormat="1" x14ac:dyDescent="0.2">
      <c r="J581"/>
      <c r="K581"/>
      <c r="L581"/>
      <c r="M581"/>
      <c r="N581" s="2"/>
      <c r="R581"/>
      <c r="S581"/>
      <c r="T581"/>
      <c r="U581"/>
      <c r="V581"/>
    </row>
    <row r="582" spans="10:22" s="1" customFormat="1" x14ac:dyDescent="0.2">
      <c r="J582"/>
      <c r="K582"/>
      <c r="L582"/>
      <c r="M582"/>
      <c r="N582" s="2"/>
      <c r="R582"/>
      <c r="S582"/>
      <c r="T582"/>
      <c r="U582"/>
      <c r="V582"/>
    </row>
    <row r="583" spans="10:22" s="1" customFormat="1" x14ac:dyDescent="0.2">
      <c r="J583"/>
      <c r="K583"/>
      <c r="L583"/>
      <c r="M583"/>
      <c r="N583" s="2"/>
      <c r="R583"/>
      <c r="S583"/>
      <c r="T583"/>
      <c r="U583"/>
      <c r="V583"/>
    </row>
    <row r="584" spans="10:22" s="1" customFormat="1" x14ac:dyDescent="0.2">
      <c r="J584"/>
      <c r="K584"/>
      <c r="L584"/>
      <c r="M584"/>
      <c r="N584" s="2"/>
      <c r="R584"/>
      <c r="S584"/>
      <c r="T584"/>
      <c r="U584"/>
      <c r="V584"/>
    </row>
    <row r="585" spans="10:22" s="1" customFormat="1" x14ac:dyDescent="0.2">
      <c r="J585"/>
      <c r="K585"/>
      <c r="L585"/>
      <c r="M585"/>
      <c r="N585" s="2"/>
      <c r="R585"/>
      <c r="S585"/>
      <c r="T585"/>
      <c r="U585"/>
      <c r="V585"/>
    </row>
    <row r="586" spans="10:22" s="1" customFormat="1" x14ac:dyDescent="0.2">
      <c r="J586"/>
      <c r="K586"/>
      <c r="L586"/>
      <c r="M586"/>
      <c r="N586" s="2"/>
      <c r="R586"/>
      <c r="S586"/>
      <c r="T586"/>
      <c r="U586"/>
      <c r="V586"/>
    </row>
    <row r="587" spans="10:22" s="1" customFormat="1" x14ac:dyDescent="0.2">
      <c r="J587"/>
      <c r="K587"/>
      <c r="L587"/>
      <c r="M587"/>
      <c r="N587" s="2"/>
      <c r="R587"/>
      <c r="S587"/>
      <c r="T587"/>
      <c r="U587"/>
      <c r="V587"/>
    </row>
    <row r="588" spans="10:22" s="1" customFormat="1" x14ac:dyDescent="0.2">
      <c r="J588"/>
      <c r="K588"/>
      <c r="L588"/>
      <c r="M588"/>
      <c r="N588" s="2"/>
      <c r="R588"/>
      <c r="S588"/>
      <c r="T588"/>
      <c r="U588"/>
      <c r="V588"/>
    </row>
    <row r="589" spans="10:22" s="1" customFormat="1" x14ac:dyDescent="0.2">
      <c r="J589"/>
      <c r="K589"/>
      <c r="L589"/>
      <c r="M589"/>
      <c r="N589" s="2"/>
      <c r="R589"/>
      <c r="S589"/>
      <c r="T589"/>
      <c r="U589"/>
      <c r="V589"/>
    </row>
    <row r="590" spans="10:22" s="1" customFormat="1" x14ac:dyDescent="0.2">
      <c r="J590"/>
      <c r="K590"/>
      <c r="L590"/>
      <c r="M590"/>
      <c r="N590" s="2"/>
      <c r="R590"/>
      <c r="S590"/>
      <c r="T590"/>
      <c r="U590"/>
      <c r="V590"/>
    </row>
    <row r="591" spans="10:22" s="1" customFormat="1" x14ac:dyDescent="0.2">
      <c r="J591"/>
      <c r="K591"/>
      <c r="L591"/>
      <c r="M591"/>
      <c r="N591" s="2"/>
      <c r="R591"/>
      <c r="S591"/>
      <c r="T591"/>
      <c r="U591"/>
      <c r="V591"/>
    </row>
    <row r="592" spans="10:22" s="1" customFormat="1" x14ac:dyDescent="0.2">
      <c r="J592"/>
      <c r="K592"/>
      <c r="L592"/>
      <c r="M592"/>
      <c r="N592" s="2"/>
      <c r="R592"/>
      <c r="S592"/>
      <c r="T592"/>
      <c r="U592"/>
      <c r="V592"/>
    </row>
    <row r="593" spans="10:22" s="1" customFormat="1" x14ac:dyDescent="0.2">
      <c r="J593"/>
      <c r="K593"/>
      <c r="L593"/>
      <c r="M593"/>
      <c r="N593" s="2"/>
      <c r="R593"/>
      <c r="S593"/>
      <c r="T593"/>
      <c r="U593"/>
      <c r="V593"/>
    </row>
    <row r="594" spans="10:22" s="1" customFormat="1" x14ac:dyDescent="0.2">
      <c r="J594"/>
      <c r="K594"/>
      <c r="L594"/>
      <c r="M594"/>
      <c r="N594" s="2"/>
      <c r="R594"/>
      <c r="S594"/>
      <c r="T594"/>
      <c r="U594"/>
      <c r="V594"/>
    </row>
    <row r="595" spans="10:22" s="1" customFormat="1" x14ac:dyDescent="0.2">
      <c r="J595"/>
      <c r="K595"/>
      <c r="L595"/>
      <c r="M595"/>
      <c r="N595" s="2"/>
      <c r="R595"/>
      <c r="S595"/>
      <c r="T595"/>
      <c r="U595"/>
      <c r="V595"/>
    </row>
    <row r="596" spans="10:22" s="1" customFormat="1" x14ac:dyDescent="0.2">
      <c r="J596"/>
      <c r="K596"/>
      <c r="L596"/>
      <c r="M596"/>
      <c r="N596" s="2"/>
      <c r="R596"/>
      <c r="S596"/>
      <c r="T596"/>
      <c r="U596"/>
      <c r="V596"/>
    </row>
    <row r="597" spans="10:22" s="1" customFormat="1" x14ac:dyDescent="0.2">
      <c r="J597"/>
      <c r="K597"/>
      <c r="L597"/>
      <c r="M597"/>
      <c r="N597" s="2"/>
      <c r="R597"/>
      <c r="S597"/>
      <c r="T597"/>
      <c r="U597"/>
      <c r="V597"/>
    </row>
    <row r="598" spans="10:22" s="1" customFormat="1" x14ac:dyDescent="0.2">
      <c r="J598"/>
      <c r="K598"/>
      <c r="L598"/>
      <c r="M598"/>
      <c r="N598" s="2"/>
      <c r="R598"/>
      <c r="S598"/>
      <c r="T598"/>
      <c r="U598"/>
      <c r="V598"/>
    </row>
    <row r="599" spans="10:22" s="1" customFormat="1" x14ac:dyDescent="0.2">
      <c r="J599"/>
      <c r="K599"/>
      <c r="L599"/>
      <c r="M599"/>
      <c r="N599" s="2"/>
      <c r="R599"/>
      <c r="S599"/>
      <c r="T599"/>
      <c r="U599"/>
      <c r="V599"/>
    </row>
    <row r="600" spans="10:22" s="1" customFormat="1" x14ac:dyDescent="0.2">
      <c r="J600"/>
      <c r="K600"/>
      <c r="L600"/>
      <c r="M600"/>
      <c r="N600" s="2"/>
      <c r="R600"/>
      <c r="S600"/>
      <c r="T600"/>
      <c r="U600"/>
      <c r="V600"/>
    </row>
    <row r="601" spans="10:22" s="1" customFormat="1" x14ac:dyDescent="0.2">
      <c r="J601"/>
      <c r="K601"/>
      <c r="L601"/>
      <c r="M601"/>
      <c r="N601" s="2"/>
      <c r="R601"/>
      <c r="S601"/>
      <c r="T601"/>
      <c r="U601"/>
      <c r="V601"/>
    </row>
    <row r="602" spans="10:22" s="1" customFormat="1" x14ac:dyDescent="0.2">
      <c r="J602"/>
      <c r="K602"/>
      <c r="L602"/>
      <c r="M602"/>
      <c r="N602" s="2"/>
      <c r="R602"/>
      <c r="S602"/>
      <c r="T602"/>
      <c r="U602"/>
      <c r="V602"/>
    </row>
    <row r="603" spans="10:22" s="1" customFormat="1" x14ac:dyDescent="0.2">
      <c r="J603"/>
      <c r="K603"/>
      <c r="L603"/>
      <c r="M603"/>
      <c r="N603" s="2"/>
      <c r="R603"/>
      <c r="S603"/>
      <c r="T603"/>
      <c r="U603"/>
      <c r="V603"/>
    </row>
    <row r="604" spans="10:22" s="1" customFormat="1" x14ac:dyDescent="0.2">
      <c r="J604"/>
      <c r="K604"/>
      <c r="L604"/>
      <c r="M604"/>
      <c r="N604" s="2"/>
      <c r="R604"/>
      <c r="S604"/>
      <c r="T604"/>
      <c r="U604"/>
      <c r="V604"/>
    </row>
    <row r="605" spans="10:22" s="1" customFormat="1" x14ac:dyDescent="0.2">
      <c r="J605"/>
      <c r="K605"/>
      <c r="L605"/>
      <c r="M605"/>
      <c r="N605" s="2"/>
      <c r="R605"/>
      <c r="S605"/>
      <c r="T605"/>
      <c r="U605"/>
      <c r="V605"/>
    </row>
    <row r="606" spans="10:22" s="1" customFormat="1" x14ac:dyDescent="0.2">
      <c r="J606"/>
      <c r="K606"/>
      <c r="L606"/>
      <c r="M606"/>
      <c r="N606" s="2"/>
      <c r="R606"/>
      <c r="S606"/>
      <c r="T606"/>
      <c r="U606"/>
      <c r="V606"/>
    </row>
    <row r="607" spans="10:22" s="1" customFormat="1" x14ac:dyDescent="0.2">
      <c r="J607"/>
      <c r="K607"/>
      <c r="L607"/>
      <c r="M607"/>
      <c r="N607" s="2"/>
      <c r="R607"/>
      <c r="S607"/>
      <c r="T607"/>
      <c r="U607"/>
      <c r="V607"/>
    </row>
    <row r="608" spans="10:22" s="1" customFormat="1" x14ac:dyDescent="0.2">
      <c r="J608"/>
      <c r="K608"/>
      <c r="L608"/>
      <c r="M608"/>
      <c r="N608" s="2"/>
      <c r="R608"/>
      <c r="S608"/>
      <c r="T608"/>
      <c r="U608"/>
      <c r="V608"/>
    </row>
    <row r="609" spans="10:22" s="1" customFormat="1" x14ac:dyDescent="0.2">
      <c r="J609"/>
      <c r="K609"/>
      <c r="L609"/>
      <c r="M609"/>
      <c r="N609" s="2"/>
      <c r="R609"/>
      <c r="S609"/>
      <c r="T609"/>
      <c r="U609"/>
      <c r="V609"/>
    </row>
    <row r="610" spans="10:22" s="1" customFormat="1" x14ac:dyDescent="0.2">
      <c r="J610"/>
      <c r="K610"/>
      <c r="L610"/>
      <c r="M610"/>
      <c r="N610" s="2"/>
      <c r="R610"/>
      <c r="S610"/>
      <c r="T610"/>
      <c r="U610"/>
      <c r="V610"/>
    </row>
    <row r="611" spans="10:22" s="1" customFormat="1" x14ac:dyDescent="0.2">
      <c r="J611"/>
      <c r="K611"/>
      <c r="L611"/>
      <c r="M611"/>
      <c r="N611" s="2"/>
      <c r="R611"/>
      <c r="S611"/>
      <c r="T611"/>
      <c r="U611"/>
      <c r="V611"/>
    </row>
    <row r="612" spans="10:22" s="1" customFormat="1" x14ac:dyDescent="0.2">
      <c r="J612"/>
      <c r="K612"/>
      <c r="L612"/>
      <c r="M612"/>
      <c r="N612" s="2"/>
      <c r="R612"/>
      <c r="S612"/>
      <c r="T612"/>
      <c r="U612"/>
      <c r="V612"/>
    </row>
    <row r="613" spans="10:22" s="1" customFormat="1" x14ac:dyDescent="0.2">
      <c r="J613"/>
      <c r="K613"/>
      <c r="L613"/>
      <c r="M613"/>
      <c r="N613" s="2"/>
      <c r="R613"/>
      <c r="S613"/>
      <c r="T613"/>
      <c r="U613"/>
      <c r="V613"/>
    </row>
    <row r="614" spans="10:22" s="1" customFormat="1" x14ac:dyDescent="0.2">
      <c r="J614"/>
      <c r="K614"/>
      <c r="L614"/>
      <c r="M614"/>
      <c r="N614" s="2"/>
      <c r="R614"/>
      <c r="S614"/>
      <c r="T614"/>
      <c r="U614"/>
      <c r="V614"/>
    </row>
    <row r="615" spans="10:22" s="1" customFormat="1" x14ac:dyDescent="0.2">
      <c r="J615"/>
      <c r="K615"/>
      <c r="L615"/>
      <c r="M615"/>
      <c r="N615" s="2"/>
      <c r="R615"/>
      <c r="S615"/>
      <c r="T615"/>
      <c r="U615"/>
      <c r="V615"/>
    </row>
    <row r="616" spans="10:22" s="1" customFormat="1" x14ac:dyDescent="0.2">
      <c r="J616"/>
      <c r="K616"/>
      <c r="L616"/>
      <c r="M616"/>
      <c r="N616" s="2"/>
      <c r="R616"/>
      <c r="S616"/>
      <c r="T616"/>
      <c r="U616"/>
      <c r="V616"/>
    </row>
    <row r="617" spans="10:22" s="1" customFormat="1" x14ac:dyDescent="0.2">
      <c r="J617"/>
      <c r="K617"/>
      <c r="L617"/>
      <c r="M617"/>
      <c r="N617" s="2"/>
      <c r="R617"/>
      <c r="S617"/>
      <c r="T617"/>
      <c r="U617"/>
      <c r="V617"/>
    </row>
    <row r="618" spans="10:22" s="1" customFormat="1" x14ac:dyDescent="0.2">
      <c r="J618"/>
      <c r="K618"/>
      <c r="L618"/>
      <c r="M618"/>
      <c r="N618" s="2"/>
      <c r="R618"/>
      <c r="S618"/>
      <c r="T618"/>
      <c r="U618"/>
      <c r="V618"/>
    </row>
    <row r="619" spans="10:22" s="1" customFormat="1" x14ac:dyDescent="0.2">
      <c r="J619"/>
      <c r="K619"/>
      <c r="L619"/>
      <c r="M619"/>
      <c r="N619" s="2"/>
      <c r="R619"/>
      <c r="S619"/>
      <c r="T619"/>
      <c r="U619"/>
      <c r="V619"/>
    </row>
    <row r="620" spans="10:22" s="1" customFormat="1" x14ac:dyDescent="0.2">
      <c r="J620"/>
      <c r="K620"/>
      <c r="L620"/>
      <c r="M620"/>
      <c r="N620" s="2"/>
      <c r="R620"/>
      <c r="S620"/>
      <c r="T620"/>
      <c r="U620"/>
      <c r="V620"/>
    </row>
    <row r="621" spans="10:22" s="1" customFormat="1" x14ac:dyDescent="0.2">
      <c r="J621"/>
      <c r="K621"/>
      <c r="L621"/>
      <c r="M621"/>
      <c r="N621" s="2"/>
      <c r="R621"/>
      <c r="S621"/>
      <c r="T621"/>
      <c r="U621"/>
      <c r="V621"/>
    </row>
    <row r="622" spans="10:22" s="1" customFormat="1" x14ac:dyDescent="0.2">
      <c r="J622"/>
      <c r="K622"/>
      <c r="L622"/>
      <c r="M622"/>
      <c r="N622" s="2"/>
      <c r="R622"/>
      <c r="S622"/>
      <c r="T622"/>
      <c r="U622"/>
      <c r="V622"/>
    </row>
    <row r="623" spans="10:22" s="1" customFormat="1" x14ac:dyDescent="0.2">
      <c r="J623"/>
      <c r="K623"/>
      <c r="L623"/>
      <c r="M623"/>
      <c r="N623" s="2"/>
      <c r="R623"/>
      <c r="S623"/>
      <c r="T623"/>
      <c r="U623"/>
      <c r="V623"/>
    </row>
    <row r="624" spans="10:22" s="1" customFormat="1" x14ac:dyDescent="0.2">
      <c r="J624"/>
      <c r="K624"/>
      <c r="L624"/>
      <c r="M624"/>
      <c r="N624" s="2"/>
      <c r="R624"/>
      <c r="S624"/>
      <c r="T624"/>
      <c r="U624"/>
      <c r="V624"/>
    </row>
    <row r="625" spans="10:22" s="1" customFormat="1" x14ac:dyDescent="0.2">
      <c r="J625"/>
      <c r="K625"/>
      <c r="L625"/>
      <c r="M625"/>
      <c r="N625" s="2"/>
      <c r="R625"/>
      <c r="S625"/>
      <c r="T625"/>
      <c r="U625"/>
      <c r="V625"/>
    </row>
    <row r="626" spans="10:22" s="1" customFormat="1" x14ac:dyDescent="0.2">
      <c r="J626"/>
      <c r="K626"/>
      <c r="L626"/>
      <c r="M626"/>
      <c r="N626" s="2"/>
      <c r="R626"/>
      <c r="S626"/>
      <c r="T626"/>
      <c r="U626"/>
      <c r="V626"/>
    </row>
    <row r="627" spans="10:22" s="1" customFormat="1" x14ac:dyDescent="0.2">
      <c r="J627"/>
      <c r="K627"/>
      <c r="L627"/>
      <c r="M627"/>
      <c r="N627" s="2"/>
      <c r="R627"/>
      <c r="S627"/>
      <c r="T627"/>
      <c r="U627"/>
      <c r="V627"/>
    </row>
    <row r="628" spans="10:22" s="1" customFormat="1" x14ac:dyDescent="0.2">
      <c r="J628"/>
      <c r="K628"/>
      <c r="L628"/>
      <c r="M628"/>
      <c r="N628" s="2"/>
      <c r="R628"/>
      <c r="S628"/>
      <c r="T628"/>
      <c r="U628"/>
      <c r="V628"/>
    </row>
    <row r="629" spans="10:22" s="1" customFormat="1" x14ac:dyDescent="0.2">
      <c r="J629"/>
      <c r="K629"/>
      <c r="L629"/>
      <c r="M629"/>
      <c r="N629" s="2"/>
      <c r="R629"/>
      <c r="S629"/>
      <c r="T629"/>
      <c r="U629"/>
      <c r="V629"/>
    </row>
    <row r="630" spans="10:22" s="1" customFormat="1" x14ac:dyDescent="0.2">
      <c r="J630"/>
      <c r="K630"/>
      <c r="L630"/>
      <c r="M630"/>
      <c r="N630" s="2"/>
      <c r="R630"/>
      <c r="S630"/>
      <c r="T630"/>
      <c r="U630"/>
      <c r="V630"/>
    </row>
    <row r="631" spans="10:22" s="1" customFormat="1" x14ac:dyDescent="0.2">
      <c r="J631"/>
      <c r="K631"/>
      <c r="L631"/>
      <c r="M631"/>
      <c r="N631" s="2"/>
      <c r="R631"/>
      <c r="S631"/>
      <c r="T631"/>
      <c r="U631"/>
      <c r="V631"/>
    </row>
    <row r="632" spans="10:22" s="1" customFormat="1" x14ac:dyDescent="0.2">
      <c r="J632"/>
      <c r="K632"/>
      <c r="L632"/>
      <c r="M632"/>
      <c r="N632" s="2"/>
      <c r="R632"/>
      <c r="S632"/>
      <c r="T632"/>
      <c r="U632"/>
      <c r="V632"/>
    </row>
    <row r="633" spans="10:22" s="1" customFormat="1" x14ac:dyDescent="0.2">
      <c r="J633"/>
      <c r="K633"/>
      <c r="L633"/>
      <c r="M633"/>
      <c r="N633" s="2"/>
      <c r="R633"/>
      <c r="S633"/>
      <c r="T633"/>
      <c r="U633"/>
      <c r="V633"/>
    </row>
    <row r="634" spans="10:22" s="1" customFormat="1" x14ac:dyDescent="0.2">
      <c r="J634"/>
      <c r="K634"/>
      <c r="L634"/>
      <c r="M634"/>
      <c r="N634" s="2"/>
      <c r="R634"/>
      <c r="S634"/>
      <c r="T634"/>
      <c r="U634"/>
      <c r="V634"/>
    </row>
    <row r="635" spans="10:22" s="1" customFormat="1" x14ac:dyDescent="0.2">
      <c r="J635"/>
      <c r="K635"/>
      <c r="L635"/>
      <c r="M635"/>
      <c r="N635" s="2"/>
      <c r="R635"/>
      <c r="S635"/>
      <c r="T635"/>
      <c r="U635"/>
      <c r="V635"/>
    </row>
    <row r="636" spans="10:22" s="1" customFormat="1" x14ac:dyDescent="0.2">
      <c r="J636"/>
      <c r="K636"/>
      <c r="L636"/>
      <c r="M636"/>
      <c r="N636" s="2"/>
      <c r="R636"/>
      <c r="S636"/>
      <c r="T636"/>
      <c r="U636"/>
      <c r="V636"/>
    </row>
    <row r="637" spans="10:22" s="1" customFormat="1" x14ac:dyDescent="0.2">
      <c r="J637"/>
      <c r="K637"/>
      <c r="L637"/>
      <c r="M637"/>
      <c r="N637" s="2"/>
      <c r="R637"/>
      <c r="S637"/>
      <c r="T637"/>
      <c r="U637"/>
      <c r="V637"/>
    </row>
    <row r="638" spans="10:22" s="1" customFormat="1" x14ac:dyDescent="0.2">
      <c r="J638"/>
      <c r="K638"/>
      <c r="L638"/>
      <c r="M638"/>
      <c r="N638" s="2"/>
      <c r="R638"/>
      <c r="S638"/>
      <c r="T638"/>
      <c r="U638"/>
      <c r="V638"/>
    </row>
    <row r="639" spans="10:22" s="1" customFormat="1" x14ac:dyDescent="0.2">
      <c r="J639"/>
      <c r="K639"/>
      <c r="L639"/>
      <c r="M639"/>
      <c r="N639" s="2"/>
      <c r="R639"/>
      <c r="S639"/>
      <c r="T639"/>
      <c r="U639"/>
      <c r="V639"/>
    </row>
    <row r="640" spans="10:22" s="1" customFormat="1" x14ac:dyDescent="0.2">
      <c r="J640"/>
      <c r="K640"/>
      <c r="L640"/>
      <c r="M640"/>
      <c r="N640" s="2"/>
      <c r="R640"/>
      <c r="S640"/>
      <c r="T640"/>
      <c r="U640"/>
      <c r="V640"/>
    </row>
    <row r="641" spans="10:22" s="1" customFormat="1" x14ac:dyDescent="0.2">
      <c r="J641"/>
      <c r="K641"/>
      <c r="L641"/>
      <c r="M641"/>
      <c r="N641" s="2"/>
      <c r="R641"/>
      <c r="S641"/>
      <c r="T641"/>
      <c r="U641"/>
      <c r="V641"/>
    </row>
    <row r="642" spans="10:22" s="1" customFormat="1" x14ac:dyDescent="0.2">
      <c r="J642"/>
      <c r="K642"/>
      <c r="L642"/>
      <c r="M642"/>
      <c r="N642" s="2"/>
      <c r="R642"/>
      <c r="S642"/>
      <c r="T642"/>
      <c r="U642"/>
      <c r="V642"/>
    </row>
    <row r="643" spans="10:22" s="1" customFormat="1" x14ac:dyDescent="0.2">
      <c r="J643"/>
      <c r="K643"/>
      <c r="L643"/>
      <c r="M643"/>
      <c r="N643" s="2"/>
      <c r="R643"/>
      <c r="S643"/>
      <c r="T643"/>
      <c r="U643"/>
      <c r="V643"/>
    </row>
    <row r="644" spans="10:22" s="1" customFormat="1" x14ac:dyDescent="0.2">
      <c r="J644"/>
      <c r="K644"/>
      <c r="L644"/>
      <c r="M644"/>
      <c r="N644" s="2"/>
      <c r="R644"/>
      <c r="S644"/>
      <c r="T644"/>
      <c r="U644"/>
      <c r="V644"/>
    </row>
    <row r="645" spans="10:22" s="1" customFormat="1" x14ac:dyDescent="0.2">
      <c r="J645"/>
      <c r="K645"/>
      <c r="L645"/>
      <c r="M645"/>
      <c r="N645" s="2"/>
      <c r="R645"/>
      <c r="S645"/>
      <c r="T645"/>
      <c r="U645"/>
      <c r="V645"/>
    </row>
    <row r="646" spans="10:22" s="1" customFormat="1" x14ac:dyDescent="0.2">
      <c r="J646"/>
      <c r="K646"/>
      <c r="L646"/>
      <c r="M646"/>
      <c r="N646" s="2"/>
      <c r="R646"/>
      <c r="S646"/>
      <c r="T646"/>
      <c r="U646"/>
      <c r="V646"/>
    </row>
    <row r="647" spans="10:22" s="1" customFormat="1" x14ac:dyDescent="0.2">
      <c r="J647"/>
      <c r="K647"/>
      <c r="L647"/>
      <c r="M647"/>
      <c r="N647" s="2"/>
      <c r="R647"/>
      <c r="S647"/>
      <c r="T647"/>
      <c r="U647"/>
      <c r="V647"/>
    </row>
    <row r="648" spans="10:22" s="1" customFormat="1" x14ac:dyDescent="0.2">
      <c r="J648"/>
      <c r="K648"/>
      <c r="L648"/>
      <c r="M648"/>
      <c r="N648" s="2"/>
      <c r="R648"/>
      <c r="S648"/>
      <c r="T648"/>
      <c r="U648"/>
      <c r="V648"/>
    </row>
    <row r="649" spans="10:22" s="1" customFormat="1" x14ac:dyDescent="0.2">
      <c r="J649"/>
      <c r="K649"/>
      <c r="L649"/>
      <c r="M649"/>
      <c r="N649" s="2"/>
      <c r="R649"/>
      <c r="S649"/>
      <c r="T649"/>
      <c r="U649"/>
      <c r="V649"/>
    </row>
    <row r="650" spans="10:22" s="1" customFormat="1" x14ac:dyDescent="0.2">
      <c r="J650"/>
      <c r="K650"/>
      <c r="L650"/>
      <c r="M650"/>
      <c r="N650" s="2"/>
      <c r="R650"/>
      <c r="S650"/>
      <c r="T650"/>
      <c r="U650"/>
      <c r="V650"/>
    </row>
    <row r="651" spans="10:22" s="1" customFormat="1" x14ac:dyDescent="0.2">
      <c r="J651"/>
      <c r="K651"/>
      <c r="L651"/>
      <c r="M651"/>
      <c r="N651" s="2"/>
      <c r="R651"/>
      <c r="S651"/>
      <c r="T651"/>
      <c r="U651"/>
      <c r="V651"/>
    </row>
    <row r="652" spans="10:22" s="1" customFormat="1" x14ac:dyDescent="0.2">
      <c r="J652"/>
      <c r="K652"/>
      <c r="L652"/>
      <c r="M652"/>
      <c r="N652" s="2"/>
      <c r="R652"/>
      <c r="S652"/>
      <c r="T652"/>
      <c r="U652"/>
      <c r="V652"/>
    </row>
    <row r="653" spans="10:22" s="1" customFormat="1" x14ac:dyDescent="0.2">
      <c r="J653"/>
      <c r="K653"/>
      <c r="L653"/>
      <c r="M653"/>
      <c r="N653" s="2"/>
      <c r="R653"/>
      <c r="S653"/>
      <c r="T653"/>
      <c r="U653"/>
      <c r="V653"/>
    </row>
    <row r="654" spans="10:22" s="1" customFormat="1" x14ac:dyDescent="0.2">
      <c r="J654"/>
      <c r="K654"/>
      <c r="L654"/>
      <c r="M654"/>
      <c r="N654" s="2"/>
      <c r="R654"/>
      <c r="S654"/>
      <c r="T654"/>
      <c r="U654"/>
      <c r="V654"/>
    </row>
    <row r="655" spans="10:22" s="1" customFormat="1" x14ac:dyDescent="0.2">
      <c r="J655"/>
      <c r="K655"/>
      <c r="L655"/>
      <c r="M655"/>
      <c r="N655" s="2"/>
      <c r="R655"/>
      <c r="S655"/>
      <c r="T655"/>
      <c r="U655"/>
      <c r="V655"/>
    </row>
    <row r="656" spans="10:22" s="1" customFormat="1" x14ac:dyDescent="0.2">
      <c r="J656"/>
      <c r="K656"/>
      <c r="L656"/>
      <c r="M656"/>
      <c r="N656" s="2"/>
      <c r="R656"/>
      <c r="S656"/>
      <c r="T656"/>
      <c r="U656"/>
      <c r="V656"/>
    </row>
    <row r="657" spans="10:22" s="1" customFormat="1" x14ac:dyDescent="0.2">
      <c r="J657"/>
      <c r="K657"/>
      <c r="L657"/>
      <c r="M657"/>
      <c r="N657" s="2"/>
      <c r="R657"/>
      <c r="S657"/>
      <c r="T657"/>
      <c r="U657"/>
      <c r="V657"/>
    </row>
    <row r="658" spans="10:22" s="1" customFormat="1" x14ac:dyDescent="0.2">
      <c r="J658"/>
      <c r="K658"/>
      <c r="L658"/>
      <c r="M658"/>
      <c r="N658" s="2"/>
      <c r="R658"/>
      <c r="S658"/>
      <c r="T658"/>
      <c r="U658"/>
      <c r="V658"/>
    </row>
    <row r="659" spans="10:22" s="1" customFormat="1" x14ac:dyDescent="0.2">
      <c r="J659"/>
      <c r="K659"/>
      <c r="L659"/>
      <c r="M659"/>
      <c r="N659" s="2"/>
      <c r="R659"/>
      <c r="S659"/>
      <c r="T659"/>
      <c r="U659"/>
      <c r="V659"/>
    </row>
    <row r="660" spans="10:22" s="1" customFormat="1" x14ac:dyDescent="0.2">
      <c r="J660"/>
      <c r="K660"/>
      <c r="L660"/>
      <c r="M660"/>
      <c r="N660" s="2"/>
      <c r="R660"/>
      <c r="S660"/>
      <c r="T660"/>
      <c r="U660"/>
      <c r="V660"/>
    </row>
    <row r="661" spans="10:22" s="1" customFormat="1" x14ac:dyDescent="0.2">
      <c r="J661"/>
      <c r="K661"/>
      <c r="L661"/>
      <c r="M661"/>
      <c r="N661" s="2"/>
      <c r="R661"/>
      <c r="S661"/>
      <c r="T661"/>
      <c r="U661"/>
      <c r="V661"/>
    </row>
    <row r="662" spans="10:22" s="1" customFormat="1" x14ac:dyDescent="0.2">
      <c r="J662"/>
      <c r="K662"/>
      <c r="L662"/>
      <c r="M662"/>
      <c r="N662" s="2"/>
      <c r="R662"/>
      <c r="S662"/>
      <c r="T662"/>
      <c r="U662"/>
      <c r="V662"/>
    </row>
    <row r="663" spans="10:22" s="1" customFormat="1" x14ac:dyDescent="0.2">
      <c r="J663"/>
      <c r="K663"/>
      <c r="L663"/>
      <c r="M663"/>
      <c r="N663" s="2"/>
      <c r="R663"/>
      <c r="S663"/>
      <c r="T663"/>
      <c r="U663"/>
      <c r="V663"/>
    </row>
    <row r="664" spans="10:22" s="1" customFormat="1" x14ac:dyDescent="0.2">
      <c r="J664"/>
      <c r="K664"/>
      <c r="L664"/>
      <c r="M664"/>
      <c r="N664" s="2"/>
      <c r="R664"/>
      <c r="S664"/>
      <c r="T664"/>
      <c r="U664"/>
      <c r="V664"/>
    </row>
    <row r="665" spans="10:22" s="1" customFormat="1" x14ac:dyDescent="0.2">
      <c r="J665"/>
      <c r="K665"/>
      <c r="L665"/>
      <c r="M665"/>
      <c r="N665" s="2"/>
      <c r="R665"/>
      <c r="S665"/>
      <c r="T665"/>
      <c r="U665"/>
      <c r="V665"/>
    </row>
    <row r="666" spans="10:22" s="1" customFormat="1" x14ac:dyDescent="0.2">
      <c r="J666"/>
      <c r="K666"/>
      <c r="L666"/>
      <c r="M666"/>
      <c r="N666" s="2"/>
      <c r="R666"/>
      <c r="S666"/>
      <c r="T666"/>
      <c r="U666"/>
      <c r="V666"/>
    </row>
    <row r="667" spans="10:22" s="1" customFormat="1" x14ac:dyDescent="0.2">
      <c r="J667"/>
      <c r="K667"/>
      <c r="L667"/>
      <c r="M667"/>
      <c r="N667" s="2"/>
      <c r="R667"/>
      <c r="S667"/>
      <c r="T667"/>
      <c r="U667"/>
      <c r="V667"/>
    </row>
    <row r="668" spans="10:22" s="1" customFormat="1" x14ac:dyDescent="0.2">
      <c r="J668"/>
      <c r="K668"/>
      <c r="L668"/>
      <c r="M668"/>
      <c r="N668" s="2"/>
      <c r="R668"/>
      <c r="S668"/>
      <c r="T668"/>
      <c r="U668"/>
      <c r="V668"/>
    </row>
    <row r="669" spans="10:22" s="1" customFormat="1" x14ac:dyDescent="0.2">
      <c r="J669"/>
      <c r="K669"/>
      <c r="L669"/>
      <c r="M669"/>
      <c r="N669" s="2"/>
      <c r="R669"/>
      <c r="S669"/>
      <c r="T669"/>
      <c r="U669"/>
      <c r="V669"/>
    </row>
    <row r="670" spans="10:22" s="1" customFormat="1" x14ac:dyDescent="0.2">
      <c r="J670"/>
      <c r="K670"/>
      <c r="L670"/>
      <c r="M670"/>
      <c r="N670" s="2"/>
      <c r="R670"/>
      <c r="S670"/>
      <c r="T670"/>
      <c r="U670"/>
      <c r="V670"/>
    </row>
    <row r="671" spans="10:22" s="1" customFormat="1" x14ac:dyDescent="0.2">
      <c r="J671"/>
      <c r="K671"/>
      <c r="L671"/>
      <c r="M671"/>
      <c r="N671" s="2"/>
      <c r="R671"/>
      <c r="S671"/>
      <c r="T671"/>
      <c r="U671"/>
      <c r="V671"/>
    </row>
    <row r="672" spans="10:22" s="1" customFormat="1" x14ac:dyDescent="0.2">
      <c r="J672"/>
      <c r="K672"/>
      <c r="L672"/>
      <c r="M672"/>
      <c r="N672" s="2"/>
      <c r="R672"/>
      <c r="S672"/>
      <c r="T672"/>
      <c r="U672"/>
      <c r="V672"/>
    </row>
    <row r="673" spans="10:22" s="1" customFormat="1" x14ac:dyDescent="0.2">
      <c r="J673"/>
      <c r="K673"/>
      <c r="L673"/>
      <c r="M673"/>
      <c r="N673" s="2"/>
      <c r="R673"/>
      <c r="S673"/>
      <c r="T673"/>
      <c r="U673"/>
      <c r="V673"/>
    </row>
    <row r="674" spans="10:22" s="1" customFormat="1" x14ac:dyDescent="0.2">
      <c r="J674"/>
      <c r="K674"/>
      <c r="L674"/>
      <c r="M674"/>
      <c r="N674" s="2"/>
      <c r="R674"/>
      <c r="S674"/>
      <c r="T674"/>
      <c r="U674"/>
      <c r="V674"/>
    </row>
    <row r="675" spans="10:22" s="1" customFormat="1" x14ac:dyDescent="0.2">
      <c r="J675"/>
      <c r="K675"/>
      <c r="L675"/>
      <c r="M675"/>
      <c r="N675" s="2"/>
      <c r="R675"/>
      <c r="S675"/>
      <c r="T675"/>
      <c r="U675"/>
      <c r="V675"/>
    </row>
    <row r="676" spans="10:22" s="1" customFormat="1" x14ac:dyDescent="0.2">
      <c r="J676"/>
      <c r="K676"/>
      <c r="L676"/>
      <c r="M676"/>
      <c r="N676" s="2"/>
      <c r="R676"/>
      <c r="S676"/>
      <c r="T676"/>
      <c r="U676"/>
      <c r="V676"/>
    </row>
    <row r="677" spans="10:22" s="1" customFormat="1" x14ac:dyDescent="0.2">
      <c r="J677"/>
      <c r="K677"/>
      <c r="L677"/>
      <c r="M677"/>
      <c r="N677" s="2"/>
      <c r="R677"/>
      <c r="S677"/>
      <c r="T677"/>
      <c r="U677"/>
      <c r="V677"/>
    </row>
    <row r="678" spans="10:22" s="1" customFormat="1" x14ac:dyDescent="0.2">
      <c r="J678"/>
      <c r="K678"/>
      <c r="L678"/>
      <c r="M678"/>
      <c r="N678" s="2"/>
      <c r="R678"/>
      <c r="S678"/>
      <c r="T678"/>
      <c r="U678"/>
      <c r="V678"/>
    </row>
    <row r="679" spans="10:22" s="1" customFormat="1" x14ac:dyDescent="0.2">
      <c r="J679"/>
      <c r="K679"/>
      <c r="L679"/>
      <c r="M679"/>
      <c r="N679" s="2"/>
      <c r="R679"/>
      <c r="S679"/>
      <c r="T679"/>
      <c r="U679"/>
      <c r="V679"/>
    </row>
    <row r="680" spans="10:22" s="1" customFormat="1" x14ac:dyDescent="0.2">
      <c r="J680"/>
      <c r="K680"/>
      <c r="L680"/>
      <c r="M680"/>
      <c r="N680" s="2"/>
      <c r="R680"/>
      <c r="S680"/>
      <c r="T680"/>
      <c r="U680"/>
      <c r="V680"/>
    </row>
    <row r="681" spans="10:22" s="1" customFormat="1" x14ac:dyDescent="0.2">
      <c r="J681"/>
      <c r="K681"/>
      <c r="L681"/>
      <c r="M681"/>
      <c r="N681" s="2"/>
      <c r="R681"/>
      <c r="S681"/>
      <c r="T681"/>
      <c r="U681"/>
      <c r="V681"/>
    </row>
    <row r="682" spans="10:22" s="1" customFormat="1" x14ac:dyDescent="0.2">
      <c r="J682"/>
      <c r="K682"/>
      <c r="L682"/>
      <c r="M682"/>
      <c r="N682" s="2"/>
      <c r="R682"/>
      <c r="S682"/>
      <c r="T682"/>
      <c r="U682"/>
      <c r="V682"/>
    </row>
    <row r="683" spans="10:22" s="1" customFormat="1" x14ac:dyDescent="0.2">
      <c r="J683"/>
      <c r="K683"/>
      <c r="L683"/>
      <c r="M683"/>
      <c r="N683" s="2"/>
      <c r="R683"/>
      <c r="S683"/>
      <c r="T683"/>
      <c r="U683"/>
      <c r="V683"/>
    </row>
    <row r="684" spans="10:22" s="1" customFormat="1" x14ac:dyDescent="0.2">
      <c r="J684"/>
      <c r="K684"/>
      <c r="L684"/>
      <c r="M684"/>
      <c r="N684" s="2"/>
      <c r="R684"/>
      <c r="S684"/>
      <c r="T684"/>
      <c r="U684"/>
      <c r="V684"/>
    </row>
    <row r="685" spans="10:22" s="1" customFormat="1" x14ac:dyDescent="0.2">
      <c r="J685"/>
      <c r="K685"/>
      <c r="L685"/>
      <c r="M685"/>
      <c r="N685" s="2"/>
      <c r="R685"/>
      <c r="S685"/>
      <c r="T685"/>
      <c r="U685"/>
      <c r="V685"/>
    </row>
    <row r="686" spans="10:22" s="1" customFormat="1" x14ac:dyDescent="0.2">
      <c r="J686"/>
      <c r="K686"/>
      <c r="L686"/>
      <c r="M686"/>
      <c r="N686" s="2"/>
      <c r="R686"/>
      <c r="S686"/>
      <c r="T686"/>
      <c r="U686"/>
      <c r="V686"/>
    </row>
    <row r="687" spans="10:22" s="1" customFormat="1" x14ac:dyDescent="0.2">
      <c r="J687"/>
      <c r="K687"/>
      <c r="L687"/>
      <c r="M687"/>
      <c r="N687" s="2"/>
      <c r="R687"/>
      <c r="S687"/>
      <c r="T687"/>
      <c r="U687"/>
      <c r="V687"/>
    </row>
    <row r="688" spans="10:22" s="1" customFormat="1" x14ac:dyDescent="0.2">
      <c r="J688"/>
      <c r="K688"/>
      <c r="L688"/>
      <c r="M688"/>
      <c r="N688" s="2"/>
      <c r="R688"/>
      <c r="S688"/>
      <c r="T688"/>
      <c r="U688"/>
      <c r="V688"/>
    </row>
    <row r="689" spans="10:22" s="1" customFormat="1" x14ac:dyDescent="0.2">
      <c r="J689"/>
      <c r="K689"/>
      <c r="L689"/>
      <c r="M689"/>
      <c r="N689" s="2"/>
      <c r="R689"/>
      <c r="S689"/>
      <c r="T689"/>
      <c r="U689"/>
      <c r="V689"/>
    </row>
    <row r="690" spans="10:22" s="1" customFormat="1" x14ac:dyDescent="0.2">
      <c r="J690"/>
      <c r="K690"/>
      <c r="L690"/>
      <c r="M690"/>
      <c r="N690" s="2"/>
      <c r="R690"/>
      <c r="S690"/>
      <c r="T690"/>
      <c r="U690"/>
      <c r="V690"/>
    </row>
    <row r="691" spans="10:22" s="1" customFormat="1" x14ac:dyDescent="0.2">
      <c r="J691"/>
      <c r="K691"/>
      <c r="L691"/>
      <c r="M691"/>
      <c r="N691" s="2"/>
      <c r="R691"/>
      <c r="S691"/>
      <c r="T691"/>
      <c r="U691"/>
      <c r="V691"/>
    </row>
    <row r="692" spans="10:22" s="1" customFormat="1" x14ac:dyDescent="0.2">
      <c r="J692"/>
      <c r="K692"/>
      <c r="L692"/>
      <c r="M692"/>
      <c r="N692" s="2"/>
      <c r="R692"/>
      <c r="S692"/>
      <c r="T692"/>
      <c r="U692"/>
      <c r="V692"/>
    </row>
    <row r="693" spans="10:22" s="1" customFormat="1" x14ac:dyDescent="0.2">
      <c r="J693"/>
      <c r="K693"/>
      <c r="L693"/>
      <c r="M693"/>
      <c r="N693" s="2"/>
      <c r="R693"/>
      <c r="S693"/>
      <c r="T693"/>
      <c r="U693"/>
      <c r="V693"/>
    </row>
    <row r="694" spans="10:22" s="1" customFormat="1" x14ac:dyDescent="0.2">
      <c r="J694"/>
      <c r="K694"/>
      <c r="L694"/>
      <c r="M694"/>
      <c r="N694" s="2"/>
      <c r="R694"/>
      <c r="S694"/>
      <c r="T694"/>
      <c r="U694"/>
      <c r="V694"/>
    </row>
    <row r="695" spans="10:22" s="1" customFormat="1" x14ac:dyDescent="0.2">
      <c r="J695"/>
      <c r="K695"/>
      <c r="L695"/>
      <c r="M695"/>
      <c r="N695" s="2"/>
      <c r="R695"/>
      <c r="S695"/>
      <c r="T695"/>
      <c r="U695"/>
      <c r="V695"/>
    </row>
    <row r="696" spans="10:22" s="1" customFormat="1" x14ac:dyDescent="0.2">
      <c r="J696"/>
      <c r="K696"/>
      <c r="L696"/>
      <c r="M696"/>
      <c r="N696" s="2"/>
      <c r="R696"/>
      <c r="S696"/>
      <c r="T696"/>
      <c r="U696"/>
      <c r="V696"/>
    </row>
    <row r="697" spans="10:22" s="1" customFormat="1" x14ac:dyDescent="0.2">
      <c r="J697"/>
      <c r="K697"/>
      <c r="L697"/>
      <c r="M697"/>
      <c r="N697" s="2"/>
      <c r="R697"/>
      <c r="S697"/>
      <c r="T697"/>
      <c r="U697"/>
      <c r="V697"/>
    </row>
    <row r="698" spans="10:22" s="1" customFormat="1" x14ac:dyDescent="0.2">
      <c r="J698"/>
      <c r="K698"/>
      <c r="L698"/>
      <c r="M698"/>
      <c r="N698" s="2"/>
      <c r="R698"/>
      <c r="S698"/>
      <c r="T698"/>
      <c r="U698"/>
      <c r="V698"/>
    </row>
    <row r="699" spans="10:22" s="1" customFormat="1" x14ac:dyDescent="0.2">
      <c r="J699"/>
      <c r="K699"/>
      <c r="L699"/>
      <c r="M699"/>
      <c r="N699" s="2"/>
      <c r="R699"/>
      <c r="S699"/>
      <c r="T699"/>
      <c r="U699"/>
      <c r="V699"/>
    </row>
    <row r="700" spans="10:22" s="1" customFormat="1" x14ac:dyDescent="0.2">
      <c r="J700"/>
      <c r="K700"/>
      <c r="L700"/>
      <c r="M700"/>
      <c r="N700" s="2"/>
      <c r="R700"/>
      <c r="S700"/>
      <c r="T700"/>
      <c r="U700"/>
      <c r="V700"/>
    </row>
    <row r="701" spans="10:22" s="1" customFormat="1" x14ac:dyDescent="0.2">
      <c r="J701"/>
      <c r="K701"/>
      <c r="L701"/>
      <c r="M701"/>
      <c r="N701" s="2"/>
      <c r="R701"/>
      <c r="S701"/>
      <c r="T701"/>
      <c r="U701"/>
      <c r="V701"/>
    </row>
    <row r="702" spans="10:22" s="1" customFormat="1" x14ac:dyDescent="0.2">
      <c r="J702"/>
      <c r="K702"/>
      <c r="L702"/>
      <c r="M702"/>
      <c r="N702" s="2"/>
      <c r="R702"/>
      <c r="S702"/>
      <c r="T702"/>
      <c r="U702"/>
      <c r="V702"/>
    </row>
    <row r="703" spans="10:22" s="1" customFormat="1" x14ac:dyDescent="0.2">
      <c r="J703"/>
      <c r="K703"/>
      <c r="L703"/>
      <c r="M703"/>
      <c r="N703" s="2"/>
      <c r="R703"/>
      <c r="S703"/>
      <c r="T703"/>
      <c r="U703"/>
      <c r="V703"/>
    </row>
    <row r="704" spans="10:22" s="1" customFormat="1" x14ac:dyDescent="0.2">
      <c r="J704"/>
      <c r="K704"/>
      <c r="L704"/>
      <c r="M704"/>
      <c r="N704" s="2"/>
      <c r="R704"/>
      <c r="S704"/>
      <c r="T704"/>
      <c r="U704"/>
      <c r="V704"/>
    </row>
    <row r="705" spans="10:22" s="1" customFormat="1" x14ac:dyDescent="0.2">
      <c r="J705"/>
      <c r="K705"/>
      <c r="L705"/>
      <c r="M705"/>
      <c r="N705" s="2"/>
      <c r="R705"/>
      <c r="S705"/>
      <c r="T705"/>
      <c r="U705"/>
      <c r="V705"/>
    </row>
    <row r="706" spans="10:22" s="1" customFormat="1" x14ac:dyDescent="0.2">
      <c r="J706"/>
      <c r="K706"/>
      <c r="L706"/>
      <c r="M706"/>
      <c r="N706" s="2"/>
      <c r="R706"/>
      <c r="S706"/>
      <c r="T706"/>
      <c r="U706"/>
      <c r="V706"/>
    </row>
    <row r="707" spans="10:22" s="1" customFormat="1" x14ac:dyDescent="0.2">
      <c r="J707"/>
      <c r="K707"/>
      <c r="L707"/>
      <c r="M707"/>
      <c r="N707" s="2"/>
      <c r="R707"/>
      <c r="S707"/>
      <c r="T707"/>
      <c r="U707"/>
      <c r="V707"/>
    </row>
    <row r="708" spans="10:22" s="1" customFormat="1" x14ac:dyDescent="0.2">
      <c r="J708"/>
      <c r="K708"/>
      <c r="L708"/>
      <c r="M708"/>
      <c r="N708" s="2"/>
      <c r="R708"/>
      <c r="S708"/>
      <c r="T708"/>
      <c r="U708"/>
      <c r="V708"/>
    </row>
    <row r="709" spans="10:22" s="1" customFormat="1" x14ac:dyDescent="0.2">
      <c r="J709"/>
      <c r="K709"/>
      <c r="L709"/>
      <c r="M709"/>
      <c r="N709" s="2"/>
      <c r="R709"/>
      <c r="S709"/>
      <c r="T709"/>
      <c r="U709"/>
      <c r="V709"/>
    </row>
    <row r="710" spans="10:22" s="1" customFormat="1" x14ac:dyDescent="0.2">
      <c r="J710"/>
      <c r="K710"/>
      <c r="L710"/>
      <c r="M710"/>
      <c r="N710" s="2"/>
      <c r="R710"/>
      <c r="S710"/>
      <c r="T710"/>
      <c r="U710"/>
      <c r="V710"/>
    </row>
    <row r="711" spans="10:22" s="1" customFormat="1" x14ac:dyDescent="0.2">
      <c r="J711"/>
      <c r="K711"/>
      <c r="L711"/>
      <c r="M711"/>
      <c r="N711" s="2"/>
      <c r="R711"/>
      <c r="S711"/>
      <c r="T711"/>
      <c r="U711"/>
      <c r="V711"/>
    </row>
    <row r="712" spans="10:22" s="1" customFormat="1" x14ac:dyDescent="0.2">
      <c r="J712"/>
      <c r="K712"/>
      <c r="L712"/>
      <c r="M712"/>
      <c r="N712" s="2"/>
      <c r="R712"/>
      <c r="S712"/>
      <c r="T712"/>
      <c r="U712"/>
      <c r="V712"/>
    </row>
    <row r="713" spans="10:22" s="1" customFormat="1" x14ac:dyDescent="0.2">
      <c r="J713"/>
      <c r="K713"/>
      <c r="L713"/>
      <c r="M713"/>
      <c r="N713" s="2"/>
      <c r="R713"/>
      <c r="S713"/>
      <c r="T713"/>
      <c r="U713"/>
      <c r="V713"/>
    </row>
    <row r="714" spans="10:22" s="1" customFormat="1" x14ac:dyDescent="0.2">
      <c r="J714"/>
      <c r="K714"/>
      <c r="L714"/>
      <c r="M714"/>
      <c r="N714" s="2"/>
      <c r="R714"/>
      <c r="S714"/>
      <c r="T714"/>
      <c r="U714"/>
      <c r="V714"/>
    </row>
    <row r="715" spans="10:22" s="1" customFormat="1" x14ac:dyDescent="0.2">
      <c r="J715"/>
      <c r="K715"/>
      <c r="L715"/>
      <c r="M715"/>
      <c r="N715" s="2"/>
      <c r="R715"/>
      <c r="S715"/>
      <c r="T715"/>
      <c r="U715"/>
      <c r="V715"/>
    </row>
    <row r="716" spans="10:22" s="1" customFormat="1" x14ac:dyDescent="0.2">
      <c r="J716"/>
      <c r="K716"/>
      <c r="L716"/>
      <c r="M716"/>
      <c r="N716" s="2"/>
      <c r="R716"/>
      <c r="S716"/>
      <c r="T716"/>
      <c r="U716"/>
      <c r="V716"/>
    </row>
    <row r="717" spans="10:22" s="1" customFormat="1" x14ac:dyDescent="0.2">
      <c r="J717"/>
      <c r="K717"/>
      <c r="L717"/>
      <c r="M717"/>
      <c r="N717" s="2"/>
      <c r="R717"/>
      <c r="S717"/>
      <c r="T717"/>
      <c r="U717"/>
      <c r="V717"/>
    </row>
    <row r="718" spans="10:22" s="1" customFormat="1" x14ac:dyDescent="0.2">
      <c r="J718"/>
      <c r="K718"/>
      <c r="L718"/>
      <c r="M718"/>
      <c r="N718" s="2"/>
      <c r="R718"/>
      <c r="S718"/>
      <c r="T718"/>
      <c r="U718"/>
      <c r="V718"/>
    </row>
    <row r="719" spans="10:22" s="1" customFormat="1" x14ac:dyDescent="0.2">
      <c r="J719"/>
      <c r="K719"/>
      <c r="L719"/>
      <c r="M719"/>
      <c r="N719" s="2"/>
      <c r="R719"/>
      <c r="S719"/>
      <c r="T719"/>
      <c r="U719"/>
      <c r="V719"/>
    </row>
    <row r="720" spans="10:22" s="1" customFormat="1" x14ac:dyDescent="0.2">
      <c r="J720"/>
      <c r="K720"/>
      <c r="L720"/>
      <c r="M720"/>
      <c r="N720" s="2"/>
      <c r="R720"/>
      <c r="S720"/>
      <c r="T720"/>
      <c r="U720"/>
      <c r="V720"/>
    </row>
    <row r="721" spans="10:22" s="1" customFormat="1" x14ac:dyDescent="0.2">
      <c r="J721"/>
      <c r="K721"/>
      <c r="L721"/>
      <c r="M721"/>
      <c r="N721" s="2"/>
      <c r="R721"/>
      <c r="S721"/>
      <c r="T721"/>
      <c r="U721"/>
      <c r="V721"/>
    </row>
    <row r="722" spans="10:22" s="1" customFormat="1" x14ac:dyDescent="0.2">
      <c r="J722"/>
      <c r="K722"/>
      <c r="L722"/>
      <c r="M722"/>
      <c r="N722" s="2"/>
      <c r="R722"/>
      <c r="S722"/>
      <c r="T722"/>
      <c r="U722"/>
      <c r="V722"/>
    </row>
    <row r="723" spans="10:22" s="1" customFormat="1" x14ac:dyDescent="0.2">
      <c r="J723"/>
      <c r="K723"/>
      <c r="L723"/>
      <c r="M723"/>
      <c r="N723" s="2"/>
      <c r="R723"/>
      <c r="S723"/>
      <c r="T723"/>
      <c r="U723"/>
      <c r="V723"/>
    </row>
    <row r="724" spans="10:22" s="1" customFormat="1" x14ac:dyDescent="0.2">
      <c r="J724"/>
      <c r="K724"/>
      <c r="L724"/>
      <c r="M724"/>
      <c r="N724" s="2"/>
      <c r="R724"/>
      <c r="S724"/>
      <c r="T724"/>
      <c r="U724"/>
      <c r="V724"/>
    </row>
    <row r="725" spans="10:22" s="1" customFormat="1" x14ac:dyDescent="0.2">
      <c r="J725"/>
      <c r="K725"/>
      <c r="L725"/>
      <c r="M725"/>
      <c r="N725" s="2"/>
      <c r="R725"/>
      <c r="S725"/>
      <c r="T725"/>
      <c r="U725"/>
      <c r="V725"/>
    </row>
    <row r="726" spans="10:22" s="1" customFormat="1" x14ac:dyDescent="0.2">
      <c r="J726"/>
      <c r="K726"/>
      <c r="L726"/>
      <c r="M726"/>
      <c r="N726" s="2"/>
      <c r="R726"/>
      <c r="S726"/>
      <c r="T726"/>
      <c r="U726"/>
      <c r="V726"/>
    </row>
    <row r="727" spans="10:22" s="1" customFormat="1" x14ac:dyDescent="0.2">
      <c r="J727"/>
      <c r="K727"/>
      <c r="L727"/>
      <c r="M727"/>
      <c r="N727" s="2"/>
      <c r="R727"/>
      <c r="S727"/>
      <c r="T727"/>
      <c r="U727"/>
      <c r="V727"/>
    </row>
    <row r="728" spans="10:22" s="1" customFormat="1" x14ac:dyDescent="0.2">
      <c r="J728"/>
      <c r="K728"/>
      <c r="L728"/>
      <c r="M728"/>
      <c r="N728" s="2"/>
      <c r="R728"/>
      <c r="S728"/>
      <c r="T728"/>
      <c r="U728"/>
      <c r="V728"/>
    </row>
    <row r="729" spans="10:22" s="1" customFormat="1" x14ac:dyDescent="0.2">
      <c r="J729"/>
      <c r="K729"/>
      <c r="L729"/>
      <c r="M729"/>
      <c r="N729" s="2"/>
      <c r="R729"/>
      <c r="S729"/>
      <c r="T729"/>
      <c r="U729"/>
      <c r="V729"/>
    </row>
    <row r="730" spans="10:22" s="1" customFormat="1" x14ac:dyDescent="0.2">
      <c r="J730"/>
      <c r="K730"/>
      <c r="L730"/>
      <c r="M730"/>
      <c r="N730" s="2"/>
      <c r="R730"/>
      <c r="S730"/>
      <c r="T730"/>
      <c r="U730"/>
      <c r="V730"/>
    </row>
    <row r="731" spans="10:22" s="1" customFormat="1" x14ac:dyDescent="0.2">
      <c r="J731"/>
      <c r="K731"/>
      <c r="L731"/>
      <c r="M731"/>
      <c r="N731" s="2"/>
      <c r="R731"/>
      <c r="S731"/>
      <c r="T731"/>
      <c r="U731"/>
      <c r="V731"/>
    </row>
    <row r="732" spans="10:22" s="1" customFormat="1" x14ac:dyDescent="0.2">
      <c r="J732"/>
      <c r="K732"/>
      <c r="L732"/>
      <c r="M732"/>
      <c r="N732" s="2"/>
      <c r="R732"/>
      <c r="S732"/>
      <c r="T732"/>
      <c r="U732"/>
      <c r="V732"/>
    </row>
    <row r="733" spans="10:22" s="1" customFormat="1" x14ac:dyDescent="0.2">
      <c r="J733"/>
      <c r="K733"/>
      <c r="L733"/>
      <c r="M733"/>
      <c r="N733" s="2"/>
      <c r="R733"/>
      <c r="S733"/>
      <c r="T733"/>
      <c r="U733"/>
      <c r="V733"/>
    </row>
    <row r="734" spans="10:22" s="1" customFormat="1" x14ac:dyDescent="0.2">
      <c r="J734"/>
      <c r="K734"/>
      <c r="L734"/>
      <c r="M734"/>
      <c r="N734" s="2"/>
      <c r="R734"/>
      <c r="S734"/>
      <c r="T734"/>
      <c r="U734"/>
      <c r="V734"/>
    </row>
  </sheetData>
  <mergeCells count="53">
    <mergeCell ref="B2:V2"/>
    <mergeCell ref="K4:K5"/>
    <mergeCell ref="L4:L5"/>
    <mergeCell ref="S10:S11"/>
    <mergeCell ref="U10:U11"/>
    <mergeCell ref="S4:S5"/>
    <mergeCell ref="U4:U5"/>
    <mergeCell ref="L10:L11"/>
    <mergeCell ref="Q4:Q5"/>
    <mergeCell ref="B10:B11"/>
    <mergeCell ref="Q10:Q11"/>
    <mergeCell ref="J4:J5"/>
    <mergeCell ref="E10:E11"/>
    <mergeCell ref="J10:J11"/>
    <mergeCell ref="K10:K11"/>
    <mergeCell ref="E61:F61"/>
    <mergeCell ref="E62:F62"/>
    <mergeCell ref="E63:F63"/>
    <mergeCell ref="B4:B5"/>
    <mergeCell ref="E4:E5"/>
    <mergeCell ref="U15:U16"/>
    <mergeCell ref="B15:B16"/>
    <mergeCell ref="E15:E16"/>
    <mergeCell ref="J15:J16"/>
    <mergeCell ref="K15:K16"/>
    <mergeCell ref="Q15:Q16"/>
    <mergeCell ref="S15:S16"/>
    <mergeCell ref="L15:L16"/>
    <mergeCell ref="S17:S18"/>
    <mergeCell ref="U17:U18"/>
    <mergeCell ref="B17:B18"/>
    <mergeCell ref="E17:E18"/>
    <mergeCell ref="J17:J18"/>
    <mergeCell ref="K17:K18"/>
    <mergeCell ref="L17:L18"/>
    <mergeCell ref="Q17:Q18"/>
    <mergeCell ref="S22:S26"/>
    <mergeCell ref="U22:U26"/>
    <mergeCell ref="E22:E26"/>
    <mergeCell ref="B22:B26"/>
    <mergeCell ref="D22:D26"/>
    <mergeCell ref="J22:J26"/>
    <mergeCell ref="K22:K26"/>
    <mergeCell ref="L22:L26"/>
    <mergeCell ref="Q22:Q26"/>
    <mergeCell ref="U29:U30"/>
    <mergeCell ref="B29:B30"/>
    <mergeCell ref="E29:E30"/>
    <mergeCell ref="J29:J30"/>
    <mergeCell ref="K29:K30"/>
    <mergeCell ref="Q29:Q30"/>
    <mergeCell ref="S29:S30"/>
    <mergeCell ref="L29:L30"/>
  </mergeCells>
  <conditionalFormatting sqref="I65:I71">
    <cfRule type="cellIs" dxfId="116" priority="545" stopIfTrue="1" operator="lessThan">
      <formula>0%</formula>
    </cfRule>
    <cfRule type="cellIs" dxfId="115" priority="544" stopIfTrue="1" operator="greaterThan">
      <formula>1.5%</formula>
    </cfRule>
  </conditionalFormatting>
  <conditionalFormatting sqref="I73">
    <cfRule type="cellIs" dxfId="114" priority="539" stopIfTrue="1" operator="lessThan">
      <formula>438</formula>
    </cfRule>
  </conditionalFormatting>
  <conditionalFormatting sqref="J3 B2 J72:J65536">
    <cfRule type="cellIs" dxfId="113" priority="562" stopIfTrue="1" operator="lessThan">
      <formula>438</formula>
    </cfRule>
  </conditionalFormatting>
  <conditionalFormatting sqref="J3">
    <cfRule type="cellIs" dxfId="112" priority="559" stopIfTrue="1" operator="lessThan">
      <formula>456.25</formula>
    </cfRule>
  </conditionalFormatting>
  <conditionalFormatting sqref="J4 J6:J10">
    <cfRule type="cellIs" dxfId="111" priority="517" stopIfTrue="1" operator="lessThan">
      <formula>462</formula>
    </cfRule>
  </conditionalFormatting>
  <conditionalFormatting sqref="J12:J15">
    <cfRule type="cellIs" dxfId="110" priority="136" stopIfTrue="1" operator="lessThan">
      <formula>462</formula>
    </cfRule>
  </conditionalFormatting>
  <conditionalFormatting sqref="J17">
    <cfRule type="cellIs" dxfId="109" priority="99" stopIfTrue="1" operator="lessThan">
      <formula>462</formula>
    </cfRule>
  </conditionalFormatting>
  <conditionalFormatting sqref="J19:J22">
    <cfRule type="cellIs" dxfId="108" priority="75" stopIfTrue="1" operator="lessThan">
      <formula>462</formula>
    </cfRule>
  </conditionalFormatting>
  <conditionalFormatting sqref="J27:J29">
    <cfRule type="cellIs" dxfId="107" priority="57" stopIfTrue="1" operator="lessThan">
      <formula>462</formula>
    </cfRule>
  </conditionalFormatting>
  <conditionalFormatting sqref="J31:J60">
    <cfRule type="cellIs" dxfId="106" priority="8" stopIfTrue="1" operator="lessThan">
      <formula>462</formula>
    </cfRule>
  </conditionalFormatting>
  <conditionalFormatting sqref="J65:J71">
    <cfRule type="cellIs" dxfId="105" priority="557" stopIfTrue="1" operator="lessThan">
      <formula>73%</formula>
    </cfRule>
  </conditionalFormatting>
  <conditionalFormatting sqref="K4 K6:K10">
    <cfRule type="cellIs" dxfId="104" priority="516" stopIfTrue="1" operator="lessThan">
      <formula>540</formula>
    </cfRule>
  </conditionalFormatting>
  <conditionalFormatting sqref="K12:K15">
    <cfRule type="cellIs" dxfId="103" priority="135" stopIfTrue="1" operator="lessThan">
      <formula>540</formula>
    </cfRule>
  </conditionalFormatting>
  <conditionalFormatting sqref="K17">
    <cfRule type="cellIs" dxfId="102" priority="98" stopIfTrue="1" operator="lessThan">
      <formula>540</formula>
    </cfRule>
  </conditionalFormatting>
  <conditionalFormatting sqref="K19:K22">
    <cfRule type="cellIs" dxfId="101" priority="74" stopIfTrue="1" operator="lessThan">
      <formula>540</formula>
    </cfRule>
  </conditionalFormatting>
  <conditionalFormatting sqref="K27:K29">
    <cfRule type="cellIs" dxfId="100" priority="56" stopIfTrue="1" operator="lessThan">
      <formula>540</formula>
    </cfRule>
  </conditionalFormatting>
  <conditionalFormatting sqref="K31:K39">
    <cfRule type="cellIs" dxfId="99" priority="7" stopIfTrue="1" operator="lessThan">
      <formula>540</formula>
    </cfRule>
  </conditionalFormatting>
  <conditionalFormatting sqref="K39:L56">
    <cfRule type="cellIs" dxfId="98" priority="522" stopIfTrue="1" operator="lessThan">
      <formula>540</formula>
    </cfRule>
  </conditionalFormatting>
  <conditionalFormatting sqref="K57:L59">
    <cfRule type="cellIs" dxfId="97" priority="553" stopIfTrue="1" operator="lessThan">
      <formula>438</formula>
    </cfRule>
    <cfRule type="cellIs" dxfId="96" priority="552" stopIfTrue="1" operator="lessThan">
      <formula>456.25</formula>
    </cfRule>
  </conditionalFormatting>
  <conditionalFormatting sqref="O4:O61">
    <cfRule type="cellIs" dxfId="95" priority="19" stopIfTrue="1" operator="greaterThan">
      <formula>1.1</formula>
    </cfRule>
  </conditionalFormatting>
  <conditionalFormatting sqref="O61:O62">
    <cfRule type="cellIs" dxfId="94" priority="556" stopIfTrue="1" operator="lessThan">
      <formula>0%</formula>
    </cfRule>
    <cfRule type="cellIs" dxfId="93" priority="555" stopIfTrue="1" operator="greaterThan">
      <formula>1.5%</formula>
    </cfRule>
  </conditionalFormatting>
  <conditionalFormatting sqref="Q4">
    <cfRule type="cellIs" dxfId="92" priority="514" stopIfTrue="1" operator="lessThan">
      <formula>0.74</formula>
    </cfRule>
  </conditionalFormatting>
  <conditionalFormatting sqref="Q6:Q10">
    <cfRule type="cellIs" dxfId="91" priority="192" stopIfTrue="1" operator="lessThan">
      <formula>0.74</formula>
    </cfRule>
  </conditionalFormatting>
  <conditionalFormatting sqref="Q12:Q15">
    <cfRule type="cellIs" dxfId="90" priority="124" stopIfTrue="1" operator="lessThan">
      <formula>0.74</formula>
    </cfRule>
  </conditionalFormatting>
  <conditionalFormatting sqref="Q17">
    <cfRule type="cellIs" dxfId="89" priority="87" stopIfTrue="1" operator="lessThan">
      <formula>0.74</formula>
    </cfRule>
  </conditionalFormatting>
  <conditionalFormatting sqref="Q19:Q22">
    <cfRule type="cellIs" dxfId="88" priority="69" stopIfTrue="1" operator="lessThan">
      <formula>0.74</formula>
    </cfRule>
  </conditionalFormatting>
  <conditionalFormatting sqref="Q27:Q29">
    <cfRule type="cellIs" dxfId="87" priority="45" stopIfTrue="1" operator="lessThan">
      <formula>0.74</formula>
    </cfRule>
  </conditionalFormatting>
  <conditionalFormatting sqref="Q31:Q60">
    <cfRule type="cellIs" dxfId="86" priority="2" stopIfTrue="1" operator="lessThan">
      <formula>0.74</formula>
    </cfRule>
  </conditionalFormatting>
  <conditionalFormatting sqref="S42:S59">
    <cfRule type="cellIs" dxfId="85" priority="548" stopIfTrue="1" operator="lessThan">
      <formula>0.74</formula>
    </cfRule>
  </conditionalFormatting>
  <conditionalFormatting sqref="S61:S62">
    <cfRule type="cellIs" dxfId="84" priority="558" stopIfTrue="1" operator="lessThan">
      <formula>73%</formula>
    </cfRule>
  </conditionalFormatting>
  <conditionalFormatting sqref="S75">
    <cfRule type="cellIs" dxfId="83" priority="224" stopIfTrue="1" operator="lessThan">
      <formula>0.74</formula>
    </cfRule>
  </conditionalFormatting>
  <conditionalFormatting sqref="S76">
    <cfRule type="cellIs" dxfId="82" priority="222" stopIfTrue="1" operator="greaterThan">
      <formula>1.1</formula>
    </cfRule>
  </conditionalFormatting>
  <conditionalFormatting sqref="S3:U3">
    <cfRule type="cellIs" dxfId="81" priority="531" stopIfTrue="1" operator="lessThan">
      <formula>0.65</formula>
    </cfRule>
  </conditionalFormatting>
  <conditionalFormatting sqref="S4:U4 T5">
    <cfRule type="cellIs" dxfId="80" priority="513" stopIfTrue="1" operator="lessThan">
      <formula>0.74</formula>
    </cfRule>
  </conditionalFormatting>
  <conditionalFormatting sqref="S6:U10 T11">
    <cfRule type="cellIs" dxfId="79" priority="191" stopIfTrue="1" operator="lessThan">
      <formula>0.74</formula>
    </cfRule>
  </conditionalFormatting>
  <conditionalFormatting sqref="S12:U15 T16">
    <cfRule type="cellIs" dxfId="78" priority="123" stopIfTrue="1" operator="lessThan">
      <formula>0.74</formula>
    </cfRule>
  </conditionalFormatting>
  <conditionalFormatting sqref="S17:U17 T18">
    <cfRule type="cellIs" dxfId="77" priority="86" stopIfTrue="1" operator="lessThan">
      <formula>0.74</formula>
    </cfRule>
  </conditionalFormatting>
  <conditionalFormatting sqref="S19:U22">
    <cfRule type="cellIs" dxfId="76" priority="68" stopIfTrue="1" operator="lessThan">
      <formula>0.74</formula>
    </cfRule>
  </conditionalFormatting>
  <conditionalFormatting sqref="S27:U29 T30">
    <cfRule type="cellIs" dxfId="75" priority="44" stopIfTrue="1" operator="lessThan">
      <formula>0.74</formula>
    </cfRule>
  </conditionalFormatting>
  <conditionalFormatting sqref="S31:U41">
    <cfRule type="cellIs" dxfId="74" priority="1" stopIfTrue="1" operator="lessThan">
      <formula>0.74</formula>
    </cfRule>
  </conditionalFormatting>
  <conditionalFormatting sqref="S60:U60">
    <cfRule type="cellIs" dxfId="73" priority="550" stopIfTrue="1" operator="lessThan">
      <formula>0.74</formula>
    </cfRule>
  </conditionalFormatting>
  <conditionalFormatting sqref="T23:T26">
    <cfRule type="cellIs" dxfId="72" priority="203" stopIfTrue="1" operator="lessThan">
      <formula>0.74</formula>
    </cfRule>
  </conditionalFormatting>
  <conditionalFormatting sqref="T35:T38">
    <cfRule type="cellIs" dxfId="71" priority="482" stopIfTrue="1" operator="lessThan">
      <formula>0.74</formula>
    </cfRule>
  </conditionalFormatting>
  <conditionalFormatting sqref="T42:U59">
    <cfRule type="cellIs" dxfId="70" priority="542" stopIfTrue="1" operator="lessThan">
      <formula>75%</formula>
    </cfRule>
  </conditionalFormatting>
  <conditionalFormatting sqref="T61:U62">
    <cfRule type="cellIs" dxfId="69" priority="561" stopIfTrue="1" operator="lessThan">
      <formula>75%</formula>
    </cfRule>
  </conditionalFormatting>
  <conditionalFormatting sqref="U75">
    <cfRule type="cellIs" dxfId="68" priority="223" stopIfTrue="1" operator="lessThan">
      <formula>0.74</formula>
    </cfRule>
  </conditionalFormatting>
  <printOptions horizontalCentered="1"/>
  <pageMargins left="0.10312499999999999" right="0.5" top="0.25" bottom="0.27" header="0.25" footer="0.27"/>
  <pageSetup paperSize="5" scale="36" orientation="landscape" r:id="rId1"/>
  <headerFooter alignWithMargins="0"/>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99DFB-6902-4F72-844F-F0F1745917F4}">
  <sheetPr codeName="Sheet31">
    <pageSetUpPr fitToPage="1"/>
  </sheetPr>
  <dimension ref="B2:AB734"/>
  <sheetViews>
    <sheetView showZeros="0" showWhiteSpace="0" zoomScale="77" zoomScaleNormal="77" workbookViewId="0">
      <pane xSplit="3" ySplit="3" topLeftCell="D15" activePane="bottomRight" state="frozen"/>
      <selection activeCell="B2" sqref="B2:W2"/>
      <selection pane="topRight" activeCell="B2" sqref="B2:W2"/>
      <selection pane="bottomLeft" activeCell="B2" sqref="B2:W2"/>
      <selection pane="bottomRight" activeCell="B2" sqref="B2:W2"/>
    </sheetView>
  </sheetViews>
  <sheetFormatPr defaultColWidth="9.42578125" defaultRowHeight="12.75" x14ac:dyDescent="0.2"/>
  <cols>
    <col min="1" max="1" width="3.42578125" customWidth="1"/>
    <col min="2" max="2" width="10.42578125" style="1" customWidth="1"/>
    <col min="3" max="3" width="28" style="1" customWidth="1"/>
    <col min="4" max="4" width="14.42578125" style="1" customWidth="1"/>
    <col min="5" max="5" width="12.5703125" style="1" customWidth="1"/>
    <col min="6" max="6" width="13.42578125" style="1" customWidth="1"/>
    <col min="7" max="7" width="12.42578125" customWidth="1"/>
    <col min="8" max="8" width="13.5703125" customWidth="1"/>
    <col min="9" max="9" width="11.42578125" style="1" customWidth="1"/>
    <col min="10" max="10" width="12" customWidth="1"/>
    <col min="11" max="11" width="10.42578125" customWidth="1"/>
    <col min="12" max="12" width="10.5703125" customWidth="1"/>
    <col min="13" max="13" width="10.42578125" customWidth="1"/>
    <col min="14" max="14" width="8.42578125" style="2" customWidth="1"/>
    <col min="15" max="15" width="12.5703125" style="1" customWidth="1"/>
    <col min="16" max="16" width="7.5703125" style="1" hidden="1" customWidth="1"/>
    <col min="17" max="17" width="12" style="1" customWidth="1"/>
    <col min="18" max="18" width="12" hidden="1" customWidth="1"/>
    <col min="19" max="19" width="12.42578125" customWidth="1"/>
    <col min="20" max="20" width="10.42578125" hidden="1" customWidth="1"/>
    <col min="21" max="22" width="12" customWidth="1"/>
    <col min="23" max="23" width="17" customWidth="1"/>
    <col min="24" max="24" width="15.42578125" customWidth="1"/>
    <col min="25" max="25" width="15.5703125" customWidth="1"/>
    <col min="26" max="26" width="14" customWidth="1"/>
    <col min="27" max="27" width="25.5703125" customWidth="1"/>
    <col min="28" max="28" width="20.5703125" customWidth="1"/>
  </cols>
  <sheetData>
    <row r="2" spans="2:28" ht="24" thickBot="1" x14ac:dyDescent="0.4">
      <c r="B2" s="1022" t="s">
        <v>52</v>
      </c>
      <c r="C2" s="1022"/>
      <c r="D2" s="1022"/>
      <c r="E2" s="1022"/>
      <c r="F2" s="1022"/>
      <c r="G2" s="1022"/>
      <c r="H2" s="1022"/>
      <c r="I2" s="1022"/>
      <c r="J2" s="1022"/>
      <c r="K2" s="1022"/>
      <c r="L2" s="1022"/>
      <c r="M2" s="1022"/>
      <c r="N2" s="1022"/>
      <c r="O2" s="1022"/>
      <c r="P2" s="1022"/>
      <c r="Q2" s="1022"/>
      <c r="R2" s="1022"/>
      <c r="S2" s="1022"/>
      <c r="T2" s="1022"/>
      <c r="U2" s="1022"/>
      <c r="V2" s="1065"/>
    </row>
    <row r="3" spans="2:28" ht="80.25" thickTop="1" thickBot="1" x14ac:dyDescent="0.25">
      <c r="B3" s="37" t="s">
        <v>0</v>
      </c>
      <c r="C3" s="38" t="s">
        <v>2</v>
      </c>
      <c r="D3" s="38" t="s">
        <v>12</v>
      </c>
      <c r="E3" s="38" t="s">
        <v>11</v>
      </c>
      <c r="F3" s="38" t="s">
        <v>15</v>
      </c>
      <c r="G3" s="38" t="s">
        <v>9</v>
      </c>
      <c r="H3" s="38" t="s">
        <v>17</v>
      </c>
      <c r="I3" s="38" t="s">
        <v>5</v>
      </c>
      <c r="J3" s="38" t="s">
        <v>43</v>
      </c>
      <c r="K3" s="38" t="s">
        <v>4</v>
      </c>
      <c r="L3" s="38" t="s">
        <v>161</v>
      </c>
      <c r="M3" s="38" t="s">
        <v>10</v>
      </c>
      <c r="N3" s="39" t="s">
        <v>34</v>
      </c>
      <c r="O3" s="40" t="s">
        <v>55</v>
      </c>
      <c r="P3" s="40" t="s">
        <v>8</v>
      </c>
      <c r="Q3" s="41" t="s">
        <v>7</v>
      </c>
      <c r="R3" s="41" t="s">
        <v>6</v>
      </c>
      <c r="S3" s="41" t="s">
        <v>307</v>
      </c>
      <c r="T3" s="41" t="s">
        <v>47</v>
      </c>
      <c r="U3" s="124" t="s">
        <v>308</v>
      </c>
      <c r="V3" s="1066" t="s">
        <v>1</v>
      </c>
      <c r="W3" s="1067"/>
      <c r="X3" s="1067"/>
      <c r="Y3" s="1067"/>
      <c r="Z3" s="1067"/>
      <c r="AA3" s="1067"/>
      <c r="AB3" s="1068"/>
    </row>
    <row r="4" spans="2:28" s="19" customFormat="1" ht="72" customHeight="1" thickTop="1" x14ac:dyDescent="0.2">
      <c r="B4" s="168">
        <v>42705</v>
      </c>
      <c r="C4" s="26" t="s">
        <v>28</v>
      </c>
      <c r="D4" s="27">
        <v>4900</v>
      </c>
      <c r="E4" s="28">
        <v>0.30972222222222223</v>
      </c>
      <c r="F4" s="29">
        <f>SUM([17]December_2016!$J8)</f>
        <v>347.09999999999997</v>
      </c>
      <c r="G4" s="30">
        <f>SUM([17]December_2016!$F8)</f>
        <v>5227</v>
      </c>
      <c r="H4" s="29">
        <f>SUM([17]December_2016!$K8)</f>
        <v>344.98200000000003</v>
      </c>
      <c r="I4" s="31">
        <f>SUM([17]December_2016!$N8)</f>
        <v>13.5</v>
      </c>
      <c r="J4" s="32">
        <f>SUM([17]December_2016!$Q8)</f>
        <v>1030.3521126760563</v>
      </c>
      <c r="K4" s="32">
        <f>SUM([17]December_2016!$E8)</f>
        <v>568</v>
      </c>
      <c r="L4" s="169">
        <v>0.7909722222222223</v>
      </c>
      <c r="M4" s="32">
        <f>SUM([17]December_2016!$M8)</f>
        <v>149</v>
      </c>
      <c r="N4" s="170">
        <f>SUM([17]December_2016!$H8)</f>
        <v>0</v>
      </c>
      <c r="O4" s="33">
        <f>SUM([17]December_2016!$P8)</f>
        <v>0.61019878997405308</v>
      </c>
      <c r="P4" s="32"/>
      <c r="Q4" s="129">
        <f>(G4)/(9.93*15000*(1/24))</f>
        <v>0.84221550855991945</v>
      </c>
      <c r="R4" s="171"/>
      <c r="S4" s="129">
        <f>(G4)*24/(K4/60)/15000</f>
        <v>0.88343661971830989</v>
      </c>
      <c r="T4" s="129">
        <f>(H4+H7)*24/(M4/60)/15000</f>
        <v>0.34669401342281886</v>
      </c>
      <c r="U4" s="162">
        <f>(G4)*24/(K4/60)/17000</f>
        <v>0.77950289975144993</v>
      </c>
      <c r="V4" s="1069" t="s">
        <v>362</v>
      </c>
      <c r="W4" s="1070"/>
      <c r="X4" s="1070"/>
      <c r="Y4" s="1070"/>
      <c r="Z4" s="1070"/>
      <c r="AA4" s="1070"/>
      <c r="AB4" s="1071"/>
    </row>
    <row r="5" spans="2:28" s="19" customFormat="1" ht="39.75" customHeight="1" x14ac:dyDescent="0.2">
      <c r="B5" s="168">
        <v>42706</v>
      </c>
      <c r="C5" s="26" t="s">
        <v>27</v>
      </c>
      <c r="D5" s="27">
        <v>4200</v>
      </c>
      <c r="E5" s="28">
        <v>0.30694444444444441</v>
      </c>
      <c r="F5" s="29">
        <f>SUM([17]December_2016!$J9)</f>
        <v>300.5</v>
      </c>
      <c r="G5" s="30">
        <f>SUM([17]December_2016!$F9)</f>
        <v>4527</v>
      </c>
      <c r="H5" s="29">
        <f>SUM([17]December_2016!$K9)</f>
        <v>298.78200000000004</v>
      </c>
      <c r="I5" s="31">
        <f>SUM([17]December_2016!$N9)</f>
        <v>19</v>
      </c>
      <c r="J5" s="32">
        <f>SUM([17]December_2016!$Q9)</f>
        <v>562.36024844720487</v>
      </c>
      <c r="K5" s="32">
        <f>SUM([17]December_2016!$E9)</f>
        <v>483</v>
      </c>
      <c r="L5" s="169">
        <v>0.70138888888888884</v>
      </c>
      <c r="M5" s="32">
        <f>SUM([17]December_2016!$M9)</f>
        <v>32</v>
      </c>
      <c r="N5" s="32">
        <f>SUM([17]December_2016!$H9)</f>
        <v>0</v>
      </c>
      <c r="O5" s="33">
        <f>SUM([17]December_2016!$P9)</f>
        <v>0.57171381031612678</v>
      </c>
      <c r="P5" s="32"/>
      <c r="Q5" s="129">
        <f>(G5)/(8*15000*(1/24))</f>
        <v>0.90539999999999998</v>
      </c>
      <c r="R5" s="171"/>
      <c r="S5" s="129">
        <f>(G5)*24/(K5/60)/15000</f>
        <v>0.89977639751552796</v>
      </c>
      <c r="T5" s="129">
        <f>(H5+H8)*24/(M5/60)/15000</f>
        <v>1.7752680000000003</v>
      </c>
      <c r="U5" s="162">
        <f>(G5)*24/(K5/60)/17000</f>
        <v>0.79392035074899525</v>
      </c>
      <c r="V5" s="1258" t="s">
        <v>363</v>
      </c>
      <c r="W5" s="1166"/>
      <c r="X5" s="1166"/>
      <c r="Y5" s="1166"/>
      <c r="Z5" s="1166"/>
      <c r="AA5" s="1166"/>
      <c r="AB5" s="1259"/>
    </row>
    <row r="6" spans="2:28" s="19" customFormat="1" ht="72" customHeight="1" x14ac:dyDescent="0.2">
      <c r="B6" s="168">
        <v>42709</v>
      </c>
      <c r="C6" s="26" t="s">
        <v>30</v>
      </c>
      <c r="D6" s="27">
        <v>7000</v>
      </c>
      <c r="E6" s="28">
        <v>0.32291666666666669</v>
      </c>
      <c r="F6" s="29">
        <f>SUM([17]December_2016!$J10)</f>
        <v>291.8</v>
      </c>
      <c r="G6" s="30">
        <f>SUM([17]December_2016!$F10)</f>
        <v>4406</v>
      </c>
      <c r="H6" s="29">
        <f>SUM([17]December_2016!$K10)</f>
        <v>290.79599999999999</v>
      </c>
      <c r="I6" s="31">
        <f>SUM([17]December_2016!$N10)</f>
        <v>10.25</v>
      </c>
      <c r="J6" s="32">
        <f>SUM([17]December_2016!$Q10)</f>
        <v>290.18660812294183</v>
      </c>
      <c r="K6" s="32">
        <f>SUM([17]December_2016!$E10)</f>
        <v>911</v>
      </c>
      <c r="L6" s="169">
        <v>0.99861111111111101</v>
      </c>
      <c r="M6" s="32">
        <f>SUM([17]December_2016!$M10)</f>
        <v>376</v>
      </c>
      <c r="N6" s="32">
        <f>SUM([17]December_2016!$H10)</f>
        <v>0</v>
      </c>
      <c r="O6" s="33">
        <f>SUM([17]December_2016!$P10)</f>
        <v>0.34407128169980089</v>
      </c>
      <c r="P6" s="32"/>
      <c r="Q6" s="129">
        <f>(G6)/(15*15000*(1/24))</f>
        <v>0.46997333333333335</v>
      </c>
      <c r="R6" s="171"/>
      <c r="S6" s="129">
        <f>(G6)*24/(K6/60)/15000</f>
        <v>0.46429857299670696</v>
      </c>
      <c r="T6" s="129">
        <f>(H6+H9)*24/(M6/60)/15000</f>
        <v>0.11345821276595745</v>
      </c>
      <c r="U6" s="162">
        <f>(G6)*24/(K6/60)/17000</f>
        <v>0.4096752114676826</v>
      </c>
      <c r="V6" s="1258" t="s">
        <v>364</v>
      </c>
      <c r="W6" s="1166"/>
      <c r="X6" s="1166"/>
      <c r="Y6" s="1166"/>
      <c r="Z6" s="1166"/>
      <c r="AA6" s="1166"/>
      <c r="AB6" s="1259"/>
    </row>
    <row r="7" spans="2:28" s="19" customFormat="1" ht="35.25" customHeight="1" x14ac:dyDescent="0.2">
      <c r="B7" s="1037">
        <v>42710</v>
      </c>
      <c r="C7" s="26" t="s">
        <v>30</v>
      </c>
      <c r="D7" s="27"/>
      <c r="E7" s="1051">
        <v>0.31805555555555554</v>
      </c>
      <c r="F7" s="29">
        <f>SUM([17]December_2016!$J11)</f>
        <v>194.3</v>
      </c>
      <c r="G7" s="30">
        <f>SUM([17]December_2016!$F11)</f>
        <v>2926</v>
      </c>
      <c r="H7" s="29">
        <f>SUM([17]December_2016!$K11)</f>
        <v>193.11600000000001</v>
      </c>
      <c r="I7" s="31">
        <f>SUM([17]December_2016!$N11)</f>
        <v>15.25</v>
      </c>
      <c r="J7" s="991">
        <f>SUM([17]December_2016!$Q11)</f>
        <v>512.645011600928</v>
      </c>
      <c r="K7" s="991">
        <f>SUM([17]December_2016!$E11)</f>
        <v>862</v>
      </c>
      <c r="L7" s="1017">
        <v>0.99444444444444446</v>
      </c>
      <c r="M7" s="32">
        <f>SUM([17]December_2016!$M11)</f>
        <v>29</v>
      </c>
      <c r="N7" s="32">
        <f>SUM([17]December_2016!$H11)</f>
        <v>0</v>
      </c>
      <c r="O7" s="33">
        <f>SUM([17]December_2016!$P11)</f>
        <v>0.60936695831188747</v>
      </c>
      <c r="P7" s="32"/>
      <c r="Q7" s="1039">
        <f>(G7+G8)/(15*15000*(1/24))</f>
        <v>0.78559999999999997</v>
      </c>
      <c r="R7" s="171"/>
      <c r="S7" s="1039">
        <f>(G7+G8)*24/(K7/60)/15000</f>
        <v>0.82023201856148498</v>
      </c>
      <c r="T7" s="129">
        <f>(H7+H10)*24/(M7/60)/15000</f>
        <v>1.5551337931034483</v>
      </c>
      <c r="U7" s="1261">
        <f>(G7+G8)*24/(K7/60)/17000</f>
        <v>0.72373413402483966</v>
      </c>
      <c r="V7" s="1258" t="s">
        <v>366</v>
      </c>
      <c r="W7" s="1166"/>
      <c r="X7" s="1166"/>
      <c r="Y7" s="1166"/>
      <c r="Z7" s="1166"/>
      <c r="AA7" s="1166"/>
      <c r="AB7" s="1259"/>
    </row>
    <row r="8" spans="2:28" s="19" customFormat="1" ht="54.75" customHeight="1" x14ac:dyDescent="0.2">
      <c r="B8" s="1038"/>
      <c r="C8" s="26" t="s">
        <v>42</v>
      </c>
      <c r="D8" s="27">
        <v>4000</v>
      </c>
      <c r="E8" s="1053"/>
      <c r="F8" s="29">
        <f>SUM([17]December_2016!$J12)</f>
        <v>294.5</v>
      </c>
      <c r="G8" s="30">
        <f>SUM([17]December_2016!$F12)</f>
        <v>4439</v>
      </c>
      <c r="H8" s="29">
        <f>SUM([17]December_2016!$K12)</f>
        <v>292.97399999999999</v>
      </c>
      <c r="I8" s="31">
        <f>SUM([17]December_2016!$N12)</f>
        <v>14</v>
      </c>
      <c r="J8" s="992"/>
      <c r="K8" s="992"/>
      <c r="L8" s="1018"/>
      <c r="M8" s="32">
        <f>SUM([17]December_2016!$M12)</f>
        <v>90</v>
      </c>
      <c r="N8" s="32">
        <f>SUM([17]December_2016!$H12)</f>
        <v>0</v>
      </c>
      <c r="O8" s="33">
        <f>SUM([17]December_2016!$P12)</f>
        <v>0.51816638370119206</v>
      </c>
      <c r="P8" s="32"/>
      <c r="Q8" s="1040"/>
      <c r="R8" s="171"/>
      <c r="S8" s="1040"/>
      <c r="T8" s="129"/>
      <c r="U8" s="1262"/>
      <c r="V8" s="1258" t="s">
        <v>365</v>
      </c>
      <c r="W8" s="1166"/>
      <c r="X8" s="1166"/>
      <c r="Y8" s="1166"/>
      <c r="Z8" s="1166"/>
      <c r="AA8" s="1166"/>
      <c r="AB8" s="1259"/>
    </row>
    <row r="9" spans="2:28" s="19" customFormat="1" ht="53.25" customHeight="1" x14ac:dyDescent="0.2">
      <c r="B9" s="1037">
        <v>42711</v>
      </c>
      <c r="C9" s="26" t="s">
        <v>42</v>
      </c>
      <c r="D9" s="27">
        <v>3000</v>
      </c>
      <c r="E9" s="1051">
        <v>0.31944444444444448</v>
      </c>
      <c r="F9" s="29">
        <f>SUM([17]December_2016!$J13)</f>
        <v>155.9</v>
      </c>
      <c r="G9" s="30">
        <f>SUM([17]December_2016!$F13)</f>
        <v>2327</v>
      </c>
      <c r="H9" s="29">
        <f>SUM([17]December_2016!$K13)</f>
        <v>153.58199999999999</v>
      </c>
      <c r="I9" s="31">
        <f>SUM([17]December_2016!$N13)</f>
        <v>10.25</v>
      </c>
      <c r="J9" s="991">
        <f>SUM([17]December_2016!$Q13)</f>
        <v>480.20224719101122</v>
      </c>
      <c r="K9" s="991">
        <f>SUM([17]December_2016!$E13)</f>
        <v>890</v>
      </c>
      <c r="L9" s="1017">
        <v>0.98819444444444438</v>
      </c>
      <c r="M9" s="32">
        <f>SUM([17]December_2016!$M13)</f>
        <v>90</v>
      </c>
      <c r="N9" s="32">
        <f>SUM([17]December_2016!$H13)</f>
        <v>0</v>
      </c>
      <c r="O9" s="33">
        <f>SUM([17]December_2016!$P13)</f>
        <v>1.4868505452213032</v>
      </c>
      <c r="P9" s="32"/>
      <c r="Q9" s="1039">
        <f>(G9+G10+G11)/(15*15000*(1/24))</f>
        <v>0.75978666666666672</v>
      </c>
      <c r="R9" s="171"/>
      <c r="S9" s="1039">
        <f>(G9+G10+G11)*24/(K9/60)/15000</f>
        <v>0.76832359550561791</v>
      </c>
      <c r="T9" s="129">
        <f>(H9+H12)*24/(M9/60)/15000</f>
        <v>0.72362879999999996</v>
      </c>
      <c r="U9" s="1261">
        <f>(G9+G10+G11)*24/(K9/60)/17000</f>
        <v>0.67793258426966285</v>
      </c>
      <c r="V9" s="1258" t="s">
        <v>369</v>
      </c>
      <c r="W9" s="1166"/>
      <c r="X9" s="1166"/>
      <c r="Y9" s="1166"/>
      <c r="Z9" s="1166"/>
      <c r="AA9" s="1166"/>
      <c r="AB9" s="1259"/>
    </row>
    <row r="10" spans="2:28" s="19" customFormat="1" ht="36" customHeight="1" x14ac:dyDescent="0.2">
      <c r="B10" s="1050"/>
      <c r="C10" s="26" t="s">
        <v>29</v>
      </c>
      <c r="D10" s="27">
        <v>4200</v>
      </c>
      <c r="E10" s="1052"/>
      <c r="F10" s="29">
        <f>SUM([17]December_2016!$J14)</f>
        <v>277.7</v>
      </c>
      <c r="G10" s="30">
        <f>SUM([17]December_2016!$F14)</f>
        <v>3904</v>
      </c>
      <c r="H10" s="29">
        <f>SUM([17]December_2016!$K14)</f>
        <v>276.66399999999999</v>
      </c>
      <c r="I10" s="31">
        <f>SUM([17]December_2016!$N14)</f>
        <v>13.5</v>
      </c>
      <c r="J10" s="1042"/>
      <c r="K10" s="1042"/>
      <c r="L10" s="1055"/>
      <c r="M10" s="32">
        <f>SUM([17]December_2016!$M14)</f>
        <v>113</v>
      </c>
      <c r="N10" s="32">
        <f>SUM([17]December_2016!$H14)</f>
        <v>0</v>
      </c>
      <c r="O10" s="33">
        <f>SUM([17]December_2016!$P14)</f>
        <v>0.373064458048254</v>
      </c>
      <c r="P10" s="32"/>
      <c r="Q10" s="1041"/>
      <c r="R10" s="171"/>
      <c r="S10" s="1041"/>
      <c r="T10" s="129"/>
      <c r="U10" s="1263"/>
      <c r="V10" s="1258" t="s">
        <v>367</v>
      </c>
      <c r="W10" s="1166"/>
      <c r="X10" s="1166"/>
      <c r="Y10" s="1166"/>
      <c r="Z10" s="1166"/>
      <c r="AA10" s="1166"/>
      <c r="AB10" s="1259"/>
    </row>
    <row r="11" spans="2:28" s="19" customFormat="1" ht="34.5" customHeight="1" x14ac:dyDescent="0.2">
      <c r="B11" s="1038"/>
      <c r="C11" s="26" t="s">
        <v>27</v>
      </c>
      <c r="D11" s="27">
        <v>900</v>
      </c>
      <c r="E11" s="1053"/>
      <c r="F11" s="29">
        <f>SUM([17]December_2016!$J15)</f>
        <v>60</v>
      </c>
      <c r="G11" s="30">
        <f>SUM([17]December_2016!$F15)</f>
        <v>892</v>
      </c>
      <c r="H11" s="29">
        <f>SUM([17]December_2016!$K15)</f>
        <v>58.872</v>
      </c>
      <c r="I11" s="31">
        <f>SUM([17]December_2016!$N15)</f>
        <v>4.25</v>
      </c>
      <c r="J11" s="992"/>
      <c r="K11" s="992"/>
      <c r="L11" s="1018"/>
      <c r="M11" s="32">
        <f>SUM([17]December_2016!$M15)</f>
        <v>18</v>
      </c>
      <c r="N11" s="32">
        <f>SUM([17]December_2016!$H15)</f>
        <v>0</v>
      </c>
      <c r="O11" s="33">
        <f>SUM([17]December_2016!$P15)</f>
        <v>1.8800000000000001</v>
      </c>
      <c r="P11" s="32"/>
      <c r="Q11" s="1040"/>
      <c r="R11" s="171"/>
      <c r="S11" s="1040"/>
      <c r="T11" s="129"/>
      <c r="U11" s="1262"/>
      <c r="V11" s="1258" t="s">
        <v>368</v>
      </c>
      <c r="W11" s="1166"/>
      <c r="X11" s="1166"/>
      <c r="Y11" s="1166"/>
      <c r="Z11" s="1166"/>
      <c r="AA11" s="1166"/>
      <c r="AB11" s="1259"/>
    </row>
    <row r="12" spans="2:28" s="19" customFormat="1" ht="54.75" customHeight="1" x14ac:dyDescent="0.2">
      <c r="B12" s="168">
        <v>42712</v>
      </c>
      <c r="C12" s="26" t="s">
        <v>27</v>
      </c>
      <c r="D12" s="27">
        <v>7000</v>
      </c>
      <c r="E12" s="28">
        <v>0.31597222222222221</v>
      </c>
      <c r="F12" s="29">
        <f>SUM([17]December_2016!$J16)</f>
        <v>526.6</v>
      </c>
      <c r="G12" s="30">
        <f>SUM([17]December_2016!$F16)</f>
        <v>7900</v>
      </c>
      <c r="H12" s="29">
        <f>SUM([17]December_2016!$K16)</f>
        <v>524.81999999999994</v>
      </c>
      <c r="I12" s="31">
        <f>SUM([17]December_2016!$N16)</f>
        <v>34.5</v>
      </c>
      <c r="J12" s="32">
        <f>SUM([17]December_2016!$Q16)</f>
        <v>523.75690607734805</v>
      </c>
      <c r="K12" s="32">
        <f>SUM([17]December_2016!$E16)</f>
        <v>905</v>
      </c>
      <c r="L12" s="169">
        <v>0.99375000000000002</v>
      </c>
      <c r="M12" s="32">
        <f>SUM([17]December_2016!$M16)</f>
        <v>110</v>
      </c>
      <c r="N12" s="32">
        <f>SUM([17]December_2016!$H16)</f>
        <v>0</v>
      </c>
      <c r="O12" s="33">
        <f>SUM([17]December_2016!$P16)</f>
        <v>0.3380174705659108</v>
      </c>
      <c r="P12" s="32"/>
      <c r="Q12" s="129">
        <f>(G12)/(15*15000*(1/24))</f>
        <v>0.84266666666666667</v>
      </c>
      <c r="R12" s="171"/>
      <c r="S12" s="129">
        <f>(G12)*24/(K12/60)/15000</f>
        <v>0.83801104972375684</v>
      </c>
      <c r="T12" s="129">
        <f>(H12+H15)*24/(M12/60)/15000</f>
        <v>0.90676224000000005</v>
      </c>
      <c r="U12" s="162">
        <f>(G12)*24/(K12/60)/17000</f>
        <v>0.73942151446213844</v>
      </c>
      <c r="V12" s="1258" t="s">
        <v>380</v>
      </c>
      <c r="W12" s="1166"/>
      <c r="X12" s="1166"/>
      <c r="Y12" s="1166"/>
      <c r="Z12" s="1166"/>
      <c r="AA12" s="1166"/>
      <c r="AB12" s="1259"/>
    </row>
    <row r="13" spans="2:28" s="19" customFormat="1" ht="36.75" customHeight="1" x14ac:dyDescent="0.2">
      <c r="B13" s="1037">
        <v>42713</v>
      </c>
      <c r="C13" s="26" t="s">
        <v>27</v>
      </c>
      <c r="D13" s="27">
        <v>4000</v>
      </c>
      <c r="E13" s="1051">
        <v>0.31666666666666665</v>
      </c>
      <c r="F13" s="29">
        <f>SUM([17]December_2016!$J17)</f>
        <v>191.4</v>
      </c>
      <c r="G13" s="30">
        <f>SUM([17]December_2016!$F17)</f>
        <v>2859</v>
      </c>
      <c r="H13" s="29">
        <f>SUM([17]December_2016!$K17)</f>
        <v>188.69400000000002</v>
      </c>
      <c r="I13" s="31">
        <f>SUM([17]December_2016!$N17)</f>
        <v>31.75</v>
      </c>
      <c r="J13" s="991">
        <f>SUM([17]December_2016!$Q17)</f>
        <v>468.17051509769095</v>
      </c>
      <c r="K13" s="991">
        <f>SUM([17]December_2016!$E17)</f>
        <v>563</v>
      </c>
      <c r="L13" s="1017">
        <v>0.76111111111111107</v>
      </c>
      <c r="M13" s="32">
        <f>SUM([17]December_2016!$M17)</f>
        <v>27</v>
      </c>
      <c r="N13" s="32">
        <f>SUM([17]December_2016!$H17)</f>
        <v>0</v>
      </c>
      <c r="O13" s="33">
        <f>SUM([17]December_2016!$P17)</f>
        <v>1.41379310344827</v>
      </c>
      <c r="P13" s="32"/>
      <c r="Q13" s="1039">
        <f>(G13+G14)/(9.217*15000*(1/24))</f>
        <v>0.7625908647065206</v>
      </c>
      <c r="R13" s="171"/>
      <c r="S13" s="1039">
        <f>(G13+G14)*24/(K13/60)/15000</f>
        <v>0.74907282415630561</v>
      </c>
      <c r="T13" s="129">
        <f>(H13+H16)*24/(M13/60)/15000</f>
        <v>2.2668800000000005</v>
      </c>
      <c r="U13" s="1261">
        <f>(G13+G14)*24/(K13/60)/17000</f>
        <v>0.66094660954968132</v>
      </c>
      <c r="V13" s="1258" t="s">
        <v>382</v>
      </c>
      <c r="W13" s="1166"/>
      <c r="X13" s="1166"/>
      <c r="Y13" s="1166"/>
      <c r="Z13" s="1166"/>
      <c r="AA13" s="1166"/>
      <c r="AB13" s="1259"/>
    </row>
    <row r="14" spans="2:28" s="19" customFormat="1" ht="36.75" customHeight="1" x14ac:dyDescent="0.2">
      <c r="B14" s="1038"/>
      <c r="C14" s="26" t="s">
        <v>51</v>
      </c>
      <c r="D14" s="27">
        <v>1500</v>
      </c>
      <c r="E14" s="1053"/>
      <c r="F14" s="29">
        <f>SUM([17]December_2016!$J18)</f>
        <v>103</v>
      </c>
      <c r="G14" s="30">
        <f>SUM([17]December_2016!$F18)</f>
        <v>1534</v>
      </c>
      <c r="H14" s="29">
        <f>SUM([17]December_2016!$K18)</f>
        <v>101.244</v>
      </c>
      <c r="I14" s="31">
        <f>SUM([17]December_2016!$N18)</f>
        <v>7.5</v>
      </c>
      <c r="J14" s="992"/>
      <c r="K14" s="992"/>
      <c r="L14" s="1018"/>
      <c r="M14" s="32">
        <f>SUM([17]December_2016!$M18)</f>
        <v>78</v>
      </c>
      <c r="N14" s="72">
        <f>SUM([17]December_2016!$H18)</f>
        <v>0</v>
      </c>
      <c r="O14" s="33">
        <f>SUM([17]December_2016!$P18)</f>
        <v>1.7048543689320392</v>
      </c>
      <c r="P14" s="32"/>
      <c r="Q14" s="1040"/>
      <c r="R14" s="171"/>
      <c r="S14" s="1040"/>
      <c r="T14" s="129"/>
      <c r="U14" s="1262"/>
      <c r="V14" s="1258" t="s">
        <v>381</v>
      </c>
      <c r="W14" s="1166"/>
      <c r="X14" s="1166"/>
      <c r="Y14" s="1166"/>
      <c r="Z14" s="1166"/>
      <c r="AA14" s="1166"/>
      <c r="AB14" s="1259"/>
    </row>
    <row r="15" spans="2:28" s="19" customFormat="1" ht="92.25" customHeight="1" x14ac:dyDescent="0.2">
      <c r="B15" s="168">
        <v>42716</v>
      </c>
      <c r="C15" s="26" t="s">
        <v>31</v>
      </c>
      <c r="D15" s="27">
        <v>6600</v>
      </c>
      <c r="E15" s="28">
        <v>0.32777777777777778</v>
      </c>
      <c r="F15" s="29">
        <f>SUM([17]December_2016!$J19)</f>
        <v>516.29999999999995</v>
      </c>
      <c r="G15" s="30">
        <f>SUM([17]December_2016!$F19)</f>
        <v>6911</v>
      </c>
      <c r="H15" s="29">
        <f>SUM([17]December_2016!$K19)</f>
        <v>514.17840000000001</v>
      </c>
      <c r="I15" s="31">
        <f>SUM([17]December_2016!$N19)</f>
        <v>6.5</v>
      </c>
      <c r="J15" s="32">
        <f>SUM([17]December_2016!$Q19)</f>
        <v>499.59036144578312</v>
      </c>
      <c r="K15" s="32">
        <f>SUM([17]December_2016!$E19)</f>
        <v>830</v>
      </c>
      <c r="L15" s="169">
        <v>0.94513888888888886</v>
      </c>
      <c r="M15" s="32">
        <f>SUM([17]December_2016!$M19)</f>
        <v>108</v>
      </c>
      <c r="N15" s="32">
        <f>SUM([17]December_2016!$H19)</f>
        <v>0</v>
      </c>
      <c r="O15" s="33">
        <f>SUM([17]December_2016!$P19)</f>
        <v>0.41092388146425413</v>
      </c>
      <c r="P15" s="32"/>
      <c r="Q15" s="129">
        <f>(G15)/(15*15000*(1/24))</f>
        <v>0.73717333333333335</v>
      </c>
      <c r="R15" s="171"/>
      <c r="S15" s="129">
        <f>(G15)*24/(K15/60)/15000</f>
        <v>0.79934457831325301</v>
      </c>
      <c r="T15" s="129">
        <f>(H15+H18)*24/(M15/60)/15000</f>
        <v>0.69245191111111115</v>
      </c>
      <c r="U15" s="162">
        <f>(G15)*24/(K15/60)/17000</f>
        <v>0.70530403968816435</v>
      </c>
      <c r="V15" s="1258" t="s">
        <v>383</v>
      </c>
      <c r="W15" s="1166"/>
      <c r="X15" s="1166"/>
      <c r="Y15" s="1166"/>
      <c r="Z15" s="1166"/>
      <c r="AA15" s="1166"/>
      <c r="AB15" s="1259"/>
    </row>
    <row r="16" spans="2:28" s="19" customFormat="1" ht="54" customHeight="1" x14ac:dyDescent="0.2">
      <c r="B16" s="1037">
        <v>42717</v>
      </c>
      <c r="C16" s="26" t="s">
        <v>29</v>
      </c>
      <c r="D16" s="27">
        <v>7000</v>
      </c>
      <c r="E16" s="1051">
        <v>0.32013888888888892</v>
      </c>
      <c r="F16" s="29">
        <f>SUM([17]December_2016!$J20)</f>
        <v>450.70000000000005</v>
      </c>
      <c r="G16" s="30">
        <f>SUM([17]December_2016!$F20)</f>
        <v>6801</v>
      </c>
      <c r="H16" s="29">
        <f>SUM([17]December_2016!$K20)</f>
        <v>448.86600000000004</v>
      </c>
      <c r="I16" s="31">
        <f>SUM([17]December_2016!$N20)</f>
        <v>15.5</v>
      </c>
      <c r="J16" s="991">
        <f>SUM([17]December_2016!$Q20)</f>
        <v>493.49152542372883</v>
      </c>
      <c r="K16" s="991">
        <f>SUM([17]December_2016!$E20)</f>
        <v>885</v>
      </c>
      <c r="L16" s="1017">
        <v>0.9819444444444444</v>
      </c>
      <c r="M16" s="32">
        <f>SUM([17]December_2016!$M20)</f>
        <v>111</v>
      </c>
      <c r="N16" s="32">
        <f>SUM([17]December_2016!$H20)</f>
        <v>0</v>
      </c>
      <c r="O16" s="33">
        <f>SUM([17]December_2016!$P20)</f>
        <v>0.40692256489904655</v>
      </c>
      <c r="P16" s="32"/>
      <c r="Q16" s="1039">
        <f>(G16+G17)/(15*15000*(1/24))</f>
        <v>0.77642666666666671</v>
      </c>
      <c r="R16" s="171"/>
      <c r="S16" s="1039">
        <f>(G16+G17)*24/(K16/60)/15000</f>
        <v>0.78958644067796602</v>
      </c>
      <c r="T16" s="129">
        <f>(H16+H19)*24/(M16/60)/15000</f>
        <v>0.70674162162162157</v>
      </c>
      <c r="U16" s="1261">
        <f>(G16+G17)*24/(K16/60)/17000</f>
        <v>0.69669391824526417</v>
      </c>
      <c r="V16" s="1258" t="s">
        <v>385</v>
      </c>
      <c r="W16" s="1166"/>
      <c r="X16" s="1166"/>
      <c r="Y16" s="1166"/>
      <c r="Z16" s="1166"/>
      <c r="AA16" s="1166"/>
      <c r="AB16" s="1259"/>
    </row>
    <row r="17" spans="2:28" s="19" customFormat="1" ht="33.75" customHeight="1" x14ac:dyDescent="0.2">
      <c r="B17" s="1038"/>
      <c r="C17" s="26" t="s">
        <v>27</v>
      </c>
      <c r="D17" s="27">
        <v>600</v>
      </c>
      <c r="E17" s="1053"/>
      <c r="F17" s="29">
        <f>SUM([17]December_2016!$J21)</f>
        <v>32</v>
      </c>
      <c r="G17" s="30">
        <f>SUM([17]December_2016!$F21)</f>
        <v>478</v>
      </c>
      <c r="H17" s="29">
        <f>SUM([17]December_2016!$K21)</f>
        <v>31.548000000000002</v>
      </c>
      <c r="I17" s="31">
        <f>SUM([17]December_2016!$N21)</f>
        <v>4.75</v>
      </c>
      <c r="J17" s="992"/>
      <c r="K17" s="992"/>
      <c r="L17" s="1018"/>
      <c r="M17" s="32">
        <f>SUM([17]December_2016!$M21)</f>
        <v>38</v>
      </c>
      <c r="N17" s="32">
        <f>SUM([17]December_2016!$H21)</f>
        <v>0</v>
      </c>
      <c r="O17" s="33">
        <f>SUM([17]December_2016!$P21)</f>
        <v>1.4124999999999943</v>
      </c>
      <c r="P17" s="32"/>
      <c r="Q17" s="1040"/>
      <c r="R17" s="171"/>
      <c r="S17" s="1040"/>
      <c r="T17" s="129"/>
      <c r="U17" s="1262"/>
      <c r="V17" s="1258" t="s">
        <v>384</v>
      </c>
      <c r="W17" s="1166"/>
      <c r="X17" s="1166"/>
      <c r="Y17" s="1166"/>
      <c r="Z17" s="1166"/>
      <c r="AA17" s="1166"/>
      <c r="AB17" s="1259"/>
    </row>
    <row r="18" spans="2:28" s="19" customFormat="1" ht="53.25" customHeight="1" x14ac:dyDescent="0.2">
      <c r="B18" s="168">
        <v>42718</v>
      </c>
      <c r="C18" s="26" t="s">
        <v>27</v>
      </c>
      <c r="D18" s="27">
        <v>5000</v>
      </c>
      <c r="E18" s="28">
        <v>0.32222222222222224</v>
      </c>
      <c r="F18" s="29">
        <f>SUM([17]December_2016!$J22)</f>
        <v>265.89999999999998</v>
      </c>
      <c r="G18" s="30">
        <f>SUM([17]December_2016!$F22)</f>
        <v>3955</v>
      </c>
      <c r="H18" s="29">
        <f>SUM([17]December_2016!$K22)</f>
        <v>264.83000000000004</v>
      </c>
      <c r="I18" s="31">
        <f>SUM([17]December_2016!$N22)</f>
        <v>17.5</v>
      </c>
      <c r="J18" s="32">
        <f>SUM([17]December_2016!$Q22)</f>
        <v>571.80722891566268</v>
      </c>
      <c r="K18" s="32">
        <f>SUM([17]December_2016!$E22)</f>
        <v>415</v>
      </c>
      <c r="L18" s="169">
        <v>0.65833333333333333</v>
      </c>
      <c r="M18" s="32">
        <f>SUM([17]December_2016!$M22)</f>
        <v>49</v>
      </c>
      <c r="N18" s="32">
        <f>SUM([17]December_2016!$H22)</f>
        <v>0</v>
      </c>
      <c r="O18" s="33">
        <f>SUM([17]December_2016!$P22)</f>
        <v>0.40240691989467331</v>
      </c>
      <c r="P18" s="32"/>
      <c r="Q18" s="129">
        <f>(G18)/(9*15000*(1/24))</f>
        <v>0.70311111111111113</v>
      </c>
      <c r="R18" s="171"/>
      <c r="S18" s="129">
        <f>(G18)*24/(K18/60)/15000</f>
        <v>0.91489156626506019</v>
      </c>
      <c r="T18" s="129">
        <f>(H18+H21)*24/(M18/60)/15000</f>
        <v>0.614537142857143</v>
      </c>
      <c r="U18" s="162">
        <f>(G18)*24/(K18/60)/17000</f>
        <v>0.80725726435152367</v>
      </c>
      <c r="V18" s="1258" t="s">
        <v>386</v>
      </c>
      <c r="W18" s="1166"/>
      <c r="X18" s="1166"/>
      <c r="Y18" s="1166"/>
      <c r="Z18" s="1166"/>
      <c r="AA18" s="1166"/>
      <c r="AB18" s="1259"/>
    </row>
    <row r="19" spans="2:28" s="19" customFormat="1" ht="54.75" customHeight="1" x14ac:dyDescent="0.2">
      <c r="B19" s="168">
        <v>42719</v>
      </c>
      <c r="C19" s="26" t="s">
        <v>29</v>
      </c>
      <c r="D19" s="27">
        <v>5600</v>
      </c>
      <c r="E19" s="28">
        <v>0.3125</v>
      </c>
      <c r="F19" s="29">
        <f>SUM([17]December_2016!$J23)</f>
        <v>369.40000000000003</v>
      </c>
      <c r="G19" s="30">
        <f>SUM([17]December_2016!$F23)</f>
        <v>5494</v>
      </c>
      <c r="H19" s="29">
        <f>SUM([17]December_2016!$K23)</f>
        <v>368.30400000000003</v>
      </c>
      <c r="I19" s="31">
        <f>SUM([17]December_2016!$N23)</f>
        <v>20</v>
      </c>
      <c r="J19" s="32">
        <f>SUM([17]December_2016!$Q23)</f>
        <v>546.66666666666663</v>
      </c>
      <c r="K19" s="32">
        <f>SUM([17]December_2016!$E23)</f>
        <v>603</v>
      </c>
      <c r="L19" s="169">
        <v>0.78611111111111109</v>
      </c>
      <c r="M19" s="32">
        <f>SUM([17]December_2016!$M23)</f>
        <v>63</v>
      </c>
      <c r="N19" s="32">
        <f>SUM([17]December_2016!$H23)</f>
        <v>0</v>
      </c>
      <c r="O19" s="33">
        <f>SUM([17]December_2016!$P23)</f>
        <v>0.29669734704927003</v>
      </c>
      <c r="P19" s="32"/>
      <c r="Q19" s="129">
        <f>(G19)/(9.883*15000*(1/24))</f>
        <v>0.88944652433471616</v>
      </c>
      <c r="R19" s="171"/>
      <c r="S19" s="129">
        <f>(G19)*24/(K19/60)/15000</f>
        <v>0.87466666666666659</v>
      </c>
      <c r="T19" s="129">
        <f>(H19+H22)*24/(M19/60)/15000</f>
        <v>0.8490605714285715</v>
      </c>
      <c r="U19" s="162">
        <f>(G19)*24/(K19/60)/17000</f>
        <v>0.7717647058823528</v>
      </c>
      <c r="V19" s="1258" t="s">
        <v>387</v>
      </c>
      <c r="W19" s="1166"/>
      <c r="X19" s="1166"/>
      <c r="Y19" s="1166"/>
      <c r="Z19" s="1166"/>
      <c r="AA19" s="1166"/>
      <c r="AB19" s="1259"/>
    </row>
    <row r="20" spans="2:28" s="19" customFormat="1" ht="53.25" customHeight="1" x14ac:dyDescent="0.2">
      <c r="B20" s="1037">
        <v>42720</v>
      </c>
      <c r="C20" s="26" t="s">
        <v>27</v>
      </c>
      <c r="D20" s="27">
        <v>2500</v>
      </c>
      <c r="E20" s="1051">
        <v>0.31111111111111112</v>
      </c>
      <c r="F20" s="29">
        <f>SUM([17]December_2016!$J24)</f>
        <v>161.4</v>
      </c>
      <c r="G20" s="30">
        <f>SUM([17]December_2016!$F24)</f>
        <v>2428</v>
      </c>
      <c r="H20" s="29">
        <f>SUM([17]December_2016!$K24)</f>
        <v>160.24800000000002</v>
      </c>
      <c r="I20" s="31">
        <f>SUM([17]December_2016!$N24)</f>
        <v>13.5</v>
      </c>
      <c r="J20" s="991">
        <f>SUM([17]December_2016!$Q24)</f>
        <v>505.531914893617</v>
      </c>
      <c r="K20" s="991">
        <f>SUM([17]December_2016!$E24)</f>
        <v>376</v>
      </c>
      <c r="L20" s="1017">
        <v>0.6333333333333333</v>
      </c>
      <c r="M20" s="32">
        <f>SUM([17]December_2016!$M24)</f>
        <v>37</v>
      </c>
      <c r="N20" s="32">
        <f>SUM([17]December_2016!$H24)</f>
        <v>0</v>
      </c>
      <c r="O20" s="33">
        <f>SUM([17]December_2016!$P24)</f>
        <v>0.71375464684014056</v>
      </c>
      <c r="P20" s="32"/>
      <c r="Q20" s="1039">
        <f>(G20+G21)/(8*15000*(1/24))</f>
        <v>0.63360000000000005</v>
      </c>
      <c r="R20" s="171"/>
      <c r="S20" s="1039">
        <f>(G20+G21)*24/(K20/60)/15000</f>
        <v>0.80885106382978722</v>
      </c>
      <c r="T20" s="129">
        <f>(H20+H23)*24/(M20/60)/15000</f>
        <v>0.41577859459459465</v>
      </c>
      <c r="U20" s="1261">
        <f>(G20+G21)*24/(K20/60)/17000</f>
        <v>0.71369211514392994</v>
      </c>
      <c r="V20" s="1258" t="s">
        <v>390</v>
      </c>
      <c r="W20" s="1166"/>
      <c r="X20" s="1166"/>
      <c r="Y20" s="1166"/>
      <c r="Z20" s="1166"/>
      <c r="AA20" s="1166"/>
      <c r="AB20" s="1259"/>
    </row>
    <row r="21" spans="2:28" s="19" customFormat="1" ht="39" customHeight="1" x14ac:dyDescent="0.2">
      <c r="B21" s="1038"/>
      <c r="C21" s="26" t="s">
        <v>49</v>
      </c>
      <c r="D21" s="27">
        <v>700</v>
      </c>
      <c r="E21" s="1053"/>
      <c r="F21" s="29">
        <f>SUM([17]December_2016!$J25)</f>
        <v>49.7</v>
      </c>
      <c r="G21" s="30">
        <f>SUM([17]December_2016!$F25)</f>
        <v>740</v>
      </c>
      <c r="H21" s="29">
        <f>SUM([17]December_2016!$K25)</f>
        <v>48.84</v>
      </c>
      <c r="I21" s="31">
        <f>SUM([17]December_2016!$N25)</f>
        <v>0.5</v>
      </c>
      <c r="J21" s="992"/>
      <c r="K21" s="992"/>
      <c r="L21" s="1018"/>
      <c r="M21" s="32">
        <f>SUM([17]December_2016!$M25)</f>
        <v>51</v>
      </c>
      <c r="N21" s="32">
        <f>SUM([17]December_2016!$H25)</f>
        <v>0</v>
      </c>
      <c r="O21" s="33">
        <f>SUM([17]December_2016!$P25)</f>
        <v>1.7303822937625741</v>
      </c>
      <c r="P21" s="32"/>
      <c r="Q21" s="1040"/>
      <c r="R21" s="171"/>
      <c r="S21" s="1040"/>
      <c r="T21" s="129"/>
      <c r="U21" s="1262"/>
      <c r="V21" s="1258" t="s">
        <v>389</v>
      </c>
      <c r="W21" s="1166"/>
      <c r="X21" s="1166"/>
      <c r="Y21" s="1166"/>
      <c r="Z21" s="1166"/>
      <c r="AA21" s="1166"/>
      <c r="AB21" s="1259"/>
    </row>
    <row r="22" spans="2:28" s="19" customFormat="1" ht="38.25" customHeight="1" x14ac:dyDescent="0.2">
      <c r="B22" s="1037">
        <v>42723</v>
      </c>
      <c r="C22" s="26" t="s">
        <v>29</v>
      </c>
      <c r="D22" s="27">
        <v>2500</v>
      </c>
      <c r="E22" s="1051">
        <v>0.32500000000000001</v>
      </c>
      <c r="F22" s="989">
        <f>SUM([17]December_2016!$J26)</f>
        <v>190.2</v>
      </c>
      <c r="G22" s="30">
        <f>SUM([17]December_2016!$F26)</f>
        <v>2571</v>
      </c>
      <c r="H22" s="989">
        <f>SUM([17]December_2016!$K26)</f>
        <v>188.892</v>
      </c>
      <c r="I22" s="1004">
        <f>SUM([17]December_2016!$N26)</f>
        <v>7.08</v>
      </c>
      <c r="J22" s="991">
        <f>SUM([17]December_2016!$Q26)</f>
        <v>395.28301886792457</v>
      </c>
      <c r="K22" s="991">
        <f>SUM([17]December_2016!$E26)</f>
        <v>636</v>
      </c>
      <c r="L22" s="1017">
        <v>0.80347222222222225</v>
      </c>
      <c r="M22" s="991">
        <f>SUM([17]December_2016!$M26)</f>
        <v>83</v>
      </c>
      <c r="N22" s="991">
        <f>SUM([17]December_2016!$H26)</f>
        <v>0</v>
      </c>
      <c r="O22" s="1045">
        <f>SUM([17]December_2016!$P26)</f>
        <v>0.68769716088327693</v>
      </c>
      <c r="P22" s="32"/>
      <c r="Q22" s="1039">
        <f>(G22+G23+G24)/(10.43*15000*(1/24))</f>
        <v>0.64276126558005753</v>
      </c>
      <c r="R22" s="171"/>
      <c r="S22" s="1039">
        <f>(G22+G23+G24)*24/(K22/60)/15000</f>
        <v>0.63245283018867926</v>
      </c>
      <c r="T22" s="129">
        <f>(H22+H25)*24/(M22/60)/15000</f>
        <v>0.54588838554216867</v>
      </c>
      <c r="U22" s="1047">
        <f>(G22+G23+G24)*24/(K22/60)/17000</f>
        <v>0.55804661487236407</v>
      </c>
      <c r="V22" s="1056" t="s">
        <v>391</v>
      </c>
      <c r="W22" s="1057"/>
      <c r="X22" s="1057"/>
      <c r="Y22" s="1057"/>
      <c r="Z22" s="1057"/>
      <c r="AA22" s="1057"/>
      <c r="AB22" s="1058"/>
    </row>
    <row r="23" spans="2:28" s="19" customFormat="1" ht="38.25" customHeight="1" x14ac:dyDescent="0.2">
      <c r="B23" s="1050"/>
      <c r="C23" s="26" t="s">
        <v>32</v>
      </c>
      <c r="D23" s="27">
        <v>300</v>
      </c>
      <c r="E23" s="1052"/>
      <c r="F23" s="990"/>
      <c r="G23" s="30">
        <f>SUM([17]December_2016!$F27)</f>
        <v>291</v>
      </c>
      <c r="H23" s="990"/>
      <c r="I23" s="1005"/>
      <c r="J23" s="1042"/>
      <c r="K23" s="1042"/>
      <c r="L23" s="1055"/>
      <c r="M23" s="992"/>
      <c r="N23" s="992"/>
      <c r="O23" s="1046"/>
      <c r="P23" s="32"/>
      <c r="Q23" s="1041"/>
      <c r="R23" s="171"/>
      <c r="S23" s="1041"/>
      <c r="T23" s="129"/>
      <c r="U23" s="1049"/>
      <c r="V23" s="1059"/>
      <c r="W23" s="1060"/>
      <c r="X23" s="1060"/>
      <c r="Y23" s="1060"/>
      <c r="Z23" s="1060"/>
      <c r="AA23" s="1060"/>
      <c r="AB23" s="1061"/>
    </row>
    <row r="24" spans="2:28" s="19" customFormat="1" ht="36" customHeight="1" x14ac:dyDescent="0.2">
      <c r="B24" s="1038"/>
      <c r="C24" s="26" t="s">
        <v>74</v>
      </c>
      <c r="D24" s="27">
        <v>1400</v>
      </c>
      <c r="E24" s="1053"/>
      <c r="F24" s="29">
        <f>SUM([17]December_2016!$J28)</f>
        <v>88.7</v>
      </c>
      <c r="G24" s="30">
        <f>SUM([17]December_2016!$F28)</f>
        <v>1328</v>
      </c>
      <c r="H24" s="29">
        <f>SUM([17]December_2016!$K28)</f>
        <v>87.64800000000001</v>
      </c>
      <c r="I24" s="31">
        <f>SUM([17]December_2016!$N28)</f>
        <v>8.25</v>
      </c>
      <c r="J24" s="992"/>
      <c r="K24" s="992"/>
      <c r="L24" s="1018"/>
      <c r="M24" s="32">
        <f>SUM([17]December_2016!$M28)</f>
        <v>81</v>
      </c>
      <c r="N24" s="32">
        <f>SUM([17]December_2016!$H28)</f>
        <v>0</v>
      </c>
      <c r="O24" s="33">
        <f>SUM([17]December_2016!$P28)</f>
        <v>1.1860202931228776</v>
      </c>
      <c r="P24" s="32"/>
      <c r="Q24" s="1040"/>
      <c r="R24" s="171"/>
      <c r="S24" s="1040"/>
      <c r="T24" s="129"/>
      <c r="U24" s="1048"/>
      <c r="V24" s="1258" t="s">
        <v>392</v>
      </c>
      <c r="W24" s="1166"/>
      <c r="X24" s="1166"/>
      <c r="Y24" s="1166"/>
      <c r="Z24" s="1166"/>
      <c r="AA24" s="1166"/>
      <c r="AB24" s="1259"/>
    </row>
    <row r="25" spans="2:28" s="19" customFormat="1" ht="34.5" customHeight="1" x14ac:dyDescent="0.2">
      <c r="B25" s="168">
        <v>42724</v>
      </c>
      <c r="C25" s="26" t="s">
        <v>30</v>
      </c>
      <c r="D25" s="27">
        <v>4200</v>
      </c>
      <c r="E25" s="28">
        <v>0.31805555555555554</v>
      </c>
      <c r="F25" s="29">
        <f>SUM([17]December_2016!$J29)</f>
        <v>284.3</v>
      </c>
      <c r="G25" s="30">
        <f>SUM([17]December_2016!$F29)</f>
        <v>4289</v>
      </c>
      <c r="H25" s="29">
        <f>SUM([17]December_2016!$K29)</f>
        <v>283.07400000000001</v>
      </c>
      <c r="I25" s="31">
        <f>SUM([17]December_2016!$N29)</f>
        <v>10</v>
      </c>
      <c r="J25" s="32">
        <f>SUM([17]December_2016!$Q29)</f>
        <v>604.08450704225356</v>
      </c>
      <c r="K25" s="32">
        <f>SUM([17]December_2016!$E29)</f>
        <v>426</v>
      </c>
      <c r="L25" s="169">
        <v>0.66805555555555562</v>
      </c>
      <c r="M25" s="32">
        <f>SUM([17]December_2016!$M29)</f>
        <v>40</v>
      </c>
      <c r="N25" s="32">
        <f>SUM([17]December_2016!$H29)</f>
        <v>0</v>
      </c>
      <c r="O25" s="33">
        <f>SUM([17]December_2016!$P29)</f>
        <v>0.43123461132606367</v>
      </c>
      <c r="P25" s="32"/>
      <c r="Q25" s="129">
        <f>(G25)/(9*15000*(1/24))</f>
        <v>0.76248888888888888</v>
      </c>
      <c r="R25" s="171"/>
      <c r="S25" s="129">
        <f>(G25)*24/(K25/60)/15000</f>
        <v>0.96653521126760567</v>
      </c>
      <c r="T25" s="129">
        <f>(H25+H28)*24/(M25/60)/15000</f>
        <v>0.89590080000000016</v>
      </c>
      <c r="U25" s="162">
        <f>(G25)*24/(K25/60)/17000</f>
        <v>0.85282518641259331</v>
      </c>
      <c r="V25" s="1258" t="s">
        <v>393</v>
      </c>
      <c r="W25" s="1166"/>
      <c r="X25" s="1166"/>
      <c r="Y25" s="1166"/>
      <c r="Z25" s="1166"/>
      <c r="AA25" s="1166"/>
      <c r="AB25" s="1259"/>
    </row>
    <row r="26" spans="2:28" s="19" customFormat="1" ht="21" customHeight="1" x14ac:dyDescent="0.2">
      <c r="B26" s="1037">
        <v>42725</v>
      </c>
      <c r="C26" s="26" t="s">
        <v>90</v>
      </c>
      <c r="D26" s="1098">
        <v>3900</v>
      </c>
      <c r="E26" s="1051">
        <v>0.33958333333333335</v>
      </c>
      <c r="F26" s="29">
        <f>SUM([17]December_2016!$J30)</f>
        <v>26.623000000000001</v>
      </c>
      <c r="G26" s="30">
        <f>SUM([17]December_2016!$F30)</f>
        <v>337</v>
      </c>
      <c r="H26" s="29">
        <f>SUM([17]December_2016!$K30)</f>
        <v>26.623000000000001</v>
      </c>
      <c r="I26" s="31">
        <f>SUM([17]December_2016!$N30)</f>
        <v>7</v>
      </c>
      <c r="J26" s="991">
        <f>SUM([17]December_2016!$Q30)</f>
        <v>336.63636363636363</v>
      </c>
      <c r="K26" s="991">
        <f>SUM([17]December_2016!$E30)</f>
        <v>660</v>
      </c>
      <c r="L26" s="1017">
        <v>0.82708333333333339</v>
      </c>
      <c r="M26" s="32">
        <f>SUM([17]December_2016!$M30)</f>
        <v>23</v>
      </c>
      <c r="N26" s="32">
        <f>SUM([17]December_2016!$H30)</f>
        <v>0</v>
      </c>
      <c r="O26" s="33">
        <f>SUM([17]December_2016!$P30)</f>
        <v>0</v>
      </c>
      <c r="P26" s="32"/>
      <c r="Q26" s="1039">
        <f>(G26+G27+G28+G29+G30)/(10.833*15000*(1/24))</f>
        <v>0.54692144373673035</v>
      </c>
      <c r="R26" s="171"/>
      <c r="S26" s="1039">
        <f>(G26+G27+G28+G29+G30)*24/(K26/60)/15000</f>
        <v>0.53861818181818177</v>
      </c>
      <c r="T26" s="129">
        <f>(H26+H29)*24/(M26/60)/15000</f>
        <v>0.28984069565217391</v>
      </c>
      <c r="U26" s="1047">
        <f>(G26+G27+G28+G29+G30)*24/(K26/60)/17000</f>
        <v>0.47525133689839572</v>
      </c>
      <c r="V26" s="1258" t="s">
        <v>398</v>
      </c>
      <c r="W26" s="1166"/>
      <c r="X26" s="1166"/>
      <c r="Y26" s="1166"/>
      <c r="Z26" s="1166"/>
      <c r="AA26" s="1166"/>
      <c r="AB26" s="1259"/>
    </row>
    <row r="27" spans="2:28" s="19" customFormat="1" ht="34.5" customHeight="1" x14ac:dyDescent="0.2">
      <c r="B27" s="1050"/>
      <c r="C27" s="26" t="s">
        <v>150</v>
      </c>
      <c r="D27" s="1260"/>
      <c r="E27" s="1052"/>
      <c r="F27" s="29">
        <f>SUM([17]December_2016!$J31)</f>
        <v>90.4</v>
      </c>
      <c r="G27" s="30">
        <f>SUM([17]December_2016!$F31)</f>
        <v>1132</v>
      </c>
      <c r="H27" s="29">
        <f>SUM([17]December_2016!$K31)</f>
        <v>89.427999999999997</v>
      </c>
      <c r="I27" s="31">
        <f>SUM([17]December_2016!$N31)</f>
        <v>1.5</v>
      </c>
      <c r="J27" s="1042"/>
      <c r="K27" s="1042"/>
      <c r="L27" s="1055"/>
      <c r="M27" s="32">
        <f>SUM([17]December_2016!$M31)</f>
        <v>49</v>
      </c>
      <c r="N27" s="32">
        <f>SUM([17]December_2016!$H31)</f>
        <v>0</v>
      </c>
      <c r="O27" s="33">
        <f>SUM([17]December_2016!$P31)</f>
        <v>1.0752212389380624</v>
      </c>
      <c r="P27" s="32"/>
      <c r="Q27" s="1041"/>
      <c r="R27" s="171"/>
      <c r="S27" s="1041"/>
      <c r="T27" s="129"/>
      <c r="U27" s="1049"/>
      <c r="V27" s="1258" t="s">
        <v>395</v>
      </c>
      <c r="W27" s="1166"/>
      <c r="X27" s="1166"/>
      <c r="Y27" s="1166"/>
      <c r="Z27" s="1166"/>
      <c r="AA27" s="1166"/>
      <c r="AB27" s="1259"/>
    </row>
    <row r="28" spans="2:28" s="19" customFormat="1" ht="21" customHeight="1" x14ac:dyDescent="0.2">
      <c r="B28" s="1050"/>
      <c r="C28" s="26" t="s">
        <v>151</v>
      </c>
      <c r="D28" s="1260"/>
      <c r="E28" s="1052"/>
      <c r="F28" s="29">
        <f>SUM([17]December_2016!$J32)</f>
        <v>90.4</v>
      </c>
      <c r="G28" s="30">
        <f>SUM([17]December_2016!$F32)</f>
        <v>1142</v>
      </c>
      <c r="H28" s="29">
        <f>SUM([17]December_2016!$K32)</f>
        <v>90.218000000000004</v>
      </c>
      <c r="I28" s="31">
        <f>SUM([17]December_2016!$N32)</f>
        <v>1</v>
      </c>
      <c r="J28" s="1042"/>
      <c r="K28" s="1042"/>
      <c r="L28" s="1055"/>
      <c r="M28" s="32">
        <f>SUM([17]December_2016!$M32)</f>
        <v>60</v>
      </c>
      <c r="N28" s="32">
        <f>SUM([17]December_2016!$H32)</f>
        <v>0</v>
      </c>
      <c r="O28" s="33">
        <f>SUM([17]December_2016!$P32)</f>
        <v>0.20132743362832095</v>
      </c>
      <c r="P28" s="32"/>
      <c r="Q28" s="1041"/>
      <c r="R28" s="171"/>
      <c r="S28" s="1041"/>
      <c r="T28" s="129"/>
      <c r="U28" s="1049"/>
      <c r="V28" s="1258" t="s">
        <v>394</v>
      </c>
      <c r="W28" s="1166"/>
      <c r="X28" s="1166"/>
      <c r="Y28" s="1166"/>
      <c r="Z28" s="1166"/>
      <c r="AA28" s="1166"/>
      <c r="AB28" s="1259"/>
    </row>
    <row r="29" spans="2:28" s="19" customFormat="1" ht="21" customHeight="1" x14ac:dyDescent="0.2">
      <c r="B29" s="1050"/>
      <c r="C29" s="26" t="s">
        <v>89</v>
      </c>
      <c r="D29" s="1260"/>
      <c r="E29" s="1052"/>
      <c r="F29" s="29">
        <f>SUM([17]December_2016!$J33)</f>
        <v>45.2</v>
      </c>
      <c r="G29" s="30">
        <f>SUM([17]December_2016!$F33)</f>
        <v>542</v>
      </c>
      <c r="H29" s="29">
        <f>SUM([17]December_2016!$K33)</f>
        <v>42.817999999999998</v>
      </c>
      <c r="I29" s="31">
        <f>SUM([17]December_2016!$N33)</f>
        <v>5</v>
      </c>
      <c r="J29" s="1042"/>
      <c r="K29" s="1042"/>
      <c r="L29" s="1055"/>
      <c r="M29" s="32">
        <f>SUM([17]December_2016!$M33)</f>
        <v>46</v>
      </c>
      <c r="N29" s="32">
        <f>SUM([17]December_2016!$H33)</f>
        <v>1</v>
      </c>
      <c r="O29" s="33">
        <f>SUM([17]December_2016!$P33)</f>
        <v>5.2699115044247895</v>
      </c>
      <c r="P29" s="32"/>
      <c r="Q29" s="1041"/>
      <c r="R29" s="171"/>
      <c r="S29" s="1041"/>
      <c r="T29" s="129"/>
      <c r="U29" s="1049"/>
      <c r="V29" s="1258" t="s">
        <v>396</v>
      </c>
      <c r="W29" s="1166"/>
      <c r="X29" s="1166"/>
      <c r="Y29" s="1166"/>
      <c r="Z29" s="1166"/>
      <c r="AA29" s="1166"/>
      <c r="AB29" s="1259"/>
    </row>
    <row r="30" spans="2:28" s="19" customFormat="1" ht="21" customHeight="1" x14ac:dyDescent="0.2">
      <c r="B30" s="1038"/>
      <c r="C30" s="26" t="s">
        <v>88</v>
      </c>
      <c r="D30" s="1099"/>
      <c r="E30" s="1053"/>
      <c r="F30" s="29">
        <f>SUM([17]December_2016!$J34)</f>
        <v>45.2</v>
      </c>
      <c r="G30" s="30">
        <f>SUM([17]December_2016!$F34)</f>
        <v>550</v>
      </c>
      <c r="H30" s="29">
        <f>SUM([17]December_2016!$K34)</f>
        <v>43.45</v>
      </c>
      <c r="I30" s="31">
        <f>SUM([17]December_2016!$N34)</f>
        <v>3.5</v>
      </c>
      <c r="J30" s="992"/>
      <c r="K30" s="992"/>
      <c r="L30" s="1018"/>
      <c r="M30" s="32">
        <f>SUM([17]December_2016!$M34)</f>
        <v>43</v>
      </c>
      <c r="N30" s="32">
        <f>SUM([17]December_2016!$H34)</f>
        <v>0</v>
      </c>
      <c r="O30" s="33">
        <f>SUM([17]December_2016!$P34)</f>
        <v>3.8716814159292032</v>
      </c>
      <c r="P30" s="32"/>
      <c r="Q30" s="1040"/>
      <c r="R30" s="171"/>
      <c r="S30" s="1040"/>
      <c r="T30" s="129"/>
      <c r="U30" s="1048"/>
      <c r="V30" s="1258" t="s">
        <v>397</v>
      </c>
      <c r="W30" s="1166"/>
      <c r="X30" s="1166"/>
      <c r="Y30" s="1166"/>
      <c r="Z30" s="1166"/>
      <c r="AA30" s="1166"/>
      <c r="AB30" s="1259"/>
    </row>
    <row r="31" spans="2:28" s="19" customFormat="1" ht="36" customHeight="1" x14ac:dyDescent="0.2">
      <c r="B31" s="168">
        <v>42726</v>
      </c>
      <c r="C31" s="26" t="s">
        <v>27</v>
      </c>
      <c r="D31" s="27">
        <v>5600</v>
      </c>
      <c r="E31" s="28">
        <v>0.33749999999999997</v>
      </c>
      <c r="F31" s="29">
        <f>SUM([17]December_2016!$J35)</f>
        <v>371.20000000000005</v>
      </c>
      <c r="G31" s="30">
        <f>SUM([17]December_2016!$F35)</f>
        <v>5565</v>
      </c>
      <c r="H31" s="29">
        <f>SUM([17]December_2016!$K35)</f>
        <v>369.19</v>
      </c>
      <c r="I31" s="31">
        <f>SUM([17]December_2016!$N35)</f>
        <v>35.5</v>
      </c>
      <c r="J31" s="32">
        <f>SUM([17]December_2016!$Q35)</f>
        <v>554.65116279069764</v>
      </c>
      <c r="K31" s="32">
        <f>SUM([17]December_2016!$E35)</f>
        <v>602</v>
      </c>
      <c r="L31" s="169">
        <v>0.78611111111111109</v>
      </c>
      <c r="M31" s="32">
        <f>SUM([17]December_2016!$M35)</f>
        <v>85</v>
      </c>
      <c r="N31" s="32">
        <f>SUM([17]December_2016!$H35)</f>
        <v>0</v>
      </c>
      <c r="O31" s="33">
        <f>SUM([17]December_2016!$P35)</f>
        <v>0.54148706896553001</v>
      </c>
      <c r="P31" s="32"/>
      <c r="Q31" s="129">
        <f>(G31)/(9.867*15000*(1/24))</f>
        <v>0.90240194588020672</v>
      </c>
      <c r="R31" s="171"/>
      <c r="S31" s="129">
        <f>(G31)*24/(K31/60)/15000</f>
        <v>0.88744186046511631</v>
      </c>
      <c r="T31" s="129">
        <f>(H31+H34)*24/(M31/60)/15000</f>
        <v>0.66053647058823528</v>
      </c>
      <c r="U31" s="162">
        <f>(G31)*24/(K31/60)/17000</f>
        <v>0.78303693570451438</v>
      </c>
      <c r="V31" s="1258" t="s">
        <v>399</v>
      </c>
      <c r="W31" s="1166"/>
      <c r="X31" s="1166"/>
      <c r="Y31" s="1166"/>
      <c r="Z31" s="1166"/>
      <c r="AA31" s="1166"/>
      <c r="AB31" s="1259"/>
    </row>
    <row r="32" spans="2:28" s="19" customFormat="1" ht="38.25" customHeight="1" x14ac:dyDescent="0.2">
      <c r="B32" s="168">
        <v>42727</v>
      </c>
      <c r="C32" s="26" t="s">
        <v>29</v>
      </c>
      <c r="D32" s="27">
        <v>4200</v>
      </c>
      <c r="E32" s="28">
        <v>0.34861111111111115</v>
      </c>
      <c r="F32" s="29">
        <f>SUM([17]December_2016!$J36)</f>
        <v>307.20000000000005</v>
      </c>
      <c r="G32" s="30">
        <f>SUM([17]December_2016!$F36)</f>
        <v>4644</v>
      </c>
      <c r="H32" s="29">
        <f>SUM([17]December_2016!$K36)</f>
        <v>306.50400000000002</v>
      </c>
      <c r="I32" s="31">
        <f>SUM([17]December_2016!$N36)</f>
        <v>19.5</v>
      </c>
      <c r="J32" s="32">
        <f>SUM([17]December_2016!$Q36)</f>
        <v>553.95626242544733</v>
      </c>
      <c r="K32" s="32">
        <f>SUM([17]December_2016!$E36)</f>
        <v>503</v>
      </c>
      <c r="L32" s="169">
        <v>0.73541666666666661</v>
      </c>
      <c r="M32" s="32">
        <f>SUM([17]December_2016!$M36)</f>
        <v>73</v>
      </c>
      <c r="N32" s="32">
        <f>SUM([17]December_2016!$H36)</f>
        <v>0</v>
      </c>
      <c r="O32" s="33">
        <f>SUM([17]December_2016!$P36)</f>
        <v>0.22656250000000858</v>
      </c>
      <c r="P32" s="32"/>
      <c r="Q32" s="129">
        <f>(G32)/(8.36*15000*(1/24))</f>
        <v>0.88880382775119637</v>
      </c>
      <c r="R32" s="171"/>
      <c r="S32" s="129">
        <f>(G32)*24/(K32/60)/15000</f>
        <v>0.8863300198807158</v>
      </c>
      <c r="T32" s="129">
        <f>(H32+H35)*24/(M32/60)/15000</f>
        <v>0.77585621917808223</v>
      </c>
      <c r="U32" s="162">
        <f>(G32)*24/(K32/60)/17000</f>
        <v>0.78205589989474922</v>
      </c>
      <c r="V32" s="1258" t="s">
        <v>400</v>
      </c>
      <c r="W32" s="1166"/>
      <c r="X32" s="1166"/>
      <c r="Y32" s="1166"/>
      <c r="Z32" s="1166"/>
      <c r="AA32" s="1166"/>
      <c r="AB32" s="1259"/>
    </row>
    <row r="33" spans="2:28" s="19" customFormat="1" ht="23.25" customHeight="1" x14ac:dyDescent="0.2">
      <c r="B33" s="1037">
        <v>42732</v>
      </c>
      <c r="C33" s="26" t="s">
        <v>29</v>
      </c>
      <c r="D33" s="27">
        <v>1400</v>
      </c>
      <c r="E33" s="1051">
        <v>0.3527777777777778</v>
      </c>
      <c r="F33" s="29">
        <f>SUM([17]December_2016!$J37)</f>
        <v>47.899999999999991</v>
      </c>
      <c r="G33" s="30">
        <f>SUM([17]December_2016!$F37)</f>
        <v>707</v>
      </c>
      <c r="H33" s="29">
        <f>SUM([17]December_2016!$K37)</f>
        <v>46.661999999999999</v>
      </c>
      <c r="I33" s="31">
        <f>SUM([17]December_2016!$N37)</f>
        <v>3.5</v>
      </c>
      <c r="J33" s="991">
        <f>SUM([17]December_2016!$Q37)</f>
        <v>506.50862068965517</v>
      </c>
      <c r="K33" s="991">
        <f>SUM([17]December_2016!$E37)</f>
        <v>464</v>
      </c>
      <c r="L33" s="1017">
        <v>0.73472222222222217</v>
      </c>
      <c r="M33" s="32">
        <f>SUM([17]December_2016!$M37)</f>
        <v>41</v>
      </c>
      <c r="N33" s="32">
        <f>SUM([17]December_2016!$H37)</f>
        <v>0</v>
      </c>
      <c r="O33" s="33">
        <f>SUM([17]December_2016!$P37)</f>
        <v>2.5845511482254544</v>
      </c>
      <c r="P33" s="32"/>
      <c r="Q33" s="1039">
        <f>(G33+G34)/(9*15000*(1/24))</f>
        <v>0.69635555555555551</v>
      </c>
      <c r="R33" s="171"/>
      <c r="S33" s="1039">
        <f>(G33+G34)*24/(K33/60)/15000</f>
        <v>0.8104137931034483</v>
      </c>
      <c r="T33" s="129">
        <f>(H33+H36)*24/(M33/60)/15000</f>
        <v>0.35234341463414626</v>
      </c>
      <c r="U33" s="1047">
        <f>(G33+G34)*24/(K33/60)/17000</f>
        <v>0.71507099391480733</v>
      </c>
      <c r="V33" s="1258" t="s">
        <v>401</v>
      </c>
      <c r="W33" s="1166"/>
      <c r="X33" s="1166"/>
      <c r="Y33" s="1166"/>
      <c r="Z33" s="1166"/>
      <c r="AA33" s="1166"/>
      <c r="AB33" s="1259"/>
    </row>
    <row r="34" spans="2:28" s="19" customFormat="1" ht="38.25" customHeight="1" x14ac:dyDescent="0.2">
      <c r="B34" s="1038"/>
      <c r="C34" s="26" t="s">
        <v>27</v>
      </c>
      <c r="D34" s="27">
        <v>4200</v>
      </c>
      <c r="E34" s="1053"/>
      <c r="F34" s="29">
        <f>SUM([17]December_2016!$J38)</f>
        <v>217.2</v>
      </c>
      <c r="G34" s="30">
        <f>SUM([17]December_2016!$F38)</f>
        <v>3210</v>
      </c>
      <c r="H34" s="29">
        <f>SUM([17]December_2016!$K38)</f>
        <v>215.66000000000003</v>
      </c>
      <c r="I34" s="31">
        <f>SUM([17]December_2016!$N38)</f>
        <v>29.5</v>
      </c>
      <c r="J34" s="992"/>
      <c r="K34" s="992"/>
      <c r="L34" s="1018"/>
      <c r="M34" s="32">
        <f>SUM([17]December_2016!$M38)</f>
        <v>71</v>
      </c>
      <c r="N34" s="32">
        <f>SUM([17]December_2016!$H38)</f>
        <v>0</v>
      </c>
      <c r="O34" s="33">
        <f>SUM([17]December_2016!$P38)</f>
        <v>0.70902394106812328</v>
      </c>
      <c r="P34" s="32"/>
      <c r="Q34" s="1040"/>
      <c r="R34" s="171"/>
      <c r="S34" s="1040"/>
      <c r="T34" s="129"/>
      <c r="U34" s="1048"/>
      <c r="V34" s="1258" t="s">
        <v>402</v>
      </c>
      <c r="W34" s="1166"/>
      <c r="X34" s="1166"/>
      <c r="Y34" s="1166"/>
      <c r="Z34" s="1166"/>
      <c r="AA34" s="1166"/>
      <c r="AB34" s="1259"/>
    </row>
    <row r="35" spans="2:28" s="19" customFormat="1" ht="35.25" customHeight="1" x14ac:dyDescent="0.2">
      <c r="B35" s="1037">
        <v>42733</v>
      </c>
      <c r="C35" s="26" t="s">
        <v>30</v>
      </c>
      <c r="D35" s="27">
        <v>4200</v>
      </c>
      <c r="E35" s="1051">
        <v>0.31458333333333333</v>
      </c>
      <c r="F35" s="29">
        <f>SUM([17]December_2016!$J39)</f>
        <v>284.7</v>
      </c>
      <c r="G35" s="30">
        <f>SUM([17]December_2016!$F39)</f>
        <v>4295</v>
      </c>
      <c r="H35" s="29">
        <f>SUM([17]December_2016!$K39)</f>
        <v>283.47000000000003</v>
      </c>
      <c r="I35" s="31">
        <f>SUM([17]December_2016!$N39)</f>
        <v>8</v>
      </c>
      <c r="J35" s="991">
        <f>SUM([17]December_2016!$Q39)</f>
        <v>423.68231046931407</v>
      </c>
      <c r="K35" s="991">
        <f>SUM([17]December_2016!$E39)</f>
        <v>831</v>
      </c>
      <c r="L35" s="1017">
        <v>0.94097222222222221</v>
      </c>
      <c r="M35" s="32">
        <f>SUM([17]December_2016!$M39)</f>
        <v>60</v>
      </c>
      <c r="N35" s="32">
        <f>SUM([17]December_2016!$H39)</f>
        <v>140</v>
      </c>
      <c r="O35" s="33">
        <f>SUM([17]December_2016!$P39)</f>
        <v>0.43203371970493903</v>
      </c>
      <c r="P35" s="32"/>
      <c r="Q35" s="1039">
        <f>(G35+G36)/(13.683*15000*(1/24))</f>
        <v>0.686165314623986</v>
      </c>
      <c r="R35" s="171"/>
      <c r="S35" s="1039">
        <f>(G35+G36)*24/(K35/60)/15000</f>
        <v>0.67789169675090255</v>
      </c>
      <c r="T35" s="129">
        <f>(H35+H38)*24/(M35/60)/15000</f>
        <v>0.45355200000000007</v>
      </c>
      <c r="U35" s="1047">
        <f>(G35+G36)*24/(K35/60)/17000</f>
        <v>0.59813973242726703</v>
      </c>
      <c r="V35" s="1258" t="s">
        <v>403</v>
      </c>
      <c r="W35" s="1166"/>
      <c r="X35" s="1166"/>
      <c r="Y35" s="1166"/>
      <c r="Z35" s="1166"/>
      <c r="AA35" s="1166"/>
      <c r="AB35" s="1259"/>
    </row>
    <row r="36" spans="2:28" s="19" customFormat="1" ht="38.25" customHeight="1" x14ac:dyDescent="0.2">
      <c r="B36" s="1038"/>
      <c r="C36" s="26" t="s">
        <v>51</v>
      </c>
      <c r="D36" s="27">
        <v>1500</v>
      </c>
      <c r="E36" s="1053"/>
      <c r="F36" s="29">
        <f>SUM([17]December_2016!$J40)</f>
        <v>105.1</v>
      </c>
      <c r="G36" s="30">
        <f>SUM([17]December_2016!$F40)</f>
        <v>1573</v>
      </c>
      <c r="H36" s="29">
        <f>SUM([17]December_2016!$K40)</f>
        <v>103.818</v>
      </c>
      <c r="I36" s="31">
        <f>SUM([17]December_2016!$N40)</f>
        <v>14</v>
      </c>
      <c r="J36" s="992"/>
      <c r="K36" s="992"/>
      <c r="L36" s="1018"/>
      <c r="M36" s="32">
        <f>SUM([17]December_2016!$M40)</f>
        <v>134</v>
      </c>
      <c r="N36" s="32">
        <f>SUM([17]December_2016!$H40)</f>
        <v>14</v>
      </c>
      <c r="O36" s="33">
        <f>SUM([17]December_2016!$P40)</f>
        <v>1.2197906755470949</v>
      </c>
      <c r="P36" s="32"/>
      <c r="Q36" s="1040"/>
      <c r="R36" s="34"/>
      <c r="S36" s="1040"/>
      <c r="T36" s="46"/>
      <c r="U36" s="1048"/>
      <c r="V36" s="1258" t="s">
        <v>404</v>
      </c>
      <c r="W36" s="1166"/>
      <c r="X36" s="1166"/>
      <c r="Y36" s="1166"/>
      <c r="Z36" s="1166"/>
      <c r="AA36" s="1166"/>
      <c r="AB36" s="1259"/>
    </row>
    <row r="37" spans="2:28" s="19" customFormat="1" ht="27" customHeight="1" x14ac:dyDescent="0.2">
      <c r="B37" s="168">
        <v>43099</v>
      </c>
      <c r="C37" s="26" t="s">
        <v>31</v>
      </c>
      <c r="D37" s="27">
        <v>4000</v>
      </c>
      <c r="E37" s="28">
        <v>0.3215277777777778</v>
      </c>
      <c r="F37" s="29">
        <f>SUM([17]December_2016!$J41)</f>
        <v>219.40000000000003</v>
      </c>
      <c r="G37" s="30">
        <f>SUM([17]December_2016!$F41)</f>
        <v>2922</v>
      </c>
      <c r="H37" s="29">
        <f>SUM([17]December_2016!$K41)</f>
        <v>217.39679999999998</v>
      </c>
      <c r="I37" s="31">
        <f>SUM([17]December_2016!$N41)</f>
        <v>7</v>
      </c>
      <c r="J37" s="32">
        <f>SUM([17]December_2016!$Q41)</f>
        <v>311.95729537366549</v>
      </c>
      <c r="K37" s="32">
        <f>SUM([17]December_2016!$E41)</f>
        <v>562</v>
      </c>
      <c r="L37" s="169">
        <v>0.75555555555555554</v>
      </c>
      <c r="M37" s="32">
        <f>SUM([17]December_2016!$M41)</f>
        <v>154</v>
      </c>
      <c r="N37" s="32">
        <f>SUM([17]December_2016!$H41)</f>
        <v>220</v>
      </c>
      <c r="O37" s="33">
        <f>SUM([17]December_2016!$P41)</f>
        <v>0.91303555150412452</v>
      </c>
      <c r="P37" s="32"/>
      <c r="Q37" s="129">
        <f>(G37)/(9.2*15000*(1/24))</f>
        <v>0.50817391304347825</v>
      </c>
      <c r="R37" s="171"/>
      <c r="S37" s="129">
        <f>(G37)*24/(K37/60)/15000</f>
        <v>0.49913167259786473</v>
      </c>
      <c r="T37" s="129">
        <f>(H37+H40)*24/(M37/60)/15000</f>
        <v>0.1355200831168831</v>
      </c>
      <c r="U37" s="162">
        <f>(G37)*24/(K37/60)/17000</f>
        <v>0.44041029935105713</v>
      </c>
      <c r="V37" s="1258" t="s">
        <v>405</v>
      </c>
      <c r="W37" s="1166"/>
      <c r="X37" s="1166"/>
      <c r="Y37" s="1166"/>
      <c r="Z37" s="1166"/>
      <c r="AA37" s="1166"/>
      <c r="AB37" s="1259"/>
    </row>
    <row r="38" spans="2:28" s="19" customFormat="1" ht="21" customHeight="1" x14ac:dyDescent="0.2">
      <c r="B38" s="168"/>
      <c r="C38" s="26"/>
      <c r="D38" s="27"/>
      <c r="E38" s="28"/>
      <c r="F38" s="29"/>
      <c r="G38" s="30"/>
      <c r="H38" s="29"/>
      <c r="I38" s="31"/>
      <c r="J38" s="32"/>
      <c r="K38" s="32"/>
      <c r="L38" s="169"/>
      <c r="M38" s="32"/>
      <c r="N38" s="32"/>
      <c r="O38" s="33"/>
      <c r="P38" s="32"/>
      <c r="Q38" s="129"/>
      <c r="R38" s="34"/>
      <c r="S38" s="46"/>
      <c r="T38" s="46"/>
      <c r="U38" s="163"/>
      <c r="V38" s="1258"/>
      <c r="W38" s="1166"/>
      <c r="X38" s="1166"/>
      <c r="Y38" s="1166"/>
      <c r="Z38" s="1166"/>
      <c r="AA38" s="1166"/>
      <c r="AB38" s="1259"/>
    </row>
    <row r="39" spans="2:28" s="19" customFormat="1" ht="21" customHeight="1" thickBot="1" x14ac:dyDescent="0.25">
      <c r="B39" s="168"/>
      <c r="C39" s="26"/>
      <c r="D39" s="27"/>
      <c r="E39" s="28"/>
      <c r="F39" s="29"/>
      <c r="G39" s="30"/>
      <c r="H39" s="29"/>
      <c r="I39" s="31"/>
      <c r="J39" s="32"/>
      <c r="K39" s="32"/>
      <c r="L39" s="169"/>
      <c r="M39" s="32"/>
      <c r="N39" s="32"/>
      <c r="O39" s="33"/>
      <c r="P39" s="32"/>
      <c r="Q39" s="129"/>
      <c r="R39" s="34"/>
      <c r="S39" s="46"/>
      <c r="T39" s="46"/>
      <c r="U39" s="163"/>
      <c r="V39" s="1258"/>
      <c r="W39" s="1166"/>
      <c r="X39" s="1166"/>
      <c r="Y39" s="1166"/>
      <c r="Z39" s="1166"/>
      <c r="AA39" s="1166"/>
      <c r="AB39" s="1259"/>
    </row>
    <row r="40" spans="2:28" s="19" customFormat="1" ht="21" hidden="1" customHeight="1" x14ac:dyDescent="0.2">
      <c r="B40" s="168"/>
      <c r="C40" s="26"/>
      <c r="D40" s="27"/>
      <c r="E40" s="28"/>
      <c r="F40" s="29"/>
      <c r="G40" s="30"/>
      <c r="H40" s="29"/>
      <c r="I40" s="31"/>
      <c r="J40" s="32"/>
      <c r="K40" s="32"/>
      <c r="L40" s="32"/>
      <c r="M40" s="32"/>
      <c r="N40" s="32"/>
      <c r="O40" s="33"/>
      <c r="P40" s="32"/>
      <c r="Q40" s="129"/>
      <c r="R40" s="34"/>
      <c r="S40" s="46"/>
      <c r="T40" s="46"/>
      <c r="U40" s="163"/>
      <c r="V40" s="1258"/>
      <c r="W40" s="1166"/>
      <c r="X40" s="1166"/>
      <c r="Y40" s="1166"/>
      <c r="Z40" s="1166"/>
      <c r="AA40" s="1166"/>
      <c r="AB40" s="1259"/>
    </row>
    <row r="41" spans="2:28" s="19" customFormat="1" ht="21" hidden="1" customHeight="1" x14ac:dyDescent="0.2">
      <c r="B41" s="168"/>
      <c r="C41" s="26"/>
      <c r="D41" s="27"/>
      <c r="E41" s="28"/>
      <c r="F41" s="29"/>
      <c r="G41" s="30"/>
      <c r="H41" s="29"/>
      <c r="I41" s="31"/>
      <c r="J41" s="32"/>
      <c r="K41" s="32"/>
      <c r="L41" s="32"/>
      <c r="M41" s="32"/>
      <c r="N41" s="32"/>
      <c r="O41" s="33"/>
      <c r="P41" s="32"/>
      <c r="Q41" s="129"/>
      <c r="R41" s="34"/>
      <c r="S41" s="46"/>
      <c r="T41" s="46"/>
      <c r="U41" s="163"/>
      <c r="V41" s="1258"/>
      <c r="W41" s="1166"/>
      <c r="X41" s="1166"/>
      <c r="Y41" s="1166"/>
      <c r="Z41" s="1166"/>
      <c r="AA41" s="1166"/>
      <c r="AB41" s="1259"/>
    </row>
    <row r="42" spans="2:28" s="19" customFormat="1" ht="31.5" hidden="1" customHeight="1" x14ac:dyDescent="0.2">
      <c r="B42" s="168"/>
      <c r="C42" s="26"/>
      <c r="D42" s="27"/>
      <c r="E42" s="28"/>
      <c r="F42" s="29"/>
      <c r="G42" s="30"/>
      <c r="H42" s="29"/>
      <c r="I42" s="31"/>
      <c r="J42" s="32"/>
      <c r="K42" s="32"/>
      <c r="L42" s="32"/>
      <c r="M42" s="32"/>
      <c r="N42" s="32"/>
      <c r="O42" s="33"/>
      <c r="P42" s="32"/>
      <c r="Q42" s="129"/>
      <c r="R42" s="34"/>
      <c r="S42" s="46"/>
      <c r="T42" s="34"/>
      <c r="U42" s="173"/>
      <c r="V42" s="1258"/>
      <c r="W42" s="1166"/>
      <c r="X42" s="1166"/>
      <c r="Y42" s="1166"/>
      <c r="Z42" s="1166"/>
      <c r="AA42" s="1166"/>
      <c r="AB42" s="1259"/>
    </row>
    <row r="43" spans="2:28" s="19" customFormat="1" ht="31.5" hidden="1" customHeight="1" x14ac:dyDescent="0.2">
      <c r="B43" s="168"/>
      <c r="C43" s="26"/>
      <c r="D43" s="27"/>
      <c r="E43" s="28"/>
      <c r="F43" s="29"/>
      <c r="G43" s="30"/>
      <c r="H43" s="29"/>
      <c r="I43" s="31"/>
      <c r="J43" s="32"/>
      <c r="K43" s="32"/>
      <c r="L43" s="32"/>
      <c r="M43" s="32"/>
      <c r="N43" s="32"/>
      <c r="O43" s="33"/>
      <c r="P43" s="32"/>
      <c r="Q43" s="129"/>
      <c r="R43" s="34"/>
      <c r="S43" s="46"/>
      <c r="T43" s="34"/>
      <c r="U43" s="173"/>
      <c r="V43" s="1258"/>
      <c r="W43" s="1166"/>
      <c r="X43" s="1166"/>
      <c r="Y43" s="1166"/>
      <c r="Z43" s="1166"/>
      <c r="AA43" s="1166"/>
      <c r="AB43" s="1259"/>
    </row>
    <row r="44" spans="2:28" s="19" customFormat="1" ht="31.5" hidden="1" customHeight="1" x14ac:dyDescent="0.2">
      <c r="B44" s="168"/>
      <c r="C44" s="26"/>
      <c r="D44" s="27"/>
      <c r="E44" s="28"/>
      <c r="F44" s="29"/>
      <c r="G44" s="30"/>
      <c r="H44" s="29"/>
      <c r="I44" s="31"/>
      <c r="J44" s="32"/>
      <c r="K44" s="32"/>
      <c r="L44" s="32"/>
      <c r="M44" s="32"/>
      <c r="N44" s="32"/>
      <c r="O44" s="33"/>
      <c r="P44" s="32"/>
      <c r="Q44" s="129"/>
      <c r="R44" s="34"/>
      <c r="S44" s="46"/>
      <c r="T44" s="34"/>
      <c r="U44" s="173"/>
      <c r="V44" s="1258"/>
      <c r="W44" s="1166"/>
      <c r="X44" s="1166"/>
      <c r="Y44" s="1166"/>
      <c r="Z44" s="1166"/>
      <c r="AA44" s="1166"/>
      <c r="AB44" s="1259"/>
    </row>
    <row r="45" spans="2:28" s="19" customFormat="1" ht="31.5" hidden="1" customHeight="1" x14ac:dyDescent="0.2">
      <c r="B45" s="168"/>
      <c r="C45" s="26"/>
      <c r="D45" s="27"/>
      <c r="E45" s="28"/>
      <c r="F45" s="29"/>
      <c r="G45" s="30"/>
      <c r="H45" s="29"/>
      <c r="I45" s="31"/>
      <c r="J45" s="32"/>
      <c r="K45" s="32"/>
      <c r="L45" s="32"/>
      <c r="M45" s="32"/>
      <c r="N45" s="32"/>
      <c r="O45" s="33"/>
      <c r="P45" s="32"/>
      <c r="Q45" s="129"/>
      <c r="R45" s="34"/>
      <c r="S45" s="46"/>
      <c r="T45" s="34"/>
      <c r="U45" s="173"/>
      <c r="V45" s="1258"/>
      <c r="W45" s="1166"/>
      <c r="X45" s="1166"/>
      <c r="Y45" s="1166"/>
      <c r="Z45" s="1166"/>
      <c r="AA45" s="1166"/>
      <c r="AB45" s="1259"/>
    </row>
    <row r="46" spans="2:28" s="19" customFormat="1" ht="31.5" hidden="1" customHeight="1" x14ac:dyDescent="0.2">
      <c r="B46" s="168"/>
      <c r="C46" s="26"/>
      <c r="D46" s="27"/>
      <c r="E46" s="28"/>
      <c r="F46" s="29"/>
      <c r="G46" s="30"/>
      <c r="H46" s="29"/>
      <c r="I46" s="31"/>
      <c r="J46" s="32"/>
      <c r="K46" s="32"/>
      <c r="L46" s="32"/>
      <c r="M46" s="32"/>
      <c r="N46" s="32"/>
      <c r="O46" s="33"/>
      <c r="P46" s="32"/>
      <c r="Q46" s="129"/>
      <c r="R46" s="34"/>
      <c r="S46" s="46"/>
      <c r="T46" s="34"/>
      <c r="U46" s="173"/>
      <c r="V46" s="1258"/>
      <c r="W46" s="1166"/>
      <c r="X46" s="1166"/>
      <c r="Y46" s="1166"/>
      <c r="Z46" s="1166"/>
      <c r="AA46" s="1166"/>
      <c r="AB46" s="1259"/>
    </row>
    <row r="47" spans="2:28" s="19" customFormat="1" ht="31.5" hidden="1" customHeight="1" x14ac:dyDescent="0.2">
      <c r="B47" s="168"/>
      <c r="C47" s="26"/>
      <c r="D47" s="27"/>
      <c r="E47" s="28"/>
      <c r="F47" s="29"/>
      <c r="G47" s="30"/>
      <c r="H47" s="29"/>
      <c r="I47" s="31"/>
      <c r="J47" s="32"/>
      <c r="K47" s="32"/>
      <c r="L47" s="32"/>
      <c r="M47" s="32"/>
      <c r="N47" s="32"/>
      <c r="O47" s="33"/>
      <c r="P47" s="32"/>
      <c r="Q47" s="129"/>
      <c r="R47" s="34"/>
      <c r="S47" s="46"/>
      <c r="T47" s="34"/>
      <c r="U47" s="173"/>
      <c r="V47" s="1258"/>
      <c r="W47" s="1166"/>
      <c r="X47" s="1166"/>
      <c r="Y47" s="1166"/>
      <c r="Z47" s="1166"/>
      <c r="AA47" s="1166"/>
      <c r="AB47" s="1259"/>
    </row>
    <row r="48" spans="2:28" s="19" customFormat="1" ht="31.5" hidden="1" customHeight="1" x14ac:dyDescent="0.2">
      <c r="B48" s="168"/>
      <c r="C48" s="26"/>
      <c r="D48" s="27"/>
      <c r="E48" s="28"/>
      <c r="F48" s="29"/>
      <c r="G48" s="30"/>
      <c r="H48" s="29"/>
      <c r="I48" s="31"/>
      <c r="J48" s="32"/>
      <c r="K48" s="32"/>
      <c r="L48" s="32"/>
      <c r="M48" s="32"/>
      <c r="N48" s="32"/>
      <c r="O48" s="33"/>
      <c r="P48" s="32"/>
      <c r="Q48" s="129"/>
      <c r="R48" s="34"/>
      <c r="S48" s="46"/>
      <c r="T48" s="34"/>
      <c r="U48" s="173"/>
      <c r="V48" s="1258"/>
      <c r="W48" s="1166"/>
      <c r="X48" s="1166"/>
      <c r="Y48" s="1166"/>
      <c r="Z48" s="1166"/>
      <c r="AA48" s="1166"/>
      <c r="AB48" s="1259"/>
    </row>
    <row r="49" spans="2:28" s="19" customFormat="1" ht="31.5" hidden="1" customHeight="1" x14ac:dyDescent="0.2">
      <c r="B49" s="168"/>
      <c r="C49" s="26"/>
      <c r="D49" s="27"/>
      <c r="E49" s="28"/>
      <c r="F49" s="29"/>
      <c r="G49" s="30"/>
      <c r="H49" s="29"/>
      <c r="I49" s="31"/>
      <c r="J49" s="32"/>
      <c r="K49" s="32"/>
      <c r="L49" s="32"/>
      <c r="M49" s="32"/>
      <c r="N49" s="32"/>
      <c r="O49" s="33"/>
      <c r="P49" s="32"/>
      <c r="Q49" s="129"/>
      <c r="R49" s="34"/>
      <c r="S49" s="46"/>
      <c r="T49" s="34"/>
      <c r="U49" s="173"/>
      <c r="V49" s="1258"/>
      <c r="W49" s="1166"/>
      <c r="X49" s="1166"/>
      <c r="Y49" s="1166"/>
      <c r="Z49" s="1166"/>
      <c r="AA49" s="1166"/>
      <c r="AB49" s="1259"/>
    </row>
    <row r="50" spans="2:28" s="19" customFormat="1" ht="31.5" hidden="1" customHeight="1" x14ac:dyDescent="0.2">
      <c r="B50" s="168"/>
      <c r="C50" s="26"/>
      <c r="D50" s="27"/>
      <c r="E50" s="28"/>
      <c r="F50" s="29"/>
      <c r="G50" s="30"/>
      <c r="H50" s="29"/>
      <c r="I50" s="31"/>
      <c r="J50" s="32"/>
      <c r="K50" s="32"/>
      <c r="L50" s="32"/>
      <c r="M50" s="32"/>
      <c r="N50" s="32"/>
      <c r="O50" s="33"/>
      <c r="P50" s="32"/>
      <c r="Q50" s="129"/>
      <c r="R50" s="34"/>
      <c r="S50" s="46"/>
      <c r="T50" s="34"/>
      <c r="U50" s="173"/>
      <c r="V50" s="1258"/>
      <c r="W50" s="1166"/>
      <c r="X50" s="1166"/>
      <c r="Y50" s="1166"/>
      <c r="Z50" s="1166"/>
      <c r="AA50" s="1166"/>
      <c r="AB50" s="1259"/>
    </row>
    <row r="51" spans="2:28" s="19" customFormat="1" ht="31.5" hidden="1" customHeight="1" x14ac:dyDescent="0.2">
      <c r="B51" s="168"/>
      <c r="C51" s="26"/>
      <c r="D51" s="27"/>
      <c r="E51" s="28"/>
      <c r="F51" s="29"/>
      <c r="G51" s="30"/>
      <c r="H51" s="29"/>
      <c r="I51" s="31"/>
      <c r="J51" s="32"/>
      <c r="K51" s="32"/>
      <c r="L51" s="32"/>
      <c r="M51" s="32"/>
      <c r="N51" s="32"/>
      <c r="O51" s="33"/>
      <c r="P51" s="32"/>
      <c r="Q51" s="129"/>
      <c r="R51" s="34"/>
      <c r="S51" s="46"/>
      <c r="T51" s="34"/>
      <c r="U51" s="173"/>
      <c r="V51" s="1258"/>
      <c r="W51" s="1166"/>
      <c r="X51" s="1166"/>
      <c r="Y51" s="1166"/>
      <c r="Z51" s="1166"/>
      <c r="AA51" s="1166"/>
      <c r="AB51" s="1259"/>
    </row>
    <row r="52" spans="2:28" s="19" customFormat="1" ht="31.5" hidden="1" customHeight="1" x14ac:dyDescent="0.2">
      <c r="B52" s="168"/>
      <c r="C52" s="26"/>
      <c r="D52" s="27"/>
      <c r="E52" s="28"/>
      <c r="F52" s="29"/>
      <c r="G52" s="30"/>
      <c r="H52" s="29"/>
      <c r="I52" s="31"/>
      <c r="J52" s="32"/>
      <c r="K52" s="32"/>
      <c r="L52" s="32"/>
      <c r="M52" s="32"/>
      <c r="N52" s="32"/>
      <c r="O52" s="33"/>
      <c r="P52" s="32"/>
      <c r="Q52" s="129"/>
      <c r="R52" s="34"/>
      <c r="S52" s="46"/>
      <c r="T52" s="34"/>
      <c r="U52" s="173"/>
      <c r="V52" s="1258"/>
      <c r="W52" s="1166"/>
      <c r="X52" s="1166"/>
      <c r="Y52" s="1166"/>
      <c r="Z52" s="1166"/>
      <c r="AA52" s="1166"/>
      <c r="AB52" s="1259"/>
    </row>
    <row r="53" spans="2:28" s="19" customFormat="1" ht="31.5" hidden="1" customHeight="1" x14ac:dyDescent="0.2">
      <c r="B53" s="168"/>
      <c r="C53" s="26"/>
      <c r="D53" s="27"/>
      <c r="E53" s="28"/>
      <c r="F53" s="29"/>
      <c r="G53" s="30"/>
      <c r="H53" s="29"/>
      <c r="I53" s="31"/>
      <c r="J53" s="32"/>
      <c r="K53" s="32"/>
      <c r="L53" s="32"/>
      <c r="M53" s="32"/>
      <c r="N53" s="32"/>
      <c r="O53" s="33"/>
      <c r="P53" s="32"/>
      <c r="Q53" s="129"/>
      <c r="R53" s="34"/>
      <c r="S53" s="46"/>
      <c r="T53" s="34"/>
      <c r="U53" s="173"/>
      <c r="V53" s="1258"/>
      <c r="W53" s="1166"/>
      <c r="X53" s="1166"/>
      <c r="Y53" s="1166"/>
      <c r="Z53" s="1166"/>
      <c r="AA53" s="1166"/>
      <c r="AB53" s="1259"/>
    </row>
    <row r="54" spans="2:28" s="19" customFormat="1" ht="31.5" hidden="1" customHeight="1" x14ac:dyDescent="0.2">
      <c r="B54" s="168"/>
      <c r="C54" s="26"/>
      <c r="D54" s="27"/>
      <c r="E54" s="28"/>
      <c r="F54" s="29"/>
      <c r="G54" s="30"/>
      <c r="H54" s="29"/>
      <c r="I54" s="31"/>
      <c r="J54" s="32"/>
      <c r="K54" s="32"/>
      <c r="L54" s="32"/>
      <c r="M54" s="32"/>
      <c r="N54" s="32"/>
      <c r="O54" s="33"/>
      <c r="P54" s="32"/>
      <c r="Q54" s="129"/>
      <c r="R54" s="34"/>
      <c r="S54" s="46"/>
      <c r="T54" s="34"/>
      <c r="U54" s="173"/>
      <c r="V54" s="1258"/>
      <c r="W54" s="1166"/>
      <c r="X54" s="1166"/>
      <c r="Y54" s="1166"/>
      <c r="Z54" s="1166"/>
      <c r="AA54" s="1166"/>
      <c r="AB54" s="1259"/>
    </row>
    <row r="55" spans="2:28" s="19" customFormat="1" ht="31.5" hidden="1" customHeight="1" x14ac:dyDescent="0.2">
      <c r="B55" s="168"/>
      <c r="C55" s="26"/>
      <c r="D55" s="27"/>
      <c r="E55" s="28"/>
      <c r="F55" s="29"/>
      <c r="G55" s="30"/>
      <c r="H55" s="29"/>
      <c r="I55" s="31"/>
      <c r="J55" s="32"/>
      <c r="K55" s="32"/>
      <c r="L55" s="32"/>
      <c r="M55" s="32"/>
      <c r="N55" s="32"/>
      <c r="O55" s="33"/>
      <c r="P55" s="32"/>
      <c r="Q55" s="129"/>
      <c r="R55" s="34"/>
      <c r="S55" s="46"/>
      <c r="T55" s="34" t="e">
        <f>G55*24/(K55/60)/15400</f>
        <v>#DIV/0!</v>
      </c>
      <c r="U55" s="173"/>
      <c r="V55" s="1258"/>
      <c r="W55" s="1166"/>
      <c r="X55" s="1166"/>
      <c r="Y55" s="1166"/>
      <c r="Z55" s="1166"/>
      <c r="AA55" s="1166"/>
      <c r="AB55" s="1259"/>
    </row>
    <row r="56" spans="2:28" s="19" customFormat="1" ht="31.5" hidden="1" customHeight="1" x14ac:dyDescent="0.2">
      <c r="B56" s="168"/>
      <c r="C56" s="26"/>
      <c r="D56" s="27"/>
      <c r="E56" s="28"/>
      <c r="F56" s="29"/>
      <c r="G56" s="30"/>
      <c r="H56" s="29"/>
      <c r="I56" s="31"/>
      <c r="J56" s="32"/>
      <c r="K56" s="32"/>
      <c r="L56" s="32"/>
      <c r="M56" s="32"/>
      <c r="N56" s="172"/>
      <c r="O56" s="33"/>
      <c r="P56" s="32"/>
      <c r="Q56" s="129"/>
      <c r="R56" s="34"/>
      <c r="S56" s="46"/>
      <c r="T56" s="34" t="e">
        <f>G56*24/(K56/60)/15400</f>
        <v>#DIV/0!</v>
      </c>
      <c r="U56" s="173"/>
      <c r="V56" s="1258"/>
      <c r="W56" s="1166"/>
      <c r="X56" s="1166"/>
      <c r="Y56" s="1166"/>
      <c r="Z56" s="1166"/>
      <c r="AA56" s="1166"/>
      <c r="AB56" s="1259"/>
    </row>
    <row r="57" spans="2:28" s="19" customFormat="1" ht="30" hidden="1" customHeight="1" x14ac:dyDescent="0.2">
      <c r="B57" s="168"/>
      <c r="C57" s="26"/>
      <c r="D57" s="27"/>
      <c r="E57" s="28"/>
      <c r="F57" s="29"/>
      <c r="G57" s="30"/>
      <c r="H57" s="29"/>
      <c r="I57" s="31"/>
      <c r="J57" s="32"/>
      <c r="K57" s="32"/>
      <c r="L57" s="32"/>
      <c r="M57" s="32"/>
      <c r="N57" s="32"/>
      <c r="O57" s="33"/>
      <c r="P57" s="32"/>
      <c r="Q57" s="46"/>
      <c r="R57" s="34"/>
      <c r="S57" s="46"/>
      <c r="T57" s="34"/>
      <c r="U57" s="173"/>
      <c r="V57" s="1258"/>
      <c r="W57" s="1166"/>
      <c r="X57" s="1166"/>
      <c r="Y57" s="1166"/>
      <c r="Z57" s="1166"/>
      <c r="AA57" s="1166"/>
      <c r="AB57" s="1259"/>
    </row>
    <row r="58" spans="2:28" s="19" customFormat="1" ht="21" hidden="1" customHeight="1" x14ac:dyDescent="0.2">
      <c r="B58" s="168"/>
      <c r="C58" s="26"/>
      <c r="D58" s="27"/>
      <c r="E58" s="28"/>
      <c r="F58" s="29"/>
      <c r="G58" s="30"/>
      <c r="H58" s="29"/>
      <c r="I58" s="31"/>
      <c r="J58" s="32"/>
      <c r="K58" s="32"/>
      <c r="L58" s="32"/>
      <c r="M58" s="32"/>
      <c r="N58" s="32"/>
      <c r="O58" s="33"/>
      <c r="P58" s="32"/>
      <c r="Q58" s="46"/>
      <c r="R58" s="34"/>
      <c r="S58" s="46"/>
      <c r="T58" s="34"/>
      <c r="U58" s="173"/>
      <c r="V58" s="1258"/>
      <c r="W58" s="1166"/>
      <c r="X58" s="1166"/>
      <c r="Y58" s="1166"/>
      <c r="Z58" s="1166"/>
      <c r="AA58" s="1166"/>
      <c r="AB58" s="1259"/>
    </row>
    <row r="59" spans="2:28" s="19" customFormat="1" ht="21" hidden="1" customHeight="1" thickBot="1" x14ac:dyDescent="0.25">
      <c r="B59" s="168"/>
      <c r="C59" s="75"/>
      <c r="D59" s="71"/>
      <c r="E59" s="73"/>
      <c r="F59" s="76"/>
      <c r="G59" s="77"/>
      <c r="H59" s="76"/>
      <c r="I59" s="78"/>
      <c r="J59" s="72"/>
      <c r="K59" s="72"/>
      <c r="L59" s="72"/>
      <c r="M59" s="72"/>
      <c r="N59" s="72"/>
      <c r="O59" s="79"/>
      <c r="P59" s="80"/>
      <c r="Q59" s="70"/>
      <c r="R59" s="81"/>
      <c r="S59" s="70"/>
      <c r="T59" s="174"/>
      <c r="U59" s="175"/>
      <c r="V59" s="1258"/>
      <c r="W59" s="1166"/>
      <c r="X59" s="1166"/>
      <c r="Y59" s="1166"/>
      <c r="Z59" s="1166"/>
      <c r="AA59" s="1166"/>
      <c r="AB59" s="1259"/>
    </row>
    <row r="60" spans="2:28" s="19" customFormat="1" ht="21" customHeight="1" thickBot="1" x14ac:dyDescent="0.35">
      <c r="B60" s="35" t="s">
        <v>3</v>
      </c>
      <c r="C60" s="36"/>
      <c r="D60" s="57">
        <f>SUM(D4:D58)</f>
        <v>106100</v>
      </c>
      <c r="E60" s="58">
        <f>AVERAGE(E4:E58)</f>
        <v>0.3230555555555556</v>
      </c>
      <c r="F60" s="59">
        <f>SUM(F4:F58)</f>
        <v>7001.922999999997</v>
      </c>
      <c r="G60" s="57">
        <f>SUM(G4:G58)</f>
        <v>102846</v>
      </c>
      <c r="H60" s="59">
        <f>SUM(H4:H58)</f>
        <v>6956.1921999999977</v>
      </c>
      <c r="I60" s="60">
        <f>SUM(I4:I58)</f>
        <v>412.33</v>
      </c>
      <c r="J60" s="61">
        <f>G60/(K60/60)</f>
        <v>475.5884393063584</v>
      </c>
      <c r="K60" s="57">
        <f>SUM(K4:K58)</f>
        <v>12975</v>
      </c>
      <c r="L60" s="135">
        <f>AVERAGE(L4:L59)</f>
        <v>0.82423611111111106</v>
      </c>
      <c r="M60" s="57">
        <f>SUM(M4:M58)</f>
        <v>2612</v>
      </c>
      <c r="N60" s="60">
        <f>SUM(N4:N59)</f>
        <v>375</v>
      </c>
      <c r="O60" s="87">
        <f>(F60-H60)/F60</f>
        <v>6.5311772208862312E-3</v>
      </c>
      <c r="P60" s="62">
        <f>SUM(P4:P58)</f>
        <v>0</v>
      </c>
      <c r="Q60" s="63">
        <f>AVERAGE(Q4:Q56)</f>
        <v>0.73710314152195178</v>
      </c>
      <c r="R60" s="64"/>
      <c r="S60" s="63">
        <f>(G60)*24/(K60/60)/15000</f>
        <v>0.76094150289017348</v>
      </c>
      <c r="T60" s="63">
        <f>H60*24/(M60/60)/15000</f>
        <v>0.25566403185298614</v>
      </c>
      <c r="U60" s="164">
        <f>(G60)*24/(K60/60)/17000</f>
        <v>0.67141897313838828</v>
      </c>
      <c r="V60" s="1264"/>
      <c r="W60" s="1265"/>
      <c r="X60" s="1265"/>
      <c r="Y60" s="1265"/>
      <c r="Z60" s="1265"/>
      <c r="AA60" s="1265"/>
      <c r="AB60" s="1266"/>
    </row>
    <row r="61" spans="2:28" ht="21.75" customHeight="1" thickTop="1" x14ac:dyDescent="0.25">
      <c r="B61" s="11"/>
      <c r="C61" s="150" t="s">
        <v>35</v>
      </c>
      <c r="D61" s="210">
        <v>83390</v>
      </c>
      <c r="E61" s="1081" t="s">
        <v>388</v>
      </c>
      <c r="F61" s="1081"/>
      <c r="G61" s="210">
        <f>D61-G60</f>
        <v>-19456</v>
      </c>
      <c r="H61" s="150" t="s">
        <v>327</v>
      </c>
      <c r="I61" s="211">
        <f>G60/D61</f>
        <v>1.2333133469240916</v>
      </c>
      <c r="J61" s="151">
        <v>0</v>
      </c>
      <c r="K61" s="12"/>
      <c r="L61" s="12"/>
      <c r="M61" s="12"/>
      <c r="N61" s="13"/>
      <c r="O61" s="14"/>
      <c r="P61" s="12"/>
      <c r="Q61" s="15"/>
      <c r="R61" s="16"/>
      <c r="S61" s="15"/>
      <c r="T61" s="15"/>
      <c r="U61" s="15"/>
      <c r="V61" s="17" t="s">
        <v>48</v>
      </c>
    </row>
    <row r="62" spans="2:28" ht="20.25" customHeight="1" x14ac:dyDescent="0.25">
      <c r="B62" s="11"/>
      <c r="C62" s="150" t="s">
        <v>37</v>
      </c>
      <c r="D62" s="210">
        <f>D61+November_16!D62</f>
        <v>883100</v>
      </c>
      <c r="E62" s="1081" t="s">
        <v>36</v>
      </c>
      <c r="F62" s="1081"/>
      <c r="G62" s="210">
        <f>November_16!G62+December_16!G60</f>
        <v>991489.54166666674</v>
      </c>
      <c r="H62" s="150" t="s">
        <v>326</v>
      </c>
      <c r="I62" s="212">
        <v>0</v>
      </c>
      <c r="J62" s="152"/>
      <c r="K62" s="12">
        <v>0</v>
      </c>
      <c r="L62" s="12"/>
      <c r="M62" s="12"/>
      <c r="N62" s="13"/>
      <c r="O62" s="14"/>
      <c r="P62" s="12"/>
      <c r="Q62" s="15"/>
      <c r="R62" s="16"/>
      <c r="S62" s="15"/>
      <c r="T62" s="15"/>
      <c r="U62" s="15"/>
      <c r="V62" s="17"/>
    </row>
    <row r="63" spans="2:28" ht="6.75" customHeight="1" thickBot="1" x14ac:dyDescent="0.3">
      <c r="C63" s="23"/>
      <c r="D63" s="42"/>
      <c r="E63" s="1082"/>
      <c r="F63" s="1082"/>
      <c r="G63" s="42"/>
      <c r="H63" s="44"/>
      <c r="I63" s="44"/>
      <c r="J63" s="149"/>
      <c r="N63"/>
      <c r="Q63" s="10"/>
      <c r="V63" s="17"/>
    </row>
    <row r="64" spans="2:28" ht="48.75" customHeight="1" thickTop="1" thickBot="1" x14ac:dyDescent="0.25">
      <c r="B64" s="7"/>
      <c r="C64" s="206" t="s">
        <v>19</v>
      </c>
      <c r="D64" s="207" t="s">
        <v>14</v>
      </c>
      <c r="E64" s="207" t="s">
        <v>23</v>
      </c>
      <c r="F64" s="207" t="s">
        <v>24</v>
      </c>
      <c r="G64" s="208" t="s">
        <v>15</v>
      </c>
      <c r="H64" s="207" t="s">
        <v>17</v>
      </c>
      <c r="I64" s="207" t="s">
        <v>16</v>
      </c>
      <c r="J64" s="209" t="s">
        <v>316</v>
      </c>
      <c r="N64"/>
      <c r="O64" s="141" t="s">
        <v>325</v>
      </c>
      <c r="P64" s="90" t="s">
        <v>320</v>
      </c>
      <c r="Q64" s="90" t="s">
        <v>321</v>
      </c>
      <c r="R64" s="142"/>
      <c r="S64" s="90" t="s">
        <v>323</v>
      </c>
      <c r="T64" s="142"/>
      <c r="U64" s="143" t="s">
        <v>324</v>
      </c>
      <c r="W64" s="165" t="s">
        <v>375</v>
      </c>
      <c r="X64" s="166" t="s">
        <v>376</v>
      </c>
      <c r="Y64" s="166" t="s">
        <v>377</v>
      </c>
      <c r="Z64" s="167" t="s">
        <v>378</v>
      </c>
    </row>
    <row r="65" spans="2:27" ht="18.75" thickBot="1" x14ac:dyDescent="0.3">
      <c r="B65" s="8"/>
      <c r="C65" s="201">
        <v>1</v>
      </c>
      <c r="D65" s="202" t="s">
        <v>20</v>
      </c>
      <c r="E65" s="182">
        <f>SUM(G5,G10:G11,G12,G13,G16:G17,G18,G19,G20,G22:G23,G31,G32,G33:G34)</f>
        <v>56226</v>
      </c>
      <c r="F65" s="183">
        <f>SUM(K5,K9,K12,K13,K16,K18,K19,K20,K22,K31,K32,K33)</f>
        <v>7325</v>
      </c>
      <c r="G65" s="184">
        <f>SUM(F5,F10:F11,F12,F13,F16:F17,F18,F19,F20,F22:F23,F31,F32,F33:F34)</f>
        <v>3769.2999999999997</v>
      </c>
      <c r="H65" s="184">
        <f>SUM(H5,H10:H11,H12,H13,H16:H17,H18,H19,H20,H22:H23,H31,H32,H33:H34)</f>
        <v>3748.5359999999996</v>
      </c>
      <c r="I65" s="185">
        <f t="shared" ref="I65:I70" si="0">(G65-H65)/G65</f>
        <v>5.5087151460483713E-3</v>
      </c>
      <c r="J65" s="186">
        <f>(E65+G9+G14+G21+G24)*24/(F65/60)/15000</f>
        <v>0.81459112627986352</v>
      </c>
      <c r="N65"/>
      <c r="O65" s="144">
        <f>S79</f>
        <v>9.3818169149258689E-3</v>
      </c>
      <c r="P65" s="145"/>
      <c r="Q65" s="146">
        <f>AVERAGE(January_16!P59,February_16!P58,March_16!P58,April_16!P58,May_16!Q60,June_16!Q60,July_16!Q60,August_16!Q60,September_16!Q60,October_16!Q60,November_16!Q60,December_16!Q60)</f>
        <v>0.64680307993219044</v>
      </c>
      <c r="R65" s="147"/>
      <c r="S65" s="145">
        <f>S78</f>
        <v>0.66999138428617677</v>
      </c>
      <c r="T65" s="147"/>
      <c r="U65" s="148">
        <f>U78</f>
        <v>0.59116886848780303</v>
      </c>
      <c r="W65" s="176" t="s">
        <v>370</v>
      </c>
      <c r="X65" s="178"/>
      <c r="Y65" s="178">
        <f>[18]December_2016!$F85</f>
        <v>7.3709903320920797E-2</v>
      </c>
      <c r="Z65" s="179">
        <f>[18]YearToDate!$F5</f>
        <v>7.9509701064762531E-2</v>
      </c>
    </row>
    <row r="66" spans="2:27" s="1" customFormat="1" ht="18.75" thickTop="1" x14ac:dyDescent="0.25">
      <c r="B66" s="8"/>
      <c r="C66" s="203">
        <v>2</v>
      </c>
      <c r="D66" s="204" t="s">
        <v>21</v>
      </c>
      <c r="E66" s="182">
        <f>SUM(G6,G7,G25,G35)</f>
        <v>15916</v>
      </c>
      <c r="F66" s="183">
        <f>SUM(K6,K7,K25,K35)</f>
        <v>3030</v>
      </c>
      <c r="G66" s="184">
        <f>SUM(F6,F7,F25,F35)</f>
        <v>1055.1000000000001</v>
      </c>
      <c r="H66" s="184">
        <f>SUM(H6,H7,H25,H35)</f>
        <v>1050.4560000000001</v>
      </c>
      <c r="I66" s="185">
        <f t="shared" si="0"/>
        <v>4.4014785328404934E-3</v>
      </c>
      <c r="J66" s="186">
        <f>(E66+G8+G36)*24/(F66/60)/15000</f>
        <v>0.69474851485148514</v>
      </c>
      <c r="K66"/>
      <c r="L66"/>
      <c r="M66"/>
      <c r="N66" s="2"/>
      <c r="R66"/>
      <c r="S66"/>
      <c r="T66"/>
      <c r="U66"/>
      <c r="V66"/>
      <c r="W66" s="213" t="s">
        <v>371</v>
      </c>
      <c r="X66" s="216"/>
      <c r="Y66" s="215">
        <f>[18]December_2016!$F86</f>
        <v>0.13842015707778843</v>
      </c>
      <c r="Z66" s="214">
        <f>[18]YearToDate!$F6</f>
        <v>7.7432737220350351E-2</v>
      </c>
      <c r="AA66"/>
    </row>
    <row r="67" spans="2:27" s="1" customFormat="1" ht="18" x14ac:dyDescent="0.25">
      <c r="B67" s="8"/>
      <c r="C67" s="201">
        <v>3</v>
      </c>
      <c r="D67" s="204" t="s">
        <v>124</v>
      </c>
      <c r="E67" s="187"/>
      <c r="F67" s="188"/>
      <c r="G67" s="189"/>
      <c r="H67" s="189"/>
      <c r="I67" s="190" t="e">
        <f t="shared" si="0"/>
        <v>#DIV/0!</v>
      </c>
      <c r="J67" s="191" t="e">
        <f>(E67)*24/(F67/60)/15000</f>
        <v>#DIV/0!</v>
      </c>
      <c r="K67"/>
      <c r="L67"/>
      <c r="M67"/>
      <c r="N67" s="2"/>
      <c r="R67"/>
      <c r="S67"/>
      <c r="T67"/>
      <c r="U67"/>
      <c r="V67"/>
      <c r="W67" s="177" t="s">
        <v>372</v>
      </c>
      <c r="X67" s="217"/>
      <c r="Y67" s="180">
        <f>[18]December_2016!$F87</f>
        <v>6.8488549216971201E-2</v>
      </c>
      <c r="Z67" s="181">
        <f>[18]YearToDate!$F7</f>
        <v>6.255717418614444E-2</v>
      </c>
      <c r="AA67"/>
    </row>
    <row r="68" spans="2:27" s="1" customFormat="1" ht="18" x14ac:dyDescent="0.25">
      <c r="B68" s="8"/>
      <c r="C68" s="203">
        <v>4</v>
      </c>
      <c r="D68" s="204" t="s">
        <v>18</v>
      </c>
      <c r="E68" s="182">
        <f>SUM(G4,G8,G9,G15,G37)</f>
        <v>21826</v>
      </c>
      <c r="F68" s="183">
        <f>SUM(K4,K7,K9,K15,K37)</f>
        <v>3712</v>
      </c>
      <c r="G68" s="182">
        <f>SUM(F4,F8,F9,F15,F37)</f>
        <v>1533.1999999999998</v>
      </c>
      <c r="H68" s="182">
        <f>SUM(H4,H8,H9,H15,H37)</f>
        <v>1523.1132</v>
      </c>
      <c r="I68" s="185">
        <f t="shared" si="0"/>
        <v>6.5789199060786677E-3</v>
      </c>
      <c r="J68" s="186">
        <f>(E68+G7+G10+G11)*24/(F68/60)/15000</f>
        <v>0.76417241379310352</v>
      </c>
      <c r="K68"/>
      <c r="L68"/>
      <c r="M68"/>
      <c r="N68" s="2"/>
      <c r="O68" s="159"/>
      <c r="P68" s="159"/>
      <c r="Q68" s="159"/>
      <c r="R68" s="160"/>
      <c r="S68" s="160"/>
      <c r="T68" s="161"/>
      <c r="U68" s="161"/>
      <c r="V68"/>
      <c r="W68" s="213" t="s">
        <v>373</v>
      </c>
      <c r="X68" s="216"/>
      <c r="Y68" s="215">
        <f>[18]December_2016!$F88</f>
        <v>9.3422293606252746E-2</v>
      </c>
      <c r="Z68" s="214">
        <f>[18]YearToDate!$F8</f>
        <v>8.7179259939499112E-2</v>
      </c>
    </row>
    <row r="69" spans="2:27" s="1" customFormat="1" ht="18" x14ac:dyDescent="0.25">
      <c r="B69" s="8"/>
      <c r="C69" s="201">
        <v>5</v>
      </c>
      <c r="D69" s="205" t="s">
        <v>26</v>
      </c>
      <c r="E69" s="192">
        <f>SUM(G14,G21,G24,G36)</f>
        <v>5175</v>
      </c>
      <c r="F69" s="193">
        <f>SUM(K13,K20,K22,K35)</f>
        <v>2406</v>
      </c>
      <c r="G69" s="194">
        <f>SUM(F14,F21,F24,F36)</f>
        <v>346.5</v>
      </c>
      <c r="H69" s="194">
        <f>SUM(H14,H21,H24,H36)</f>
        <v>341.55</v>
      </c>
      <c r="I69" s="185">
        <f t="shared" si="0"/>
        <v>1.4285714285714252E-2</v>
      </c>
      <c r="J69" s="186">
        <f>(E69+G13+G20+G22+G23+G35)*24/(F69/60)/15000</f>
        <v>0.70300249376558599</v>
      </c>
      <c r="K69"/>
      <c r="L69"/>
      <c r="M69"/>
      <c r="N69" s="2"/>
      <c r="O69" s="159"/>
      <c r="R69"/>
      <c r="S69"/>
      <c r="T69" s="6"/>
      <c r="U69" s="6"/>
      <c r="V69"/>
      <c r="W69" s="177" t="s">
        <v>374</v>
      </c>
      <c r="X69" s="217">
        <f>[18]December_2016!$F$37</f>
        <v>0.14329304918190336</v>
      </c>
      <c r="Y69" s="180">
        <f>[18]December_2016!$F89</f>
        <v>8.7318214021802884E-2</v>
      </c>
      <c r="Z69" s="181">
        <f>[18]YearToDate!$F9</f>
        <v>6.918802216765621E-2</v>
      </c>
    </row>
    <row r="70" spans="2:27" s="1" customFormat="1" ht="18.75" thickBot="1" x14ac:dyDescent="0.3">
      <c r="B70" s="8"/>
      <c r="C70" s="203">
        <v>6</v>
      </c>
      <c r="D70" s="205" t="s">
        <v>25</v>
      </c>
      <c r="E70" s="192">
        <f>SUM(G26:G30)</f>
        <v>3703</v>
      </c>
      <c r="F70" s="193">
        <f>SUM(K26)</f>
        <v>660</v>
      </c>
      <c r="G70" s="194">
        <f>SUM(F26:F30)</f>
        <v>297.82299999999998</v>
      </c>
      <c r="H70" s="194">
        <f>SUM(H26:H30)</f>
        <v>292.53699999999998</v>
      </c>
      <c r="I70" s="185">
        <f t="shared" si="0"/>
        <v>1.7748797104320358E-2</v>
      </c>
      <c r="J70" s="186">
        <f>(E70)*24/(F70/60)/15000</f>
        <v>0.53861818181818177</v>
      </c>
      <c r="K70"/>
      <c r="L70"/>
      <c r="M70"/>
      <c r="N70" s="2"/>
      <c r="O70" s="159"/>
      <c r="R70"/>
      <c r="S70"/>
      <c r="T70"/>
      <c r="U70"/>
      <c r="V70"/>
      <c r="W70" s="218" t="s">
        <v>25</v>
      </c>
      <c r="X70" s="219"/>
      <c r="Y70" s="219">
        <f>[18]December_2016!$F90</f>
        <v>0.10187501230969216</v>
      </c>
      <c r="Z70" s="220">
        <f>[18]YearToDate!$F10</f>
        <v>6.4765560900880717E-2</v>
      </c>
    </row>
    <row r="71" spans="2:27" s="1" customFormat="1" ht="19.5" thickTop="1" thickBot="1" x14ac:dyDescent="0.3">
      <c r="C71" s="112"/>
      <c r="D71" s="195" t="s">
        <v>22</v>
      </c>
      <c r="E71" s="196">
        <f>SUM(E65:E70)</f>
        <v>102846</v>
      </c>
      <c r="F71" s="197">
        <f>K60</f>
        <v>12975</v>
      </c>
      <c r="G71" s="198">
        <f>SUM(G65:G70)</f>
        <v>7001.9229999999998</v>
      </c>
      <c r="H71" s="198">
        <f>SUM(H65:H70)</f>
        <v>6956.1922000000004</v>
      </c>
      <c r="I71" s="199">
        <f>((G71)-(H71))/(G71)</f>
        <v>6.5311772208862286E-3</v>
      </c>
      <c r="J71" s="200">
        <f>E71*24/(F71/60)/15000</f>
        <v>0.76094150289017348</v>
      </c>
      <c r="K71"/>
      <c r="L71"/>
      <c r="M71"/>
      <c r="N71" s="139"/>
      <c r="O71" s="159"/>
      <c r="R71"/>
      <c r="S71"/>
      <c r="T71"/>
      <c r="U71"/>
      <c r="V71"/>
      <c r="W71" s="221" t="s">
        <v>379</v>
      </c>
      <c r="X71" s="222">
        <f>AVERAGE(X65:X70)</f>
        <v>0.14329304918190336</v>
      </c>
      <c r="Y71" s="222">
        <f>[18]December_2016!$F92</f>
        <v>8.198122640538448E-2</v>
      </c>
      <c r="Z71" s="223">
        <f>[18]YearToDate!$F12</f>
        <v>7.4573119886108485E-2</v>
      </c>
    </row>
    <row r="72" spans="2:27" s="1" customFormat="1" ht="16.5" thickTop="1" x14ac:dyDescent="0.25">
      <c r="J72"/>
      <c r="K72"/>
      <c r="L72"/>
      <c r="M72"/>
      <c r="N72" s="2"/>
      <c r="O72" s="159"/>
      <c r="R72"/>
      <c r="S72"/>
      <c r="T72"/>
      <c r="U72"/>
      <c r="V72"/>
    </row>
    <row r="73" spans="2:27" s="1" customFormat="1" ht="15.75" x14ac:dyDescent="0.25">
      <c r="E73" s="3"/>
      <c r="F73" s="119"/>
      <c r="G73" s="120"/>
      <c r="H73" s="120"/>
      <c r="I73"/>
      <c r="J73"/>
      <c r="K73"/>
      <c r="L73"/>
      <c r="M73"/>
      <c r="N73" s="2"/>
      <c r="O73" s="159"/>
      <c r="R73"/>
      <c r="S73"/>
      <c r="T73"/>
      <c r="U73"/>
      <c r="V73"/>
    </row>
    <row r="74" spans="2:27" s="1" customFormat="1" ht="13.5" customHeight="1" x14ac:dyDescent="0.25">
      <c r="J74"/>
      <c r="K74"/>
      <c r="L74"/>
      <c r="M74"/>
      <c r="N74" s="2"/>
      <c r="O74" s="159"/>
      <c r="R74"/>
      <c r="S74"/>
      <c r="T74"/>
      <c r="U74"/>
      <c r="V74" s="9"/>
    </row>
    <row r="75" spans="2:27" s="1" customFormat="1" x14ac:dyDescent="0.2">
      <c r="J75"/>
      <c r="K75"/>
      <c r="L75"/>
      <c r="M75"/>
      <c r="N75" s="2"/>
      <c r="V75" s="9"/>
    </row>
    <row r="76" spans="2:27" s="1" customFormat="1" x14ac:dyDescent="0.2">
      <c r="J76"/>
      <c r="K76"/>
      <c r="L76"/>
      <c r="M76"/>
      <c r="N76" s="2"/>
      <c r="V76" s="9"/>
    </row>
    <row r="77" spans="2:27" s="1" customFormat="1" ht="12.75" customHeight="1" x14ac:dyDescent="0.2">
      <c r="J77"/>
      <c r="K77"/>
      <c r="L77"/>
      <c r="M77"/>
      <c r="N77" s="2"/>
      <c r="R77"/>
      <c r="S77"/>
      <c r="T77"/>
      <c r="U77"/>
      <c r="V77" s="9"/>
    </row>
    <row r="78" spans="2:27" s="1" customFormat="1" ht="21" hidden="1" thickBot="1" x14ac:dyDescent="0.25">
      <c r="J78"/>
      <c r="K78"/>
      <c r="L78"/>
      <c r="M78"/>
      <c r="N78" s="2"/>
      <c r="O78" s="3">
        <f>SUM(January_16!G59,February_16!G58,March_16!G58,April_16!G58,May_16!G60,June_16!G60,July_16!G60,August_16!G60,September_16!G60,October_16!G60,November_16!G60,December_16!G60)</f>
        <v>991489.54166666674</v>
      </c>
      <c r="Q78" s="3">
        <f>SUM(January_16!K59,February_16!K58,March_16!K58,April_16!K58,May_16!K60,June_16!K60,July_16!K60,August_16!K60,September_16!K60,October_16!K60,November_16!K60,December_16!K60)</f>
        <v>142066</v>
      </c>
      <c r="R78"/>
      <c r="S78" s="63">
        <f>(O78)*24/(Q78/60)/15000</f>
        <v>0.66999138428617677</v>
      </c>
      <c r="T78"/>
      <c r="U78" s="128">
        <f>(O78)*24/(Q78/60)/17000</f>
        <v>0.59116886848780303</v>
      </c>
      <c r="V78" s="9"/>
    </row>
    <row r="79" spans="2:27" s="1" customFormat="1" ht="21.75" hidden="1" thickTop="1" thickBot="1" x14ac:dyDescent="0.35">
      <c r="J79"/>
      <c r="K79"/>
      <c r="L79"/>
      <c r="M79"/>
      <c r="N79" s="2"/>
      <c r="O79" s="140">
        <f>SUM(January_16!F59,February_16!F58,March_16!F58,April_16!F58,May_16!F60,June_16!F60,July_16!F60,August_16!F60,September_16!F60,October_16!F60,November_16!F60,December_16!F60)</f>
        <v>67660.259971468593</v>
      </c>
      <c r="Q79" s="140">
        <f>SUM(January_16!H59,February_16!H58,March_16!H58,April_16!H58,May_16!H60,June_16!H60,July_16!H60,August_16!H60,September_16!H60,October_16!H60,November_16!H60,December_16!H60)</f>
        <v>67025.483799999987</v>
      </c>
      <c r="R79"/>
      <c r="S79" s="87">
        <f>(O79-Q79)/O79</f>
        <v>9.3818169149258689E-3</v>
      </c>
      <c r="T79"/>
      <c r="U79"/>
      <c r="V79" s="9"/>
    </row>
    <row r="80" spans="2:27" s="1" customFormat="1" x14ac:dyDescent="0.2">
      <c r="J80"/>
      <c r="K80"/>
      <c r="L80"/>
      <c r="M80"/>
      <c r="N80" s="2"/>
      <c r="R80"/>
      <c r="S80"/>
      <c r="T80"/>
      <c r="U80"/>
      <c r="V80" s="9"/>
    </row>
    <row r="81" spans="10:22" s="1" customFormat="1" x14ac:dyDescent="0.2">
      <c r="J81"/>
      <c r="K81"/>
      <c r="L81"/>
      <c r="M81"/>
      <c r="N81" s="2"/>
      <c r="R81"/>
      <c r="S81"/>
      <c r="T81"/>
      <c r="U81"/>
      <c r="V81" s="9"/>
    </row>
    <row r="82" spans="10:22" s="1" customFormat="1" ht="12.75" customHeight="1" x14ac:dyDescent="0.2">
      <c r="J82"/>
      <c r="K82"/>
      <c r="L82"/>
      <c r="M82"/>
      <c r="N82" s="2"/>
      <c r="R82"/>
      <c r="S82"/>
      <c r="T82"/>
      <c r="U82"/>
      <c r="V82" s="9"/>
    </row>
    <row r="83" spans="10:22" s="1" customFormat="1" ht="12.75" customHeight="1" x14ac:dyDescent="0.2">
      <c r="J83"/>
      <c r="K83"/>
      <c r="L83"/>
      <c r="M83"/>
      <c r="N83" s="2"/>
      <c r="R83"/>
      <c r="S83"/>
      <c r="T83"/>
      <c r="U83"/>
      <c r="V83" s="9"/>
    </row>
    <row r="84" spans="10:22" s="1" customFormat="1" ht="12.75" customHeight="1" x14ac:dyDescent="0.2">
      <c r="J84"/>
      <c r="K84"/>
      <c r="L84"/>
      <c r="M84"/>
      <c r="N84" s="2"/>
      <c r="R84"/>
      <c r="S84"/>
      <c r="T84"/>
      <c r="U84"/>
      <c r="V84" s="9"/>
    </row>
    <row r="85" spans="10:22" s="1" customFormat="1" ht="12.75" customHeight="1" x14ac:dyDescent="0.2">
      <c r="J85"/>
      <c r="K85"/>
      <c r="L85"/>
      <c r="M85"/>
      <c r="N85" s="2"/>
      <c r="R85"/>
      <c r="S85"/>
      <c r="T85"/>
      <c r="U85"/>
      <c r="V85" s="9"/>
    </row>
    <row r="86" spans="10:22" s="1" customFormat="1" ht="12.75" customHeight="1" x14ac:dyDescent="0.2">
      <c r="J86"/>
      <c r="K86"/>
      <c r="L86"/>
      <c r="M86"/>
      <c r="N86" s="2"/>
      <c r="R86"/>
      <c r="S86"/>
      <c r="T86"/>
      <c r="U86"/>
      <c r="V86" s="9"/>
    </row>
    <row r="87" spans="10:22" s="1" customFormat="1" x14ac:dyDescent="0.2">
      <c r="J87"/>
      <c r="K87"/>
      <c r="L87"/>
      <c r="M87"/>
      <c r="N87" s="2"/>
      <c r="R87"/>
      <c r="S87"/>
      <c r="T87"/>
      <c r="U87"/>
      <c r="V87"/>
    </row>
    <row r="88" spans="10:22" s="1" customFormat="1" x14ac:dyDescent="0.2">
      <c r="J88"/>
      <c r="K88"/>
      <c r="L88"/>
      <c r="M88"/>
      <c r="N88" s="2"/>
      <c r="R88"/>
      <c r="S88"/>
      <c r="T88"/>
      <c r="U88"/>
      <c r="V88"/>
    </row>
    <row r="89" spans="10:22" s="1" customFormat="1" x14ac:dyDescent="0.2">
      <c r="J89"/>
      <c r="K89"/>
      <c r="L89"/>
      <c r="M89"/>
      <c r="N89" s="2"/>
      <c r="R89"/>
      <c r="S89"/>
      <c r="T89"/>
      <c r="U89"/>
      <c r="V89"/>
    </row>
    <row r="90" spans="10:22" s="1" customFormat="1" x14ac:dyDescent="0.2">
      <c r="J90"/>
      <c r="K90"/>
      <c r="L90"/>
      <c r="M90"/>
      <c r="N90" s="2"/>
      <c r="R90"/>
      <c r="S90"/>
      <c r="T90"/>
      <c r="U90"/>
      <c r="V90"/>
    </row>
    <row r="91" spans="10:22" s="1" customFormat="1" x14ac:dyDescent="0.2">
      <c r="J91"/>
      <c r="K91"/>
      <c r="L91"/>
      <c r="M91"/>
      <c r="N91" s="2"/>
      <c r="R91"/>
      <c r="S91"/>
      <c r="T91"/>
      <c r="U91"/>
      <c r="V91"/>
    </row>
    <row r="92" spans="10:22" s="1" customFormat="1" x14ac:dyDescent="0.2">
      <c r="J92"/>
      <c r="K92"/>
      <c r="L92"/>
      <c r="M92"/>
      <c r="N92" s="2"/>
      <c r="R92"/>
      <c r="S92"/>
      <c r="T92"/>
      <c r="U92"/>
      <c r="V92"/>
    </row>
    <row r="93" spans="10:22" s="1" customFormat="1" x14ac:dyDescent="0.2">
      <c r="J93"/>
      <c r="K93"/>
      <c r="L93"/>
      <c r="M93"/>
      <c r="N93" s="2"/>
      <c r="R93"/>
      <c r="S93"/>
      <c r="T93"/>
      <c r="U93"/>
      <c r="V93"/>
    </row>
    <row r="94" spans="10:22" s="1" customFormat="1" x14ac:dyDescent="0.2">
      <c r="J94"/>
      <c r="K94"/>
      <c r="L94"/>
      <c r="M94"/>
      <c r="N94" s="2"/>
      <c r="R94"/>
      <c r="S94"/>
      <c r="T94"/>
      <c r="U94"/>
      <c r="V94"/>
    </row>
    <row r="95" spans="10:22" s="1" customFormat="1" x14ac:dyDescent="0.2">
      <c r="J95"/>
      <c r="K95"/>
      <c r="L95"/>
      <c r="M95"/>
      <c r="N95" s="2"/>
      <c r="R95"/>
      <c r="S95"/>
      <c r="T95"/>
      <c r="U95"/>
      <c r="V95"/>
    </row>
    <row r="96" spans="10:22" s="1" customFormat="1" x14ac:dyDescent="0.2">
      <c r="J96"/>
      <c r="K96"/>
      <c r="L96"/>
      <c r="M96"/>
      <c r="N96" s="2"/>
      <c r="R96"/>
      <c r="S96"/>
      <c r="T96"/>
      <c r="U96"/>
      <c r="V96"/>
    </row>
    <row r="97" spans="10:22" s="1" customFormat="1" x14ac:dyDescent="0.2">
      <c r="J97"/>
      <c r="K97"/>
      <c r="L97"/>
      <c r="M97"/>
      <c r="N97" s="2"/>
      <c r="R97"/>
      <c r="S97"/>
      <c r="T97"/>
      <c r="U97"/>
      <c r="V97"/>
    </row>
    <row r="98" spans="10:22" s="1" customFormat="1" x14ac:dyDescent="0.2">
      <c r="J98"/>
      <c r="K98"/>
      <c r="L98"/>
      <c r="M98"/>
      <c r="N98" s="2"/>
      <c r="R98"/>
      <c r="S98"/>
      <c r="T98"/>
      <c r="U98"/>
      <c r="V98"/>
    </row>
    <row r="99" spans="10:22" s="1" customFormat="1" x14ac:dyDescent="0.2">
      <c r="J99"/>
      <c r="K99"/>
      <c r="L99"/>
      <c r="M99"/>
      <c r="N99" s="2"/>
      <c r="R99"/>
      <c r="S99"/>
      <c r="T99"/>
      <c r="U99"/>
      <c r="V99"/>
    </row>
    <row r="100" spans="10:22" s="1" customFormat="1" x14ac:dyDescent="0.2">
      <c r="J100"/>
      <c r="K100"/>
      <c r="L100"/>
      <c r="M100"/>
      <c r="N100" s="2"/>
      <c r="R100"/>
      <c r="S100"/>
      <c r="T100"/>
      <c r="U100"/>
      <c r="V100"/>
    </row>
    <row r="101" spans="10:22" s="1" customFormat="1" x14ac:dyDescent="0.2">
      <c r="J101"/>
      <c r="K101"/>
      <c r="L101"/>
      <c r="M101"/>
      <c r="N101" s="2"/>
      <c r="R101"/>
      <c r="S101"/>
      <c r="T101"/>
      <c r="U101"/>
      <c r="V101"/>
    </row>
    <row r="102" spans="10:22" s="1" customFormat="1" x14ac:dyDescent="0.2">
      <c r="J102"/>
      <c r="K102"/>
      <c r="L102"/>
      <c r="M102"/>
      <c r="N102" s="2"/>
      <c r="R102"/>
      <c r="S102"/>
      <c r="T102"/>
      <c r="U102"/>
      <c r="V102"/>
    </row>
    <row r="103" spans="10:22" s="1" customFormat="1" x14ac:dyDescent="0.2">
      <c r="J103"/>
      <c r="K103"/>
      <c r="L103"/>
      <c r="M103"/>
      <c r="N103" s="2"/>
      <c r="R103"/>
      <c r="S103"/>
      <c r="T103"/>
      <c r="U103"/>
      <c r="V103"/>
    </row>
    <row r="104" spans="10:22" s="1" customFormat="1" x14ac:dyDescent="0.2">
      <c r="J104"/>
      <c r="K104"/>
      <c r="L104"/>
      <c r="M104"/>
      <c r="N104" s="2"/>
      <c r="R104"/>
      <c r="S104"/>
      <c r="T104"/>
      <c r="U104"/>
      <c r="V104"/>
    </row>
    <row r="105" spans="10:22" s="1" customFormat="1" x14ac:dyDescent="0.2">
      <c r="J105"/>
      <c r="K105"/>
      <c r="L105"/>
      <c r="M105"/>
      <c r="N105" s="2"/>
      <c r="R105"/>
      <c r="S105"/>
      <c r="T105"/>
      <c r="U105"/>
      <c r="V105"/>
    </row>
    <row r="106" spans="10:22" s="1" customFormat="1" x14ac:dyDescent="0.2">
      <c r="J106"/>
      <c r="K106"/>
      <c r="L106"/>
      <c r="M106"/>
      <c r="N106" s="2"/>
      <c r="R106"/>
      <c r="S106"/>
      <c r="T106"/>
      <c r="U106"/>
      <c r="V106"/>
    </row>
    <row r="107" spans="10:22" s="1" customFormat="1" x14ac:dyDescent="0.2">
      <c r="J107"/>
      <c r="K107"/>
      <c r="L107"/>
      <c r="M107"/>
      <c r="N107" s="2"/>
      <c r="R107"/>
      <c r="S107"/>
      <c r="T107"/>
      <c r="U107"/>
      <c r="V107"/>
    </row>
    <row r="108" spans="10:22" s="1" customFormat="1" x14ac:dyDescent="0.2">
      <c r="J108"/>
      <c r="K108"/>
      <c r="L108"/>
      <c r="M108"/>
      <c r="N108" s="2"/>
      <c r="R108"/>
      <c r="S108"/>
      <c r="T108"/>
      <c r="U108"/>
      <c r="V108"/>
    </row>
    <row r="109" spans="10:22" s="1" customFormat="1" x14ac:dyDescent="0.2">
      <c r="J109"/>
      <c r="K109"/>
      <c r="L109"/>
      <c r="M109"/>
      <c r="N109" s="2"/>
      <c r="R109"/>
      <c r="S109"/>
      <c r="T109"/>
      <c r="U109"/>
      <c r="V109"/>
    </row>
    <row r="110" spans="10:22" s="1" customFormat="1" x14ac:dyDescent="0.2">
      <c r="J110"/>
      <c r="K110"/>
      <c r="L110"/>
      <c r="M110"/>
      <c r="N110" s="2"/>
      <c r="R110"/>
      <c r="S110"/>
      <c r="T110"/>
      <c r="U110"/>
      <c r="V110"/>
    </row>
    <row r="111" spans="10:22" s="1" customFormat="1" x14ac:dyDescent="0.2">
      <c r="J111"/>
      <c r="K111"/>
      <c r="L111"/>
      <c r="M111"/>
      <c r="N111" s="2"/>
      <c r="R111"/>
      <c r="S111"/>
      <c r="T111"/>
      <c r="U111"/>
      <c r="V111"/>
    </row>
    <row r="112" spans="10:22" s="1" customFormat="1" x14ac:dyDescent="0.2">
      <c r="J112"/>
      <c r="K112"/>
      <c r="L112"/>
      <c r="M112"/>
      <c r="N112" s="2"/>
      <c r="R112"/>
      <c r="S112"/>
      <c r="T112"/>
      <c r="U112"/>
      <c r="V112"/>
    </row>
    <row r="113" spans="10:22" s="1" customFormat="1" x14ac:dyDescent="0.2">
      <c r="J113"/>
      <c r="K113"/>
      <c r="L113"/>
      <c r="M113"/>
      <c r="N113" s="2"/>
      <c r="R113"/>
      <c r="S113"/>
      <c r="T113"/>
      <c r="U113"/>
      <c r="V113"/>
    </row>
    <row r="114" spans="10:22" s="1" customFormat="1" x14ac:dyDescent="0.2">
      <c r="J114"/>
      <c r="K114"/>
      <c r="L114"/>
      <c r="M114"/>
      <c r="N114" s="2"/>
      <c r="R114"/>
      <c r="S114"/>
      <c r="T114"/>
      <c r="U114"/>
      <c r="V114"/>
    </row>
    <row r="115" spans="10:22" s="1" customFormat="1" x14ac:dyDescent="0.2">
      <c r="J115"/>
      <c r="K115"/>
      <c r="L115"/>
      <c r="M115"/>
      <c r="N115" s="2"/>
      <c r="R115"/>
      <c r="S115"/>
      <c r="T115"/>
      <c r="U115"/>
      <c r="V115"/>
    </row>
    <row r="116" spans="10:22" s="1" customFormat="1" x14ac:dyDescent="0.2">
      <c r="J116"/>
      <c r="K116"/>
      <c r="L116"/>
      <c r="M116"/>
      <c r="N116" s="2"/>
      <c r="R116"/>
      <c r="S116"/>
      <c r="T116"/>
      <c r="U116"/>
      <c r="V116"/>
    </row>
    <row r="117" spans="10:22" s="1" customFormat="1" x14ac:dyDescent="0.2">
      <c r="J117"/>
      <c r="K117"/>
      <c r="L117"/>
      <c r="M117"/>
      <c r="N117" s="2"/>
      <c r="R117"/>
      <c r="S117"/>
      <c r="T117"/>
      <c r="U117"/>
      <c r="V117"/>
    </row>
    <row r="118" spans="10:22" s="1" customFormat="1" x14ac:dyDescent="0.2">
      <c r="J118"/>
      <c r="K118"/>
      <c r="L118"/>
      <c r="M118"/>
      <c r="N118" s="2"/>
      <c r="R118"/>
      <c r="S118"/>
      <c r="T118"/>
      <c r="U118"/>
      <c r="V118"/>
    </row>
    <row r="119" spans="10:22" s="1" customFormat="1" x14ac:dyDescent="0.2">
      <c r="J119"/>
      <c r="K119"/>
      <c r="L119"/>
      <c r="M119"/>
      <c r="N119" s="2"/>
      <c r="R119"/>
      <c r="S119"/>
      <c r="T119"/>
      <c r="U119"/>
      <c r="V119"/>
    </row>
    <row r="120" spans="10:22" s="1" customFormat="1" x14ac:dyDescent="0.2">
      <c r="J120"/>
      <c r="K120"/>
      <c r="L120"/>
      <c r="M120"/>
      <c r="N120" s="2"/>
      <c r="R120"/>
      <c r="S120"/>
      <c r="T120"/>
      <c r="U120"/>
      <c r="V120"/>
    </row>
    <row r="121" spans="10:22" s="1" customFormat="1" x14ac:dyDescent="0.2">
      <c r="J121"/>
      <c r="K121"/>
      <c r="L121"/>
      <c r="M121"/>
      <c r="N121" s="2"/>
      <c r="R121"/>
      <c r="S121"/>
      <c r="T121"/>
      <c r="U121"/>
      <c r="V121"/>
    </row>
    <row r="122" spans="10:22" s="1" customFormat="1" x14ac:dyDescent="0.2">
      <c r="J122"/>
      <c r="K122"/>
      <c r="L122"/>
      <c r="M122"/>
      <c r="N122" s="2"/>
      <c r="R122"/>
      <c r="S122"/>
      <c r="T122"/>
      <c r="U122"/>
      <c r="V122"/>
    </row>
    <row r="123" spans="10:22" s="1" customFormat="1" x14ac:dyDescent="0.2">
      <c r="J123"/>
      <c r="K123"/>
      <c r="L123"/>
      <c r="M123"/>
      <c r="N123" s="2"/>
      <c r="R123"/>
      <c r="S123"/>
      <c r="T123"/>
      <c r="U123"/>
      <c r="V123"/>
    </row>
    <row r="124" spans="10:22" s="1" customFormat="1" x14ac:dyDescent="0.2">
      <c r="J124"/>
      <c r="K124"/>
      <c r="L124"/>
      <c r="M124"/>
      <c r="N124" s="2"/>
      <c r="R124"/>
      <c r="S124"/>
      <c r="T124"/>
      <c r="U124"/>
      <c r="V124"/>
    </row>
    <row r="125" spans="10:22" s="1" customFormat="1" x14ac:dyDescent="0.2">
      <c r="J125"/>
      <c r="K125"/>
      <c r="L125"/>
      <c r="M125"/>
      <c r="N125" s="2"/>
      <c r="R125"/>
      <c r="S125"/>
      <c r="T125"/>
      <c r="U125"/>
      <c r="V125"/>
    </row>
    <row r="126" spans="10:22" s="1" customFormat="1" x14ac:dyDescent="0.2">
      <c r="J126"/>
      <c r="K126"/>
      <c r="L126"/>
      <c r="M126"/>
      <c r="N126" s="2"/>
      <c r="R126"/>
      <c r="S126"/>
      <c r="T126"/>
      <c r="U126"/>
      <c r="V126"/>
    </row>
    <row r="127" spans="10:22" s="1" customFormat="1" x14ac:dyDescent="0.2">
      <c r="J127"/>
      <c r="K127"/>
      <c r="L127"/>
      <c r="M127"/>
      <c r="N127" s="2"/>
      <c r="R127"/>
      <c r="S127"/>
      <c r="T127"/>
      <c r="U127"/>
      <c r="V127"/>
    </row>
    <row r="128" spans="10:22" s="1" customFormat="1" x14ac:dyDescent="0.2">
      <c r="J128"/>
      <c r="K128"/>
      <c r="L128"/>
      <c r="M128"/>
      <c r="N128" s="2"/>
      <c r="R128"/>
      <c r="S128"/>
      <c r="T128"/>
      <c r="U128"/>
      <c r="V128"/>
    </row>
    <row r="129" spans="10:22" s="1" customFormat="1" x14ac:dyDescent="0.2">
      <c r="J129"/>
      <c r="K129"/>
      <c r="L129"/>
      <c r="M129"/>
      <c r="N129" s="2"/>
      <c r="R129"/>
      <c r="S129"/>
      <c r="T129"/>
      <c r="U129"/>
      <c r="V129"/>
    </row>
    <row r="130" spans="10:22" s="1" customFormat="1" x14ac:dyDescent="0.2">
      <c r="J130"/>
      <c r="K130"/>
      <c r="L130"/>
      <c r="M130"/>
      <c r="N130" s="2"/>
      <c r="R130"/>
      <c r="S130"/>
      <c r="T130"/>
      <c r="U130"/>
      <c r="V130"/>
    </row>
    <row r="131" spans="10:22" s="1" customFormat="1" x14ac:dyDescent="0.2">
      <c r="J131"/>
      <c r="K131"/>
      <c r="L131"/>
      <c r="M131"/>
      <c r="N131" s="2"/>
      <c r="R131"/>
      <c r="S131"/>
      <c r="T131"/>
      <c r="U131"/>
      <c r="V131"/>
    </row>
    <row r="132" spans="10:22" s="1" customFormat="1" x14ac:dyDescent="0.2">
      <c r="J132"/>
      <c r="K132"/>
      <c r="L132"/>
      <c r="M132"/>
      <c r="N132" s="2"/>
      <c r="R132"/>
      <c r="S132"/>
      <c r="T132"/>
      <c r="U132"/>
      <c r="V132"/>
    </row>
    <row r="133" spans="10:22" s="1" customFormat="1" x14ac:dyDescent="0.2">
      <c r="J133"/>
      <c r="K133"/>
      <c r="L133"/>
      <c r="M133"/>
      <c r="N133" s="2"/>
      <c r="R133"/>
      <c r="S133"/>
      <c r="T133"/>
      <c r="U133"/>
      <c r="V133"/>
    </row>
    <row r="134" spans="10:22" s="1" customFormat="1" x14ac:dyDescent="0.2">
      <c r="J134"/>
      <c r="K134"/>
      <c r="L134"/>
      <c r="M134"/>
      <c r="N134" s="2"/>
      <c r="R134"/>
      <c r="S134"/>
      <c r="T134"/>
      <c r="U134"/>
      <c r="V134"/>
    </row>
    <row r="135" spans="10:22" s="1" customFormat="1" x14ac:dyDescent="0.2">
      <c r="J135"/>
      <c r="K135"/>
      <c r="L135"/>
      <c r="M135"/>
      <c r="N135" s="2"/>
      <c r="R135"/>
      <c r="S135"/>
      <c r="T135"/>
      <c r="U135"/>
      <c r="V135"/>
    </row>
    <row r="136" spans="10:22" s="1" customFormat="1" x14ac:dyDescent="0.2">
      <c r="J136"/>
      <c r="K136"/>
      <c r="L136"/>
      <c r="M136"/>
      <c r="N136" s="2"/>
      <c r="R136"/>
      <c r="S136"/>
      <c r="T136"/>
      <c r="U136"/>
      <c r="V136"/>
    </row>
    <row r="137" spans="10:22" s="1" customFormat="1" x14ac:dyDescent="0.2">
      <c r="J137"/>
      <c r="K137"/>
      <c r="L137"/>
      <c r="M137"/>
      <c r="N137" s="2"/>
      <c r="R137"/>
      <c r="S137"/>
      <c r="T137"/>
      <c r="U137"/>
      <c r="V137"/>
    </row>
    <row r="138" spans="10:22" s="1" customFormat="1" x14ac:dyDescent="0.2">
      <c r="J138"/>
      <c r="K138"/>
      <c r="L138"/>
      <c r="M138"/>
      <c r="N138" s="2"/>
      <c r="R138"/>
      <c r="S138"/>
      <c r="T138"/>
      <c r="U138"/>
      <c r="V138"/>
    </row>
    <row r="139" spans="10:22" s="1" customFormat="1" x14ac:dyDescent="0.2">
      <c r="J139"/>
      <c r="K139"/>
      <c r="L139"/>
      <c r="M139"/>
      <c r="N139" s="2"/>
      <c r="R139"/>
      <c r="S139"/>
      <c r="T139"/>
      <c r="U139"/>
      <c r="V139"/>
    </row>
    <row r="140" spans="10:22" s="1" customFormat="1" x14ac:dyDescent="0.2">
      <c r="J140"/>
      <c r="K140"/>
      <c r="L140"/>
      <c r="M140"/>
      <c r="N140" s="2"/>
      <c r="R140"/>
      <c r="S140"/>
      <c r="T140"/>
      <c r="U140"/>
      <c r="V140"/>
    </row>
    <row r="141" spans="10:22" s="1" customFormat="1" x14ac:dyDescent="0.2">
      <c r="J141"/>
      <c r="K141"/>
      <c r="L141"/>
      <c r="M141"/>
      <c r="N141" s="2"/>
      <c r="R141"/>
      <c r="S141"/>
      <c r="T141"/>
      <c r="U141"/>
      <c r="V141"/>
    </row>
    <row r="142" spans="10:22" s="1" customFormat="1" x14ac:dyDescent="0.2">
      <c r="J142"/>
      <c r="K142"/>
      <c r="L142"/>
      <c r="M142"/>
      <c r="N142" s="2"/>
      <c r="R142"/>
      <c r="S142"/>
      <c r="T142"/>
      <c r="U142"/>
      <c r="V142"/>
    </row>
    <row r="143" spans="10:22" s="1" customFormat="1" x14ac:dyDescent="0.2">
      <c r="J143"/>
      <c r="K143"/>
      <c r="L143"/>
      <c r="M143"/>
      <c r="N143" s="2"/>
      <c r="R143"/>
      <c r="S143"/>
      <c r="T143"/>
      <c r="U143"/>
      <c r="V143"/>
    </row>
    <row r="144" spans="10:22" s="1" customFormat="1" x14ac:dyDescent="0.2">
      <c r="J144"/>
      <c r="K144"/>
      <c r="L144"/>
      <c r="M144"/>
      <c r="N144" s="2"/>
      <c r="R144"/>
      <c r="S144"/>
      <c r="T144"/>
      <c r="U144"/>
      <c r="V144"/>
    </row>
    <row r="145" spans="10:22" s="1" customFormat="1" x14ac:dyDescent="0.2">
      <c r="J145"/>
      <c r="K145"/>
      <c r="L145"/>
      <c r="M145"/>
      <c r="N145" s="2"/>
      <c r="R145"/>
      <c r="S145"/>
      <c r="T145"/>
      <c r="U145"/>
      <c r="V145"/>
    </row>
    <row r="146" spans="10:22" s="1" customFormat="1" x14ac:dyDescent="0.2">
      <c r="J146"/>
      <c r="K146"/>
      <c r="L146"/>
      <c r="M146"/>
      <c r="N146" s="2"/>
      <c r="R146"/>
      <c r="S146"/>
      <c r="T146"/>
      <c r="U146"/>
      <c r="V146"/>
    </row>
    <row r="147" spans="10:22" s="1" customFormat="1" x14ac:dyDescent="0.2">
      <c r="J147"/>
      <c r="K147"/>
      <c r="L147"/>
      <c r="M147"/>
      <c r="N147" s="2"/>
      <c r="R147"/>
      <c r="S147"/>
      <c r="T147"/>
      <c r="U147"/>
      <c r="V147"/>
    </row>
    <row r="148" spans="10:22" s="1" customFormat="1" x14ac:dyDescent="0.2">
      <c r="J148"/>
      <c r="K148"/>
      <c r="L148"/>
      <c r="M148"/>
      <c r="N148" s="2"/>
      <c r="R148"/>
      <c r="S148"/>
      <c r="T148"/>
      <c r="U148"/>
      <c r="V148"/>
    </row>
    <row r="149" spans="10:22" s="1" customFormat="1" x14ac:dyDescent="0.2">
      <c r="J149"/>
      <c r="K149"/>
      <c r="L149"/>
      <c r="M149"/>
      <c r="N149" s="2"/>
      <c r="R149"/>
      <c r="S149"/>
      <c r="T149"/>
      <c r="U149"/>
      <c r="V149"/>
    </row>
    <row r="150" spans="10:22" s="1" customFormat="1" x14ac:dyDescent="0.2">
      <c r="J150"/>
      <c r="K150"/>
      <c r="L150"/>
      <c r="M150"/>
      <c r="N150" s="2"/>
      <c r="R150"/>
      <c r="S150"/>
      <c r="T150"/>
      <c r="U150"/>
      <c r="V150"/>
    </row>
    <row r="151" spans="10:22" s="1" customFormat="1" x14ac:dyDescent="0.2">
      <c r="J151"/>
      <c r="K151"/>
      <c r="L151"/>
      <c r="M151"/>
      <c r="N151" s="2"/>
      <c r="R151"/>
      <c r="S151"/>
      <c r="T151"/>
      <c r="U151"/>
      <c r="V151"/>
    </row>
    <row r="152" spans="10:22" s="1" customFormat="1" x14ac:dyDescent="0.2">
      <c r="J152"/>
      <c r="K152"/>
      <c r="L152"/>
      <c r="M152"/>
      <c r="N152" s="2"/>
      <c r="R152"/>
      <c r="S152"/>
      <c r="T152"/>
      <c r="U152"/>
      <c r="V152"/>
    </row>
    <row r="153" spans="10:22" s="1" customFormat="1" x14ac:dyDescent="0.2">
      <c r="J153"/>
      <c r="K153"/>
      <c r="L153"/>
      <c r="M153"/>
      <c r="N153" s="2"/>
      <c r="R153"/>
      <c r="S153"/>
      <c r="T153"/>
      <c r="U153"/>
      <c r="V153"/>
    </row>
    <row r="154" spans="10:22" s="1" customFormat="1" x14ac:dyDescent="0.2">
      <c r="J154"/>
      <c r="K154"/>
      <c r="L154"/>
      <c r="M154"/>
      <c r="N154" s="2"/>
      <c r="R154"/>
      <c r="S154"/>
      <c r="T154"/>
      <c r="U154"/>
      <c r="V154"/>
    </row>
    <row r="155" spans="10:22" s="1" customFormat="1" x14ac:dyDescent="0.2">
      <c r="J155"/>
      <c r="K155"/>
      <c r="L155"/>
      <c r="M155"/>
      <c r="N155" s="2"/>
      <c r="R155"/>
      <c r="S155"/>
      <c r="T155"/>
      <c r="U155"/>
      <c r="V155"/>
    </row>
    <row r="156" spans="10:22" s="1" customFormat="1" x14ac:dyDescent="0.2">
      <c r="J156"/>
      <c r="K156"/>
      <c r="L156"/>
      <c r="M156"/>
      <c r="N156" s="2"/>
      <c r="R156"/>
      <c r="S156"/>
      <c r="T156"/>
      <c r="U156"/>
      <c r="V156"/>
    </row>
    <row r="157" spans="10:22" s="1" customFormat="1" x14ac:dyDescent="0.2">
      <c r="J157"/>
      <c r="K157"/>
      <c r="L157"/>
      <c r="M157"/>
      <c r="N157" s="2"/>
      <c r="R157"/>
      <c r="S157"/>
      <c r="T157"/>
      <c r="U157"/>
      <c r="V157"/>
    </row>
    <row r="158" spans="10:22" s="1" customFormat="1" x14ac:dyDescent="0.2">
      <c r="J158"/>
      <c r="K158"/>
      <c r="L158"/>
      <c r="M158"/>
      <c r="N158" s="2"/>
      <c r="R158"/>
      <c r="S158"/>
      <c r="T158"/>
      <c r="U158"/>
      <c r="V158"/>
    </row>
    <row r="159" spans="10:22" s="1" customFormat="1" x14ac:dyDescent="0.2">
      <c r="J159"/>
      <c r="K159"/>
      <c r="L159"/>
      <c r="M159"/>
      <c r="N159" s="2"/>
      <c r="R159"/>
      <c r="S159"/>
      <c r="T159"/>
      <c r="U159"/>
      <c r="V159"/>
    </row>
    <row r="160" spans="10:22" s="1" customFormat="1" x14ac:dyDescent="0.2">
      <c r="J160"/>
      <c r="K160"/>
      <c r="L160"/>
      <c r="M160"/>
      <c r="N160" s="2"/>
      <c r="R160"/>
      <c r="S160"/>
      <c r="T160"/>
      <c r="U160"/>
      <c r="V160"/>
    </row>
    <row r="161" spans="10:22" s="1" customFormat="1" x14ac:dyDescent="0.2">
      <c r="J161"/>
      <c r="K161"/>
      <c r="L161"/>
      <c r="M161"/>
      <c r="N161" s="2"/>
      <c r="R161"/>
      <c r="S161"/>
      <c r="T161"/>
      <c r="U161"/>
      <c r="V161"/>
    </row>
    <row r="162" spans="10:22" s="1" customFormat="1" x14ac:dyDescent="0.2">
      <c r="J162"/>
      <c r="K162"/>
      <c r="L162"/>
      <c r="M162"/>
      <c r="N162" s="2"/>
      <c r="R162"/>
      <c r="S162"/>
      <c r="T162"/>
      <c r="U162"/>
      <c r="V162"/>
    </row>
    <row r="163" spans="10:22" s="1" customFormat="1" x14ac:dyDescent="0.2">
      <c r="J163"/>
      <c r="K163"/>
      <c r="L163"/>
      <c r="M163"/>
      <c r="N163" s="2"/>
      <c r="R163"/>
      <c r="S163"/>
      <c r="T163"/>
      <c r="U163"/>
      <c r="V163"/>
    </row>
    <row r="164" spans="10:22" s="1" customFormat="1" x14ac:dyDescent="0.2">
      <c r="J164"/>
      <c r="K164"/>
      <c r="L164"/>
      <c r="M164"/>
      <c r="N164" s="2"/>
      <c r="R164"/>
      <c r="S164"/>
      <c r="T164"/>
      <c r="U164"/>
      <c r="V164"/>
    </row>
    <row r="165" spans="10:22" s="1" customFormat="1" x14ac:dyDescent="0.2">
      <c r="J165"/>
      <c r="K165"/>
      <c r="L165"/>
      <c r="M165"/>
      <c r="N165" s="2"/>
      <c r="R165"/>
      <c r="S165"/>
      <c r="T165"/>
      <c r="U165"/>
      <c r="V165"/>
    </row>
    <row r="166" spans="10:22" s="1" customFormat="1" x14ac:dyDescent="0.2">
      <c r="J166"/>
      <c r="K166"/>
      <c r="L166"/>
      <c r="M166"/>
      <c r="N166" s="2"/>
      <c r="R166"/>
      <c r="S166"/>
      <c r="T166"/>
      <c r="U166"/>
      <c r="V166"/>
    </row>
    <row r="167" spans="10:22" s="1" customFormat="1" x14ac:dyDescent="0.2">
      <c r="J167"/>
      <c r="K167"/>
      <c r="L167"/>
      <c r="M167"/>
      <c r="N167" s="2"/>
      <c r="R167"/>
      <c r="S167"/>
      <c r="T167"/>
      <c r="U167"/>
      <c r="V167"/>
    </row>
    <row r="168" spans="10:22" s="1" customFormat="1" x14ac:dyDescent="0.2">
      <c r="J168"/>
      <c r="K168"/>
      <c r="L168"/>
      <c r="M168"/>
      <c r="N168" s="2"/>
      <c r="R168"/>
      <c r="S168"/>
      <c r="T168"/>
      <c r="U168"/>
      <c r="V168"/>
    </row>
    <row r="169" spans="10:22" s="1" customFormat="1" x14ac:dyDescent="0.2">
      <c r="J169"/>
      <c r="K169"/>
      <c r="L169"/>
      <c r="M169"/>
      <c r="N169" s="2"/>
      <c r="R169"/>
      <c r="S169"/>
      <c r="T169"/>
      <c r="U169"/>
      <c r="V169"/>
    </row>
    <row r="170" spans="10:22" s="1" customFormat="1" x14ac:dyDescent="0.2">
      <c r="J170"/>
      <c r="K170"/>
      <c r="L170"/>
      <c r="M170"/>
      <c r="N170" s="2"/>
      <c r="R170"/>
      <c r="S170"/>
      <c r="T170"/>
      <c r="U170"/>
      <c r="V170"/>
    </row>
    <row r="171" spans="10:22" s="1" customFormat="1" x14ac:dyDescent="0.2">
      <c r="J171"/>
      <c r="K171"/>
      <c r="L171"/>
      <c r="M171"/>
      <c r="N171" s="2"/>
      <c r="R171"/>
      <c r="S171"/>
      <c r="T171"/>
      <c r="U171"/>
      <c r="V171"/>
    </row>
    <row r="172" spans="10:22" s="1" customFormat="1" x14ac:dyDescent="0.2">
      <c r="J172"/>
      <c r="K172"/>
      <c r="L172"/>
      <c r="M172"/>
      <c r="N172" s="2"/>
      <c r="R172"/>
      <c r="S172"/>
      <c r="T172"/>
      <c r="U172"/>
      <c r="V172"/>
    </row>
    <row r="173" spans="10:22" s="1" customFormat="1" x14ac:dyDescent="0.2">
      <c r="J173"/>
      <c r="K173"/>
      <c r="L173"/>
      <c r="M173"/>
      <c r="N173" s="2"/>
      <c r="R173"/>
      <c r="S173"/>
      <c r="T173"/>
      <c r="U173"/>
      <c r="V173"/>
    </row>
    <row r="174" spans="10:22" s="1" customFormat="1" x14ac:dyDescent="0.2">
      <c r="J174"/>
      <c r="K174"/>
      <c r="L174"/>
      <c r="M174"/>
      <c r="N174" s="2"/>
      <c r="R174"/>
      <c r="S174"/>
      <c r="T174"/>
      <c r="U174"/>
      <c r="V174"/>
    </row>
    <row r="175" spans="10:22" s="1" customFormat="1" x14ac:dyDescent="0.2">
      <c r="J175"/>
      <c r="K175"/>
      <c r="L175"/>
      <c r="M175"/>
      <c r="N175" s="2"/>
      <c r="R175"/>
      <c r="S175"/>
      <c r="T175"/>
      <c r="U175"/>
      <c r="V175"/>
    </row>
    <row r="176" spans="10:22" s="1" customFormat="1" x14ac:dyDescent="0.2">
      <c r="J176"/>
      <c r="K176"/>
      <c r="L176"/>
      <c r="M176"/>
      <c r="N176" s="2"/>
      <c r="R176"/>
      <c r="S176"/>
      <c r="T176"/>
      <c r="U176"/>
      <c r="V176"/>
    </row>
    <row r="177" spans="10:22" s="1" customFormat="1" x14ac:dyDescent="0.2">
      <c r="J177"/>
      <c r="K177"/>
      <c r="L177"/>
      <c r="M177"/>
      <c r="N177" s="2"/>
      <c r="R177"/>
      <c r="S177"/>
      <c r="T177"/>
      <c r="U177"/>
      <c r="V177"/>
    </row>
    <row r="178" spans="10:22" s="1" customFormat="1" x14ac:dyDescent="0.2">
      <c r="J178"/>
      <c r="K178"/>
      <c r="L178"/>
      <c r="M178"/>
      <c r="N178" s="2"/>
      <c r="R178"/>
      <c r="S178"/>
      <c r="T178"/>
      <c r="U178"/>
      <c r="V178"/>
    </row>
    <row r="179" spans="10:22" s="1" customFormat="1" x14ac:dyDescent="0.2">
      <c r="J179"/>
      <c r="K179"/>
      <c r="L179"/>
      <c r="M179"/>
      <c r="N179" s="2"/>
      <c r="R179"/>
      <c r="S179"/>
      <c r="T179"/>
      <c r="U179"/>
      <c r="V179"/>
    </row>
    <row r="180" spans="10:22" s="1" customFormat="1" x14ac:dyDescent="0.2">
      <c r="J180"/>
      <c r="K180"/>
      <c r="L180"/>
      <c r="M180"/>
      <c r="N180" s="2"/>
      <c r="R180"/>
      <c r="S180"/>
      <c r="T180"/>
      <c r="U180"/>
      <c r="V180"/>
    </row>
    <row r="181" spans="10:22" s="1" customFormat="1" x14ac:dyDescent="0.2">
      <c r="J181"/>
      <c r="K181"/>
      <c r="L181"/>
      <c r="M181"/>
      <c r="N181" s="2"/>
      <c r="R181"/>
      <c r="S181"/>
      <c r="T181"/>
      <c r="U181"/>
      <c r="V181"/>
    </row>
    <row r="182" spans="10:22" s="1" customFormat="1" x14ac:dyDescent="0.2">
      <c r="J182"/>
      <c r="K182"/>
      <c r="L182"/>
      <c r="M182"/>
      <c r="N182" s="2"/>
      <c r="R182"/>
      <c r="S182"/>
      <c r="T182"/>
      <c r="U182"/>
      <c r="V182"/>
    </row>
    <row r="183" spans="10:22" s="1" customFormat="1" x14ac:dyDescent="0.2">
      <c r="J183"/>
      <c r="K183"/>
      <c r="L183"/>
      <c r="M183"/>
      <c r="N183" s="2"/>
      <c r="R183"/>
      <c r="S183"/>
      <c r="T183"/>
      <c r="U183"/>
      <c r="V183"/>
    </row>
    <row r="184" spans="10:22" s="1" customFormat="1" x14ac:dyDescent="0.2">
      <c r="J184"/>
      <c r="K184"/>
      <c r="L184"/>
      <c r="M184"/>
      <c r="N184" s="2"/>
      <c r="R184"/>
      <c r="S184"/>
      <c r="T184"/>
      <c r="U184"/>
      <c r="V184"/>
    </row>
    <row r="185" spans="10:22" s="1" customFormat="1" x14ac:dyDescent="0.2">
      <c r="J185"/>
      <c r="K185"/>
      <c r="L185"/>
      <c r="M185"/>
      <c r="N185" s="2"/>
      <c r="R185"/>
      <c r="S185"/>
      <c r="T185"/>
      <c r="U185"/>
      <c r="V185"/>
    </row>
    <row r="186" spans="10:22" s="1" customFormat="1" x14ac:dyDescent="0.2">
      <c r="J186"/>
      <c r="K186"/>
      <c r="L186"/>
      <c r="M186"/>
      <c r="N186" s="2"/>
      <c r="R186"/>
      <c r="S186"/>
      <c r="T186"/>
      <c r="U186"/>
      <c r="V186"/>
    </row>
    <row r="187" spans="10:22" s="1" customFormat="1" x14ac:dyDescent="0.2">
      <c r="J187"/>
      <c r="K187"/>
      <c r="L187"/>
      <c r="M187"/>
      <c r="N187" s="2"/>
      <c r="R187"/>
      <c r="S187"/>
      <c r="T187"/>
      <c r="U187"/>
      <c r="V187"/>
    </row>
    <row r="188" spans="10:22" s="1" customFormat="1" x14ac:dyDescent="0.2">
      <c r="J188"/>
      <c r="K188"/>
      <c r="L188"/>
      <c r="M188"/>
      <c r="N188" s="2"/>
      <c r="R188"/>
      <c r="S188"/>
      <c r="T188"/>
      <c r="U188"/>
      <c r="V188"/>
    </row>
    <row r="189" spans="10:22" s="1" customFormat="1" x14ac:dyDescent="0.2">
      <c r="J189"/>
      <c r="K189"/>
      <c r="L189"/>
      <c r="M189"/>
      <c r="N189" s="2"/>
      <c r="R189"/>
      <c r="S189"/>
      <c r="T189"/>
      <c r="U189"/>
      <c r="V189"/>
    </row>
    <row r="190" spans="10:22" s="1" customFormat="1" x14ac:dyDescent="0.2">
      <c r="J190"/>
      <c r="K190"/>
      <c r="L190"/>
      <c r="M190"/>
      <c r="N190" s="2"/>
      <c r="R190"/>
      <c r="S190"/>
      <c r="T190"/>
      <c r="U190"/>
      <c r="V190"/>
    </row>
    <row r="191" spans="10:22" s="1" customFormat="1" x14ac:dyDescent="0.2">
      <c r="J191"/>
      <c r="K191"/>
      <c r="L191"/>
      <c r="M191"/>
      <c r="N191" s="2"/>
      <c r="R191"/>
      <c r="S191"/>
      <c r="T191"/>
      <c r="U191"/>
      <c r="V191"/>
    </row>
    <row r="192" spans="10:22" s="1" customFormat="1" x14ac:dyDescent="0.2">
      <c r="J192"/>
      <c r="K192"/>
      <c r="L192"/>
      <c r="M192"/>
      <c r="N192" s="2"/>
      <c r="R192"/>
      <c r="S192"/>
      <c r="T192"/>
      <c r="U192"/>
      <c r="V192"/>
    </row>
    <row r="193" spans="10:22" s="1" customFormat="1" x14ac:dyDescent="0.2">
      <c r="J193"/>
      <c r="K193"/>
      <c r="L193"/>
      <c r="M193"/>
      <c r="N193" s="2"/>
      <c r="R193"/>
      <c r="S193"/>
      <c r="T193"/>
      <c r="U193"/>
      <c r="V193"/>
    </row>
    <row r="194" spans="10:22" s="1" customFormat="1" x14ac:dyDescent="0.2">
      <c r="J194"/>
      <c r="K194"/>
      <c r="L194"/>
      <c r="M194"/>
      <c r="N194" s="2"/>
      <c r="R194"/>
      <c r="S194"/>
      <c r="T194"/>
      <c r="U194"/>
      <c r="V194"/>
    </row>
    <row r="195" spans="10:22" s="1" customFormat="1" x14ac:dyDescent="0.2">
      <c r="J195"/>
      <c r="K195"/>
      <c r="L195"/>
      <c r="M195"/>
      <c r="N195" s="2"/>
      <c r="R195"/>
      <c r="S195"/>
      <c r="T195"/>
      <c r="U195"/>
      <c r="V195"/>
    </row>
    <row r="196" spans="10:22" s="1" customFormat="1" x14ac:dyDescent="0.2">
      <c r="J196"/>
      <c r="K196"/>
      <c r="L196"/>
      <c r="M196"/>
      <c r="N196" s="2"/>
      <c r="R196"/>
      <c r="S196"/>
      <c r="T196"/>
      <c r="U196"/>
      <c r="V196"/>
    </row>
    <row r="197" spans="10:22" s="1" customFormat="1" x14ac:dyDescent="0.2">
      <c r="J197"/>
      <c r="K197"/>
      <c r="L197"/>
      <c r="M197"/>
      <c r="N197" s="2"/>
      <c r="R197"/>
      <c r="S197"/>
      <c r="T197"/>
      <c r="U197"/>
      <c r="V197"/>
    </row>
    <row r="198" spans="10:22" s="1" customFormat="1" x14ac:dyDescent="0.2">
      <c r="J198"/>
      <c r="K198"/>
      <c r="L198"/>
      <c r="M198"/>
      <c r="N198" s="2"/>
      <c r="R198"/>
      <c r="S198"/>
      <c r="T198"/>
      <c r="U198"/>
      <c r="V198"/>
    </row>
    <row r="199" spans="10:22" s="1" customFormat="1" x14ac:dyDescent="0.2">
      <c r="J199"/>
      <c r="K199"/>
      <c r="L199"/>
      <c r="M199"/>
      <c r="N199" s="2"/>
      <c r="R199"/>
      <c r="S199"/>
      <c r="T199"/>
      <c r="U199"/>
      <c r="V199"/>
    </row>
    <row r="200" spans="10:22" s="1" customFormat="1" x14ac:dyDescent="0.2">
      <c r="J200"/>
      <c r="K200"/>
      <c r="L200"/>
      <c r="M200"/>
      <c r="N200" s="2"/>
      <c r="R200"/>
      <c r="S200"/>
      <c r="T200"/>
      <c r="U200"/>
      <c r="V200"/>
    </row>
    <row r="201" spans="10:22" s="1" customFormat="1" x14ac:dyDescent="0.2">
      <c r="J201"/>
      <c r="K201"/>
      <c r="L201"/>
      <c r="M201"/>
      <c r="N201" s="2"/>
      <c r="R201"/>
      <c r="S201"/>
      <c r="T201"/>
      <c r="U201"/>
      <c r="V201"/>
    </row>
    <row r="202" spans="10:22" s="1" customFormat="1" x14ac:dyDescent="0.2">
      <c r="J202"/>
      <c r="K202"/>
      <c r="L202"/>
      <c r="M202"/>
      <c r="N202" s="2"/>
      <c r="R202"/>
      <c r="S202"/>
      <c r="T202"/>
      <c r="U202"/>
      <c r="V202"/>
    </row>
    <row r="203" spans="10:22" s="1" customFormat="1" x14ac:dyDescent="0.2">
      <c r="J203"/>
      <c r="K203"/>
      <c r="L203"/>
      <c r="M203"/>
      <c r="N203" s="2"/>
      <c r="R203"/>
      <c r="S203"/>
      <c r="T203"/>
      <c r="U203"/>
      <c r="V203"/>
    </row>
    <row r="204" spans="10:22" s="1" customFormat="1" x14ac:dyDescent="0.2">
      <c r="J204"/>
      <c r="K204"/>
      <c r="L204"/>
      <c r="M204"/>
      <c r="N204" s="2"/>
      <c r="R204"/>
      <c r="S204"/>
      <c r="T204"/>
      <c r="U204"/>
      <c r="V204"/>
    </row>
    <row r="205" spans="10:22" s="1" customFormat="1" x14ac:dyDescent="0.2">
      <c r="J205"/>
      <c r="K205"/>
      <c r="L205"/>
      <c r="M205"/>
      <c r="N205" s="2"/>
      <c r="R205"/>
      <c r="S205"/>
      <c r="T205"/>
      <c r="U205"/>
      <c r="V205"/>
    </row>
    <row r="206" spans="10:22" s="1" customFormat="1" x14ac:dyDescent="0.2">
      <c r="J206"/>
      <c r="K206"/>
      <c r="L206"/>
      <c r="M206"/>
      <c r="N206" s="2"/>
      <c r="R206"/>
      <c r="S206"/>
      <c r="T206"/>
      <c r="U206"/>
      <c r="V206"/>
    </row>
    <row r="207" spans="10:22" s="1" customFormat="1" x14ac:dyDescent="0.2">
      <c r="J207"/>
      <c r="K207"/>
      <c r="L207"/>
      <c r="M207"/>
      <c r="N207" s="2"/>
      <c r="R207"/>
      <c r="S207"/>
      <c r="T207"/>
      <c r="U207"/>
      <c r="V207"/>
    </row>
    <row r="208" spans="10:22" s="1" customFormat="1" x14ac:dyDescent="0.2">
      <c r="J208"/>
      <c r="K208"/>
      <c r="L208"/>
      <c r="M208"/>
      <c r="N208" s="2"/>
      <c r="R208"/>
      <c r="S208"/>
      <c r="T208"/>
      <c r="U208"/>
      <c r="V208"/>
    </row>
    <row r="209" spans="10:22" s="1" customFormat="1" x14ac:dyDescent="0.2">
      <c r="J209"/>
      <c r="K209"/>
      <c r="L209"/>
      <c r="M209"/>
      <c r="N209" s="2"/>
      <c r="R209"/>
      <c r="S209"/>
      <c r="T209"/>
      <c r="U209"/>
      <c r="V209"/>
    </row>
    <row r="210" spans="10:22" s="1" customFormat="1" x14ac:dyDescent="0.2">
      <c r="J210"/>
      <c r="K210"/>
      <c r="L210"/>
      <c r="M210"/>
      <c r="N210" s="2"/>
      <c r="R210"/>
      <c r="S210"/>
      <c r="T210"/>
      <c r="U210"/>
      <c r="V210"/>
    </row>
    <row r="211" spans="10:22" s="1" customFormat="1" x14ac:dyDescent="0.2">
      <c r="J211"/>
      <c r="K211"/>
      <c r="L211"/>
      <c r="M211"/>
      <c r="N211" s="2"/>
      <c r="R211"/>
      <c r="S211"/>
      <c r="T211"/>
      <c r="U211"/>
      <c r="V211"/>
    </row>
    <row r="212" spans="10:22" s="1" customFormat="1" x14ac:dyDescent="0.2">
      <c r="J212"/>
      <c r="K212"/>
      <c r="L212"/>
      <c r="M212"/>
      <c r="N212" s="2"/>
      <c r="R212"/>
      <c r="S212"/>
      <c r="T212"/>
      <c r="U212"/>
      <c r="V212"/>
    </row>
    <row r="213" spans="10:22" s="1" customFormat="1" x14ac:dyDescent="0.2">
      <c r="J213"/>
      <c r="K213"/>
      <c r="L213"/>
      <c r="M213"/>
      <c r="N213" s="2"/>
      <c r="R213"/>
      <c r="S213"/>
      <c r="T213"/>
      <c r="U213"/>
      <c r="V213"/>
    </row>
    <row r="214" spans="10:22" s="1" customFormat="1" x14ac:dyDescent="0.2">
      <c r="J214"/>
      <c r="K214"/>
      <c r="L214"/>
      <c r="M214"/>
      <c r="N214" s="2"/>
      <c r="R214"/>
      <c r="S214"/>
      <c r="T214"/>
      <c r="U214"/>
      <c r="V214"/>
    </row>
    <row r="215" spans="10:22" s="1" customFormat="1" x14ac:dyDescent="0.2">
      <c r="J215"/>
      <c r="K215"/>
      <c r="L215"/>
      <c r="M215"/>
      <c r="N215" s="2"/>
      <c r="R215"/>
      <c r="S215"/>
      <c r="T215"/>
      <c r="U215"/>
      <c r="V215"/>
    </row>
    <row r="216" spans="10:22" s="1" customFormat="1" x14ac:dyDescent="0.2">
      <c r="J216"/>
      <c r="K216"/>
      <c r="L216"/>
      <c r="M216"/>
      <c r="N216" s="2"/>
      <c r="R216"/>
      <c r="S216"/>
      <c r="T216"/>
      <c r="U216"/>
      <c r="V216"/>
    </row>
    <row r="217" spans="10:22" s="1" customFormat="1" x14ac:dyDescent="0.2">
      <c r="J217"/>
      <c r="K217"/>
      <c r="L217"/>
      <c r="M217"/>
      <c r="N217" s="2"/>
      <c r="R217"/>
      <c r="S217"/>
      <c r="T217"/>
      <c r="U217"/>
      <c r="V217"/>
    </row>
    <row r="218" spans="10:22" s="1" customFormat="1" x14ac:dyDescent="0.2">
      <c r="J218"/>
      <c r="K218"/>
      <c r="L218"/>
      <c r="M218"/>
      <c r="N218" s="2"/>
      <c r="R218"/>
      <c r="S218"/>
      <c r="T218"/>
      <c r="U218"/>
      <c r="V218"/>
    </row>
    <row r="219" spans="10:22" s="1" customFormat="1" x14ac:dyDescent="0.2">
      <c r="J219"/>
      <c r="K219"/>
      <c r="L219"/>
      <c r="M219"/>
      <c r="N219" s="2"/>
      <c r="R219"/>
      <c r="S219"/>
      <c r="T219"/>
      <c r="U219"/>
      <c r="V219"/>
    </row>
    <row r="220" spans="10:22" s="1" customFormat="1" x14ac:dyDescent="0.2">
      <c r="J220"/>
      <c r="K220"/>
      <c r="L220"/>
      <c r="M220"/>
      <c r="N220" s="2"/>
      <c r="R220"/>
      <c r="S220"/>
      <c r="T220"/>
      <c r="U220"/>
      <c r="V220"/>
    </row>
    <row r="221" spans="10:22" s="1" customFormat="1" x14ac:dyDescent="0.2">
      <c r="J221"/>
      <c r="K221"/>
      <c r="L221"/>
      <c r="M221"/>
      <c r="N221" s="2"/>
      <c r="R221"/>
      <c r="S221"/>
      <c r="T221"/>
      <c r="U221"/>
      <c r="V221"/>
    </row>
    <row r="222" spans="10:22" s="1" customFormat="1" x14ac:dyDescent="0.2">
      <c r="J222"/>
      <c r="K222"/>
      <c r="L222"/>
      <c r="M222"/>
      <c r="N222" s="2"/>
      <c r="R222"/>
      <c r="S222"/>
      <c r="T222"/>
      <c r="U222"/>
      <c r="V222"/>
    </row>
    <row r="223" spans="10:22" s="1" customFormat="1" x14ac:dyDescent="0.2">
      <c r="J223"/>
      <c r="K223"/>
      <c r="L223"/>
      <c r="M223"/>
      <c r="N223" s="2"/>
      <c r="R223"/>
      <c r="S223"/>
      <c r="T223"/>
      <c r="U223"/>
      <c r="V223"/>
    </row>
    <row r="224" spans="10:22" s="1" customFormat="1" x14ac:dyDescent="0.2">
      <c r="J224"/>
      <c r="K224"/>
      <c r="L224"/>
      <c r="M224"/>
      <c r="N224" s="2"/>
      <c r="R224"/>
      <c r="S224"/>
      <c r="T224"/>
      <c r="U224"/>
      <c r="V224"/>
    </row>
    <row r="225" spans="10:22" s="1" customFormat="1" x14ac:dyDescent="0.2">
      <c r="J225"/>
      <c r="K225"/>
      <c r="L225"/>
      <c r="M225"/>
      <c r="N225" s="2"/>
      <c r="R225"/>
      <c r="S225"/>
      <c r="T225"/>
      <c r="U225"/>
      <c r="V225"/>
    </row>
    <row r="226" spans="10:22" s="1" customFormat="1" x14ac:dyDescent="0.2">
      <c r="J226"/>
      <c r="K226"/>
      <c r="L226"/>
      <c r="M226"/>
      <c r="N226" s="2"/>
      <c r="R226"/>
      <c r="S226"/>
      <c r="T226"/>
      <c r="U226"/>
      <c r="V226"/>
    </row>
    <row r="227" spans="10:22" s="1" customFormat="1" x14ac:dyDescent="0.2">
      <c r="J227"/>
      <c r="K227"/>
      <c r="L227"/>
      <c r="M227"/>
      <c r="N227" s="2"/>
      <c r="R227"/>
      <c r="S227"/>
      <c r="T227"/>
      <c r="U227"/>
      <c r="V227"/>
    </row>
    <row r="228" spans="10:22" s="1" customFormat="1" x14ac:dyDescent="0.2">
      <c r="J228"/>
      <c r="K228"/>
      <c r="L228"/>
      <c r="M228"/>
      <c r="N228" s="2"/>
      <c r="R228"/>
      <c r="S228"/>
      <c r="T228"/>
      <c r="U228"/>
      <c r="V228"/>
    </row>
    <row r="229" spans="10:22" s="1" customFormat="1" x14ac:dyDescent="0.2">
      <c r="J229"/>
      <c r="K229"/>
      <c r="L229"/>
      <c r="M229"/>
      <c r="N229" s="2"/>
      <c r="R229"/>
      <c r="S229"/>
      <c r="T229"/>
      <c r="U229"/>
      <c r="V229"/>
    </row>
    <row r="230" spans="10:22" s="1" customFormat="1" x14ac:dyDescent="0.2">
      <c r="J230"/>
      <c r="K230"/>
      <c r="L230"/>
      <c r="M230"/>
      <c r="N230" s="2"/>
      <c r="R230"/>
      <c r="S230"/>
      <c r="T230"/>
      <c r="U230"/>
      <c r="V230"/>
    </row>
    <row r="231" spans="10:22" s="1" customFormat="1" x14ac:dyDescent="0.2">
      <c r="J231"/>
      <c r="K231"/>
      <c r="L231"/>
      <c r="M231"/>
      <c r="N231" s="2"/>
      <c r="R231"/>
      <c r="S231"/>
      <c r="T231"/>
      <c r="U231"/>
      <c r="V231"/>
    </row>
    <row r="232" spans="10:22" s="1" customFormat="1" x14ac:dyDescent="0.2">
      <c r="J232"/>
      <c r="K232"/>
      <c r="L232"/>
      <c r="M232"/>
      <c r="N232" s="2"/>
      <c r="R232"/>
      <c r="S232"/>
      <c r="T232"/>
      <c r="U232"/>
      <c r="V232"/>
    </row>
    <row r="233" spans="10:22" s="1" customFormat="1" x14ac:dyDescent="0.2">
      <c r="J233"/>
      <c r="K233"/>
      <c r="L233"/>
      <c r="M233"/>
      <c r="N233" s="2"/>
      <c r="R233"/>
      <c r="S233"/>
      <c r="T233"/>
      <c r="U233"/>
      <c r="V233"/>
    </row>
    <row r="234" spans="10:22" s="1" customFormat="1" x14ac:dyDescent="0.2">
      <c r="J234"/>
      <c r="K234"/>
      <c r="L234"/>
      <c r="M234"/>
      <c r="N234" s="2"/>
      <c r="R234"/>
      <c r="S234"/>
      <c r="T234"/>
      <c r="U234"/>
      <c r="V234"/>
    </row>
    <row r="235" spans="10:22" s="1" customFormat="1" x14ac:dyDescent="0.2">
      <c r="J235"/>
      <c r="K235"/>
      <c r="L235"/>
      <c r="M235"/>
      <c r="N235" s="2"/>
      <c r="R235"/>
      <c r="S235"/>
      <c r="T235"/>
      <c r="U235"/>
      <c r="V235"/>
    </row>
    <row r="236" spans="10:22" s="1" customFormat="1" x14ac:dyDescent="0.2">
      <c r="J236"/>
      <c r="K236"/>
      <c r="L236"/>
      <c r="M236"/>
      <c r="N236" s="2"/>
      <c r="R236"/>
      <c r="S236"/>
      <c r="T236"/>
      <c r="U236"/>
      <c r="V236"/>
    </row>
    <row r="237" spans="10:22" s="1" customFormat="1" x14ac:dyDescent="0.2">
      <c r="J237"/>
      <c r="K237"/>
      <c r="L237"/>
      <c r="M237"/>
      <c r="N237" s="2"/>
      <c r="R237"/>
      <c r="S237"/>
      <c r="T237"/>
      <c r="U237"/>
      <c r="V237"/>
    </row>
    <row r="238" spans="10:22" s="1" customFormat="1" x14ac:dyDescent="0.2">
      <c r="J238"/>
      <c r="K238"/>
      <c r="L238"/>
      <c r="M238"/>
      <c r="N238" s="2"/>
      <c r="R238"/>
      <c r="S238"/>
      <c r="T238"/>
      <c r="U238"/>
      <c r="V238"/>
    </row>
    <row r="239" spans="10:22" s="1" customFormat="1" x14ac:dyDescent="0.2">
      <c r="J239"/>
      <c r="K239"/>
      <c r="L239"/>
      <c r="M239"/>
      <c r="N239" s="2"/>
      <c r="R239"/>
      <c r="S239"/>
      <c r="T239"/>
      <c r="U239"/>
      <c r="V239"/>
    </row>
    <row r="240" spans="10:22" s="1" customFormat="1" x14ac:dyDescent="0.2">
      <c r="J240"/>
      <c r="K240"/>
      <c r="L240"/>
      <c r="M240"/>
      <c r="N240" s="2"/>
      <c r="R240"/>
      <c r="S240"/>
      <c r="T240"/>
      <c r="U240"/>
      <c r="V240"/>
    </row>
    <row r="241" spans="10:22" s="1" customFormat="1" x14ac:dyDescent="0.2">
      <c r="J241"/>
      <c r="K241"/>
      <c r="L241"/>
      <c r="M241"/>
      <c r="N241" s="2"/>
      <c r="R241"/>
      <c r="S241"/>
      <c r="T241"/>
      <c r="U241"/>
      <c r="V241"/>
    </row>
    <row r="242" spans="10:22" s="1" customFormat="1" x14ac:dyDescent="0.2">
      <c r="J242"/>
      <c r="K242"/>
      <c r="L242"/>
      <c r="M242"/>
      <c r="N242" s="2"/>
      <c r="R242"/>
      <c r="S242"/>
      <c r="T242"/>
      <c r="U242"/>
      <c r="V242"/>
    </row>
    <row r="243" spans="10:22" s="1" customFormat="1" x14ac:dyDescent="0.2">
      <c r="J243"/>
      <c r="K243"/>
      <c r="L243"/>
      <c r="M243"/>
      <c r="N243" s="2"/>
      <c r="R243"/>
      <c r="S243"/>
      <c r="T243"/>
      <c r="U243"/>
      <c r="V243"/>
    </row>
    <row r="244" spans="10:22" s="1" customFormat="1" x14ac:dyDescent="0.2">
      <c r="J244"/>
      <c r="K244"/>
      <c r="L244"/>
      <c r="M244"/>
      <c r="N244" s="2"/>
      <c r="R244"/>
      <c r="S244"/>
      <c r="T244"/>
      <c r="U244"/>
      <c r="V244"/>
    </row>
    <row r="245" spans="10:22" s="1" customFormat="1" x14ac:dyDescent="0.2">
      <c r="J245"/>
      <c r="K245"/>
      <c r="L245"/>
      <c r="M245"/>
      <c r="N245" s="2"/>
      <c r="R245"/>
      <c r="S245"/>
      <c r="T245"/>
      <c r="U245"/>
      <c r="V245"/>
    </row>
    <row r="246" spans="10:22" s="1" customFormat="1" x14ac:dyDescent="0.2">
      <c r="J246"/>
      <c r="K246"/>
      <c r="L246"/>
      <c r="M246"/>
      <c r="N246" s="2"/>
      <c r="R246"/>
      <c r="S246"/>
      <c r="T246"/>
      <c r="U246"/>
      <c r="V246"/>
    </row>
    <row r="247" spans="10:22" s="1" customFormat="1" x14ac:dyDescent="0.2">
      <c r="J247"/>
      <c r="K247"/>
      <c r="L247"/>
      <c r="M247"/>
      <c r="N247" s="2"/>
      <c r="R247"/>
      <c r="S247"/>
      <c r="T247"/>
      <c r="U247"/>
      <c r="V247"/>
    </row>
    <row r="248" spans="10:22" s="1" customFormat="1" x14ac:dyDescent="0.2">
      <c r="J248"/>
      <c r="K248"/>
      <c r="L248"/>
      <c r="M248"/>
      <c r="N248" s="2"/>
      <c r="R248"/>
      <c r="S248"/>
      <c r="T248"/>
      <c r="U248"/>
      <c r="V248"/>
    </row>
    <row r="249" spans="10:22" s="1" customFormat="1" x14ac:dyDescent="0.2">
      <c r="J249"/>
      <c r="K249"/>
      <c r="L249"/>
      <c r="M249"/>
      <c r="N249" s="2"/>
      <c r="R249"/>
      <c r="S249"/>
      <c r="T249"/>
      <c r="U249"/>
      <c r="V249"/>
    </row>
    <row r="250" spans="10:22" s="1" customFormat="1" x14ac:dyDescent="0.2">
      <c r="J250"/>
      <c r="K250"/>
      <c r="L250"/>
      <c r="M250"/>
      <c r="N250" s="2"/>
      <c r="R250"/>
      <c r="S250"/>
      <c r="T250"/>
      <c r="U250"/>
      <c r="V250"/>
    </row>
    <row r="251" spans="10:22" s="1" customFormat="1" x14ac:dyDescent="0.2">
      <c r="J251"/>
      <c r="K251"/>
      <c r="L251"/>
      <c r="M251"/>
      <c r="N251" s="2"/>
      <c r="R251"/>
      <c r="S251"/>
      <c r="T251"/>
      <c r="U251"/>
      <c r="V251"/>
    </row>
    <row r="252" spans="10:22" s="1" customFormat="1" x14ac:dyDescent="0.2">
      <c r="J252"/>
      <c r="K252"/>
      <c r="L252"/>
      <c r="M252"/>
      <c r="N252" s="2"/>
      <c r="R252"/>
      <c r="S252"/>
      <c r="T252"/>
      <c r="U252"/>
      <c r="V252"/>
    </row>
    <row r="253" spans="10:22" s="1" customFormat="1" x14ac:dyDescent="0.2">
      <c r="J253"/>
      <c r="K253"/>
      <c r="L253"/>
      <c r="M253"/>
      <c r="N253" s="2"/>
      <c r="R253"/>
      <c r="S253"/>
      <c r="T253"/>
      <c r="U253"/>
      <c r="V253"/>
    </row>
    <row r="254" spans="10:22" s="1" customFormat="1" x14ac:dyDescent="0.2">
      <c r="J254"/>
      <c r="K254"/>
      <c r="L254"/>
      <c r="M254"/>
      <c r="N254" s="2"/>
      <c r="R254"/>
      <c r="S254"/>
      <c r="T254"/>
      <c r="U254"/>
      <c r="V254"/>
    </row>
    <row r="255" spans="10:22" s="1" customFormat="1" x14ac:dyDescent="0.2">
      <c r="J255"/>
      <c r="K255"/>
      <c r="L255"/>
      <c r="M255"/>
      <c r="N255" s="2"/>
      <c r="R255"/>
      <c r="S255"/>
      <c r="T255"/>
      <c r="U255"/>
      <c r="V255"/>
    </row>
    <row r="256" spans="10:22" s="1" customFormat="1" x14ac:dyDescent="0.2">
      <c r="J256"/>
      <c r="K256"/>
      <c r="L256"/>
      <c r="M256"/>
      <c r="N256" s="2"/>
      <c r="R256"/>
      <c r="S256"/>
      <c r="T256"/>
      <c r="U256"/>
      <c r="V256"/>
    </row>
    <row r="257" spans="10:22" s="1" customFormat="1" x14ac:dyDescent="0.2">
      <c r="J257"/>
      <c r="K257"/>
      <c r="L257"/>
      <c r="M257"/>
      <c r="N257" s="2"/>
      <c r="R257"/>
      <c r="S257"/>
      <c r="T257"/>
      <c r="U257"/>
      <c r="V257"/>
    </row>
    <row r="258" spans="10:22" s="1" customFormat="1" x14ac:dyDescent="0.2">
      <c r="J258"/>
      <c r="K258"/>
      <c r="L258"/>
      <c r="M258"/>
      <c r="N258" s="2"/>
      <c r="R258"/>
      <c r="S258"/>
      <c r="T258"/>
      <c r="U258"/>
      <c r="V258"/>
    </row>
    <row r="259" spans="10:22" s="1" customFormat="1" x14ac:dyDescent="0.2">
      <c r="J259"/>
      <c r="K259"/>
      <c r="L259"/>
      <c r="M259"/>
      <c r="N259" s="2"/>
      <c r="R259"/>
      <c r="S259"/>
      <c r="T259"/>
      <c r="U259"/>
      <c r="V259"/>
    </row>
    <row r="260" spans="10:22" s="1" customFormat="1" x14ac:dyDescent="0.2">
      <c r="J260"/>
      <c r="K260"/>
      <c r="L260"/>
      <c r="M260"/>
      <c r="N260" s="2"/>
      <c r="R260"/>
      <c r="S260"/>
      <c r="T260"/>
      <c r="U260"/>
      <c r="V260"/>
    </row>
    <row r="261" spans="10:22" s="1" customFormat="1" x14ac:dyDescent="0.2">
      <c r="J261"/>
      <c r="K261"/>
      <c r="L261"/>
      <c r="M261"/>
      <c r="N261" s="2"/>
      <c r="R261"/>
      <c r="S261"/>
      <c r="T261"/>
      <c r="U261"/>
      <c r="V261"/>
    </row>
    <row r="262" spans="10:22" s="1" customFormat="1" x14ac:dyDescent="0.2">
      <c r="J262"/>
      <c r="K262"/>
      <c r="L262"/>
      <c r="M262"/>
      <c r="N262" s="2"/>
      <c r="R262"/>
      <c r="S262"/>
      <c r="T262"/>
      <c r="U262"/>
      <c r="V262"/>
    </row>
    <row r="263" spans="10:22" s="1" customFormat="1" x14ac:dyDescent="0.2">
      <c r="J263"/>
      <c r="K263"/>
      <c r="L263"/>
      <c r="M263"/>
      <c r="N263" s="2"/>
      <c r="R263"/>
      <c r="S263"/>
      <c r="T263"/>
      <c r="U263"/>
      <c r="V263"/>
    </row>
    <row r="264" spans="10:22" s="1" customFormat="1" x14ac:dyDescent="0.2">
      <c r="J264"/>
      <c r="K264"/>
      <c r="L264"/>
      <c r="M264"/>
      <c r="N264" s="2"/>
      <c r="R264"/>
      <c r="S264"/>
      <c r="T264"/>
      <c r="U264"/>
      <c r="V264"/>
    </row>
    <row r="265" spans="10:22" s="1" customFormat="1" x14ac:dyDescent="0.2">
      <c r="J265"/>
      <c r="K265"/>
      <c r="L265"/>
      <c r="M265"/>
      <c r="N265" s="2"/>
      <c r="R265"/>
      <c r="S265"/>
      <c r="T265"/>
      <c r="U265"/>
      <c r="V265"/>
    </row>
    <row r="266" spans="10:22" s="1" customFormat="1" x14ac:dyDescent="0.2">
      <c r="J266"/>
      <c r="K266"/>
      <c r="L266"/>
      <c r="M266"/>
      <c r="N266" s="2"/>
      <c r="R266"/>
      <c r="S266"/>
      <c r="T266"/>
      <c r="U266"/>
      <c r="V266"/>
    </row>
    <row r="267" spans="10:22" s="1" customFormat="1" x14ac:dyDescent="0.2">
      <c r="J267"/>
      <c r="K267"/>
      <c r="L267"/>
      <c r="M267"/>
      <c r="N267" s="2"/>
      <c r="R267"/>
      <c r="S267"/>
      <c r="T267"/>
      <c r="U267"/>
      <c r="V267"/>
    </row>
    <row r="268" spans="10:22" s="1" customFormat="1" x14ac:dyDescent="0.2">
      <c r="J268"/>
      <c r="K268"/>
      <c r="L268"/>
      <c r="M268"/>
      <c r="N268" s="2"/>
      <c r="R268"/>
      <c r="S268"/>
      <c r="T268"/>
      <c r="U268"/>
      <c r="V268"/>
    </row>
    <row r="269" spans="10:22" s="1" customFormat="1" x14ac:dyDescent="0.2">
      <c r="J269"/>
      <c r="K269"/>
      <c r="L269"/>
      <c r="M269"/>
      <c r="N269" s="2"/>
      <c r="R269"/>
      <c r="S269"/>
      <c r="T269"/>
      <c r="U269"/>
      <c r="V269"/>
    </row>
    <row r="270" spans="10:22" s="1" customFormat="1" x14ac:dyDescent="0.2">
      <c r="J270"/>
      <c r="K270"/>
      <c r="L270"/>
      <c r="M270"/>
      <c r="N270" s="2"/>
      <c r="R270"/>
      <c r="S270"/>
      <c r="T270"/>
      <c r="U270"/>
      <c r="V270"/>
    </row>
    <row r="271" spans="10:22" s="1" customFormat="1" x14ac:dyDescent="0.2">
      <c r="J271"/>
      <c r="K271"/>
      <c r="L271"/>
      <c r="M271"/>
      <c r="N271" s="2"/>
      <c r="R271"/>
      <c r="S271"/>
      <c r="T271"/>
      <c r="U271"/>
      <c r="V271"/>
    </row>
    <row r="272" spans="10:22" s="1" customFormat="1" x14ac:dyDescent="0.2">
      <c r="J272"/>
      <c r="K272"/>
      <c r="L272"/>
      <c r="M272"/>
      <c r="N272" s="2"/>
      <c r="R272"/>
      <c r="S272"/>
      <c r="T272"/>
      <c r="U272"/>
      <c r="V272"/>
    </row>
    <row r="273" spans="10:22" s="1" customFormat="1" x14ac:dyDescent="0.2">
      <c r="J273"/>
      <c r="K273"/>
      <c r="L273"/>
      <c r="M273"/>
      <c r="N273" s="2"/>
      <c r="R273"/>
      <c r="S273"/>
      <c r="T273"/>
      <c r="U273"/>
      <c r="V273"/>
    </row>
    <row r="274" spans="10:22" s="1" customFormat="1" x14ac:dyDescent="0.2">
      <c r="J274"/>
      <c r="K274"/>
      <c r="L274"/>
      <c r="M274"/>
      <c r="N274" s="2"/>
      <c r="R274"/>
      <c r="S274"/>
      <c r="T274"/>
      <c r="U274"/>
      <c r="V274"/>
    </row>
    <row r="275" spans="10:22" s="1" customFormat="1" x14ac:dyDescent="0.2">
      <c r="J275"/>
      <c r="K275"/>
      <c r="L275"/>
      <c r="M275"/>
      <c r="N275" s="2"/>
      <c r="R275"/>
      <c r="S275"/>
      <c r="T275"/>
      <c r="U275"/>
      <c r="V275"/>
    </row>
    <row r="276" spans="10:22" s="1" customFormat="1" x14ac:dyDescent="0.2">
      <c r="J276"/>
      <c r="K276"/>
      <c r="L276"/>
      <c r="M276"/>
      <c r="N276" s="2"/>
      <c r="R276"/>
      <c r="S276"/>
      <c r="T276"/>
      <c r="U276"/>
      <c r="V276"/>
    </row>
    <row r="277" spans="10:22" s="1" customFormat="1" x14ac:dyDescent="0.2">
      <c r="J277"/>
      <c r="K277"/>
      <c r="L277"/>
      <c r="M277"/>
      <c r="N277" s="2"/>
      <c r="R277"/>
      <c r="S277"/>
      <c r="T277"/>
      <c r="U277"/>
      <c r="V277"/>
    </row>
    <row r="278" spans="10:22" s="1" customFormat="1" x14ac:dyDescent="0.2">
      <c r="J278"/>
      <c r="K278"/>
      <c r="L278"/>
      <c r="M278"/>
      <c r="N278" s="2"/>
      <c r="R278"/>
      <c r="S278"/>
      <c r="T278"/>
      <c r="U278"/>
      <c r="V278"/>
    </row>
    <row r="279" spans="10:22" s="1" customFormat="1" x14ac:dyDescent="0.2">
      <c r="J279"/>
      <c r="K279"/>
      <c r="L279"/>
      <c r="M279"/>
      <c r="N279" s="2"/>
      <c r="R279"/>
      <c r="S279"/>
      <c r="T279"/>
      <c r="U279"/>
      <c r="V279"/>
    </row>
    <row r="280" spans="10:22" s="1" customFormat="1" x14ac:dyDescent="0.2">
      <c r="J280"/>
      <c r="K280"/>
      <c r="L280"/>
      <c r="M280"/>
      <c r="N280" s="2"/>
      <c r="R280"/>
      <c r="S280"/>
      <c r="T280"/>
      <c r="U280"/>
      <c r="V280"/>
    </row>
    <row r="281" spans="10:22" s="1" customFormat="1" x14ac:dyDescent="0.2">
      <c r="J281"/>
      <c r="K281"/>
      <c r="L281"/>
      <c r="M281"/>
      <c r="N281" s="2"/>
      <c r="R281"/>
      <c r="S281"/>
      <c r="T281"/>
      <c r="U281"/>
      <c r="V281"/>
    </row>
    <row r="282" spans="10:22" s="1" customFormat="1" x14ac:dyDescent="0.2">
      <c r="J282"/>
      <c r="K282"/>
      <c r="L282"/>
      <c r="M282"/>
      <c r="N282" s="2"/>
      <c r="R282"/>
      <c r="S282"/>
      <c r="T282"/>
      <c r="U282"/>
      <c r="V282"/>
    </row>
    <row r="283" spans="10:22" s="1" customFormat="1" x14ac:dyDescent="0.2">
      <c r="J283"/>
      <c r="K283"/>
      <c r="L283"/>
      <c r="M283"/>
      <c r="N283" s="2"/>
      <c r="R283"/>
      <c r="S283"/>
      <c r="T283"/>
      <c r="U283"/>
      <c r="V283"/>
    </row>
    <row r="284" spans="10:22" s="1" customFormat="1" x14ac:dyDescent="0.2">
      <c r="J284"/>
      <c r="K284"/>
      <c r="L284"/>
      <c r="M284"/>
      <c r="N284" s="2"/>
      <c r="R284"/>
      <c r="S284"/>
      <c r="T284"/>
      <c r="U284"/>
      <c r="V284"/>
    </row>
    <row r="285" spans="10:22" s="1" customFormat="1" x14ac:dyDescent="0.2">
      <c r="J285"/>
      <c r="K285"/>
      <c r="L285"/>
      <c r="M285"/>
      <c r="N285" s="2"/>
      <c r="R285"/>
      <c r="S285"/>
      <c r="T285"/>
      <c r="U285"/>
      <c r="V285"/>
    </row>
    <row r="286" spans="10:22" s="1" customFormat="1" x14ac:dyDescent="0.2">
      <c r="J286"/>
      <c r="K286"/>
      <c r="L286"/>
      <c r="M286"/>
      <c r="N286" s="2"/>
      <c r="R286"/>
      <c r="S286"/>
      <c r="T286"/>
      <c r="U286"/>
      <c r="V286"/>
    </row>
    <row r="287" spans="10:22" s="1" customFormat="1" x14ac:dyDescent="0.2">
      <c r="J287"/>
      <c r="K287"/>
      <c r="L287"/>
      <c r="M287"/>
      <c r="N287" s="2"/>
      <c r="R287"/>
      <c r="S287"/>
      <c r="T287"/>
      <c r="U287"/>
      <c r="V287"/>
    </row>
    <row r="288" spans="10:22" s="1" customFormat="1" x14ac:dyDescent="0.2">
      <c r="J288"/>
      <c r="K288"/>
      <c r="L288"/>
      <c r="M288"/>
      <c r="N288" s="2"/>
      <c r="R288"/>
      <c r="S288"/>
      <c r="T288"/>
      <c r="U288"/>
      <c r="V288"/>
    </row>
    <row r="289" spans="10:22" s="1" customFormat="1" x14ac:dyDescent="0.2">
      <c r="J289"/>
      <c r="K289"/>
      <c r="L289"/>
      <c r="M289"/>
      <c r="N289" s="2"/>
      <c r="R289"/>
      <c r="S289"/>
      <c r="T289"/>
      <c r="U289"/>
      <c r="V289"/>
    </row>
    <row r="290" spans="10:22" s="1" customFormat="1" x14ac:dyDescent="0.2">
      <c r="J290"/>
      <c r="K290"/>
      <c r="L290"/>
      <c r="M290"/>
      <c r="N290" s="2"/>
      <c r="R290"/>
      <c r="S290"/>
      <c r="T290"/>
      <c r="U290"/>
      <c r="V290"/>
    </row>
    <row r="291" spans="10:22" s="1" customFormat="1" x14ac:dyDescent="0.2">
      <c r="J291"/>
      <c r="K291"/>
      <c r="L291"/>
      <c r="M291"/>
      <c r="N291" s="2"/>
      <c r="R291"/>
      <c r="S291"/>
      <c r="T291"/>
      <c r="U291"/>
      <c r="V291"/>
    </row>
    <row r="292" spans="10:22" s="1" customFormat="1" x14ac:dyDescent="0.2">
      <c r="J292"/>
      <c r="K292"/>
      <c r="L292"/>
      <c r="M292"/>
      <c r="N292" s="2"/>
      <c r="R292"/>
      <c r="S292"/>
      <c r="T292"/>
      <c r="U292"/>
      <c r="V292"/>
    </row>
    <row r="293" spans="10:22" s="1" customFormat="1" x14ac:dyDescent="0.2">
      <c r="J293"/>
      <c r="K293"/>
      <c r="L293"/>
      <c r="M293"/>
      <c r="N293" s="2"/>
      <c r="R293"/>
      <c r="S293"/>
      <c r="T293"/>
      <c r="U293"/>
      <c r="V293"/>
    </row>
    <row r="294" spans="10:22" s="1" customFormat="1" x14ac:dyDescent="0.2">
      <c r="J294"/>
      <c r="K294"/>
      <c r="L294"/>
      <c r="M294"/>
      <c r="N294" s="2"/>
      <c r="R294"/>
      <c r="S294"/>
      <c r="T294"/>
      <c r="U294"/>
      <c r="V294"/>
    </row>
    <row r="295" spans="10:22" s="1" customFormat="1" x14ac:dyDescent="0.2">
      <c r="J295"/>
      <c r="K295"/>
      <c r="L295"/>
      <c r="M295"/>
      <c r="N295" s="2"/>
      <c r="R295"/>
      <c r="S295"/>
      <c r="T295"/>
      <c r="U295"/>
      <c r="V295"/>
    </row>
    <row r="296" spans="10:22" s="1" customFormat="1" x14ac:dyDescent="0.2">
      <c r="J296"/>
      <c r="K296"/>
      <c r="L296"/>
      <c r="M296"/>
      <c r="N296" s="2"/>
      <c r="R296"/>
      <c r="S296"/>
      <c r="T296"/>
      <c r="U296"/>
      <c r="V296"/>
    </row>
    <row r="297" spans="10:22" s="1" customFormat="1" x14ac:dyDescent="0.2">
      <c r="J297"/>
      <c r="K297"/>
      <c r="L297"/>
      <c r="M297"/>
      <c r="N297" s="2"/>
      <c r="R297"/>
      <c r="S297"/>
      <c r="T297"/>
      <c r="U297"/>
      <c r="V297"/>
    </row>
    <row r="298" spans="10:22" s="1" customFormat="1" x14ac:dyDescent="0.2">
      <c r="J298"/>
      <c r="K298"/>
      <c r="L298"/>
      <c r="M298"/>
      <c r="N298" s="2"/>
      <c r="R298"/>
      <c r="S298"/>
      <c r="T298"/>
      <c r="U298"/>
      <c r="V298"/>
    </row>
    <row r="299" spans="10:22" s="1" customFormat="1" x14ac:dyDescent="0.2">
      <c r="J299"/>
      <c r="K299"/>
      <c r="L299"/>
      <c r="M299"/>
      <c r="N299" s="2"/>
      <c r="R299"/>
      <c r="S299"/>
      <c r="T299"/>
      <c r="U299"/>
      <c r="V299"/>
    </row>
    <row r="300" spans="10:22" s="1" customFormat="1" x14ac:dyDescent="0.2">
      <c r="J300"/>
      <c r="K300"/>
      <c r="L300"/>
      <c r="M300"/>
      <c r="N300" s="2"/>
      <c r="R300"/>
      <c r="S300"/>
      <c r="T300"/>
      <c r="U300"/>
      <c r="V300"/>
    </row>
    <row r="301" spans="10:22" s="1" customFormat="1" x14ac:dyDescent="0.2">
      <c r="J301"/>
      <c r="K301"/>
      <c r="L301"/>
      <c r="M301"/>
      <c r="N301" s="2"/>
      <c r="R301"/>
      <c r="S301"/>
      <c r="T301"/>
      <c r="U301"/>
      <c r="V301"/>
    </row>
    <row r="302" spans="10:22" s="1" customFormat="1" x14ac:dyDescent="0.2">
      <c r="J302"/>
      <c r="K302"/>
      <c r="L302"/>
      <c r="M302"/>
      <c r="N302" s="2"/>
      <c r="R302"/>
      <c r="S302"/>
      <c r="T302"/>
      <c r="U302"/>
      <c r="V302"/>
    </row>
    <row r="303" spans="10:22" s="1" customFormat="1" x14ac:dyDescent="0.2">
      <c r="J303"/>
      <c r="K303"/>
      <c r="L303"/>
      <c r="M303"/>
      <c r="N303" s="2"/>
      <c r="R303"/>
      <c r="S303"/>
      <c r="T303"/>
      <c r="U303"/>
      <c r="V303"/>
    </row>
    <row r="304" spans="10:22" s="1" customFormat="1" x14ac:dyDescent="0.2">
      <c r="J304"/>
      <c r="K304"/>
      <c r="L304"/>
      <c r="M304"/>
      <c r="N304" s="2"/>
      <c r="R304"/>
      <c r="S304"/>
      <c r="T304"/>
      <c r="U304"/>
      <c r="V304"/>
    </row>
    <row r="305" spans="10:22" s="1" customFormat="1" x14ac:dyDescent="0.2">
      <c r="J305"/>
      <c r="K305"/>
      <c r="L305"/>
      <c r="M305"/>
      <c r="N305" s="2"/>
      <c r="R305"/>
      <c r="S305"/>
      <c r="T305"/>
      <c r="U305"/>
      <c r="V305"/>
    </row>
    <row r="306" spans="10:22" s="1" customFormat="1" x14ac:dyDescent="0.2">
      <c r="J306"/>
      <c r="K306"/>
      <c r="L306"/>
      <c r="M306"/>
      <c r="N306" s="2"/>
      <c r="R306"/>
      <c r="S306"/>
      <c r="T306"/>
      <c r="U306"/>
      <c r="V306"/>
    </row>
    <row r="307" spans="10:22" s="1" customFormat="1" x14ac:dyDescent="0.2">
      <c r="J307"/>
      <c r="K307"/>
      <c r="L307"/>
      <c r="M307"/>
      <c r="N307" s="2"/>
      <c r="R307"/>
      <c r="S307"/>
      <c r="T307"/>
      <c r="U307"/>
      <c r="V307"/>
    </row>
    <row r="308" spans="10:22" s="1" customFormat="1" x14ac:dyDescent="0.2">
      <c r="J308"/>
      <c r="K308"/>
      <c r="L308"/>
      <c r="M308"/>
      <c r="N308" s="2"/>
      <c r="R308"/>
      <c r="S308"/>
      <c r="T308"/>
      <c r="U308"/>
      <c r="V308"/>
    </row>
    <row r="309" spans="10:22" s="1" customFormat="1" x14ac:dyDescent="0.2">
      <c r="J309"/>
      <c r="K309"/>
      <c r="L309"/>
      <c r="M309"/>
      <c r="N309" s="2"/>
      <c r="R309"/>
      <c r="S309"/>
      <c r="T309"/>
      <c r="U309"/>
      <c r="V309"/>
    </row>
    <row r="310" spans="10:22" s="1" customFormat="1" x14ac:dyDescent="0.2">
      <c r="J310"/>
      <c r="K310"/>
      <c r="L310"/>
      <c r="M310"/>
      <c r="N310" s="2"/>
      <c r="R310"/>
      <c r="S310"/>
      <c r="T310"/>
      <c r="U310"/>
      <c r="V310"/>
    </row>
    <row r="311" spans="10:22" s="1" customFormat="1" x14ac:dyDescent="0.2">
      <c r="J311"/>
      <c r="K311"/>
      <c r="L311"/>
      <c r="M311"/>
      <c r="N311" s="2"/>
      <c r="R311"/>
      <c r="S311"/>
      <c r="T311"/>
      <c r="U311"/>
      <c r="V311"/>
    </row>
    <row r="312" spans="10:22" s="1" customFormat="1" x14ac:dyDescent="0.2">
      <c r="J312"/>
      <c r="K312"/>
      <c r="L312"/>
      <c r="M312"/>
      <c r="N312" s="2"/>
      <c r="R312"/>
      <c r="S312"/>
      <c r="T312"/>
      <c r="U312"/>
      <c r="V312"/>
    </row>
    <row r="313" spans="10:22" s="1" customFormat="1" x14ac:dyDescent="0.2">
      <c r="J313"/>
      <c r="K313"/>
      <c r="L313"/>
      <c r="M313"/>
      <c r="N313" s="2"/>
      <c r="R313"/>
      <c r="S313"/>
      <c r="T313"/>
      <c r="U313"/>
      <c r="V313"/>
    </row>
    <row r="314" spans="10:22" s="1" customFormat="1" x14ac:dyDescent="0.2">
      <c r="J314"/>
      <c r="K314"/>
      <c r="L314"/>
      <c r="M314"/>
      <c r="N314" s="2"/>
      <c r="R314"/>
      <c r="S314"/>
      <c r="T314"/>
      <c r="U314"/>
      <c r="V314"/>
    </row>
    <row r="315" spans="10:22" s="1" customFormat="1" x14ac:dyDescent="0.2">
      <c r="J315"/>
      <c r="K315"/>
      <c r="L315"/>
      <c r="M315"/>
      <c r="N315" s="2"/>
      <c r="R315"/>
      <c r="S315"/>
      <c r="T315"/>
      <c r="U315"/>
      <c r="V315"/>
    </row>
    <row r="316" spans="10:22" s="1" customFormat="1" x14ac:dyDescent="0.2">
      <c r="J316"/>
      <c r="K316"/>
      <c r="L316"/>
      <c r="M316"/>
      <c r="N316" s="2"/>
      <c r="R316"/>
      <c r="S316"/>
      <c r="T316"/>
      <c r="U316"/>
      <c r="V316"/>
    </row>
    <row r="317" spans="10:22" s="1" customFormat="1" x14ac:dyDescent="0.2">
      <c r="J317"/>
      <c r="K317"/>
      <c r="L317"/>
      <c r="M317"/>
      <c r="N317" s="2"/>
      <c r="R317"/>
      <c r="S317"/>
      <c r="T317"/>
      <c r="U317"/>
      <c r="V317"/>
    </row>
    <row r="318" spans="10:22" s="1" customFormat="1" x14ac:dyDescent="0.2">
      <c r="J318"/>
      <c r="K318"/>
      <c r="L318"/>
      <c r="M318"/>
      <c r="N318" s="2"/>
      <c r="R318"/>
      <c r="S318"/>
      <c r="T318"/>
      <c r="U318"/>
      <c r="V318"/>
    </row>
    <row r="319" spans="10:22" s="1" customFormat="1" x14ac:dyDescent="0.2">
      <c r="J319"/>
      <c r="K319"/>
      <c r="L319"/>
      <c r="M319"/>
      <c r="N319" s="2"/>
      <c r="R319"/>
      <c r="S319"/>
      <c r="T319"/>
      <c r="U319"/>
      <c r="V319"/>
    </row>
    <row r="320" spans="10:22" s="1" customFormat="1" x14ac:dyDescent="0.2">
      <c r="J320"/>
      <c r="K320"/>
      <c r="L320"/>
      <c r="M320"/>
      <c r="N320" s="2"/>
      <c r="R320"/>
      <c r="S320"/>
      <c r="T320"/>
      <c r="U320"/>
      <c r="V320"/>
    </row>
    <row r="321" spans="10:22" s="1" customFormat="1" x14ac:dyDescent="0.2">
      <c r="J321"/>
      <c r="K321"/>
      <c r="L321"/>
      <c r="M321"/>
      <c r="N321" s="2"/>
      <c r="R321"/>
      <c r="S321"/>
      <c r="T321"/>
      <c r="U321"/>
      <c r="V321"/>
    </row>
    <row r="322" spans="10:22" s="1" customFormat="1" x14ac:dyDescent="0.2">
      <c r="J322"/>
      <c r="K322"/>
      <c r="L322"/>
      <c r="M322"/>
      <c r="N322" s="2"/>
      <c r="R322"/>
      <c r="S322"/>
      <c r="T322"/>
      <c r="U322"/>
      <c r="V322"/>
    </row>
    <row r="323" spans="10:22" s="1" customFormat="1" x14ac:dyDescent="0.2">
      <c r="J323"/>
      <c r="K323"/>
      <c r="L323"/>
      <c r="M323"/>
      <c r="N323" s="2"/>
      <c r="R323"/>
      <c r="S323"/>
      <c r="T323"/>
      <c r="U323"/>
      <c r="V323"/>
    </row>
    <row r="324" spans="10:22" s="1" customFormat="1" x14ac:dyDescent="0.2">
      <c r="J324"/>
      <c r="K324"/>
      <c r="L324"/>
      <c r="M324"/>
      <c r="N324" s="2"/>
      <c r="R324"/>
      <c r="S324"/>
      <c r="T324"/>
      <c r="U324"/>
      <c r="V324"/>
    </row>
    <row r="325" spans="10:22" s="1" customFormat="1" x14ac:dyDescent="0.2">
      <c r="J325"/>
      <c r="K325"/>
      <c r="L325"/>
      <c r="M325"/>
      <c r="N325" s="2"/>
      <c r="R325"/>
      <c r="S325"/>
      <c r="T325"/>
      <c r="U325"/>
      <c r="V325"/>
    </row>
    <row r="326" spans="10:22" s="1" customFormat="1" x14ac:dyDescent="0.2">
      <c r="J326"/>
      <c r="K326"/>
      <c r="L326"/>
      <c r="M326"/>
      <c r="N326" s="2"/>
      <c r="R326"/>
      <c r="S326"/>
      <c r="T326"/>
      <c r="U326"/>
      <c r="V326"/>
    </row>
    <row r="327" spans="10:22" s="1" customFormat="1" x14ac:dyDescent="0.2">
      <c r="J327"/>
      <c r="K327"/>
      <c r="L327"/>
      <c r="M327"/>
      <c r="N327" s="2"/>
      <c r="R327"/>
      <c r="S327"/>
      <c r="T327"/>
      <c r="U327"/>
      <c r="V327"/>
    </row>
    <row r="328" spans="10:22" s="1" customFormat="1" x14ac:dyDescent="0.2">
      <c r="J328"/>
      <c r="K328"/>
      <c r="L328"/>
      <c r="M328"/>
      <c r="N328" s="2"/>
      <c r="R328"/>
      <c r="S328"/>
      <c r="T328"/>
      <c r="U328"/>
      <c r="V328"/>
    </row>
    <row r="329" spans="10:22" s="1" customFormat="1" x14ac:dyDescent="0.2">
      <c r="J329"/>
      <c r="K329"/>
      <c r="L329"/>
      <c r="M329"/>
      <c r="N329" s="2"/>
      <c r="R329"/>
      <c r="S329"/>
      <c r="T329"/>
      <c r="U329"/>
      <c r="V329"/>
    </row>
    <row r="330" spans="10:22" s="1" customFormat="1" x14ac:dyDescent="0.2">
      <c r="J330"/>
      <c r="K330"/>
      <c r="L330"/>
      <c r="M330"/>
      <c r="N330" s="2"/>
      <c r="R330"/>
      <c r="S330"/>
      <c r="T330"/>
      <c r="U330"/>
      <c r="V330"/>
    </row>
    <row r="331" spans="10:22" s="1" customFormat="1" x14ac:dyDescent="0.2">
      <c r="J331"/>
      <c r="K331"/>
      <c r="L331"/>
      <c r="M331"/>
      <c r="N331" s="2"/>
      <c r="R331"/>
      <c r="S331"/>
      <c r="T331"/>
      <c r="U331"/>
      <c r="V331"/>
    </row>
    <row r="332" spans="10:22" s="1" customFormat="1" x14ac:dyDescent="0.2">
      <c r="J332"/>
      <c r="K332"/>
      <c r="L332"/>
      <c r="M332"/>
      <c r="N332" s="2"/>
      <c r="R332"/>
      <c r="S332"/>
      <c r="T332"/>
      <c r="U332"/>
      <c r="V332"/>
    </row>
    <row r="333" spans="10:22" s="1" customFormat="1" x14ac:dyDescent="0.2">
      <c r="J333"/>
      <c r="K333"/>
      <c r="L333"/>
      <c r="M333"/>
      <c r="N333" s="2"/>
      <c r="R333"/>
      <c r="S333"/>
      <c r="T333"/>
      <c r="U333"/>
      <c r="V333"/>
    </row>
    <row r="334" spans="10:22" s="1" customFormat="1" x14ac:dyDescent="0.2">
      <c r="J334"/>
      <c r="K334"/>
      <c r="L334"/>
      <c r="M334"/>
      <c r="N334" s="2"/>
      <c r="R334"/>
      <c r="S334"/>
      <c r="T334"/>
      <c r="U334"/>
      <c r="V334"/>
    </row>
    <row r="335" spans="10:22" s="1" customFormat="1" x14ac:dyDescent="0.2">
      <c r="J335"/>
      <c r="K335"/>
      <c r="L335"/>
      <c r="M335"/>
      <c r="N335" s="2"/>
      <c r="R335"/>
      <c r="S335"/>
      <c r="T335"/>
      <c r="U335"/>
      <c r="V335"/>
    </row>
    <row r="336" spans="10:22" s="1" customFormat="1" x14ac:dyDescent="0.2">
      <c r="J336"/>
      <c r="K336"/>
      <c r="L336"/>
      <c r="M336"/>
      <c r="N336" s="2"/>
      <c r="R336"/>
      <c r="S336"/>
      <c r="T336"/>
      <c r="U336"/>
      <c r="V336"/>
    </row>
    <row r="337" spans="10:22" s="1" customFormat="1" x14ac:dyDescent="0.2">
      <c r="J337"/>
      <c r="K337"/>
      <c r="L337"/>
      <c r="M337"/>
      <c r="N337" s="2"/>
      <c r="R337"/>
      <c r="S337"/>
      <c r="T337"/>
      <c r="U337"/>
      <c r="V337"/>
    </row>
    <row r="338" spans="10:22" s="1" customFormat="1" x14ac:dyDescent="0.2">
      <c r="J338"/>
      <c r="K338"/>
      <c r="L338"/>
      <c r="M338"/>
      <c r="N338" s="2"/>
      <c r="R338"/>
      <c r="S338"/>
      <c r="T338"/>
      <c r="U338"/>
      <c r="V338"/>
    </row>
    <row r="339" spans="10:22" s="1" customFormat="1" x14ac:dyDescent="0.2">
      <c r="J339"/>
      <c r="K339"/>
      <c r="L339"/>
      <c r="M339"/>
      <c r="N339" s="2"/>
      <c r="R339"/>
      <c r="S339"/>
      <c r="T339"/>
      <c r="U339"/>
      <c r="V339"/>
    </row>
    <row r="340" spans="10:22" s="1" customFormat="1" x14ac:dyDescent="0.2">
      <c r="J340"/>
      <c r="K340"/>
      <c r="L340"/>
      <c r="M340"/>
      <c r="N340" s="2"/>
      <c r="R340"/>
      <c r="S340"/>
      <c r="T340"/>
      <c r="U340"/>
      <c r="V340"/>
    </row>
    <row r="341" spans="10:22" s="1" customFormat="1" x14ac:dyDescent="0.2">
      <c r="J341"/>
      <c r="K341"/>
      <c r="L341"/>
      <c r="M341"/>
      <c r="N341" s="2"/>
      <c r="R341"/>
      <c r="S341"/>
      <c r="T341"/>
      <c r="U341"/>
      <c r="V341"/>
    </row>
    <row r="342" spans="10:22" s="1" customFormat="1" x14ac:dyDescent="0.2">
      <c r="J342"/>
      <c r="K342"/>
      <c r="L342"/>
      <c r="M342"/>
      <c r="N342" s="2"/>
      <c r="R342"/>
      <c r="S342"/>
      <c r="T342"/>
      <c r="U342"/>
      <c r="V342"/>
    </row>
    <row r="343" spans="10:22" s="1" customFormat="1" x14ac:dyDescent="0.2">
      <c r="J343"/>
      <c r="K343"/>
      <c r="L343"/>
      <c r="M343"/>
      <c r="N343" s="2"/>
      <c r="R343"/>
      <c r="S343"/>
      <c r="T343"/>
      <c r="U343"/>
      <c r="V343"/>
    </row>
    <row r="344" spans="10:22" s="1" customFormat="1" x14ac:dyDescent="0.2">
      <c r="J344"/>
      <c r="K344"/>
      <c r="L344"/>
      <c r="M344"/>
      <c r="N344" s="2"/>
      <c r="R344"/>
      <c r="S344"/>
      <c r="T344"/>
      <c r="U344"/>
      <c r="V344"/>
    </row>
    <row r="345" spans="10:22" s="1" customFormat="1" x14ac:dyDescent="0.2">
      <c r="J345"/>
      <c r="K345"/>
      <c r="L345"/>
      <c r="M345"/>
      <c r="N345" s="2"/>
      <c r="R345"/>
      <c r="S345"/>
      <c r="T345"/>
      <c r="U345"/>
      <c r="V345"/>
    </row>
    <row r="346" spans="10:22" s="1" customFormat="1" x14ac:dyDescent="0.2">
      <c r="J346"/>
      <c r="K346"/>
      <c r="L346"/>
      <c r="M346"/>
      <c r="N346" s="2"/>
      <c r="R346"/>
      <c r="S346"/>
      <c r="T346"/>
      <c r="U346"/>
      <c r="V346"/>
    </row>
    <row r="347" spans="10:22" s="1" customFormat="1" x14ac:dyDescent="0.2">
      <c r="J347"/>
      <c r="K347"/>
      <c r="L347"/>
      <c r="M347"/>
      <c r="N347" s="2"/>
      <c r="R347"/>
      <c r="S347"/>
      <c r="T347"/>
      <c r="U347"/>
      <c r="V347"/>
    </row>
    <row r="348" spans="10:22" s="1" customFormat="1" x14ac:dyDescent="0.2">
      <c r="J348"/>
      <c r="K348"/>
      <c r="L348"/>
      <c r="M348"/>
      <c r="N348" s="2"/>
      <c r="R348"/>
      <c r="S348"/>
      <c r="T348"/>
      <c r="U348"/>
      <c r="V348"/>
    </row>
    <row r="349" spans="10:22" s="1" customFormat="1" x14ac:dyDescent="0.2">
      <c r="J349"/>
      <c r="K349"/>
      <c r="L349"/>
      <c r="M349"/>
      <c r="N349" s="2"/>
      <c r="R349"/>
      <c r="S349"/>
      <c r="T349"/>
      <c r="U349"/>
      <c r="V349"/>
    </row>
    <row r="350" spans="10:22" s="1" customFormat="1" x14ac:dyDescent="0.2">
      <c r="J350"/>
      <c r="K350"/>
      <c r="L350"/>
      <c r="M350"/>
      <c r="N350" s="2"/>
      <c r="R350"/>
      <c r="S350"/>
      <c r="T350"/>
      <c r="U350"/>
      <c r="V350"/>
    </row>
    <row r="351" spans="10:22" s="1" customFormat="1" x14ac:dyDescent="0.2">
      <c r="J351"/>
      <c r="K351"/>
      <c r="L351"/>
      <c r="M351"/>
      <c r="N351" s="2"/>
      <c r="R351"/>
      <c r="S351"/>
      <c r="T351"/>
      <c r="U351"/>
      <c r="V351"/>
    </row>
    <row r="352" spans="10:22" s="1" customFormat="1" x14ac:dyDescent="0.2">
      <c r="J352"/>
      <c r="K352"/>
      <c r="L352"/>
      <c r="M352"/>
      <c r="N352" s="2"/>
      <c r="R352"/>
      <c r="S352"/>
      <c r="T352"/>
      <c r="U352"/>
      <c r="V352"/>
    </row>
    <row r="353" spans="10:22" s="1" customFormat="1" x14ac:dyDescent="0.2">
      <c r="J353"/>
      <c r="K353"/>
      <c r="L353"/>
      <c r="M353"/>
      <c r="N353" s="2"/>
      <c r="R353"/>
      <c r="S353"/>
      <c r="T353"/>
      <c r="U353"/>
      <c r="V353"/>
    </row>
    <row r="354" spans="10:22" s="1" customFormat="1" x14ac:dyDescent="0.2">
      <c r="J354"/>
      <c r="K354"/>
      <c r="L354"/>
      <c r="M354"/>
      <c r="N354" s="2"/>
      <c r="R354"/>
      <c r="S354"/>
      <c r="T354"/>
      <c r="U354"/>
      <c r="V354"/>
    </row>
    <row r="355" spans="10:22" s="1" customFormat="1" x14ac:dyDescent="0.2">
      <c r="J355"/>
      <c r="K355"/>
      <c r="L355"/>
      <c r="M355"/>
      <c r="N355" s="2"/>
      <c r="R355"/>
      <c r="S355"/>
      <c r="T355"/>
      <c r="U355"/>
      <c r="V355"/>
    </row>
    <row r="356" spans="10:22" s="1" customFormat="1" x14ac:dyDescent="0.2">
      <c r="J356"/>
      <c r="K356"/>
      <c r="L356"/>
      <c r="M356"/>
      <c r="N356" s="2"/>
      <c r="R356"/>
      <c r="S356"/>
      <c r="T356"/>
      <c r="U356"/>
      <c r="V356"/>
    </row>
    <row r="357" spans="10:22" s="1" customFormat="1" x14ac:dyDescent="0.2">
      <c r="J357"/>
      <c r="K357"/>
      <c r="L357"/>
      <c r="M357"/>
      <c r="N357" s="2"/>
      <c r="R357"/>
      <c r="S357"/>
      <c r="T357"/>
      <c r="U357"/>
      <c r="V357"/>
    </row>
    <row r="358" spans="10:22" s="1" customFormat="1" x14ac:dyDescent="0.2">
      <c r="J358"/>
      <c r="K358"/>
      <c r="L358"/>
      <c r="M358"/>
      <c r="N358" s="2"/>
      <c r="R358"/>
      <c r="S358"/>
      <c r="T358"/>
      <c r="U358"/>
      <c r="V358"/>
    </row>
    <row r="359" spans="10:22" s="1" customFormat="1" x14ac:dyDescent="0.2">
      <c r="J359"/>
      <c r="K359"/>
      <c r="L359"/>
      <c r="M359"/>
      <c r="N359" s="2"/>
      <c r="R359"/>
      <c r="S359"/>
      <c r="T359"/>
      <c r="U359"/>
      <c r="V359"/>
    </row>
    <row r="360" spans="10:22" s="1" customFormat="1" x14ac:dyDescent="0.2">
      <c r="J360"/>
      <c r="K360"/>
      <c r="L360"/>
      <c r="M360"/>
      <c r="N360" s="2"/>
      <c r="R360"/>
      <c r="S360"/>
      <c r="T360"/>
      <c r="U360"/>
      <c r="V360"/>
    </row>
    <row r="361" spans="10:22" s="1" customFormat="1" x14ac:dyDescent="0.2">
      <c r="J361"/>
      <c r="K361"/>
      <c r="L361"/>
      <c r="M361"/>
      <c r="N361" s="2"/>
      <c r="R361"/>
      <c r="S361"/>
      <c r="T361"/>
      <c r="U361"/>
      <c r="V361"/>
    </row>
    <row r="362" spans="10:22" s="1" customFormat="1" x14ac:dyDescent="0.2">
      <c r="J362"/>
      <c r="K362"/>
      <c r="L362"/>
      <c r="M362"/>
      <c r="N362" s="2"/>
      <c r="R362"/>
      <c r="S362"/>
      <c r="T362"/>
      <c r="U362"/>
      <c r="V362"/>
    </row>
    <row r="363" spans="10:22" s="1" customFormat="1" x14ac:dyDescent="0.2">
      <c r="J363"/>
      <c r="K363"/>
      <c r="L363"/>
      <c r="M363"/>
      <c r="N363" s="2"/>
      <c r="R363"/>
      <c r="S363"/>
      <c r="T363"/>
      <c r="U363"/>
      <c r="V363"/>
    </row>
    <row r="364" spans="10:22" s="1" customFormat="1" x14ac:dyDescent="0.2">
      <c r="J364"/>
      <c r="K364"/>
      <c r="L364"/>
      <c r="M364"/>
      <c r="N364" s="2"/>
      <c r="R364"/>
      <c r="S364"/>
      <c r="T364"/>
      <c r="U364"/>
      <c r="V364"/>
    </row>
    <row r="365" spans="10:22" s="1" customFormat="1" x14ac:dyDescent="0.2">
      <c r="J365"/>
      <c r="K365"/>
      <c r="L365"/>
      <c r="M365"/>
      <c r="N365" s="2"/>
      <c r="R365"/>
      <c r="S365"/>
      <c r="T365"/>
      <c r="U365"/>
      <c r="V365"/>
    </row>
    <row r="366" spans="10:22" s="1" customFormat="1" x14ac:dyDescent="0.2">
      <c r="J366"/>
      <c r="K366"/>
      <c r="L366"/>
      <c r="M366"/>
      <c r="N366" s="2"/>
      <c r="R366"/>
      <c r="S366"/>
      <c r="T366"/>
      <c r="U366"/>
      <c r="V366"/>
    </row>
    <row r="367" spans="10:22" s="1" customFormat="1" x14ac:dyDescent="0.2">
      <c r="J367"/>
      <c r="K367"/>
      <c r="L367"/>
      <c r="M367"/>
      <c r="N367" s="2"/>
      <c r="R367"/>
      <c r="S367"/>
      <c r="T367"/>
      <c r="U367"/>
      <c r="V367"/>
    </row>
    <row r="368" spans="10:22" s="1" customFormat="1" x14ac:dyDescent="0.2">
      <c r="J368"/>
      <c r="K368"/>
      <c r="L368"/>
      <c r="M368"/>
      <c r="N368" s="2"/>
      <c r="R368"/>
      <c r="S368"/>
      <c r="T368"/>
      <c r="U368"/>
      <c r="V368"/>
    </row>
    <row r="369" spans="10:22" s="1" customFormat="1" x14ac:dyDescent="0.2">
      <c r="J369"/>
      <c r="K369"/>
      <c r="L369"/>
      <c r="M369"/>
      <c r="N369" s="2"/>
      <c r="R369"/>
      <c r="S369"/>
      <c r="T369"/>
      <c r="U369"/>
      <c r="V369"/>
    </row>
    <row r="370" spans="10:22" s="1" customFormat="1" x14ac:dyDescent="0.2">
      <c r="J370"/>
      <c r="K370"/>
      <c r="L370"/>
      <c r="M370"/>
      <c r="N370" s="2"/>
      <c r="R370"/>
      <c r="S370"/>
      <c r="T370"/>
      <c r="U370"/>
      <c r="V370"/>
    </row>
    <row r="371" spans="10:22" s="1" customFormat="1" x14ac:dyDescent="0.2">
      <c r="J371"/>
      <c r="K371"/>
      <c r="L371"/>
      <c r="M371"/>
      <c r="N371" s="2"/>
      <c r="R371"/>
      <c r="S371"/>
      <c r="T371"/>
      <c r="U371"/>
      <c r="V371"/>
    </row>
    <row r="372" spans="10:22" s="1" customFormat="1" x14ac:dyDescent="0.2">
      <c r="J372"/>
      <c r="K372"/>
      <c r="L372"/>
      <c r="M372"/>
      <c r="N372" s="2"/>
      <c r="R372"/>
      <c r="S372"/>
      <c r="T372"/>
      <c r="U372"/>
      <c r="V372"/>
    </row>
    <row r="373" spans="10:22" s="1" customFormat="1" x14ac:dyDescent="0.2">
      <c r="J373"/>
      <c r="K373"/>
      <c r="L373"/>
      <c r="M373"/>
      <c r="N373" s="2"/>
      <c r="R373"/>
      <c r="S373"/>
      <c r="T373"/>
      <c r="U373"/>
      <c r="V373"/>
    </row>
    <row r="374" spans="10:22" s="1" customFormat="1" x14ac:dyDescent="0.2">
      <c r="J374"/>
      <c r="K374"/>
      <c r="L374"/>
      <c r="M374"/>
      <c r="N374" s="2"/>
      <c r="R374"/>
      <c r="S374"/>
      <c r="T374"/>
      <c r="U374"/>
      <c r="V374"/>
    </row>
    <row r="375" spans="10:22" s="1" customFormat="1" x14ac:dyDescent="0.2">
      <c r="J375"/>
      <c r="K375"/>
      <c r="L375"/>
      <c r="M375"/>
      <c r="N375" s="2"/>
      <c r="R375"/>
      <c r="S375"/>
      <c r="T375"/>
      <c r="U375"/>
      <c r="V375"/>
    </row>
    <row r="376" spans="10:22" s="1" customFormat="1" x14ac:dyDescent="0.2">
      <c r="J376"/>
      <c r="K376"/>
      <c r="L376"/>
      <c r="M376"/>
      <c r="N376" s="2"/>
      <c r="R376"/>
      <c r="S376"/>
      <c r="T376"/>
      <c r="U376"/>
      <c r="V376"/>
    </row>
    <row r="377" spans="10:22" s="1" customFormat="1" x14ac:dyDescent="0.2">
      <c r="J377"/>
      <c r="K377"/>
      <c r="L377"/>
      <c r="M377"/>
      <c r="N377" s="2"/>
      <c r="R377"/>
      <c r="S377"/>
      <c r="T377"/>
      <c r="U377"/>
      <c r="V377"/>
    </row>
    <row r="378" spans="10:22" s="1" customFormat="1" x14ac:dyDescent="0.2">
      <c r="J378"/>
      <c r="K378"/>
      <c r="L378"/>
      <c r="M378"/>
      <c r="N378" s="2"/>
      <c r="R378"/>
      <c r="S378"/>
      <c r="T378"/>
      <c r="U378"/>
      <c r="V378"/>
    </row>
    <row r="379" spans="10:22" s="1" customFormat="1" x14ac:dyDescent="0.2">
      <c r="J379"/>
      <c r="K379"/>
      <c r="L379"/>
      <c r="M379"/>
      <c r="N379" s="2"/>
      <c r="R379"/>
      <c r="S379"/>
      <c r="T379"/>
      <c r="U379"/>
      <c r="V379"/>
    </row>
    <row r="380" spans="10:22" s="1" customFormat="1" x14ac:dyDescent="0.2">
      <c r="J380"/>
      <c r="K380"/>
      <c r="L380"/>
      <c r="M380"/>
      <c r="N380" s="2"/>
      <c r="R380"/>
      <c r="S380"/>
      <c r="T380"/>
      <c r="U380"/>
      <c r="V380"/>
    </row>
    <row r="381" spans="10:22" s="1" customFormat="1" x14ac:dyDescent="0.2">
      <c r="J381"/>
      <c r="K381"/>
      <c r="L381"/>
      <c r="M381"/>
      <c r="N381" s="2"/>
      <c r="R381"/>
      <c r="S381"/>
      <c r="T381"/>
      <c r="U381"/>
      <c r="V381"/>
    </row>
    <row r="382" spans="10:22" s="1" customFormat="1" x14ac:dyDescent="0.2">
      <c r="J382"/>
      <c r="K382"/>
      <c r="L382"/>
      <c r="M382"/>
      <c r="N382" s="2"/>
      <c r="R382"/>
      <c r="S382"/>
      <c r="T382"/>
      <c r="U382"/>
      <c r="V382"/>
    </row>
    <row r="383" spans="10:22" s="1" customFormat="1" x14ac:dyDescent="0.2">
      <c r="J383"/>
      <c r="K383"/>
      <c r="L383"/>
      <c r="M383"/>
      <c r="N383" s="2"/>
      <c r="R383"/>
      <c r="S383"/>
      <c r="T383"/>
      <c r="U383"/>
      <c r="V383"/>
    </row>
    <row r="384" spans="10:22" s="1" customFormat="1" x14ac:dyDescent="0.2">
      <c r="J384"/>
      <c r="K384"/>
      <c r="L384"/>
      <c r="M384"/>
      <c r="N384" s="2"/>
      <c r="R384"/>
      <c r="S384"/>
      <c r="T384"/>
      <c r="U384"/>
      <c r="V384"/>
    </row>
    <row r="385" spans="10:22" s="1" customFormat="1" x14ac:dyDescent="0.2">
      <c r="J385"/>
      <c r="K385"/>
      <c r="L385"/>
      <c r="M385"/>
      <c r="N385" s="2"/>
      <c r="R385"/>
      <c r="S385"/>
      <c r="T385"/>
      <c r="U385"/>
      <c r="V385"/>
    </row>
    <row r="386" spans="10:22" s="1" customFormat="1" x14ac:dyDescent="0.2">
      <c r="J386"/>
      <c r="K386"/>
      <c r="L386"/>
      <c r="M386"/>
      <c r="N386" s="2"/>
      <c r="R386"/>
      <c r="S386"/>
      <c r="T386"/>
      <c r="U386"/>
      <c r="V386"/>
    </row>
    <row r="387" spans="10:22" s="1" customFormat="1" x14ac:dyDescent="0.2">
      <c r="J387"/>
      <c r="K387"/>
      <c r="L387"/>
      <c r="M387"/>
      <c r="N387" s="2"/>
      <c r="R387"/>
      <c r="S387"/>
      <c r="T387"/>
      <c r="U387"/>
      <c r="V387"/>
    </row>
    <row r="388" spans="10:22" s="1" customFormat="1" x14ac:dyDescent="0.2">
      <c r="J388"/>
      <c r="K388"/>
      <c r="L388"/>
      <c r="M388"/>
      <c r="N388" s="2"/>
      <c r="R388"/>
      <c r="S388"/>
      <c r="T388"/>
      <c r="U388"/>
      <c r="V388"/>
    </row>
    <row r="389" spans="10:22" s="1" customFormat="1" x14ac:dyDescent="0.2">
      <c r="J389"/>
      <c r="K389"/>
      <c r="L389"/>
      <c r="M389"/>
      <c r="N389" s="2"/>
      <c r="R389"/>
      <c r="S389"/>
      <c r="T389"/>
      <c r="U389"/>
      <c r="V389"/>
    </row>
    <row r="390" spans="10:22" s="1" customFormat="1" x14ac:dyDescent="0.2">
      <c r="J390"/>
      <c r="K390"/>
      <c r="L390"/>
      <c r="M390"/>
      <c r="N390" s="2"/>
      <c r="R390"/>
      <c r="S390"/>
      <c r="T390"/>
      <c r="U390"/>
      <c r="V390"/>
    </row>
    <row r="391" spans="10:22" s="1" customFormat="1" x14ac:dyDescent="0.2">
      <c r="J391"/>
      <c r="K391"/>
      <c r="L391"/>
      <c r="M391"/>
      <c r="N391" s="2"/>
      <c r="R391"/>
      <c r="S391"/>
      <c r="T391"/>
      <c r="U391"/>
      <c r="V391"/>
    </row>
    <row r="392" spans="10:22" s="1" customFormat="1" x14ac:dyDescent="0.2">
      <c r="J392"/>
      <c r="K392"/>
      <c r="L392"/>
      <c r="M392"/>
      <c r="N392" s="2"/>
      <c r="R392"/>
      <c r="S392"/>
      <c r="T392"/>
      <c r="U392"/>
      <c r="V392"/>
    </row>
    <row r="393" spans="10:22" s="1" customFormat="1" x14ac:dyDescent="0.2">
      <c r="J393"/>
      <c r="K393"/>
      <c r="L393"/>
      <c r="M393"/>
      <c r="N393" s="2"/>
      <c r="R393"/>
      <c r="S393"/>
      <c r="T393"/>
      <c r="U393"/>
      <c r="V393"/>
    </row>
    <row r="394" spans="10:22" s="1" customFormat="1" x14ac:dyDescent="0.2">
      <c r="J394"/>
      <c r="K394"/>
      <c r="L394"/>
      <c r="M394"/>
      <c r="N394" s="2"/>
      <c r="R394"/>
      <c r="S394"/>
      <c r="T394"/>
      <c r="U394"/>
      <c r="V394"/>
    </row>
    <row r="395" spans="10:22" s="1" customFormat="1" x14ac:dyDescent="0.2">
      <c r="J395"/>
      <c r="K395"/>
      <c r="L395"/>
      <c r="M395"/>
      <c r="N395" s="2"/>
      <c r="R395"/>
      <c r="S395"/>
      <c r="T395"/>
      <c r="U395"/>
      <c r="V395"/>
    </row>
    <row r="396" spans="10:22" s="1" customFormat="1" x14ac:dyDescent="0.2">
      <c r="J396"/>
      <c r="K396"/>
      <c r="L396"/>
      <c r="M396"/>
      <c r="N396" s="2"/>
      <c r="R396"/>
      <c r="S396"/>
      <c r="T396"/>
      <c r="U396"/>
      <c r="V396"/>
    </row>
    <row r="397" spans="10:22" s="1" customFormat="1" x14ac:dyDescent="0.2">
      <c r="J397"/>
      <c r="K397"/>
      <c r="L397"/>
      <c r="M397"/>
      <c r="N397" s="2"/>
      <c r="R397"/>
      <c r="S397"/>
      <c r="T397"/>
      <c r="U397"/>
      <c r="V397"/>
    </row>
    <row r="398" spans="10:22" s="1" customFormat="1" x14ac:dyDescent="0.2">
      <c r="J398"/>
      <c r="K398"/>
      <c r="L398"/>
      <c r="M398"/>
      <c r="N398" s="2"/>
      <c r="R398"/>
      <c r="S398"/>
      <c r="T398"/>
      <c r="U398"/>
      <c r="V398"/>
    </row>
    <row r="399" spans="10:22" s="1" customFormat="1" x14ac:dyDescent="0.2">
      <c r="J399"/>
      <c r="K399"/>
      <c r="L399"/>
      <c r="M399"/>
      <c r="N399" s="2"/>
      <c r="R399"/>
      <c r="S399"/>
      <c r="T399"/>
      <c r="U399"/>
      <c r="V399"/>
    </row>
    <row r="400" spans="10:22" s="1" customFormat="1" x14ac:dyDescent="0.2">
      <c r="J400"/>
      <c r="K400"/>
      <c r="L400"/>
      <c r="M400"/>
      <c r="N400" s="2"/>
      <c r="R400"/>
      <c r="S400"/>
      <c r="T400"/>
      <c r="U400"/>
      <c r="V400"/>
    </row>
    <row r="401" spans="10:22" s="1" customFormat="1" x14ac:dyDescent="0.2">
      <c r="J401"/>
      <c r="K401"/>
      <c r="L401"/>
      <c r="M401"/>
      <c r="N401" s="2"/>
      <c r="R401"/>
      <c r="S401"/>
      <c r="T401"/>
      <c r="U401"/>
      <c r="V401"/>
    </row>
    <row r="402" spans="10:22" s="1" customFormat="1" x14ac:dyDescent="0.2">
      <c r="J402"/>
      <c r="K402"/>
      <c r="L402"/>
      <c r="M402"/>
      <c r="N402" s="2"/>
      <c r="R402"/>
      <c r="S402"/>
      <c r="T402"/>
      <c r="U402"/>
      <c r="V402"/>
    </row>
    <row r="403" spans="10:22" s="1" customFormat="1" x14ac:dyDescent="0.2">
      <c r="J403"/>
      <c r="K403"/>
      <c r="L403"/>
      <c r="M403"/>
      <c r="N403" s="2"/>
      <c r="R403"/>
      <c r="S403"/>
      <c r="T403"/>
      <c r="U403"/>
      <c r="V403"/>
    </row>
    <row r="404" spans="10:22" s="1" customFormat="1" x14ac:dyDescent="0.2">
      <c r="J404"/>
      <c r="K404"/>
      <c r="L404"/>
      <c r="M404"/>
      <c r="N404" s="2"/>
      <c r="R404"/>
      <c r="S404"/>
      <c r="T404"/>
      <c r="U404"/>
      <c r="V404"/>
    </row>
    <row r="405" spans="10:22" s="1" customFormat="1" x14ac:dyDescent="0.2">
      <c r="J405"/>
      <c r="K405"/>
      <c r="L405"/>
      <c r="M405"/>
      <c r="N405" s="2"/>
      <c r="R405"/>
      <c r="S405"/>
      <c r="T405"/>
      <c r="U405"/>
      <c r="V405"/>
    </row>
    <row r="406" spans="10:22" s="1" customFormat="1" x14ac:dyDescent="0.2">
      <c r="J406"/>
      <c r="K406"/>
      <c r="L406"/>
      <c r="M406"/>
      <c r="N406" s="2"/>
      <c r="R406"/>
      <c r="S406"/>
      <c r="T406"/>
      <c r="U406"/>
      <c r="V406"/>
    </row>
    <row r="407" spans="10:22" s="1" customFormat="1" x14ac:dyDescent="0.2">
      <c r="J407"/>
      <c r="K407"/>
      <c r="L407"/>
      <c r="M407"/>
      <c r="N407" s="2"/>
      <c r="R407"/>
      <c r="S407"/>
      <c r="T407"/>
      <c r="U407"/>
      <c r="V407"/>
    </row>
    <row r="408" spans="10:22" s="1" customFormat="1" x14ac:dyDescent="0.2">
      <c r="J408"/>
      <c r="K408"/>
      <c r="L408"/>
      <c r="M408"/>
      <c r="N408" s="2"/>
      <c r="R408"/>
      <c r="S408"/>
      <c r="T408"/>
      <c r="U408"/>
      <c r="V408"/>
    </row>
    <row r="409" spans="10:22" s="1" customFormat="1" x14ac:dyDescent="0.2">
      <c r="J409"/>
      <c r="K409"/>
      <c r="L409"/>
      <c r="M409"/>
      <c r="N409" s="2"/>
      <c r="R409"/>
      <c r="S409"/>
      <c r="T409"/>
      <c r="U409"/>
      <c r="V409"/>
    </row>
    <row r="410" spans="10:22" s="1" customFormat="1" x14ac:dyDescent="0.2">
      <c r="J410"/>
      <c r="K410"/>
      <c r="L410"/>
      <c r="M410"/>
      <c r="N410" s="2"/>
      <c r="R410"/>
      <c r="S410"/>
      <c r="T410"/>
      <c r="U410"/>
      <c r="V410"/>
    </row>
    <row r="411" spans="10:22" s="1" customFormat="1" x14ac:dyDescent="0.2">
      <c r="J411"/>
      <c r="K411"/>
      <c r="L411"/>
      <c r="M411"/>
      <c r="N411" s="2"/>
      <c r="R411"/>
      <c r="S411"/>
      <c r="T411"/>
      <c r="U411"/>
      <c r="V411"/>
    </row>
    <row r="412" spans="10:22" s="1" customFormat="1" x14ac:dyDescent="0.2">
      <c r="J412"/>
      <c r="K412"/>
      <c r="L412"/>
      <c r="M412"/>
      <c r="N412" s="2"/>
      <c r="R412"/>
      <c r="S412"/>
      <c r="T412"/>
      <c r="U412"/>
      <c r="V412"/>
    </row>
    <row r="413" spans="10:22" s="1" customFormat="1" x14ac:dyDescent="0.2">
      <c r="J413"/>
      <c r="K413"/>
      <c r="L413"/>
      <c r="M413"/>
      <c r="N413" s="2"/>
      <c r="R413"/>
      <c r="S413"/>
      <c r="T413"/>
      <c r="U413"/>
      <c r="V413"/>
    </row>
    <row r="414" spans="10:22" s="1" customFormat="1" x14ac:dyDescent="0.2">
      <c r="J414"/>
      <c r="K414"/>
      <c r="L414"/>
      <c r="M414"/>
      <c r="N414" s="2"/>
      <c r="R414"/>
      <c r="S414"/>
      <c r="T414"/>
      <c r="U414"/>
      <c r="V414"/>
    </row>
    <row r="415" spans="10:22" s="1" customFormat="1" x14ac:dyDescent="0.2">
      <c r="J415"/>
      <c r="K415"/>
      <c r="L415"/>
      <c r="M415"/>
      <c r="N415" s="2"/>
      <c r="R415"/>
      <c r="S415"/>
      <c r="T415"/>
      <c r="U415"/>
      <c r="V415"/>
    </row>
    <row r="416" spans="10:22" s="1" customFormat="1" x14ac:dyDescent="0.2">
      <c r="J416"/>
      <c r="K416"/>
      <c r="L416"/>
      <c r="M416"/>
      <c r="N416" s="2"/>
      <c r="R416"/>
      <c r="S416"/>
      <c r="T416"/>
      <c r="U416"/>
      <c r="V416"/>
    </row>
    <row r="417" spans="10:22" s="1" customFormat="1" x14ac:dyDescent="0.2">
      <c r="J417"/>
      <c r="K417"/>
      <c r="L417"/>
      <c r="M417"/>
      <c r="N417" s="2"/>
      <c r="R417"/>
      <c r="S417"/>
      <c r="T417"/>
      <c r="U417"/>
      <c r="V417"/>
    </row>
    <row r="418" spans="10:22" s="1" customFormat="1" x14ac:dyDescent="0.2">
      <c r="J418"/>
      <c r="K418"/>
      <c r="L418"/>
      <c r="M418"/>
      <c r="N418" s="2"/>
      <c r="R418"/>
      <c r="S418"/>
      <c r="T418"/>
      <c r="U418"/>
      <c r="V418"/>
    </row>
    <row r="419" spans="10:22" s="1" customFormat="1" x14ac:dyDescent="0.2">
      <c r="J419"/>
      <c r="K419"/>
      <c r="L419"/>
      <c r="M419"/>
      <c r="N419" s="2"/>
      <c r="R419"/>
      <c r="S419"/>
      <c r="T419"/>
      <c r="U419"/>
      <c r="V419"/>
    </row>
    <row r="420" spans="10:22" s="1" customFormat="1" x14ac:dyDescent="0.2">
      <c r="J420"/>
      <c r="K420"/>
      <c r="L420"/>
      <c r="M420"/>
      <c r="N420" s="2"/>
      <c r="R420"/>
      <c r="S420"/>
      <c r="T420"/>
      <c r="U420"/>
      <c r="V420"/>
    </row>
    <row r="421" spans="10:22" s="1" customFormat="1" x14ac:dyDescent="0.2">
      <c r="J421"/>
      <c r="K421"/>
      <c r="L421"/>
      <c r="M421"/>
      <c r="N421" s="2"/>
      <c r="R421"/>
      <c r="S421"/>
      <c r="T421"/>
      <c r="U421"/>
      <c r="V421"/>
    </row>
    <row r="422" spans="10:22" s="1" customFormat="1" x14ac:dyDescent="0.2">
      <c r="J422"/>
      <c r="K422"/>
      <c r="L422"/>
      <c r="M422"/>
      <c r="N422" s="2"/>
      <c r="R422"/>
      <c r="S422"/>
      <c r="T422"/>
      <c r="U422"/>
      <c r="V422"/>
    </row>
    <row r="423" spans="10:22" s="1" customFormat="1" x14ac:dyDescent="0.2">
      <c r="J423"/>
      <c r="K423"/>
      <c r="L423"/>
      <c r="M423"/>
      <c r="N423" s="2"/>
      <c r="R423"/>
      <c r="S423"/>
      <c r="T423"/>
      <c r="U423"/>
      <c r="V423"/>
    </row>
    <row r="424" spans="10:22" s="1" customFormat="1" x14ac:dyDescent="0.2">
      <c r="J424"/>
      <c r="K424"/>
      <c r="L424"/>
      <c r="M424"/>
      <c r="N424" s="2"/>
      <c r="R424"/>
      <c r="S424"/>
      <c r="T424"/>
      <c r="U424"/>
      <c r="V424"/>
    </row>
    <row r="425" spans="10:22" s="1" customFormat="1" x14ac:dyDescent="0.2">
      <c r="J425"/>
      <c r="K425"/>
      <c r="L425"/>
      <c r="M425"/>
      <c r="N425" s="2"/>
      <c r="R425"/>
      <c r="S425"/>
      <c r="T425"/>
      <c r="U425"/>
      <c r="V425"/>
    </row>
    <row r="426" spans="10:22" s="1" customFormat="1" x14ac:dyDescent="0.2">
      <c r="J426"/>
      <c r="K426"/>
      <c r="L426"/>
      <c r="M426"/>
      <c r="N426" s="2"/>
      <c r="R426"/>
      <c r="S426"/>
      <c r="T426"/>
      <c r="U426"/>
      <c r="V426"/>
    </row>
    <row r="427" spans="10:22" s="1" customFormat="1" x14ac:dyDescent="0.2">
      <c r="J427"/>
      <c r="K427"/>
      <c r="L427"/>
      <c r="M427"/>
      <c r="N427" s="2"/>
      <c r="R427"/>
      <c r="S427"/>
      <c r="T427"/>
      <c r="U427"/>
      <c r="V427"/>
    </row>
    <row r="428" spans="10:22" s="1" customFormat="1" x14ac:dyDescent="0.2">
      <c r="J428"/>
      <c r="K428"/>
      <c r="L428"/>
      <c r="M428"/>
      <c r="N428" s="2"/>
      <c r="R428"/>
      <c r="S428"/>
      <c r="T428"/>
      <c r="U428"/>
      <c r="V428"/>
    </row>
    <row r="429" spans="10:22" s="1" customFormat="1" x14ac:dyDescent="0.2">
      <c r="J429"/>
      <c r="K429"/>
      <c r="L429"/>
      <c r="M429"/>
      <c r="N429" s="2"/>
      <c r="R429"/>
      <c r="S429"/>
      <c r="T429"/>
      <c r="U429"/>
      <c r="V429"/>
    </row>
    <row r="430" spans="10:22" s="1" customFormat="1" x14ac:dyDescent="0.2">
      <c r="J430"/>
      <c r="K430"/>
      <c r="L430"/>
      <c r="M430"/>
      <c r="N430" s="2"/>
      <c r="R430"/>
      <c r="S430"/>
      <c r="T430"/>
      <c r="U430"/>
      <c r="V430"/>
    </row>
    <row r="431" spans="10:22" s="1" customFormat="1" x14ac:dyDescent="0.2">
      <c r="J431"/>
      <c r="K431"/>
      <c r="L431"/>
      <c r="M431"/>
      <c r="N431" s="2"/>
      <c r="R431"/>
      <c r="S431"/>
      <c r="T431"/>
      <c r="U431"/>
      <c r="V431"/>
    </row>
    <row r="432" spans="10:22" s="1" customFormat="1" x14ac:dyDescent="0.2">
      <c r="J432"/>
      <c r="K432"/>
      <c r="L432"/>
      <c r="M432"/>
      <c r="N432" s="2"/>
      <c r="R432"/>
      <c r="S432"/>
      <c r="T432"/>
      <c r="U432"/>
      <c r="V432"/>
    </row>
    <row r="433" spans="10:22" s="1" customFormat="1" x14ac:dyDescent="0.2">
      <c r="J433"/>
      <c r="K433"/>
      <c r="L433"/>
      <c r="M433"/>
      <c r="N433" s="2"/>
      <c r="R433"/>
      <c r="S433"/>
      <c r="T433"/>
      <c r="U433"/>
      <c r="V433"/>
    </row>
    <row r="434" spans="10:22" s="1" customFormat="1" x14ac:dyDescent="0.2">
      <c r="J434"/>
      <c r="K434"/>
      <c r="L434"/>
      <c r="M434"/>
      <c r="N434" s="2"/>
      <c r="R434"/>
      <c r="S434"/>
      <c r="T434"/>
      <c r="U434"/>
      <c r="V434"/>
    </row>
    <row r="435" spans="10:22" s="1" customFormat="1" x14ac:dyDescent="0.2">
      <c r="J435"/>
      <c r="K435"/>
      <c r="L435"/>
      <c r="M435"/>
      <c r="N435" s="2"/>
      <c r="R435"/>
      <c r="S435"/>
      <c r="T435"/>
      <c r="U435"/>
      <c r="V435"/>
    </row>
    <row r="436" spans="10:22" s="1" customFormat="1" x14ac:dyDescent="0.2">
      <c r="J436"/>
      <c r="K436"/>
      <c r="L436"/>
      <c r="M436"/>
      <c r="N436" s="2"/>
      <c r="R436"/>
      <c r="S436"/>
      <c r="T436"/>
      <c r="U436"/>
      <c r="V436"/>
    </row>
    <row r="437" spans="10:22" s="1" customFormat="1" x14ac:dyDescent="0.2">
      <c r="J437"/>
      <c r="K437"/>
      <c r="L437"/>
      <c r="M437"/>
      <c r="N437" s="2"/>
      <c r="R437"/>
      <c r="S437"/>
      <c r="T437"/>
      <c r="U437"/>
      <c r="V437"/>
    </row>
    <row r="438" spans="10:22" s="1" customFormat="1" x14ac:dyDescent="0.2">
      <c r="J438"/>
      <c r="K438"/>
      <c r="L438"/>
      <c r="M438"/>
      <c r="N438" s="2"/>
      <c r="R438"/>
      <c r="S438"/>
      <c r="T438"/>
      <c r="U438"/>
      <c r="V438"/>
    </row>
    <row r="439" spans="10:22" s="1" customFormat="1" x14ac:dyDescent="0.2">
      <c r="J439"/>
      <c r="K439"/>
      <c r="L439"/>
      <c r="M439"/>
      <c r="N439" s="2"/>
      <c r="R439"/>
      <c r="S439"/>
      <c r="T439"/>
      <c r="U439"/>
      <c r="V439"/>
    </row>
    <row r="440" spans="10:22" s="1" customFormat="1" x14ac:dyDescent="0.2">
      <c r="J440"/>
      <c r="K440"/>
      <c r="L440"/>
      <c r="M440"/>
      <c r="N440" s="2"/>
      <c r="R440"/>
      <c r="S440"/>
      <c r="T440"/>
      <c r="U440"/>
      <c r="V440"/>
    </row>
    <row r="441" spans="10:22" s="1" customFormat="1" x14ac:dyDescent="0.2">
      <c r="J441"/>
      <c r="K441"/>
      <c r="L441"/>
      <c r="M441"/>
      <c r="N441" s="2"/>
      <c r="R441"/>
      <c r="S441"/>
      <c r="T441"/>
      <c r="U441"/>
      <c r="V441"/>
    </row>
    <row r="442" spans="10:22" s="1" customFormat="1" x14ac:dyDescent="0.2">
      <c r="J442"/>
      <c r="K442"/>
      <c r="L442"/>
      <c r="M442"/>
      <c r="N442" s="2"/>
      <c r="R442"/>
      <c r="S442"/>
      <c r="T442"/>
      <c r="U442"/>
      <c r="V442"/>
    </row>
    <row r="443" spans="10:22" s="1" customFormat="1" x14ac:dyDescent="0.2">
      <c r="J443"/>
      <c r="K443"/>
      <c r="L443"/>
      <c r="M443"/>
      <c r="N443" s="2"/>
      <c r="R443"/>
      <c r="S443"/>
      <c r="T443"/>
      <c r="U443"/>
      <c r="V443"/>
    </row>
    <row r="444" spans="10:22" s="1" customFormat="1" x14ac:dyDescent="0.2">
      <c r="J444"/>
      <c r="K444"/>
      <c r="L444"/>
      <c r="M444"/>
      <c r="N444" s="2"/>
      <c r="R444"/>
      <c r="S444"/>
      <c r="T444"/>
      <c r="U444"/>
      <c r="V444"/>
    </row>
    <row r="445" spans="10:22" s="1" customFormat="1" x14ac:dyDescent="0.2">
      <c r="J445"/>
      <c r="K445"/>
      <c r="L445"/>
      <c r="M445"/>
      <c r="N445" s="2"/>
      <c r="R445"/>
      <c r="S445"/>
      <c r="T445"/>
      <c r="U445"/>
      <c r="V445"/>
    </row>
    <row r="446" spans="10:22" s="1" customFormat="1" x14ac:dyDescent="0.2">
      <c r="J446"/>
      <c r="K446"/>
      <c r="L446"/>
      <c r="M446"/>
      <c r="N446" s="2"/>
      <c r="R446"/>
      <c r="S446"/>
      <c r="T446"/>
      <c r="U446"/>
      <c r="V446"/>
    </row>
    <row r="447" spans="10:22" s="1" customFormat="1" x14ac:dyDescent="0.2">
      <c r="J447"/>
      <c r="K447"/>
      <c r="L447"/>
      <c r="M447"/>
      <c r="N447" s="2"/>
      <c r="R447"/>
      <c r="S447"/>
      <c r="T447"/>
      <c r="U447"/>
      <c r="V447"/>
    </row>
    <row r="448" spans="10:22" s="1" customFormat="1" x14ac:dyDescent="0.2">
      <c r="J448"/>
      <c r="K448"/>
      <c r="L448"/>
      <c r="M448"/>
      <c r="N448" s="2"/>
      <c r="R448"/>
      <c r="S448"/>
      <c r="T448"/>
      <c r="U448"/>
      <c r="V448"/>
    </row>
    <row r="449" spans="10:22" s="1" customFormat="1" x14ac:dyDescent="0.2">
      <c r="J449"/>
      <c r="K449"/>
      <c r="L449"/>
      <c r="M449"/>
      <c r="N449" s="2"/>
      <c r="R449"/>
      <c r="S449"/>
      <c r="T449"/>
      <c r="U449"/>
      <c r="V449"/>
    </row>
    <row r="450" spans="10:22" s="1" customFormat="1" x14ac:dyDescent="0.2">
      <c r="J450"/>
      <c r="K450"/>
      <c r="L450"/>
      <c r="M450"/>
      <c r="N450" s="2"/>
      <c r="R450"/>
      <c r="S450"/>
      <c r="T450"/>
      <c r="U450"/>
      <c r="V450"/>
    </row>
    <row r="451" spans="10:22" s="1" customFormat="1" x14ac:dyDescent="0.2">
      <c r="J451"/>
      <c r="K451"/>
      <c r="L451"/>
      <c r="M451"/>
      <c r="N451" s="2"/>
      <c r="R451"/>
      <c r="S451"/>
      <c r="T451"/>
      <c r="U451"/>
      <c r="V451"/>
    </row>
    <row r="452" spans="10:22" s="1" customFormat="1" x14ac:dyDescent="0.2">
      <c r="J452"/>
      <c r="K452"/>
      <c r="L452"/>
      <c r="M452"/>
      <c r="N452" s="2"/>
      <c r="R452"/>
      <c r="S452"/>
      <c r="T452"/>
      <c r="U452"/>
      <c r="V452"/>
    </row>
    <row r="453" spans="10:22" s="1" customFormat="1" x14ac:dyDescent="0.2">
      <c r="J453"/>
      <c r="K453"/>
      <c r="L453"/>
      <c r="M453"/>
      <c r="N453" s="2"/>
      <c r="R453"/>
      <c r="S453"/>
      <c r="T453"/>
      <c r="U453"/>
      <c r="V453"/>
    </row>
    <row r="454" spans="10:22" s="1" customFormat="1" x14ac:dyDescent="0.2">
      <c r="J454"/>
      <c r="K454"/>
      <c r="L454"/>
      <c r="M454"/>
      <c r="N454" s="2"/>
      <c r="R454"/>
      <c r="S454"/>
      <c r="T454"/>
      <c r="U454"/>
      <c r="V454"/>
    </row>
    <row r="455" spans="10:22" s="1" customFormat="1" x14ac:dyDescent="0.2">
      <c r="J455"/>
      <c r="K455"/>
      <c r="L455"/>
      <c r="M455"/>
      <c r="N455" s="2"/>
      <c r="R455"/>
      <c r="S455"/>
      <c r="T455"/>
      <c r="U455"/>
      <c r="V455"/>
    </row>
    <row r="456" spans="10:22" s="1" customFormat="1" x14ac:dyDescent="0.2">
      <c r="J456"/>
      <c r="K456"/>
      <c r="L456"/>
      <c r="M456"/>
      <c r="N456" s="2"/>
      <c r="R456"/>
      <c r="S456"/>
      <c r="T456"/>
      <c r="U456"/>
      <c r="V456"/>
    </row>
    <row r="457" spans="10:22" s="1" customFormat="1" x14ac:dyDescent="0.2">
      <c r="J457"/>
      <c r="K457"/>
      <c r="L457"/>
      <c r="M457"/>
      <c r="N457" s="2"/>
      <c r="R457"/>
      <c r="S457"/>
      <c r="T457"/>
      <c r="U457"/>
      <c r="V457"/>
    </row>
    <row r="458" spans="10:22" s="1" customFormat="1" x14ac:dyDescent="0.2">
      <c r="J458"/>
      <c r="K458"/>
      <c r="L458"/>
      <c r="M458"/>
      <c r="N458" s="2"/>
      <c r="R458"/>
      <c r="S458"/>
      <c r="T458"/>
      <c r="U458"/>
      <c r="V458"/>
    </row>
    <row r="459" spans="10:22" s="1" customFormat="1" x14ac:dyDescent="0.2">
      <c r="J459"/>
      <c r="K459"/>
      <c r="L459"/>
      <c r="M459"/>
      <c r="N459" s="2"/>
      <c r="R459"/>
      <c r="S459"/>
      <c r="T459"/>
      <c r="U459"/>
      <c r="V459"/>
    </row>
    <row r="460" spans="10:22" s="1" customFormat="1" x14ac:dyDescent="0.2">
      <c r="J460"/>
      <c r="K460"/>
      <c r="L460"/>
      <c r="M460"/>
      <c r="N460" s="2"/>
      <c r="R460"/>
      <c r="S460"/>
      <c r="T460"/>
      <c r="U460"/>
      <c r="V460"/>
    </row>
    <row r="461" spans="10:22" s="1" customFormat="1" x14ac:dyDescent="0.2">
      <c r="J461"/>
      <c r="K461"/>
      <c r="L461"/>
      <c r="M461"/>
      <c r="N461" s="2"/>
      <c r="R461"/>
      <c r="S461"/>
      <c r="T461"/>
      <c r="U461"/>
      <c r="V461"/>
    </row>
    <row r="462" spans="10:22" s="1" customFormat="1" x14ac:dyDescent="0.2">
      <c r="J462"/>
      <c r="K462"/>
      <c r="L462"/>
      <c r="M462"/>
      <c r="N462" s="2"/>
      <c r="R462"/>
      <c r="S462"/>
      <c r="T462"/>
      <c r="U462"/>
      <c r="V462"/>
    </row>
    <row r="463" spans="10:22" s="1" customFormat="1" x14ac:dyDescent="0.2">
      <c r="J463"/>
      <c r="K463"/>
      <c r="L463"/>
      <c r="M463"/>
      <c r="N463" s="2"/>
      <c r="R463"/>
      <c r="S463"/>
      <c r="T463"/>
      <c r="U463"/>
      <c r="V463"/>
    </row>
    <row r="464" spans="10:22" s="1" customFormat="1" x14ac:dyDescent="0.2">
      <c r="J464"/>
      <c r="K464"/>
      <c r="L464"/>
      <c r="M464"/>
      <c r="N464" s="2"/>
      <c r="R464"/>
      <c r="S464"/>
      <c r="T464"/>
      <c r="U464"/>
      <c r="V464"/>
    </row>
    <row r="465" spans="10:22" s="1" customFormat="1" x14ac:dyDescent="0.2">
      <c r="J465"/>
      <c r="K465"/>
      <c r="L465"/>
      <c r="M465"/>
      <c r="N465" s="2"/>
      <c r="R465"/>
      <c r="S465"/>
      <c r="T465"/>
      <c r="U465"/>
      <c r="V465"/>
    </row>
    <row r="466" spans="10:22" s="1" customFormat="1" x14ac:dyDescent="0.2">
      <c r="J466"/>
      <c r="K466"/>
      <c r="L466"/>
      <c r="M466"/>
      <c r="N466" s="2"/>
      <c r="R466"/>
      <c r="S466"/>
      <c r="T466"/>
      <c r="U466"/>
      <c r="V466"/>
    </row>
    <row r="467" spans="10:22" s="1" customFormat="1" x14ac:dyDescent="0.2">
      <c r="J467"/>
      <c r="K467"/>
      <c r="L467"/>
      <c r="M467"/>
      <c r="N467" s="2"/>
      <c r="R467"/>
      <c r="S467"/>
      <c r="T467"/>
      <c r="U467"/>
      <c r="V467"/>
    </row>
    <row r="468" spans="10:22" s="1" customFormat="1" x14ac:dyDescent="0.2">
      <c r="J468"/>
      <c r="K468"/>
      <c r="L468"/>
      <c r="M468"/>
      <c r="N468" s="2"/>
      <c r="R468"/>
      <c r="S468"/>
      <c r="T468"/>
      <c r="U468"/>
      <c r="V468"/>
    </row>
    <row r="469" spans="10:22" s="1" customFormat="1" x14ac:dyDescent="0.2">
      <c r="J469"/>
      <c r="K469"/>
      <c r="L469"/>
      <c r="M469"/>
      <c r="N469" s="2"/>
      <c r="R469"/>
      <c r="S469"/>
      <c r="T469"/>
      <c r="U469"/>
      <c r="V469"/>
    </row>
    <row r="470" spans="10:22" s="1" customFormat="1" x14ac:dyDescent="0.2">
      <c r="J470"/>
      <c r="K470"/>
      <c r="L470"/>
      <c r="M470"/>
      <c r="N470" s="2"/>
      <c r="R470"/>
      <c r="S470"/>
      <c r="T470"/>
      <c r="U470"/>
      <c r="V470"/>
    </row>
    <row r="471" spans="10:22" s="1" customFormat="1" x14ac:dyDescent="0.2">
      <c r="J471"/>
      <c r="K471"/>
      <c r="L471"/>
      <c r="M471"/>
      <c r="N471" s="2"/>
      <c r="R471"/>
      <c r="S471"/>
      <c r="T471"/>
      <c r="U471"/>
      <c r="V471"/>
    </row>
    <row r="472" spans="10:22" s="1" customFormat="1" x14ac:dyDescent="0.2">
      <c r="J472"/>
      <c r="K472"/>
      <c r="L472"/>
      <c r="M472"/>
      <c r="N472" s="2"/>
      <c r="R472"/>
      <c r="S472"/>
      <c r="T472"/>
      <c r="U472"/>
      <c r="V472"/>
    </row>
    <row r="473" spans="10:22" s="1" customFormat="1" x14ac:dyDescent="0.2">
      <c r="J473"/>
      <c r="K473"/>
      <c r="L473"/>
      <c r="M473"/>
      <c r="N473" s="2"/>
      <c r="R473"/>
      <c r="S473"/>
      <c r="T473"/>
      <c r="U473"/>
      <c r="V473"/>
    </row>
    <row r="474" spans="10:22" s="1" customFormat="1" x14ac:dyDescent="0.2">
      <c r="J474"/>
      <c r="K474"/>
      <c r="L474"/>
      <c r="M474"/>
      <c r="N474" s="2"/>
      <c r="R474"/>
      <c r="S474"/>
      <c r="T474"/>
      <c r="U474"/>
      <c r="V474"/>
    </row>
    <row r="475" spans="10:22" s="1" customFormat="1" x14ac:dyDescent="0.2">
      <c r="J475"/>
      <c r="K475"/>
      <c r="L475"/>
      <c r="M475"/>
      <c r="N475" s="2"/>
      <c r="R475"/>
      <c r="S475"/>
      <c r="T475"/>
      <c r="U475"/>
      <c r="V475"/>
    </row>
    <row r="476" spans="10:22" s="1" customFormat="1" x14ac:dyDescent="0.2">
      <c r="J476"/>
      <c r="K476"/>
      <c r="L476"/>
      <c r="M476"/>
      <c r="N476" s="2"/>
      <c r="R476"/>
      <c r="S476"/>
      <c r="T476"/>
      <c r="U476"/>
      <c r="V476"/>
    </row>
    <row r="477" spans="10:22" s="1" customFormat="1" x14ac:dyDescent="0.2">
      <c r="J477"/>
      <c r="K477"/>
      <c r="L477"/>
      <c r="M477"/>
      <c r="N477" s="2"/>
      <c r="R477"/>
      <c r="S477"/>
      <c r="T477"/>
      <c r="U477"/>
      <c r="V477"/>
    </row>
    <row r="478" spans="10:22" s="1" customFormat="1" x14ac:dyDescent="0.2">
      <c r="J478"/>
      <c r="K478"/>
      <c r="L478"/>
      <c r="M478"/>
      <c r="N478" s="2"/>
      <c r="R478"/>
      <c r="S478"/>
      <c r="T478"/>
      <c r="U478"/>
      <c r="V478"/>
    </row>
    <row r="479" spans="10:22" s="1" customFormat="1" x14ac:dyDescent="0.2">
      <c r="J479"/>
      <c r="K479"/>
      <c r="L479"/>
      <c r="M479"/>
      <c r="N479" s="2"/>
      <c r="R479"/>
      <c r="S479"/>
      <c r="T479"/>
      <c r="U479"/>
      <c r="V479"/>
    </row>
    <row r="480" spans="10:22" s="1" customFormat="1" x14ac:dyDescent="0.2">
      <c r="J480"/>
      <c r="K480"/>
      <c r="L480"/>
      <c r="M480"/>
      <c r="N480" s="2"/>
      <c r="R480"/>
      <c r="S480"/>
      <c r="T480"/>
      <c r="U480"/>
      <c r="V480"/>
    </row>
    <row r="481" spans="10:22" s="1" customFormat="1" x14ac:dyDescent="0.2">
      <c r="J481"/>
      <c r="K481"/>
      <c r="L481"/>
      <c r="M481"/>
      <c r="N481" s="2"/>
      <c r="R481"/>
      <c r="S481"/>
      <c r="T481"/>
      <c r="U481"/>
      <c r="V481"/>
    </row>
    <row r="482" spans="10:22" s="1" customFormat="1" x14ac:dyDescent="0.2">
      <c r="J482"/>
      <c r="K482"/>
      <c r="L482"/>
      <c r="M482"/>
      <c r="N482" s="2"/>
      <c r="R482"/>
      <c r="S482"/>
      <c r="T482"/>
      <c r="U482"/>
      <c r="V482"/>
    </row>
    <row r="483" spans="10:22" s="1" customFormat="1" x14ac:dyDescent="0.2">
      <c r="J483"/>
      <c r="K483"/>
      <c r="L483"/>
      <c r="M483"/>
      <c r="N483" s="2"/>
      <c r="R483"/>
      <c r="S483"/>
      <c r="T483"/>
      <c r="U483"/>
      <c r="V483"/>
    </row>
    <row r="484" spans="10:22" s="1" customFormat="1" x14ac:dyDescent="0.2">
      <c r="J484"/>
      <c r="K484"/>
      <c r="L484"/>
      <c r="M484"/>
      <c r="N484" s="2"/>
      <c r="R484"/>
      <c r="S484"/>
      <c r="T484"/>
      <c r="U484"/>
      <c r="V484"/>
    </row>
    <row r="485" spans="10:22" s="1" customFormat="1" x14ac:dyDescent="0.2">
      <c r="J485"/>
      <c r="K485"/>
      <c r="L485"/>
      <c r="M485"/>
      <c r="N485" s="2"/>
      <c r="R485"/>
      <c r="S485"/>
      <c r="T485"/>
      <c r="U485"/>
      <c r="V485"/>
    </row>
    <row r="486" spans="10:22" s="1" customFormat="1" x14ac:dyDescent="0.2">
      <c r="J486"/>
      <c r="K486"/>
      <c r="L486"/>
      <c r="M486"/>
      <c r="N486" s="2"/>
      <c r="R486"/>
      <c r="S486"/>
      <c r="T486"/>
      <c r="U486"/>
      <c r="V486"/>
    </row>
    <row r="487" spans="10:22" s="1" customFormat="1" x14ac:dyDescent="0.2">
      <c r="J487"/>
      <c r="K487"/>
      <c r="L487"/>
      <c r="M487"/>
      <c r="N487" s="2"/>
      <c r="R487"/>
      <c r="S487"/>
      <c r="T487"/>
      <c r="U487"/>
      <c r="V487"/>
    </row>
    <row r="488" spans="10:22" s="1" customFormat="1" x14ac:dyDescent="0.2">
      <c r="J488"/>
      <c r="K488"/>
      <c r="L488"/>
      <c r="M488"/>
      <c r="N488" s="2"/>
      <c r="R488"/>
      <c r="S488"/>
      <c r="T488"/>
      <c r="U488"/>
      <c r="V488"/>
    </row>
    <row r="489" spans="10:22" s="1" customFormat="1" x14ac:dyDescent="0.2">
      <c r="J489"/>
      <c r="K489"/>
      <c r="L489"/>
      <c r="M489"/>
      <c r="N489" s="2"/>
      <c r="R489"/>
      <c r="S489"/>
      <c r="T489"/>
      <c r="U489"/>
      <c r="V489"/>
    </row>
    <row r="490" spans="10:22" s="1" customFormat="1" x14ac:dyDescent="0.2">
      <c r="J490"/>
      <c r="K490"/>
      <c r="L490"/>
      <c r="M490"/>
      <c r="N490" s="2"/>
      <c r="R490"/>
      <c r="S490"/>
      <c r="T490"/>
      <c r="U490"/>
      <c r="V490"/>
    </row>
    <row r="491" spans="10:22" s="1" customFormat="1" x14ac:dyDescent="0.2">
      <c r="J491"/>
      <c r="K491"/>
      <c r="L491"/>
      <c r="M491"/>
      <c r="N491" s="2"/>
      <c r="R491"/>
      <c r="S491"/>
      <c r="T491"/>
      <c r="U491"/>
      <c r="V491"/>
    </row>
    <row r="492" spans="10:22" s="1" customFormat="1" x14ac:dyDescent="0.2">
      <c r="J492"/>
      <c r="K492"/>
      <c r="L492"/>
      <c r="M492"/>
      <c r="N492" s="2"/>
      <c r="R492"/>
      <c r="S492"/>
      <c r="T492"/>
      <c r="U492"/>
      <c r="V492"/>
    </row>
    <row r="493" spans="10:22" s="1" customFormat="1" x14ac:dyDescent="0.2">
      <c r="J493"/>
      <c r="K493"/>
      <c r="L493"/>
      <c r="M493"/>
      <c r="N493" s="2"/>
      <c r="R493"/>
      <c r="S493"/>
      <c r="T493"/>
      <c r="U493"/>
      <c r="V493"/>
    </row>
    <row r="494" spans="10:22" s="1" customFormat="1" x14ac:dyDescent="0.2">
      <c r="J494"/>
      <c r="K494"/>
      <c r="L494"/>
      <c r="M494"/>
      <c r="N494" s="2"/>
      <c r="R494"/>
      <c r="S494"/>
      <c r="T494"/>
      <c r="U494"/>
      <c r="V494"/>
    </row>
    <row r="495" spans="10:22" s="1" customFormat="1" x14ac:dyDescent="0.2">
      <c r="J495"/>
      <c r="K495"/>
      <c r="L495"/>
      <c r="M495"/>
      <c r="N495" s="2"/>
      <c r="R495"/>
      <c r="S495"/>
      <c r="T495"/>
      <c r="U495"/>
      <c r="V495"/>
    </row>
    <row r="496" spans="10:22" s="1" customFormat="1" x14ac:dyDescent="0.2">
      <c r="J496"/>
      <c r="K496"/>
      <c r="L496"/>
      <c r="M496"/>
      <c r="N496" s="2"/>
      <c r="R496"/>
      <c r="S496"/>
      <c r="T496"/>
      <c r="U496"/>
      <c r="V496"/>
    </row>
    <row r="497" spans="10:22" s="1" customFormat="1" x14ac:dyDescent="0.2">
      <c r="J497"/>
      <c r="K497"/>
      <c r="L497"/>
      <c r="M497"/>
      <c r="N497" s="2"/>
      <c r="R497"/>
      <c r="S497"/>
      <c r="T497"/>
      <c r="U497"/>
      <c r="V497"/>
    </row>
    <row r="498" spans="10:22" s="1" customFormat="1" x14ac:dyDescent="0.2">
      <c r="J498"/>
      <c r="K498"/>
      <c r="L498"/>
      <c r="M498"/>
      <c r="N498" s="2"/>
      <c r="R498"/>
      <c r="S498"/>
      <c r="T498"/>
      <c r="U498"/>
      <c r="V498"/>
    </row>
    <row r="499" spans="10:22" s="1" customFormat="1" x14ac:dyDescent="0.2">
      <c r="J499"/>
      <c r="K499"/>
      <c r="L499"/>
      <c r="M499"/>
      <c r="N499" s="2"/>
      <c r="R499"/>
      <c r="S499"/>
      <c r="T499"/>
      <c r="U499"/>
      <c r="V499"/>
    </row>
    <row r="500" spans="10:22" s="1" customFormat="1" x14ac:dyDescent="0.2">
      <c r="J500"/>
      <c r="K500"/>
      <c r="L500"/>
      <c r="M500"/>
      <c r="N500" s="2"/>
      <c r="R500"/>
      <c r="S500"/>
      <c r="T500"/>
      <c r="U500"/>
      <c r="V500"/>
    </row>
    <row r="501" spans="10:22" s="1" customFormat="1" x14ac:dyDescent="0.2">
      <c r="J501"/>
      <c r="K501"/>
      <c r="L501"/>
      <c r="M501"/>
      <c r="N501" s="2"/>
      <c r="R501"/>
      <c r="S501"/>
      <c r="T501"/>
      <c r="U501"/>
      <c r="V501"/>
    </row>
    <row r="502" spans="10:22" s="1" customFormat="1" x14ac:dyDescent="0.2">
      <c r="J502"/>
      <c r="K502"/>
      <c r="L502"/>
      <c r="M502"/>
      <c r="N502" s="2"/>
      <c r="R502"/>
      <c r="S502"/>
      <c r="T502"/>
      <c r="U502"/>
      <c r="V502"/>
    </row>
    <row r="503" spans="10:22" s="1" customFormat="1" x14ac:dyDescent="0.2">
      <c r="J503"/>
      <c r="K503"/>
      <c r="L503"/>
      <c r="M503"/>
      <c r="N503" s="2"/>
      <c r="R503"/>
      <c r="S503"/>
      <c r="T503"/>
      <c r="U503"/>
      <c r="V503"/>
    </row>
    <row r="504" spans="10:22" s="1" customFormat="1" x14ac:dyDescent="0.2">
      <c r="J504"/>
      <c r="K504"/>
      <c r="L504"/>
      <c r="M504"/>
      <c r="N504" s="2"/>
      <c r="R504"/>
      <c r="S504"/>
      <c r="T504"/>
      <c r="U504"/>
      <c r="V504"/>
    </row>
    <row r="505" spans="10:22" s="1" customFormat="1" x14ac:dyDescent="0.2">
      <c r="J505"/>
      <c r="K505"/>
      <c r="L505"/>
      <c r="M505"/>
      <c r="N505" s="2"/>
      <c r="R505"/>
      <c r="S505"/>
      <c r="T505"/>
      <c r="U505"/>
      <c r="V505"/>
    </row>
    <row r="506" spans="10:22" s="1" customFormat="1" x14ac:dyDescent="0.2">
      <c r="J506"/>
      <c r="K506"/>
      <c r="L506"/>
      <c r="M506"/>
      <c r="N506" s="2"/>
      <c r="R506"/>
      <c r="S506"/>
      <c r="T506"/>
      <c r="U506"/>
      <c r="V506"/>
    </row>
    <row r="507" spans="10:22" s="1" customFormat="1" x14ac:dyDescent="0.2">
      <c r="J507"/>
      <c r="K507"/>
      <c r="L507"/>
      <c r="M507"/>
      <c r="N507" s="2"/>
      <c r="R507"/>
      <c r="S507"/>
      <c r="T507"/>
      <c r="U507"/>
      <c r="V507"/>
    </row>
    <row r="508" spans="10:22" s="1" customFormat="1" x14ac:dyDescent="0.2">
      <c r="J508"/>
      <c r="K508"/>
      <c r="L508"/>
      <c r="M508"/>
      <c r="N508" s="2"/>
      <c r="R508"/>
      <c r="S508"/>
      <c r="T508"/>
      <c r="U508"/>
      <c r="V508"/>
    </row>
    <row r="509" spans="10:22" s="1" customFormat="1" x14ac:dyDescent="0.2">
      <c r="J509"/>
      <c r="K509"/>
      <c r="L509"/>
      <c r="M509"/>
      <c r="N509" s="2"/>
      <c r="R509"/>
      <c r="S509"/>
      <c r="T509"/>
      <c r="U509"/>
      <c r="V509"/>
    </row>
    <row r="510" spans="10:22" s="1" customFormat="1" x14ac:dyDescent="0.2">
      <c r="J510"/>
      <c r="K510"/>
      <c r="L510"/>
      <c r="M510"/>
      <c r="N510" s="2"/>
      <c r="R510"/>
      <c r="S510"/>
      <c r="T510"/>
      <c r="U510"/>
      <c r="V510"/>
    </row>
    <row r="511" spans="10:22" s="1" customFormat="1" x14ac:dyDescent="0.2">
      <c r="J511"/>
      <c r="K511"/>
      <c r="L511"/>
      <c r="M511"/>
      <c r="N511" s="2"/>
      <c r="R511"/>
      <c r="S511"/>
      <c r="T511"/>
      <c r="U511"/>
      <c r="V511"/>
    </row>
    <row r="512" spans="10:22" s="1" customFormat="1" x14ac:dyDescent="0.2">
      <c r="J512"/>
      <c r="K512"/>
      <c r="L512"/>
      <c r="M512"/>
      <c r="N512" s="2"/>
      <c r="R512"/>
      <c r="S512"/>
      <c r="T512"/>
      <c r="U512"/>
      <c r="V512"/>
    </row>
    <row r="513" spans="10:22" s="1" customFormat="1" x14ac:dyDescent="0.2">
      <c r="J513"/>
      <c r="K513"/>
      <c r="L513"/>
      <c r="M513"/>
      <c r="N513" s="2"/>
      <c r="R513"/>
      <c r="S513"/>
      <c r="T513"/>
      <c r="U513"/>
      <c r="V513"/>
    </row>
    <row r="514" spans="10:22" s="1" customFormat="1" x14ac:dyDescent="0.2">
      <c r="J514"/>
      <c r="K514"/>
      <c r="L514"/>
      <c r="M514"/>
      <c r="N514" s="2"/>
      <c r="R514"/>
      <c r="S514"/>
      <c r="T514"/>
      <c r="U514"/>
      <c r="V514"/>
    </row>
    <row r="515" spans="10:22" s="1" customFormat="1" x14ac:dyDescent="0.2">
      <c r="J515"/>
      <c r="K515"/>
      <c r="L515"/>
      <c r="M515"/>
      <c r="N515" s="2"/>
      <c r="R515"/>
      <c r="S515"/>
      <c r="T515"/>
      <c r="U515"/>
      <c r="V515"/>
    </row>
    <row r="516" spans="10:22" s="1" customFormat="1" x14ac:dyDescent="0.2">
      <c r="J516"/>
      <c r="K516"/>
      <c r="L516"/>
      <c r="M516"/>
      <c r="N516" s="2"/>
      <c r="R516"/>
      <c r="S516"/>
      <c r="T516"/>
      <c r="U516"/>
      <c r="V516"/>
    </row>
    <row r="517" spans="10:22" s="1" customFormat="1" x14ac:dyDescent="0.2">
      <c r="J517"/>
      <c r="K517"/>
      <c r="L517"/>
      <c r="M517"/>
      <c r="N517" s="2"/>
      <c r="R517"/>
      <c r="S517"/>
      <c r="T517"/>
      <c r="U517"/>
      <c r="V517"/>
    </row>
    <row r="518" spans="10:22" s="1" customFormat="1" x14ac:dyDescent="0.2">
      <c r="J518"/>
      <c r="K518"/>
      <c r="L518"/>
      <c r="M518"/>
      <c r="N518" s="2"/>
      <c r="R518"/>
      <c r="S518"/>
      <c r="T518"/>
      <c r="U518"/>
      <c r="V518"/>
    </row>
    <row r="519" spans="10:22" s="1" customFormat="1" x14ac:dyDescent="0.2">
      <c r="J519"/>
      <c r="K519"/>
      <c r="L519"/>
      <c r="M519"/>
      <c r="N519" s="2"/>
      <c r="R519"/>
      <c r="S519"/>
      <c r="T519"/>
      <c r="U519"/>
      <c r="V519"/>
    </row>
    <row r="520" spans="10:22" s="1" customFormat="1" x14ac:dyDescent="0.2">
      <c r="J520"/>
      <c r="K520"/>
      <c r="L520"/>
      <c r="M520"/>
      <c r="N520" s="2"/>
      <c r="R520"/>
      <c r="S520"/>
      <c r="T520"/>
      <c r="U520"/>
      <c r="V520"/>
    </row>
    <row r="521" spans="10:22" s="1" customFormat="1" x14ac:dyDescent="0.2">
      <c r="J521"/>
      <c r="K521"/>
      <c r="L521"/>
      <c r="M521"/>
      <c r="N521" s="2"/>
      <c r="R521"/>
      <c r="S521"/>
      <c r="T521"/>
      <c r="U521"/>
      <c r="V521"/>
    </row>
    <row r="522" spans="10:22" s="1" customFormat="1" x14ac:dyDescent="0.2">
      <c r="J522"/>
      <c r="K522"/>
      <c r="L522"/>
      <c r="M522"/>
      <c r="N522" s="2"/>
      <c r="R522"/>
      <c r="S522"/>
      <c r="T522"/>
      <c r="U522"/>
      <c r="V522"/>
    </row>
    <row r="523" spans="10:22" s="1" customFormat="1" x14ac:dyDescent="0.2">
      <c r="J523"/>
      <c r="K523"/>
      <c r="L523"/>
      <c r="M523"/>
      <c r="N523" s="2"/>
      <c r="R523"/>
      <c r="S523"/>
      <c r="T523"/>
      <c r="U523"/>
      <c r="V523"/>
    </row>
    <row r="524" spans="10:22" s="1" customFormat="1" x14ac:dyDescent="0.2">
      <c r="J524"/>
      <c r="K524"/>
      <c r="L524"/>
      <c r="M524"/>
      <c r="N524" s="2"/>
      <c r="R524"/>
      <c r="S524"/>
      <c r="T524"/>
      <c r="U524"/>
      <c r="V524"/>
    </row>
    <row r="525" spans="10:22" s="1" customFormat="1" x14ac:dyDescent="0.2">
      <c r="J525"/>
      <c r="K525"/>
      <c r="L525"/>
      <c r="M525"/>
      <c r="N525" s="2"/>
      <c r="R525"/>
      <c r="S525"/>
      <c r="T525"/>
      <c r="U525"/>
      <c r="V525"/>
    </row>
    <row r="526" spans="10:22" s="1" customFormat="1" x14ac:dyDescent="0.2">
      <c r="J526"/>
      <c r="K526"/>
      <c r="L526"/>
      <c r="M526"/>
      <c r="N526" s="2"/>
      <c r="R526"/>
      <c r="S526"/>
      <c r="T526"/>
      <c r="U526"/>
      <c r="V526"/>
    </row>
    <row r="527" spans="10:22" s="1" customFormat="1" x14ac:dyDescent="0.2">
      <c r="J527"/>
      <c r="K527"/>
      <c r="L527"/>
      <c r="M527"/>
      <c r="N527" s="2"/>
      <c r="R527"/>
      <c r="S527"/>
      <c r="T527"/>
      <c r="U527"/>
      <c r="V527"/>
    </row>
    <row r="528" spans="10:22" s="1" customFormat="1" x14ac:dyDescent="0.2">
      <c r="J528"/>
      <c r="K528"/>
      <c r="L528"/>
      <c r="M528"/>
      <c r="N528" s="2"/>
      <c r="R528"/>
      <c r="S528"/>
      <c r="T528"/>
      <c r="U528"/>
      <c r="V528"/>
    </row>
    <row r="529" spans="10:22" s="1" customFormat="1" x14ac:dyDescent="0.2">
      <c r="J529"/>
      <c r="K529"/>
      <c r="L529"/>
      <c r="M529"/>
      <c r="N529" s="2"/>
      <c r="R529"/>
      <c r="S529"/>
      <c r="T529"/>
      <c r="U529"/>
      <c r="V529"/>
    </row>
    <row r="530" spans="10:22" s="1" customFormat="1" x14ac:dyDescent="0.2">
      <c r="J530"/>
      <c r="K530"/>
      <c r="L530"/>
      <c r="M530"/>
      <c r="N530" s="2"/>
      <c r="R530"/>
      <c r="S530"/>
      <c r="T530"/>
      <c r="U530"/>
      <c r="V530"/>
    </row>
    <row r="531" spans="10:22" s="1" customFormat="1" x14ac:dyDescent="0.2">
      <c r="J531"/>
      <c r="K531"/>
      <c r="L531"/>
      <c r="M531"/>
      <c r="N531" s="2"/>
      <c r="R531"/>
      <c r="S531"/>
      <c r="T531"/>
      <c r="U531"/>
      <c r="V531"/>
    </row>
    <row r="532" spans="10:22" s="1" customFormat="1" x14ac:dyDescent="0.2">
      <c r="J532"/>
      <c r="K532"/>
      <c r="L532"/>
      <c r="M532"/>
      <c r="N532" s="2"/>
      <c r="R532"/>
      <c r="S532"/>
      <c r="T532"/>
      <c r="U532"/>
      <c r="V532"/>
    </row>
    <row r="533" spans="10:22" s="1" customFormat="1" x14ac:dyDescent="0.2">
      <c r="J533"/>
      <c r="K533"/>
      <c r="L533"/>
      <c r="M533"/>
      <c r="N533" s="2"/>
      <c r="R533"/>
      <c r="S533"/>
      <c r="T533"/>
      <c r="U533"/>
      <c r="V533"/>
    </row>
    <row r="534" spans="10:22" s="1" customFormat="1" x14ac:dyDescent="0.2">
      <c r="J534"/>
      <c r="K534"/>
      <c r="L534"/>
      <c r="M534"/>
      <c r="N534" s="2"/>
      <c r="R534"/>
      <c r="S534"/>
      <c r="T534"/>
      <c r="U534"/>
      <c r="V534"/>
    </row>
    <row r="535" spans="10:22" s="1" customFormat="1" x14ac:dyDescent="0.2">
      <c r="J535"/>
      <c r="K535"/>
      <c r="L535"/>
      <c r="M535"/>
      <c r="N535" s="2"/>
      <c r="R535"/>
      <c r="S535"/>
      <c r="T535"/>
      <c r="U535"/>
      <c r="V535"/>
    </row>
    <row r="536" spans="10:22" s="1" customFormat="1" x14ac:dyDescent="0.2">
      <c r="J536"/>
      <c r="K536"/>
      <c r="L536"/>
      <c r="M536"/>
      <c r="N536" s="2"/>
      <c r="R536"/>
      <c r="S536"/>
      <c r="T536"/>
      <c r="U536"/>
      <c r="V536"/>
    </row>
    <row r="537" spans="10:22" s="1" customFormat="1" x14ac:dyDescent="0.2">
      <c r="J537"/>
      <c r="K537"/>
      <c r="L537"/>
      <c r="M537"/>
      <c r="N537" s="2"/>
      <c r="R537"/>
      <c r="S537"/>
      <c r="T537"/>
      <c r="U537"/>
      <c r="V537"/>
    </row>
    <row r="538" spans="10:22" s="1" customFormat="1" x14ac:dyDescent="0.2">
      <c r="J538"/>
      <c r="K538"/>
      <c r="L538"/>
      <c r="M538"/>
      <c r="N538" s="2"/>
      <c r="R538"/>
      <c r="S538"/>
      <c r="T538"/>
      <c r="U538"/>
      <c r="V538"/>
    </row>
    <row r="539" spans="10:22" s="1" customFormat="1" x14ac:dyDescent="0.2">
      <c r="J539"/>
      <c r="K539"/>
      <c r="L539"/>
      <c r="M539"/>
      <c r="N539" s="2"/>
      <c r="R539"/>
      <c r="S539"/>
      <c r="T539"/>
      <c r="U539"/>
      <c r="V539"/>
    </row>
    <row r="540" spans="10:22" s="1" customFormat="1" x14ac:dyDescent="0.2">
      <c r="J540"/>
      <c r="K540"/>
      <c r="L540"/>
      <c r="M540"/>
      <c r="N540" s="2"/>
      <c r="R540"/>
      <c r="S540"/>
      <c r="T540"/>
      <c r="U540"/>
      <c r="V540"/>
    </row>
    <row r="541" spans="10:22" s="1" customFormat="1" x14ac:dyDescent="0.2">
      <c r="J541"/>
      <c r="K541"/>
      <c r="L541"/>
      <c r="M541"/>
      <c r="N541" s="2"/>
      <c r="R541"/>
      <c r="S541"/>
      <c r="T541"/>
      <c r="U541"/>
      <c r="V541"/>
    </row>
    <row r="542" spans="10:22" s="1" customFormat="1" x14ac:dyDescent="0.2">
      <c r="J542"/>
      <c r="K542"/>
      <c r="L542"/>
      <c r="M542"/>
      <c r="N542" s="2"/>
      <c r="R542"/>
      <c r="S542"/>
      <c r="T542"/>
      <c r="U542"/>
      <c r="V542"/>
    </row>
    <row r="543" spans="10:22" s="1" customFormat="1" x14ac:dyDescent="0.2">
      <c r="J543"/>
      <c r="K543"/>
      <c r="L543"/>
      <c r="M543"/>
      <c r="N543" s="2"/>
      <c r="R543"/>
      <c r="S543"/>
      <c r="T543"/>
      <c r="U543"/>
      <c r="V543"/>
    </row>
    <row r="544" spans="10:22" s="1" customFormat="1" x14ac:dyDescent="0.2">
      <c r="J544"/>
      <c r="K544"/>
      <c r="L544"/>
      <c r="M544"/>
      <c r="N544" s="2"/>
      <c r="R544"/>
      <c r="S544"/>
      <c r="T544"/>
      <c r="U544"/>
      <c r="V544"/>
    </row>
    <row r="545" spans="10:22" s="1" customFormat="1" x14ac:dyDescent="0.2">
      <c r="J545"/>
      <c r="K545"/>
      <c r="L545"/>
      <c r="M545"/>
      <c r="N545" s="2"/>
      <c r="R545"/>
      <c r="S545"/>
      <c r="T545"/>
      <c r="U545"/>
      <c r="V545"/>
    </row>
    <row r="546" spans="10:22" s="1" customFormat="1" x14ac:dyDescent="0.2">
      <c r="J546"/>
      <c r="K546"/>
      <c r="L546"/>
      <c r="M546"/>
      <c r="N546" s="2"/>
      <c r="R546"/>
      <c r="S546"/>
      <c r="T546"/>
      <c r="U546"/>
      <c r="V546"/>
    </row>
    <row r="547" spans="10:22" s="1" customFormat="1" x14ac:dyDescent="0.2">
      <c r="J547"/>
      <c r="K547"/>
      <c r="L547"/>
      <c r="M547"/>
      <c r="N547" s="2"/>
      <c r="R547"/>
      <c r="S547"/>
      <c r="T547"/>
      <c r="U547"/>
      <c r="V547"/>
    </row>
    <row r="548" spans="10:22" s="1" customFormat="1" x14ac:dyDescent="0.2">
      <c r="J548"/>
      <c r="K548"/>
      <c r="L548"/>
      <c r="M548"/>
      <c r="N548" s="2"/>
      <c r="R548"/>
      <c r="S548"/>
      <c r="T548"/>
      <c r="U548"/>
      <c r="V548"/>
    </row>
    <row r="549" spans="10:22" s="1" customFormat="1" x14ac:dyDescent="0.2">
      <c r="J549"/>
      <c r="K549"/>
      <c r="L549"/>
      <c r="M549"/>
      <c r="N549" s="2"/>
      <c r="R549"/>
      <c r="S549"/>
      <c r="T549"/>
      <c r="U549"/>
      <c r="V549"/>
    </row>
    <row r="550" spans="10:22" s="1" customFormat="1" x14ac:dyDescent="0.2">
      <c r="J550"/>
      <c r="K550"/>
      <c r="L550"/>
      <c r="M550"/>
      <c r="N550" s="2"/>
      <c r="R550"/>
      <c r="S550"/>
      <c r="T550"/>
      <c r="U550"/>
      <c r="V550"/>
    </row>
    <row r="551" spans="10:22" s="1" customFormat="1" x14ac:dyDescent="0.2">
      <c r="J551"/>
      <c r="K551"/>
      <c r="L551"/>
      <c r="M551"/>
      <c r="N551" s="2"/>
      <c r="R551"/>
      <c r="S551"/>
      <c r="T551"/>
      <c r="U551"/>
      <c r="V551"/>
    </row>
    <row r="552" spans="10:22" s="1" customFormat="1" x14ac:dyDescent="0.2">
      <c r="J552"/>
      <c r="K552"/>
      <c r="L552"/>
      <c r="M552"/>
      <c r="N552" s="2"/>
      <c r="R552"/>
      <c r="S552"/>
      <c r="T552"/>
      <c r="U552"/>
      <c r="V552"/>
    </row>
    <row r="553" spans="10:22" s="1" customFormat="1" x14ac:dyDescent="0.2">
      <c r="J553"/>
      <c r="K553"/>
      <c r="L553"/>
      <c r="M553"/>
      <c r="N553" s="2"/>
      <c r="R553"/>
      <c r="S553"/>
      <c r="T553"/>
      <c r="U553"/>
      <c r="V553"/>
    </row>
    <row r="554" spans="10:22" s="1" customFormat="1" x14ac:dyDescent="0.2">
      <c r="J554"/>
      <c r="K554"/>
      <c r="L554"/>
      <c r="M554"/>
      <c r="N554" s="2"/>
      <c r="R554"/>
      <c r="S554"/>
      <c r="T554"/>
      <c r="U554"/>
      <c r="V554"/>
    </row>
    <row r="555" spans="10:22" s="1" customFormat="1" x14ac:dyDescent="0.2">
      <c r="J555"/>
      <c r="K555"/>
      <c r="L555"/>
      <c r="M555"/>
      <c r="N555" s="2"/>
      <c r="R555"/>
      <c r="S555"/>
      <c r="T555"/>
      <c r="U555"/>
      <c r="V555"/>
    </row>
    <row r="556" spans="10:22" s="1" customFormat="1" x14ac:dyDescent="0.2">
      <c r="J556"/>
      <c r="K556"/>
      <c r="L556"/>
      <c r="M556"/>
      <c r="N556" s="2"/>
      <c r="R556"/>
      <c r="S556"/>
      <c r="T556"/>
      <c r="U556"/>
      <c r="V556"/>
    </row>
    <row r="557" spans="10:22" s="1" customFormat="1" x14ac:dyDescent="0.2">
      <c r="J557"/>
      <c r="K557"/>
      <c r="L557"/>
      <c r="M557"/>
      <c r="N557" s="2"/>
      <c r="R557"/>
      <c r="S557"/>
      <c r="T557"/>
      <c r="U557"/>
      <c r="V557"/>
    </row>
    <row r="558" spans="10:22" s="1" customFormat="1" x14ac:dyDescent="0.2">
      <c r="J558"/>
      <c r="K558"/>
      <c r="L558"/>
      <c r="M558"/>
      <c r="N558" s="2"/>
      <c r="R558"/>
      <c r="S558"/>
      <c r="T558"/>
      <c r="U558"/>
      <c r="V558"/>
    </row>
    <row r="559" spans="10:22" s="1" customFormat="1" x14ac:dyDescent="0.2">
      <c r="J559"/>
      <c r="K559"/>
      <c r="L559"/>
      <c r="M559"/>
      <c r="N559" s="2"/>
      <c r="R559"/>
      <c r="S559"/>
      <c r="T559"/>
      <c r="U559"/>
      <c r="V559"/>
    </row>
    <row r="560" spans="10:22" s="1" customFormat="1" x14ac:dyDescent="0.2">
      <c r="J560"/>
      <c r="K560"/>
      <c r="L560"/>
      <c r="M560"/>
      <c r="N560" s="2"/>
      <c r="R560"/>
      <c r="S560"/>
      <c r="T560"/>
      <c r="U560"/>
      <c r="V560"/>
    </row>
    <row r="561" spans="10:22" s="1" customFormat="1" x14ac:dyDescent="0.2">
      <c r="J561"/>
      <c r="K561"/>
      <c r="L561"/>
      <c r="M561"/>
      <c r="N561" s="2"/>
      <c r="R561"/>
      <c r="S561"/>
      <c r="T561"/>
      <c r="U561"/>
      <c r="V561"/>
    </row>
    <row r="562" spans="10:22" s="1" customFormat="1" x14ac:dyDescent="0.2">
      <c r="J562"/>
      <c r="K562"/>
      <c r="L562"/>
      <c r="M562"/>
      <c r="N562" s="2"/>
      <c r="R562"/>
      <c r="S562"/>
      <c r="T562"/>
      <c r="U562"/>
      <c r="V562"/>
    </row>
    <row r="563" spans="10:22" s="1" customFormat="1" x14ac:dyDescent="0.2">
      <c r="J563"/>
      <c r="K563"/>
      <c r="L563"/>
      <c r="M563"/>
      <c r="N563" s="2"/>
      <c r="R563"/>
      <c r="S563"/>
      <c r="T563"/>
      <c r="U563"/>
      <c r="V563"/>
    </row>
    <row r="564" spans="10:22" s="1" customFormat="1" x14ac:dyDescent="0.2">
      <c r="J564"/>
      <c r="K564"/>
      <c r="L564"/>
      <c r="M564"/>
      <c r="N564" s="2"/>
      <c r="R564"/>
      <c r="S564"/>
      <c r="T564"/>
      <c r="U564"/>
      <c r="V564"/>
    </row>
    <row r="565" spans="10:22" s="1" customFormat="1" x14ac:dyDescent="0.2">
      <c r="J565"/>
      <c r="K565"/>
      <c r="L565"/>
      <c r="M565"/>
      <c r="N565" s="2"/>
      <c r="R565"/>
      <c r="S565"/>
      <c r="T565"/>
      <c r="U565"/>
      <c r="V565"/>
    </row>
    <row r="566" spans="10:22" s="1" customFormat="1" x14ac:dyDescent="0.2">
      <c r="J566"/>
      <c r="K566"/>
      <c r="L566"/>
      <c r="M566"/>
      <c r="N566" s="2"/>
      <c r="R566"/>
      <c r="S566"/>
      <c r="T566"/>
      <c r="U566"/>
      <c r="V566"/>
    </row>
    <row r="567" spans="10:22" s="1" customFormat="1" x14ac:dyDescent="0.2">
      <c r="J567"/>
      <c r="K567"/>
      <c r="L567"/>
      <c r="M567"/>
      <c r="N567" s="2"/>
      <c r="R567"/>
      <c r="S567"/>
      <c r="T567"/>
      <c r="U567"/>
      <c r="V567"/>
    </row>
    <row r="568" spans="10:22" s="1" customFormat="1" x14ac:dyDescent="0.2">
      <c r="J568"/>
      <c r="K568"/>
      <c r="L568"/>
      <c r="M568"/>
      <c r="N568" s="2"/>
      <c r="R568"/>
      <c r="S568"/>
      <c r="T568"/>
      <c r="U568"/>
      <c r="V568"/>
    </row>
    <row r="569" spans="10:22" s="1" customFormat="1" x14ac:dyDescent="0.2">
      <c r="J569"/>
      <c r="K569"/>
      <c r="L569"/>
      <c r="M569"/>
      <c r="N569" s="2"/>
      <c r="R569"/>
      <c r="S569"/>
      <c r="T569"/>
      <c r="U569"/>
      <c r="V569"/>
    </row>
    <row r="570" spans="10:22" s="1" customFormat="1" x14ac:dyDescent="0.2">
      <c r="J570"/>
      <c r="K570"/>
      <c r="L570"/>
      <c r="M570"/>
      <c r="N570" s="2"/>
      <c r="R570"/>
      <c r="S570"/>
      <c r="T570"/>
      <c r="U570"/>
      <c r="V570"/>
    </row>
    <row r="571" spans="10:22" s="1" customFormat="1" x14ac:dyDescent="0.2">
      <c r="J571"/>
      <c r="K571"/>
      <c r="L571"/>
      <c r="M571"/>
      <c r="N571" s="2"/>
      <c r="R571"/>
      <c r="S571"/>
      <c r="T571"/>
      <c r="U571"/>
      <c r="V571"/>
    </row>
    <row r="572" spans="10:22" s="1" customFormat="1" x14ac:dyDescent="0.2">
      <c r="J572"/>
      <c r="K572"/>
      <c r="L572"/>
      <c r="M572"/>
      <c r="N572" s="2"/>
      <c r="R572"/>
      <c r="S572"/>
      <c r="T572"/>
      <c r="U572"/>
      <c r="V572"/>
    </row>
    <row r="573" spans="10:22" s="1" customFormat="1" x14ac:dyDescent="0.2">
      <c r="J573"/>
      <c r="K573"/>
      <c r="L573"/>
      <c r="M573"/>
      <c r="N573" s="2"/>
      <c r="R573"/>
      <c r="S573"/>
      <c r="T573"/>
      <c r="U573"/>
      <c r="V573"/>
    </row>
    <row r="574" spans="10:22" s="1" customFormat="1" x14ac:dyDescent="0.2">
      <c r="J574"/>
      <c r="K574"/>
      <c r="L574"/>
      <c r="M574"/>
      <c r="N574" s="2"/>
      <c r="R574"/>
      <c r="S574"/>
      <c r="T574"/>
      <c r="U574"/>
      <c r="V574"/>
    </row>
    <row r="575" spans="10:22" s="1" customFormat="1" x14ac:dyDescent="0.2">
      <c r="J575"/>
      <c r="K575"/>
      <c r="L575"/>
      <c r="M575"/>
      <c r="N575" s="2"/>
      <c r="R575"/>
      <c r="S575"/>
      <c r="T575"/>
      <c r="U575"/>
      <c r="V575"/>
    </row>
    <row r="576" spans="10:22" s="1" customFormat="1" x14ac:dyDescent="0.2">
      <c r="J576"/>
      <c r="K576"/>
      <c r="L576"/>
      <c r="M576"/>
      <c r="N576" s="2"/>
      <c r="R576"/>
      <c r="S576"/>
      <c r="T576"/>
      <c r="U576"/>
      <c r="V576"/>
    </row>
    <row r="577" spans="10:22" s="1" customFormat="1" x14ac:dyDescent="0.2">
      <c r="J577"/>
      <c r="K577"/>
      <c r="L577"/>
      <c r="M577"/>
      <c r="N577" s="2"/>
      <c r="R577"/>
      <c r="S577"/>
      <c r="T577"/>
      <c r="U577"/>
      <c r="V577"/>
    </row>
    <row r="578" spans="10:22" s="1" customFormat="1" x14ac:dyDescent="0.2">
      <c r="J578"/>
      <c r="K578"/>
      <c r="L578"/>
      <c r="M578"/>
      <c r="N578" s="2"/>
      <c r="R578"/>
      <c r="S578"/>
      <c r="T578"/>
      <c r="U578"/>
      <c r="V578"/>
    </row>
    <row r="579" spans="10:22" s="1" customFormat="1" x14ac:dyDescent="0.2">
      <c r="J579"/>
      <c r="K579"/>
      <c r="L579"/>
      <c r="M579"/>
      <c r="N579" s="2"/>
      <c r="R579"/>
      <c r="S579"/>
      <c r="T579"/>
      <c r="U579"/>
      <c r="V579"/>
    </row>
    <row r="580" spans="10:22" s="1" customFormat="1" x14ac:dyDescent="0.2">
      <c r="J580"/>
      <c r="K580"/>
      <c r="L580"/>
      <c r="M580"/>
      <c r="N580" s="2"/>
      <c r="R580"/>
      <c r="S580"/>
      <c r="T580"/>
      <c r="U580"/>
      <c r="V580"/>
    </row>
    <row r="581" spans="10:22" s="1" customFormat="1" x14ac:dyDescent="0.2">
      <c r="J581"/>
      <c r="K581"/>
      <c r="L581"/>
      <c r="M581"/>
      <c r="N581" s="2"/>
      <c r="R581"/>
      <c r="S581"/>
      <c r="T581"/>
      <c r="U581"/>
      <c r="V581"/>
    </row>
    <row r="582" spans="10:22" s="1" customFormat="1" x14ac:dyDescent="0.2">
      <c r="J582"/>
      <c r="K582"/>
      <c r="L582"/>
      <c r="M582"/>
      <c r="N582" s="2"/>
      <c r="R582"/>
      <c r="S582"/>
      <c r="T582"/>
      <c r="U582"/>
      <c r="V582"/>
    </row>
    <row r="583" spans="10:22" s="1" customFormat="1" x14ac:dyDescent="0.2">
      <c r="J583"/>
      <c r="K583"/>
      <c r="L583"/>
      <c r="M583"/>
      <c r="N583" s="2"/>
      <c r="R583"/>
      <c r="S583"/>
      <c r="T583"/>
      <c r="U583"/>
      <c r="V583"/>
    </row>
    <row r="584" spans="10:22" s="1" customFormat="1" x14ac:dyDescent="0.2">
      <c r="J584"/>
      <c r="K584"/>
      <c r="L584"/>
      <c r="M584"/>
      <c r="N584" s="2"/>
      <c r="R584"/>
      <c r="S584"/>
      <c r="T584"/>
      <c r="U584"/>
      <c r="V584"/>
    </row>
    <row r="585" spans="10:22" s="1" customFormat="1" x14ac:dyDescent="0.2">
      <c r="J585"/>
      <c r="K585"/>
      <c r="L585"/>
      <c r="M585"/>
      <c r="N585" s="2"/>
      <c r="R585"/>
      <c r="S585"/>
      <c r="T585"/>
      <c r="U585"/>
      <c r="V585"/>
    </row>
    <row r="586" spans="10:22" s="1" customFormat="1" x14ac:dyDescent="0.2">
      <c r="J586"/>
      <c r="K586"/>
      <c r="L586"/>
      <c r="M586"/>
      <c r="N586" s="2"/>
      <c r="R586"/>
      <c r="S586"/>
      <c r="T586"/>
      <c r="U586"/>
      <c r="V586"/>
    </row>
    <row r="587" spans="10:22" s="1" customFormat="1" x14ac:dyDescent="0.2">
      <c r="J587"/>
      <c r="K587"/>
      <c r="L587"/>
      <c r="M587"/>
      <c r="N587" s="2"/>
      <c r="R587"/>
      <c r="S587"/>
      <c r="T587"/>
      <c r="U587"/>
      <c r="V587"/>
    </row>
    <row r="588" spans="10:22" s="1" customFormat="1" x14ac:dyDescent="0.2">
      <c r="J588"/>
      <c r="K588"/>
      <c r="L588"/>
      <c r="M588"/>
      <c r="N588" s="2"/>
      <c r="R588"/>
      <c r="S588"/>
      <c r="T588"/>
      <c r="U588"/>
      <c r="V588"/>
    </row>
    <row r="589" spans="10:22" s="1" customFormat="1" x14ac:dyDescent="0.2">
      <c r="J589"/>
      <c r="K589"/>
      <c r="L589"/>
      <c r="M589"/>
      <c r="N589" s="2"/>
      <c r="R589"/>
      <c r="S589"/>
      <c r="T589"/>
      <c r="U589"/>
      <c r="V589"/>
    </row>
    <row r="590" spans="10:22" s="1" customFormat="1" x14ac:dyDescent="0.2">
      <c r="J590"/>
      <c r="K590"/>
      <c r="L590"/>
      <c r="M590"/>
      <c r="N590" s="2"/>
      <c r="R590"/>
      <c r="S590"/>
      <c r="T590"/>
      <c r="U590"/>
      <c r="V590"/>
    </row>
    <row r="591" spans="10:22" s="1" customFormat="1" x14ac:dyDescent="0.2">
      <c r="J591"/>
      <c r="K591"/>
      <c r="L591"/>
      <c r="M591"/>
      <c r="N591" s="2"/>
      <c r="R591"/>
      <c r="S591"/>
      <c r="T591"/>
      <c r="U591"/>
      <c r="V591"/>
    </row>
    <row r="592" spans="10:22" s="1" customFormat="1" x14ac:dyDescent="0.2">
      <c r="J592"/>
      <c r="K592"/>
      <c r="L592"/>
      <c r="M592"/>
      <c r="N592" s="2"/>
      <c r="R592"/>
      <c r="S592"/>
      <c r="T592"/>
      <c r="U592"/>
      <c r="V592"/>
    </row>
    <row r="593" spans="10:22" s="1" customFormat="1" x14ac:dyDescent="0.2">
      <c r="J593"/>
      <c r="K593"/>
      <c r="L593"/>
      <c r="M593"/>
      <c r="N593" s="2"/>
      <c r="R593"/>
      <c r="S593"/>
      <c r="T593"/>
      <c r="U593"/>
      <c r="V593"/>
    </row>
    <row r="594" spans="10:22" s="1" customFormat="1" x14ac:dyDescent="0.2">
      <c r="J594"/>
      <c r="K594"/>
      <c r="L594"/>
      <c r="M594"/>
      <c r="N594" s="2"/>
      <c r="R594"/>
      <c r="S594"/>
      <c r="T594"/>
      <c r="U594"/>
      <c r="V594"/>
    </row>
    <row r="595" spans="10:22" s="1" customFormat="1" x14ac:dyDescent="0.2">
      <c r="J595"/>
      <c r="K595"/>
      <c r="L595"/>
      <c r="M595"/>
      <c r="N595" s="2"/>
      <c r="R595"/>
      <c r="S595"/>
      <c r="T595"/>
      <c r="U595"/>
      <c r="V595"/>
    </row>
    <row r="596" spans="10:22" s="1" customFormat="1" x14ac:dyDescent="0.2">
      <c r="J596"/>
      <c r="K596"/>
      <c r="L596"/>
      <c r="M596"/>
      <c r="N596" s="2"/>
      <c r="R596"/>
      <c r="S596"/>
      <c r="T596"/>
      <c r="U596"/>
      <c r="V596"/>
    </row>
    <row r="597" spans="10:22" s="1" customFormat="1" x14ac:dyDescent="0.2">
      <c r="J597"/>
      <c r="K597"/>
      <c r="L597"/>
      <c r="M597"/>
      <c r="N597" s="2"/>
      <c r="R597"/>
      <c r="S597"/>
      <c r="T597"/>
      <c r="U597"/>
      <c r="V597"/>
    </row>
    <row r="598" spans="10:22" s="1" customFormat="1" x14ac:dyDescent="0.2">
      <c r="J598"/>
      <c r="K598"/>
      <c r="L598"/>
      <c r="M598"/>
      <c r="N598" s="2"/>
      <c r="R598"/>
      <c r="S598"/>
      <c r="T598"/>
      <c r="U598"/>
      <c r="V598"/>
    </row>
    <row r="599" spans="10:22" s="1" customFormat="1" x14ac:dyDescent="0.2">
      <c r="J599"/>
      <c r="K599"/>
      <c r="L599"/>
      <c r="M599"/>
      <c r="N599" s="2"/>
      <c r="R599"/>
      <c r="S599"/>
      <c r="T599"/>
      <c r="U599"/>
      <c r="V599"/>
    </row>
    <row r="600" spans="10:22" s="1" customFormat="1" x14ac:dyDescent="0.2">
      <c r="J600"/>
      <c r="K600"/>
      <c r="L600"/>
      <c r="M600"/>
      <c r="N600" s="2"/>
      <c r="R600"/>
      <c r="S600"/>
      <c r="T600"/>
      <c r="U600"/>
      <c r="V600"/>
    </row>
    <row r="601" spans="10:22" s="1" customFormat="1" x14ac:dyDescent="0.2">
      <c r="J601"/>
      <c r="K601"/>
      <c r="L601"/>
      <c r="M601"/>
      <c r="N601" s="2"/>
      <c r="R601"/>
      <c r="S601"/>
      <c r="T601"/>
      <c r="U601"/>
      <c r="V601"/>
    </row>
    <row r="602" spans="10:22" s="1" customFormat="1" x14ac:dyDescent="0.2">
      <c r="J602"/>
      <c r="K602"/>
      <c r="L602"/>
      <c r="M602"/>
      <c r="N602" s="2"/>
      <c r="R602"/>
      <c r="S602"/>
      <c r="T602"/>
      <c r="U602"/>
      <c r="V602"/>
    </row>
    <row r="603" spans="10:22" s="1" customFormat="1" x14ac:dyDescent="0.2">
      <c r="J603"/>
      <c r="K603"/>
      <c r="L603"/>
      <c r="M603"/>
      <c r="N603" s="2"/>
      <c r="R603"/>
      <c r="S603"/>
      <c r="T603"/>
      <c r="U603"/>
      <c r="V603"/>
    </row>
    <row r="604" spans="10:22" s="1" customFormat="1" x14ac:dyDescent="0.2">
      <c r="J604"/>
      <c r="K604"/>
      <c r="L604"/>
      <c r="M604"/>
      <c r="N604" s="2"/>
      <c r="R604"/>
      <c r="S604"/>
      <c r="T604"/>
      <c r="U604"/>
      <c r="V604"/>
    </row>
    <row r="605" spans="10:22" s="1" customFormat="1" x14ac:dyDescent="0.2">
      <c r="J605"/>
      <c r="K605"/>
      <c r="L605"/>
      <c r="M605"/>
      <c r="N605" s="2"/>
      <c r="R605"/>
      <c r="S605"/>
      <c r="T605"/>
      <c r="U605"/>
      <c r="V605"/>
    </row>
    <row r="606" spans="10:22" s="1" customFormat="1" x14ac:dyDescent="0.2">
      <c r="J606"/>
      <c r="K606"/>
      <c r="L606"/>
      <c r="M606"/>
      <c r="N606" s="2"/>
      <c r="R606"/>
      <c r="S606"/>
      <c r="T606"/>
      <c r="U606"/>
      <c r="V606"/>
    </row>
    <row r="607" spans="10:22" s="1" customFormat="1" x14ac:dyDescent="0.2">
      <c r="J607"/>
      <c r="K607"/>
      <c r="L607"/>
      <c r="M607"/>
      <c r="N607" s="2"/>
      <c r="R607"/>
      <c r="S607"/>
      <c r="T607"/>
      <c r="U607"/>
      <c r="V607"/>
    </row>
    <row r="608" spans="10:22" s="1" customFormat="1" x14ac:dyDescent="0.2">
      <c r="J608"/>
      <c r="K608"/>
      <c r="L608"/>
      <c r="M608"/>
      <c r="N608" s="2"/>
      <c r="R608"/>
      <c r="S608"/>
      <c r="T608"/>
      <c r="U608"/>
      <c r="V608"/>
    </row>
    <row r="609" spans="10:22" s="1" customFormat="1" x14ac:dyDescent="0.2">
      <c r="J609"/>
      <c r="K609"/>
      <c r="L609"/>
      <c r="M609"/>
      <c r="N609" s="2"/>
      <c r="R609"/>
      <c r="S609"/>
      <c r="T609"/>
      <c r="U609"/>
      <c r="V609"/>
    </row>
    <row r="610" spans="10:22" s="1" customFormat="1" x14ac:dyDescent="0.2">
      <c r="J610"/>
      <c r="K610"/>
      <c r="L610"/>
      <c r="M610"/>
      <c r="N610" s="2"/>
      <c r="R610"/>
      <c r="S610"/>
      <c r="T610"/>
      <c r="U610"/>
      <c r="V610"/>
    </row>
    <row r="611" spans="10:22" s="1" customFormat="1" x14ac:dyDescent="0.2">
      <c r="J611"/>
      <c r="K611"/>
      <c r="L611"/>
      <c r="M611"/>
      <c r="N611" s="2"/>
      <c r="R611"/>
      <c r="S611"/>
      <c r="T611"/>
      <c r="U611"/>
      <c r="V611"/>
    </row>
    <row r="612" spans="10:22" s="1" customFormat="1" x14ac:dyDescent="0.2">
      <c r="J612"/>
      <c r="K612"/>
      <c r="L612"/>
      <c r="M612"/>
      <c r="N612" s="2"/>
      <c r="R612"/>
      <c r="S612"/>
      <c r="T612"/>
      <c r="U612"/>
      <c r="V612"/>
    </row>
    <row r="613" spans="10:22" s="1" customFormat="1" x14ac:dyDescent="0.2">
      <c r="J613"/>
      <c r="K613"/>
      <c r="L613"/>
      <c r="M613"/>
      <c r="N613" s="2"/>
      <c r="R613"/>
      <c r="S613"/>
      <c r="T613"/>
      <c r="U613"/>
      <c r="V613"/>
    </row>
    <row r="614" spans="10:22" s="1" customFormat="1" x14ac:dyDescent="0.2">
      <c r="J614"/>
      <c r="K614"/>
      <c r="L614"/>
      <c r="M614"/>
      <c r="N614" s="2"/>
      <c r="R614"/>
      <c r="S614"/>
      <c r="T614"/>
      <c r="U614"/>
      <c r="V614"/>
    </row>
    <row r="615" spans="10:22" s="1" customFormat="1" x14ac:dyDescent="0.2">
      <c r="J615"/>
      <c r="K615"/>
      <c r="L615"/>
      <c r="M615"/>
      <c r="N615" s="2"/>
      <c r="R615"/>
      <c r="S615"/>
      <c r="T615"/>
      <c r="U615"/>
      <c r="V615"/>
    </row>
    <row r="616" spans="10:22" s="1" customFormat="1" x14ac:dyDescent="0.2">
      <c r="J616"/>
      <c r="K616"/>
      <c r="L616"/>
      <c r="M616"/>
      <c r="N616" s="2"/>
      <c r="R616"/>
      <c r="S616"/>
      <c r="T616"/>
      <c r="U616"/>
      <c r="V616"/>
    </row>
    <row r="617" spans="10:22" s="1" customFormat="1" x14ac:dyDescent="0.2">
      <c r="J617"/>
      <c r="K617"/>
      <c r="L617"/>
      <c r="M617"/>
      <c r="N617" s="2"/>
      <c r="R617"/>
      <c r="S617"/>
      <c r="T617"/>
      <c r="U617"/>
      <c r="V617"/>
    </row>
    <row r="618" spans="10:22" s="1" customFormat="1" x14ac:dyDescent="0.2">
      <c r="J618"/>
      <c r="K618"/>
      <c r="L618"/>
      <c r="M618"/>
      <c r="N618" s="2"/>
      <c r="R618"/>
      <c r="S618"/>
      <c r="T618"/>
      <c r="U618"/>
      <c r="V618"/>
    </row>
    <row r="619" spans="10:22" s="1" customFormat="1" x14ac:dyDescent="0.2">
      <c r="J619"/>
      <c r="K619"/>
      <c r="L619"/>
      <c r="M619"/>
      <c r="N619" s="2"/>
      <c r="R619"/>
      <c r="S619"/>
      <c r="T619"/>
      <c r="U619"/>
      <c r="V619"/>
    </row>
    <row r="620" spans="10:22" s="1" customFormat="1" x14ac:dyDescent="0.2">
      <c r="J620"/>
      <c r="K620"/>
      <c r="L620"/>
      <c r="M620"/>
      <c r="N620" s="2"/>
      <c r="R620"/>
      <c r="S620"/>
      <c r="T620"/>
      <c r="U620"/>
      <c r="V620"/>
    </row>
    <row r="621" spans="10:22" s="1" customFormat="1" x14ac:dyDescent="0.2">
      <c r="J621"/>
      <c r="K621"/>
      <c r="L621"/>
      <c r="M621"/>
      <c r="N621" s="2"/>
      <c r="R621"/>
      <c r="S621"/>
      <c r="T621"/>
      <c r="U621"/>
      <c r="V621"/>
    </row>
    <row r="622" spans="10:22" s="1" customFormat="1" x14ac:dyDescent="0.2">
      <c r="J622"/>
      <c r="K622"/>
      <c r="L622"/>
      <c r="M622"/>
      <c r="N622" s="2"/>
      <c r="R622"/>
      <c r="S622"/>
      <c r="T622"/>
      <c r="U622"/>
      <c r="V622"/>
    </row>
    <row r="623" spans="10:22" s="1" customFormat="1" x14ac:dyDescent="0.2">
      <c r="J623"/>
      <c r="K623"/>
      <c r="L623"/>
      <c r="M623"/>
      <c r="N623" s="2"/>
      <c r="R623"/>
      <c r="S623"/>
      <c r="T623"/>
      <c r="U623"/>
      <c r="V623"/>
    </row>
    <row r="624" spans="10:22" s="1" customFormat="1" x14ac:dyDescent="0.2">
      <c r="J624"/>
      <c r="K624"/>
      <c r="L624"/>
      <c r="M624"/>
      <c r="N624" s="2"/>
      <c r="R624"/>
      <c r="S624"/>
      <c r="T624"/>
      <c r="U624"/>
      <c r="V624"/>
    </row>
    <row r="625" spans="10:22" s="1" customFormat="1" x14ac:dyDescent="0.2">
      <c r="J625"/>
      <c r="K625"/>
      <c r="L625"/>
      <c r="M625"/>
      <c r="N625" s="2"/>
      <c r="R625"/>
      <c r="S625"/>
      <c r="T625"/>
      <c r="U625"/>
      <c r="V625"/>
    </row>
    <row r="626" spans="10:22" s="1" customFormat="1" x14ac:dyDescent="0.2">
      <c r="J626"/>
      <c r="K626"/>
      <c r="L626"/>
      <c r="M626"/>
      <c r="N626" s="2"/>
      <c r="R626"/>
      <c r="S626"/>
      <c r="T626"/>
      <c r="U626"/>
      <c r="V626"/>
    </row>
    <row r="627" spans="10:22" s="1" customFormat="1" x14ac:dyDescent="0.2">
      <c r="J627"/>
      <c r="K627"/>
      <c r="L627"/>
      <c r="M627"/>
      <c r="N627" s="2"/>
      <c r="R627"/>
      <c r="S627"/>
      <c r="T627"/>
      <c r="U627"/>
      <c r="V627"/>
    </row>
    <row r="628" spans="10:22" s="1" customFormat="1" x14ac:dyDescent="0.2">
      <c r="J628"/>
      <c r="K628"/>
      <c r="L628"/>
      <c r="M628"/>
      <c r="N628" s="2"/>
      <c r="R628"/>
      <c r="S628"/>
      <c r="T628"/>
      <c r="U628"/>
      <c r="V628"/>
    </row>
    <row r="629" spans="10:22" s="1" customFormat="1" x14ac:dyDescent="0.2">
      <c r="J629"/>
      <c r="K629"/>
      <c r="L629"/>
      <c r="M629"/>
      <c r="N629" s="2"/>
      <c r="R629"/>
      <c r="S629"/>
      <c r="T629"/>
      <c r="U629"/>
      <c r="V629"/>
    </row>
    <row r="630" spans="10:22" s="1" customFormat="1" x14ac:dyDescent="0.2">
      <c r="J630"/>
      <c r="K630"/>
      <c r="L630"/>
      <c r="M630"/>
      <c r="N630" s="2"/>
      <c r="R630"/>
      <c r="S630"/>
      <c r="T630"/>
      <c r="U630"/>
      <c r="V630"/>
    </row>
    <row r="631" spans="10:22" s="1" customFormat="1" x14ac:dyDescent="0.2">
      <c r="J631"/>
      <c r="K631"/>
      <c r="L631"/>
      <c r="M631"/>
      <c r="N631" s="2"/>
      <c r="R631"/>
      <c r="S631"/>
      <c r="T631"/>
      <c r="U631"/>
      <c r="V631"/>
    </row>
    <row r="632" spans="10:22" s="1" customFormat="1" x14ac:dyDescent="0.2">
      <c r="J632"/>
      <c r="K632"/>
      <c r="L632"/>
      <c r="M632"/>
      <c r="N632" s="2"/>
      <c r="R632"/>
      <c r="S632"/>
      <c r="T632"/>
      <c r="U632"/>
      <c r="V632"/>
    </row>
    <row r="633" spans="10:22" s="1" customFormat="1" x14ac:dyDescent="0.2">
      <c r="J633"/>
      <c r="K633"/>
      <c r="L633"/>
      <c r="M633"/>
      <c r="N633" s="2"/>
      <c r="R633"/>
      <c r="S633"/>
      <c r="T633"/>
      <c r="U633"/>
      <c r="V633"/>
    </row>
    <row r="634" spans="10:22" s="1" customFormat="1" x14ac:dyDescent="0.2">
      <c r="J634"/>
      <c r="K634"/>
      <c r="L634"/>
      <c r="M634"/>
      <c r="N634" s="2"/>
      <c r="R634"/>
      <c r="S634"/>
      <c r="T634"/>
      <c r="U634"/>
      <c r="V634"/>
    </row>
    <row r="635" spans="10:22" s="1" customFormat="1" x14ac:dyDescent="0.2">
      <c r="J635"/>
      <c r="K635"/>
      <c r="L635"/>
      <c r="M635"/>
      <c r="N635" s="2"/>
      <c r="R635"/>
      <c r="S635"/>
      <c r="T635"/>
      <c r="U635"/>
      <c r="V635"/>
    </row>
    <row r="636" spans="10:22" s="1" customFormat="1" x14ac:dyDescent="0.2">
      <c r="J636"/>
      <c r="K636"/>
      <c r="L636"/>
      <c r="M636"/>
      <c r="N636" s="2"/>
      <c r="R636"/>
      <c r="S636"/>
      <c r="T636"/>
      <c r="U636"/>
      <c r="V636"/>
    </row>
    <row r="637" spans="10:22" s="1" customFormat="1" x14ac:dyDescent="0.2">
      <c r="J637"/>
      <c r="K637"/>
      <c r="L637"/>
      <c r="M637"/>
      <c r="N637" s="2"/>
      <c r="R637"/>
      <c r="S637"/>
      <c r="T637"/>
      <c r="U637"/>
      <c r="V637"/>
    </row>
    <row r="638" spans="10:22" s="1" customFormat="1" x14ac:dyDescent="0.2">
      <c r="J638"/>
      <c r="K638"/>
      <c r="L638"/>
      <c r="M638"/>
      <c r="N638" s="2"/>
      <c r="R638"/>
      <c r="S638"/>
      <c r="T638"/>
      <c r="U638"/>
      <c r="V638"/>
    </row>
    <row r="639" spans="10:22" s="1" customFormat="1" x14ac:dyDescent="0.2">
      <c r="J639"/>
      <c r="K639"/>
      <c r="L639"/>
      <c r="M639"/>
      <c r="N639" s="2"/>
      <c r="R639"/>
      <c r="S639"/>
      <c r="T639"/>
      <c r="U639"/>
      <c r="V639"/>
    </row>
    <row r="640" spans="10:22" s="1" customFormat="1" x14ac:dyDescent="0.2">
      <c r="J640"/>
      <c r="K640"/>
      <c r="L640"/>
      <c r="M640"/>
      <c r="N640" s="2"/>
      <c r="R640"/>
      <c r="S640"/>
      <c r="T640"/>
      <c r="U640"/>
      <c r="V640"/>
    </row>
    <row r="641" spans="10:22" s="1" customFormat="1" x14ac:dyDescent="0.2">
      <c r="J641"/>
      <c r="K641"/>
      <c r="L641"/>
      <c r="M641"/>
      <c r="N641" s="2"/>
      <c r="R641"/>
      <c r="S641"/>
      <c r="T641"/>
      <c r="U641"/>
      <c r="V641"/>
    </row>
    <row r="642" spans="10:22" s="1" customFormat="1" x14ac:dyDescent="0.2">
      <c r="J642"/>
      <c r="K642"/>
      <c r="L642"/>
      <c r="M642"/>
      <c r="N642" s="2"/>
      <c r="R642"/>
      <c r="S642"/>
      <c r="T642"/>
      <c r="U642"/>
      <c r="V642"/>
    </row>
    <row r="643" spans="10:22" s="1" customFormat="1" x14ac:dyDescent="0.2">
      <c r="J643"/>
      <c r="K643"/>
      <c r="L643"/>
      <c r="M643"/>
      <c r="N643" s="2"/>
      <c r="R643"/>
      <c r="S643"/>
      <c r="T643"/>
      <c r="U643"/>
      <c r="V643"/>
    </row>
    <row r="644" spans="10:22" s="1" customFormat="1" x14ac:dyDescent="0.2">
      <c r="J644"/>
      <c r="K644"/>
      <c r="L644"/>
      <c r="M644"/>
      <c r="N644" s="2"/>
      <c r="R644"/>
      <c r="S644"/>
      <c r="T644"/>
      <c r="U644"/>
      <c r="V644"/>
    </row>
    <row r="645" spans="10:22" s="1" customFormat="1" x14ac:dyDescent="0.2">
      <c r="J645"/>
      <c r="K645"/>
      <c r="L645"/>
      <c r="M645"/>
      <c r="N645" s="2"/>
      <c r="R645"/>
      <c r="S645"/>
      <c r="T645"/>
      <c r="U645"/>
      <c r="V645"/>
    </row>
    <row r="646" spans="10:22" s="1" customFormat="1" x14ac:dyDescent="0.2">
      <c r="J646"/>
      <c r="K646"/>
      <c r="L646"/>
      <c r="M646"/>
      <c r="N646" s="2"/>
      <c r="R646"/>
      <c r="S646"/>
      <c r="T646"/>
      <c r="U646"/>
      <c r="V646"/>
    </row>
    <row r="647" spans="10:22" s="1" customFormat="1" x14ac:dyDescent="0.2">
      <c r="J647"/>
      <c r="K647"/>
      <c r="L647"/>
      <c r="M647"/>
      <c r="N647" s="2"/>
      <c r="R647"/>
      <c r="S647"/>
      <c r="T647"/>
      <c r="U647"/>
      <c r="V647"/>
    </row>
    <row r="648" spans="10:22" s="1" customFormat="1" x14ac:dyDescent="0.2">
      <c r="J648"/>
      <c r="K648"/>
      <c r="L648"/>
      <c r="M648"/>
      <c r="N648" s="2"/>
      <c r="R648"/>
      <c r="S648"/>
      <c r="T648"/>
      <c r="U648"/>
      <c r="V648"/>
    </row>
    <row r="649" spans="10:22" s="1" customFormat="1" x14ac:dyDescent="0.2">
      <c r="J649"/>
      <c r="K649"/>
      <c r="L649"/>
      <c r="M649"/>
      <c r="N649" s="2"/>
      <c r="R649"/>
      <c r="S649"/>
      <c r="T649"/>
      <c r="U649"/>
      <c r="V649"/>
    </row>
    <row r="650" spans="10:22" s="1" customFormat="1" x14ac:dyDescent="0.2">
      <c r="J650"/>
      <c r="K650"/>
      <c r="L650"/>
      <c r="M650"/>
      <c r="N650" s="2"/>
      <c r="R650"/>
      <c r="S650"/>
      <c r="T650"/>
      <c r="U650"/>
      <c r="V650"/>
    </row>
    <row r="651" spans="10:22" s="1" customFormat="1" x14ac:dyDescent="0.2">
      <c r="J651"/>
      <c r="K651"/>
      <c r="L651"/>
      <c r="M651"/>
      <c r="N651" s="2"/>
      <c r="R651"/>
      <c r="S651"/>
      <c r="T651"/>
      <c r="U651"/>
      <c r="V651"/>
    </row>
    <row r="652" spans="10:22" s="1" customFormat="1" x14ac:dyDescent="0.2">
      <c r="J652"/>
      <c r="K652"/>
      <c r="L652"/>
      <c r="M652"/>
      <c r="N652" s="2"/>
      <c r="R652"/>
      <c r="S652"/>
      <c r="T652"/>
      <c r="U652"/>
      <c r="V652"/>
    </row>
    <row r="653" spans="10:22" s="1" customFormat="1" x14ac:dyDescent="0.2">
      <c r="J653"/>
      <c r="K653"/>
      <c r="L653"/>
      <c r="M653"/>
      <c r="N653" s="2"/>
      <c r="R653"/>
      <c r="S653"/>
      <c r="T653"/>
      <c r="U653"/>
      <c r="V653"/>
    </row>
    <row r="654" spans="10:22" s="1" customFormat="1" x14ac:dyDescent="0.2">
      <c r="J654"/>
      <c r="K654"/>
      <c r="L654"/>
      <c r="M654"/>
      <c r="N654" s="2"/>
      <c r="R654"/>
      <c r="S654"/>
      <c r="T654"/>
      <c r="U654"/>
      <c r="V654"/>
    </row>
    <row r="655" spans="10:22" s="1" customFormat="1" x14ac:dyDescent="0.2">
      <c r="J655"/>
      <c r="K655"/>
      <c r="L655"/>
      <c r="M655"/>
      <c r="N655" s="2"/>
      <c r="R655"/>
      <c r="S655"/>
      <c r="T655"/>
      <c r="U655"/>
      <c r="V655"/>
    </row>
    <row r="656" spans="10:22" s="1" customFormat="1" x14ac:dyDescent="0.2">
      <c r="J656"/>
      <c r="K656"/>
      <c r="L656"/>
      <c r="M656"/>
      <c r="N656" s="2"/>
      <c r="R656"/>
      <c r="S656"/>
      <c r="T656"/>
      <c r="U656"/>
      <c r="V656"/>
    </row>
    <row r="657" spans="10:22" s="1" customFormat="1" x14ac:dyDescent="0.2">
      <c r="J657"/>
      <c r="K657"/>
      <c r="L657"/>
      <c r="M657"/>
      <c r="N657" s="2"/>
      <c r="R657"/>
      <c r="S657"/>
      <c r="T657"/>
      <c r="U657"/>
      <c r="V657"/>
    </row>
    <row r="658" spans="10:22" s="1" customFormat="1" x14ac:dyDescent="0.2">
      <c r="J658"/>
      <c r="K658"/>
      <c r="L658"/>
      <c r="M658"/>
      <c r="N658" s="2"/>
      <c r="R658"/>
      <c r="S658"/>
      <c r="T658"/>
      <c r="U658"/>
      <c r="V658"/>
    </row>
    <row r="659" spans="10:22" s="1" customFormat="1" x14ac:dyDescent="0.2">
      <c r="J659"/>
      <c r="K659"/>
      <c r="L659"/>
      <c r="M659"/>
      <c r="N659" s="2"/>
      <c r="R659"/>
      <c r="S659"/>
      <c r="T659"/>
      <c r="U659"/>
      <c r="V659"/>
    </row>
    <row r="660" spans="10:22" s="1" customFormat="1" x14ac:dyDescent="0.2">
      <c r="J660"/>
      <c r="K660"/>
      <c r="L660"/>
      <c r="M660"/>
      <c r="N660" s="2"/>
      <c r="R660"/>
      <c r="S660"/>
      <c r="T660"/>
      <c r="U660"/>
      <c r="V660"/>
    </row>
    <row r="661" spans="10:22" s="1" customFormat="1" x14ac:dyDescent="0.2">
      <c r="J661"/>
      <c r="K661"/>
      <c r="L661"/>
      <c r="M661"/>
      <c r="N661" s="2"/>
      <c r="R661"/>
      <c r="S661"/>
      <c r="T661"/>
      <c r="U661"/>
      <c r="V661"/>
    </row>
    <row r="662" spans="10:22" s="1" customFormat="1" x14ac:dyDescent="0.2">
      <c r="J662"/>
      <c r="K662"/>
      <c r="L662"/>
      <c r="M662"/>
      <c r="N662" s="2"/>
      <c r="R662"/>
      <c r="S662"/>
      <c r="T662"/>
      <c r="U662"/>
      <c r="V662"/>
    </row>
    <row r="663" spans="10:22" s="1" customFormat="1" x14ac:dyDescent="0.2">
      <c r="J663"/>
      <c r="K663"/>
      <c r="L663"/>
      <c r="M663"/>
      <c r="N663" s="2"/>
      <c r="R663"/>
      <c r="S663"/>
      <c r="T663"/>
      <c r="U663"/>
      <c r="V663"/>
    </row>
    <row r="664" spans="10:22" s="1" customFormat="1" x14ac:dyDescent="0.2">
      <c r="J664"/>
      <c r="K664"/>
      <c r="L664"/>
      <c r="M664"/>
      <c r="N664" s="2"/>
      <c r="R664"/>
      <c r="S664"/>
      <c r="T664"/>
      <c r="U664"/>
      <c r="V664"/>
    </row>
    <row r="665" spans="10:22" s="1" customFormat="1" x14ac:dyDescent="0.2">
      <c r="J665"/>
      <c r="K665"/>
      <c r="L665"/>
      <c r="M665"/>
      <c r="N665" s="2"/>
      <c r="R665"/>
      <c r="S665"/>
      <c r="T665"/>
      <c r="U665"/>
      <c r="V665"/>
    </row>
    <row r="666" spans="10:22" s="1" customFormat="1" x14ac:dyDescent="0.2">
      <c r="J666"/>
      <c r="K666"/>
      <c r="L666"/>
      <c r="M666"/>
      <c r="N666" s="2"/>
      <c r="R666"/>
      <c r="S666"/>
      <c r="T666"/>
      <c r="U666"/>
      <c r="V666"/>
    </row>
    <row r="667" spans="10:22" s="1" customFormat="1" x14ac:dyDescent="0.2">
      <c r="J667"/>
      <c r="K667"/>
      <c r="L667"/>
      <c r="M667"/>
      <c r="N667" s="2"/>
      <c r="R667"/>
      <c r="S667"/>
      <c r="T667"/>
      <c r="U667"/>
      <c r="V667"/>
    </row>
    <row r="668" spans="10:22" s="1" customFormat="1" x14ac:dyDescent="0.2">
      <c r="J668"/>
      <c r="K668"/>
      <c r="L668"/>
      <c r="M668"/>
      <c r="N668" s="2"/>
      <c r="R668"/>
      <c r="S668"/>
      <c r="T668"/>
      <c r="U668"/>
      <c r="V668"/>
    </row>
    <row r="669" spans="10:22" s="1" customFormat="1" x14ac:dyDescent="0.2">
      <c r="J669"/>
      <c r="K669"/>
      <c r="L669"/>
      <c r="M669"/>
      <c r="N669" s="2"/>
      <c r="R669"/>
      <c r="S669"/>
      <c r="T669"/>
      <c r="U669"/>
      <c r="V669"/>
    </row>
    <row r="670" spans="10:22" s="1" customFormat="1" x14ac:dyDescent="0.2">
      <c r="J670"/>
      <c r="K670"/>
      <c r="L670"/>
      <c r="M670"/>
      <c r="N670" s="2"/>
      <c r="R670"/>
      <c r="S670"/>
      <c r="T670"/>
      <c r="U670"/>
      <c r="V670"/>
    </row>
    <row r="671" spans="10:22" s="1" customFormat="1" x14ac:dyDescent="0.2">
      <c r="J671"/>
      <c r="K671"/>
      <c r="L671"/>
      <c r="M671"/>
      <c r="N671" s="2"/>
      <c r="R671"/>
      <c r="S671"/>
      <c r="T671"/>
      <c r="U671"/>
      <c r="V671"/>
    </row>
    <row r="672" spans="10:22" s="1" customFormat="1" x14ac:dyDescent="0.2">
      <c r="J672"/>
      <c r="K672"/>
      <c r="L672"/>
      <c r="M672"/>
      <c r="N672" s="2"/>
      <c r="R672"/>
      <c r="S672"/>
      <c r="T672"/>
      <c r="U672"/>
      <c r="V672"/>
    </row>
    <row r="673" spans="10:22" s="1" customFormat="1" x14ac:dyDescent="0.2">
      <c r="J673"/>
      <c r="K673"/>
      <c r="L673"/>
      <c r="M673"/>
      <c r="N673" s="2"/>
      <c r="R673"/>
      <c r="S673"/>
      <c r="T673"/>
      <c r="U673"/>
      <c r="V673"/>
    </row>
    <row r="674" spans="10:22" s="1" customFormat="1" x14ac:dyDescent="0.2">
      <c r="J674"/>
      <c r="K674"/>
      <c r="L674"/>
      <c r="M674"/>
      <c r="N674" s="2"/>
      <c r="R674"/>
      <c r="S674"/>
      <c r="T674"/>
      <c r="U674"/>
      <c r="V674"/>
    </row>
    <row r="675" spans="10:22" s="1" customFormat="1" x14ac:dyDescent="0.2">
      <c r="J675"/>
      <c r="K675"/>
      <c r="L675"/>
      <c r="M675"/>
      <c r="N675" s="2"/>
      <c r="R675"/>
      <c r="S675"/>
      <c r="T675"/>
      <c r="U675"/>
      <c r="V675"/>
    </row>
    <row r="676" spans="10:22" s="1" customFormat="1" x14ac:dyDescent="0.2">
      <c r="J676"/>
      <c r="K676"/>
      <c r="L676"/>
      <c r="M676"/>
      <c r="N676" s="2"/>
      <c r="R676"/>
      <c r="S676"/>
      <c r="T676"/>
      <c r="U676"/>
      <c r="V676"/>
    </row>
    <row r="677" spans="10:22" s="1" customFormat="1" x14ac:dyDescent="0.2">
      <c r="J677"/>
      <c r="K677"/>
      <c r="L677"/>
      <c r="M677"/>
      <c r="N677" s="2"/>
      <c r="R677"/>
      <c r="S677"/>
      <c r="T677"/>
      <c r="U677"/>
      <c r="V677"/>
    </row>
    <row r="678" spans="10:22" s="1" customFormat="1" x14ac:dyDescent="0.2">
      <c r="J678"/>
      <c r="K678"/>
      <c r="L678"/>
      <c r="M678"/>
      <c r="N678" s="2"/>
      <c r="R678"/>
      <c r="S678"/>
      <c r="T678"/>
      <c r="U678"/>
      <c r="V678"/>
    </row>
    <row r="679" spans="10:22" s="1" customFormat="1" x14ac:dyDescent="0.2">
      <c r="J679"/>
      <c r="K679"/>
      <c r="L679"/>
      <c r="M679"/>
      <c r="N679" s="2"/>
      <c r="R679"/>
      <c r="S679"/>
      <c r="T679"/>
      <c r="U679"/>
      <c r="V679"/>
    </row>
    <row r="680" spans="10:22" s="1" customFormat="1" x14ac:dyDescent="0.2">
      <c r="J680"/>
      <c r="K680"/>
      <c r="L680"/>
      <c r="M680"/>
      <c r="N680" s="2"/>
      <c r="R680"/>
      <c r="S680"/>
      <c r="T680"/>
      <c r="U680"/>
      <c r="V680"/>
    </row>
    <row r="681" spans="10:22" s="1" customFormat="1" x14ac:dyDescent="0.2">
      <c r="J681"/>
      <c r="K681"/>
      <c r="L681"/>
      <c r="M681"/>
      <c r="N681" s="2"/>
      <c r="R681"/>
      <c r="S681"/>
      <c r="T681"/>
      <c r="U681"/>
      <c r="V681"/>
    </row>
    <row r="682" spans="10:22" s="1" customFormat="1" x14ac:dyDescent="0.2">
      <c r="J682"/>
      <c r="K682"/>
      <c r="L682"/>
      <c r="M682"/>
      <c r="N682" s="2"/>
      <c r="R682"/>
      <c r="S682"/>
      <c r="T682"/>
      <c r="U682"/>
      <c r="V682"/>
    </row>
    <row r="683" spans="10:22" s="1" customFormat="1" x14ac:dyDescent="0.2">
      <c r="J683"/>
      <c r="K683"/>
      <c r="L683"/>
      <c r="M683"/>
      <c r="N683" s="2"/>
      <c r="R683"/>
      <c r="S683"/>
      <c r="T683"/>
      <c r="U683"/>
      <c r="V683"/>
    </row>
    <row r="684" spans="10:22" s="1" customFormat="1" x14ac:dyDescent="0.2">
      <c r="J684"/>
      <c r="K684"/>
      <c r="L684"/>
      <c r="M684"/>
      <c r="N684" s="2"/>
      <c r="R684"/>
      <c r="S684"/>
      <c r="T684"/>
      <c r="U684"/>
      <c r="V684"/>
    </row>
    <row r="685" spans="10:22" s="1" customFormat="1" x14ac:dyDescent="0.2">
      <c r="J685"/>
      <c r="K685"/>
      <c r="L685"/>
      <c r="M685"/>
      <c r="N685" s="2"/>
      <c r="R685"/>
      <c r="S685"/>
      <c r="T685"/>
      <c r="U685"/>
      <c r="V685"/>
    </row>
    <row r="686" spans="10:22" s="1" customFormat="1" x14ac:dyDescent="0.2">
      <c r="J686"/>
      <c r="K686"/>
      <c r="L686"/>
      <c r="M686"/>
      <c r="N686" s="2"/>
      <c r="R686"/>
      <c r="S686"/>
      <c r="T686"/>
      <c r="U686"/>
      <c r="V686"/>
    </row>
    <row r="687" spans="10:22" s="1" customFormat="1" x14ac:dyDescent="0.2">
      <c r="J687"/>
      <c r="K687"/>
      <c r="L687"/>
      <c r="M687"/>
      <c r="N687" s="2"/>
      <c r="R687"/>
      <c r="S687"/>
      <c r="T687"/>
      <c r="U687"/>
      <c r="V687"/>
    </row>
    <row r="688" spans="10:22" s="1" customFormat="1" x14ac:dyDescent="0.2">
      <c r="J688"/>
      <c r="K688"/>
      <c r="L688"/>
      <c r="M688"/>
      <c r="N688" s="2"/>
      <c r="R688"/>
      <c r="S688"/>
      <c r="T688"/>
      <c r="U688"/>
      <c r="V688"/>
    </row>
    <row r="689" spans="10:22" s="1" customFormat="1" x14ac:dyDescent="0.2">
      <c r="J689"/>
      <c r="K689"/>
      <c r="L689"/>
      <c r="M689"/>
      <c r="N689" s="2"/>
      <c r="R689"/>
      <c r="S689"/>
      <c r="T689"/>
      <c r="U689"/>
      <c r="V689"/>
    </row>
    <row r="690" spans="10:22" s="1" customFormat="1" x14ac:dyDescent="0.2">
      <c r="J690"/>
      <c r="K690"/>
      <c r="L690"/>
      <c r="M690"/>
      <c r="N690" s="2"/>
      <c r="R690"/>
      <c r="S690"/>
      <c r="T690"/>
      <c r="U690"/>
      <c r="V690"/>
    </row>
    <row r="691" spans="10:22" s="1" customFormat="1" x14ac:dyDescent="0.2">
      <c r="J691"/>
      <c r="K691"/>
      <c r="L691"/>
      <c r="M691"/>
      <c r="N691" s="2"/>
      <c r="R691"/>
      <c r="S691"/>
      <c r="T691"/>
      <c r="U691"/>
      <c r="V691"/>
    </row>
    <row r="692" spans="10:22" s="1" customFormat="1" x14ac:dyDescent="0.2">
      <c r="J692"/>
      <c r="K692"/>
      <c r="L692"/>
      <c r="M692"/>
      <c r="N692" s="2"/>
      <c r="R692"/>
      <c r="S692"/>
      <c r="T692"/>
      <c r="U692"/>
      <c r="V692"/>
    </row>
    <row r="693" spans="10:22" s="1" customFormat="1" x14ac:dyDescent="0.2">
      <c r="J693"/>
      <c r="K693"/>
      <c r="L693"/>
      <c r="M693"/>
      <c r="N693" s="2"/>
      <c r="R693"/>
      <c r="S693"/>
      <c r="T693"/>
      <c r="U693"/>
      <c r="V693"/>
    </row>
    <row r="694" spans="10:22" s="1" customFormat="1" x14ac:dyDescent="0.2">
      <c r="J694"/>
      <c r="K694"/>
      <c r="L694"/>
      <c r="M694"/>
      <c r="N694" s="2"/>
      <c r="R694"/>
      <c r="S694"/>
      <c r="T694"/>
      <c r="U694"/>
      <c r="V694"/>
    </row>
    <row r="695" spans="10:22" s="1" customFormat="1" x14ac:dyDescent="0.2">
      <c r="J695"/>
      <c r="K695"/>
      <c r="L695"/>
      <c r="M695"/>
      <c r="N695" s="2"/>
      <c r="R695"/>
      <c r="S695"/>
      <c r="T695"/>
      <c r="U695"/>
      <c r="V695"/>
    </row>
    <row r="696" spans="10:22" s="1" customFormat="1" x14ac:dyDescent="0.2">
      <c r="J696"/>
      <c r="K696"/>
      <c r="L696"/>
      <c r="M696"/>
      <c r="N696" s="2"/>
      <c r="R696"/>
      <c r="S696"/>
      <c r="T696"/>
      <c r="U696"/>
      <c r="V696"/>
    </row>
    <row r="697" spans="10:22" s="1" customFormat="1" x14ac:dyDescent="0.2">
      <c r="J697"/>
      <c r="K697"/>
      <c r="L697"/>
      <c r="M697"/>
      <c r="N697" s="2"/>
      <c r="R697"/>
      <c r="S697"/>
      <c r="T697"/>
      <c r="U697"/>
      <c r="V697"/>
    </row>
    <row r="698" spans="10:22" s="1" customFormat="1" x14ac:dyDescent="0.2">
      <c r="J698"/>
      <c r="K698"/>
      <c r="L698"/>
      <c r="M698"/>
      <c r="N698" s="2"/>
      <c r="R698"/>
      <c r="S698"/>
      <c r="T698"/>
      <c r="U698"/>
      <c r="V698"/>
    </row>
    <row r="699" spans="10:22" s="1" customFormat="1" x14ac:dyDescent="0.2">
      <c r="J699"/>
      <c r="K699"/>
      <c r="L699"/>
      <c r="M699"/>
      <c r="N699" s="2"/>
      <c r="R699"/>
      <c r="S699"/>
      <c r="T699"/>
      <c r="U699"/>
      <c r="V699"/>
    </row>
    <row r="700" spans="10:22" s="1" customFormat="1" x14ac:dyDescent="0.2">
      <c r="J700"/>
      <c r="K700"/>
      <c r="L700"/>
      <c r="M700"/>
      <c r="N700" s="2"/>
      <c r="R700"/>
      <c r="S700"/>
      <c r="T700"/>
      <c r="U700"/>
      <c r="V700"/>
    </row>
    <row r="701" spans="10:22" s="1" customFormat="1" x14ac:dyDescent="0.2">
      <c r="J701"/>
      <c r="K701"/>
      <c r="L701"/>
      <c r="M701"/>
      <c r="N701" s="2"/>
      <c r="R701"/>
      <c r="S701"/>
      <c r="T701"/>
      <c r="U701"/>
      <c r="V701"/>
    </row>
    <row r="702" spans="10:22" s="1" customFormat="1" x14ac:dyDescent="0.2">
      <c r="J702"/>
      <c r="K702"/>
      <c r="L702"/>
      <c r="M702"/>
      <c r="N702" s="2"/>
      <c r="R702"/>
      <c r="S702"/>
      <c r="T702"/>
      <c r="U702"/>
      <c r="V702"/>
    </row>
    <row r="703" spans="10:22" s="1" customFormat="1" x14ac:dyDescent="0.2">
      <c r="J703"/>
      <c r="K703"/>
      <c r="L703"/>
      <c r="M703"/>
      <c r="N703" s="2"/>
      <c r="R703"/>
      <c r="S703"/>
      <c r="T703"/>
      <c r="U703"/>
      <c r="V703"/>
    </row>
    <row r="704" spans="10:22" s="1" customFormat="1" x14ac:dyDescent="0.2">
      <c r="J704"/>
      <c r="K704"/>
      <c r="L704"/>
      <c r="M704"/>
      <c r="N704" s="2"/>
      <c r="R704"/>
      <c r="S704"/>
      <c r="T704"/>
      <c r="U704"/>
      <c r="V704"/>
    </row>
    <row r="705" spans="10:22" s="1" customFormat="1" x14ac:dyDescent="0.2">
      <c r="J705"/>
      <c r="K705"/>
      <c r="L705"/>
      <c r="M705"/>
      <c r="N705" s="2"/>
      <c r="R705"/>
      <c r="S705"/>
      <c r="T705"/>
      <c r="U705"/>
      <c r="V705"/>
    </row>
    <row r="706" spans="10:22" s="1" customFormat="1" x14ac:dyDescent="0.2">
      <c r="J706"/>
      <c r="K706"/>
      <c r="L706"/>
      <c r="M706"/>
      <c r="N706" s="2"/>
      <c r="R706"/>
      <c r="S706"/>
      <c r="T706"/>
      <c r="U706"/>
      <c r="V706"/>
    </row>
    <row r="707" spans="10:22" s="1" customFormat="1" x14ac:dyDescent="0.2">
      <c r="J707"/>
      <c r="K707"/>
      <c r="L707"/>
      <c r="M707"/>
      <c r="N707" s="2"/>
      <c r="R707"/>
      <c r="S707"/>
      <c r="T707"/>
      <c r="U707"/>
      <c r="V707"/>
    </row>
    <row r="708" spans="10:22" s="1" customFormat="1" x14ac:dyDescent="0.2">
      <c r="J708"/>
      <c r="K708"/>
      <c r="L708"/>
      <c r="M708"/>
      <c r="N708" s="2"/>
      <c r="R708"/>
      <c r="S708"/>
      <c r="T708"/>
      <c r="U708"/>
      <c r="V708"/>
    </row>
    <row r="709" spans="10:22" s="1" customFormat="1" x14ac:dyDescent="0.2">
      <c r="J709"/>
      <c r="K709"/>
      <c r="L709"/>
      <c r="M709"/>
      <c r="N709" s="2"/>
      <c r="R709"/>
      <c r="S709"/>
      <c r="T709"/>
      <c r="U709"/>
      <c r="V709"/>
    </row>
    <row r="710" spans="10:22" s="1" customFormat="1" x14ac:dyDescent="0.2">
      <c r="J710"/>
      <c r="K710"/>
      <c r="L710"/>
      <c r="M710"/>
      <c r="N710" s="2"/>
      <c r="R710"/>
      <c r="S710"/>
      <c r="T710"/>
      <c r="U710"/>
      <c r="V710"/>
    </row>
    <row r="711" spans="10:22" s="1" customFormat="1" x14ac:dyDescent="0.2">
      <c r="J711"/>
      <c r="K711"/>
      <c r="L711"/>
      <c r="M711"/>
      <c r="N711" s="2"/>
      <c r="R711"/>
      <c r="S711"/>
      <c r="T711"/>
      <c r="U711"/>
      <c r="V711"/>
    </row>
    <row r="712" spans="10:22" s="1" customFormat="1" x14ac:dyDescent="0.2">
      <c r="J712"/>
      <c r="K712"/>
      <c r="L712"/>
      <c r="M712"/>
      <c r="N712" s="2"/>
      <c r="R712"/>
      <c r="S712"/>
      <c r="T712"/>
      <c r="U712"/>
      <c r="V712"/>
    </row>
    <row r="713" spans="10:22" s="1" customFormat="1" x14ac:dyDescent="0.2">
      <c r="J713"/>
      <c r="K713"/>
      <c r="L713"/>
      <c r="M713"/>
      <c r="N713" s="2"/>
      <c r="R713"/>
      <c r="S713"/>
      <c r="T713"/>
      <c r="U713"/>
      <c r="V713"/>
    </row>
    <row r="714" spans="10:22" s="1" customFormat="1" x14ac:dyDescent="0.2">
      <c r="J714"/>
      <c r="K714"/>
      <c r="L714"/>
      <c r="M714"/>
      <c r="N714" s="2"/>
      <c r="R714"/>
      <c r="S714"/>
      <c r="T714"/>
      <c r="U714"/>
      <c r="V714"/>
    </row>
    <row r="715" spans="10:22" s="1" customFormat="1" x14ac:dyDescent="0.2">
      <c r="J715"/>
      <c r="K715"/>
      <c r="L715"/>
      <c r="M715"/>
      <c r="N715" s="2"/>
      <c r="R715"/>
      <c r="S715"/>
      <c r="T715"/>
      <c r="U715"/>
      <c r="V715"/>
    </row>
    <row r="716" spans="10:22" s="1" customFormat="1" x14ac:dyDescent="0.2">
      <c r="J716"/>
      <c r="K716"/>
      <c r="L716"/>
      <c r="M716"/>
      <c r="N716" s="2"/>
      <c r="R716"/>
      <c r="S716"/>
      <c r="T716"/>
      <c r="U716"/>
      <c r="V716"/>
    </row>
    <row r="717" spans="10:22" s="1" customFormat="1" x14ac:dyDescent="0.2">
      <c r="J717"/>
      <c r="K717"/>
      <c r="L717"/>
      <c r="M717"/>
      <c r="N717" s="2"/>
      <c r="R717"/>
      <c r="S717"/>
      <c r="T717"/>
      <c r="U717"/>
      <c r="V717"/>
    </row>
    <row r="718" spans="10:22" s="1" customFormat="1" x14ac:dyDescent="0.2">
      <c r="J718"/>
      <c r="K718"/>
      <c r="L718"/>
      <c r="M718"/>
      <c r="N718" s="2"/>
      <c r="R718"/>
      <c r="S718"/>
      <c r="T718"/>
      <c r="U718"/>
      <c r="V718"/>
    </row>
    <row r="719" spans="10:22" s="1" customFormat="1" x14ac:dyDescent="0.2">
      <c r="J719"/>
      <c r="K719"/>
      <c r="L719"/>
      <c r="M719"/>
      <c r="N719" s="2"/>
      <c r="R719"/>
      <c r="S719"/>
      <c r="T719"/>
      <c r="U719"/>
      <c r="V719"/>
    </row>
    <row r="720" spans="10:22" s="1" customFormat="1" x14ac:dyDescent="0.2">
      <c r="J720"/>
      <c r="K720"/>
      <c r="L720"/>
      <c r="M720"/>
      <c r="N720" s="2"/>
      <c r="R720"/>
      <c r="S720"/>
      <c r="T720"/>
      <c r="U720"/>
      <c r="V720"/>
    </row>
    <row r="721" spans="10:22" s="1" customFormat="1" x14ac:dyDescent="0.2">
      <c r="J721"/>
      <c r="K721"/>
      <c r="L721"/>
      <c r="M721"/>
      <c r="N721" s="2"/>
      <c r="R721"/>
      <c r="S721"/>
      <c r="T721"/>
      <c r="U721"/>
      <c r="V721"/>
    </row>
    <row r="722" spans="10:22" s="1" customFormat="1" x14ac:dyDescent="0.2">
      <c r="J722"/>
      <c r="K722"/>
      <c r="L722"/>
      <c r="M722"/>
      <c r="N722" s="2"/>
      <c r="R722"/>
      <c r="S722"/>
      <c r="T722"/>
      <c r="U722"/>
      <c r="V722"/>
    </row>
    <row r="723" spans="10:22" s="1" customFormat="1" x14ac:dyDescent="0.2">
      <c r="J723"/>
      <c r="K723"/>
      <c r="L723"/>
      <c r="M723"/>
      <c r="N723" s="2"/>
      <c r="R723"/>
      <c r="S723"/>
      <c r="T723"/>
      <c r="U723"/>
      <c r="V723"/>
    </row>
    <row r="724" spans="10:22" s="1" customFormat="1" x14ac:dyDescent="0.2">
      <c r="J724"/>
      <c r="K724"/>
      <c r="L724"/>
      <c r="M724"/>
      <c r="N724" s="2"/>
      <c r="R724"/>
      <c r="S724"/>
      <c r="T724"/>
      <c r="U724"/>
      <c r="V724"/>
    </row>
    <row r="725" spans="10:22" s="1" customFormat="1" x14ac:dyDescent="0.2">
      <c r="J725"/>
      <c r="K725"/>
      <c r="L725"/>
      <c r="M725"/>
      <c r="N725" s="2"/>
      <c r="R725"/>
      <c r="S725"/>
      <c r="T725"/>
      <c r="U725"/>
      <c r="V725"/>
    </row>
    <row r="726" spans="10:22" s="1" customFormat="1" x14ac:dyDescent="0.2">
      <c r="J726"/>
      <c r="K726"/>
      <c r="L726"/>
      <c r="M726"/>
      <c r="N726" s="2"/>
      <c r="R726"/>
      <c r="S726"/>
      <c r="T726"/>
      <c r="U726"/>
      <c r="V726"/>
    </row>
    <row r="727" spans="10:22" s="1" customFormat="1" x14ac:dyDescent="0.2">
      <c r="J727"/>
      <c r="K727"/>
      <c r="L727"/>
      <c r="M727"/>
      <c r="N727" s="2"/>
      <c r="R727"/>
      <c r="S727"/>
      <c r="T727"/>
      <c r="U727"/>
      <c r="V727"/>
    </row>
    <row r="728" spans="10:22" s="1" customFormat="1" x14ac:dyDescent="0.2">
      <c r="J728"/>
      <c r="K728"/>
      <c r="L728"/>
      <c r="M728"/>
      <c r="N728" s="2"/>
      <c r="R728"/>
      <c r="S728"/>
      <c r="T728"/>
      <c r="U728"/>
      <c r="V728"/>
    </row>
    <row r="729" spans="10:22" s="1" customFormat="1" x14ac:dyDescent="0.2">
      <c r="J729"/>
      <c r="K729"/>
      <c r="L729"/>
      <c r="M729"/>
      <c r="N729" s="2"/>
      <c r="R729"/>
      <c r="S729"/>
      <c r="T729"/>
      <c r="U729"/>
      <c r="V729"/>
    </row>
    <row r="730" spans="10:22" s="1" customFormat="1" x14ac:dyDescent="0.2">
      <c r="J730"/>
      <c r="K730"/>
      <c r="L730"/>
      <c r="M730"/>
      <c r="N730" s="2"/>
      <c r="R730"/>
      <c r="S730"/>
      <c r="T730"/>
      <c r="U730"/>
      <c r="V730"/>
    </row>
    <row r="731" spans="10:22" s="1" customFormat="1" x14ac:dyDescent="0.2">
      <c r="J731"/>
      <c r="K731"/>
      <c r="L731"/>
      <c r="M731"/>
      <c r="N731" s="2"/>
      <c r="R731"/>
      <c r="S731"/>
      <c r="T731"/>
      <c r="U731"/>
      <c r="V731"/>
    </row>
    <row r="732" spans="10:22" s="1" customFormat="1" x14ac:dyDescent="0.2">
      <c r="J732"/>
      <c r="K732"/>
      <c r="L732"/>
      <c r="M732"/>
      <c r="N732" s="2"/>
      <c r="R732"/>
      <c r="S732"/>
      <c r="T732"/>
      <c r="U732"/>
      <c r="V732"/>
    </row>
    <row r="733" spans="10:22" s="1" customFormat="1" x14ac:dyDescent="0.2">
      <c r="J733"/>
      <c r="K733"/>
      <c r="L733"/>
      <c r="M733"/>
      <c r="N733" s="2"/>
      <c r="R733"/>
      <c r="S733"/>
      <c r="T733"/>
      <c r="U733"/>
      <c r="V733"/>
    </row>
    <row r="734" spans="10:22" s="1" customFormat="1" x14ac:dyDescent="0.2">
      <c r="J734"/>
      <c r="K734"/>
      <c r="L734"/>
      <c r="M734"/>
      <c r="N734" s="2"/>
      <c r="R734"/>
      <c r="S734"/>
      <c r="T734"/>
      <c r="U734"/>
      <c r="V734"/>
    </row>
  </sheetData>
  <mergeCells count="140">
    <mergeCell ref="U22:U24"/>
    <mergeCell ref="L22:L24"/>
    <mergeCell ref="N22:N23"/>
    <mergeCell ref="O22:O23"/>
    <mergeCell ref="U26:U30"/>
    <mergeCell ref="K22:K24"/>
    <mergeCell ref="Q22:Q24"/>
    <mergeCell ref="S22:S24"/>
    <mergeCell ref="M22:M23"/>
    <mergeCell ref="K26:K30"/>
    <mergeCell ref="Q26:Q30"/>
    <mergeCell ref="S26:S30"/>
    <mergeCell ref="L26:L30"/>
    <mergeCell ref="V18:AB18"/>
    <mergeCell ref="V19:AB19"/>
    <mergeCell ref="V20:AB20"/>
    <mergeCell ref="E16:E17"/>
    <mergeCell ref="J16:J17"/>
    <mergeCell ref="K16:K17"/>
    <mergeCell ref="L16:L17"/>
    <mergeCell ref="Q16:Q17"/>
    <mergeCell ref="S16:S17"/>
    <mergeCell ref="V16:AB16"/>
    <mergeCell ref="U20:U21"/>
    <mergeCell ref="L20:L21"/>
    <mergeCell ref="K20:K21"/>
    <mergeCell ref="Q20:Q21"/>
    <mergeCell ref="S20:S21"/>
    <mergeCell ref="U16:U17"/>
    <mergeCell ref="V60:AB60"/>
    <mergeCell ref="V3:AB3"/>
    <mergeCell ref="V4:AB4"/>
    <mergeCell ref="V5:AB5"/>
    <mergeCell ref="V6:AB6"/>
    <mergeCell ref="V7:AB7"/>
    <mergeCell ref="V8:AB8"/>
    <mergeCell ref="V9:AB9"/>
    <mergeCell ref="V10:AB10"/>
    <mergeCell ref="V11:AB11"/>
    <mergeCell ref="V17:AB17"/>
    <mergeCell ref="V15:AB15"/>
    <mergeCell ref="V14:AB14"/>
    <mergeCell ref="V21:AB21"/>
    <mergeCell ref="V24:AB24"/>
    <mergeCell ref="V29:AB29"/>
    <mergeCell ref="V30:AB30"/>
    <mergeCell ref="V32:AB32"/>
    <mergeCell ref="V33:AB33"/>
    <mergeCell ref="V34:AB34"/>
    <mergeCell ref="V35:AB35"/>
    <mergeCell ref="V36:AB36"/>
    <mergeCell ref="V25:AB25"/>
    <mergeCell ref="V26:AB26"/>
    <mergeCell ref="B2:V2"/>
    <mergeCell ref="B7:B8"/>
    <mergeCell ref="E7:E8"/>
    <mergeCell ref="J7:J8"/>
    <mergeCell ref="K7:K8"/>
    <mergeCell ref="Q7:Q8"/>
    <mergeCell ref="S7:S8"/>
    <mergeCell ref="V12:AB12"/>
    <mergeCell ref="V13:AB13"/>
    <mergeCell ref="L7:L8"/>
    <mergeCell ref="U7:U8"/>
    <mergeCell ref="K9:K11"/>
    <mergeCell ref="L9:L11"/>
    <mergeCell ref="Q9:Q11"/>
    <mergeCell ref="S9:S11"/>
    <mergeCell ref="U9:U11"/>
    <mergeCell ref="K13:K14"/>
    <mergeCell ref="L13:L14"/>
    <mergeCell ref="Q13:Q14"/>
    <mergeCell ref="S13:S14"/>
    <mergeCell ref="U13:U14"/>
    <mergeCell ref="E61:F61"/>
    <mergeCell ref="E62:F62"/>
    <mergeCell ref="E63:F63"/>
    <mergeCell ref="B9:B11"/>
    <mergeCell ref="E9:E11"/>
    <mergeCell ref="J9:J11"/>
    <mergeCell ref="B13:B14"/>
    <mergeCell ref="E13:E14"/>
    <mergeCell ref="J13:J14"/>
    <mergeCell ref="B16:B17"/>
    <mergeCell ref="B26:B30"/>
    <mergeCell ref="E26:E30"/>
    <mergeCell ref="J26:J30"/>
    <mergeCell ref="D26:D30"/>
    <mergeCell ref="B20:B21"/>
    <mergeCell ref="E20:E21"/>
    <mergeCell ref="J20:J21"/>
    <mergeCell ref="B22:B24"/>
    <mergeCell ref="E22:E24"/>
    <mergeCell ref="J22:J24"/>
    <mergeCell ref="F22:F23"/>
    <mergeCell ref="H22:H23"/>
    <mergeCell ref="I22:I23"/>
    <mergeCell ref="B33:B34"/>
    <mergeCell ref="V27:AB27"/>
    <mergeCell ref="V28:AB28"/>
    <mergeCell ref="V22:AB23"/>
    <mergeCell ref="V53:AB53"/>
    <mergeCell ref="V54:AB54"/>
    <mergeCell ref="V55:AB55"/>
    <mergeCell ref="V56:AB56"/>
    <mergeCell ref="V57:AB57"/>
    <mergeCell ref="V58:AB58"/>
    <mergeCell ref="V51:AB51"/>
    <mergeCell ref="V52:AB52"/>
    <mergeCell ref="V41:AB41"/>
    <mergeCell ref="V42:AB42"/>
    <mergeCell ref="V43:AB43"/>
    <mergeCell ref="V44:AB44"/>
    <mergeCell ref="V45:AB45"/>
    <mergeCell ref="V46:AB46"/>
    <mergeCell ref="V37:AB37"/>
    <mergeCell ref="V38:AB38"/>
    <mergeCell ref="V39:AB39"/>
    <mergeCell ref="V40:AB40"/>
    <mergeCell ref="V49:AB49"/>
    <mergeCell ref="V50:AB50"/>
    <mergeCell ref="V47:AB47"/>
    <mergeCell ref="V59:AB59"/>
    <mergeCell ref="V48:AB48"/>
    <mergeCell ref="V31:AB31"/>
    <mergeCell ref="B35:B36"/>
    <mergeCell ref="L35:L36"/>
    <mergeCell ref="E35:E36"/>
    <mergeCell ref="J35:J36"/>
    <mergeCell ref="K35:K36"/>
    <mergeCell ref="Q35:Q36"/>
    <mergeCell ref="S35:S36"/>
    <mergeCell ref="U35:U36"/>
    <mergeCell ref="U33:U34"/>
    <mergeCell ref="E33:E34"/>
    <mergeCell ref="J33:J34"/>
    <mergeCell ref="K33:K34"/>
    <mergeCell ref="Q33:Q34"/>
    <mergeCell ref="S33:S34"/>
    <mergeCell ref="L33:L34"/>
  </mergeCells>
  <conditionalFormatting sqref="I65:I71">
    <cfRule type="cellIs" dxfId="67" priority="712" stopIfTrue="1" operator="lessThan">
      <formula>0%</formula>
    </cfRule>
    <cfRule type="cellIs" dxfId="66" priority="711" stopIfTrue="1" operator="greaterThan">
      <formula>1.5%</formula>
    </cfRule>
  </conditionalFormatting>
  <conditionalFormatting sqref="I73">
    <cfRule type="cellIs" dxfId="65" priority="706" stopIfTrue="1" operator="lessThan">
      <formula>438</formula>
    </cfRule>
  </conditionalFormatting>
  <conditionalFormatting sqref="J3 B2 J72:J65536">
    <cfRule type="cellIs" dxfId="64" priority="729" stopIfTrue="1" operator="lessThan">
      <formula>438</formula>
    </cfRule>
  </conditionalFormatting>
  <conditionalFormatting sqref="J3">
    <cfRule type="cellIs" dxfId="63" priority="726" stopIfTrue="1" operator="lessThan">
      <formula>456.25</formula>
    </cfRule>
  </conditionalFormatting>
  <conditionalFormatting sqref="J4:J7">
    <cfRule type="cellIs" dxfId="62" priority="483" stopIfTrue="1" operator="lessThan">
      <formula>462</formula>
    </cfRule>
  </conditionalFormatting>
  <conditionalFormatting sqref="J9">
    <cfRule type="cellIs" dxfId="61" priority="398" stopIfTrue="1" operator="lessThan">
      <formula>462</formula>
    </cfRule>
  </conditionalFormatting>
  <conditionalFormatting sqref="J12:J13">
    <cfRule type="cellIs" dxfId="60" priority="374" stopIfTrue="1" operator="lessThan">
      <formula>462</formula>
    </cfRule>
  </conditionalFormatting>
  <conditionalFormatting sqref="J15:J16">
    <cfRule type="cellIs" dxfId="59" priority="318" stopIfTrue="1" operator="lessThan">
      <formula>462</formula>
    </cfRule>
  </conditionalFormatting>
  <conditionalFormatting sqref="J18:J20">
    <cfRule type="cellIs" dxfId="58" priority="260" stopIfTrue="1" operator="lessThan">
      <formula>462</formula>
    </cfRule>
  </conditionalFormatting>
  <conditionalFormatting sqref="J22">
    <cfRule type="cellIs" dxfId="57" priority="202" stopIfTrue="1" operator="lessThan">
      <formula>462</formula>
    </cfRule>
  </conditionalFormatting>
  <conditionalFormatting sqref="J25:J26">
    <cfRule type="cellIs" dxfId="56" priority="162" stopIfTrue="1" operator="lessThan">
      <formula>462</formula>
    </cfRule>
  </conditionalFormatting>
  <conditionalFormatting sqref="J31:J33">
    <cfRule type="cellIs" dxfId="55" priority="70" stopIfTrue="1" operator="lessThan">
      <formula>462</formula>
    </cfRule>
  </conditionalFormatting>
  <conditionalFormatting sqref="J35">
    <cfRule type="cellIs" dxfId="54" priority="35" stopIfTrue="1" operator="lessThan">
      <formula>462</formula>
    </cfRule>
  </conditionalFormatting>
  <conditionalFormatting sqref="J37:J60">
    <cfRule type="cellIs" dxfId="53" priority="11" stopIfTrue="1" operator="lessThan">
      <formula>462</formula>
    </cfRule>
  </conditionalFormatting>
  <conditionalFormatting sqref="J65:J71">
    <cfRule type="cellIs" dxfId="52" priority="724" stopIfTrue="1" operator="lessThan">
      <formula>73%</formula>
    </cfRule>
  </conditionalFormatting>
  <conditionalFormatting sqref="K4:K7">
    <cfRule type="cellIs" dxfId="51" priority="482" stopIfTrue="1" operator="lessThan">
      <formula>540</formula>
    </cfRule>
  </conditionalFormatting>
  <conditionalFormatting sqref="K9">
    <cfRule type="cellIs" dxfId="50" priority="397" stopIfTrue="1" operator="lessThan">
      <formula>540</formula>
    </cfRule>
  </conditionalFormatting>
  <conditionalFormatting sqref="K12:K13">
    <cfRule type="cellIs" dxfId="49" priority="373" stopIfTrue="1" operator="lessThan">
      <formula>540</formula>
    </cfRule>
  </conditionalFormatting>
  <conditionalFormatting sqref="K15:K16">
    <cfRule type="cellIs" dxfId="48" priority="317" stopIfTrue="1" operator="lessThan">
      <formula>540</formula>
    </cfRule>
  </conditionalFormatting>
  <conditionalFormatting sqref="K18:K20">
    <cfRule type="cellIs" dxfId="47" priority="259" stopIfTrue="1" operator="lessThan">
      <formula>540</formula>
    </cfRule>
  </conditionalFormatting>
  <conditionalFormatting sqref="K22">
    <cfRule type="cellIs" dxfId="46" priority="201" stopIfTrue="1" operator="lessThan">
      <formula>540</formula>
    </cfRule>
  </conditionalFormatting>
  <conditionalFormatting sqref="K25:K26">
    <cfRule type="cellIs" dxfId="45" priority="161" stopIfTrue="1" operator="lessThan">
      <formula>540</formula>
    </cfRule>
  </conditionalFormatting>
  <conditionalFormatting sqref="K31:K33">
    <cfRule type="cellIs" dxfId="44" priority="69" stopIfTrue="1" operator="lessThan">
      <formula>540</formula>
    </cfRule>
  </conditionalFormatting>
  <conditionalFormatting sqref="K35">
    <cfRule type="cellIs" dxfId="43" priority="34" stopIfTrue="1" operator="lessThan">
      <formula>540</formula>
    </cfRule>
  </conditionalFormatting>
  <conditionalFormatting sqref="K37:K39">
    <cfRule type="cellIs" dxfId="42" priority="10" stopIfTrue="1" operator="lessThan">
      <formula>540</formula>
    </cfRule>
  </conditionalFormatting>
  <conditionalFormatting sqref="K39:L56">
    <cfRule type="cellIs" dxfId="41" priority="689" stopIfTrue="1" operator="lessThan">
      <formula>540</formula>
    </cfRule>
  </conditionalFormatting>
  <conditionalFormatting sqref="K57:L59">
    <cfRule type="cellIs" dxfId="40" priority="719" stopIfTrue="1" operator="lessThan">
      <formula>456.25</formula>
    </cfRule>
    <cfRule type="cellIs" dxfId="39" priority="720" stopIfTrue="1" operator="lessThan">
      <formula>438</formula>
    </cfRule>
  </conditionalFormatting>
  <conditionalFormatting sqref="O4:O22">
    <cfRule type="cellIs" dxfId="38" priority="257" stopIfTrue="1" operator="greaterThan">
      <formula>1.1</formula>
    </cfRule>
  </conditionalFormatting>
  <conditionalFormatting sqref="O24:O61">
    <cfRule type="cellIs" dxfId="37" priority="67" stopIfTrue="1" operator="greaterThan">
      <formula>1.1</formula>
    </cfRule>
  </conditionalFormatting>
  <conditionalFormatting sqref="O61:O62">
    <cfRule type="cellIs" dxfId="36" priority="722" stopIfTrue="1" operator="greaterThan">
      <formula>1.5%</formula>
    </cfRule>
    <cfRule type="cellIs" dxfId="35" priority="723" stopIfTrue="1" operator="lessThan">
      <formula>0%</formula>
    </cfRule>
  </conditionalFormatting>
  <conditionalFormatting sqref="O65">
    <cfRule type="cellIs" dxfId="34" priority="185" stopIfTrue="1" operator="greaterThan">
      <formula>1.1</formula>
    </cfRule>
  </conditionalFormatting>
  <conditionalFormatting sqref="Q4:Q26">
    <cfRule type="cellIs" dxfId="33" priority="152" stopIfTrue="1" operator="lessThan">
      <formula>0.6</formula>
    </cfRule>
  </conditionalFormatting>
  <conditionalFormatting sqref="Q31:Q33">
    <cfRule type="cellIs" dxfId="32" priority="93" stopIfTrue="1" operator="lessThan">
      <formula>0.6</formula>
    </cfRule>
  </conditionalFormatting>
  <conditionalFormatting sqref="Q35">
    <cfRule type="cellIs" dxfId="31" priority="58" stopIfTrue="1" operator="lessThan">
      <formula>0.6</formula>
    </cfRule>
  </conditionalFormatting>
  <conditionalFormatting sqref="Q37:Q60">
    <cfRule type="cellIs" dxfId="30" priority="1" stopIfTrue="1" operator="lessThan">
      <formula>0.6</formula>
    </cfRule>
  </conditionalFormatting>
  <conditionalFormatting sqref="Q65">
    <cfRule type="cellIs" dxfId="29" priority="187" stopIfTrue="1" operator="lessThan">
      <formula>0.6</formula>
    </cfRule>
  </conditionalFormatting>
  <conditionalFormatting sqref="S42:S59">
    <cfRule type="cellIs" dxfId="28" priority="715" stopIfTrue="1" operator="lessThan">
      <formula>0.74</formula>
    </cfRule>
  </conditionalFormatting>
  <conditionalFormatting sqref="S61:S62">
    <cfRule type="cellIs" dxfId="27" priority="725" stopIfTrue="1" operator="lessThan">
      <formula>73%</formula>
    </cfRule>
  </conditionalFormatting>
  <conditionalFormatting sqref="S65 U65">
    <cfRule type="cellIs" dxfId="26" priority="186" stopIfTrue="1" operator="lessThan">
      <formula>0.74</formula>
    </cfRule>
  </conditionalFormatting>
  <conditionalFormatting sqref="S78">
    <cfRule type="cellIs" dxfId="25" priority="629" stopIfTrue="1" operator="lessThan">
      <formula>0.74</formula>
    </cfRule>
  </conditionalFormatting>
  <conditionalFormatting sqref="S79">
    <cfRule type="cellIs" dxfId="24" priority="627" stopIfTrue="1" operator="greaterThan">
      <formula>1.1</formula>
    </cfRule>
  </conditionalFormatting>
  <conditionalFormatting sqref="S3:U3">
    <cfRule type="cellIs" dxfId="23" priority="698" stopIfTrue="1" operator="lessThan">
      <formula>0.65</formula>
    </cfRule>
  </conditionalFormatting>
  <conditionalFormatting sqref="S4:U7 S9:U9">
    <cfRule type="cellIs" dxfId="22" priority="421" stopIfTrue="1" operator="lessThan">
      <formula>0.74</formula>
    </cfRule>
  </conditionalFormatting>
  <conditionalFormatting sqref="S12:U13">
    <cfRule type="cellIs" dxfId="21" priority="341" stopIfTrue="1" operator="lessThan">
      <formula>0.74</formula>
    </cfRule>
  </conditionalFormatting>
  <conditionalFormatting sqref="S15:U16">
    <cfRule type="cellIs" dxfId="20" priority="283" stopIfTrue="1" operator="lessThan">
      <formula>0.74</formula>
    </cfRule>
  </conditionalFormatting>
  <conditionalFormatting sqref="S18:U20">
    <cfRule type="cellIs" dxfId="19" priority="225" stopIfTrue="1" operator="lessThan">
      <formula>0.74</formula>
    </cfRule>
  </conditionalFormatting>
  <conditionalFormatting sqref="S22:U22">
    <cfRule type="cellIs" dxfId="18" priority="191" stopIfTrue="1" operator="lessThan">
      <formula>0.6</formula>
    </cfRule>
    <cfRule type="cellIs" dxfId="17" priority="192" stopIfTrue="1" operator="lessThan">
      <formula>0.74</formula>
    </cfRule>
    <cfRule type="cellIs" dxfId="16" priority="195" stopIfTrue="1" operator="lessThan">
      <formula>0.74</formula>
    </cfRule>
    <cfRule type="cellIs" dxfId="15" priority="194" stopIfTrue="1" operator="lessThan">
      <formula>0.6</formula>
    </cfRule>
    <cfRule type="cellIs" dxfId="14" priority="189" stopIfTrue="1" operator="lessThan">
      <formula>0.74</formula>
    </cfRule>
  </conditionalFormatting>
  <conditionalFormatting sqref="S25:U26">
    <cfRule type="cellIs" dxfId="13" priority="153" stopIfTrue="1" operator="lessThan">
      <formula>0.74</formula>
    </cfRule>
  </conditionalFormatting>
  <conditionalFormatting sqref="S31:U33 T34">
    <cfRule type="cellIs" dxfId="12" priority="94" stopIfTrue="1" operator="lessThan">
      <formula>0.74</formula>
    </cfRule>
  </conditionalFormatting>
  <conditionalFormatting sqref="S35:U35">
    <cfRule type="cellIs" dxfId="11" priority="59" stopIfTrue="1" operator="lessThan">
      <formula>0.74</formula>
    </cfRule>
  </conditionalFormatting>
  <conditionalFormatting sqref="S37:U41">
    <cfRule type="cellIs" dxfId="10" priority="2" stopIfTrue="1" operator="lessThan">
      <formula>0.74</formula>
    </cfRule>
  </conditionalFormatting>
  <conditionalFormatting sqref="S60:U60">
    <cfRule type="cellIs" dxfId="9" priority="717" stopIfTrue="1" operator="lessThan">
      <formula>0.74</formula>
    </cfRule>
  </conditionalFormatting>
  <conditionalFormatting sqref="T8 T10:T11 T23:T24 T27:T30">
    <cfRule type="cellIs" dxfId="8" priority="476" stopIfTrue="1" operator="lessThan">
      <formula>0.74</formula>
    </cfRule>
  </conditionalFormatting>
  <conditionalFormatting sqref="T14">
    <cfRule type="cellIs" dxfId="7" priority="353" stopIfTrue="1" operator="lessThan">
      <formula>0.74</formula>
    </cfRule>
  </conditionalFormatting>
  <conditionalFormatting sqref="T17">
    <cfRule type="cellIs" dxfId="6" priority="295" stopIfTrue="1" operator="lessThan">
      <formula>0.74</formula>
    </cfRule>
  </conditionalFormatting>
  <conditionalFormatting sqref="T21">
    <cfRule type="cellIs" dxfId="5" priority="237" stopIfTrue="1" operator="lessThan">
      <formula>0.74</formula>
    </cfRule>
  </conditionalFormatting>
  <conditionalFormatting sqref="T36">
    <cfRule type="cellIs" dxfId="4" priority="649" stopIfTrue="1" operator="lessThan">
      <formula>0.74</formula>
    </cfRule>
  </conditionalFormatting>
  <conditionalFormatting sqref="T38">
    <cfRule type="cellIs" dxfId="3" priority="676" stopIfTrue="1" operator="lessThan">
      <formula>0.74</formula>
    </cfRule>
  </conditionalFormatting>
  <conditionalFormatting sqref="T42:U59">
    <cfRule type="cellIs" dxfId="2" priority="709" stopIfTrue="1" operator="lessThan">
      <formula>75%</formula>
    </cfRule>
  </conditionalFormatting>
  <conditionalFormatting sqref="T61:U62">
    <cfRule type="cellIs" dxfId="1" priority="728" stopIfTrue="1" operator="lessThan">
      <formula>75%</formula>
    </cfRule>
  </conditionalFormatting>
  <conditionalFormatting sqref="U78">
    <cfRule type="cellIs" dxfId="0" priority="628" stopIfTrue="1" operator="lessThan">
      <formula>0.74</formula>
    </cfRule>
  </conditionalFormatting>
  <printOptions horizontalCentered="1"/>
  <pageMargins left="0.10312499999999999" right="0.5" top="0.25" bottom="0.27" header="0.25" footer="0.27"/>
  <pageSetup paperSize="5" scale="32" orientation="landscape"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38</vt:i4>
      </vt:variant>
      <vt:variant>
        <vt:lpstr>Named Ranges</vt:lpstr>
      </vt:variant>
      <vt:variant>
        <vt:i4>72</vt:i4>
      </vt:variant>
    </vt:vector>
  </HeadingPairs>
  <TitlesOfParts>
    <vt:vector size="110" baseType="lpstr">
      <vt:lpstr>January_17</vt:lpstr>
      <vt:lpstr>February_17</vt:lpstr>
      <vt:lpstr>March_17</vt:lpstr>
      <vt:lpstr>April_17</vt:lpstr>
      <vt:lpstr>May_17</vt:lpstr>
      <vt:lpstr>June_17 </vt:lpstr>
      <vt:lpstr>July_17</vt:lpstr>
      <vt:lpstr>Aug_17 </vt:lpstr>
      <vt:lpstr>Sep_17</vt:lpstr>
      <vt:lpstr>October_17</vt:lpstr>
      <vt:lpstr>November_17</vt:lpstr>
      <vt:lpstr>December_17 </vt:lpstr>
      <vt:lpstr>January_26</vt:lpstr>
      <vt:lpstr>February_26</vt:lpstr>
      <vt:lpstr>March_26</vt:lpstr>
      <vt:lpstr>April_26</vt:lpstr>
      <vt:lpstr>May_26</vt:lpstr>
      <vt:lpstr>June_26</vt:lpstr>
      <vt:lpstr>Change-Over Tracking</vt:lpstr>
      <vt:lpstr>July_26</vt:lpstr>
      <vt:lpstr>August_26</vt:lpstr>
      <vt:lpstr>September_26 </vt:lpstr>
      <vt:lpstr>October_26</vt:lpstr>
      <vt:lpstr>November_26</vt:lpstr>
      <vt:lpstr>December_26</vt:lpstr>
      <vt:lpstr>Production Tracking 2017-2023</vt:lpstr>
      <vt:lpstr>January_16</vt:lpstr>
      <vt:lpstr>February_16</vt:lpstr>
      <vt:lpstr>March_16</vt:lpstr>
      <vt:lpstr>April_16</vt:lpstr>
      <vt:lpstr>May_16</vt:lpstr>
      <vt:lpstr>June_16</vt:lpstr>
      <vt:lpstr>July_16</vt:lpstr>
      <vt:lpstr>August_16</vt:lpstr>
      <vt:lpstr>September_16</vt:lpstr>
      <vt:lpstr>October_16</vt:lpstr>
      <vt:lpstr>November_16</vt:lpstr>
      <vt:lpstr>December_16</vt:lpstr>
      <vt:lpstr>April_16!Print_Area</vt:lpstr>
      <vt:lpstr>April_17!Print_Area</vt:lpstr>
      <vt:lpstr>April_26!Print_Area</vt:lpstr>
      <vt:lpstr>'Aug_17 '!Print_Area</vt:lpstr>
      <vt:lpstr>August_16!Print_Area</vt:lpstr>
      <vt:lpstr>August_26!Print_Area</vt:lpstr>
      <vt:lpstr>December_16!Print_Area</vt:lpstr>
      <vt:lpstr>'December_17 '!Print_Area</vt:lpstr>
      <vt:lpstr>December_26!Print_Area</vt:lpstr>
      <vt:lpstr>February_16!Print_Area</vt:lpstr>
      <vt:lpstr>February_17!Print_Area</vt:lpstr>
      <vt:lpstr>February_26!Print_Area</vt:lpstr>
      <vt:lpstr>January_16!Print_Area</vt:lpstr>
      <vt:lpstr>January_17!Print_Area</vt:lpstr>
      <vt:lpstr>January_26!Print_Area</vt:lpstr>
      <vt:lpstr>July_16!Print_Area</vt:lpstr>
      <vt:lpstr>July_17!Print_Area</vt:lpstr>
      <vt:lpstr>July_26!Print_Area</vt:lpstr>
      <vt:lpstr>June_16!Print_Area</vt:lpstr>
      <vt:lpstr>'June_17 '!Print_Area</vt:lpstr>
      <vt:lpstr>June_26!Print_Area</vt:lpstr>
      <vt:lpstr>March_16!Print_Area</vt:lpstr>
      <vt:lpstr>March_17!Print_Area</vt:lpstr>
      <vt:lpstr>March_26!Print_Area</vt:lpstr>
      <vt:lpstr>May_16!Print_Area</vt:lpstr>
      <vt:lpstr>May_17!Print_Area</vt:lpstr>
      <vt:lpstr>May_26!Print_Area</vt:lpstr>
      <vt:lpstr>November_16!Print_Area</vt:lpstr>
      <vt:lpstr>November_17!Print_Area</vt:lpstr>
      <vt:lpstr>November_26!Print_Area</vt:lpstr>
      <vt:lpstr>October_16!Print_Area</vt:lpstr>
      <vt:lpstr>October_17!Print_Area</vt:lpstr>
      <vt:lpstr>October_26!Print_Area</vt:lpstr>
      <vt:lpstr>Sep_17!Print_Area</vt:lpstr>
      <vt:lpstr>September_16!Print_Area</vt:lpstr>
      <vt:lpstr>'September_26 '!Print_Area</vt:lpstr>
      <vt:lpstr>April_16!Print_Titles</vt:lpstr>
      <vt:lpstr>April_17!Print_Titles</vt:lpstr>
      <vt:lpstr>April_26!Print_Titles</vt:lpstr>
      <vt:lpstr>'Aug_17 '!Print_Titles</vt:lpstr>
      <vt:lpstr>August_16!Print_Titles</vt:lpstr>
      <vt:lpstr>August_26!Print_Titles</vt:lpstr>
      <vt:lpstr>December_16!Print_Titles</vt:lpstr>
      <vt:lpstr>'December_17 '!Print_Titles</vt:lpstr>
      <vt:lpstr>December_26!Print_Titles</vt:lpstr>
      <vt:lpstr>February_16!Print_Titles</vt:lpstr>
      <vt:lpstr>February_17!Print_Titles</vt:lpstr>
      <vt:lpstr>February_26!Print_Titles</vt:lpstr>
      <vt:lpstr>January_16!Print_Titles</vt:lpstr>
      <vt:lpstr>January_17!Print_Titles</vt:lpstr>
      <vt:lpstr>January_26!Print_Titles</vt:lpstr>
      <vt:lpstr>July_16!Print_Titles</vt:lpstr>
      <vt:lpstr>July_17!Print_Titles</vt:lpstr>
      <vt:lpstr>July_26!Print_Titles</vt:lpstr>
      <vt:lpstr>June_16!Print_Titles</vt:lpstr>
      <vt:lpstr>'June_17 '!Print_Titles</vt:lpstr>
      <vt:lpstr>June_26!Print_Titles</vt:lpstr>
      <vt:lpstr>March_16!Print_Titles</vt:lpstr>
      <vt:lpstr>March_17!Print_Titles</vt:lpstr>
      <vt:lpstr>March_26!Print_Titles</vt:lpstr>
      <vt:lpstr>May_16!Print_Titles</vt:lpstr>
      <vt:lpstr>May_17!Print_Titles</vt:lpstr>
      <vt:lpstr>May_26!Print_Titles</vt:lpstr>
      <vt:lpstr>November_16!Print_Titles</vt:lpstr>
      <vt:lpstr>November_17!Print_Titles</vt:lpstr>
      <vt:lpstr>November_26!Print_Titles</vt:lpstr>
      <vt:lpstr>October_16!Print_Titles</vt:lpstr>
      <vt:lpstr>October_17!Print_Titles</vt:lpstr>
      <vt:lpstr>October_26!Print_Titles</vt:lpstr>
      <vt:lpstr>Sep_17!Print_Titles</vt:lpstr>
      <vt:lpstr>September_16!Print_Titles</vt:lpstr>
      <vt:lpstr>'September_26 '!Print_Titles</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ANTHONYF</dc:creator>
  <cp:lastModifiedBy>Kaylil Baptiste</cp:lastModifiedBy>
  <cp:lastPrinted>2022-05-19T14:57:20Z</cp:lastPrinted>
  <dcterms:created xsi:type="dcterms:W3CDTF">2007-05-09T20:35:55Z</dcterms:created>
  <dcterms:modified xsi:type="dcterms:W3CDTF">2026-10-01T12:24:39Z</dcterms:modified>
</cp:coreProperties>
</file>